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Denne_projektmappe" defaultThemeVersion="124226"/>
  <mc:AlternateContent xmlns:mc="http://schemas.openxmlformats.org/markup-compatibility/2006">
    <mc:Choice Requires="x15">
      <x15ac:absPath xmlns:x15ac="http://schemas.microsoft.com/office/spreadsheetml/2010/11/ac" url="C:\TIMES models\TIMES_AZ\SubRES_TMPL\"/>
    </mc:Choice>
  </mc:AlternateContent>
  <xr:revisionPtr revIDLastSave="0" documentId="13_ncr:1_{2D4A1636-3012-4DD3-846E-30CD9EC7BCAD}" xr6:coauthVersionLast="47" xr6:coauthVersionMax="47" xr10:uidLastSave="{00000000-0000-0000-0000-000000000000}"/>
  <bookViews>
    <workbookView xWindow="-108" yWindow="-108" windowWidth="41496" windowHeight="16896" tabRatio="764" activeTab="4" xr2:uid="{00000000-000D-0000-FFFF-FFFF00000000}"/>
  </bookViews>
  <sheets>
    <sheet name="LOG" sheetId="35" r:id="rId1"/>
    <sheet name="Intro" sheetId="48" r:id="rId2"/>
    <sheet name="READ THIS" sheetId="21" r:id="rId3"/>
    <sheet name="Notes" sheetId="75" r:id="rId4"/>
    <sheet name="AGR_Techs" sheetId="90" r:id="rId5"/>
    <sheet name="Carbon Capture Storage" sheetId="73" r:id="rId6"/>
    <sheet name="Transport" sheetId="106" r:id="rId7"/>
    <sheet name="Oil-fired boiler_NEW" sheetId="55" r:id="rId8"/>
    <sheet name="Natural gas boiler_New" sheetId="56" r:id="rId9"/>
    <sheet name="Biomass boiler" sheetId="72" r:id="rId10"/>
    <sheet name="Coal boiler" sheetId="79" r:id="rId11"/>
    <sheet name="Trad. Heat pump 80C" sheetId="63" r:id="rId12"/>
    <sheet name="Heat driven Heat pump 80C" sheetId="65" r:id="rId13"/>
    <sheet name="High Temp abs. Heat pump 150C" sheetId="62" r:id="rId14"/>
    <sheet name="Booster Heat pump 150C" sheetId="64" r:id="rId15"/>
    <sheet name="MVR" sheetId="66" r:id="rId16"/>
    <sheet name="Hotdisc" sheetId="68" r:id="rId17"/>
    <sheet name="Dielectric heating" sheetId="69" r:id="rId18"/>
    <sheet name="Infrared" sheetId="70" r:id="rId19"/>
    <sheet name="Electric boiler" sheetId="71" r:id="rId20"/>
    <sheet name="Direct electric heating" sheetId="57" r:id="rId21"/>
    <sheet name="DH substation" sheetId="5" r:id="rId22"/>
    <sheet name="DH network" sheetId="19" r:id="rId23"/>
    <sheet name="Electrical grid" sheetId="20" r:id="rId24"/>
    <sheet name="Solar heating" sheetId="13" r:id="rId25"/>
    <sheet name="Oil-fired boiler" sheetId="86" r:id="rId26"/>
    <sheet name="Natural gas boiler" sheetId="4" r:id="rId27"/>
    <sheet name="DHB Wood-Chips" sheetId="34" r:id="rId28"/>
    <sheet name="Biomass boiler, automatic" sheetId="6" r:id="rId29"/>
    <sheet name="Biomass boiler, manual" sheetId="7" r:id="rId30"/>
    <sheet name="Wood stove" sheetId="8" r:id="rId31"/>
    <sheet name="Heat pump, air-to-air" sheetId="9" r:id="rId32"/>
    <sheet name="Heat pump, air-to-water" sheetId="10" r:id="rId33"/>
    <sheet name="Heat pump, ground source" sheetId="11" r:id="rId34"/>
    <sheet name="HP, gas absorption,air-to-water" sheetId="28" r:id="rId35"/>
    <sheet name="HP, gas absorpt,brine-to-water" sheetId="29" r:id="rId36"/>
    <sheet name="Heat pump, gas engine air-water" sheetId="30" r:id="rId37"/>
    <sheet name="Heat pump, gas engine Brine-wat" sheetId="24" r:id="rId38"/>
    <sheet name="Heat pump, gas adsorption" sheetId="27" r:id="rId39"/>
    <sheet name="Heat pump, ventilation" sheetId="12" r:id="rId40"/>
    <sheet name="Electric heating" sheetId="14" r:id="rId41"/>
    <sheet name="Micro CHP, natural gas FC" sheetId="15" r:id="rId42"/>
    <sheet name="Micro CHP, hydrogen FC" sheetId="16" r:id="rId43"/>
    <sheet name="Micro CHP - Stirling engine" sheetId="17" r:id="rId44"/>
    <sheet name="Micro CHP - Gas engine" sheetId="18" r:id="rId45"/>
    <sheet name="HX_TechData" sheetId="99" r:id="rId46"/>
    <sheet name="HP_TechData" sheetId="100" r:id="rId47"/>
    <sheet name="HP_DATA" sheetId="101" r:id="rId48"/>
    <sheet name="HX_Data" sheetId="102" r:id="rId49"/>
    <sheet name="COP DH_LDC" sheetId="103" r:id="rId50"/>
  </sheets>
  <externalReferences>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49" hidden="1">'COP DH_LDC'!$A$1:$L$452</definedName>
    <definedName name="_ftn1" localSheetId="43">'Micro CHP - Stirling engine'!$B$91</definedName>
    <definedName name="_ftnref1" localSheetId="43">'Micro CHP - Stirling engine'!#REF!</definedName>
    <definedName name="_Order1" hidden="1">255</definedName>
    <definedName name="_Order2" hidden="1">255</definedName>
    <definedName name="_Sort" hidden="1">#REF!</definedName>
    <definedName name="_Toc305146851" localSheetId="28">'Biomass boiler, automatic'!$B$3</definedName>
    <definedName name="_Toc305146851" localSheetId="27">'DHB Wood-Chips'!$B$3</definedName>
    <definedName name="A4chosenYear">#REF!</definedName>
    <definedName name="A4colActive">#REF!</definedName>
    <definedName name="A4colCount">#REF!</definedName>
    <definedName name="A4filePath">#REF!</definedName>
    <definedName name="A4firstRow">#REF!</definedName>
    <definedName name="A4resultCol">#REF!</definedName>
    <definedName name="A4rowActive">[1]A4results!$X$7</definedName>
    <definedName name="A4rowCount">#REF!</definedName>
    <definedName name="A4sensitivity">#REF!</definedName>
    <definedName name="A4yearTable">#REF!</definedName>
    <definedName name="BG_valg">'[1]Biogas ENS'!$T$201</definedName>
    <definedName name="BiomassLargeCHP">[2]TechnologyData!$A$14:$M$41</definedName>
    <definedName name="BPslut">[2]Plants!$J$2</definedName>
    <definedName name="chosenLUC">[1]Cockpit!$B$8</definedName>
    <definedName name="chosenYear">[1]Cockpit!$B$5</definedName>
    <definedName name="DHareas" localSheetId="49">'COP DH_LDC'!$A$1:$G$439</definedName>
    <definedName name="dkkPerEUR">'[3]Centrale data'!$C$34</definedName>
    <definedName name="dkkPerUSD">[1]Supplementary!$C$38</definedName>
    <definedName name="E_waste">#REF!</definedName>
    <definedName name="Eksportstigning">[2]Plants!$J$6</definedName>
    <definedName name="ElBoiler">[2]TechnologyData!$O$72:$AA$99</definedName>
    <definedName name="ElPriceMix">[2]Subsidy!#REF!</definedName>
    <definedName name="EmissionOil">[4]Sheet1!$B$17</definedName>
    <definedName name="Euro" localSheetId="9">[5]IND_ELC!$E$2</definedName>
    <definedName name="Euro" localSheetId="14">[5]IND_ELC!$E$2</definedName>
    <definedName name="Euro" localSheetId="5">[5]IND_ELC!$E$2</definedName>
    <definedName name="Euro" localSheetId="10">[5]IND_ELC!$E$2</definedName>
    <definedName name="Euro" localSheetId="49">#REF!</definedName>
    <definedName name="Euro" localSheetId="17">[5]IND_ELC!$E$2</definedName>
    <definedName name="Euro" localSheetId="20">[5]IND_ELC!$E$2</definedName>
    <definedName name="Euro" localSheetId="19">[5]IND_ELC!$E$2</definedName>
    <definedName name="Euro" localSheetId="12">[5]IND_ELC!$E$2</definedName>
    <definedName name="Euro" localSheetId="13">[5]IND_ELC!$E$2</definedName>
    <definedName name="Euro" localSheetId="16">[5]IND_ELC!$E$2</definedName>
    <definedName name="Euro" localSheetId="47">#REF!</definedName>
    <definedName name="Euro" localSheetId="48">#REF!</definedName>
    <definedName name="Euro" localSheetId="18">[5]IND_ELC!$E$2</definedName>
    <definedName name="Euro" localSheetId="15">[5]IND_ELC!$E$2</definedName>
    <definedName name="Euro" localSheetId="8">[5]IND_ELC!$E$2</definedName>
    <definedName name="Euro" localSheetId="7">[5]IND_ELC!$E$2</definedName>
    <definedName name="Euro" localSheetId="11">[5]IND_ELC!$E$2</definedName>
    <definedName name="Euro">[6]IND_ELC!$E$2</definedName>
    <definedName name="Fastprisår">[7]Forside!$B$5</definedName>
    <definedName name="FID_1">[8]AGR_Fuels!$A$2</definedName>
    <definedName name="FIXWINOFF">'[9]O&amp;M waste and WIN '!$K$13</definedName>
    <definedName name="FIXWINON">'[9]O&amp;M waste and WIN '!$K$14</definedName>
    <definedName name="FIXWSTBO">'[10]O&amp;M waste and WIN '!$E$5</definedName>
    <definedName name="FIXWSTBP" localSheetId="9">'[11]O&amp;M waste '!$C$4</definedName>
    <definedName name="FIXWSTBP" localSheetId="14">'[11]O&amp;M waste '!$C$4</definedName>
    <definedName name="FIXWSTBP" localSheetId="5">'[11]O&amp;M waste '!$C$4</definedName>
    <definedName name="FIXWSTBP" localSheetId="10">'[11]O&amp;M waste '!$C$4</definedName>
    <definedName name="FIXWSTBP" localSheetId="17">'[11]O&amp;M waste '!$C$4</definedName>
    <definedName name="FIXWSTBP" localSheetId="20">'[11]O&amp;M waste '!$C$4</definedName>
    <definedName name="FIXWSTBP" localSheetId="19">'[11]O&amp;M waste '!$C$4</definedName>
    <definedName name="FIXWSTBP" localSheetId="12">'[11]O&amp;M waste '!$C$4</definedName>
    <definedName name="FIXWSTBP" localSheetId="13">'[11]O&amp;M waste '!$C$4</definedName>
    <definedName name="FIXWSTBP" localSheetId="16">'[11]O&amp;M waste '!$C$4</definedName>
    <definedName name="FIXWSTBP" localSheetId="18">'[11]O&amp;M waste '!$C$4</definedName>
    <definedName name="FIXWSTBP" localSheetId="15">'[11]O&amp;M waste '!$C$4</definedName>
    <definedName name="FIXWSTBP" localSheetId="8">'[11]O&amp;M waste '!$C$4</definedName>
    <definedName name="FIXWSTBP" localSheetId="7">'[11]O&amp;M waste '!$C$4</definedName>
    <definedName name="FIXWSTBP" localSheetId="11">'[11]O&amp;M waste '!$C$4</definedName>
    <definedName name="FIXWSTBP">'[12]O&amp;M waste '!$C$4</definedName>
    <definedName name="HeatPump_Large">[2]TechnologyData!$O$101:$AA$128</definedName>
    <definedName name="HTML_CodePage" hidden="1">1252</definedName>
    <definedName name="HTML_Control"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Inflation">[2]General!#REF!</definedName>
    <definedName name="LastPSOYear">[2]Plants!$H$2</definedName>
    <definedName name="MWhGJ">#REF!</definedName>
    <definedName name="Nettarif">[2]TechnologyData!$F$11</definedName>
    <definedName name="NGCC_SmallBP">[2]TechnologyData!$A$72:$M$99</definedName>
    <definedName name="nhydro">[2]General!#REF!</definedName>
    <definedName name="NyeNGCC">[2]Plants!$J$5</definedName>
    <definedName name="OffshoreWindPark">[2]TechnologyData!$O$43:$AA$70</definedName>
    <definedName name="OnshoreWindPark">[2]TechnologyData!$O$14:$AA$41</definedName>
    <definedName name="Pal_Workbook_GUID" hidden="1">"72JZWYL6P959RFW66W1IKY6K"</definedName>
    <definedName name="priceYear">[1]Supplementary!$C$40</definedName>
    <definedName name="Real_interest_rate">[13]TechnologyData!$B$37</definedName>
    <definedName name="referencer">#REF!</definedName>
    <definedName name="RefurbishedCoalBioCHP">[2]TechnologyData!$A$43:$M$70</definedName>
    <definedName name="RenovCKV">[2]Plants!$J$4</definedName>
    <definedName name="rfdf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SØK">'[3]Centrale data'!$C$32</definedName>
    <definedName name="Series_Agriculture">OFFSET([14]TimeSeries!$I$6,0,0,COUNTA([14]TimeSeries!$A$6:$A$8759))</definedName>
    <definedName name="Series_Chemical">OFFSET([14]TimeSeries!$K$6,0,0,COUNTA([14]TimeSeries!$A$6:$A$8759))</definedName>
    <definedName name="Series_Construction">OFFSET([14]TimeSeries!$S$6,0,0,COUNTA([14]TimeSeries!$A$6:$A$8759))</definedName>
    <definedName name="Series_Food">OFFSET([14]TimeSeries!$J$6,0,0,COUNTA([14]TimeSeries!$A$6:$A$8759))</definedName>
    <definedName name="Series_Glas_Concrete">OFFSET([14]TimeSeries!$L$6,0,0,COUNTA([14]TimeSeries!$A$6:$A$8759))</definedName>
    <definedName name="Series_Metal">OFFSET([14]TimeSeries!$M$6,0,0,COUNTA([14]TimeSeries!$A$6:$A$8759))</definedName>
    <definedName name="Series_Motor_Vehicles">OFFSET([14]TimeSeries!$O$6,0,0,COUNTA([14]TimeSeries!$A$6:$A$8759))</definedName>
    <definedName name="Series_Oth_Commodity">OFFSET([14]TimeSeries!$N$6,0,0,COUNTA([14]TimeSeries!$A$6:$A$8759))</definedName>
    <definedName name="Series_Oth_Utilities">OFFSET([14]TimeSeries!$T$6,0,0,COUNTA([14]TimeSeries!$A$6:$A$8759))</definedName>
    <definedName name="Series_Private_Service">OFFSET([14]TimeSeries!$Q$6,0,0,COUNTA([14]TimeSeries!$A$6:$A$8759))</definedName>
    <definedName name="Series_Public_Service">OFFSET([14]TimeSeries!$R$6,0,0,COUNTA([14]TimeSeries!$A$6:$A$8759))</definedName>
    <definedName name="Series_PV">OFFSET([14]TimeSeries!$D$6,0,0,COUNTA([14]TimeSeries!$A$6:$A$8759))</definedName>
    <definedName name="Series_Wholesale_Retail">OFFSET([14]TimeSeries!$P$6,0,0,COUNTA([14]TimeSeries!$A$6:$A$8759))</definedName>
    <definedName name="Series_Wind_OfS_DKE">OFFSET([14]TimeSeries!$G$6,0,0,COUNTA([14]TimeSeries!$A$6:$A$8759))</definedName>
    <definedName name="Series_Wind_OfS_DKW">OFFSET([14]TimeSeries!$H$6,0,0,COUNTA([14]TimeSeries!$A$6:$A$8759))</definedName>
    <definedName name="Series_Wind_OnS_DKE">OFFSET([14]TimeSeries!$E$6,0,0,COUNTA([14]TimeSeries!$A$6:$A$8759))</definedName>
    <definedName name="Series_Wind_OnS_DKW">OFFSET([14]TimeSeries!$F$6,0,0,COUNTA([14]TimeSeries!$A$6:$A$8759))</definedName>
    <definedName name="TS_Duration">OFFSET([14]TimeSeries!$C$6,0,0,COUNTA([14]TimeSeries!$A$6:$A$8759))</definedName>
    <definedName name="TS_Name">OFFSET([14]TimeSeries!$A$6,0,0,COUNTA([14]TimeSeries!$A$6:$A$8759))</definedName>
    <definedName name="VARWINOFF">'[9]O&amp;M waste and WIN '!$L$13</definedName>
    <definedName name="VARWINON">'[9]O&amp;M waste and WIN '!$L$14</definedName>
    <definedName name="VARWSTBO" localSheetId="9">'[11]O&amp;M waste '!$D$5</definedName>
    <definedName name="VARWSTBO" localSheetId="14">'[11]O&amp;M waste '!$D$5</definedName>
    <definedName name="VARWSTBO" localSheetId="5">'[11]O&amp;M waste '!$D$5</definedName>
    <definedName name="VARWSTBO" localSheetId="10">'[11]O&amp;M waste '!$D$5</definedName>
    <definedName name="VARWSTBO" localSheetId="17">'[11]O&amp;M waste '!$D$5</definedName>
    <definedName name="VARWSTBO" localSheetId="20">'[11]O&amp;M waste '!$D$5</definedName>
    <definedName name="VARWSTBO" localSheetId="19">'[11]O&amp;M waste '!$D$5</definedName>
    <definedName name="VARWSTBO" localSheetId="12">'[11]O&amp;M waste '!$D$5</definedName>
    <definedName name="VARWSTBO" localSheetId="13">'[11]O&amp;M waste '!$D$5</definedName>
    <definedName name="VARWSTBO" localSheetId="16">'[11]O&amp;M waste '!$D$5</definedName>
    <definedName name="VARWSTBO" localSheetId="18">'[11]O&amp;M waste '!$D$5</definedName>
    <definedName name="VARWSTBO" localSheetId="15">'[11]O&amp;M waste '!$D$5</definedName>
    <definedName name="VARWSTBO" localSheetId="8">'[11]O&amp;M waste '!$D$5</definedName>
    <definedName name="VARWSTBO" localSheetId="7">'[11]O&amp;M waste '!$D$5</definedName>
    <definedName name="VARWSTBO" localSheetId="11">'[11]O&amp;M waste '!$D$5</definedName>
    <definedName name="VARWSTBO">'[12]O&amp;M waste '!$D$5</definedName>
    <definedName name="VARWSTBP" localSheetId="9">'[11]O&amp;M waste '!$D$4</definedName>
    <definedName name="VARWSTBP" localSheetId="14">'[11]O&amp;M waste '!$D$4</definedName>
    <definedName name="VARWSTBP" localSheetId="5">'[11]O&amp;M waste '!$D$4</definedName>
    <definedName name="VARWSTBP" localSheetId="10">'[11]O&amp;M waste '!$D$4</definedName>
    <definedName name="VARWSTBP" localSheetId="17">'[11]O&amp;M waste '!$D$4</definedName>
    <definedName name="VARWSTBP" localSheetId="20">'[11]O&amp;M waste '!$D$4</definedName>
    <definedName name="VARWSTBP" localSheetId="19">'[11]O&amp;M waste '!$D$4</definedName>
    <definedName name="VARWSTBP" localSheetId="12">'[11]O&amp;M waste '!$D$4</definedName>
    <definedName name="VARWSTBP" localSheetId="13">'[11]O&amp;M waste '!$D$4</definedName>
    <definedName name="VARWSTBP" localSheetId="16">'[11]O&amp;M waste '!$D$4</definedName>
    <definedName name="VARWSTBP" localSheetId="18">'[11]O&amp;M waste '!$D$4</definedName>
    <definedName name="VARWSTBP" localSheetId="15">'[11]O&amp;M waste '!$D$4</definedName>
    <definedName name="VARWSTBP" localSheetId="8">'[11]O&amp;M waste '!$D$4</definedName>
    <definedName name="VARWSTBP" localSheetId="7">'[11]O&amp;M waste '!$D$4</definedName>
    <definedName name="VARWSTBP" localSheetId="11">'[11]O&amp;M waste '!$D$4</definedName>
    <definedName name="VARWSTBP">'[12]O&amp;M waste '!$D$4</definedName>
    <definedName name="vehicleproductionemissions">[4]Sheet1!$B$14</definedName>
    <definedName name="WasteCHP">[2]TechnologyData!$A$101:$M$129</definedName>
    <definedName name="Wood_SmallBP">[2]TechnologyData!$A$131:$M$158</definedName>
    <definedName name="x">[15]AGR_Fuels!$A$2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19" i="90" l="1"/>
  <c r="D218" i="90"/>
  <c r="D214" i="90"/>
  <c r="D210" i="90"/>
  <c r="D206" i="90"/>
  <c r="D202" i="90"/>
  <c r="D198" i="90"/>
  <c r="D194" i="90"/>
  <c r="D192" i="90"/>
  <c r="D191" i="90"/>
  <c r="D190" i="90"/>
  <c r="D189" i="90"/>
  <c r="D188" i="90"/>
  <c r="D187" i="90"/>
  <c r="D183" i="90"/>
  <c r="D180" i="90"/>
  <c r="D177" i="90"/>
  <c r="D174" i="90"/>
  <c r="D171" i="90"/>
  <c r="D168" i="90"/>
  <c r="D165" i="90"/>
  <c r="D162" i="90"/>
  <c r="D159" i="90"/>
  <c r="D156" i="90"/>
  <c r="D153" i="90"/>
  <c r="D150" i="90"/>
  <c r="D147" i="90"/>
  <c r="D144" i="90"/>
  <c r="D141" i="90"/>
  <c r="D138" i="90"/>
  <c r="D135" i="90"/>
  <c r="D132" i="90"/>
  <c r="D129" i="90"/>
  <c r="D126" i="90"/>
  <c r="D123" i="90"/>
  <c r="D120" i="90"/>
  <c r="D117" i="90"/>
  <c r="D114" i="90"/>
  <c r="D111" i="90"/>
  <c r="D108" i="90"/>
  <c r="D105" i="90"/>
  <c r="D102" i="90"/>
  <c r="D99" i="90"/>
  <c r="D96" i="90"/>
  <c r="D93" i="90"/>
  <c r="D90" i="90"/>
  <c r="D87" i="90"/>
  <c r="D84" i="90"/>
  <c r="D81" i="90"/>
  <c r="D78" i="90"/>
  <c r="D75" i="90"/>
  <c r="D72" i="90"/>
  <c r="D69" i="90"/>
  <c r="D66" i="90"/>
  <c r="D63" i="90"/>
  <c r="D57" i="90"/>
  <c r="D51" i="90"/>
  <c r="D45" i="90"/>
  <c r="D39" i="90"/>
  <c r="D33" i="90"/>
  <c r="D27" i="90"/>
  <c r="D21" i="90"/>
  <c r="D15" i="90"/>
  <c r="D9" i="90"/>
  <c r="C48" i="56"/>
  <c r="C49" i="56"/>
  <c r="C46" i="56"/>
  <c r="H190" i="90"/>
  <c r="H189" i="90"/>
  <c r="P190" i="90"/>
  <c r="P189" i="90"/>
  <c r="O156" i="90"/>
  <c r="AJ21" i="90" l="1"/>
  <c r="AJ19" i="90"/>
  <c r="H219" i="90"/>
  <c r="AI16" i="90"/>
  <c r="M9" i="90"/>
  <c r="O213" i="90" l="1"/>
  <c r="O212" i="90"/>
  <c r="O211" i="90"/>
  <c r="O210" i="90"/>
  <c r="O209" i="90"/>
  <c r="O208" i="90"/>
  <c r="O207" i="90"/>
  <c r="O206" i="90"/>
  <c r="O205" i="90"/>
  <c r="O204" i="90"/>
  <c r="O203" i="90"/>
  <c r="AT14" i="106"/>
  <c r="AT15" i="106"/>
  <c r="AT16" i="106"/>
  <c r="AT17" i="106"/>
  <c r="AT18" i="106"/>
  <c r="AT19" i="106"/>
  <c r="AT20" i="106"/>
  <c r="AT21" i="106"/>
  <c r="AT22" i="106"/>
  <c r="AT23" i="106"/>
  <c r="AT24" i="106"/>
  <c r="AT25" i="106"/>
  <c r="AT26" i="106"/>
  <c r="AT27" i="106"/>
  <c r="AT28" i="106"/>
  <c r="AT29" i="106"/>
  <c r="AT30" i="106"/>
  <c r="AT31" i="106"/>
  <c r="AT32" i="106"/>
  <c r="AT33" i="106"/>
  <c r="AT34" i="106"/>
  <c r="AT35" i="106"/>
  <c r="AT36" i="106"/>
  <c r="AT37" i="106"/>
  <c r="AT38" i="106"/>
  <c r="AT39" i="106"/>
  <c r="AT40" i="106"/>
  <c r="AT41" i="106"/>
  <c r="AT42" i="106"/>
  <c r="AT43" i="106"/>
  <c r="AT44" i="106"/>
  <c r="AT45" i="106"/>
  <c r="AT46" i="106"/>
  <c r="AT47" i="106"/>
  <c r="AT48" i="106"/>
  <c r="AT49" i="106"/>
  <c r="AT50" i="106"/>
  <c r="AT51" i="106"/>
  <c r="AT52" i="106"/>
  <c r="AT53" i="106"/>
  <c r="AT54" i="106"/>
  <c r="AT55" i="106"/>
  <c r="AT56" i="106"/>
  <c r="AT57" i="106"/>
  <c r="AT58" i="106"/>
  <c r="AT59" i="106"/>
  <c r="AT60" i="106"/>
  <c r="AT61" i="106"/>
  <c r="AT62" i="106"/>
  <c r="AT63" i="106"/>
  <c r="AT64" i="106"/>
  <c r="AT65" i="106"/>
  <c r="AT66" i="106"/>
  <c r="AT67" i="106"/>
  <c r="AT68" i="106"/>
  <c r="AT69" i="106"/>
  <c r="AT70" i="106"/>
  <c r="AT71" i="106"/>
  <c r="AT72" i="106"/>
  <c r="AT73" i="106"/>
  <c r="AT74" i="106"/>
  <c r="AT75" i="106"/>
  <c r="AT76" i="106"/>
  <c r="AT77" i="106"/>
  <c r="AT78" i="106"/>
  <c r="AT79" i="106"/>
  <c r="AT80" i="106"/>
  <c r="AT81" i="106"/>
  <c r="AT82" i="106"/>
  <c r="AT83" i="106"/>
  <c r="AT84" i="106"/>
  <c r="AT85" i="106"/>
  <c r="AT86" i="106"/>
  <c r="AT87" i="106"/>
  <c r="AT88" i="106"/>
  <c r="AT89" i="106"/>
  <c r="AT90" i="106"/>
  <c r="AT91" i="106"/>
  <c r="AT92" i="106"/>
  <c r="AT93" i="106"/>
  <c r="AT94" i="106"/>
  <c r="AT95" i="106"/>
  <c r="AT96" i="106"/>
  <c r="AT97" i="106"/>
  <c r="AT98" i="106"/>
  <c r="AT99" i="106"/>
  <c r="AT100" i="106"/>
  <c r="AT101" i="106"/>
  <c r="AT102" i="106"/>
  <c r="AT103" i="106"/>
  <c r="AT104" i="106"/>
  <c r="AT105" i="106"/>
  <c r="AT106" i="106"/>
  <c r="AT107" i="106"/>
  <c r="AT108" i="106"/>
  <c r="AT109" i="106"/>
  <c r="AT110" i="106"/>
  <c r="AT111" i="106"/>
  <c r="AT112" i="106"/>
  <c r="AT113" i="106"/>
  <c r="AT114" i="106"/>
  <c r="AT115" i="106"/>
  <c r="AT116" i="106"/>
  <c r="AT117" i="106"/>
  <c r="AT118" i="106"/>
  <c r="AT119" i="106"/>
  <c r="AT120" i="106"/>
  <c r="AT121" i="106"/>
  <c r="AT122" i="106"/>
  <c r="AT123" i="106"/>
  <c r="AT124" i="106"/>
  <c r="AT125" i="106"/>
  <c r="AT126" i="106"/>
  <c r="AT127" i="106"/>
  <c r="AT128" i="106"/>
  <c r="AT129" i="106"/>
  <c r="AT130" i="106"/>
  <c r="AT131" i="106"/>
  <c r="AT132" i="106"/>
  <c r="AT133" i="106"/>
  <c r="AT134" i="106"/>
  <c r="AT135" i="106"/>
  <c r="AT136" i="106"/>
  <c r="AT137" i="106"/>
  <c r="AT138" i="106"/>
  <c r="AT139" i="106"/>
  <c r="AT140" i="106"/>
  <c r="AT141" i="106"/>
  <c r="AT142" i="106"/>
  <c r="AT143" i="106"/>
  <c r="AT144" i="106"/>
  <c r="AT145" i="106"/>
  <c r="AT146" i="106"/>
  <c r="AT147" i="106"/>
  <c r="AT148" i="106"/>
  <c r="AT149" i="106"/>
  <c r="AT150" i="106"/>
  <c r="AT151" i="106"/>
  <c r="AT152" i="106"/>
  <c r="AT153" i="106"/>
  <c r="AT154" i="106"/>
  <c r="AT155" i="106"/>
  <c r="AT156" i="106"/>
  <c r="AT157" i="106"/>
  <c r="AT158" i="106"/>
  <c r="AT159" i="106"/>
  <c r="AT160" i="106"/>
  <c r="AT161" i="106"/>
  <c r="AT162" i="106"/>
  <c r="AT163" i="106"/>
  <c r="AT164" i="106"/>
  <c r="AT165" i="106"/>
  <c r="AT166" i="106"/>
  <c r="AT167" i="106"/>
  <c r="AT168" i="106"/>
  <c r="AT169" i="106"/>
  <c r="AT170" i="106"/>
  <c r="AT171" i="106"/>
  <c r="AT172" i="106"/>
  <c r="AT173" i="106"/>
  <c r="AT174" i="106"/>
  <c r="AT175" i="106"/>
  <c r="AT176" i="106"/>
  <c r="AT177" i="106"/>
  <c r="AT178" i="106"/>
  <c r="AT179" i="106"/>
  <c r="AT180" i="106"/>
  <c r="AT181" i="106"/>
  <c r="AT182" i="106"/>
  <c r="AT183" i="106"/>
  <c r="AT184" i="106"/>
  <c r="AT185" i="106"/>
  <c r="AT186" i="106"/>
  <c r="AT187" i="106"/>
  <c r="AT188" i="106"/>
  <c r="AT189" i="106"/>
  <c r="AT190" i="106"/>
  <c r="AT191" i="106"/>
  <c r="AT192" i="106"/>
  <c r="AT193" i="106"/>
  <c r="AT194" i="106"/>
  <c r="AT195" i="106"/>
  <c r="AT196" i="106"/>
  <c r="AT197" i="106"/>
  <c r="AT198" i="106"/>
  <c r="AT199" i="106"/>
  <c r="AT200" i="106"/>
  <c r="AT201" i="106"/>
  <c r="AT202" i="106"/>
  <c r="AT203" i="106"/>
  <c r="AT204" i="106"/>
  <c r="AT205" i="106"/>
  <c r="AT206" i="106"/>
  <c r="AT207" i="106"/>
  <c r="AT208" i="106"/>
  <c r="AT209" i="106"/>
  <c r="AT210" i="106"/>
  <c r="AT211" i="106"/>
  <c r="AT212" i="106"/>
  <c r="AT213" i="106"/>
  <c r="AT214" i="106"/>
  <c r="AT215" i="106"/>
  <c r="AT216" i="106"/>
  <c r="AT217" i="106"/>
  <c r="AT218" i="106"/>
  <c r="AT219" i="106"/>
  <c r="AT220" i="106"/>
  <c r="AT221" i="106"/>
  <c r="AT222" i="106"/>
  <c r="AT223" i="106"/>
  <c r="AT224" i="106"/>
  <c r="AT225" i="106"/>
  <c r="AT226" i="106"/>
  <c r="AT227" i="106"/>
  <c r="AT228" i="106"/>
  <c r="AT229" i="106"/>
  <c r="AT230" i="106"/>
  <c r="AT231" i="106"/>
  <c r="AT232" i="106"/>
  <c r="AT233" i="106"/>
  <c r="AT234" i="106"/>
  <c r="AT235" i="106"/>
  <c r="AT236" i="106"/>
  <c r="AT237" i="106"/>
  <c r="AT238" i="106"/>
  <c r="AT239" i="106"/>
  <c r="AT240" i="106"/>
  <c r="AT241" i="106"/>
  <c r="AT242" i="106"/>
  <c r="AT243" i="106"/>
  <c r="AT244" i="106"/>
  <c r="AT245" i="106"/>
  <c r="AT246" i="106"/>
  <c r="AT247" i="106"/>
  <c r="AT248" i="106"/>
  <c r="AT249" i="106"/>
  <c r="AT250" i="106"/>
  <c r="AT251" i="106"/>
  <c r="AT252" i="106"/>
  <c r="AT253" i="106"/>
  <c r="AT254" i="106"/>
  <c r="AT255" i="106"/>
  <c r="AT256" i="106"/>
  <c r="AT257" i="106"/>
  <c r="AT258" i="106"/>
  <c r="AT259" i="106"/>
  <c r="AT260" i="106"/>
  <c r="AT261" i="106"/>
  <c r="AT262" i="106"/>
  <c r="AT263" i="106"/>
  <c r="AT264" i="106"/>
  <c r="AT13" i="106"/>
  <c r="AO13" i="106" l="1"/>
  <c r="AQ13" i="106"/>
  <c r="AO114" i="106" l="1"/>
  <c r="AO113" i="106"/>
  <c r="AO112" i="106"/>
  <c r="AO111" i="106"/>
  <c r="AO110" i="106"/>
  <c r="O202" i="90"/>
  <c r="AQ229" i="106"/>
  <c r="AQ193" i="106"/>
  <c r="AQ157" i="106"/>
  <c r="AQ120" i="106"/>
  <c r="AQ85" i="106"/>
  <c r="AQ49" i="106"/>
  <c r="AQ14" i="106"/>
  <c r="AQ15" i="106" s="1"/>
  <c r="AQ16" i="106" s="1"/>
  <c r="AQ17" i="106" s="1"/>
  <c r="AQ18" i="106" s="1"/>
  <c r="AQ19" i="106" s="1"/>
  <c r="AQ20" i="106" s="1"/>
  <c r="AQ21" i="106" s="1"/>
  <c r="AQ22" i="106" s="1"/>
  <c r="AQ23" i="106" s="1"/>
  <c r="AQ24" i="106" s="1"/>
  <c r="AQ25" i="106" s="1"/>
  <c r="AQ26" i="106" s="1"/>
  <c r="AQ27" i="106" s="1"/>
  <c r="AQ28" i="106" s="1"/>
  <c r="AQ29" i="106" s="1"/>
  <c r="AQ30" i="106" s="1"/>
  <c r="AQ31" i="106" s="1"/>
  <c r="AQ32" i="106" s="1"/>
  <c r="AQ33" i="106" s="1"/>
  <c r="AQ34" i="106" s="1"/>
  <c r="AQ35" i="106" s="1"/>
  <c r="AQ36" i="106" s="1"/>
  <c r="AQ37" i="106" s="1"/>
  <c r="AW13" i="106"/>
  <c r="AW15" i="106" s="1"/>
  <c r="AW20" i="106" s="1"/>
  <c r="AS13" i="106"/>
  <c r="L203" i="90" s="1"/>
  <c r="L202" i="90" s="1"/>
  <c r="AO14" i="106"/>
  <c r="AO15" i="106"/>
  <c r="AS15" i="106" s="1"/>
  <c r="AO16" i="106"/>
  <c r="AO17" i="106"/>
  <c r="AS17" i="106" s="1"/>
  <c r="AO18" i="106"/>
  <c r="AO19" i="106"/>
  <c r="AS19" i="106" s="1"/>
  <c r="AO20" i="106"/>
  <c r="AS20" i="106" s="1"/>
  <c r="AO21" i="106"/>
  <c r="AS21" i="106" s="1"/>
  <c r="AO22" i="106"/>
  <c r="AS22" i="106" s="1"/>
  <c r="AO23" i="106"/>
  <c r="AS23" i="106" s="1"/>
  <c r="AO24" i="106"/>
  <c r="AO25" i="106"/>
  <c r="AO26" i="106"/>
  <c r="AO27" i="106"/>
  <c r="AS27" i="106" s="1"/>
  <c r="AO28" i="106"/>
  <c r="AO29" i="106"/>
  <c r="AO30" i="106"/>
  <c r="AO31" i="106"/>
  <c r="AO32" i="106"/>
  <c r="AO33" i="106"/>
  <c r="AS33" i="106" s="1"/>
  <c r="AO34" i="106"/>
  <c r="AO35" i="106"/>
  <c r="AS35" i="106" s="1"/>
  <c r="AO36" i="106"/>
  <c r="AS36" i="106" s="1"/>
  <c r="AO37" i="106"/>
  <c r="AS37" i="106" s="1"/>
  <c r="L211" i="90" s="1"/>
  <c r="AO38" i="106"/>
  <c r="AS38" i="106" s="1"/>
  <c r="AO39" i="106"/>
  <c r="AO40" i="106"/>
  <c r="AO41" i="106"/>
  <c r="AO42" i="106"/>
  <c r="AO43" i="106"/>
  <c r="AS43" i="106" s="1"/>
  <c r="AO44" i="106"/>
  <c r="AO45" i="106"/>
  <c r="AS45" i="106" s="1"/>
  <c r="AO46" i="106"/>
  <c r="AO47" i="106"/>
  <c r="AS47" i="106" s="1"/>
  <c r="AO48" i="106"/>
  <c r="AS48" i="106" s="1"/>
  <c r="L209" i="90" s="1"/>
  <c r="AO49" i="106"/>
  <c r="AO50" i="106"/>
  <c r="AO51" i="106"/>
  <c r="AO52" i="106"/>
  <c r="AO53" i="106"/>
  <c r="AO54" i="106"/>
  <c r="AO55" i="106"/>
  <c r="AO56" i="106"/>
  <c r="AO57" i="106"/>
  <c r="AO58" i="106"/>
  <c r="AO59" i="106"/>
  <c r="AO60" i="106"/>
  <c r="AO61" i="106"/>
  <c r="AO62" i="106"/>
  <c r="AO63" i="106"/>
  <c r="AO64" i="106"/>
  <c r="AO65" i="106"/>
  <c r="AO66" i="106"/>
  <c r="AO67" i="106"/>
  <c r="AO68" i="106"/>
  <c r="AO69" i="106"/>
  <c r="AO70" i="106"/>
  <c r="AO71" i="106"/>
  <c r="AO72" i="106"/>
  <c r="AO73" i="106"/>
  <c r="AO74" i="106"/>
  <c r="AO75" i="106"/>
  <c r="AO76" i="106"/>
  <c r="AO77" i="106"/>
  <c r="AS77" i="106" s="1"/>
  <c r="AO78" i="106"/>
  <c r="AO79" i="106"/>
  <c r="AO80" i="106"/>
  <c r="AO81" i="106"/>
  <c r="AO82" i="106"/>
  <c r="AO83" i="106"/>
  <c r="AO84" i="106"/>
  <c r="AO85" i="106"/>
  <c r="AO86" i="106"/>
  <c r="AO87" i="106"/>
  <c r="AO88" i="106"/>
  <c r="AO89" i="106"/>
  <c r="AO90" i="106"/>
  <c r="AO91" i="106"/>
  <c r="AO92" i="106"/>
  <c r="AO93" i="106"/>
  <c r="AO94" i="106"/>
  <c r="AO95" i="106"/>
  <c r="AO96" i="106"/>
  <c r="AO97" i="106"/>
  <c r="AO98" i="106"/>
  <c r="AO99" i="106"/>
  <c r="AO100" i="106"/>
  <c r="AO101" i="106"/>
  <c r="AO102" i="106"/>
  <c r="AO103" i="106"/>
  <c r="AO104" i="106"/>
  <c r="AO105" i="106"/>
  <c r="AO106" i="106"/>
  <c r="AO107" i="106"/>
  <c r="AO108" i="106"/>
  <c r="AO109" i="106"/>
  <c r="AO115" i="106"/>
  <c r="AO116" i="106"/>
  <c r="AO117" i="106"/>
  <c r="AO118" i="106"/>
  <c r="AS118" i="106" s="1"/>
  <c r="AO119" i="106"/>
  <c r="AO120" i="106"/>
  <c r="AO121" i="106"/>
  <c r="AO122" i="106"/>
  <c r="AO123" i="106"/>
  <c r="AO124" i="106"/>
  <c r="AO125" i="106"/>
  <c r="AO126" i="106"/>
  <c r="AO127" i="106"/>
  <c r="AO128" i="106"/>
  <c r="AO129" i="106"/>
  <c r="AO130" i="106"/>
  <c r="AO131" i="106"/>
  <c r="AO132" i="106"/>
  <c r="AO133" i="106"/>
  <c r="AO134" i="106"/>
  <c r="AO135" i="106"/>
  <c r="AO136" i="106"/>
  <c r="AO137" i="106"/>
  <c r="AO138" i="106"/>
  <c r="AO139" i="106"/>
  <c r="AO140" i="106"/>
  <c r="AO141" i="106"/>
  <c r="AO142" i="106"/>
  <c r="AO143" i="106"/>
  <c r="AO144" i="106"/>
  <c r="AO145" i="106"/>
  <c r="AO146" i="106"/>
  <c r="AO147" i="106"/>
  <c r="AO148" i="106"/>
  <c r="AO149" i="106"/>
  <c r="AO150" i="106"/>
  <c r="AO151" i="106"/>
  <c r="AO152" i="106"/>
  <c r="AO153" i="106"/>
  <c r="AO154" i="106"/>
  <c r="AO155" i="106"/>
  <c r="AO156" i="106"/>
  <c r="AO157" i="106"/>
  <c r="AS157" i="106" s="1"/>
  <c r="AO158" i="106"/>
  <c r="AO159" i="106"/>
  <c r="AO160" i="106"/>
  <c r="AO161" i="106"/>
  <c r="AO162" i="106"/>
  <c r="AS162" i="106" s="1"/>
  <c r="AO163" i="106"/>
  <c r="AO164" i="106"/>
  <c r="AO165" i="106"/>
  <c r="AO166" i="106"/>
  <c r="AO167" i="106"/>
  <c r="AO168" i="106"/>
  <c r="AO169" i="106"/>
  <c r="AO170" i="106"/>
  <c r="AO171" i="106"/>
  <c r="AO172" i="106"/>
  <c r="AO173" i="106"/>
  <c r="AO174" i="106"/>
  <c r="AO175" i="106"/>
  <c r="AO176" i="106"/>
  <c r="AO177" i="106"/>
  <c r="AO178" i="106"/>
  <c r="AO179" i="106"/>
  <c r="AO180" i="106"/>
  <c r="AO181" i="106"/>
  <c r="AO182" i="106"/>
  <c r="AO183" i="106"/>
  <c r="AO184" i="106"/>
  <c r="AO185" i="106"/>
  <c r="AS185" i="106" s="1"/>
  <c r="AO186" i="106"/>
  <c r="AO187" i="106"/>
  <c r="AO188" i="106"/>
  <c r="AO189" i="106"/>
  <c r="AO190" i="106"/>
  <c r="AS190" i="106" s="1"/>
  <c r="AO191" i="106"/>
  <c r="AO192" i="106"/>
  <c r="AO193" i="106"/>
  <c r="AO194" i="106"/>
  <c r="AO195" i="106"/>
  <c r="AO196" i="106"/>
  <c r="AS196" i="106" s="1"/>
  <c r="AO197" i="106"/>
  <c r="AS197" i="106" s="1"/>
  <c r="AO198" i="106"/>
  <c r="AO199" i="106"/>
  <c r="AO200" i="106"/>
  <c r="AO201" i="106"/>
  <c r="AO202" i="106"/>
  <c r="AO203" i="106"/>
  <c r="AO204" i="106"/>
  <c r="AO205" i="106"/>
  <c r="AO206" i="106"/>
  <c r="AO207" i="106"/>
  <c r="AO208" i="106"/>
  <c r="AO209" i="106"/>
  <c r="AO210" i="106"/>
  <c r="AO211" i="106"/>
  <c r="AO212" i="106"/>
  <c r="AO213" i="106"/>
  <c r="AO214" i="106"/>
  <c r="AO215" i="106"/>
  <c r="AO216" i="106"/>
  <c r="AO217" i="106"/>
  <c r="AO218" i="106"/>
  <c r="AO219" i="106"/>
  <c r="AO220" i="106"/>
  <c r="AO221" i="106"/>
  <c r="AS221" i="106" s="1"/>
  <c r="AO222" i="106"/>
  <c r="AO223" i="106"/>
  <c r="AO224" i="106"/>
  <c r="AS224" i="106" s="1"/>
  <c r="AO225" i="106"/>
  <c r="AS225" i="106" s="1"/>
  <c r="AO226" i="106"/>
  <c r="AO227" i="106"/>
  <c r="AO228" i="106"/>
  <c r="AO229" i="106"/>
  <c r="AO230" i="106"/>
  <c r="AO231" i="106"/>
  <c r="AO232" i="106"/>
  <c r="AO233" i="106"/>
  <c r="AO234" i="106"/>
  <c r="AO235" i="106"/>
  <c r="AO236" i="106"/>
  <c r="AO237" i="106"/>
  <c r="AO238" i="106"/>
  <c r="AO239" i="106"/>
  <c r="AO240" i="106"/>
  <c r="AO241" i="106"/>
  <c r="AO242" i="106"/>
  <c r="AO243" i="106"/>
  <c r="AO244" i="106"/>
  <c r="AO245" i="106"/>
  <c r="AO246" i="106"/>
  <c r="AO247" i="106"/>
  <c r="AO248" i="106"/>
  <c r="AO249" i="106"/>
  <c r="AO250" i="106"/>
  <c r="AO251" i="106"/>
  <c r="AO252" i="106"/>
  <c r="AO253" i="106"/>
  <c r="AO254" i="106"/>
  <c r="AO255" i="106"/>
  <c r="AO256" i="106"/>
  <c r="AO257" i="106"/>
  <c r="AO258" i="106"/>
  <c r="AO259" i="106"/>
  <c r="AO260" i="106"/>
  <c r="AO261" i="106"/>
  <c r="AO262" i="106"/>
  <c r="AO263" i="106"/>
  <c r="AO264" i="106"/>
  <c r="L177" i="90"/>
  <c r="AS125" i="106" l="1"/>
  <c r="AS257" i="106"/>
  <c r="AS93" i="106"/>
  <c r="AS92" i="106"/>
  <c r="AS255" i="106"/>
  <c r="AS108" i="106"/>
  <c r="AS107" i="106"/>
  <c r="AS264" i="106"/>
  <c r="AS236" i="106"/>
  <c r="AS263" i="106"/>
  <c r="AS235" i="106"/>
  <c r="AS261" i="106"/>
  <c r="AS233" i="106"/>
  <c r="AS259" i="106"/>
  <c r="AS231" i="106"/>
  <c r="AS258" i="106"/>
  <c r="AS230" i="106"/>
  <c r="AS82" i="106"/>
  <c r="AS53" i="106"/>
  <c r="AS81" i="106"/>
  <c r="AS253" i="106"/>
  <c r="AS169" i="106"/>
  <c r="AS79" i="106"/>
  <c r="AS51" i="106"/>
  <c r="AS251" i="106"/>
  <c r="AS78" i="106"/>
  <c r="AS50" i="106"/>
  <c r="AS248" i="106"/>
  <c r="AS192" i="106"/>
  <c r="AS164" i="106"/>
  <c r="AS247" i="106"/>
  <c r="AS191" i="106"/>
  <c r="AS163" i="106"/>
  <c r="AS252" i="106"/>
  <c r="AS246" i="106"/>
  <c r="AS158" i="106"/>
  <c r="AS177" i="106"/>
  <c r="AS227" i="106"/>
  <c r="AS199" i="106"/>
  <c r="AS171" i="106"/>
  <c r="AS115" i="106"/>
  <c r="AS226" i="106"/>
  <c r="AS198" i="106"/>
  <c r="AS170" i="106"/>
  <c r="AS168" i="106"/>
  <c r="AS223" i="106"/>
  <c r="AS195" i="106"/>
  <c r="AS167" i="106"/>
  <c r="AS106" i="106"/>
  <c r="AS250" i="106"/>
  <c r="AS222" i="106"/>
  <c r="AS194" i="106"/>
  <c r="AS166" i="106"/>
  <c r="AS213" i="106"/>
  <c r="AS165" i="106"/>
  <c r="AS186" i="106"/>
  <c r="AS193" i="106"/>
  <c r="AS184" i="106"/>
  <c r="AS91" i="106"/>
  <c r="AS141" i="106"/>
  <c r="AS80" i="106"/>
  <c r="AS52" i="106"/>
  <c r="AS139" i="106"/>
  <c r="AS76" i="106"/>
  <c r="AS154" i="106"/>
  <c r="AS245" i="106"/>
  <c r="AS189" i="106"/>
  <c r="AS161" i="106"/>
  <c r="AS133" i="106"/>
  <c r="AS72" i="106"/>
  <c r="AS244" i="106"/>
  <c r="AS188" i="106"/>
  <c r="AS160" i="106"/>
  <c r="AS132" i="106"/>
  <c r="AS99" i="106"/>
  <c r="AS138" i="106"/>
  <c r="AS134" i="106"/>
  <c r="AS101" i="106"/>
  <c r="AS243" i="106"/>
  <c r="AS187" i="106"/>
  <c r="AS159" i="106"/>
  <c r="AS131" i="106"/>
  <c r="AS98" i="106"/>
  <c r="AS97" i="106"/>
  <c r="AS102" i="106"/>
  <c r="AS212" i="106"/>
  <c r="AS67" i="106"/>
  <c r="AS105" i="106"/>
  <c r="AS61" i="106"/>
  <c r="AS104" i="106"/>
  <c r="AS136" i="106"/>
  <c r="AS103" i="106"/>
  <c r="AS239" i="106"/>
  <c r="AS211" i="106"/>
  <c r="AS183" i="106"/>
  <c r="AS155" i="106"/>
  <c r="AS127" i="106"/>
  <c r="AS94" i="106"/>
  <c r="AS238" i="106"/>
  <c r="AS210" i="106"/>
  <c r="AS182" i="106"/>
  <c r="AS126" i="106"/>
  <c r="AS65" i="106"/>
  <c r="AS237" i="106"/>
  <c r="AS209" i="106"/>
  <c r="AS181" i="106"/>
  <c r="AS153" i="106"/>
  <c r="AS64" i="106"/>
  <c r="AS176" i="106"/>
  <c r="AS88" i="106"/>
  <c r="AS119" i="106"/>
  <c r="AS86" i="106"/>
  <c r="AS228" i="106"/>
  <c r="AS172" i="106"/>
  <c r="AS204" i="106"/>
  <c r="AS218" i="106"/>
  <c r="AS73" i="106"/>
  <c r="AS200" i="106"/>
  <c r="AS217" i="106"/>
  <c r="AS216" i="106"/>
  <c r="AS71" i="106"/>
  <c r="AS206" i="106"/>
  <c r="AS215" i="106"/>
  <c r="AS70" i="106"/>
  <c r="AS42" i="106"/>
  <c r="L213" i="90" s="1"/>
  <c r="AS14" i="106"/>
  <c r="AS69" i="106"/>
  <c r="AS41" i="106"/>
  <c r="AS178" i="106"/>
  <c r="AS214" i="106"/>
  <c r="AS208" i="106"/>
  <c r="AS180" i="106"/>
  <c r="AS152" i="106"/>
  <c r="AS124" i="106"/>
  <c r="AS207" i="106"/>
  <c r="AS179" i="106"/>
  <c r="AS151" i="106"/>
  <c r="AS123" i="106"/>
  <c r="AS90" i="106"/>
  <c r="AS62" i="106"/>
  <c r="AS34" i="106"/>
  <c r="AS54" i="106"/>
  <c r="AS205" i="106"/>
  <c r="AS150" i="106"/>
  <c r="AS147" i="106"/>
  <c r="AS58" i="106"/>
  <c r="AS89" i="106"/>
  <c r="AS57" i="106"/>
  <c r="AS29" i="106"/>
  <c r="AS66" i="106"/>
  <c r="AS149" i="106"/>
  <c r="AS60" i="106"/>
  <c r="AS32" i="106"/>
  <c r="AS59" i="106"/>
  <c r="AS63" i="106"/>
  <c r="AS203" i="106"/>
  <c r="AS175" i="106"/>
  <c r="AS30" i="106"/>
  <c r="AS202" i="106"/>
  <c r="AS174" i="106"/>
  <c r="AS146" i="106"/>
  <c r="AS262" i="106"/>
  <c r="AS201" i="106"/>
  <c r="AS173" i="106"/>
  <c r="AS145" i="106"/>
  <c r="AS117" i="106"/>
  <c r="AS84" i="106"/>
  <c r="AS56" i="106"/>
  <c r="AS28" i="106"/>
  <c r="AS220" i="106"/>
  <c r="AS75" i="106"/>
  <c r="AS83" i="106"/>
  <c r="AS55" i="106"/>
  <c r="AS68" i="106"/>
  <c r="AS219" i="106"/>
  <c r="AS135" i="106"/>
  <c r="AS74" i="106"/>
  <c r="AS46" i="106"/>
  <c r="L208" i="90" s="1"/>
  <c r="AS18" i="106"/>
  <c r="L205" i="90" s="1"/>
  <c r="AQ38" i="106"/>
  <c r="AQ39" i="106" s="1"/>
  <c r="AQ40" i="106" s="1"/>
  <c r="AQ41" i="106" s="1"/>
  <c r="AQ42" i="106" s="1"/>
  <c r="AQ43" i="106" s="1"/>
  <c r="L207" i="90"/>
  <c r="L206" i="90"/>
  <c r="AS128" i="106"/>
  <c r="AS156" i="106"/>
  <c r="AS240" i="106"/>
  <c r="AS95" i="106"/>
  <c r="AS241" i="106"/>
  <c r="AS40" i="106"/>
  <c r="L212" i="90" s="1"/>
  <c r="AS129" i="106"/>
  <c r="AS39" i="106"/>
  <c r="AS130" i="106"/>
  <c r="AS242" i="106"/>
  <c r="L210" i="90"/>
  <c r="AS96" i="106"/>
  <c r="AS16" i="106"/>
  <c r="L204" i="90" s="1"/>
  <c r="AS44" i="106"/>
  <c r="AS100" i="106"/>
  <c r="AS137" i="106"/>
  <c r="AS249" i="106"/>
  <c r="AS110" i="106"/>
  <c r="AS49" i="106"/>
  <c r="AS111" i="106"/>
  <c r="AS112" i="106"/>
  <c r="AS24" i="106"/>
  <c r="AS142" i="106"/>
  <c r="AS254" i="106"/>
  <c r="AS113" i="106"/>
  <c r="AS114" i="106"/>
  <c r="AS25" i="106"/>
  <c r="AS143" i="106"/>
  <c r="AS26" i="106"/>
  <c r="AS116" i="106"/>
  <c r="AS144" i="106"/>
  <c r="AS256" i="106"/>
  <c r="AS140" i="106"/>
  <c r="AS229" i="106"/>
  <c r="AS85" i="106"/>
  <c r="AS109" i="106"/>
  <c r="AS120" i="106"/>
  <c r="AS148" i="106"/>
  <c r="AS232" i="106"/>
  <c r="AS260" i="106"/>
  <c r="AS121" i="106"/>
  <c r="AS31" i="106"/>
  <c r="AS87" i="106"/>
  <c r="AS122" i="106"/>
  <c r="AS234" i="106"/>
  <c r="AQ50" i="106"/>
  <c r="AQ51" i="106" s="1"/>
  <c r="AQ52" i="106" s="1"/>
  <c r="AQ53" i="106" s="1"/>
  <c r="AQ54" i="106" s="1"/>
  <c r="AQ55" i="106" s="1"/>
  <c r="AQ56" i="106" s="1"/>
  <c r="AQ57" i="106" s="1"/>
  <c r="AQ58" i="106" s="1"/>
  <c r="AQ59" i="106" s="1"/>
  <c r="AQ60" i="106" s="1"/>
  <c r="AQ61" i="106" s="1"/>
  <c r="AQ62" i="106" s="1"/>
  <c r="AQ63" i="106" s="1"/>
  <c r="AQ64" i="106" s="1"/>
  <c r="AQ65" i="106" s="1"/>
  <c r="AQ66" i="106" s="1"/>
  <c r="AQ67" i="106" s="1"/>
  <c r="AQ68" i="106" s="1"/>
  <c r="AQ69" i="106" s="1"/>
  <c r="AQ70" i="106" s="1"/>
  <c r="AQ71" i="106" s="1"/>
  <c r="AQ72" i="106" s="1"/>
  <c r="AQ73" i="106" s="1"/>
  <c r="AQ74" i="106" s="1"/>
  <c r="AQ75" i="106" s="1"/>
  <c r="AQ76" i="106" s="1"/>
  <c r="AQ77" i="106" s="1"/>
  <c r="AQ78" i="106" s="1"/>
  <c r="AQ79" i="106" s="1"/>
  <c r="AQ80" i="106" s="1"/>
  <c r="AQ81" i="106" s="1"/>
  <c r="AQ82" i="106" s="1"/>
  <c r="AQ83" i="106" s="1"/>
  <c r="AQ84" i="106" s="1"/>
  <c r="AQ86" i="106" s="1"/>
  <c r="AQ87" i="106" s="1"/>
  <c r="AQ88" i="106" s="1"/>
  <c r="AQ89" i="106" s="1"/>
  <c r="AQ90" i="106" s="1"/>
  <c r="AQ91" i="106" s="1"/>
  <c r="AQ92" i="106" s="1"/>
  <c r="AQ93" i="106" s="1"/>
  <c r="AQ94" i="106" s="1"/>
  <c r="AQ95" i="106" s="1"/>
  <c r="AQ96" i="106" s="1"/>
  <c r="AQ97" i="106" s="1"/>
  <c r="AQ98" i="106" s="1"/>
  <c r="AQ99" i="106" s="1"/>
  <c r="AQ100" i="106" s="1"/>
  <c r="AQ101" i="106" s="1"/>
  <c r="AQ102" i="106" s="1"/>
  <c r="AQ103" i="106" s="1"/>
  <c r="AQ104" i="106" s="1"/>
  <c r="AQ105" i="106" s="1"/>
  <c r="AQ106" i="106" s="1"/>
  <c r="AQ107" i="106" s="1"/>
  <c r="AQ108" i="106" s="1"/>
  <c r="AQ109" i="106" s="1"/>
  <c r="E291" i="90"/>
  <c r="D291" i="90"/>
  <c r="AQ44" i="106" l="1"/>
  <c r="AQ45" i="106" s="1"/>
  <c r="AQ46" i="106" s="1"/>
  <c r="AQ47" i="106" s="1"/>
  <c r="AQ48" i="106" s="1"/>
  <c r="AQ110" i="106"/>
  <c r="AQ111" i="106" s="1"/>
  <c r="AQ112" i="106" s="1"/>
  <c r="AQ113" i="106" s="1"/>
  <c r="AQ114" i="106" s="1"/>
  <c r="AQ115" i="106" s="1"/>
  <c r="J64" i="90"/>
  <c r="J65" i="90"/>
  <c r="J66" i="90"/>
  <c r="K66" i="90" s="1"/>
  <c r="J67" i="90"/>
  <c r="J68" i="90"/>
  <c r="J69" i="90"/>
  <c r="K69" i="90" s="1"/>
  <c r="J70" i="90"/>
  <c r="J71" i="90"/>
  <c r="J72" i="90"/>
  <c r="K72" i="90" s="1"/>
  <c r="J73" i="90"/>
  <c r="J74" i="90"/>
  <c r="J75" i="90"/>
  <c r="K75" i="90" s="1"/>
  <c r="J76" i="90"/>
  <c r="J77" i="90"/>
  <c r="J78" i="90"/>
  <c r="K78" i="90" s="1"/>
  <c r="J79" i="90"/>
  <c r="J80" i="90"/>
  <c r="J81" i="90"/>
  <c r="K81" i="90" s="1"/>
  <c r="J82" i="90"/>
  <c r="J83" i="90"/>
  <c r="J84" i="90"/>
  <c r="K84" i="90" s="1"/>
  <c r="J85" i="90"/>
  <c r="J86" i="90"/>
  <c r="J87" i="90"/>
  <c r="J88" i="90"/>
  <c r="J89" i="90"/>
  <c r="J90" i="90"/>
  <c r="J91" i="90"/>
  <c r="J92" i="90"/>
  <c r="J93" i="90"/>
  <c r="J94" i="90"/>
  <c r="J95" i="90"/>
  <c r="J96" i="90"/>
  <c r="J97" i="90"/>
  <c r="J98" i="90"/>
  <c r="J99" i="90"/>
  <c r="J100" i="90"/>
  <c r="J101" i="90"/>
  <c r="J102" i="90"/>
  <c r="J103" i="90"/>
  <c r="J104" i="90"/>
  <c r="J105" i="90"/>
  <c r="J106" i="90"/>
  <c r="J107" i="90"/>
  <c r="J108" i="90"/>
  <c r="J109" i="90"/>
  <c r="J110" i="90"/>
  <c r="J111" i="90"/>
  <c r="J112" i="90"/>
  <c r="J113" i="90"/>
  <c r="J114" i="90"/>
  <c r="J115" i="90"/>
  <c r="J116" i="90"/>
  <c r="J117" i="90"/>
  <c r="J118" i="90"/>
  <c r="J119" i="90"/>
  <c r="J120" i="90"/>
  <c r="J121" i="90"/>
  <c r="J122" i="90"/>
  <c r="J123" i="90"/>
  <c r="J124" i="90"/>
  <c r="J125" i="90"/>
  <c r="J126" i="90"/>
  <c r="J127" i="90"/>
  <c r="J128" i="90"/>
  <c r="J129" i="90"/>
  <c r="J130" i="90"/>
  <c r="J131" i="90"/>
  <c r="J132" i="90"/>
  <c r="J133" i="90"/>
  <c r="J134" i="90"/>
  <c r="J135" i="90"/>
  <c r="J136" i="90"/>
  <c r="J137" i="90"/>
  <c r="J138" i="90"/>
  <c r="J139" i="90"/>
  <c r="J140" i="90"/>
  <c r="J141" i="90"/>
  <c r="J142" i="90"/>
  <c r="J143" i="90"/>
  <c r="J144" i="90"/>
  <c r="J145" i="90"/>
  <c r="J146" i="90"/>
  <c r="J147" i="90"/>
  <c r="J148" i="90"/>
  <c r="J149" i="90"/>
  <c r="J150" i="90"/>
  <c r="J151" i="90"/>
  <c r="J152" i="90"/>
  <c r="J153" i="90"/>
  <c r="J154" i="90"/>
  <c r="J155" i="90"/>
  <c r="J156" i="90"/>
  <c r="J157" i="90"/>
  <c r="J158" i="90"/>
  <c r="J159" i="90"/>
  <c r="J160" i="90"/>
  <c r="J161" i="90"/>
  <c r="J162" i="90"/>
  <c r="J163" i="90"/>
  <c r="J164" i="90"/>
  <c r="J165" i="90"/>
  <c r="J166" i="90"/>
  <c r="J167" i="90"/>
  <c r="J168" i="90"/>
  <c r="J169" i="90"/>
  <c r="J170" i="90"/>
  <c r="J171" i="90"/>
  <c r="J172" i="90"/>
  <c r="J173" i="90"/>
  <c r="J174" i="90"/>
  <c r="J175" i="90"/>
  <c r="J176" i="90"/>
  <c r="J177" i="90"/>
  <c r="J178" i="90"/>
  <c r="J179" i="90"/>
  <c r="J180" i="90"/>
  <c r="J181" i="90"/>
  <c r="J182" i="90"/>
  <c r="J183" i="90"/>
  <c r="J184" i="90"/>
  <c r="J185" i="90"/>
  <c r="J186" i="90"/>
  <c r="J63" i="90"/>
  <c r="J21" i="90"/>
  <c r="J23" i="90"/>
  <c r="J25" i="90"/>
  <c r="J27" i="90"/>
  <c r="J29" i="90"/>
  <c r="J31" i="90"/>
  <c r="J33" i="90"/>
  <c r="J35" i="90"/>
  <c r="J37" i="90"/>
  <c r="J39" i="90"/>
  <c r="J41" i="90"/>
  <c r="J43" i="90"/>
  <c r="J45" i="90"/>
  <c r="J47" i="90"/>
  <c r="J49" i="90"/>
  <c r="J51" i="90"/>
  <c r="J53" i="90"/>
  <c r="J55" i="90"/>
  <c r="J57" i="90"/>
  <c r="J59" i="90"/>
  <c r="J61" i="90"/>
  <c r="J19" i="90"/>
  <c r="J17" i="90"/>
  <c r="J15" i="90"/>
  <c r="J13" i="90"/>
  <c r="J11" i="90"/>
  <c r="J9" i="90"/>
  <c r="AQ116" i="106" l="1"/>
  <c r="AQ117" i="106" s="1"/>
  <c r="AQ118" i="106" s="1"/>
  <c r="AQ119" i="106" s="1"/>
  <c r="AQ121" i="106" s="1"/>
  <c r="AQ122" i="106" s="1"/>
  <c r="AQ123" i="106" s="1"/>
  <c r="AQ124" i="106" s="1"/>
  <c r="AQ125" i="106" s="1"/>
  <c r="AQ126" i="106" s="1"/>
  <c r="AQ127" i="106" s="1"/>
  <c r="AQ128" i="106" s="1"/>
  <c r="AQ129" i="106" s="1"/>
  <c r="AQ130" i="106" s="1"/>
  <c r="AQ131" i="106" s="1"/>
  <c r="AQ132" i="106" s="1"/>
  <c r="AQ133" i="106" s="1"/>
  <c r="AQ134" i="106" s="1"/>
  <c r="AQ135" i="106" s="1"/>
  <c r="AQ136" i="106" s="1"/>
  <c r="AQ137" i="106" s="1"/>
  <c r="AQ138" i="106" s="1"/>
  <c r="AQ139" i="106" s="1"/>
  <c r="AQ140" i="106" s="1"/>
  <c r="AQ141" i="106" s="1"/>
  <c r="AQ142" i="106" s="1"/>
  <c r="AQ143" i="106" s="1"/>
  <c r="AQ144" i="106" s="1"/>
  <c r="AQ145" i="106" s="1"/>
  <c r="AQ146" i="106" s="1"/>
  <c r="AQ147" i="106" s="1"/>
  <c r="AQ148" i="106" s="1"/>
  <c r="AQ149" i="106" s="1"/>
  <c r="AQ150" i="106" s="1"/>
  <c r="AQ151" i="106" s="1"/>
  <c r="AQ152" i="106" s="1"/>
  <c r="AQ153" i="106" s="1"/>
  <c r="AQ154" i="106" s="1"/>
  <c r="AQ155" i="106" s="1"/>
  <c r="AQ156" i="106" s="1"/>
  <c r="AQ158" i="106" s="1"/>
  <c r="AQ159" i="106" s="1"/>
  <c r="AQ160" i="106" s="1"/>
  <c r="AQ161" i="106" s="1"/>
  <c r="AQ162" i="106" s="1"/>
  <c r="AQ163" i="106" s="1"/>
  <c r="AQ164" i="106" s="1"/>
  <c r="AQ165" i="106" s="1"/>
  <c r="AQ166" i="106" s="1"/>
  <c r="AQ167" i="106" s="1"/>
  <c r="AQ168" i="106" s="1"/>
  <c r="AQ169" i="106" s="1"/>
  <c r="AQ170" i="106" s="1"/>
  <c r="AQ171" i="106" s="1"/>
  <c r="AQ172" i="106" s="1"/>
  <c r="AQ173" i="106" s="1"/>
  <c r="AQ174" i="106" s="1"/>
  <c r="AQ175" i="106" s="1"/>
  <c r="AQ176" i="106" s="1"/>
  <c r="AQ177" i="106" s="1"/>
  <c r="AQ178" i="106" s="1"/>
  <c r="AQ179" i="106" s="1"/>
  <c r="AQ180" i="106" s="1"/>
  <c r="AQ181" i="106" s="1"/>
  <c r="AQ182" i="106" s="1"/>
  <c r="AQ183" i="106" s="1"/>
  <c r="AQ184" i="106" s="1"/>
  <c r="AQ185" i="106" s="1"/>
  <c r="AQ186" i="106" s="1"/>
  <c r="AQ187" i="106" s="1"/>
  <c r="AQ188" i="106" s="1"/>
  <c r="AQ189" i="106" s="1"/>
  <c r="AQ190" i="106" s="1"/>
  <c r="AQ191" i="106" s="1"/>
  <c r="AQ192" i="106" s="1"/>
  <c r="AQ194" i="106" s="1"/>
  <c r="AQ195" i="106" s="1"/>
  <c r="AQ196" i="106" s="1"/>
  <c r="AQ197" i="106" s="1"/>
  <c r="AQ198" i="106" s="1"/>
  <c r="AQ199" i="106" s="1"/>
  <c r="AQ200" i="106" s="1"/>
  <c r="AQ201" i="106" s="1"/>
  <c r="AQ202" i="106" s="1"/>
  <c r="AQ203" i="106" s="1"/>
  <c r="AQ204" i="106" s="1"/>
  <c r="AQ205" i="106" s="1"/>
  <c r="AQ206" i="106" s="1"/>
  <c r="AQ207" i="106" s="1"/>
  <c r="AQ208" i="106" s="1"/>
  <c r="AQ209" i="106" s="1"/>
  <c r="AQ210" i="106" s="1"/>
  <c r="AQ211" i="106" s="1"/>
  <c r="AQ212" i="106" s="1"/>
  <c r="AQ213" i="106" s="1"/>
  <c r="AQ214" i="106" s="1"/>
  <c r="AQ215" i="106" s="1"/>
  <c r="AQ216" i="106" s="1"/>
  <c r="AQ217" i="106" s="1"/>
  <c r="AQ218" i="106" s="1"/>
  <c r="AQ219" i="106" s="1"/>
  <c r="AQ220" i="106" s="1"/>
  <c r="AQ221" i="106" s="1"/>
  <c r="AQ222" i="106" s="1"/>
  <c r="AQ223" i="106" s="1"/>
  <c r="AQ224" i="106" s="1"/>
  <c r="AQ225" i="106" s="1"/>
  <c r="AQ226" i="106" s="1"/>
  <c r="AQ227" i="106" s="1"/>
  <c r="AQ228" i="106" s="1"/>
  <c r="AQ230" i="106" s="1"/>
  <c r="AQ231" i="106" s="1"/>
  <c r="AQ232" i="106" s="1"/>
  <c r="AQ233" i="106" s="1"/>
  <c r="AQ234" i="106" s="1"/>
  <c r="AQ235" i="106" s="1"/>
  <c r="AQ236" i="106" s="1"/>
  <c r="AQ237" i="106" s="1"/>
  <c r="AQ238" i="106" s="1"/>
  <c r="AQ239" i="106" s="1"/>
  <c r="AQ240" i="106" s="1"/>
  <c r="AQ241" i="106" s="1"/>
  <c r="AQ242" i="106" s="1"/>
  <c r="AQ243" i="106" s="1"/>
  <c r="AQ244" i="106" s="1"/>
  <c r="AQ245" i="106" s="1"/>
  <c r="AQ246" i="106" s="1"/>
  <c r="AQ247" i="106" s="1"/>
  <c r="AQ248" i="106" s="1"/>
  <c r="AQ249" i="106" s="1"/>
  <c r="AQ250" i="106" s="1"/>
  <c r="AQ251" i="106" s="1"/>
  <c r="AQ252" i="106" s="1"/>
  <c r="AQ253" i="106" s="1"/>
  <c r="P68" i="13"/>
  <c r="AQ254" i="106" l="1"/>
  <c r="AQ255" i="106" s="1"/>
  <c r="AQ256" i="106" s="1"/>
  <c r="AQ257" i="106" s="1"/>
  <c r="AQ258" i="106" s="1"/>
  <c r="AQ259" i="106" s="1"/>
  <c r="G59" i="13"/>
  <c r="F58" i="13"/>
  <c r="E58" i="13"/>
  <c r="D58" i="13"/>
  <c r="C58" i="13"/>
  <c r="C59" i="13"/>
  <c r="C60" i="13"/>
  <c r="O68" i="13"/>
  <c r="C87" i="13"/>
  <c r="C86" i="13"/>
  <c r="AQ260" i="106" l="1"/>
  <c r="AQ261" i="106" s="1"/>
  <c r="AQ262" i="106" s="1"/>
  <c r="AQ263" i="106" s="1"/>
  <c r="AQ264" i="106" s="1"/>
  <c r="P40" i="13"/>
  <c r="F4" i="103" l="1"/>
  <c r="G4" i="103"/>
  <c r="H4" i="103"/>
  <c r="I4" i="103"/>
  <c r="J4" i="103"/>
  <c r="K4" i="103"/>
  <c r="L4" i="103"/>
  <c r="F5" i="103"/>
  <c r="G5" i="103"/>
  <c r="H5" i="103"/>
  <c r="I5" i="103"/>
  <c r="J5" i="103"/>
  <c r="K5" i="103"/>
  <c r="L5" i="103"/>
  <c r="G18" i="103"/>
  <c r="G37" i="103"/>
  <c r="G38" i="103"/>
  <c r="G82" i="103"/>
  <c r="G6" i="103"/>
  <c r="G7" i="103"/>
  <c r="G8" i="103"/>
  <c r="G10" i="103"/>
  <c r="G12" i="103"/>
  <c r="G14" i="103"/>
  <c r="G15" i="103"/>
  <c r="G16" i="103"/>
  <c r="G20" i="103"/>
  <c r="G21" i="103"/>
  <c r="G22" i="103"/>
  <c r="G23" i="103"/>
  <c r="G24" i="103"/>
  <c r="G27" i="103"/>
  <c r="G29" i="103"/>
  <c r="G30" i="103"/>
  <c r="G31" i="103"/>
  <c r="G32" i="103"/>
  <c r="G33" i="103"/>
  <c r="G34" i="103"/>
  <c r="G35" i="103"/>
  <c r="G36" i="103"/>
  <c r="G40" i="103"/>
  <c r="G41" i="103"/>
  <c r="G42" i="103"/>
  <c r="G44" i="103"/>
  <c r="G46" i="103"/>
  <c r="G52" i="103"/>
  <c r="G53" i="103"/>
  <c r="G59" i="103"/>
  <c r="G61" i="103"/>
  <c r="G62" i="103"/>
  <c r="G63" i="103"/>
  <c r="G65" i="103"/>
  <c r="G68" i="103"/>
  <c r="G69" i="103"/>
  <c r="G70" i="103"/>
  <c r="G72" i="103"/>
  <c r="G74" i="103"/>
  <c r="G77" i="103"/>
  <c r="G79" i="103"/>
  <c r="G80" i="103"/>
  <c r="G81" i="103"/>
  <c r="G83" i="103"/>
  <c r="G84" i="103"/>
  <c r="G88" i="103"/>
  <c r="G89" i="103"/>
  <c r="G90" i="103"/>
  <c r="G91" i="103"/>
  <c r="G93" i="103"/>
  <c r="G94" i="103"/>
  <c r="G96" i="103"/>
  <c r="G97" i="103"/>
  <c r="G106" i="103"/>
  <c r="G109" i="103"/>
  <c r="G110" i="103"/>
  <c r="G114" i="103"/>
  <c r="G117" i="103"/>
  <c r="G120" i="103"/>
  <c r="G121" i="103"/>
  <c r="G122" i="103"/>
  <c r="G123" i="103"/>
  <c r="G124" i="103"/>
  <c r="G126" i="103"/>
  <c r="G127" i="103"/>
  <c r="G128" i="103"/>
  <c r="G129" i="103"/>
  <c r="G131" i="103"/>
  <c r="G133" i="103"/>
  <c r="G134" i="103"/>
  <c r="G136" i="103"/>
  <c r="G138" i="103"/>
  <c r="G139" i="103"/>
  <c r="G140" i="103"/>
  <c r="G142" i="103"/>
  <c r="G143" i="103"/>
  <c r="G144" i="103"/>
  <c r="G145" i="103"/>
  <c r="G148" i="103"/>
  <c r="G151" i="103"/>
  <c r="G152" i="103"/>
  <c r="G153" i="103"/>
  <c r="G154" i="103"/>
  <c r="G155" i="103"/>
  <c r="G159" i="103"/>
  <c r="G161" i="103"/>
  <c r="G162" i="103"/>
  <c r="G163" i="103"/>
  <c r="G164" i="103"/>
  <c r="G165" i="103"/>
  <c r="G166" i="103"/>
  <c r="G170" i="103"/>
  <c r="G171" i="103"/>
  <c r="G173" i="103"/>
  <c r="G174" i="103"/>
  <c r="G175" i="103"/>
  <c r="G176" i="103"/>
  <c r="G177" i="103"/>
  <c r="G178" i="103"/>
  <c r="G180" i="103"/>
  <c r="G181" i="103"/>
  <c r="G183" i="103"/>
  <c r="G188" i="103"/>
  <c r="G192" i="103"/>
  <c r="G193" i="103"/>
  <c r="G195" i="103"/>
  <c r="G196" i="103"/>
  <c r="G197" i="103"/>
  <c r="G200" i="103"/>
  <c r="G202" i="103"/>
  <c r="G203" i="103"/>
  <c r="G207" i="103"/>
  <c r="G208" i="103"/>
  <c r="G215" i="103"/>
  <c r="G216" i="103"/>
  <c r="G220" i="103"/>
  <c r="G221" i="103"/>
  <c r="G222" i="103"/>
  <c r="G223" i="103"/>
  <c r="G227" i="103"/>
  <c r="G229" i="103"/>
  <c r="G230" i="103"/>
  <c r="G233" i="103"/>
  <c r="G235" i="103"/>
  <c r="G237" i="103"/>
  <c r="G238" i="103"/>
  <c r="G241" i="103"/>
  <c r="G245" i="103"/>
  <c r="G246" i="103"/>
  <c r="G248" i="103"/>
  <c r="G250" i="103"/>
  <c r="G251" i="103"/>
  <c r="G252" i="103"/>
  <c r="G255" i="103"/>
  <c r="G256" i="103"/>
  <c r="G257" i="103"/>
  <c r="G258" i="103"/>
  <c r="G262" i="103"/>
  <c r="G263" i="103"/>
  <c r="G264" i="103"/>
  <c r="G265" i="103"/>
  <c r="G269" i="103"/>
  <c r="G270" i="103"/>
  <c r="G271" i="103"/>
  <c r="G272" i="103"/>
  <c r="G273" i="103"/>
  <c r="G277" i="103"/>
  <c r="G278" i="103"/>
  <c r="G279" i="103"/>
  <c r="G280" i="103"/>
  <c r="G282" i="103"/>
  <c r="G284" i="103"/>
  <c r="G285" i="103"/>
  <c r="G290" i="103"/>
  <c r="G291" i="103"/>
  <c r="G292" i="103"/>
  <c r="G293" i="103"/>
  <c r="G294" i="103"/>
  <c r="G297" i="103"/>
  <c r="G298" i="103"/>
  <c r="G299" i="103"/>
  <c r="G300" i="103"/>
  <c r="G301" i="103"/>
  <c r="G302" i="103"/>
  <c r="G303" i="103"/>
  <c r="G304" i="103"/>
  <c r="G305" i="103"/>
  <c r="G308" i="103"/>
  <c r="G309" i="103"/>
  <c r="G313" i="103"/>
  <c r="G316" i="103"/>
  <c r="G317" i="103"/>
  <c r="G318" i="103"/>
  <c r="G320" i="103"/>
  <c r="G321" i="103"/>
  <c r="G323" i="103"/>
  <c r="G324" i="103"/>
  <c r="G325" i="103"/>
  <c r="G327" i="103"/>
  <c r="G329" i="103"/>
  <c r="G332" i="103"/>
  <c r="G333" i="103"/>
  <c r="G339" i="103"/>
  <c r="G340" i="103"/>
  <c r="G341" i="103"/>
  <c r="G342" i="103"/>
  <c r="G343" i="103"/>
  <c r="G345" i="103"/>
  <c r="G346" i="103"/>
  <c r="G347" i="103"/>
  <c r="G349" i="103"/>
  <c r="G350" i="103"/>
  <c r="G351" i="103"/>
  <c r="G353" i="103"/>
  <c r="G355" i="103"/>
  <c r="G356" i="103"/>
  <c r="G358" i="103"/>
  <c r="G359" i="103"/>
  <c r="G361" i="103"/>
  <c r="G363" i="103"/>
  <c r="G364" i="103"/>
  <c r="G365" i="103"/>
  <c r="G366" i="103"/>
  <c r="G367" i="103"/>
  <c r="G368" i="103"/>
  <c r="G370" i="103"/>
  <c r="G371" i="103"/>
  <c r="G372" i="103"/>
  <c r="G373" i="103"/>
  <c r="G374" i="103"/>
  <c r="G375" i="103"/>
  <c r="G376" i="103"/>
  <c r="G379" i="103"/>
  <c r="G380" i="103"/>
  <c r="G381" i="103"/>
  <c r="G383" i="103"/>
  <c r="G384" i="103"/>
  <c r="G385" i="103"/>
  <c r="G389" i="103"/>
  <c r="G392" i="103"/>
  <c r="G393" i="103"/>
  <c r="G394" i="103"/>
  <c r="G397" i="103"/>
  <c r="G398" i="103"/>
  <c r="G400" i="103"/>
  <c r="G401" i="103"/>
  <c r="G402" i="103"/>
  <c r="G403" i="103"/>
  <c r="G404" i="103"/>
  <c r="G405" i="103"/>
  <c r="G406" i="103"/>
  <c r="G408" i="103"/>
  <c r="G411" i="103"/>
  <c r="G412" i="103"/>
  <c r="G415" i="103"/>
  <c r="G416" i="103"/>
  <c r="G418" i="103"/>
  <c r="G420" i="103"/>
  <c r="G422" i="103"/>
  <c r="G425" i="103"/>
  <c r="G426" i="103"/>
  <c r="G427" i="103"/>
  <c r="G429" i="103"/>
  <c r="G430" i="103"/>
  <c r="G431" i="103"/>
  <c r="G434" i="103"/>
  <c r="G435" i="103"/>
  <c r="G437" i="103"/>
  <c r="G438" i="103"/>
  <c r="G439" i="103"/>
  <c r="AE5" i="103"/>
  <c r="I18" i="103"/>
  <c r="I37" i="103"/>
  <c r="I38" i="103"/>
  <c r="I82" i="103"/>
  <c r="I6" i="103"/>
  <c r="I7" i="103"/>
  <c r="I8" i="103"/>
  <c r="I10" i="103"/>
  <c r="I12" i="103"/>
  <c r="I14" i="103"/>
  <c r="I15" i="103"/>
  <c r="I16" i="103"/>
  <c r="I20" i="103"/>
  <c r="I21" i="103"/>
  <c r="I22" i="103"/>
  <c r="I23" i="103"/>
  <c r="I24" i="103"/>
  <c r="I27" i="103"/>
  <c r="I29" i="103"/>
  <c r="I30" i="103"/>
  <c r="I31" i="103"/>
  <c r="I32" i="103"/>
  <c r="I33" i="103"/>
  <c r="I34" i="103"/>
  <c r="I35" i="103"/>
  <c r="I36" i="103"/>
  <c r="I40" i="103"/>
  <c r="I41" i="103"/>
  <c r="I42" i="103"/>
  <c r="I44" i="103"/>
  <c r="I46" i="103"/>
  <c r="I52" i="103"/>
  <c r="I53" i="103"/>
  <c r="I59" i="103"/>
  <c r="I61" i="103"/>
  <c r="I62" i="103"/>
  <c r="I63" i="103"/>
  <c r="I65" i="103"/>
  <c r="I68" i="103"/>
  <c r="I69" i="103"/>
  <c r="I70" i="103"/>
  <c r="I72" i="103"/>
  <c r="I74" i="103"/>
  <c r="I77" i="103"/>
  <c r="I79" i="103"/>
  <c r="I80" i="103"/>
  <c r="I81" i="103"/>
  <c r="I83" i="103"/>
  <c r="I84" i="103"/>
  <c r="I88" i="103"/>
  <c r="I89" i="103"/>
  <c r="I90" i="103"/>
  <c r="I91" i="103"/>
  <c r="I93" i="103"/>
  <c r="I94" i="103"/>
  <c r="I96" i="103"/>
  <c r="I97" i="103"/>
  <c r="I106" i="103"/>
  <c r="I109" i="103"/>
  <c r="I110" i="103"/>
  <c r="I114" i="103"/>
  <c r="I117" i="103"/>
  <c r="I120" i="103"/>
  <c r="I121" i="103"/>
  <c r="I122" i="103"/>
  <c r="I123" i="103"/>
  <c r="I124" i="103"/>
  <c r="I126" i="103"/>
  <c r="I127" i="103"/>
  <c r="I128" i="103"/>
  <c r="I129" i="103"/>
  <c r="I131" i="103"/>
  <c r="I133" i="103"/>
  <c r="I134" i="103"/>
  <c r="I136" i="103"/>
  <c r="I138" i="103"/>
  <c r="I139" i="103"/>
  <c r="I140" i="103"/>
  <c r="I142" i="103"/>
  <c r="I143" i="103"/>
  <c r="I144" i="103"/>
  <c r="I145" i="103"/>
  <c r="I148" i="103"/>
  <c r="I151" i="103"/>
  <c r="I152" i="103"/>
  <c r="I153" i="103"/>
  <c r="I154" i="103"/>
  <c r="I155" i="103"/>
  <c r="I159" i="103"/>
  <c r="I161" i="103"/>
  <c r="I162" i="103"/>
  <c r="I163" i="103"/>
  <c r="I164" i="103"/>
  <c r="I165" i="103"/>
  <c r="I166" i="103"/>
  <c r="I170" i="103"/>
  <c r="I171" i="103"/>
  <c r="I173" i="103"/>
  <c r="I174" i="103"/>
  <c r="I175" i="103"/>
  <c r="I176" i="103"/>
  <c r="I177" i="103"/>
  <c r="I178" i="103"/>
  <c r="I180" i="103"/>
  <c r="I181" i="103"/>
  <c r="I183" i="103"/>
  <c r="I188" i="103"/>
  <c r="I192" i="103"/>
  <c r="I193" i="103"/>
  <c r="I195" i="103"/>
  <c r="I196" i="103"/>
  <c r="I197" i="103"/>
  <c r="I200" i="103"/>
  <c r="I202" i="103"/>
  <c r="I203" i="103"/>
  <c r="I207" i="103"/>
  <c r="I208" i="103"/>
  <c r="I215" i="103"/>
  <c r="I216" i="103"/>
  <c r="I220" i="103"/>
  <c r="I221" i="103"/>
  <c r="I222" i="103"/>
  <c r="I223" i="103"/>
  <c r="I227" i="103"/>
  <c r="I229" i="103"/>
  <c r="I230" i="103"/>
  <c r="I233" i="103"/>
  <c r="I235" i="103"/>
  <c r="I237" i="103"/>
  <c r="I238" i="103"/>
  <c r="I241" i="103"/>
  <c r="I245" i="103"/>
  <c r="I246" i="103"/>
  <c r="I248" i="103"/>
  <c r="I250" i="103"/>
  <c r="I251" i="103"/>
  <c r="I252" i="103"/>
  <c r="I255" i="103"/>
  <c r="I256" i="103"/>
  <c r="I257" i="103"/>
  <c r="I258" i="103"/>
  <c r="I262" i="103"/>
  <c r="I263" i="103"/>
  <c r="I264" i="103"/>
  <c r="I265" i="103"/>
  <c r="I269" i="103"/>
  <c r="I270" i="103"/>
  <c r="I271" i="103"/>
  <c r="I272" i="103"/>
  <c r="I273" i="103"/>
  <c r="I277" i="103"/>
  <c r="I278" i="103"/>
  <c r="I279" i="103"/>
  <c r="I280" i="103"/>
  <c r="I282" i="103"/>
  <c r="I284" i="103"/>
  <c r="I285" i="103"/>
  <c r="I290" i="103"/>
  <c r="I291" i="103"/>
  <c r="I292" i="103"/>
  <c r="I293" i="103"/>
  <c r="I294" i="103"/>
  <c r="I297" i="103"/>
  <c r="I298" i="103"/>
  <c r="I299" i="103"/>
  <c r="I300" i="103"/>
  <c r="I301" i="103"/>
  <c r="I302" i="103"/>
  <c r="I303" i="103"/>
  <c r="I304" i="103"/>
  <c r="I305" i="103"/>
  <c r="I308" i="103"/>
  <c r="I309" i="103"/>
  <c r="I313" i="103"/>
  <c r="I316" i="103"/>
  <c r="I317" i="103"/>
  <c r="I318" i="103"/>
  <c r="I320" i="103"/>
  <c r="I321" i="103"/>
  <c r="I323" i="103"/>
  <c r="I324" i="103"/>
  <c r="I325" i="103"/>
  <c r="I327" i="103"/>
  <c r="I329" i="103"/>
  <c r="I332" i="103"/>
  <c r="I333" i="103"/>
  <c r="I339" i="103"/>
  <c r="I340" i="103"/>
  <c r="I341" i="103"/>
  <c r="I342" i="103"/>
  <c r="I343" i="103"/>
  <c r="I345" i="103"/>
  <c r="I346" i="103"/>
  <c r="I347" i="103"/>
  <c r="I349" i="103"/>
  <c r="I350" i="103"/>
  <c r="I351" i="103"/>
  <c r="I353" i="103"/>
  <c r="I355" i="103"/>
  <c r="I356" i="103"/>
  <c r="I358" i="103"/>
  <c r="I359" i="103"/>
  <c r="I361" i="103"/>
  <c r="I363" i="103"/>
  <c r="I364" i="103"/>
  <c r="I365" i="103"/>
  <c r="I366" i="103"/>
  <c r="I367" i="103"/>
  <c r="I368" i="103"/>
  <c r="I370" i="103"/>
  <c r="I371" i="103"/>
  <c r="I372" i="103"/>
  <c r="I373" i="103"/>
  <c r="I374" i="103"/>
  <c r="I375" i="103"/>
  <c r="I376" i="103"/>
  <c r="I379" i="103"/>
  <c r="I380" i="103"/>
  <c r="I381" i="103"/>
  <c r="I383" i="103"/>
  <c r="I384" i="103"/>
  <c r="I385" i="103"/>
  <c r="I389" i="103"/>
  <c r="I392" i="103"/>
  <c r="I393" i="103"/>
  <c r="I394" i="103"/>
  <c r="I397" i="103"/>
  <c r="I398" i="103"/>
  <c r="I400" i="103"/>
  <c r="I401" i="103"/>
  <c r="I402" i="103"/>
  <c r="I403" i="103"/>
  <c r="I404" i="103"/>
  <c r="I405" i="103"/>
  <c r="I406" i="103"/>
  <c r="I408" i="103"/>
  <c r="I411" i="103"/>
  <c r="I412" i="103"/>
  <c r="I415" i="103"/>
  <c r="I416" i="103"/>
  <c r="I418" i="103"/>
  <c r="I420" i="103"/>
  <c r="I422" i="103"/>
  <c r="I425" i="103"/>
  <c r="I426" i="103"/>
  <c r="I427" i="103"/>
  <c r="I429" i="103"/>
  <c r="I430" i="103"/>
  <c r="I431" i="103"/>
  <c r="I434" i="103"/>
  <c r="I435" i="103"/>
  <c r="I437" i="103"/>
  <c r="I438" i="103"/>
  <c r="I439" i="103"/>
  <c r="AI5" i="103"/>
  <c r="AG5" i="103"/>
  <c r="AC5" i="103"/>
  <c r="H18" i="103"/>
  <c r="H37" i="103"/>
  <c r="H38" i="103"/>
  <c r="H82" i="103"/>
  <c r="H6" i="103"/>
  <c r="H7" i="103"/>
  <c r="H8" i="103"/>
  <c r="H10" i="103"/>
  <c r="H12" i="103"/>
  <c r="H14" i="103"/>
  <c r="H15" i="103"/>
  <c r="H16" i="103"/>
  <c r="H20" i="103"/>
  <c r="H21" i="103"/>
  <c r="H22" i="103"/>
  <c r="H23" i="103"/>
  <c r="H24" i="103"/>
  <c r="H27" i="103"/>
  <c r="H29" i="103"/>
  <c r="H30" i="103"/>
  <c r="H31" i="103"/>
  <c r="H32" i="103"/>
  <c r="H33" i="103"/>
  <c r="H34" i="103"/>
  <c r="H35" i="103"/>
  <c r="H36" i="103"/>
  <c r="H40" i="103"/>
  <c r="H41" i="103"/>
  <c r="H42" i="103"/>
  <c r="H44" i="103"/>
  <c r="H46" i="103"/>
  <c r="H52" i="103"/>
  <c r="H53" i="103"/>
  <c r="H59" i="103"/>
  <c r="H61" i="103"/>
  <c r="H62" i="103"/>
  <c r="H63" i="103"/>
  <c r="H65" i="103"/>
  <c r="H68" i="103"/>
  <c r="H69" i="103"/>
  <c r="H70" i="103"/>
  <c r="H72" i="103"/>
  <c r="H74" i="103"/>
  <c r="H77" i="103"/>
  <c r="H79" i="103"/>
  <c r="H80" i="103"/>
  <c r="H81" i="103"/>
  <c r="H83" i="103"/>
  <c r="H84" i="103"/>
  <c r="H88" i="103"/>
  <c r="H89" i="103"/>
  <c r="H90" i="103"/>
  <c r="H91" i="103"/>
  <c r="H93" i="103"/>
  <c r="H94" i="103"/>
  <c r="H96" i="103"/>
  <c r="H97" i="103"/>
  <c r="H106" i="103"/>
  <c r="H109" i="103"/>
  <c r="H110" i="103"/>
  <c r="H114" i="103"/>
  <c r="H117" i="103"/>
  <c r="H120" i="103"/>
  <c r="H121" i="103"/>
  <c r="H122" i="103"/>
  <c r="H123" i="103"/>
  <c r="H124" i="103"/>
  <c r="H126" i="103"/>
  <c r="H127" i="103"/>
  <c r="H128" i="103"/>
  <c r="H129" i="103"/>
  <c r="H131" i="103"/>
  <c r="H133" i="103"/>
  <c r="H134" i="103"/>
  <c r="H136" i="103"/>
  <c r="H138" i="103"/>
  <c r="H139" i="103"/>
  <c r="H140" i="103"/>
  <c r="H142" i="103"/>
  <c r="H143" i="103"/>
  <c r="H144" i="103"/>
  <c r="H145" i="103"/>
  <c r="H148" i="103"/>
  <c r="H151" i="103"/>
  <c r="H152" i="103"/>
  <c r="H153" i="103"/>
  <c r="H154" i="103"/>
  <c r="H155" i="103"/>
  <c r="H159" i="103"/>
  <c r="H161" i="103"/>
  <c r="H162" i="103"/>
  <c r="H163" i="103"/>
  <c r="H164" i="103"/>
  <c r="H165" i="103"/>
  <c r="H166" i="103"/>
  <c r="H170" i="103"/>
  <c r="H171" i="103"/>
  <c r="H173" i="103"/>
  <c r="H174" i="103"/>
  <c r="H175" i="103"/>
  <c r="H176" i="103"/>
  <c r="H177" i="103"/>
  <c r="H178" i="103"/>
  <c r="H180" i="103"/>
  <c r="H181" i="103"/>
  <c r="H183" i="103"/>
  <c r="H188" i="103"/>
  <c r="H192" i="103"/>
  <c r="H193" i="103"/>
  <c r="H195" i="103"/>
  <c r="H196" i="103"/>
  <c r="H197" i="103"/>
  <c r="H200" i="103"/>
  <c r="H202" i="103"/>
  <c r="H203" i="103"/>
  <c r="H207" i="103"/>
  <c r="H208" i="103"/>
  <c r="H215" i="103"/>
  <c r="H216" i="103"/>
  <c r="H220" i="103"/>
  <c r="H221" i="103"/>
  <c r="H222" i="103"/>
  <c r="H223" i="103"/>
  <c r="H227" i="103"/>
  <c r="H229" i="103"/>
  <c r="H230" i="103"/>
  <c r="H233" i="103"/>
  <c r="H235" i="103"/>
  <c r="H237" i="103"/>
  <c r="H238" i="103"/>
  <c r="H241" i="103"/>
  <c r="H245" i="103"/>
  <c r="H246" i="103"/>
  <c r="H248" i="103"/>
  <c r="H250" i="103"/>
  <c r="H251" i="103"/>
  <c r="H252" i="103"/>
  <c r="H255" i="103"/>
  <c r="H256" i="103"/>
  <c r="H257" i="103"/>
  <c r="H258" i="103"/>
  <c r="H262" i="103"/>
  <c r="H263" i="103"/>
  <c r="H264" i="103"/>
  <c r="H265" i="103"/>
  <c r="H269" i="103"/>
  <c r="H270" i="103"/>
  <c r="H271" i="103"/>
  <c r="H272" i="103"/>
  <c r="H273" i="103"/>
  <c r="H277" i="103"/>
  <c r="H278" i="103"/>
  <c r="H279" i="103"/>
  <c r="H280" i="103"/>
  <c r="H282" i="103"/>
  <c r="H284" i="103"/>
  <c r="H285" i="103"/>
  <c r="H290" i="103"/>
  <c r="H291" i="103"/>
  <c r="H292" i="103"/>
  <c r="H293" i="103"/>
  <c r="H294" i="103"/>
  <c r="H297" i="103"/>
  <c r="H298" i="103"/>
  <c r="H299" i="103"/>
  <c r="H300" i="103"/>
  <c r="H301" i="103"/>
  <c r="H302" i="103"/>
  <c r="H303" i="103"/>
  <c r="H304" i="103"/>
  <c r="H305" i="103"/>
  <c r="H308" i="103"/>
  <c r="H309" i="103"/>
  <c r="H313" i="103"/>
  <c r="H316" i="103"/>
  <c r="H317" i="103"/>
  <c r="H318" i="103"/>
  <c r="H320" i="103"/>
  <c r="H321" i="103"/>
  <c r="H323" i="103"/>
  <c r="H324" i="103"/>
  <c r="H325" i="103"/>
  <c r="H327" i="103"/>
  <c r="H329" i="103"/>
  <c r="H332" i="103"/>
  <c r="H333" i="103"/>
  <c r="H339" i="103"/>
  <c r="H340" i="103"/>
  <c r="H341" i="103"/>
  <c r="H342" i="103"/>
  <c r="H343" i="103"/>
  <c r="H345" i="103"/>
  <c r="H346" i="103"/>
  <c r="H347" i="103"/>
  <c r="H349" i="103"/>
  <c r="H350" i="103"/>
  <c r="H351" i="103"/>
  <c r="H353" i="103"/>
  <c r="H355" i="103"/>
  <c r="H356" i="103"/>
  <c r="H358" i="103"/>
  <c r="H359" i="103"/>
  <c r="H361" i="103"/>
  <c r="H363" i="103"/>
  <c r="H364" i="103"/>
  <c r="H365" i="103"/>
  <c r="H366" i="103"/>
  <c r="H367" i="103"/>
  <c r="H368" i="103"/>
  <c r="H370" i="103"/>
  <c r="H371" i="103"/>
  <c r="H372" i="103"/>
  <c r="H373" i="103"/>
  <c r="H374" i="103"/>
  <c r="H375" i="103"/>
  <c r="H376" i="103"/>
  <c r="H379" i="103"/>
  <c r="H380" i="103"/>
  <c r="H381" i="103"/>
  <c r="H383" i="103"/>
  <c r="H384" i="103"/>
  <c r="H385" i="103"/>
  <c r="H389" i="103"/>
  <c r="H392" i="103"/>
  <c r="H393" i="103"/>
  <c r="H394" i="103"/>
  <c r="H397" i="103"/>
  <c r="H398" i="103"/>
  <c r="H400" i="103"/>
  <c r="H401" i="103"/>
  <c r="H402" i="103"/>
  <c r="H403" i="103"/>
  <c r="H404" i="103"/>
  <c r="H405" i="103"/>
  <c r="H406" i="103"/>
  <c r="H408" i="103"/>
  <c r="H411" i="103"/>
  <c r="H412" i="103"/>
  <c r="H415" i="103"/>
  <c r="H416" i="103"/>
  <c r="H418" i="103"/>
  <c r="H420" i="103"/>
  <c r="H422" i="103"/>
  <c r="H425" i="103"/>
  <c r="H426" i="103"/>
  <c r="H427" i="103"/>
  <c r="H429" i="103"/>
  <c r="H430" i="103"/>
  <c r="H431" i="103"/>
  <c r="H434" i="103"/>
  <c r="H435" i="103"/>
  <c r="H437" i="103"/>
  <c r="H438" i="103"/>
  <c r="H439" i="103"/>
  <c r="AF5" i="103"/>
  <c r="J18" i="103"/>
  <c r="J37" i="103"/>
  <c r="J38" i="103"/>
  <c r="J82" i="103"/>
  <c r="J6" i="103"/>
  <c r="J7" i="103"/>
  <c r="J8" i="103"/>
  <c r="J10" i="103"/>
  <c r="J12" i="103"/>
  <c r="J14" i="103"/>
  <c r="J15" i="103"/>
  <c r="J16" i="103"/>
  <c r="J20" i="103"/>
  <c r="J21" i="103"/>
  <c r="J22" i="103"/>
  <c r="J23" i="103"/>
  <c r="J24" i="103"/>
  <c r="J27" i="103"/>
  <c r="J29" i="103"/>
  <c r="J30" i="103"/>
  <c r="J31" i="103"/>
  <c r="J32" i="103"/>
  <c r="J33" i="103"/>
  <c r="J34" i="103"/>
  <c r="J35" i="103"/>
  <c r="J36" i="103"/>
  <c r="J40" i="103"/>
  <c r="J41" i="103"/>
  <c r="J42" i="103"/>
  <c r="J44" i="103"/>
  <c r="J46" i="103"/>
  <c r="J52" i="103"/>
  <c r="J53" i="103"/>
  <c r="J59" i="103"/>
  <c r="J61" i="103"/>
  <c r="J62" i="103"/>
  <c r="J63" i="103"/>
  <c r="J65" i="103"/>
  <c r="J68" i="103"/>
  <c r="J69" i="103"/>
  <c r="J70" i="103"/>
  <c r="J72" i="103"/>
  <c r="J74" i="103"/>
  <c r="J77" i="103"/>
  <c r="J79" i="103"/>
  <c r="J80" i="103"/>
  <c r="J81" i="103"/>
  <c r="J83" i="103"/>
  <c r="J84" i="103"/>
  <c r="J88" i="103"/>
  <c r="J89" i="103"/>
  <c r="J90" i="103"/>
  <c r="J91" i="103"/>
  <c r="J93" i="103"/>
  <c r="J94" i="103"/>
  <c r="J96" i="103"/>
  <c r="J97" i="103"/>
  <c r="J106" i="103"/>
  <c r="J109" i="103"/>
  <c r="J110" i="103"/>
  <c r="J114" i="103"/>
  <c r="J117" i="103"/>
  <c r="J120" i="103"/>
  <c r="J121" i="103"/>
  <c r="J122" i="103"/>
  <c r="J123" i="103"/>
  <c r="J124" i="103"/>
  <c r="J126" i="103"/>
  <c r="J127" i="103"/>
  <c r="J128" i="103"/>
  <c r="J129" i="103"/>
  <c r="J131" i="103"/>
  <c r="J133" i="103"/>
  <c r="J134" i="103"/>
  <c r="J136" i="103"/>
  <c r="J138" i="103"/>
  <c r="J139" i="103"/>
  <c r="J140" i="103"/>
  <c r="J142" i="103"/>
  <c r="J143" i="103"/>
  <c r="J144" i="103"/>
  <c r="J145" i="103"/>
  <c r="J148" i="103"/>
  <c r="J151" i="103"/>
  <c r="J152" i="103"/>
  <c r="J153" i="103"/>
  <c r="J154" i="103"/>
  <c r="J155" i="103"/>
  <c r="J159" i="103"/>
  <c r="J161" i="103"/>
  <c r="J162" i="103"/>
  <c r="J163" i="103"/>
  <c r="J164" i="103"/>
  <c r="J165" i="103"/>
  <c r="J166" i="103"/>
  <c r="J170" i="103"/>
  <c r="J171" i="103"/>
  <c r="J173" i="103"/>
  <c r="J174" i="103"/>
  <c r="J175" i="103"/>
  <c r="J176" i="103"/>
  <c r="J177" i="103"/>
  <c r="J178" i="103"/>
  <c r="J180" i="103"/>
  <c r="J181" i="103"/>
  <c r="J183" i="103"/>
  <c r="J188" i="103"/>
  <c r="J192" i="103"/>
  <c r="J193" i="103"/>
  <c r="J195" i="103"/>
  <c r="J196" i="103"/>
  <c r="J197" i="103"/>
  <c r="J200" i="103"/>
  <c r="J202" i="103"/>
  <c r="J203" i="103"/>
  <c r="J207" i="103"/>
  <c r="J208" i="103"/>
  <c r="J215" i="103"/>
  <c r="J216" i="103"/>
  <c r="J220" i="103"/>
  <c r="J221" i="103"/>
  <c r="J222" i="103"/>
  <c r="J223" i="103"/>
  <c r="J227" i="103"/>
  <c r="J229" i="103"/>
  <c r="J230" i="103"/>
  <c r="J233" i="103"/>
  <c r="J235" i="103"/>
  <c r="J237" i="103"/>
  <c r="J238" i="103"/>
  <c r="J241" i="103"/>
  <c r="J245" i="103"/>
  <c r="J246" i="103"/>
  <c r="J248" i="103"/>
  <c r="J250" i="103"/>
  <c r="J251" i="103"/>
  <c r="J252" i="103"/>
  <c r="J255" i="103"/>
  <c r="J256" i="103"/>
  <c r="J257" i="103"/>
  <c r="J258" i="103"/>
  <c r="J262" i="103"/>
  <c r="J263" i="103"/>
  <c r="J264" i="103"/>
  <c r="J265" i="103"/>
  <c r="J269" i="103"/>
  <c r="J270" i="103"/>
  <c r="J271" i="103"/>
  <c r="J272" i="103"/>
  <c r="J273" i="103"/>
  <c r="J277" i="103"/>
  <c r="J278" i="103"/>
  <c r="J279" i="103"/>
  <c r="J280" i="103"/>
  <c r="J282" i="103"/>
  <c r="J284" i="103"/>
  <c r="J285" i="103"/>
  <c r="J290" i="103"/>
  <c r="J291" i="103"/>
  <c r="J292" i="103"/>
  <c r="J293" i="103"/>
  <c r="J294" i="103"/>
  <c r="J297" i="103"/>
  <c r="J298" i="103"/>
  <c r="J299" i="103"/>
  <c r="J300" i="103"/>
  <c r="J301" i="103"/>
  <c r="J302" i="103"/>
  <c r="J303" i="103"/>
  <c r="J304" i="103"/>
  <c r="J305" i="103"/>
  <c r="J308" i="103"/>
  <c r="J309" i="103"/>
  <c r="J313" i="103"/>
  <c r="J316" i="103"/>
  <c r="J317" i="103"/>
  <c r="J318" i="103"/>
  <c r="J320" i="103"/>
  <c r="J321" i="103"/>
  <c r="J323" i="103"/>
  <c r="J324" i="103"/>
  <c r="J325" i="103"/>
  <c r="J327" i="103"/>
  <c r="J329" i="103"/>
  <c r="J332" i="103"/>
  <c r="J333" i="103"/>
  <c r="J339" i="103"/>
  <c r="J340" i="103"/>
  <c r="J341" i="103"/>
  <c r="J342" i="103"/>
  <c r="J343" i="103"/>
  <c r="J345" i="103"/>
  <c r="J346" i="103"/>
  <c r="J347" i="103"/>
  <c r="J349" i="103"/>
  <c r="J350" i="103"/>
  <c r="J351" i="103"/>
  <c r="J353" i="103"/>
  <c r="J355" i="103"/>
  <c r="J356" i="103"/>
  <c r="J358" i="103"/>
  <c r="J359" i="103"/>
  <c r="J361" i="103"/>
  <c r="J363" i="103"/>
  <c r="J364" i="103"/>
  <c r="J365" i="103"/>
  <c r="J366" i="103"/>
  <c r="J367" i="103"/>
  <c r="J368" i="103"/>
  <c r="J370" i="103"/>
  <c r="J371" i="103"/>
  <c r="J372" i="103"/>
  <c r="J373" i="103"/>
  <c r="J374" i="103"/>
  <c r="J375" i="103"/>
  <c r="J376" i="103"/>
  <c r="J379" i="103"/>
  <c r="J380" i="103"/>
  <c r="J381" i="103"/>
  <c r="J383" i="103"/>
  <c r="J384" i="103"/>
  <c r="J385" i="103"/>
  <c r="J389" i="103"/>
  <c r="J392" i="103"/>
  <c r="J393" i="103"/>
  <c r="J394" i="103"/>
  <c r="J397" i="103"/>
  <c r="J398" i="103"/>
  <c r="J400" i="103"/>
  <c r="J401" i="103"/>
  <c r="J402" i="103"/>
  <c r="J403" i="103"/>
  <c r="J404" i="103"/>
  <c r="J405" i="103"/>
  <c r="J406" i="103"/>
  <c r="J408" i="103"/>
  <c r="J411" i="103"/>
  <c r="J412" i="103"/>
  <c r="J415" i="103"/>
  <c r="J416" i="103"/>
  <c r="J418" i="103"/>
  <c r="J420" i="103"/>
  <c r="J422" i="103"/>
  <c r="J425" i="103"/>
  <c r="J426" i="103"/>
  <c r="J427" i="103"/>
  <c r="J429" i="103"/>
  <c r="J430" i="103"/>
  <c r="J431" i="103"/>
  <c r="J434" i="103"/>
  <c r="J435" i="103"/>
  <c r="J437" i="103"/>
  <c r="J438" i="103"/>
  <c r="J439" i="103"/>
  <c r="AJ5" i="103"/>
  <c r="AH5" i="103"/>
  <c r="AD5" i="103"/>
  <c r="AW5" i="103"/>
  <c r="AX5" i="103"/>
  <c r="AY5" i="103"/>
  <c r="AZ5" i="103"/>
  <c r="BA5" i="103"/>
  <c r="BB5" i="103"/>
  <c r="BC5" i="103"/>
  <c r="BD5" i="103"/>
  <c r="BI5" i="103"/>
  <c r="BM5" i="103"/>
  <c r="F6" i="103"/>
  <c r="K6" i="103"/>
  <c r="L6" i="103"/>
  <c r="AE6" i="103"/>
  <c r="AI6" i="103"/>
  <c r="AG6" i="103"/>
  <c r="AC6" i="103"/>
  <c r="AF6" i="103"/>
  <c r="AJ6" i="103"/>
  <c r="AH6" i="103"/>
  <c r="AD6" i="103"/>
  <c r="AW6" i="103"/>
  <c r="AX6" i="103"/>
  <c r="AY6" i="103"/>
  <c r="AZ6" i="103"/>
  <c r="BA6" i="103"/>
  <c r="BB6" i="103"/>
  <c r="BC6" i="103"/>
  <c r="BD6" i="103"/>
  <c r="BI6" i="103"/>
  <c r="BM6" i="103"/>
  <c r="F7" i="103"/>
  <c r="K7" i="103"/>
  <c r="L7" i="103"/>
  <c r="AE7" i="103"/>
  <c r="AI7" i="103"/>
  <c r="AG7" i="103"/>
  <c r="AC7" i="103"/>
  <c r="AF7" i="103"/>
  <c r="AJ7" i="103"/>
  <c r="AH7" i="103"/>
  <c r="AD7" i="103"/>
  <c r="AW7" i="103"/>
  <c r="AX7" i="103"/>
  <c r="AY7" i="103"/>
  <c r="AZ7" i="103"/>
  <c r="BA7" i="103"/>
  <c r="BB7" i="103"/>
  <c r="BC7" i="103"/>
  <c r="BD7" i="103"/>
  <c r="BI7" i="103"/>
  <c r="BM7" i="103"/>
  <c r="BV7" i="103"/>
  <c r="BW7" i="103"/>
  <c r="BX7" i="103"/>
  <c r="BY7" i="103"/>
  <c r="CB7" i="103"/>
  <c r="F8" i="103"/>
  <c r="K8" i="103"/>
  <c r="L8" i="103"/>
  <c r="AE8" i="103"/>
  <c r="AI8" i="103"/>
  <c r="AG8" i="103"/>
  <c r="AC8" i="103"/>
  <c r="AF8" i="103"/>
  <c r="AJ8" i="103"/>
  <c r="AH8" i="103"/>
  <c r="AD8" i="103"/>
  <c r="AW8" i="103"/>
  <c r="AX8" i="103"/>
  <c r="AY8" i="103"/>
  <c r="AZ8" i="103"/>
  <c r="BA8" i="103"/>
  <c r="BB8" i="103"/>
  <c r="BC8" i="103"/>
  <c r="BD8" i="103"/>
  <c r="BV19" i="103"/>
  <c r="BW19" i="103"/>
  <c r="BX19" i="103"/>
  <c r="BY19" i="103"/>
  <c r="CB19" i="103"/>
  <c r="BI8" i="103"/>
  <c r="BV8" i="103"/>
  <c r="BW8" i="103"/>
  <c r="BX8" i="103"/>
  <c r="BY8" i="103"/>
  <c r="CB8" i="103"/>
  <c r="CC8" i="103"/>
  <c r="CD8" i="103"/>
  <c r="BV9" i="103"/>
  <c r="BW9" i="103"/>
  <c r="BX9" i="103"/>
  <c r="BY9" i="103"/>
  <c r="CB9" i="103"/>
  <c r="F10" i="103"/>
  <c r="K10" i="103"/>
  <c r="L10" i="103"/>
  <c r="BV10" i="103"/>
  <c r="BW10" i="103"/>
  <c r="BX10" i="103"/>
  <c r="BY10" i="103"/>
  <c r="CB10" i="103"/>
  <c r="CC10" i="103"/>
  <c r="CD10" i="103"/>
  <c r="AC11" i="103"/>
  <c r="AD11" i="103"/>
  <c r="AE11" i="103"/>
  <c r="AF11" i="103"/>
  <c r="BV11" i="103"/>
  <c r="BW11" i="103"/>
  <c r="BX11" i="103"/>
  <c r="BY11" i="103"/>
  <c r="CB11" i="103"/>
  <c r="F12" i="103"/>
  <c r="K12" i="103"/>
  <c r="L12" i="103"/>
  <c r="AC12" i="103"/>
  <c r="AD12" i="103"/>
  <c r="AE12" i="103"/>
  <c r="AF12" i="103"/>
  <c r="AW12" i="103"/>
  <c r="AX12" i="103"/>
  <c r="AY12" i="103"/>
  <c r="AZ12" i="103"/>
  <c r="BA12" i="103"/>
  <c r="BB12" i="103"/>
  <c r="BC12" i="103"/>
  <c r="BD12" i="103"/>
  <c r="BV12" i="103"/>
  <c r="BW12" i="103"/>
  <c r="BX12" i="103"/>
  <c r="BY12" i="103"/>
  <c r="CB12" i="103"/>
  <c r="CC12" i="103"/>
  <c r="CD12" i="103"/>
  <c r="AC13" i="103"/>
  <c r="AD13" i="103"/>
  <c r="AE13" i="103"/>
  <c r="AF13" i="103"/>
  <c r="AW13" i="103"/>
  <c r="AX13" i="103"/>
  <c r="AY13" i="103"/>
  <c r="AZ13" i="103"/>
  <c r="BA13" i="103"/>
  <c r="BB13" i="103"/>
  <c r="BC13" i="103"/>
  <c r="BD13" i="103"/>
  <c r="BV13" i="103"/>
  <c r="BW13" i="103"/>
  <c r="BX13" i="103"/>
  <c r="BY13" i="103"/>
  <c r="CB13" i="103"/>
  <c r="F14" i="103"/>
  <c r="K14" i="103"/>
  <c r="L14" i="103"/>
  <c r="AC14" i="103"/>
  <c r="AD14" i="103"/>
  <c r="AE14" i="103"/>
  <c r="AF14" i="103"/>
  <c r="AW14" i="103"/>
  <c r="AX14" i="103"/>
  <c r="AY14" i="103"/>
  <c r="AZ14" i="103"/>
  <c r="BA14" i="103"/>
  <c r="BB14" i="103"/>
  <c r="BC14" i="103"/>
  <c r="BD14" i="103"/>
  <c r="BV14" i="103"/>
  <c r="BW14" i="103"/>
  <c r="BX14" i="103"/>
  <c r="BY14" i="103"/>
  <c r="CB14" i="103"/>
  <c r="CC14" i="103"/>
  <c r="CD14" i="103"/>
  <c r="F15" i="103"/>
  <c r="K15" i="103"/>
  <c r="L15" i="103"/>
  <c r="AW15" i="103"/>
  <c r="AX15" i="103"/>
  <c r="AY15" i="103"/>
  <c r="AZ15" i="103"/>
  <c r="BA15" i="103"/>
  <c r="BB15" i="103"/>
  <c r="BC15" i="103"/>
  <c r="BD15" i="103"/>
  <c r="BV15" i="103"/>
  <c r="BW15" i="103"/>
  <c r="BX15" i="103"/>
  <c r="BY15" i="103"/>
  <c r="CB15" i="103"/>
  <c r="F16" i="103"/>
  <c r="K16" i="103"/>
  <c r="L16" i="103"/>
  <c r="BV16" i="103"/>
  <c r="BW16" i="103"/>
  <c r="BX16" i="103"/>
  <c r="BY16" i="103"/>
  <c r="CB16" i="103"/>
  <c r="CC16" i="103"/>
  <c r="CD16" i="103"/>
  <c r="BV17" i="103"/>
  <c r="BW17" i="103"/>
  <c r="BX17" i="103"/>
  <c r="BY17" i="103"/>
  <c r="CB17" i="103"/>
  <c r="F18" i="103"/>
  <c r="K18" i="103"/>
  <c r="L18" i="103"/>
  <c r="AC18" i="103"/>
  <c r="AD18" i="103"/>
  <c r="AE18" i="103"/>
  <c r="AF18" i="103"/>
  <c r="AW18" i="103"/>
  <c r="AX18" i="103"/>
  <c r="AY18" i="103"/>
  <c r="AZ18" i="103"/>
  <c r="BV18" i="103"/>
  <c r="BW18" i="103"/>
  <c r="BX18" i="103"/>
  <c r="BY18" i="103"/>
  <c r="CB18" i="103"/>
  <c r="CC18" i="103"/>
  <c r="CD18" i="103"/>
  <c r="AC19" i="103"/>
  <c r="AD19" i="103"/>
  <c r="AE19" i="103"/>
  <c r="AF19" i="103"/>
  <c r="AW19" i="103"/>
  <c r="AX19" i="103"/>
  <c r="AY19" i="103"/>
  <c r="AZ19" i="103"/>
  <c r="F20" i="103"/>
  <c r="K20" i="103"/>
  <c r="L20" i="103"/>
  <c r="AC20" i="103"/>
  <c r="AD20" i="103"/>
  <c r="AE20" i="103"/>
  <c r="AF20" i="103"/>
  <c r="AW20" i="103"/>
  <c r="AX20" i="103"/>
  <c r="AY20" i="103"/>
  <c r="AZ20" i="103"/>
  <c r="BV20" i="103"/>
  <c r="BW20" i="103"/>
  <c r="BX20" i="103"/>
  <c r="BY20" i="103"/>
  <c r="CB20" i="103"/>
  <c r="CC20" i="103"/>
  <c r="CD20" i="103"/>
  <c r="F21" i="103"/>
  <c r="K21" i="103"/>
  <c r="L21" i="103"/>
  <c r="AC21" i="103"/>
  <c r="AD21" i="103"/>
  <c r="AE21" i="103"/>
  <c r="AF21" i="103"/>
  <c r="AW21" i="103"/>
  <c r="AX21" i="103"/>
  <c r="AY21" i="103"/>
  <c r="AZ21" i="103"/>
  <c r="BV21" i="103"/>
  <c r="BW21" i="103"/>
  <c r="BX21" i="103"/>
  <c r="BY21" i="103"/>
  <c r="CB21" i="103"/>
  <c r="F22" i="103"/>
  <c r="K22" i="103"/>
  <c r="L22" i="103"/>
  <c r="BV22" i="103"/>
  <c r="BW22" i="103"/>
  <c r="BX22" i="103"/>
  <c r="BY22" i="103"/>
  <c r="CB22" i="103"/>
  <c r="CC22" i="103"/>
  <c r="CD22" i="103"/>
  <c r="F23" i="103"/>
  <c r="K23" i="103"/>
  <c r="L23" i="103"/>
  <c r="F24" i="103"/>
  <c r="K24" i="103"/>
  <c r="L24" i="103"/>
  <c r="AW25" i="103"/>
  <c r="AX25" i="103"/>
  <c r="AY25" i="103"/>
  <c r="AZ25" i="103"/>
  <c r="BR25" i="103"/>
  <c r="BS25" i="103"/>
  <c r="BT25" i="103"/>
  <c r="BU25" i="103"/>
  <c r="BV25" i="103"/>
  <c r="AW26" i="103"/>
  <c r="AX26" i="103"/>
  <c r="AY26" i="103"/>
  <c r="AZ26" i="103"/>
  <c r="F27" i="103"/>
  <c r="K27" i="103"/>
  <c r="L27" i="103"/>
  <c r="AW27" i="103"/>
  <c r="AX27" i="103"/>
  <c r="AY27" i="103"/>
  <c r="AZ27" i="103"/>
  <c r="AD28" i="103"/>
  <c r="AE28" i="103"/>
  <c r="AH28" i="103"/>
  <c r="AI28" i="103"/>
  <c r="AW28" i="103"/>
  <c r="AX28" i="103"/>
  <c r="AY28" i="103"/>
  <c r="AZ28" i="103"/>
  <c r="F29" i="103"/>
  <c r="K29" i="103"/>
  <c r="L29" i="103"/>
  <c r="AD29" i="103"/>
  <c r="AE29" i="103"/>
  <c r="AH29" i="103"/>
  <c r="AI29" i="103"/>
  <c r="F30" i="103"/>
  <c r="K30" i="103"/>
  <c r="L30" i="103"/>
  <c r="AD30" i="103"/>
  <c r="AE30" i="103"/>
  <c r="AH30" i="103"/>
  <c r="AI30" i="103"/>
  <c r="F31" i="103"/>
  <c r="K31" i="103"/>
  <c r="L31" i="103"/>
  <c r="BR31" i="103"/>
  <c r="BS31" i="103"/>
  <c r="BT31" i="103"/>
  <c r="BU31" i="103"/>
  <c r="F32" i="103"/>
  <c r="K32" i="103"/>
  <c r="F33" i="103"/>
  <c r="K33" i="103"/>
  <c r="L33" i="103"/>
  <c r="AB33" i="103"/>
  <c r="AC33" i="103"/>
  <c r="AD33" i="103"/>
  <c r="AE33" i="103"/>
  <c r="F34" i="103"/>
  <c r="K34" i="103"/>
  <c r="L34" i="103"/>
  <c r="AB34" i="103"/>
  <c r="AC34" i="103"/>
  <c r="AD34" i="103"/>
  <c r="AE34" i="103"/>
  <c r="F35" i="103"/>
  <c r="K35" i="103"/>
  <c r="L35" i="103"/>
  <c r="AB35" i="103"/>
  <c r="AC35" i="103"/>
  <c r="AD35" i="103"/>
  <c r="AE35" i="103"/>
  <c r="AX35" i="103"/>
  <c r="AY35" i="103"/>
  <c r="BB35" i="103"/>
  <c r="BC35" i="103"/>
  <c r="F36" i="103"/>
  <c r="K36" i="103"/>
  <c r="AX36" i="103"/>
  <c r="AY36" i="103"/>
  <c r="BB36" i="103"/>
  <c r="BC36" i="103"/>
  <c r="BR36" i="103"/>
  <c r="BS36" i="103"/>
  <c r="BT36" i="103"/>
  <c r="BU36" i="103"/>
  <c r="F37" i="103"/>
  <c r="K37" i="103"/>
  <c r="L37" i="103"/>
  <c r="AX37" i="103"/>
  <c r="AY37" i="103"/>
  <c r="BB37" i="103"/>
  <c r="BC37" i="103"/>
  <c r="F38" i="103"/>
  <c r="K38" i="103"/>
  <c r="L38" i="103"/>
  <c r="AB39" i="103"/>
  <c r="AC39" i="103"/>
  <c r="AD39" i="103"/>
  <c r="AE39" i="103"/>
  <c r="F40" i="103"/>
  <c r="K40" i="103"/>
  <c r="L40" i="103"/>
  <c r="AB40" i="103"/>
  <c r="AC40" i="103"/>
  <c r="AD40" i="103"/>
  <c r="AE40" i="103"/>
  <c r="AV40" i="103"/>
  <c r="AW40" i="103"/>
  <c r="AX40" i="103"/>
  <c r="AY40" i="103"/>
  <c r="AZ40" i="103"/>
  <c r="BA40" i="103"/>
  <c r="BB40" i="103"/>
  <c r="BC40" i="103"/>
  <c r="F41" i="103"/>
  <c r="K41" i="103"/>
  <c r="AB41" i="103"/>
  <c r="AC41" i="103"/>
  <c r="AD41" i="103"/>
  <c r="AE41" i="103"/>
  <c r="AV41" i="103"/>
  <c r="AW41" i="103"/>
  <c r="AX41" i="103"/>
  <c r="AY41" i="103"/>
  <c r="AZ41" i="103"/>
  <c r="BA41" i="103"/>
  <c r="BB41" i="103"/>
  <c r="BC41" i="103"/>
  <c r="F42" i="103"/>
  <c r="K42" i="103"/>
  <c r="L42" i="103"/>
  <c r="AV42" i="103"/>
  <c r="AW42" i="103"/>
  <c r="AX42" i="103"/>
  <c r="AY42" i="103"/>
  <c r="AZ42" i="103"/>
  <c r="BA42" i="103"/>
  <c r="BB42" i="103"/>
  <c r="BC42" i="103"/>
  <c r="F44" i="103"/>
  <c r="K44" i="103"/>
  <c r="L44" i="103"/>
  <c r="AC44" i="103"/>
  <c r="AE45" i="103"/>
  <c r="AV45" i="103"/>
  <c r="AW45" i="103"/>
  <c r="AX45" i="103"/>
  <c r="AY45" i="103"/>
  <c r="F46" i="103"/>
  <c r="K46" i="103"/>
  <c r="L46" i="103"/>
  <c r="AE46" i="103"/>
  <c r="AV46" i="103"/>
  <c r="AW46" i="103"/>
  <c r="AX46" i="103"/>
  <c r="AY46" i="103"/>
  <c r="AE47" i="103"/>
  <c r="AV47" i="103"/>
  <c r="AW47" i="103"/>
  <c r="AX47" i="103"/>
  <c r="AY47" i="103"/>
  <c r="AE48" i="103"/>
  <c r="AE49" i="103"/>
  <c r="AE50" i="103"/>
  <c r="AE51" i="103"/>
  <c r="AV51" i="103"/>
  <c r="AW51" i="103"/>
  <c r="AX51" i="103"/>
  <c r="AY51" i="103"/>
  <c r="F52" i="103"/>
  <c r="K52" i="103"/>
  <c r="L52" i="103"/>
  <c r="AE52" i="103"/>
  <c r="AV52" i="103"/>
  <c r="AW52" i="103"/>
  <c r="AX52" i="103"/>
  <c r="AY52" i="103"/>
  <c r="F53" i="103"/>
  <c r="K53" i="103"/>
  <c r="L53" i="103"/>
  <c r="AE53" i="103"/>
  <c r="AV53" i="103"/>
  <c r="AW53" i="103"/>
  <c r="AX53" i="103"/>
  <c r="AY53" i="103"/>
  <c r="AE54" i="103"/>
  <c r="AE55" i="103"/>
  <c r="AE56" i="103"/>
  <c r="AV56" i="103"/>
  <c r="AC57" i="103"/>
  <c r="AY57" i="103"/>
  <c r="AZ57" i="103"/>
  <c r="BA57" i="103"/>
  <c r="BB57" i="103"/>
  <c r="BH57" i="103"/>
  <c r="BI57" i="103"/>
  <c r="BJ57" i="103"/>
  <c r="BK57" i="103"/>
  <c r="AE58" i="103"/>
  <c r="AY58" i="103"/>
  <c r="AZ58" i="103"/>
  <c r="BA58" i="103"/>
  <c r="BB58" i="103"/>
  <c r="BH58" i="103"/>
  <c r="BI58" i="103"/>
  <c r="BJ58" i="103"/>
  <c r="BK58" i="103"/>
  <c r="F59" i="103"/>
  <c r="K59" i="103"/>
  <c r="L59" i="103"/>
  <c r="AE59" i="103"/>
  <c r="AY59" i="103"/>
  <c r="AZ59" i="103"/>
  <c r="BA59" i="103"/>
  <c r="BB59" i="103"/>
  <c r="BH59" i="103"/>
  <c r="BI59" i="103"/>
  <c r="BJ59" i="103"/>
  <c r="BK59" i="103"/>
  <c r="AE60" i="103"/>
  <c r="AY60" i="103"/>
  <c r="AZ60" i="103"/>
  <c r="BA60" i="103"/>
  <c r="BB60" i="103"/>
  <c r="BH60" i="103"/>
  <c r="BI60" i="103"/>
  <c r="BJ60" i="103"/>
  <c r="BK60" i="103"/>
  <c r="F61" i="103"/>
  <c r="K61" i="103"/>
  <c r="L61" i="103"/>
  <c r="AE61" i="103"/>
  <c r="AY61" i="103"/>
  <c r="AZ61" i="103"/>
  <c r="BA61" i="103"/>
  <c r="BB61" i="103"/>
  <c r="BH61" i="103"/>
  <c r="BI61" i="103"/>
  <c r="BJ61" i="103"/>
  <c r="BK61" i="103"/>
  <c r="F62" i="103"/>
  <c r="K62" i="103"/>
  <c r="L62" i="103"/>
  <c r="AE62" i="103"/>
  <c r="AY62" i="103"/>
  <c r="AZ62" i="103"/>
  <c r="BA62" i="103"/>
  <c r="BB62" i="103"/>
  <c r="BH62" i="103"/>
  <c r="BI62" i="103"/>
  <c r="BJ62" i="103"/>
  <c r="BK62" i="103"/>
  <c r="F63" i="103"/>
  <c r="K63" i="103"/>
  <c r="L63" i="103"/>
  <c r="AE63" i="103"/>
  <c r="AY63" i="103"/>
  <c r="AZ63" i="103"/>
  <c r="BA63" i="103"/>
  <c r="BB63" i="103"/>
  <c r="BH63" i="103"/>
  <c r="BI63" i="103"/>
  <c r="BJ63" i="103"/>
  <c r="BK63" i="103"/>
  <c r="AE64" i="103"/>
  <c r="AY64" i="103"/>
  <c r="AZ64" i="103"/>
  <c r="BA64" i="103"/>
  <c r="BB64" i="103"/>
  <c r="BH64" i="103"/>
  <c r="BI64" i="103"/>
  <c r="BJ64" i="103"/>
  <c r="BK64" i="103"/>
  <c r="F65" i="103"/>
  <c r="K65" i="103"/>
  <c r="L65" i="103"/>
  <c r="AE65" i="103"/>
  <c r="AY65" i="103"/>
  <c r="AZ65" i="103"/>
  <c r="BA65" i="103"/>
  <c r="BB65" i="103"/>
  <c r="BH65" i="103"/>
  <c r="BI65" i="103"/>
  <c r="BJ65" i="103"/>
  <c r="BK65" i="103"/>
  <c r="AE66" i="103"/>
  <c r="AY66" i="103"/>
  <c r="AZ66" i="103"/>
  <c r="BA66" i="103"/>
  <c r="BB66" i="103"/>
  <c r="BH66" i="103"/>
  <c r="BI66" i="103"/>
  <c r="BJ66" i="103"/>
  <c r="BK66" i="103"/>
  <c r="AE67" i="103"/>
  <c r="AY67" i="103"/>
  <c r="AZ67" i="103"/>
  <c r="BA67" i="103"/>
  <c r="BB67" i="103"/>
  <c r="BH67" i="103"/>
  <c r="BI67" i="103"/>
  <c r="BJ67" i="103"/>
  <c r="BK67" i="103"/>
  <c r="F68" i="103"/>
  <c r="K68" i="103"/>
  <c r="L68" i="103"/>
  <c r="AE68" i="103"/>
  <c r="AY68" i="103"/>
  <c r="AZ68" i="103"/>
  <c r="BA68" i="103"/>
  <c r="BB68" i="103"/>
  <c r="BH68" i="103"/>
  <c r="BI68" i="103"/>
  <c r="BJ68" i="103"/>
  <c r="BK68" i="103"/>
  <c r="F69" i="103"/>
  <c r="K69" i="103"/>
  <c r="L69" i="103"/>
  <c r="AE69" i="103"/>
  <c r="AY69" i="103"/>
  <c r="AZ69" i="103"/>
  <c r="BA69" i="103"/>
  <c r="BB69" i="103"/>
  <c r="BH69" i="103"/>
  <c r="BI69" i="103"/>
  <c r="BJ69" i="103"/>
  <c r="BK69" i="103"/>
  <c r="F70" i="103"/>
  <c r="K70" i="103"/>
  <c r="L70" i="103"/>
  <c r="AY70" i="103"/>
  <c r="AZ70" i="103"/>
  <c r="BA70" i="103"/>
  <c r="BB70" i="103"/>
  <c r="BH70" i="103"/>
  <c r="BI70" i="103"/>
  <c r="BJ70" i="103"/>
  <c r="BK70" i="103"/>
  <c r="AY71" i="103"/>
  <c r="AZ71" i="103"/>
  <c r="BA71" i="103"/>
  <c r="BB71" i="103"/>
  <c r="BH71" i="103"/>
  <c r="BI71" i="103"/>
  <c r="BJ71" i="103"/>
  <c r="BK71" i="103"/>
  <c r="F72" i="103"/>
  <c r="K72" i="103"/>
  <c r="AY72" i="103"/>
  <c r="AZ72" i="103"/>
  <c r="BA72" i="103"/>
  <c r="BB72" i="103"/>
  <c r="BH72" i="103"/>
  <c r="BI72" i="103"/>
  <c r="BJ72" i="103"/>
  <c r="BK72" i="103"/>
  <c r="F74" i="103"/>
  <c r="K74" i="103"/>
  <c r="L74" i="103"/>
  <c r="BE74" i="103"/>
  <c r="BH75" i="103"/>
  <c r="BI75" i="103"/>
  <c r="BJ75" i="103"/>
  <c r="BK75" i="103"/>
  <c r="BH76" i="103"/>
  <c r="BI76" i="103"/>
  <c r="BJ76" i="103"/>
  <c r="BK76" i="103"/>
  <c r="F77" i="103"/>
  <c r="K77" i="103"/>
  <c r="BH77" i="103"/>
  <c r="BI77" i="103"/>
  <c r="BJ77" i="103"/>
  <c r="BK77" i="103"/>
  <c r="BH78" i="103"/>
  <c r="BI78" i="103"/>
  <c r="BJ78" i="103"/>
  <c r="BK78" i="103"/>
  <c r="F79" i="103"/>
  <c r="K79" i="103"/>
  <c r="L79" i="103"/>
  <c r="F80" i="103"/>
  <c r="K80" i="103"/>
  <c r="L80" i="103"/>
  <c r="F81" i="103"/>
  <c r="K81" i="103"/>
  <c r="L81" i="103"/>
  <c r="F82" i="103"/>
  <c r="K82" i="103"/>
  <c r="L82" i="103"/>
  <c r="F83" i="103"/>
  <c r="K83" i="103"/>
  <c r="L83" i="103"/>
  <c r="F84" i="103"/>
  <c r="K84" i="103"/>
  <c r="L84" i="103"/>
  <c r="F88" i="103"/>
  <c r="K88" i="103"/>
  <c r="L88" i="103"/>
  <c r="F89" i="103"/>
  <c r="K89" i="103"/>
  <c r="L89" i="103"/>
  <c r="F90" i="103"/>
  <c r="K90" i="103"/>
  <c r="L90" i="103"/>
  <c r="F91" i="103"/>
  <c r="K91" i="103"/>
  <c r="L91" i="103"/>
  <c r="F93" i="103"/>
  <c r="K93" i="103"/>
  <c r="F94" i="103"/>
  <c r="K94" i="103"/>
  <c r="F96" i="103"/>
  <c r="K96" i="103"/>
  <c r="L96" i="103"/>
  <c r="F97" i="103"/>
  <c r="K97" i="103"/>
  <c r="L97" i="103"/>
  <c r="F106" i="103"/>
  <c r="K106" i="103"/>
  <c r="L106" i="103"/>
  <c r="F109" i="103"/>
  <c r="K109" i="103"/>
  <c r="L109" i="103"/>
  <c r="F110" i="103"/>
  <c r="K110" i="103"/>
  <c r="L110" i="103"/>
  <c r="F114" i="103"/>
  <c r="K114" i="103"/>
  <c r="L114" i="103"/>
  <c r="F117" i="103"/>
  <c r="K117" i="103"/>
  <c r="L117" i="103"/>
  <c r="F120" i="103"/>
  <c r="K120" i="103"/>
  <c r="L120" i="103"/>
  <c r="F121" i="103"/>
  <c r="K121" i="103"/>
  <c r="L121" i="103"/>
  <c r="F122" i="103"/>
  <c r="K122" i="103"/>
  <c r="L122" i="103"/>
  <c r="F123" i="103"/>
  <c r="K123" i="103"/>
  <c r="L123" i="103"/>
  <c r="F124" i="103"/>
  <c r="K124" i="103"/>
  <c r="L124" i="103"/>
  <c r="F126" i="103"/>
  <c r="K126" i="103"/>
  <c r="L126" i="103"/>
  <c r="F127" i="103"/>
  <c r="K127" i="103"/>
  <c r="L127" i="103"/>
  <c r="F128" i="103"/>
  <c r="K128" i="103"/>
  <c r="L128" i="103"/>
  <c r="F129" i="103"/>
  <c r="K129" i="103"/>
  <c r="L129" i="103"/>
  <c r="F131" i="103"/>
  <c r="K131" i="103"/>
  <c r="L131" i="103"/>
  <c r="F133" i="103"/>
  <c r="K133" i="103"/>
  <c r="L133" i="103"/>
  <c r="F134" i="103"/>
  <c r="K134" i="103"/>
  <c r="L134" i="103"/>
  <c r="F136" i="103"/>
  <c r="K136" i="103"/>
  <c r="L136" i="103"/>
  <c r="F138" i="103"/>
  <c r="K138" i="103"/>
  <c r="F139" i="103"/>
  <c r="K139" i="103"/>
  <c r="L139" i="103"/>
  <c r="F140" i="103"/>
  <c r="K140" i="103"/>
  <c r="L140" i="103"/>
  <c r="F142" i="103"/>
  <c r="K142" i="103"/>
  <c r="L142" i="103"/>
  <c r="F143" i="103"/>
  <c r="K143" i="103"/>
  <c r="F144" i="103"/>
  <c r="K144" i="103"/>
  <c r="L144" i="103"/>
  <c r="F145" i="103"/>
  <c r="K145" i="103"/>
  <c r="L145" i="103"/>
  <c r="F148" i="103"/>
  <c r="K148" i="103"/>
  <c r="L148" i="103"/>
  <c r="F151" i="103"/>
  <c r="K151" i="103"/>
  <c r="L151" i="103"/>
  <c r="F152" i="103"/>
  <c r="K152" i="103"/>
  <c r="L152" i="103"/>
  <c r="F153" i="103"/>
  <c r="K153" i="103"/>
  <c r="L153" i="103"/>
  <c r="F154" i="103"/>
  <c r="K154" i="103"/>
  <c r="L154" i="103"/>
  <c r="F155" i="103"/>
  <c r="K155" i="103"/>
  <c r="L155" i="103"/>
  <c r="F159" i="103"/>
  <c r="K159" i="103"/>
  <c r="L159" i="103"/>
  <c r="F161" i="103"/>
  <c r="K161" i="103"/>
  <c r="L161" i="103"/>
  <c r="F162" i="103"/>
  <c r="K162" i="103"/>
  <c r="F163" i="103"/>
  <c r="K163" i="103"/>
  <c r="F164" i="103"/>
  <c r="K164" i="103"/>
  <c r="F165" i="103"/>
  <c r="K165" i="103"/>
  <c r="L165" i="103"/>
  <c r="F166" i="103"/>
  <c r="K166" i="103"/>
  <c r="L166" i="103"/>
  <c r="F170" i="103"/>
  <c r="K170" i="103"/>
  <c r="L170" i="103"/>
  <c r="F171" i="103"/>
  <c r="K171" i="103"/>
  <c r="L171" i="103"/>
  <c r="F173" i="103"/>
  <c r="K173" i="103"/>
  <c r="L173" i="103"/>
  <c r="F174" i="103"/>
  <c r="K174" i="103"/>
  <c r="L174" i="103"/>
  <c r="F175" i="103"/>
  <c r="K175" i="103"/>
  <c r="L175" i="103"/>
  <c r="F176" i="103"/>
  <c r="K176" i="103"/>
  <c r="L176" i="103"/>
  <c r="F177" i="103"/>
  <c r="K177" i="103"/>
  <c r="L177" i="103"/>
  <c r="F178" i="103"/>
  <c r="K178" i="103"/>
  <c r="L178" i="103"/>
  <c r="F180" i="103"/>
  <c r="K180" i="103"/>
  <c r="L180" i="103"/>
  <c r="F181" i="103"/>
  <c r="K181" i="103"/>
  <c r="L181" i="103"/>
  <c r="F183" i="103"/>
  <c r="K183" i="103"/>
  <c r="L183" i="103"/>
  <c r="F188" i="103"/>
  <c r="K188" i="103"/>
  <c r="L188" i="103"/>
  <c r="F192" i="103"/>
  <c r="K192" i="103"/>
  <c r="L192" i="103"/>
  <c r="F193" i="103"/>
  <c r="K193" i="103"/>
  <c r="L193" i="103"/>
  <c r="F195" i="103"/>
  <c r="K195" i="103"/>
  <c r="F196" i="103"/>
  <c r="K196" i="103"/>
  <c r="L196" i="103"/>
  <c r="F197" i="103"/>
  <c r="K197" i="103"/>
  <c r="F200" i="103"/>
  <c r="K200" i="103"/>
  <c r="L200" i="103"/>
  <c r="F202" i="103"/>
  <c r="K202" i="103"/>
  <c r="L202" i="103"/>
  <c r="F203" i="103"/>
  <c r="K203" i="103"/>
  <c r="F207" i="103"/>
  <c r="K207" i="103"/>
  <c r="L207" i="103"/>
  <c r="F208" i="103"/>
  <c r="K208" i="103"/>
  <c r="L208" i="103"/>
  <c r="F215" i="103"/>
  <c r="K215" i="103"/>
  <c r="F216" i="103"/>
  <c r="K216" i="103"/>
  <c r="L216" i="103"/>
  <c r="F220" i="103"/>
  <c r="K220" i="103"/>
  <c r="L220" i="103"/>
  <c r="F221" i="103"/>
  <c r="K221" i="103"/>
  <c r="L221" i="103"/>
  <c r="F222" i="103"/>
  <c r="K222" i="103"/>
  <c r="L222" i="103"/>
  <c r="F223" i="103"/>
  <c r="K223" i="103"/>
  <c r="L223" i="103"/>
  <c r="F227" i="103"/>
  <c r="K227" i="103"/>
  <c r="L227" i="103"/>
  <c r="F229" i="103"/>
  <c r="K229" i="103"/>
  <c r="L229" i="103"/>
  <c r="F230" i="103"/>
  <c r="K230" i="103"/>
  <c r="L230" i="103"/>
  <c r="F233" i="103"/>
  <c r="K233" i="103"/>
  <c r="L233" i="103"/>
  <c r="F235" i="103"/>
  <c r="K235" i="103"/>
  <c r="L235" i="103"/>
  <c r="F237" i="103"/>
  <c r="K237" i="103"/>
  <c r="L237" i="103"/>
  <c r="F238" i="103"/>
  <c r="K238" i="103"/>
  <c r="F241" i="103"/>
  <c r="K241" i="103"/>
  <c r="L241" i="103"/>
  <c r="F245" i="103"/>
  <c r="K245" i="103"/>
  <c r="L245" i="103"/>
  <c r="F246" i="103"/>
  <c r="K246" i="103"/>
  <c r="F248" i="103"/>
  <c r="K248" i="103"/>
  <c r="L248" i="103"/>
  <c r="F250" i="103"/>
  <c r="K250" i="103"/>
  <c r="L250" i="103"/>
  <c r="F251" i="103"/>
  <c r="K251" i="103"/>
  <c r="L251" i="103"/>
  <c r="F252" i="103"/>
  <c r="K252" i="103"/>
  <c r="L252" i="103"/>
  <c r="F255" i="103"/>
  <c r="K255" i="103"/>
  <c r="F256" i="103"/>
  <c r="K256" i="103"/>
  <c r="L256" i="103"/>
  <c r="F257" i="103"/>
  <c r="K257" i="103"/>
  <c r="F258" i="103"/>
  <c r="K258" i="103"/>
  <c r="L258" i="103"/>
  <c r="F262" i="103"/>
  <c r="K262" i="103"/>
  <c r="L262" i="103"/>
  <c r="F263" i="103"/>
  <c r="K263" i="103"/>
  <c r="L263" i="103"/>
  <c r="F264" i="103"/>
  <c r="K264" i="103"/>
  <c r="L264" i="103"/>
  <c r="F265" i="103"/>
  <c r="K265" i="103"/>
  <c r="L265" i="103"/>
  <c r="F269" i="103"/>
  <c r="K269" i="103"/>
  <c r="L269" i="103"/>
  <c r="F270" i="103"/>
  <c r="K270" i="103"/>
  <c r="L270" i="103"/>
  <c r="F271" i="103"/>
  <c r="K271" i="103"/>
  <c r="L271" i="103"/>
  <c r="F272" i="103"/>
  <c r="K272" i="103"/>
  <c r="L272" i="103"/>
  <c r="F273" i="103"/>
  <c r="K273" i="103"/>
  <c r="L273" i="103"/>
  <c r="F277" i="103"/>
  <c r="K277" i="103"/>
  <c r="L277" i="103"/>
  <c r="F278" i="103"/>
  <c r="K278" i="103"/>
  <c r="L278" i="103"/>
  <c r="F279" i="103"/>
  <c r="K279" i="103"/>
  <c r="L279" i="103"/>
  <c r="F280" i="103"/>
  <c r="K280" i="103"/>
  <c r="L280" i="103"/>
  <c r="F282" i="103"/>
  <c r="K282" i="103"/>
  <c r="L282" i="103"/>
  <c r="F284" i="103"/>
  <c r="K284" i="103"/>
  <c r="L284" i="103"/>
  <c r="F285" i="103"/>
  <c r="K285" i="103"/>
  <c r="F290" i="103"/>
  <c r="K290" i="103"/>
  <c r="L290" i="103"/>
  <c r="F291" i="103"/>
  <c r="K291" i="103"/>
  <c r="L291" i="103"/>
  <c r="F292" i="103"/>
  <c r="K292" i="103"/>
  <c r="L292" i="103"/>
  <c r="F293" i="103"/>
  <c r="K293" i="103"/>
  <c r="L293" i="103"/>
  <c r="F294" i="103"/>
  <c r="K294" i="103"/>
  <c r="L294" i="103"/>
  <c r="F297" i="103"/>
  <c r="K297" i="103"/>
  <c r="L297" i="103"/>
  <c r="F298" i="103"/>
  <c r="K298" i="103"/>
  <c r="L298" i="103"/>
  <c r="F299" i="103"/>
  <c r="K299" i="103"/>
  <c r="L299" i="103"/>
  <c r="F300" i="103"/>
  <c r="K300" i="103"/>
  <c r="L300" i="103"/>
  <c r="F301" i="103"/>
  <c r="K301" i="103"/>
  <c r="L301" i="103"/>
  <c r="F302" i="103"/>
  <c r="K302" i="103"/>
  <c r="L302" i="103"/>
  <c r="F303" i="103"/>
  <c r="K303" i="103"/>
  <c r="L303" i="103"/>
  <c r="F304" i="103"/>
  <c r="K304" i="103"/>
  <c r="L304" i="103"/>
  <c r="F305" i="103"/>
  <c r="K305" i="103"/>
  <c r="L305" i="103"/>
  <c r="F308" i="103"/>
  <c r="K308" i="103"/>
  <c r="L308" i="103"/>
  <c r="F309" i="103"/>
  <c r="K309" i="103"/>
  <c r="L309" i="103"/>
  <c r="F313" i="103"/>
  <c r="K313" i="103"/>
  <c r="L313" i="103"/>
  <c r="F316" i="103"/>
  <c r="K316" i="103"/>
  <c r="L316" i="103"/>
  <c r="F317" i="103"/>
  <c r="K317" i="103"/>
  <c r="L317" i="103"/>
  <c r="F318" i="103"/>
  <c r="K318" i="103"/>
  <c r="L318" i="103"/>
  <c r="F320" i="103"/>
  <c r="K320" i="103"/>
  <c r="L320" i="103"/>
  <c r="F321" i="103"/>
  <c r="K321" i="103"/>
  <c r="L321" i="103"/>
  <c r="F323" i="103"/>
  <c r="K323" i="103"/>
  <c r="L323" i="103"/>
  <c r="F324" i="103"/>
  <c r="K324" i="103"/>
  <c r="L324" i="103"/>
  <c r="F325" i="103"/>
  <c r="K325" i="103"/>
  <c r="F327" i="103"/>
  <c r="K327" i="103"/>
  <c r="L327" i="103"/>
  <c r="F329" i="103"/>
  <c r="K329" i="103"/>
  <c r="L329" i="103"/>
  <c r="F332" i="103"/>
  <c r="K332" i="103"/>
  <c r="L332" i="103"/>
  <c r="F333" i="103"/>
  <c r="K333" i="103"/>
  <c r="L333" i="103"/>
  <c r="F339" i="103"/>
  <c r="K339" i="103"/>
  <c r="L339" i="103"/>
  <c r="F340" i="103"/>
  <c r="K340" i="103"/>
  <c r="L340" i="103"/>
  <c r="F341" i="103"/>
  <c r="K341" i="103"/>
  <c r="L341" i="103"/>
  <c r="F342" i="103"/>
  <c r="K342" i="103"/>
  <c r="F343" i="103"/>
  <c r="K343" i="103"/>
  <c r="L343" i="103"/>
  <c r="F345" i="103"/>
  <c r="K345" i="103"/>
  <c r="L345" i="103"/>
  <c r="F346" i="103"/>
  <c r="K346" i="103"/>
  <c r="L346" i="103"/>
  <c r="F347" i="103"/>
  <c r="K347" i="103"/>
  <c r="L347" i="103"/>
  <c r="F349" i="103"/>
  <c r="K349" i="103"/>
  <c r="L349" i="103"/>
  <c r="F350" i="103"/>
  <c r="K350" i="103"/>
  <c r="L350" i="103"/>
  <c r="F351" i="103"/>
  <c r="K351" i="103"/>
  <c r="F353" i="103"/>
  <c r="K353" i="103"/>
  <c r="L353" i="103"/>
  <c r="F355" i="103"/>
  <c r="K355" i="103"/>
  <c r="L355" i="103"/>
  <c r="F356" i="103"/>
  <c r="K356" i="103"/>
  <c r="F358" i="103"/>
  <c r="K358" i="103"/>
  <c r="L358" i="103"/>
  <c r="F359" i="103"/>
  <c r="K359" i="103"/>
  <c r="L359" i="103"/>
  <c r="F361" i="103"/>
  <c r="K361" i="103"/>
  <c r="L361" i="103"/>
  <c r="F363" i="103"/>
  <c r="K363" i="103"/>
  <c r="F364" i="103"/>
  <c r="K364" i="103"/>
  <c r="L364" i="103"/>
  <c r="F365" i="103"/>
  <c r="K365" i="103"/>
  <c r="L365" i="103"/>
  <c r="F366" i="103"/>
  <c r="K366" i="103"/>
  <c r="L366" i="103"/>
  <c r="F367" i="103"/>
  <c r="K367" i="103"/>
  <c r="L367" i="103"/>
  <c r="F368" i="103"/>
  <c r="K368" i="103"/>
  <c r="L368" i="103"/>
  <c r="F370" i="103"/>
  <c r="K370" i="103"/>
  <c r="F371" i="103"/>
  <c r="K371" i="103"/>
  <c r="L371" i="103"/>
  <c r="F372" i="103"/>
  <c r="K372" i="103"/>
  <c r="F373" i="103"/>
  <c r="K373" i="103"/>
  <c r="L373" i="103"/>
  <c r="F374" i="103"/>
  <c r="K374" i="103"/>
  <c r="L374" i="103"/>
  <c r="F375" i="103"/>
  <c r="K375" i="103"/>
  <c r="L375" i="103"/>
  <c r="F376" i="103"/>
  <c r="K376" i="103"/>
  <c r="L376" i="103"/>
  <c r="F379" i="103"/>
  <c r="K379" i="103"/>
  <c r="F380" i="103"/>
  <c r="K380" i="103"/>
  <c r="L380" i="103"/>
  <c r="F381" i="103"/>
  <c r="K381" i="103"/>
  <c r="L381" i="103"/>
  <c r="F383" i="103"/>
  <c r="K383" i="103"/>
  <c r="L383" i="103"/>
  <c r="F384" i="103"/>
  <c r="K384" i="103"/>
  <c r="L384" i="103"/>
  <c r="F385" i="103"/>
  <c r="K385" i="103"/>
  <c r="L385" i="103"/>
  <c r="F389" i="103"/>
  <c r="K389" i="103"/>
  <c r="L389" i="103"/>
  <c r="F392" i="103"/>
  <c r="K392" i="103"/>
  <c r="L392" i="103"/>
  <c r="F393" i="103"/>
  <c r="K393" i="103"/>
  <c r="F394" i="103"/>
  <c r="K394" i="103"/>
  <c r="L394" i="103"/>
  <c r="F397" i="103"/>
  <c r="K397" i="103"/>
  <c r="F398" i="103"/>
  <c r="K398" i="103"/>
  <c r="L398" i="103"/>
  <c r="F400" i="103"/>
  <c r="K400" i="103"/>
  <c r="L400" i="103"/>
  <c r="F401" i="103"/>
  <c r="K401" i="103"/>
  <c r="L401" i="103"/>
  <c r="F402" i="103"/>
  <c r="K402" i="103"/>
  <c r="L402" i="103"/>
  <c r="F403" i="103"/>
  <c r="K403" i="103"/>
  <c r="L403" i="103"/>
  <c r="F404" i="103"/>
  <c r="K404" i="103"/>
  <c r="L404" i="103"/>
  <c r="F405" i="103"/>
  <c r="K405" i="103"/>
  <c r="L405" i="103"/>
  <c r="F406" i="103"/>
  <c r="K406" i="103"/>
  <c r="L406" i="103"/>
  <c r="F408" i="103"/>
  <c r="K408" i="103"/>
  <c r="L408" i="103"/>
  <c r="F411" i="103"/>
  <c r="K411" i="103"/>
  <c r="L411" i="103"/>
  <c r="F412" i="103"/>
  <c r="K412" i="103"/>
  <c r="L412" i="103"/>
  <c r="F415" i="103"/>
  <c r="K415" i="103"/>
  <c r="L415" i="103"/>
  <c r="F416" i="103"/>
  <c r="K416" i="103"/>
  <c r="L416" i="103"/>
  <c r="F418" i="103"/>
  <c r="K418" i="103"/>
  <c r="L418" i="103"/>
  <c r="F420" i="103"/>
  <c r="K420" i="103"/>
  <c r="L420" i="103"/>
  <c r="F422" i="103"/>
  <c r="K422" i="103"/>
  <c r="L422" i="103"/>
  <c r="F425" i="103"/>
  <c r="K425" i="103"/>
  <c r="L425" i="103"/>
  <c r="F426" i="103"/>
  <c r="K426" i="103"/>
  <c r="L426" i="103"/>
  <c r="F427" i="103"/>
  <c r="K427" i="103"/>
  <c r="L427" i="103"/>
  <c r="F429" i="103"/>
  <c r="K429" i="103"/>
  <c r="L429" i="103"/>
  <c r="F430" i="103"/>
  <c r="K430" i="103"/>
  <c r="L430" i="103"/>
  <c r="F431" i="103"/>
  <c r="K431" i="103"/>
  <c r="L431" i="103"/>
  <c r="F434" i="103"/>
  <c r="K434" i="103"/>
  <c r="L434" i="103"/>
  <c r="F435" i="103"/>
  <c r="K435" i="103"/>
  <c r="L435" i="103"/>
  <c r="F437" i="103"/>
  <c r="K437" i="103"/>
  <c r="L437" i="103"/>
  <c r="F438" i="103"/>
  <c r="K438" i="103"/>
  <c r="L438" i="103"/>
  <c r="F439" i="103"/>
  <c r="K439" i="103"/>
  <c r="L439" i="103"/>
  <c r="I444" i="103"/>
  <c r="D6" i="102"/>
  <c r="F6" i="102"/>
  <c r="G6" i="102"/>
  <c r="H6" i="102"/>
  <c r="I6" i="102"/>
  <c r="M6" i="102"/>
  <c r="D7" i="102"/>
  <c r="F7" i="102"/>
  <c r="G7" i="102"/>
  <c r="H7" i="102"/>
  <c r="I7" i="102"/>
  <c r="M7" i="102"/>
  <c r="D8" i="102"/>
  <c r="F8" i="102"/>
  <c r="G8" i="102"/>
  <c r="H8" i="102"/>
  <c r="I8" i="102"/>
  <c r="M8" i="102"/>
  <c r="D9" i="102"/>
  <c r="F9" i="102"/>
  <c r="G9" i="102"/>
  <c r="H9" i="102"/>
  <c r="I9" i="102"/>
  <c r="M9" i="102"/>
  <c r="D6" i="101"/>
  <c r="E6" i="101"/>
  <c r="F6" i="101"/>
  <c r="G6" i="101"/>
  <c r="H6" i="101"/>
  <c r="L6" i="101"/>
  <c r="D7" i="101"/>
  <c r="E7" i="101"/>
  <c r="F7" i="101"/>
  <c r="G7" i="101"/>
  <c r="H7" i="101"/>
  <c r="L7" i="101"/>
  <c r="D8" i="101"/>
  <c r="E8" i="101"/>
  <c r="F8" i="101"/>
  <c r="G8" i="101"/>
  <c r="H8" i="101"/>
  <c r="L8" i="101"/>
  <c r="D9" i="101"/>
  <c r="E9" i="101"/>
  <c r="F9" i="101"/>
  <c r="G9" i="101"/>
  <c r="H9" i="101"/>
  <c r="L9" i="101"/>
  <c r="D10" i="101"/>
  <c r="E10" i="101"/>
  <c r="F10" i="101"/>
  <c r="G10" i="101"/>
  <c r="H10" i="101"/>
  <c r="L10" i="101"/>
  <c r="D11" i="101"/>
  <c r="E11" i="101"/>
  <c r="F11" i="101"/>
  <c r="G11" i="101"/>
  <c r="H11" i="101"/>
  <c r="L11" i="101"/>
  <c r="D12" i="101"/>
  <c r="E12" i="101"/>
  <c r="F12" i="101"/>
  <c r="G12" i="101"/>
  <c r="H12" i="101"/>
  <c r="L12" i="101"/>
  <c r="D13" i="101"/>
  <c r="E13" i="101"/>
  <c r="F13" i="101"/>
  <c r="G13" i="101"/>
  <c r="H13" i="101"/>
  <c r="L13" i="101"/>
  <c r="Z12" i="100"/>
  <c r="Z13" i="100"/>
  <c r="Z15" i="100"/>
  <c r="B6" i="100"/>
  <c r="D6" i="100"/>
  <c r="E6" i="100"/>
  <c r="F6" i="100"/>
  <c r="G6" i="100"/>
  <c r="H6" i="100"/>
  <c r="I6" i="100"/>
  <c r="J6" i="100"/>
  <c r="M6" i="100"/>
  <c r="D7" i="100"/>
  <c r="E7" i="100"/>
  <c r="F7" i="100"/>
  <c r="G7" i="100"/>
  <c r="H7" i="100"/>
  <c r="D8" i="100"/>
  <c r="E8" i="100"/>
  <c r="F8" i="100"/>
  <c r="G8" i="100"/>
  <c r="H8" i="100"/>
  <c r="D9" i="100"/>
  <c r="E9" i="100"/>
  <c r="F9" i="100"/>
  <c r="G9" i="100"/>
  <c r="H9" i="100"/>
  <c r="AI19" i="90"/>
  <c r="AI20" i="90" s="1"/>
  <c r="I165" i="90" s="1"/>
  <c r="AJ18" i="90"/>
  <c r="AI18" i="90"/>
  <c r="AJ17" i="90"/>
  <c r="AI17" i="90"/>
  <c r="AJ16" i="90"/>
  <c r="H194" i="90"/>
  <c r="AJ15" i="90"/>
  <c r="AI15" i="90"/>
  <c r="H31" i="90" s="1"/>
  <c r="AJ14" i="90"/>
  <c r="AI14" i="90"/>
  <c r="H117" i="90" s="1"/>
  <c r="AJ13" i="90"/>
  <c r="AI13" i="90"/>
  <c r="H72" i="90" s="1"/>
  <c r="AJ12" i="90"/>
  <c r="C114" i="13"/>
  <c r="D114" i="13"/>
  <c r="E114" i="13"/>
  <c r="F114" i="13"/>
  <c r="P192" i="90"/>
  <c r="L192" i="90"/>
  <c r="P191" i="90"/>
  <c r="L191" i="90"/>
  <c r="P188" i="90"/>
  <c r="P187" i="90"/>
  <c r="T2" i="90"/>
  <c r="S2" i="90"/>
  <c r="F113" i="86"/>
  <c r="Q96" i="86"/>
  <c r="E113" i="86"/>
  <c r="D113" i="86"/>
  <c r="C113" i="86"/>
  <c r="F112" i="86"/>
  <c r="E112" i="86"/>
  <c r="D112" i="86"/>
  <c r="P94" i="86"/>
  <c r="C112" i="86"/>
  <c r="P93" i="86"/>
  <c r="G111" i="86"/>
  <c r="G103" i="86"/>
  <c r="F110" i="86"/>
  <c r="F111" i="86"/>
  <c r="E110" i="86"/>
  <c r="O95" i="86"/>
  <c r="D110" i="86"/>
  <c r="D111" i="86"/>
  <c r="C110" i="86"/>
  <c r="C111" i="86"/>
  <c r="H103" i="86"/>
  <c r="F103" i="86"/>
  <c r="E103" i="86"/>
  <c r="D103" i="86"/>
  <c r="C103" i="86"/>
  <c r="X96" i="86"/>
  <c r="W96" i="86"/>
  <c r="V96" i="86"/>
  <c r="U96" i="86"/>
  <c r="T96" i="86"/>
  <c r="P96" i="86"/>
  <c r="N96" i="86"/>
  <c r="L96" i="86"/>
  <c r="J96" i="86"/>
  <c r="X95" i="86"/>
  <c r="W95" i="86"/>
  <c r="V95" i="86"/>
  <c r="U95" i="86"/>
  <c r="T95" i="86"/>
  <c r="Q95" i="86"/>
  <c r="P95" i="86"/>
  <c r="N95" i="86"/>
  <c r="L95" i="86"/>
  <c r="J95" i="86"/>
  <c r="X94" i="86"/>
  <c r="W94" i="86"/>
  <c r="V94" i="86"/>
  <c r="U94" i="86"/>
  <c r="T94" i="86"/>
  <c r="Q94" i="86"/>
  <c r="N94" i="86"/>
  <c r="L94" i="86"/>
  <c r="J94" i="86"/>
  <c r="X93" i="86"/>
  <c r="W93" i="86"/>
  <c r="V93" i="86"/>
  <c r="U93" i="86"/>
  <c r="T93" i="86"/>
  <c r="Q93" i="86"/>
  <c r="N93" i="86"/>
  <c r="L93" i="86"/>
  <c r="K93" i="86"/>
  <c r="J93" i="86"/>
  <c r="J88" i="86"/>
  <c r="J87" i="86"/>
  <c r="F86" i="86"/>
  <c r="E86" i="86"/>
  <c r="Q68" i="86"/>
  <c r="D86" i="86"/>
  <c r="C86" i="86"/>
  <c r="F85" i="86"/>
  <c r="E85" i="86"/>
  <c r="D85" i="86"/>
  <c r="C85" i="86"/>
  <c r="P66" i="86"/>
  <c r="G84" i="86"/>
  <c r="D83" i="86"/>
  <c r="D84" i="86"/>
  <c r="H76" i="86"/>
  <c r="G76" i="86"/>
  <c r="F76" i="86"/>
  <c r="F83" i="86"/>
  <c r="E76" i="86"/>
  <c r="E83" i="86"/>
  <c r="D76" i="86"/>
  <c r="C76" i="86"/>
  <c r="C83" i="86"/>
  <c r="X69" i="86"/>
  <c r="W69" i="86"/>
  <c r="V69" i="86"/>
  <c r="U69" i="86"/>
  <c r="T69" i="86"/>
  <c r="Q69" i="86"/>
  <c r="P69" i="86"/>
  <c r="N69" i="86"/>
  <c r="L69" i="86"/>
  <c r="J69" i="86"/>
  <c r="X68" i="86"/>
  <c r="W68" i="86"/>
  <c r="V68" i="86"/>
  <c r="U68" i="86"/>
  <c r="T68" i="86"/>
  <c r="P68" i="86"/>
  <c r="N68" i="86"/>
  <c r="L68" i="86"/>
  <c r="J68" i="86"/>
  <c r="X67" i="86"/>
  <c r="W67" i="86"/>
  <c r="V67" i="86"/>
  <c r="U67" i="86"/>
  <c r="T67" i="86"/>
  <c r="Q67" i="86"/>
  <c r="P67" i="86"/>
  <c r="N67" i="86"/>
  <c r="L67" i="86"/>
  <c r="J67" i="86"/>
  <c r="X66" i="86"/>
  <c r="W66" i="86"/>
  <c r="V66" i="86"/>
  <c r="U66" i="86"/>
  <c r="T66" i="86"/>
  <c r="Q66" i="86"/>
  <c r="N66" i="86"/>
  <c r="L66" i="86"/>
  <c r="K66" i="86"/>
  <c r="J66" i="86"/>
  <c r="J61" i="86"/>
  <c r="J60" i="86"/>
  <c r="F59" i="86"/>
  <c r="E59" i="86"/>
  <c r="Q41" i="86"/>
  <c r="D59" i="86"/>
  <c r="C59" i="86"/>
  <c r="F58" i="86"/>
  <c r="E58" i="86"/>
  <c r="D58" i="86"/>
  <c r="C58" i="86"/>
  <c r="C57" i="86"/>
  <c r="F56" i="86"/>
  <c r="O42" i="86"/>
  <c r="C56" i="86"/>
  <c r="H49" i="86"/>
  <c r="G49" i="86"/>
  <c r="F49" i="86"/>
  <c r="E49" i="86"/>
  <c r="E56" i="86"/>
  <c r="D49" i="86"/>
  <c r="D56" i="86"/>
  <c r="C49" i="86"/>
  <c r="X42" i="86"/>
  <c r="W42" i="86"/>
  <c r="V42" i="86"/>
  <c r="U42" i="86"/>
  <c r="T42" i="86"/>
  <c r="Q42" i="86"/>
  <c r="P42" i="86"/>
  <c r="N42" i="86"/>
  <c r="L42" i="86"/>
  <c r="J42" i="86"/>
  <c r="X41" i="86"/>
  <c r="W41" i="86"/>
  <c r="V41" i="86"/>
  <c r="U41" i="86"/>
  <c r="T41" i="86"/>
  <c r="P41" i="86"/>
  <c r="N41" i="86"/>
  <c r="L41" i="86"/>
  <c r="J41" i="86"/>
  <c r="X40" i="86"/>
  <c r="W40" i="86"/>
  <c r="V40" i="86"/>
  <c r="U40" i="86"/>
  <c r="T40" i="86"/>
  <c r="Q40" i="86"/>
  <c r="P40" i="86"/>
  <c r="N40" i="86"/>
  <c r="L40" i="86"/>
  <c r="J40" i="86"/>
  <c r="X39" i="86"/>
  <c r="W39" i="86"/>
  <c r="V39" i="86"/>
  <c r="U39" i="86"/>
  <c r="T39" i="86"/>
  <c r="Q39" i="86"/>
  <c r="P39" i="86"/>
  <c r="O39" i="86"/>
  <c r="N39" i="86"/>
  <c r="L39" i="86"/>
  <c r="K39" i="86"/>
  <c r="J39" i="86"/>
  <c r="J34" i="86"/>
  <c r="J33" i="86"/>
  <c r="F32" i="86"/>
  <c r="E32" i="86"/>
  <c r="D32" i="86"/>
  <c r="C32" i="86"/>
  <c r="F31" i="86"/>
  <c r="P15" i="86"/>
  <c r="E31" i="86"/>
  <c r="D31" i="86"/>
  <c r="P13" i="86"/>
  <c r="C31" i="86"/>
  <c r="P12" i="86"/>
  <c r="F30" i="86"/>
  <c r="E30" i="86"/>
  <c r="D30" i="86"/>
  <c r="C30" i="86"/>
  <c r="F29" i="86"/>
  <c r="O15" i="86"/>
  <c r="D29" i="86"/>
  <c r="O13" i="86"/>
  <c r="C29" i="86"/>
  <c r="O12" i="86"/>
  <c r="H22" i="86"/>
  <c r="G22" i="86"/>
  <c r="F22" i="86"/>
  <c r="E22" i="86"/>
  <c r="E29" i="86"/>
  <c r="O14" i="86"/>
  <c r="D22" i="86"/>
  <c r="C22" i="86"/>
  <c r="X15" i="86"/>
  <c r="W15" i="86"/>
  <c r="V15" i="86"/>
  <c r="U15" i="86"/>
  <c r="T15" i="86"/>
  <c r="Q15" i="86"/>
  <c r="N15" i="86"/>
  <c r="L15" i="86"/>
  <c r="J15" i="86"/>
  <c r="X14" i="86"/>
  <c r="W14" i="86"/>
  <c r="V14" i="86"/>
  <c r="U14" i="86"/>
  <c r="T14" i="86"/>
  <c r="Q14" i="86"/>
  <c r="P14" i="86"/>
  <c r="N14" i="86"/>
  <c r="L14" i="86"/>
  <c r="J14" i="86"/>
  <c r="X13" i="86"/>
  <c r="W13" i="86"/>
  <c r="V13" i="86"/>
  <c r="U13" i="86"/>
  <c r="T13" i="86"/>
  <c r="Q13" i="86"/>
  <c r="N13" i="86"/>
  <c r="L13" i="86"/>
  <c r="J13" i="86"/>
  <c r="X12" i="86"/>
  <c r="W12" i="86"/>
  <c r="V12" i="86"/>
  <c r="U12" i="86"/>
  <c r="T12" i="86"/>
  <c r="Q12" i="86"/>
  <c r="N12" i="86"/>
  <c r="L12" i="86"/>
  <c r="K12" i="86"/>
  <c r="J12" i="86"/>
  <c r="J7" i="86"/>
  <c r="J6" i="86"/>
  <c r="O40" i="86"/>
  <c r="D57" i="86"/>
  <c r="E57" i="86"/>
  <c r="O41" i="86"/>
  <c r="E84" i="86"/>
  <c r="O68" i="86"/>
  <c r="O69" i="86"/>
  <c r="F84" i="86"/>
  <c r="C84" i="86"/>
  <c r="O66" i="86"/>
  <c r="O93" i="86"/>
  <c r="O96" i="86"/>
  <c r="F57" i="86"/>
  <c r="O94" i="86"/>
  <c r="O67" i="86"/>
  <c r="E111" i="86"/>
  <c r="H191" i="90"/>
  <c r="H132" i="90"/>
  <c r="H126" i="90"/>
  <c r="H39" i="90"/>
  <c r="H17" i="90"/>
  <c r="H55" i="90"/>
  <c r="H114" i="90"/>
  <c r="H63" i="90"/>
  <c r="H150" i="90"/>
  <c r="H177" i="90"/>
  <c r="V177" i="90" s="1"/>
  <c r="H102" i="90"/>
  <c r="AD49" i="73"/>
  <c r="AD47" i="73"/>
  <c r="AD44" i="73"/>
  <c r="AC49" i="73"/>
  <c r="AC47" i="73"/>
  <c r="AC44" i="73"/>
  <c r="AB49" i="73"/>
  <c r="AB47" i="73"/>
  <c r="AB44" i="73"/>
  <c r="X39" i="73"/>
  <c r="Y47" i="73"/>
  <c r="X40" i="73"/>
  <c r="Y49" i="73"/>
  <c r="X38" i="73"/>
  <c r="Y44" i="73"/>
  <c r="X50" i="73"/>
  <c r="X48" i="73"/>
  <c r="X45" i="73"/>
  <c r="Y38" i="73"/>
  <c r="AG46" i="73"/>
  <c r="X23" i="73"/>
  <c r="Y23" i="73"/>
  <c r="X24" i="73"/>
  <c r="Y24" i="73"/>
  <c r="X22" i="73"/>
  <c r="Y22" i="73"/>
  <c r="W40" i="73"/>
  <c r="W39" i="73"/>
  <c r="W38" i="73"/>
  <c r="V40" i="73"/>
  <c r="V39" i="73"/>
  <c r="V38" i="73"/>
  <c r="U40" i="73"/>
  <c r="U39" i="73"/>
  <c r="U38" i="73"/>
  <c r="T40" i="73"/>
  <c r="T39" i="73"/>
  <c r="T38" i="73"/>
  <c r="R39" i="73"/>
  <c r="R40" i="73"/>
  <c r="R38" i="73"/>
  <c r="Q39" i="73"/>
  <c r="Q40" i="73"/>
  <c r="Q38" i="73"/>
  <c r="AD33" i="73"/>
  <c r="AC33" i="73"/>
  <c r="AB33" i="73"/>
  <c r="AD31" i="73"/>
  <c r="AC31" i="73"/>
  <c r="AB31" i="73"/>
  <c r="Y33" i="73"/>
  <c r="Y31" i="73"/>
  <c r="Y28" i="73"/>
  <c r="X34" i="73"/>
  <c r="X32" i="73"/>
  <c r="AD28" i="73"/>
  <c r="AC28" i="73"/>
  <c r="X29" i="73"/>
  <c r="AB28" i="73"/>
  <c r="W24" i="73"/>
  <c r="W23" i="73"/>
  <c r="V24" i="73"/>
  <c r="V23" i="73"/>
  <c r="V22" i="73"/>
  <c r="U24" i="73"/>
  <c r="U23" i="73"/>
  <c r="U22" i="73"/>
  <c r="T24" i="73"/>
  <c r="T23" i="73"/>
  <c r="S23" i="73"/>
  <c r="S24" i="73"/>
  <c r="Q23" i="73"/>
  <c r="Q24" i="73"/>
  <c r="Q22" i="73"/>
  <c r="R24" i="73"/>
  <c r="R23" i="73"/>
  <c r="R22" i="73"/>
  <c r="P17" i="73"/>
  <c r="P18" i="73"/>
  <c r="Y40" i="73"/>
  <c r="Y39" i="73"/>
  <c r="AG30" i="73"/>
  <c r="S40" i="73"/>
  <c r="S38" i="73"/>
  <c r="S39" i="73"/>
  <c r="S22" i="73"/>
  <c r="T22" i="73"/>
  <c r="W22" i="73"/>
  <c r="P90" i="79"/>
  <c r="AE90" i="79"/>
  <c r="P11" i="79"/>
  <c r="AE11" i="79"/>
  <c r="AR93" i="79"/>
  <c r="AP93" i="79"/>
  <c r="AN93" i="79"/>
  <c r="AL93" i="79"/>
  <c r="AJ93" i="79"/>
  <c r="F113" i="79"/>
  <c r="E113" i="79"/>
  <c r="D113" i="79"/>
  <c r="C113" i="79"/>
  <c r="F112" i="79"/>
  <c r="E112" i="79"/>
  <c r="D112" i="79"/>
  <c r="C112" i="79"/>
  <c r="E111" i="79"/>
  <c r="F110" i="79"/>
  <c r="E110" i="79"/>
  <c r="D110" i="79"/>
  <c r="C110" i="79"/>
  <c r="F108" i="79"/>
  <c r="E108" i="79"/>
  <c r="D108" i="79"/>
  <c r="C108" i="79"/>
  <c r="J94" i="79"/>
  <c r="I94" i="79"/>
  <c r="H94" i="79"/>
  <c r="G94" i="79"/>
  <c r="F94" i="79"/>
  <c r="E94" i="79"/>
  <c r="D94" i="79"/>
  <c r="C94" i="79"/>
  <c r="J93" i="79"/>
  <c r="H93" i="79"/>
  <c r="F93" i="79"/>
  <c r="E93" i="79"/>
  <c r="D93" i="79"/>
  <c r="C93" i="79"/>
  <c r="I91" i="79"/>
  <c r="H91" i="79"/>
  <c r="G91" i="79"/>
  <c r="F91" i="79"/>
  <c r="E91" i="79"/>
  <c r="D91" i="79"/>
  <c r="C91" i="79"/>
  <c r="J90" i="79"/>
  <c r="J91" i="79"/>
  <c r="H90" i="79"/>
  <c r="F34" i="79"/>
  <c r="E34" i="79"/>
  <c r="D34" i="79"/>
  <c r="C34" i="79"/>
  <c r="F33" i="79"/>
  <c r="E33" i="79"/>
  <c r="D33" i="79"/>
  <c r="C33" i="79"/>
  <c r="E32" i="79"/>
  <c r="F31" i="79"/>
  <c r="E31" i="79"/>
  <c r="D31" i="79"/>
  <c r="C31" i="79"/>
  <c r="J15" i="79"/>
  <c r="I15" i="79"/>
  <c r="H15" i="79"/>
  <c r="G15" i="79"/>
  <c r="F15" i="79"/>
  <c r="E15" i="79"/>
  <c r="D15" i="79"/>
  <c r="C15" i="79"/>
  <c r="J14" i="79"/>
  <c r="H14" i="79"/>
  <c r="F14" i="79"/>
  <c r="E14" i="79"/>
  <c r="D14" i="79"/>
  <c r="C14" i="79"/>
  <c r="I12" i="79"/>
  <c r="H12" i="79"/>
  <c r="G12" i="79"/>
  <c r="F12" i="79"/>
  <c r="E12" i="79"/>
  <c r="D12" i="79"/>
  <c r="C12" i="79"/>
  <c r="J11" i="79"/>
  <c r="J12" i="79"/>
  <c r="H11" i="79"/>
  <c r="T18" i="73"/>
  <c r="F128" i="79"/>
  <c r="W121" i="79"/>
  <c r="F127" i="79"/>
  <c r="V121" i="79"/>
  <c r="D127" i="79"/>
  <c r="V119" i="79"/>
  <c r="C127" i="79"/>
  <c r="V118" i="79"/>
  <c r="F125" i="79"/>
  <c r="F126" i="79"/>
  <c r="E125" i="79"/>
  <c r="E126" i="79"/>
  <c r="D125" i="79"/>
  <c r="D126" i="79"/>
  <c r="C125" i="79"/>
  <c r="C126" i="79"/>
  <c r="AD121" i="79"/>
  <c r="AC121" i="79"/>
  <c r="AB121" i="79"/>
  <c r="AA121" i="79"/>
  <c r="Z121" i="79"/>
  <c r="U121" i="79"/>
  <c r="T121" i="79"/>
  <c r="P121" i="79"/>
  <c r="O121" i="79"/>
  <c r="R121" i="79"/>
  <c r="AD120" i="79"/>
  <c r="AC120" i="79"/>
  <c r="AB120" i="79"/>
  <c r="AA120" i="79"/>
  <c r="Z120" i="79"/>
  <c r="U120" i="79"/>
  <c r="T120" i="79"/>
  <c r="P120" i="79"/>
  <c r="O120" i="79"/>
  <c r="R120" i="79"/>
  <c r="AD119" i="79"/>
  <c r="AC119" i="79"/>
  <c r="AB119" i="79"/>
  <c r="AA119" i="79"/>
  <c r="Z119" i="79"/>
  <c r="U119" i="79"/>
  <c r="T119" i="79"/>
  <c r="P119" i="79"/>
  <c r="O119" i="79"/>
  <c r="R119" i="79"/>
  <c r="AD118" i="79"/>
  <c r="AC118" i="79"/>
  <c r="AB118" i="79"/>
  <c r="AA118" i="79"/>
  <c r="Z118" i="79"/>
  <c r="T118" i="79"/>
  <c r="P118" i="79"/>
  <c r="Q118" i="79"/>
  <c r="O118" i="79"/>
  <c r="R118" i="79"/>
  <c r="D128" i="79"/>
  <c r="W119" i="79"/>
  <c r="P113" i="79"/>
  <c r="E128" i="79"/>
  <c r="W120" i="79"/>
  <c r="E127" i="79"/>
  <c r="V120" i="79"/>
  <c r="B81" i="79"/>
  <c r="F48" i="79"/>
  <c r="V42" i="79"/>
  <c r="E48" i="79"/>
  <c r="V41" i="79"/>
  <c r="D48" i="79"/>
  <c r="V40" i="79"/>
  <c r="C48" i="79"/>
  <c r="V39" i="79"/>
  <c r="D47" i="79"/>
  <c r="F46" i="79"/>
  <c r="F47" i="79"/>
  <c r="E46" i="79"/>
  <c r="U41" i="79"/>
  <c r="D46" i="79"/>
  <c r="U40" i="79"/>
  <c r="C46" i="79"/>
  <c r="U39" i="79"/>
  <c r="AD42" i="79"/>
  <c r="AC42" i="79"/>
  <c r="AB42" i="79"/>
  <c r="AA42" i="79"/>
  <c r="Z42" i="79"/>
  <c r="T42" i="79"/>
  <c r="P42" i="79"/>
  <c r="AD41" i="79"/>
  <c r="AC41" i="79"/>
  <c r="AB41" i="79"/>
  <c r="AA41" i="79"/>
  <c r="Z41" i="79"/>
  <c r="T41" i="79"/>
  <c r="P41" i="79"/>
  <c r="O41" i="79"/>
  <c r="R41" i="79"/>
  <c r="AD40" i="79"/>
  <c r="AC40" i="79"/>
  <c r="AB40" i="79"/>
  <c r="AA40" i="79"/>
  <c r="Z40" i="79"/>
  <c r="T40" i="79"/>
  <c r="P40" i="79"/>
  <c r="O40" i="79"/>
  <c r="R40" i="79"/>
  <c r="AD39" i="79"/>
  <c r="AC39" i="79"/>
  <c r="AB39" i="79"/>
  <c r="AA39" i="79"/>
  <c r="Z39" i="79"/>
  <c r="T39" i="79"/>
  <c r="P39" i="79"/>
  <c r="Q39" i="79"/>
  <c r="F49" i="79"/>
  <c r="W42" i="79"/>
  <c r="D49" i="79"/>
  <c r="W40" i="79"/>
  <c r="P34" i="79"/>
  <c r="E49" i="79"/>
  <c r="W41" i="79"/>
  <c r="O42" i="79"/>
  <c r="R42" i="79"/>
  <c r="O39" i="79"/>
  <c r="R39" i="79"/>
  <c r="B2" i="79"/>
  <c r="C16" i="73"/>
  <c r="C47" i="73"/>
  <c r="A13" i="73"/>
  <c r="A12" i="73"/>
  <c r="A11" i="73"/>
  <c r="A14" i="73"/>
  <c r="K119" i="73"/>
  <c r="J119" i="73"/>
  <c r="I119" i="73"/>
  <c r="H119" i="73"/>
  <c r="G119" i="73"/>
  <c r="G129" i="73"/>
  <c r="F119" i="73"/>
  <c r="F129" i="73"/>
  <c r="V125" i="73"/>
  <c r="E119" i="73"/>
  <c r="E129" i="73"/>
  <c r="V124" i="73"/>
  <c r="D119" i="73"/>
  <c r="D129" i="73"/>
  <c r="V123" i="73"/>
  <c r="C119" i="73"/>
  <c r="C129" i="73"/>
  <c r="V122" i="73"/>
  <c r="P94" i="73"/>
  <c r="P99" i="73"/>
  <c r="P98" i="73"/>
  <c r="P97" i="73"/>
  <c r="Q99" i="73"/>
  <c r="Q98" i="73"/>
  <c r="R99" i="73"/>
  <c r="R98" i="73"/>
  <c r="S99" i="73"/>
  <c r="S98" i="73"/>
  <c r="T99" i="73"/>
  <c r="T98" i="73"/>
  <c r="G130" i="73"/>
  <c r="F130" i="73"/>
  <c r="E130" i="73"/>
  <c r="W124" i="73"/>
  <c r="D130" i="73"/>
  <c r="W123" i="73"/>
  <c r="C130" i="73"/>
  <c r="W122" i="73"/>
  <c r="G127" i="73"/>
  <c r="F127" i="73"/>
  <c r="F128" i="73"/>
  <c r="E127" i="73"/>
  <c r="U124" i="73"/>
  <c r="D127" i="73"/>
  <c r="D128" i="73"/>
  <c r="C127" i="73"/>
  <c r="C128" i="73"/>
  <c r="AD126" i="73"/>
  <c r="AC126" i="73"/>
  <c r="AB126" i="73"/>
  <c r="AA126" i="73"/>
  <c r="Z126" i="73"/>
  <c r="W126" i="73"/>
  <c r="V126" i="73"/>
  <c r="T126" i="73"/>
  <c r="P126" i="73"/>
  <c r="O126" i="73"/>
  <c r="R126" i="73"/>
  <c r="AD125" i="73"/>
  <c r="AC125" i="73"/>
  <c r="AB125" i="73"/>
  <c r="AA125" i="73"/>
  <c r="Z125" i="73"/>
  <c r="W125" i="73"/>
  <c r="T125" i="73"/>
  <c r="P125" i="73"/>
  <c r="O125" i="73"/>
  <c r="R125" i="73"/>
  <c r="AD124" i="73"/>
  <c r="AC124" i="73"/>
  <c r="AB124" i="73"/>
  <c r="AA124" i="73"/>
  <c r="Z124" i="73"/>
  <c r="T124" i="73"/>
  <c r="P124" i="73"/>
  <c r="O124" i="73"/>
  <c r="R124" i="73"/>
  <c r="AD123" i="73"/>
  <c r="AC123" i="73"/>
  <c r="AB123" i="73"/>
  <c r="AA123" i="73"/>
  <c r="Z123" i="73"/>
  <c r="T123" i="73"/>
  <c r="P123" i="73"/>
  <c r="O123" i="73"/>
  <c r="R123" i="73"/>
  <c r="AD122" i="73"/>
  <c r="AC122" i="73"/>
  <c r="AB122" i="73"/>
  <c r="AA122" i="73"/>
  <c r="Z122" i="73"/>
  <c r="P122" i="73"/>
  <c r="Q122" i="73"/>
  <c r="O122" i="73"/>
  <c r="R122" i="73"/>
  <c r="P117" i="73"/>
  <c r="P116" i="73"/>
  <c r="P104" i="73"/>
  <c r="P103" i="73"/>
  <c r="T122" i="73"/>
  <c r="S17" i="73"/>
  <c r="D50" i="73"/>
  <c r="E50" i="73"/>
  <c r="F50" i="73"/>
  <c r="G50" i="73"/>
  <c r="C50" i="73"/>
  <c r="T13" i="73"/>
  <c r="T12" i="73"/>
  <c r="Q13" i="73"/>
  <c r="Q12" i="73"/>
  <c r="R13" i="73"/>
  <c r="R12" i="73"/>
  <c r="S13" i="73"/>
  <c r="S12" i="73"/>
  <c r="D47" i="73"/>
  <c r="E47" i="73"/>
  <c r="F47" i="73"/>
  <c r="G47" i="73"/>
  <c r="T17" i="73"/>
  <c r="V17" i="73"/>
  <c r="C47" i="79"/>
  <c r="E47" i="79"/>
  <c r="U118" i="79"/>
  <c r="U42" i="79"/>
  <c r="U123" i="73"/>
  <c r="P102" i="73"/>
  <c r="U122" i="73"/>
  <c r="U125" i="73"/>
  <c r="E128" i="73"/>
  <c r="U126" i="73"/>
  <c r="P8" i="73"/>
  <c r="P13" i="73"/>
  <c r="P112" i="79"/>
  <c r="C128" i="79"/>
  <c r="W118" i="79"/>
  <c r="C49" i="79"/>
  <c r="W39" i="79"/>
  <c r="P33" i="79"/>
  <c r="P16" i="73"/>
  <c r="P12" i="73"/>
  <c r="P11" i="73"/>
  <c r="K39" i="73"/>
  <c r="J39" i="73"/>
  <c r="I39" i="73"/>
  <c r="H39" i="73"/>
  <c r="G39" i="73"/>
  <c r="G49" i="73"/>
  <c r="F39" i="73"/>
  <c r="F49" i="73"/>
  <c r="E39" i="73"/>
  <c r="E49" i="73"/>
  <c r="D39" i="73"/>
  <c r="D49" i="73"/>
  <c r="C39" i="73"/>
  <c r="C49" i="73"/>
  <c r="U17" i="73"/>
  <c r="O39" i="63"/>
  <c r="O42" i="63"/>
  <c r="O41" i="63"/>
  <c r="O40" i="63"/>
  <c r="F192" i="63"/>
  <c r="E192" i="63"/>
  <c r="V185" i="63"/>
  <c r="D192" i="63"/>
  <c r="C192" i="63"/>
  <c r="V183" i="63"/>
  <c r="F190" i="63"/>
  <c r="F191" i="63"/>
  <c r="E190" i="63"/>
  <c r="E191" i="63"/>
  <c r="D190" i="63"/>
  <c r="D191" i="63"/>
  <c r="C190" i="63"/>
  <c r="C191" i="63"/>
  <c r="AD186" i="63"/>
  <c r="AC186" i="63"/>
  <c r="AB186" i="63"/>
  <c r="AA186" i="63"/>
  <c r="Z186" i="63"/>
  <c r="V186" i="63"/>
  <c r="U186" i="63"/>
  <c r="T186" i="63"/>
  <c r="P186" i="63"/>
  <c r="AD185" i="63"/>
  <c r="AC185" i="63"/>
  <c r="AB185" i="63"/>
  <c r="AA185" i="63"/>
  <c r="Z185" i="63"/>
  <c r="T185" i="63"/>
  <c r="P185" i="63"/>
  <c r="AD184" i="63"/>
  <c r="AC184" i="63"/>
  <c r="AB184" i="63"/>
  <c r="AA184" i="63"/>
  <c r="Z184" i="63"/>
  <c r="V184" i="63"/>
  <c r="U184" i="63"/>
  <c r="T184" i="63"/>
  <c r="P184" i="63"/>
  <c r="AD183" i="63"/>
  <c r="AC183" i="63"/>
  <c r="AB183" i="63"/>
  <c r="AA183" i="63"/>
  <c r="Z183" i="63"/>
  <c r="T183" i="63"/>
  <c r="P183" i="63"/>
  <c r="Q183" i="63"/>
  <c r="F183" i="63"/>
  <c r="E183" i="63"/>
  <c r="D183" i="63"/>
  <c r="C183" i="63"/>
  <c r="E179" i="63"/>
  <c r="P178" i="63"/>
  <c r="F178" i="63"/>
  <c r="F177" i="63"/>
  <c r="E178" i="63"/>
  <c r="D178" i="63"/>
  <c r="C178" i="63"/>
  <c r="D177" i="63"/>
  <c r="D193" i="63"/>
  <c r="W184" i="63"/>
  <c r="C177" i="63"/>
  <c r="C193" i="63"/>
  <c r="W183" i="63"/>
  <c r="AR163" i="63"/>
  <c r="AP163" i="63"/>
  <c r="AN163" i="63"/>
  <c r="AL163" i="63"/>
  <c r="AJ163" i="63"/>
  <c r="AC163" i="63"/>
  <c r="AA163" i="63"/>
  <c r="Y163" i="63"/>
  <c r="W163" i="63"/>
  <c r="U163" i="63"/>
  <c r="AR158" i="63"/>
  <c r="AP158" i="63"/>
  <c r="AN158" i="63"/>
  <c r="AL158" i="63"/>
  <c r="AJ158" i="63"/>
  <c r="C156" i="63"/>
  <c r="O183" i="63"/>
  <c r="R183" i="63"/>
  <c r="AE155" i="63"/>
  <c r="P155" i="63"/>
  <c r="H155" i="63"/>
  <c r="H156" i="63"/>
  <c r="G155" i="63"/>
  <c r="G156" i="63"/>
  <c r="D155" i="63"/>
  <c r="D156" i="63"/>
  <c r="O184" i="63"/>
  <c r="R184" i="63"/>
  <c r="F120" i="63"/>
  <c r="E120" i="63"/>
  <c r="V113" i="63"/>
  <c r="D120" i="63"/>
  <c r="C120" i="63"/>
  <c r="V111" i="63"/>
  <c r="F118" i="63"/>
  <c r="F119" i="63"/>
  <c r="E118" i="63"/>
  <c r="E119" i="63"/>
  <c r="D118" i="63"/>
  <c r="D119" i="63"/>
  <c r="C118" i="63"/>
  <c r="C119" i="63"/>
  <c r="AD114" i="63"/>
  <c r="AC114" i="63"/>
  <c r="AB114" i="63"/>
  <c r="AA114" i="63"/>
  <c r="Z114" i="63"/>
  <c r="V114" i="63"/>
  <c r="U114" i="63"/>
  <c r="T114" i="63"/>
  <c r="P114" i="63"/>
  <c r="AD113" i="63"/>
  <c r="AC113" i="63"/>
  <c r="AB113" i="63"/>
  <c r="AA113" i="63"/>
  <c r="Z113" i="63"/>
  <c r="T113" i="63"/>
  <c r="P113" i="63"/>
  <c r="O113" i="63"/>
  <c r="R113" i="63"/>
  <c r="AD112" i="63"/>
  <c r="AC112" i="63"/>
  <c r="AB112" i="63"/>
  <c r="AA112" i="63"/>
  <c r="Z112" i="63"/>
  <c r="V112" i="63"/>
  <c r="U112" i="63"/>
  <c r="T112" i="63"/>
  <c r="P112" i="63"/>
  <c r="AD111" i="63"/>
  <c r="AC111" i="63"/>
  <c r="AB111" i="63"/>
  <c r="AA111" i="63"/>
  <c r="Z111" i="63"/>
  <c r="T111" i="63"/>
  <c r="P111" i="63"/>
  <c r="Q111" i="63"/>
  <c r="F111" i="63"/>
  <c r="E111" i="63"/>
  <c r="D111" i="63"/>
  <c r="C111" i="63"/>
  <c r="E107" i="63"/>
  <c r="P106" i="63"/>
  <c r="F106" i="63"/>
  <c r="F105" i="63"/>
  <c r="E106" i="63"/>
  <c r="D106" i="63"/>
  <c r="C106" i="63"/>
  <c r="D105" i="63"/>
  <c r="D121" i="63"/>
  <c r="W112" i="63"/>
  <c r="C105" i="63"/>
  <c r="C121" i="63"/>
  <c r="W111" i="63"/>
  <c r="AR91" i="63"/>
  <c r="AP91" i="63"/>
  <c r="AN91" i="63"/>
  <c r="AL91" i="63"/>
  <c r="AJ91" i="63"/>
  <c r="AC91" i="63"/>
  <c r="AA91" i="63"/>
  <c r="Y91" i="63"/>
  <c r="W91" i="63"/>
  <c r="U91" i="63"/>
  <c r="AN86" i="63"/>
  <c r="AL86" i="63"/>
  <c r="AJ86" i="63"/>
  <c r="AC86" i="63"/>
  <c r="AR86" i="63"/>
  <c r="AA86" i="63"/>
  <c r="AP86" i="63"/>
  <c r="Y86" i="63"/>
  <c r="W86" i="63"/>
  <c r="U86" i="63"/>
  <c r="G84" i="63"/>
  <c r="F84" i="63"/>
  <c r="O114" i="63"/>
  <c r="R114" i="63"/>
  <c r="E84" i="63"/>
  <c r="D84" i="63"/>
  <c r="O112" i="63"/>
  <c r="R112" i="63"/>
  <c r="C84" i="63"/>
  <c r="O111" i="63"/>
  <c r="R111" i="63"/>
  <c r="P83" i="63"/>
  <c r="AE83" i="63"/>
  <c r="J83" i="63"/>
  <c r="J84" i="63"/>
  <c r="I83" i="63"/>
  <c r="I84" i="63"/>
  <c r="H83" i="63"/>
  <c r="H84" i="63"/>
  <c r="G83" i="63"/>
  <c r="F193" i="63"/>
  <c r="W186" i="63"/>
  <c r="E177" i="63"/>
  <c r="E193" i="63"/>
  <c r="W185" i="63"/>
  <c r="E155" i="63"/>
  <c r="P177" i="63"/>
  <c r="U183" i="63"/>
  <c r="U185" i="63"/>
  <c r="F121" i="63"/>
  <c r="W114" i="63"/>
  <c r="E105" i="63"/>
  <c r="E121" i="63"/>
  <c r="W113" i="63"/>
  <c r="P105" i="63"/>
  <c r="U111" i="63"/>
  <c r="U113" i="63"/>
  <c r="P11" i="56"/>
  <c r="P90" i="55"/>
  <c r="F155" i="63"/>
  <c r="E156" i="63"/>
  <c r="O185" i="63"/>
  <c r="R185" i="63"/>
  <c r="J155" i="63"/>
  <c r="J156" i="63"/>
  <c r="I155" i="63"/>
  <c r="I156" i="63"/>
  <c r="F156" i="63"/>
  <c r="O186" i="63"/>
  <c r="R186" i="63"/>
  <c r="R4" i="63"/>
  <c r="X4" i="63" a="1"/>
  <c r="X4" i="63"/>
  <c r="C46" i="63"/>
  <c r="D46" i="63"/>
  <c r="E46" i="63"/>
  <c r="F46" i="63"/>
  <c r="F289" i="73"/>
  <c r="V286" i="73"/>
  <c r="D289" i="73"/>
  <c r="V284" i="73"/>
  <c r="C289" i="73"/>
  <c r="V283" i="73"/>
  <c r="AD286" i="73"/>
  <c r="AC286" i="73"/>
  <c r="AB286" i="73"/>
  <c r="AA286" i="73"/>
  <c r="Z286" i="73"/>
  <c r="T286" i="73"/>
  <c r="P286" i="73"/>
  <c r="O286" i="73"/>
  <c r="R286" i="73"/>
  <c r="AD285" i="73"/>
  <c r="AC285" i="73"/>
  <c r="AB285" i="73"/>
  <c r="AA285" i="73"/>
  <c r="Z285" i="73"/>
  <c r="T285" i="73"/>
  <c r="P285" i="73"/>
  <c r="O285" i="73"/>
  <c r="R285" i="73"/>
  <c r="AD284" i="73"/>
  <c r="AC284" i="73"/>
  <c r="AB284" i="73"/>
  <c r="AA284" i="73"/>
  <c r="Z284" i="73"/>
  <c r="T284" i="73"/>
  <c r="P284" i="73"/>
  <c r="O284" i="73"/>
  <c r="R284" i="73"/>
  <c r="AD283" i="73"/>
  <c r="AC283" i="73"/>
  <c r="AB283" i="73"/>
  <c r="AA283" i="73"/>
  <c r="Z283" i="73"/>
  <c r="T283" i="73"/>
  <c r="P283" i="73"/>
  <c r="Q283" i="73"/>
  <c r="O283" i="73"/>
  <c r="R283" i="73"/>
  <c r="F275" i="73"/>
  <c r="F274" i="73"/>
  <c r="F290" i="73"/>
  <c r="W286" i="73"/>
  <c r="E275" i="73"/>
  <c r="E274" i="73"/>
  <c r="E290" i="73"/>
  <c r="W285" i="73"/>
  <c r="D275" i="73"/>
  <c r="D274" i="73"/>
  <c r="D290" i="73"/>
  <c r="W284" i="73"/>
  <c r="C275" i="73"/>
  <c r="C274" i="73"/>
  <c r="E273" i="73"/>
  <c r="E289" i="73"/>
  <c r="V285" i="73"/>
  <c r="F272" i="73"/>
  <c r="E272" i="73"/>
  <c r="D272" i="73"/>
  <c r="C272" i="73"/>
  <c r="F270" i="73"/>
  <c r="F287" i="73"/>
  <c r="E270" i="73"/>
  <c r="E287" i="73"/>
  <c r="D270" i="73"/>
  <c r="D287" i="73"/>
  <c r="C270" i="73"/>
  <c r="C287" i="73"/>
  <c r="C288" i="73"/>
  <c r="AR255" i="73"/>
  <c r="AP255" i="73"/>
  <c r="AN255" i="73"/>
  <c r="AL255" i="73"/>
  <c r="AJ258" i="73"/>
  <c r="P255" i="73"/>
  <c r="AE255" i="73"/>
  <c r="F210" i="73"/>
  <c r="V207" i="73"/>
  <c r="D210" i="73"/>
  <c r="V205" i="73"/>
  <c r="C210" i="73"/>
  <c r="V204" i="73"/>
  <c r="AD207" i="73"/>
  <c r="AC207" i="73"/>
  <c r="AB207" i="73"/>
  <c r="AA207" i="73"/>
  <c r="Z207" i="73"/>
  <c r="T207" i="73"/>
  <c r="P207" i="73"/>
  <c r="AD206" i="73"/>
  <c r="AC206" i="73"/>
  <c r="AB206" i="73"/>
  <c r="AA206" i="73"/>
  <c r="Z206" i="73"/>
  <c r="T206" i="73"/>
  <c r="P206" i="73"/>
  <c r="AD205" i="73"/>
  <c r="AC205" i="73"/>
  <c r="AB205" i="73"/>
  <c r="AA205" i="73"/>
  <c r="Z205" i="73"/>
  <c r="T205" i="73"/>
  <c r="P205" i="73"/>
  <c r="AD204" i="73"/>
  <c r="AC204" i="73"/>
  <c r="AB204" i="73"/>
  <c r="AA204" i="73"/>
  <c r="Z204" i="73"/>
  <c r="T204" i="73"/>
  <c r="P204" i="73"/>
  <c r="Q204" i="73"/>
  <c r="F196" i="73"/>
  <c r="F195" i="73"/>
  <c r="F211" i="73"/>
  <c r="W207" i="73"/>
  <c r="E196" i="73"/>
  <c r="E195" i="73"/>
  <c r="E211" i="73"/>
  <c r="W206" i="73"/>
  <c r="D196" i="73"/>
  <c r="D195" i="73"/>
  <c r="D211" i="73"/>
  <c r="W205" i="73"/>
  <c r="C196" i="73"/>
  <c r="P199" i="73"/>
  <c r="E194" i="73"/>
  <c r="E210" i="73"/>
  <c r="V206" i="73"/>
  <c r="F193" i="73"/>
  <c r="E193" i="73"/>
  <c r="D193" i="73"/>
  <c r="C193" i="73"/>
  <c r="F191" i="73"/>
  <c r="F208" i="73"/>
  <c r="U207" i="73"/>
  <c r="D191" i="73"/>
  <c r="D208" i="73"/>
  <c r="U205" i="73"/>
  <c r="C191" i="73"/>
  <c r="C208" i="73"/>
  <c r="AR176" i="73"/>
  <c r="AP176" i="73"/>
  <c r="AN176" i="73"/>
  <c r="AL176" i="73"/>
  <c r="AJ179" i="73"/>
  <c r="F174" i="73"/>
  <c r="O207" i="73"/>
  <c r="R207" i="73"/>
  <c r="E174" i="73"/>
  <c r="O206" i="73"/>
  <c r="R206" i="73"/>
  <c r="D174" i="73"/>
  <c r="O205" i="73"/>
  <c r="R205" i="73"/>
  <c r="C174" i="73"/>
  <c r="O204" i="73"/>
  <c r="R204" i="73"/>
  <c r="P176" i="73"/>
  <c r="AE176" i="73"/>
  <c r="J173" i="73"/>
  <c r="J174" i="73"/>
  <c r="I173" i="73"/>
  <c r="I174" i="73"/>
  <c r="H173" i="73"/>
  <c r="H174" i="73"/>
  <c r="G173" i="73"/>
  <c r="G174" i="73"/>
  <c r="B82" i="73"/>
  <c r="D48" i="73"/>
  <c r="C48" i="73"/>
  <c r="B2" i="73"/>
  <c r="D288" i="73"/>
  <c r="U284" i="73"/>
  <c r="C195" i="73"/>
  <c r="E191" i="73"/>
  <c r="E208" i="73"/>
  <c r="E209" i="73"/>
  <c r="P278" i="73"/>
  <c r="C290" i="73"/>
  <c r="W283" i="73"/>
  <c r="P277" i="73"/>
  <c r="C209" i="73"/>
  <c r="U204" i="73"/>
  <c r="E48" i="73"/>
  <c r="E288" i="73"/>
  <c r="U285" i="73"/>
  <c r="F288" i="73"/>
  <c r="U286" i="73"/>
  <c r="F48" i="73"/>
  <c r="D209" i="73"/>
  <c r="F209" i="73"/>
  <c r="U283" i="73"/>
  <c r="AR254" i="72"/>
  <c r="AP254" i="72"/>
  <c r="AN254" i="72"/>
  <c r="AL254" i="72"/>
  <c r="AJ254" i="72"/>
  <c r="AE251" i="72"/>
  <c r="F274" i="72"/>
  <c r="F273" i="72"/>
  <c r="F289" i="72"/>
  <c r="W282" i="72"/>
  <c r="E274" i="72"/>
  <c r="E273" i="72"/>
  <c r="E289" i="72"/>
  <c r="W281" i="72"/>
  <c r="D274" i="72"/>
  <c r="D273" i="72"/>
  <c r="D289" i="72"/>
  <c r="W280" i="72"/>
  <c r="C274" i="72"/>
  <c r="C273" i="72"/>
  <c r="C289" i="72"/>
  <c r="W279" i="72"/>
  <c r="E272" i="72"/>
  <c r="E288" i="72"/>
  <c r="V281" i="72"/>
  <c r="F271" i="72"/>
  <c r="E271" i="72"/>
  <c r="D271" i="72"/>
  <c r="C271" i="72"/>
  <c r="F269" i="72"/>
  <c r="E269" i="72"/>
  <c r="D269" i="72"/>
  <c r="D286" i="72"/>
  <c r="C269" i="72"/>
  <c r="F288" i="72"/>
  <c r="D288" i="72"/>
  <c r="V280" i="72"/>
  <c r="C288" i="72"/>
  <c r="V279" i="72"/>
  <c r="AD282" i="72"/>
  <c r="AC282" i="72"/>
  <c r="AB282" i="72"/>
  <c r="AA282" i="72"/>
  <c r="Z282" i="72"/>
  <c r="V282" i="72"/>
  <c r="T282" i="72"/>
  <c r="P282" i="72"/>
  <c r="AD281" i="72"/>
  <c r="AC281" i="72"/>
  <c r="AB281" i="72"/>
  <c r="AA281" i="72"/>
  <c r="Z281" i="72"/>
  <c r="T281" i="72"/>
  <c r="P281" i="72"/>
  <c r="AD280" i="72"/>
  <c r="AC280" i="72"/>
  <c r="AB280" i="72"/>
  <c r="AA280" i="72"/>
  <c r="Z280" i="72"/>
  <c r="T280" i="72"/>
  <c r="P280" i="72"/>
  <c r="AD279" i="72"/>
  <c r="AC279" i="72"/>
  <c r="AB279" i="72"/>
  <c r="AA279" i="72"/>
  <c r="Z279" i="72"/>
  <c r="T279" i="72"/>
  <c r="P279" i="72"/>
  <c r="Q279" i="72"/>
  <c r="P274" i="72"/>
  <c r="E286" i="72"/>
  <c r="C286" i="72"/>
  <c r="C287" i="72"/>
  <c r="O282" i="72"/>
  <c r="R282" i="72"/>
  <c r="O281" i="72"/>
  <c r="R281" i="72"/>
  <c r="O280" i="72"/>
  <c r="R280" i="72"/>
  <c r="O279" i="72"/>
  <c r="R279" i="72"/>
  <c r="P251" i="72"/>
  <c r="AR175" i="72"/>
  <c r="AP175" i="72"/>
  <c r="AN175" i="72"/>
  <c r="AL175" i="72"/>
  <c r="AJ175" i="72"/>
  <c r="F195" i="72"/>
  <c r="F194" i="72"/>
  <c r="F210" i="72"/>
  <c r="W203" i="72"/>
  <c r="E195" i="72"/>
  <c r="E194" i="72"/>
  <c r="E210" i="72"/>
  <c r="W202" i="72"/>
  <c r="D195" i="72"/>
  <c r="D194" i="72"/>
  <c r="D210" i="72"/>
  <c r="W201" i="72"/>
  <c r="C195" i="72"/>
  <c r="C194" i="72"/>
  <c r="E193" i="72"/>
  <c r="E209" i="72"/>
  <c r="V202" i="72"/>
  <c r="F192" i="72"/>
  <c r="E192" i="72"/>
  <c r="D192" i="72"/>
  <c r="C192" i="72"/>
  <c r="F190" i="72"/>
  <c r="E190" i="72"/>
  <c r="E207" i="72"/>
  <c r="D190" i="72"/>
  <c r="C190" i="72"/>
  <c r="F173" i="72"/>
  <c r="O203" i="72"/>
  <c r="R203" i="72"/>
  <c r="E173" i="72"/>
  <c r="D173" i="72"/>
  <c r="O201" i="72"/>
  <c r="R201" i="72"/>
  <c r="C173" i="72"/>
  <c r="O200" i="72"/>
  <c r="R200" i="72"/>
  <c r="J172" i="72"/>
  <c r="J173" i="72"/>
  <c r="I172" i="72"/>
  <c r="I173" i="72"/>
  <c r="H172" i="72"/>
  <c r="H173" i="72"/>
  <c r="G172" i="72"/>
  <c r="G173" i="72"/>
  <c r="F209" i="72"/>
  <c r="D209" i="72"/>
  <c r="V201" i="72"/>
  <c r="C209" i="72"/>
  <c r="V200" i="72"/>
  <c r="F207" i="72"/>
  <c r="F208" i="72"/>
  <c r="D207" i="72"/>
  <c r="D208" i="72"/>
  <c r="C207" i="72"/>
  <c r="C208" i="72"/>
  <c r="AD203" i="72"/>
  <c r="AC203" i="72"/>
  <c r="AB203" i="72"/>
  <c r="AA203" i="72"/>
  <c r="Z203" i="72"/>
  <c r="V203" i="72"/>
  <c r="T203" i="72"/>
  <c r="P203" i="72"/>
  <c r="AD202" i="72"/>
  <c r="AC202" i="72"/>
  <c r="AB202" i="72"/>
  <c r="AA202" i="72"/>
  <c r="Z202" i="72"/>
  <c r="T202" i="72"/>
  <c r="P202" i="72"/>
  <c r="O202" i="72"/>
  <c r="R202" i="72"/>
  <c r="AD201" i="72"/>
  <c r="AC201" i="72"/>
  <c r="AB201" i="72"/>
  <c r="AA201" i="72"/>
  <c r="Z201" i="72"/>
  <c r="T201" i="72"/>
  <c r="P201" i="72"/>
  <c r="AD200" i="72"/>
  <c r="AC200" i="72"/>
  <c r="AB200" i="72"/>
  <c r="AA200" i="72"/>
  <c r="Z200" i="72"/>
  <c r="T200" i="72"/>
  <c r="P200" i="72"/>
  <c r="Q200" i="72"/>
  <c r="P195" i="72"/>
  <c r="C210" i="72"/>
  <c r="W200" i="72"/>
  <c r="P172" i="72"/>
  <c r="AE172" i="72"/>
  <c r="F113" i="72"/>
  <c r="F112" i="72"/>
  <c r="F128" i="72"/>
  <c r="W121" i="72"/>
  <c r="E113" i="72"/>
  <c r="E112" i="72"/>
  <c r="E128" i="72"/>
  <c r="W120" i="72"/>
  <c r="D113" i="72"/>
  <c r="D112" i="72"/>
  <c r="D128" i="72"/>
  <c r="W119" i="72"/>
  <c r="C113" i="72"/>
  <c r="C112" i="72"/>
  <c r="P112" i="72"/>
  <c r="E111" i="72"/>
  <c r="E127" i="72"/>
  <c r="V120" i="72"/>
  <c r="F110" i="72"/>
  <c r="E110" i="72"/>
  <c r="D110" i="72"/>
  <c r="C110" i="72"/>
  <c r="F34" i="72"/>
  <c r="E34" i="72"/>
  <c r="D34" i="72"/>
  <c r="D33" i="72"/>
  <c r="D49" i="72"/>
  <c r="W40" i="72"/>
  <c r="C34" i="72"/>
  <c r="P34" i="72"/>
  <c r="F33" i="72"/>
  <c r="E33" i="72"/>
  <c r="E49" i="72"/>
  <c r="W41" i="72"/>
  <c r="E32" i="72"/>
  <c r="F31" i="72"/>
  <c r="E31" i="72"/>
  <c r="D31" i="72"/>
  <c r="C31" i="72"/>
  <c r="E29" i="72"/>
  <c r="F12" i="72"/>
  <c r="O42" i="72"/>
  <c r="R42" i="72"/>
  <c r="E12" i="72"/>
  <c r="D12" i="72"/>
  <c r="C12" i="72"/>
  <c r="O39" i="72"/>
  <c r="R39" i="72"/>
  <c r="J11" i="72"/>
  <c r="J12" i="72"/>
  <c r="I11" i="72"/>
  <c r="I12" i="72"/>
  <c r="H11" i="72"/>
  <c r="H12" i="72"/>
  <c r="G11" i="72"/>
  <c r="G12" i="72"/>
  <c r="F127" i="72"/>
  <c r="V121" i="72"/>
  <c r="D127" i="72"/>
  <c r="C127" i="72"/>
  <c r="V118" i="72"/>
  <c r="F125" i="72"/>
  <c r="F126" i="72"/>
  <c r="E125" i="72"/>
  <c r="E126" i="72"/>
  <c r="D125" i="72"/>
  <c r="D126" i="72"/>
  <c r="C125" i="72"/>
  <c r="C126" i="72"/>
  <c r="AD121" i="72"/>
  <c r="AC121" i="72"/>
  <c r="AB121" i="72"/>
  <c r="AA121" i="72"/>
  <c r="Z121" i="72"/>
  <c r="T121" i="72"/>
  <c r="P121" i="72"/>
  <c r="O121" i="72"/>
  <c r="R121" i="72"/>
  <c r="AD120" i="72"/>
  <c r="AC120" i="72"/>
  <c r="AB120" i="72"/>
  <c r="AA120" i="72"/>
  <c r="Z120" i="72"/>
  <c r="T120" i="72"/>
  <c r="P120" i="72"/>
  <c r="O120" i="72"/>
  <c r="R120" i="72"/>
  <c r="AD119" i="72"/>
  <c r="AC119" i="72"/>
  <c r="AB119" i="72"/>
  <c r="AA119" i="72"/>
  <c r="Z119" i="72"/>
  <c r="V119" i="72"/>
  <c r="T119" i="72"/>
  <c r="P119" i="72"/>
  <c r="O119" i="72"/>
  <c r="R119" i="72"/>
  <c r="AD118" i="72"/>
  <c r="AC118" i="72"/>
  <c r="AB118" i="72"/>
  <c r="AA118" i="72"/>
  <c r="Z118" i="72"/>
  <c r="T118" i="72"/>
  <c r="P118" i="72"/>
  <c r="Q118" i="72"/>
  <c r="O118" i="72"/>
  <c r="R118" i="72"/>
  <c r="P113" i="72"/>
  <c r="P90" i="72"/>
  <c r="AE90" i="72"/>
  <c r="B81" i="72"/>
  <c r="F48" i="72"/>
  <c r="E48" i="72"/>
  <c r="D48" i="72"/>
  <c r="V40" i="72"/>
  <c r="C48" i="72"/>
  <c r="C47" i="72"/>
  <c r="F46" i="72"/>
  <c r="U42" i="72"/>
  <c r="E46" i="72"/>
  <c r="E47" i="72"/>
  <c r="D46" i="72"/>
  <c r="D47" i="72"/>
  <c r="C46" i="72"/>
  <c r="U39" i="72"/>
  <c r="AD42" i="72"/>
  <c r="AC42" i="72"/>
  <c r="AB42" i="72"/>
  <c r="AA42" i="72"/>
  <c r="Z42" i="72"/>
  <c r="V42" i="72"/>
  <c r="T42" i="72"/>
  <c r="P42" i="72"/>
  <c r="AD41" i="72"/>
  <c r="AC41" i="72"/>
  <c r="AB41" i="72"/>
  <c r="AA41" i="72"/>
  <c r="Z41" i="72"/>
  <c r="V41" i="72"/>
  <c r="T41" i="72"/>
  <c r="P41" i="72"/>
  <c r="O41" i="72"/>
  <c r="R41" i="72"/>
  <c r="AD40" i="72"/>
  <c r="AC40" i="72"/>
  <c r="AB40" i="72"/>
  <c r="AA40" i="72"/>
  <c r="Z40" i="72"/>
  <c r="U40" i="72"/>
  <c r="T40" i="72"/>
  <c r="R40" i="72"/>
  <c r="P40" i="72"/>
  <c r="O40" i="72"/>
  <c r="AD39" i="72"/>
  <c r="AC39" i="72"/>
  <c r="AB39" i="72"/>
  <c r="AA39" i="72"/>
  <c r="Z39" i="72"/>
  <c r="V39" i="72"/>
  <c r="T39" i="72"/>
  <c r="P39" i="72"/>
  <c r="Q39" i="72"/>
  <c r="F49" i="72"/>
  <c r="W42" i="72"/>
  <c r="P11" i="72"/>
  <c r="AE11" i="72"/>
  <c r="B2" i="72"/>
  <c r="B81" i="71"/>
  <c r="AH97" i="71"/>
  <c r="AH96" i="71"/>
  <c r="AH95" i="71"/>
  <c r="AH94" i="71"/>
  <c r="AR93" i="71"/>
  <c r="AQ93" i="71"/>
  <c r="AP93" i="71"/>
  <c r="AO93" i="71"/>
  <c r="AN93" i="71"/>
  <c r="AM93" i="71"/>
  <c r="AL93" i="71"/>
  <c r="AK93" i="71"/>
  <c r="AJ93" i="71"/>
  <c r="AI93" i="71"/>
  <c r="AH93" i="71"/>
  <c r="AH91" i="71"/>
  <c r="AR90" i="71"/>
  <c r="AQ90" i="71"/>
  <c r="AP90" i="71"/>
  <c r="AO90" i="71"/>
  <c r="AN90" i="71"/>
  <c r="AM90" i="71"/>
  <c r="AL90" i="71"/>
  <c r="AK90" i="71"/>
  <c r="AJ90" i="71"/>
  <c r="AI90" i="71"/>
  <c r="AH90" i="71"/>
  <c r="AE90" i="71"/>
  <c r="AD121" i="71"/>
  <c r="AC121" i="71"/>
  <c r="AB121" i="71"/>
  <c r="AA121" i="71"/>
  <c r="Z121" i="71"/>
  <c r="W121" i="71"/>
  <c r="V121" i="71"/>
  <c r="U121" i="71"/>
  <c r="T121" i="71"/>
  <c r="P121" i="71"/>
  <c r="O121" i="71"/>
  <c r="R121" i="71"/>
  <c r="AD120" i="71"/>
  <c r="AC120" i="71"/>
  <c r="AB120" i="71"/>
  <c r="AA120" i="71"/>
  <c r="Z120" i="71"/>
  <c r="W120" i="71"/>
  <c r="V120" i="71"/>
  <c r="U120" i="71"/>
  <c r="T120" i="71"/>
  <c r="R120" i="71"/>
  <c r="P120" i="71"/>
  <c r="O120" i="71"/>
  <c r="AD119" i="71"/>
  <c r="AC119" i="71"/>
  <c r="AB119" i="71"/>
  <c r="AA119" i="71"/>
  <c r="Z119" i="71"/>
  <c r="W119" i="71"/>
  <c r="V119" i="71"/>
  <c r="U119" i="71"/>
  <c r="T119" i="71"/>
  <c r="P119" i="71"/>
  <c r="O119" i="71"/>
  <c r="R119" i="71"/>
  <c r="AD118" i="71"/>
  <c r="AC118" i="71"/>
  <c r="AB118" i="71"/>
  <c r="AA118" i="71"/>
  <c r="Z118" i="71"/>
  <c r="W118" i="71"/>
  <c r="V118" i="71"/>
  <c r="U118" i="71"/>
  <c r="T118" i="71"/>
  <c r="R118" i="71"/>
  <c r="P118" i="71"/>
  <c r="Q118" i="71"/>
  <c r="O118" i="71"/>
  <c r="P113" i="71"/>
  <c r="P112" i="71"/>
  <c r="P90" i="71"/>
  <c r="F128" i="71"/>
  <c r="E128" i="71"/>
  <c r="D128" i="71"/>
  <c r="C128" i="71"/>
  <c r="F127" i="71"/>
  <c r="E127" i="71"/>
  <c r="D127" i="71"/>
  <c r="C127" i="71"/>
  <c r="F126" i="71"/>
  <c r="D126" i="71"/>
  <c r="F125" i="71"/>
  <c r="E125" i="71"/>
  <c r="E126" i="71"/>
  <c r="D125" i="71"/>
  <c r="C125" i="71"/>
  <c r="C126" i="71"/>
  <c r="F118" i="71"/>
  <c r="E118" i="71"/>
  <c r="D118" i="71"/>
  <c r="C118" i="71"/>
  <c r="F113" i="71"/>
  <c r="E113" i="71"/>
  <c r="E112" i="71"/>
  <c r="D113" i="71"/>
  <c r="C113" i="71"/>
  <c r="C112" i="71"/>
  <c r="F112" i="71"/>
  <c r="D112" i="71"/>
  <c r="AH18" i="71"/>
  <c r="AH17" i="71"/>
  <c r="AH16" i="71"/>
  <c r="AH15" i="71"/>
  <c r="AR14" i="71"/>
  <c r="AQ14" i="71"/>
  <c r="AP14" i="71"/>
  <c r="AO14" i="71"/>
  <c r="AN14" i="71"/>
  <c r="AM14" i="71"/>
  <c r="AL14" i="71"/>
  <c r="AK14" i="71"/>
  <c r="AJ14" i="71"/>
  <c r="AI14" i="71"/>
  <c r="AH14" i="71"/>
  <c r="AH13" i="71"/>
  <c r="AH12" i="71"/>
  <c r="AR11" i="71"/>
  <c r="AQ11" i="71"/>
  <c r="AP11" i="71"/>
  <c r="AO11" i="71"/>
  <c r="AN11" i="71"/>
  <c r="AM11" i="71"/>
  <c r="AL11" i="71"/>
  <c r="AK11" i="71"/>
  <c r="AJ11" i="71"/>
  <c r="AI11" i="71"/>
  <c r="AH11" i="71"/>
  <c r="AE11" i="71"/>
  <c r="F34" i="71"/>
  <c r="E34" i="71"/>
  <c r="D34" i="71"/>
  <c r="C34" i="71"/>
  <c r="F33" i="71"/>
  <c r="E33" i="71"/>
  <c r="D33" i="71"/>
  <c r="C33" i="71"/>
  <c r="P251" i="56"/>
  <c r="P172" i="56"/>
  <c r="O282" i="56"/>
  <c r="F48" i="71"/>
  <c r="V42" i="71"/>
  <c r="E48" i="71"/>
  <c r="V41" i="71"/>
  <c r="D48" i="71"/>
  <c r="C48" i="71"/>
  <c r="V39" i="71"/>
  <c r="F46" i="71"/>
  <c r="F47" i="71"/>
  <c r="E46" i="71"/>
  <c r="E47" i="71"/>
  <c r="D46" i="71"/>
  <c r="D47" i="71"/>
  <c r="C46" i="71"/>
  <c r="C47" i="71"/>
  <c r="AD42" i="71"/>
  <c r="AC42" i="71"/>
  <c r="AB42" i="71"/>
  <c r="AA42" i="71"/>
  <c r="Z42" i="71"/>
  <c r="T42" i="71"/>
  <c r="P42" i="71"/>
  <c r="O42" i="71"/>
  <c r="R42" i="71"/>
  <c r="AD41" i="71"/>
  <c r="AC41" i="71"/>
  <c r="AB41" i="71"/>
  <c r="AA41" i="71"/>
  <c r="Z41" i="71"/>
  <c r="T41" i="71"/>
  <c r="P41" i="71"/>
  <c r="O41" i="71"/>
  <c r="R41" i="71"/>
  <c r="AD40" i="71"/>
  <c r="AC40" i="71"/>
  <c r="AB40" i="71"/>
  <c r="AA40" i="71"/>
  <c r="Z40" i="71"/>
  <c r="V40" i="71"/>
  <c r="U40" i="71"/>
  <c r="T40" i="71"/>
  <c r="P40" i="71"/>
  <c r="O40" i="71"/>
  <c r="R40" i="71"/>
  <c r="AD39" i="71"/>
  <c r="AC39" i="71"/>
  <c r="AB39" i="71"/>
  <c r="AA39" i="71"/>
  <c r="Z39" i="71"/>
  <c r="T39" i="71"/>
  <c r="P39" i="71"/>
  <c r="Q39" i="71"/>
  <c r="O39" i="71"/>
  <c r="R39" i="71"/>
  <c r="D49" i="71"/>
  <c r="W40" i="71"/>
  <c r="P34" i="71"/>
  <c r="F49" i="71"/>
  <c r="W42" i="71"/>
  <c r="E49" i="71"/>
  <c r="W41" i="71"/>
  <c r="P11" i="71"/>
  <c r="B2" i="71"/>
  <c r="AE11" i="70"/>
  <c r="F34" i="70"/>
  <c r="F33" i="70"/>
  <c r="F49" i="70"/>
  <c r="W42" i="70"/>
  <c r="E34" i="70"/>
  <c r="D34" i="70"/>
  <c r="C34" i="70"/>
  <c r="E33" i="70"/>
  <c r="E49" i="70"/>
  <c r="W41" i="70"/>
  <c r="D33" i="70"/>
  <c r="D49" i="70"/>
  <c r="W40" i="70"/>
  <c r="C33" i="70"/>
  <c r="C49" i="70"/>
  <c r="W39" i="70"/>
  <c r="F48" i="70"/>
  <c r="V42" i="70"/>
  <c r="E48" i="70"/>
  <c r="D48" i="70"/>
  <c r="C48" i="70"/>
  <c r="V39" i="70"/>
  <c r="F46" i="70"/>
  <c r="F47" i="70"/>
  <c r="E46" i="70"/>
  <c r="E47" i="70"/>
  <c r="D46" i="70"/>
  <c r="D47" i="70"/>
  <c r="C46" i="70"/>
  <c r="C47" i="70"/>
  <c r="AD42" i="70"/>
  <c r="AC42" i="70"/>
  <c r="AB42" i="70"/>
  <c r="AA42" i="70"/>
  <c r="Z42" i="70"/>
  <c r="T42" i="70"/>
  <c r="R42" i="70"/>
  <c r="P42" i="70"/>
  <c r="O42" i="70"/>
  <c r="AD41" i="70"/>
  <c r="AC41" i="70"/>
  <c r="AB41" i="70"/>
  <c r="AA41" i="70"/>
  <c r="Z41" i="70"/>
  <c r="V41" i="70"/>
  <c r="T41" i="70"/>
  <c r="P41" i="70"/>
  <c r="O41" i="70"/>
  <c r="R41" i="70"/>
  <c r="AD40" i="70"/>
  <c r="AC40" i="70"/>
  <c r="AB40" i="70"/>
  <c r="AA40" i="70"/>
  <c r="Z40" i="70"/>
  <c r="V40" i="70"/>
  <c r="T40" i="70"/>
  <c r="P40" i="70"/>
  <c r="O40" i="70"/>
  <c r="R40" i="70"/>
  <c r="AD39" i="70"/>
  <c r="AC39" i="70"/>
  <c r="AB39" i="70"/>
  <c r="AA39" i="70"/>
  <c r="Z39" i="70"/>
  <c r="T39" i="70"/>
  <c r="P39" i="70"/>
  <c r="Q39" i="70"/>
  <c r="O39" i="70"/>
  <c r="R39" i="70"/>
  <c r="P34" i="70"/>
  <c r="P11" i="70"/>
  <c r="B2" i="70"/>
  <c r="AE11" i="69"/>
  <c r="F34" i="69"/>
  <c r="E34" i="69"/>
  <c r="D34" i="69"/>
  <c r="D33" i="69"/>
  <c r="D49" i="69"/>
  <c r="W40" i="69"/>
  <c r="C34" i="69"/>
  <c r="F33" i="69"/>
  <c r="E33" i="69"/>
  <c r="E49" i="69"/>
  <c r="W41" i="69"/>
  <c r="C33" i="69"/>
  <c r="C49" i="69"/>
  <c r="W39" i="69"/>
  <c r="F48" i="69"/>
  <c r="E48" i="69"/>
  <c r="D48" i="69"/>
  <c r="C48" i="69"/>
  <c r="V39" i="69"/>
  <c r="F47" i="69"/>
  <c r="D47" i="69"/>
  <c r="F46" i="69"/>
  <c r="E46" i="69"/>
  <c r="U41" i="69"/>
  <c r="D46" i="69"/>
  <c r="C46" i="69"/>
  <c r="C47" i="69"/>
  <c r="AD42" i="69"/>
  <c r="AC42" i="69"/>
  <c r="AB42" i="69"/>
  <c r="AA42" i="69"/>
  <c r="Z42" i="69"/>
  <c r="V42" i="69"/>
  <c r="U42" i="69"/>
  <c r="T42" i="69"/>
  <c r="R42" i="69"/>
  <c r="P42" i="69"/>
  <c r="O42" i="69"/>
  <c r="AD41" i="69"/>
  <c r="AC41" i="69"/>
  <c r="AB41" i="69"/>
  <c r="AA41" i="69"/>
  <c r="Z41" i="69"/>
  <c r="V41" i="69"/>
  <c r="T41" i="69"/>
  <c r="P41" i="69"/>
  <c r="O41" i="69"/>
  <c r="R41" i="69"/>
  <c r="AD40" i="69"/>
  <c r="AC40" i="69"/>
  <c r="AB40" i="69"/>
  <c r="AA40" i="69"/>
  <c r="Z40" i="69"/>
  <c r="V40" i="69"/>
  <c r="U40" i="69"/>
  <c r="T40" i="69"/>
  <c r="R40" i="69"/>
  <c r="P40" i="69"/>
  <c r="O40" i="69"/>
  <c r="AD39" i="69"/>
  <c r="AC39" i="69"/>
  <c r="AB39" i="69"/>
  <c r="AA39" i="69"/>
  <c r="Z39" i="69"/>
  <c r="T39" i="69"/>
  <c r="P39" i="69"/>
  <c r="Q39" i="69"/>
  <c r="O39" i="69"/>
  <c r="R39" i="69"/>
  <c r="P34" i="69"/>
  <c r="F49" i="69"/>
  <c r="W42" i="69"/>
  <c r="P11" i="69"/>
  <c r="B2" i="69"/>
  <c r="AR14" i="68"/>
  <c r="AP14" i="68"/>
  <c r="AN14" i="68"/>
  <c r="AL14" i="68"/>
  <c r="AJ14" i="68"/>
  <c r="AE11" i="68"/>
  <c r="F34" i="68"/>
  <c r="E34" i="68"/>
  <c r="D34" i="68"/>
  <c r="C34" i="68"/>
  <c r="F33" i="68"/>
  <c r="F49" i="68"/>
  <c r="W42" i="68"/>
  <c r="E33" i="68"/>
  <c r="E49" i="68"/>
  <c r="W41" i="68"/>
  <c r="D33" i="68"/>
  <c r="D49" i="68"/>
  <c r="W40" i="68"/>
  <c r="C33" i="68"/>
  <c r="F48" i="68"/>
  <c r="E48" i="68"/>
  <c r="V41" i="68"/>
  <c r="D48" i="68"/>
  <c r="C48" i="68"/>
  <c r="V39" i="68"/>
  <c r="F47" i="68"/>
  <c r="F46" i="68"/>
  <c r="U42" i="68"/>
  <c r="E46" i="68"/>
  <c r="E47" i="68"/>
  <c r="D46" i="68"/>
  <c r="D47" i="68"/>
  <c r="C46" i="68"/>
  <c r="C47" i="68"/>
  <c r="AD42" i="68"/>
  <c r="AC42" i="68"/>
  <c r="AB42" i="68"/>
  <c r="AA42" i="68"/>
  <c r="Z42" i="68"/>
  <c r="V42" i="68"/>
  <c r="T42" i="68"/>
  <c r="P42" i="68"/>
  <c r="O42" i="68"/>
  <c r="R42" i="68"/>
  <c r="AD41" i="68"/>
  <c r="AC41" i="68"/>
  <c r="AB41" i="68"/>
  <c r="AA41" i="68"/>
  <c r="Z41" i="68"/>
  <c r="T41" i="68"/>
  <c r="P41" i="68"/>
  <c r="O41" i="68"/>
  <c r="R41" i="68"/>
  <c r="AD40" i="68"/>
  <c r="AC40" i="68"/>
  <c r="AB40" i="68"/>
  <c r="AA40" i="68"/>
  <c r="Z40" i="68"/>
  <c r="V40" i="68"/>
  <c r="U40" i="68"/>
  <c r="T40" i="68"/>
  <c r="P40" i="68"/>
  <c r="O40" i="68"/>
  <c r="R40" i="68"/>
  <c r="AD39" i="68"/>
  <c r="AC39" i="68"/>
  <c r="AB39" i="68"/>
  <c r="AA39" i="68"/>
  <c r="Z39" i="68"/>
  <c r="T39" i="68"/>
  <c r="R39" i="68"/>
  <c r="P39" i="68"/>
  <c r="Q39" i="68"/>
  <c r="O39" i="68"/>
  <c r="P34" i="68"/>
  <c r="P11" i="68"/>
  <c r="B2" i="68"/>
  <c r="V39" i="62"/>
  <c r="V40" i="62"/>
  <c r="U42" i="62"/>
  <c r="U41" i="62"/>
  <c r="U40" i="62"/>
  <c r="U39" i="62"/>
  <c r="O42" i="62"/>
  <c r="O41" i="62"/>
  <c r="O40" i="62"/>
  <c r="O39" i="62"/>
  <c r="R39" i="62"/>
  <c r="AR86" i="62"/>
  <c r="AP86" i="62"/>
  <c r="AN86" i="62"/>
  <c r="AL86" i="62"/>
  <c r="AJ86" i="62"/>
  <c r="AE83" i="62"/>
  <c r="F111" i="62"/>
  <c r="D111" i="62"/>
  <c r="F106" i="62"/>
  <c r="E106" i="62"/>
  <c r="E105" i="62"/>
  <c r="E121" i="62"/>
  <c r="W113" i="62"/>
  <c r="D106" i="62"/>
  <c r="C106" i="62"/>
  <c r="C105" i="62"/>
  <c r="F105" i="62"/>
  <c r="F121" i="62"/>
  <c r="W114" i="62"/>
  <c r="D105" i="62"/>
  <c r="F101" i="62"/>
  <c r="F118" i="62"/>
  <c r="E101" i="62"/>
  <c r="E111" i="62"/>
  <c r="D101" i="62"/>
  <c r="C101" i="62"/>
  <c r="C111" i="62"/>
  <c r="H84" i="62"/>
  <c r="F84" i="62"/>
  <c r="E84" i="62"/>
  <c r="D84" i="62"/>
  <c r="C84" i="62"/>
  <c r="J83" i="62"/>
  <c r="J84" i="62"/>
  <c r="I83" i="62"/>
  <c r="I84" i="62"/>
  <c r="H83" i="62"/>
  <c r="G83" i="62"/>
  <c r="G84" i="62"/>
  <c r="F120" i="62"/>
  <c r="V114" i="62"/>
  <c r="E120" i="62"/>
  <c r="D120" i="62"/>
  <c r="C120" i="62"/>
  <c r="V111" i="62"/>
  <c r="D118" i="62"/>
  <c r="D119" i="62"/>
  <c r="AD114" i="62"/>
  <c r="AC114" i="62"/>
  <c r="AB114" i="62"/>
  <c r="AA114" i="62"/>
  <c r="Z114" i="62"/>
  <c r="T114" i="62"/>
  <c r="P114" i="62"/>
  <c r="AD113" i="62"/>
  <c r="AC113" i="62"/>
  <c r="AB113" i="62"/>
  <c r="AA113" i="62"/>
  <c r="Z113" i="62"/>
  <c r="V113" i="62"/>
  <c r="T113" i="62"/>
  <c r="P113" i="62"/>
  <c r="AD112" i="62"/>
  <c r="AC112" i="62"/>
  <c r="AB112" i="62"/>
  <c r="AA112" i="62"/>
  <c r="Z112" i="62"/>
  <c r="V112" i="62"/>
  <c r="T112" i="62"/>
  <c r="P112" i="62"/>
  <c r="AD111" i="62"/>
  <c r="AC111" i="62"/>
  <c r="AB111" i="62"/>
  <c r="AA111" i="62"/>
  <c r="Z111" i="62"/>
  <c r="T111" i="62"/>
  <c r="P111" i="62"/>
  <c r="Q111" i="62"/>
  <c r="D121" i="62"/>
  <c r="W112" i="62"/>
  <c r="O114" i="62"/>
  <c r="R114" i="62"/>
  <c r="O111" i="62"/>
  <c r="R111" i="62"/>
  <c r="P83" i="62"/>
  <c r="O113" i="62"/>
  <c r="R113" i="62"/>
  <c r="AP14" i="62"/>
  <c r="AN14" i="62"/>
  <c r="AC14" i="62"/>
  <c r="AR14" i="62"/>
  <c r="Y14" i="62"/>
  <c r="W14" i="62"/>
  <c r="AL14" i="62"/>
  <c r="U14" i="62"/>
  <c r="AJ14" i="62"/>
  <c r="AE11" i="62"/>
  <c r="F39" i="62"/>
  <c r="E39" i="62"/>
  <c r="D39" i="62"/>
  <c r="C39" i="62"/>
  <c r="F34" i="62"/>
  <c r="E34" i="62"/>
  <c r="E33" i="62"/>
  <c r="D34" i="62"/>
  <c r="D33" i="62"/>
  <c r="D49" i="62"/>
  <c r="W40" i="62"/>
  <c r="C34" i="62"/>
  <c r="P34" i="62"/>
  <c r="F33" i="62"/>
  <c r="I12" i="62"/>
  <c r="C12" i="62"/>
  <c r="I11" i="62"/>
  <c r="H11" i="62"/>
  <c r="H12" i="62"/>
  <c r="G11" i="62"/>
  <c r="G12" i="62"/>
  <c r="F11" i="62"/>
  <c r="F12" i="62"/>
  <c r="E11" i="62"/>
  <c r="E12" i="62"/>
  <c r="D11" i="62"/>
  <c r="D12" i="62"/>
  <c r="AH18" i="64"/>
  <c r="AH17" i="64"/>
  <c r="AH16" i="64"/>
  <c r="AH15" i="64"/>
  <c r="AR14" i="64"/>
  <c r="AP14" i="64"/>
  <c r="AN14" i="64"/>
  <c r="AL14" i="64"/>
  <c r="AJ14" i="64"/>
  <c r="AH14" i="64"/>
  <c r="AH13" i="64"/>
  <c r="AH12" i="64"/>
  <c r="AH11" i="64"/>
  <c r="AE11" i="64"/>
  <c r="C66" i="64"/>
  <c r="F34" i="64"/>
  <c r="F33" i="64"/>
  <c r="E34" i="64"/>
  <c r="E33" i="64"/>
  <c r="D34" i="64"/>
  <c r="D33" i="64"/>
  <c r="D49" i="64"/>
  <c r="W40" i="64"/>
  <c r="C34" i="64"/>
  <c r="C33" i="64"/>
  <c r="C49" i="64"/>
  <c r="W39" i="64"/>
  <c r="AH18" i="65"/>
  <c r="AH17" i="65"/>
  <c r="AH16" i="65"/>
  <c r="AH15" i="65"/>
  <c r="AR14" i="65"/>
  <c r="AP14" i="65"/>
  <c r="AN14" i="65"/>
  <c r="AL14" i="65"/>
  <c r="AJ14" i="65"/>
  <c r="AH14" i="65"/>
  <c r="AH13" i="65"/>
  <c r="AH12" i="65"/>
  <c r="AH11" i="65"/>
  <c r="AE11" i="65"/>
  <c r="F45" i="65"/>
  <c r="E45" i="65"/>
  <c r="D45" i="65"/>
  <c r="C45" i="65"/>
  <c r="F34" i="65"/>
  <c r="E34" i="65"/>
  <c r="D34" i="65"/>
  <c r="D33" i="65"/>
  <c r="D49" i="65"/>
  <c r="W40" i="65"/>
  <c r="C34" i="65"/>
  <c r="C33" i="65"/>
  <c r="C49" i="65"/>
  <c r="W39" i="65"/>
  <c r="F33" i="65"/>
  <c r="E33" i="65"/>
  <c r="AR19" i="66"/>
  <c r="AP19" i="66"/>
  <c r="AN19" i="66"/>
  <c r="AL19" i="66"/>
  <c r="AJ19" i="66"/>
  <c r="AC19" i="66"/>
  <c r="AA19" i="66"/>
  <c r="Y19" i="66"/>
  <c r="W19" i="66"/>
  <c r="U19" i="66"/>
  <c r="AE11" i="66"/>
  <c r="F34" i="66"/>
  <c r="F33" i="66"/>
  <c r="F49" i="66"/>
  <c r="W42" i="66"/>
  <c r="E34" i="66"/>
  <c r="D34" i="66"/>
  <c r="D33" i="66"/>
  <c r="C34" i="66"/>
  <c r="E33" i="66"/>
  <c r="C33" i="66"/>
  <c r="C49" i="66"/>
  <c r="W39" i="66"/>
  <c r="J12" i="66"/>
  <c r="I12" i="66"/>
  <c r="H12" i="66"/>
  <c r="G12" i="66"/>
  <c r="F12" i="66"/>
  <c r="E12" i="66"/>
  <c r="D12" i="66"/>
  <c r="C12" i="66"/>
  <c r="O39" i="66"/>
  <c r="R39" i="66"/>
  <c r="F48" i="66"/>
  <c r="E48" i="66"/>
  <c r="V41" i="66"/>
  <c r="D48" i="66"/>
  <c r="C48" i="66"/>
  <c r="F47" i="66"/>
  <c r="F46" i="66"/>
  <c r="E46" i="66"/>
  <c r="E47" i="66"/>
  <c r="D46" i="66"/>
  <c r="D47" i="66"/>
  <c r="C46" i="66"/>
  <c r="C47" i="66"/>
  <c r="AD42" i="66"/>
  <c r="AC42" i="66"/>
  <c r="AB42" i="66"/>
  <c r="AA42" i="66"/>
  <c r="Z42" i="66"/>
  <c r="V42" i="66"/>
  <c r="U42" i="66"/>
  <c r="T42" i="66"/>
  <c r="P42" i="66"/>
  <c r="AD41" i="66"/>
  <c r="AC41" i="66"/>
  <c r="AB41" i="66"/>
  <c r="AA41" i="66"/>
  <c r="Z41" i="66"/>
  <c r="T41" i="66"/>
  <c r="P41" i="66"/>
  <c r="AD40" i="66"/>
  <c r="AC40" i="66"/>
  <c r="AB40" i="66"/>
  <c r="AA40" i="66"/>
  <c r="Z40" i="66"/>
  <c r="V40" i="66"/>
  <c r="T40" i="66"/>
  <c r="P40" i="66"/>
  <c r="AD39" i="66"/>
  <c r="AC39" i="66"/>
  <c r="AB39" i="66"/>
  <c r="AA39" i="66"/>
  <c r="Z39" i="66"/>
  <c r="V39" i="66"/>
  <c r="U39" i="66"/>
  <c r="T39" i="66"/>
  <c r="Q39" i="66"/>
  <c r="P39" i="66"/>
  <c r="P34" i="66"/>
  <c r="P11" i="66"/>
  <c r="B2" i="66"/>
  <c r="F48" i="65"/>
  <c r="V42" i="65"/>
  <c r="E48" i="65"/>
  <c r="V41" i="65"/>
  <c r="D48" i="65"/>
  <c r="C48" i="65"/>
  <c r="F46" i="65"/>
  <c r="F47" i="65"/>
  <c r="E46" i="65"/>
  <c r="E47" i="65"/>
  <c r="D46" i="65"/>
  <c r="D47" i="65"/>
  <c r="C46" i="65"/>
  <c r="C47" i="65"/>
  <c r="AD42" i="65"/>
  <c r="AC42" i="65"/>
  <c r="AB42" i="65"/>
  <c r="AA42" i="65"/>
  <c r="Z42" i="65"/>
  <c r="T42" i="65"/>
  <c r="P42" i="65"/>
  <c r="AD41" i="65"/>
  <c r="AC41" i="65"/>
  <c r="AB41" i="65"/>
  <c r="AA41" i="65"/>
  <c r="Z41" i="65"/>
  <c r="T41" i="65"/>
  <c r="P41" i="65"/>
  <c r="AD40" i="65"/>
  <c r="AC40" i="65"/>
  <c r="AB40" i="65"/>
  <c r="AA40" i="65"/>
  <c r="Z40" i="65"/>
  <c r="V40" i="65"/>
  <c r="U40" i="65"/>
  <c r="T40" i="65"/>
  <c r="P40" i="65"/>
  <c r="AD39" i="65"/>
  <c r="AC39" i="65"/>
  <c r="AB39" i="65"/>
  <c r="AA39" i="65"/>
  <c r="V39" i="65"/>
  <c r="U39" i="65"/>
  <c r="T39" i="65"/>
  <c r="R39" i="65"/>
  <c r="P39" i="65"/>
  <c r="Q39" i="65"/>
  <c r="O39" i="65"/>
  <c r="F49" i="65"/>
  <c r="W42" i="65"/>
  <c r="E49" i="65"/>
  <c r="W41" i="65"/>
  <c r="O42" i="65"/>
  <c r="R42" i="65"/>
  <c r="O41" i="65"/>
  <c r="R41" i="65"/>
  <c r="O40" i="65"/>
  <c r="R40" i="65"/>
  <c r="P11" i="65"/>
  <c r="B2" i="65"/>
  <c r="F48" i="64"/>
  <c r="V42" i="64"/>
  <c r="E48" i="64"/>
  <c r="V41" i="64"/>
  <c r="D48" i="64"/>
  <c r="C48" i="64"/>
  <c r="V39" i="64"/>
  <c r="F46" i="64"/>
  <c r="U42" i="64"/>
  <c r="E46" i="64"/>
  <c r="E47" i="64"/>
  <c r="D46" i="64"/>
  <c r="D47" i="64"/>
  <c r="C46" i="64"/>
  <c r="C47" i="64"/>
  <c r="AD42" i="64"/>
  <c r="AC42" i="64"/>
  <c r="AB42" i="64"/>
  <c r="AA42" i="64"/>
  <c r="Z42" i="64"/>
  <c r="T42" i="64"/>
  <c r="P42" i="64"/>
  <c r="AD41" i="64"/>
  <c r="AC41" i="64"/>
  <c r="AB41" i="64"/>
  <c r="AA41" i="64"/>
  <c r="Z41" i="64"/>
  <c r="U41" i="64"/>
  <c r="T41" i="64"/>
  <c r="P41" i="64"/>
  <c r="AD40" i="64"/>
  <c r="AC40" i="64"/>
  <c r="AB40" i="64"/>
  <c r="AA40" i="64"/>
  <c r="Z40" i="64"/>
  <c r="V40" i="64"/>
  <c r="U40" i="64"/>
  <c r="T40" i="64"/>
  <c r="P40" i="64"/>
  <c r="AD39" i="64"/>
  <c r="AC39" i="64"/>
  <c r="AB39" i="64"/>
  <c r="AA39" i="64"/>
  <c r="Z39" i="64"/>
  <c r="U39" i="64"/>
  <c r="T39" i="64"/>
  <c r="P39" i="64"/>
  <c r="Q39" i="64"/>
  <c r="P34" i="64"/>
  <c r="O39" i="64"/>
  <c r="R39" i="64"/>
  <c r="P11" i="64"/>
  <c r="B2" i="64"/>
  <c r="F48" i="63"/>
  <c r="V42" i="63"/>
  <c r="E48" i="63"/>
  <c r="V41" i="63"/>
  <c r="D48" i="63"/>
  <c r="C48" i="63"/>
  <c r="V39" i="63"/>
  <c r="D47" i="63"/>
  <c r="F47" i="63"/>
  <c r="E47" i="63"/>
  <c r="C47" i="63"/>
  <c r="AD42" i="63"/>
  <c r="AC42" i="63"/>
  <c r="AB42" i="63"/>
  <c r="AA42" i="63"/>
  <c r="Z42" i="63"/>
  <c r="U42" i="63"/>
  <c r="T42" i="63"/>
  <c r="P42" i="63"/>
  <c r="AD41" i="63"/>
  <c r="AC41" i="63"/>
  <c r="AB41" i="63"/>
  <c r="AA41" i="63"/>
  <c r="Z41" i="63"/>
  <c r="T41" i="63"/>
  <c r="P41" i="63"/>
  <c r="AD40" i="63"/>
  <c r="AC40" i="63"/>
  <c r="AB40" i="63"/>
  <c r="AA40" i="63"/>
  <c r="Z40" i="63"/>
  <c r="V40" i="63"/>
  <c r="U40" i="63"/>
  <c r="T40" i="63"/>
  <c r="P40" i="63"/>
  <c r="AD39" i="63"/>
  <c r="AC39" i="63"/>
  <c r="AB39" i="63"/>
  <c r="AA39" i="63"/>
  <c r="Z39" i="63"/>
  <c r="T39" i="63"/>
  <c r="P39" i="63"/>
  <c r="Q39" i="63"/>
  <c r="R39" i="63"/>
  <c r="F39" i="63"/>
  <c r="E39" i="63"/>
  <c r="D39" i="63"/>
  <c r="C39" i="63"/>
  <c r="E35" i="63"/>
  <c r="F34" i="63"/>
  <c r="F33" i="63"/>
  <c r="E34" i="63"/>
  <c r="D34" i="63"/>
  <c r="C34" i="63"/>
  <c r="P34" i="63"/>
  <c r="D33" i="63"/>
  <c r="D49" i="63"/>
  <c r="W40" i="63"/>
  <c r="C33" i="63"/>
  <c r="C49" i="63"/>
  <c r="W39" i="63"/>
  <c r="AR14" i="63"/>
  <c r="AJ14" i="63"/>
  <c r="AC14" i="63"/>
  <c r="AA14" i="63"/>
  <c r="AP14" i="63"/>
  <c r="Y14" i="63"/>
  <c r="AN14" i="63"/>
  <c r="W14" i="63"/>
  <c r="AL14" i="63"/>
  <c r="U14" i="63"/>
  <c r="H12" i="63"/>
  <c r="G12" i="63"/>
  <c r="F12" i="63"/>
  <c r="R42" i="63"/>
  <c r="E12" i="63"/>
  <c r="R41" i="63"/>
  <c r="D12" i="63"/>
  <c r="R40" i="63"/>
  <c r="C12" i="63"/>
  <c r="AE11" i="63"/>
  <c r="P11" i="63"/>
  <c r="J11" i="63"/>
  <c r="J12" i="63"/>
  <c r="I11" i="63"/>
  <c r="I12" i="63"/>
  <c r="H11" i="63"/>
  <c r="G11" i="63"/>
  <c r="B2" i="63"/>
  <c r="F48" i="62"/>
  <c r="V42" i="62"/>
  <c r="E48" i="62"/>
  <c r="V41" i="62"/>
  <c r="D48" i="62"/>
  <c r="C48" i="62"/>
  <c r="F47" i="62"/>
  <c r="F46" i="62"/>
  <c r="E46" i="62"/>
  <c r="E47" i="62"/>
  <c r="D46" i="62"/>
  <c r="D47" i="62"/>
  <c r="C46" i="62"/>
  <c r="C47" i="62"/>
  <c r="AD42" i="62"/>
  <c r="AC42" i="62"/>
  <c r="AB42" i="62"/>
  <c r="AA42" i="62"/>
  <c r="Z42" i="62"/>
  <c r="T42" i="62"/>
  <c r="P42" i="62"/>
  <c r="AD41" i="62"/>
  <c r="AC41" i="62"/>
  <c r="AB41" i="62"/>
  <c r="AA41" i="62"/>
  <c r="Z41" i="62"/>
  <c r="T41" i="62"/>
  <c r="P41" i="62"/>
  <c r="AD40" i="62"/>
  <c r="AC40" i="62"/>
  <c r="AB40" i="62"/>
  <c r="AA40" i="62"/>
  <c r="Z40" i="62"/>
  <c r="T40" i="62"/>
  <c r="P40" i="62"/>
  <c r="AD39" i="62"/>
  <c r="AC39" i="62"/>
  <c r="AB39" i="62"/>
  <c r="AA39" i="62"/>
  <c r="Z39" i="62"/>
  <c r="T39" i="62"/>
  <c r="P39" i="62"/>
  <c r="Q39" i="62"/>
  <c r="P11" i="62"/>
  <c r="B2" i="62"/>
  <c r="O121" i="55"/>
  <c r="O120" i="55"/>
  <c r="O119" i="55"/>
  <c r="O118" i="55"/>
  <c r="O42" i="55"/>
  <c r="R42" i="55"/>
  <c r="O41" i="55"/>
  <c r="R41" i="55"/>
  <c r="O40" i="55"/>
  <c r="R40" i="55"/>
  <c r="O39" i="55"/>
  <c r="O42" i="57"/>
  <c r="R42" i="57"/>
  <c r="O41" i="57"/>
  <c r="R41" i="57"/>
  <c r="O40" i="57"/>
  <c r="R40" i="57"/>
  <c r="O39" i="57"/>
  <c r="O348" i="56"/>
  <c r="O347" i="56"/>
  <c r="R347" i="56"/>
  <c r="O346" i="56"/>
  <c r="R346" i="56"/>
  <c r="O345" i="56"/>
  <c r="F49" i="57"/>
  <c r="W42" i="57"/>
  <c r="F47" i="57"/>
  <c r="D47" i="57"/>
  <c r="F46" i="57"/>
  <c r="E46" i="57"/>
  <c r="E47" i="57"/>
  <c r="D46" i="57"/>
  <c r="C46" i="57"/>
  <c r="C47" i="57"/>
  <c r="AD42" i="57"/>
  <c r="AC42" i="57"/>
  <c r="AB42" i="57"/>
  <c r="AA42" i="57"/>
  <c r="Z42" i="57"/>
  <c r="U42" i="57"/>
  <c r="T42" i="57"/>
  <c r="P42" i="57"/>
  <c r="AD41" i="57"/>
  <c r="AC41" i="57"/>
  <c r="AB41" i="57"/>
  <c r="AA41" i="57"/>
  <c r="Z41" i="57"/>
  <c r="T41" i="57"/>
  <c r="P41" i="57"/>
  <c r="AD40" i="57"/>
  <c r="AC40" i="57"/>
  <c r="AB40" i="57"/>
  <c r="AA40" i="57"/>
  <c r="Z40" i="57"/>
  <c r="U40" i="57"/>
  <c r="T40" i="57"/>
  <c r="P40" i="57"/>
  <c r="AD39" i="57"/>
  <c r="AC39" i="57"/>
  <c r="AB39" i="57"/>
  <c r="AA39" i="57"/>
  <c r="Z39" i="57"/>
  <c r="T39" i="57"/>
  <c r="P39" i="57"/>
  <c r="Q39" i="57"/>
  <c r="R39" i="57"/>
  <c r="P34" i="57"/>
  <c r="P33" i="57"/>
  <c r="F33" i="57"/>
  <c r="E33" i="57"/>
  <c r="E49" i="57"/>
  <c r="W41" i="57"/>
  <c r="D33" i="57"/>
  <c r="D49" i="57"/>
  <c r="W40" i="57"/>
  <c r="C33" i="57"/>
  <c r="C49" i="57"/>
  <c r="W39" i="57"/>
  <c r="F32" i="57"/>
  <c r="F48" i="57"/>
  <c r="V42" i="57"/>
  <c r="E32" i="57"/>
  <c r="E48" i="57"/>
  <c r="V41" i="57"/>
  <c r="D32" i="57"/>
  <c r="D48" i="57"/>
  <c r="V40" i="57"/>
  <c r="C32" i="57"/>
  <c r="C48" i="57"/>
  <c r="V39" i="57"/>
  <c r="P11" i="57"/>
  <c r="AE11" i="57"/>
  <c r="F353" i="56"/>
  <c r="D353" i="56"/>
  <c r="F352" i="56"/>
  <c r="E352" i="56"/>
  <c r="U347" i="56"/>
  <c r="D352" i="56"/>
  <c r="C352" i="56"/>
  <c r="C353" i="56"/>
  <c r="AD348" i="56"/>
  <c r="AC348" i="56"/>
  <c r="AB348" i="56"/>
  <c r="AA348" i="56"/>
  <c r="Z348" i="56"/>
  <c r="U348" i="56"/>
  <c r="T348" i="56"/>
  <c r="R348" i="56"/>
  <c r="P348" i="56"/>
  <c r="AD347" i="56"/>
  <c r="AC347" i="56"/>
  <c r="AB347" i="56"/>
  <c r="AA347" i="56"/>
  <c r="Z347" i="56"/>
  <c r="T347" i="56"/>
  <c r="P347" i="56"/>
  <c r="AD346" i="56"/>
  <c r="AC346" i="56"/>
  <c r="AB346" i="56"/>
  <c r="AA346" i="56"/>
  <c r="Z346" i="56"/>
  <c r="U346" i="56"/>
  <c r="T346" i="56"/>
  <c r="P346" i="56"/>
  <c r="AD345" i="56"/>
  <c r="AC345" i="56"/>
  <c r="AB345" i="56"/>
  <c r="AA345" i="56"/>
  <c r="Z345" i="56"/>
  <c r="T345" i="56"/>
  <c r="P345" i="56"/>
  <c r="Q345" i="56"/>
  <c r="R345" i="56"/>
  <c r="F340" i="56"/>
  <c r="F339" i="56"/>
  <c r="F355" i="56"/>
  <c r="W348" i="56"/>
  <c r="E340" i="56"/>
  <c r="D340" i="56"/>
  <c r="C340" i="56"/>
  <c r="P340" i="56"/>
  <c r="E339" i="56"/>
  <c r="E355" i="56"/>
  <c r="W347" i="56"/>
  <c r="D339" i="56"/>
  <c r="D355" i="56"/>
  <c r="W346" i="56"/>
  <c r="F338" i="56"/>
  <c r="F354" i="56"/>
  <c r="V348" i="56"/>
  <c r="E338" i="56"/>
  <c r="E354" i="56"/>
  <c r="V347" i="56"/>
  <c r="D338" i="56"/>
  <c r="D354" i="56"/>
  <c r="V346" i="56"/>
  <c r="C338" i="56"/>
  <c r="C354" i="56"/>
  <c r="V345" i="56"/>
  <c r="V331" i="56"/>
  <c r="U331" i="56"/>
  <c r="T331" i="56"/>
  <c r="AH317" i="56"/>
  <c r="P317" i="56"/>
  <c r="AE317" i="56"/>
  <c r="AD282" i="56"/>
  <c r="AC282" i="56"/>
  <c r="AB282" i="56"/>
  <c r="AA282" i="56"/>
  <c r="Z282" i="56"/>
  <c r="T282" i="56"/>
  <c r="P282" i="56"/>
  <c r="AD281" i="56"/>
  <c r="AC281" i="56"/>
  <c r="AB281" i="56"/>
  <c r="AA281" i="56"/>
  <c r="Z281" i="56"/>
  <c r="T281" i="56"/>
  <c r="P281" i="56"/>
  <c r="AD280" i="56"/>
  <c r="AC280" i="56"/>
  <c r="AB280" i="56"/>
  <c r="AA280" i="56"/>
  <c r="Z280" i="56"/>
  <c r="T280" i="56"/>
  <c r="P280" i="56"/>
  <c r="AD279" i="56"/>
  <c r="AC279" i="56"/>
  <c r="AB279" i="56"/>
  <c r="AA279" i="56"/>
  <c r="Z279" i="56"/>
  <c r="T279" i="56"/>
  <c r="P279" i="56"/>
  <c r="F274" i="56"/>
  <c r="E274" i="56"/>
  <c r="D274" i="56"/>
  <c r="C274" i="56"/>
  <c r="C275" i="56"/>
  <c r="P273" i="56"/>
  <c r="F273" i="56"/>
  <c r="F289" i="56"/>
  <c r="W282" i="56"/>
  <c r="E273" i="56"/>
  <c r="E289" i="56"/>
  <c r="W281" i="56"/>
  <c r="D273" i="56"/>
  <c r="C273" i="56"/>
  <c r="C289" i="56"/>
  <c r="W279" i="56"/>
  <c r="F272" i="56"/>
  <c r="F288" i="56"/>
  <c r="V282" i="56"/>
  <c r="E272" i="56"/>
  <c r="E288" i="56"/>
  <c r="V281" i="56"/>
  <c r="D272" i="56"/>
  <c r="D288" i="56"/>
  <c r="V280" i="56"/>
  <c r="C272" i="56"/>
  <c r="C288" i="56"/>
  <c r="V279" i="56"/>
  <c r="F271" i="56"/>
  <c r="E271" i="56"/>
  <c r="D271" i="56"/>
  <c r="C271" i="56"/>
  <c r="F269" i="56"/>
  <c r="F286" i="56"/>
  <c r="U282" i="56"/>
  <c r="E269" i="56"/>
  <c r="E286" i="56"/>
  <c r="U281" i="56"/>
  <c r="D269" i="56"/>
  <c r="D286" i="56"/>
  <c r="C269" i="56"/>
  <c r="C286" i="56"/>
  <c r="V265" i="56"/>
  <c r="U265" i="56"/>
  <c r="T265" i="56"/>
  <c r="AR254" i="56"/>
  <c r="AP254" i="56"/>
  <c r="AN254" i="56"/>
  <c r="AL254" i="56"/>
  <c r="AJ254" i="56"/>
  <c r="J252" i="56"/>
  <c r="I252" i="56"/>
  <c r="H252" i="56"/>
  <c r="G252" i="56"/>
  <c r="F252" i="56"/>
  <c r="E252" i="56"/>
  <c r="O281" i="56"/>
  <c r="D252" i="56"/>
  <c r="O280" i="56"/>
  <c r="C252" i="56"/>
  <c r="O279" i="56"/>
  <c r="AE251" i="56"/>
  <c r="C207" i="56"/>
  <c r="C208" i="56"/>
  <c r="AD203" i="56"/>
  <c r="AC203" i="56"/>
  <c r="AB203" i="56"/>
  <c r="AA203" i="56"/>
  <c r="Z203" i="56"/>
  <c r="T203" i="56"/>
  <c r="P203" i="56"/>
  <c r="AD202" i="56"/>
  <c r="AC202" i="56"/>
  <c r="AB202" i="56"/>
  <c r="AA202" i="56"/>
  <c r="Z202" i="56"/>
  <c r="T202" i="56"/>
  <c r="P202" i="56"/>
  <c r="AD201" i="56"/>
  <c r="AC201" i="56"/>
  <c r="AB201" i="56"/>
  <c r="AA201" i="56"/>
  <c r="Z201" i="56"/>
  <c r="T201" i="56"/>
  <c r="P201" i="56"/>
  <c r="AD200" i="56"/>
  <c r="AC200" i="56"/>
  <c r="AB200" i="56"/>
  <c r="AA200" i="56"/>
  <c r="Z200" i="56"/>
  <c r="T200" i="56"/>
  <c r="P200" i="56"/>
  <c r="F195" i="56"/>
  <c r="E195" i="56"/>
  <c r="D195" i="56"/>
  <c r="C195" i="56"/>
  <c r="P195" i="56"/>
  <c r="F194" i="56"/>
  <c r="F210" i="56"/>
  <c r="W203" i="56"/>
  <c r="E194" i="56"/>
  <c r="E210" i="56"/>
  <c r="W202" i="56"/>
  <c r="D194" i="56"/>
  <c r="D210" i="56"/>
  <c r="W201" i="56"/>
  <c r="C194" i="56"/>
  <c r="P194" i="56"/>
  <c r="F193" i="56"/>
  <c r="F209" i="56"/>
  <c r="V203" i="56"/>
  <c r="E193" i="56"/>
  <c r="E209" i="56"/>
  <c r="V202" i="56"/>
  <c r="D193" i="56"/>
  <c r="D209" i="56"/>
  <c r="V201" i="56"/>
  <c r="C193" i="56"/>
  <c r="C209" i="56"/>
  <c r="V200" i="56"/>
  <c r="F192" i="56"/>
  <c r="E192" i="56"/>
  <c r="D192" i="56"/>
  <c r="C192" i="56"/>
  <c r="F190" i="56"/>
  <c r="F207" i="56"/>
  <c r="E190" i="56"/>
  <c r="E207" i="56"/>
  <c r="D190" i="56"/>
  <c r="D207" i="56"/>
  <c r="D208" i="56"/>
  <c r="C190" i="56"/>
  <c r="V186" i="56"/>
  <c r="U186" i="56"/>
  <c r="T186" i="56"/>
  <c r="AR175" i="56"/>
  <c r="AP175" i="56"/>
  <c r="AN175" i="56"/>
  <c r="AL175" i="56"/>
  <c r="AJ175" i="56"/>
  <c r="J173" i="56"/>
  <c r="I173" i="56"/>
  <c r="H173" i="56"/>
  <c r="G173" i="56"/>
  <c r="C173" i="56"/>
  <c r="O200" i="56"/>
  <c r="AE172" i="56"/>
  <c r="D172" i="56"/>
  <c r="E172" i="56"/>
  <c r="E173" i="56"/>
  <c r="O202" i="56"/>
  <c r="F125" i="56"/>
  <c r="F126" i="56"/>
  <c r="E125" i="56"/>
  <c r="E126" i="56"/>
  <c r="D125" i="56"/>
  <c r="D126" i="56"/>
  <c r="C125" i="56"/>
  <c r="C126" i="56"/>
  <c r="AD121" i="56"/>
  <c r="AC121" i="56"/>
  <c r="AB121" i="56"/>
  <c r="AA121" i="56"/>
  <c r="Z121" i="56"/>
  <c r="U121" i="56"/>
  <c r="T121" i="56"/>
  <c r="P121" i="56"/>
  <c r="AD120" i="56"/>
  <c r="AC120" i="56"/>
  <c r="AB120" i="56"/>
  <c r="AA120" i="56"/>
  <c r="Z120" i="56"/>
  <c r="T120" i="56"/>
  <c r="P120" i="56"/>
  <c r="AD119" i="56"/>
  <c r="AC119" i="56"/>
  <c r="AB119" i="56"/>
  <c r="AA119" i="56"/>
  <c r="Z119" i="56"/>
  <c r="U119" i="56"/>
  <c r="T119" i="56"/>
  <c r="P119" i="56"/>
  <c r="AD118" i="56"/>
  <c r="AC118" i="56"/>
  <c r="AB118" i="56"/>
  <c r="AA118" i="56"/>
  <c r="Z118" i="56"/>
  <c r="T118" i="56"/>
  <c r="P118" i="56"/>
  <c r="F113" i="56"/>
  <c r="E113" i="56"/>
  <c r="E114" i="56"/>
  <c r="D113" i="56"/>
  <c r="C113" i="56"/>
  <c r="P113" i="56"/>
  <c r="F112" i="56"/>
  <c r="F128" i="56"/>
  <c r="W121" i="56"/>
  <c r="E112" i="56"/>
  <c r="E128" i="56"/>
  <c r="W120" i="56"/>
  <c r="D112" i="56"/>
  <c r="D128" i="56"/>
  <c r="W119" i="56"/>
  <c r="C112" i="56"/>
  <c r="P112" i="56"/>
  <c r="F111" i="56"/>
  <c r="F127" i="56"/>
  <c r="V121" i="56"/>
  <c r="E111" i="56"/>
  <c r="E127" i="56"/>
  <c r="V120" i="56"/>
  <c r="D111" i="56"/>
  <c r="D127" i="56"/>
  <c r="V119" i="56"/>
  <c r="C111" i="56"/>
  <c r="C127" i="56"/>
  <c r="V118" i="56"/>
  <c r="F110" i="56"/>
  <c r="E110" i="56"/>
  <c r="D110" i="56"/>
  <c r="C110" i="56"/>
  <c r="V104" i="56"/>
  <c r="U104" i="56"/>
  <c r="T104" i="56"/>
  <c r="J91" i="56"/>
  <c r="I91" i="56"/>
  <c r="H91" i="56"/>
  <c r="G91" i="56"/>
  <c r="F91" i="56"/>
  <c r="O121" i="56"/>
  <c r="E91" i="56"/>
  <c r="O120" i="56"/>
  <c r="D91" i="56"/>
  <c r="O119" i="56"/>
  <c r="C91" i="56"/>
  <c r="O118" i="56"/>
  <c r="P90" i="56"/>
  <c r="AE90" i="56"/>
  <c r="AD42" i="56"/>
  <c r="AC42" i="56"/>
  <c r="AB42" i="56"/>
  <c r="AA42" i="56"/>
  <c r="Z42" i="56"/>
  <c r="T42" i="56"/>
  <c r="P42" i="56"/>
  <c r="AD41" i="56"/>
  <c r="AC41" i="56"/>
  <c r="AB41" i="56"/>
  <c r="AA41" i="56"/>
  <c r="Z41" i="56"/>
  <c r="T41" i="56"/>
  <c r="P41" i="56"/>
  <c r="AD40" i="56"/>
  <c r="AC40" i="56"/>
  <c r="AB40" i="56"/>
  <c r="AA40" i="56"/>
  <c r="Z40" i="56"/>
  <c r="T40" i="56"/>
  <c r="P40" i="56"/>
  <c r="AD39" i="56"/>
  <c r="AC39" i="56"/>
  <c r="AB39" i="56"/>
  <c r="AA39" i="56"/>
  <c r="Z39" i="56"/>
  <c r="T39" i="56"/>
  <c r="P39" i="56"/>
  <c r="F34" i="56"/>
  <c r="E34" i="56"/>
  <c r="D34" i="56"/>
  <c r="C34" i="56"/>
  <c r="P34" i="56"/>
  <c r="F33" i="56"/>
  <c r="F35" i="56"/>
  <c r="E33" i="56"/>
  <c r="D33" i="56"/>
  <c r="D49" i="56"/>
  <c r="W40" i="56"/>
  <c r="C33" i="56"/>
  <c r="W39" i="56"/>
  <c r="F32" i="56"/>
  <c r="F48" i="56"/>
  <c r="V42" i="56"/>
  <c r="E32" i="56"/>
  <c r="E48" i="56"/>
  <c r="V41" i="56"/>
  <c r="D32" i="56"/>
  <c r="D48" i="56"/>
  <c r="V40" i="56"/>
  <c r="C32" i="56"/>
  <c r="V39" i="56"/>
  <c r="F31" i="56"/>
  <c r="E31" i="56"/>
  <c r="D31" i="56"/>
  <c r="C31" i="56"/>
  <c r="F29" i="56"/>
  <c r="F46" i="56"/>
  <c r="U42" i="56"/>
  <c r="E29" i="56"/>
  <c r="E46" i="56"/>
  <c r="D29" i="56"/>
  <c r="D46" i="56"/>
  <c r="C29" i="56"/>
  <c r="V25" i="56"/>
  <c r="U25" i="56"/>
  <c r="T25" i="56"/>
  <c r="J12" i="56"/>
  <c r="I12" i="56"/>
  <c r="H12" i="56"/>
  <c r="G12" i="56"/>
  <c r="D12" i="56"/>
  <c r="O40" i="56"/>
  <c r="C12" i="56"/>
  <c r="O39" i="56"/>
  <c r="AE11" i="56"/>
  <c r="D11" i="56"/>
  <c r="F11" i="56"/>
  <c r="F12" i="56"/>
  <c r="O42" i="56"/>
  <c r="J10" i="56"/>
  <c r="I10" i="56"/>
  <c r="H10" i="56"/>
  <c r="G10" i="56"/>
  <c r="F10" i="56"/>
  <c r="E10" i="56"/>
  <c r="D10" i="56"/>
  <c r="C10" i="56"/>
  <c r="F128" i="55"/>
  <c r="W121" i="55"/>
  <c r="E128" i="55"/>
  <c r="D128" i="55"/>
  <c r="W119" i="55"/>
  <c r="F127" i="55"/>
  <c r="E127" i="55"/>
  <c r="D127" i="55"/>
  <c r="F126" i="55"/>
  <c r="E126" i="55"/>
  <c r="D126" i="55"/>
  <c r="F125" i="55"/>
  <c r="E125" i="55"/>
  <c r="U120" i="55"/>
  <c r="D125" i="55"/>
  <c r="C125" i="55"/>
  <c r="C126" i="55"/>
  <c r="AD121" i="55"/>
  <c r="AC121" i="55"/>
  <c r="AB121" i="55"/>
  <c r="AA121" i="55"/>
  <c r="Z121" i="55"/>
  <c r="V121" i="55"/>
  <c r="U121" i="55"/>
  <c r="T121" i="55"/>
  <c r="R121" i="55"/>
  <c r="P121" i="55"/>
  <c r="AD120" i="55"/>
  <c r="AC120" i="55"/>
  <c r="AB120" i="55"/>
  <c r="AA120" i="55"/>
  <c r="Z120" i="55"/>
  <c r="W120" i="55"/>
  <c r="V120" i="55"/>
  <c r="T120" i="55"/>
  <c r="P120" i="55"/>
  <c r="R120" i="55"/>
  <c r="AD119" i="55"/>
  <c r="AC119" i="55"/>
  <c r="AB119" i="55"/>
  <c r="AA119" i="55"/>
  <c r="Z119" i="55"/>
  <c r="V119" i="55"/>
  <c r="U119" i="55"/>
  <c r="T119" i="55"/>
  <c r="R119" i="55"/>
  <c r="P119" i="55"/>
  <c r="AD118" i="55"/>
  <c r="AC118" i="55"/>
  <c r="AB118" i="55"/>
  <c r="AA118" i="55"/>
  <c r="Z118" i="55"/>
  <c r="T118" i="55"/>
  <c r="P118" i="55"/>
  <c r="Q118" i="55"/>
  <c r="R118" i="55"/>
  <c r="P113" i="55"/>
  <c r="P112" i="55"/>
  <c r="F112" i="55"/>
  <c r="E112" i="55"/>
  <c r="D112" i="55"/>
  <c r="C112" i="55"/>
  <c r="C128" i="55"/>
  <c r="W118" i="55"/>
  <c r="C111" i="55"/>
  <c r="C127" i="55"/>
  <c r="V118" i="55"/>
  <c r="AE90" i="55"/>
  <c r="F49" i="55"/>
  <c r="W42" i="55"/>
  <c r="F48" i="55"/>
  <c r="V42" i="55"/>
  <c r="E48" i="55"/>
  <c r="V41" i="55"/>
  <c r="D48" i="55"/>
  <c r="V40" i="55"/>
  <c r="C48" i="55"/>
  <c r="V39" i="55"/>
  <c r="F47" i="55"/>
  <c r="F46" i="55"/>
  <c r="E46" i="55"/>
  <c r="E47" i="55"/>
  <c r="D46" i="55"/>
  <c r="D47" i="55"/>
  <c r="C46" i="55"/>
  <c r="U39" i="55"/>
  <c r="AD42" i="55"/>
  <c r="AC42" i="55"/>
  <c r="AB42" i="55"/>
  <c r="AA42" i="55"/>
  <c r="Z42" i="55"/>
  <c r="U42" i="55"/>
  <c r="T42" i="55"/>
  <c r="P42" i="55"/>
  <c r="AD41" i="55"/>
  <c r="AC41" i="55"/>
  <c r="AB41" i="55"/>
  <c r="AA41" i="55"/>
  <c r="Z41" i="55"/>
  <c r="T41" i="55"/>
  <c r="P41" i="55"/>
  <c r="AD40" i="55"/>
  <c r="AC40" i="55"/>
  <c r="AB40" i="55"/>
  <c r="AA40" i="55"/>
  <c r="Z40" i="55"/>
  <c r="U40" i="55"/>
  <c r="T40" i="55"/>
  <c r="P40" i="55"/>
  <c r="AD39" i="55"/>
  <c r="AC39" i="55"/>
  <c r="AB39" i="55"/>
  <c r="AA39" i="55"/>
  <c r="Z39" i="55"/>
  <c r="T39" i="55"/>
  <c r="P39" i="55"/>
  <c r="Q39" i="55"/>
  <c r="R39" i="55"/>
  <c r="P34" i="55"/>
  <c r="F33" i="55"/>
  <c r="E33" i="55"/>
  <c r="E49" i="55"/>
  <c r="W41" i="55"/>
  <c r="D33" i="55"/>
  <c r="D49" i="55"/>
  <c r="W40" i="55"/>
  <c r="C33" i="55"/>
  <c r="C49" i="55"/>
  <c r="W39" i="55"/>
  <c r="V25" i="55"/>
  <c r="U25" i="55"/>
  <c r="T25" i="55"/>
  <c r="P11" i="55"/>
  <c r="AE11" i="55"/>
  <c r="U206" i="73"/>
  <c r="C211" i="73"/>
  <c r="W204" i="73"/>
  <c r="P198" i="73"/>
  <c r="P33" i="56"/>
  <c r="C339" i="56"/>
  <c r="C355" i="56"/>
  <c r="W345" i="56"/>
  <c r="E353" i="56"/>
  <c r="E196" i="56"/>
  <c r="E275" i="56"/>
  <c r="E11" i="56"/>
  <c r="E12" i="56"/>
  <c r="O41" i="56"/>
  <c r="Q118" i="56"/>
  <c r="C35" i="56"/>
  <c r="Q279" i="56"/>
  <c r="E35" i="56"/>
  <c r="D35" i="56"/>
  <c r="F114" i="56"/>
  <c r="Q200" i="56"/>
  <c r="Q39" i="56"/>
  <c r="C33" i="72"/>
  <c r="C49" i="72"/>
  <c r="W39" i="72"/>
  <c r="D287" i="72"/>
  <c r="U280" i="72"/>
  <c r="E287" i="72"/>
  <c r="U281" i="72"/>
  <c r="P273" i="72"/>
  <c r="F286" i="72"/>
  <c r="U279" i="72"/>
  <c r="U202" i="72"/>
  <c r="E208" i="72"/>
  <c r="U203" i="72"/>
  <c r="U201" i="72"/>
  <c r="P194" i="72"/>
  <c r="U200" i="72"/>
  <c r="U119" i="72"/>
  <c r="U121" i="72"/>
  <c r="U41" i="72"/>
  <c r="F47" i="72"/>
  <c r="P33" i="72"/>
  <c r="U118" i="72"/>
  <c r="U120" i="72"/>
  <c r="C128" i="72"/>
  <c r="W118" i="72"/>
  <c r="D275" i="56"/>
  <c r="P274" i="56"/>
  <c r="R282" i="56"/>
  <c r="U201" i="56"/>
  <c r="F196" i="56"/>
  <c r="U42" i="71"/>
  <c r="U39" i="71"/>
  <c r="U41" i="71"/>
  <c r="U42" i="70"/>
  <c r="U40" i="70"/>
  <c r="U41" i="70"/>
  <c r="P33" i="70"/>
  <c r="U39" i="70"/>
  <c r="E47" i="69"/>
  <c r="P33" i="69"/>
  <c r="U39" i="69"/>
  <c r="U39" i="68"/>
  <c r="U41" i="68"/>
  <c r="F119" i="62"/>
  <c r="U114" i="62"/>
  <c r="U112" i="62"/>
  <c r="C118" i="62"/>
  <c r="C119" i="62"/>
  <c r="E118" i="62"/>
  <c r="P106" i="62"/>
  <c r="O112" i="62"/>
  <c r="R112" i="62"/>
  <c r="U111" i="62"/>
  <c r="J11" i="62"/>
  <c r="J12" i="62"/>
  <c r="C33" i="62"/>
  <c r="C49" i="62"/>
  <c r="W39" i="62"/>
  <c r="F47" i="64"/>
  <c r="P34" i="65"/>
  <c r="D49" i="66"/>
  <c r="W40" i="66"/>
  <c r="E49" i="66"/>
  <c r="W41" i="66"/>
  <c r="U41" i="66"/>
  <c r="P33" i="66"/>
  <c r="U40" i="66"/>
  <c r="O40" i="66"/>
  <c r="R40" i="66"/>
  <c r="U42" i="65"/>
  <c r="P33" i="65"/>
  <c r="U41" i="65"/>
  <c r="F49" i="64"/>
  <c r="W42" i="64"/>
  <c r="E49" i="64"/>
  <c r="W41" i="64"/>
  <c r="P33" i="64"/>
  <c r="O40" i="64"/>
  <c r="R40" i="64"/>
  <c r="F49" i="63"/>
  <c r="W42" i="63"/>
  <c r="E33" i="63"/>
  <c r="E49" i="63"/>
  <c r="W41" i="63"/>
  <c r="P33" i="63"/>
  <c r="U39" i="63"/>
  <c r="U41" i="63"/>
  <c r="F49" i="62"/>
  <c r="W42" i="62"/>
  <c r="E49" i="62"/>
  <c r="W41" i="62"/>
  <c r="R40" i="62"/>
  <c r="R120" i="56"/>
  <c r="R39" i="56"/>
  <c r="U39" i="57"/>
  <c r="U41" i="57"/>
  <c r="U39" i="56"/>
  <c r="C47" i="56"/>
  <c r="U41" i="56"/>
  <c r="E47" i="56"/>
  <c r="E208" i="56"/>
  <c r="U202" i="56"/>
  <c r="U280" i="56"/>
  <c r="D287" i="56"/>
  <c r="D47" i="56"/>
  <c r="U40" i="56"/>
  <c r="C287" i="56"/>
  <c r="U279" i="56"/>
  <c r="U203" i="56"/>
  <c r="F208" i="56"/>
  <c r="R42" i="56"/>
  <c r="R40" i="56"/>
  <c r="D289" i="56"/>
  <c r="W280" i="56"/>
  <c r="F47" i="56"/>
  <c r="F49" i="56"/>
  <c r="W42" i="56"/>
  <c r="C114" i="56"/>
  <c r="C196" i="56"/>
  <c r="F275" i="56"/>
  <c r="E287" i="56"/>
  <c r="P339" i="56"/>
  <c r="U118" i="56"/>
  <c r="U120" i="56"/>
  <c r="C128" i="56"/>
  <c r="W118" i="56"/>
  <c r="D196" i="56"/>
  <c r="U200" i="56"/>
  <c r="C210" i="56"/>
  <c r="W200" i="56"/>
  <c r="R279" i="56"/>
  <c r="F287" i="56"/>
  <c r="E49" i="56"/>
  <c r="W41" i="56"/>
  <c r="F172" i="56"/>
  <c r="F173" i="56"/>
  <c r="O203" i="56"/>
  <c r="D114" i="56"/>
  <c r="R121" i="56"/>
  <c r="R281" i="56"/>
  <c r="R41" i="56"/>
  <c r="R119" i="56"/>
  <c r="D173" i="56"/>
  <c r="O201" i="56"/>
  <c r="U345" i="56"/>
  <c r="R118" i="56"/>
  <c r="R280" i="56"/>
  <c r="C47" i="55"/>
  <c r="P33" i="55"/>
  <c r="U41" i="55"/>
  <c r="U118" i="55"/>
  <c r="F287" i="72"/>
  <c r="U282" i="72"/>
  <c r="C49" i="71"/>
  <c r="W39" i="71"/>
  <c r="P33" i="71"/>
  <c r="C49" i="68"/>
  <c r="W39" i="68"/>
  <c r="P33" i="68"/>
  <c r="E119" i="62"/>
  <c r="U113" i="62"/>
  <c r="P105" i="62"/>
  <c r="C121" i="62"/>
  <c r="W111" i="62"/>
  <c r="P33" i="62"/>
  <c r="O41" i="66"/>
  <c r="R41" i="66"/>
  <c r="O41" i="64"/>
  <c r="R41" i="64"/>
  <c r="R41" i="62"/>
  <c r="R202" i="56"/>
  <c r="R200" i="56"/>
  <c r="R203" i="56"/>
  <c r="R201" i="56"/>
  <c r="O42" i="66"/>
  <c r="R42" i="66"/>
  <c r="O42" i="64"/>
  <c r="R42" i="64"/>
  <c r="R42" i="62"/>
  <c r="D5" i="35"/>
  <c r="L42" i="14"/>
  <c r="L41" i="14"/>
  <c r="L40" i="14"/>
  <c r="L39" i="14"/>
  <c r="O41" i="14"/>
  <c r="O39" i="14"/>
  <c r="N39" i="14"/>
  <c r="Q42" i="14"/>
  <c r="O42" i="14"/>
  <c r="Q41" i="14"/>
  <c r="Q40" i="14"/>
  <c r="O40" i="14"/>
  <c r="Q39" i="14"/>
  <c r="P40" i="14"/>
  <c r="P41" i="14"/>
  <c r="P42" i="14"/>
  <c r="P39" i="14"/>
  <c r="D6" i="35"/>
  <c r="N42" i="14"/>
  <c r="N41" i="14"/>
  <c r="N40" i="14"/>
  <c r="F134" i="14"/>
  <c r="E134" i="14"/>
  <c r="D134" i="14"/>
  <c r="F133" i="14"/>
  <c r="D133" i="14"/>
  <c r="F131" i="14"/>
  <c r="E131" i="14"/>
  <c r="D131" i="14"/>
  <c r="C30" i="14"/>
  <c r="C29" i="14"/>
  <c r="E60" i="13"/>
  <c r="Q52" i="13"/>
  <c r="Q54" i="13"/>
  <c r="Q55" i="13"/>
  <c r="C88" i="13"/>
  <c r="J52" i="13"/>
  <c r="J54" i="13"/>
  <c r="J55" i="13"/>
  <c r="D59" i="13"/>
  <c r="O41" i="13"/>
  <c r="E59" i="13"/>
  <c r="O42" i="13"/>
  <c r="F59" i="13"/>
  <c r="O43" i="13"/>
  <c r="O40" i="13"/>
  <c r="D60" i="13"/>
  <c r="F60" i="13"/>
  <c r="J62" i="13"/>
  <c r="J63" i="13"/>
  <c r="D31" i="14"/>
  <c r="E31" i="14"/>
  <c r="F31" i="14"/>
  <c r="C31" i="14"/>
  <c r="C58" i="14"/>
  <c r="C60" i="14"/>
  <c r="D40" i="34"/>
  <c r="M9" i="19"/>
  <c r="D117" i="13"/>
  <c r="E117" i="13"/>
  <c r="F117" i="13"/>
  <c r="Q99" i="13"/>
  <c r="C117" i="13"/>
  <c r="Q96" i="13"/>
  <c r="D89" i="13"/>
  <c r="Q69" i="13"/>
  <c r="E89" i="13"/>
  <c r="Q70" i="13"/>
  <c r="F89" i="13"/>
  <c r="C89" i="13"/>
  <c r="D33" i="13"/>
  <c r="E33" i="13"/>
  <c r="F33" i="13"/>
  <c r="Q15" i="13"/>
  <c r="C33" i="13"/>
  <c r="I42" i="4"/>
  <c r="L42" i="4"/>
  <c r="I41" i="4"/>
  <c r="L41" i="4"/>
  <c r="I39" i="4"/>
  <c r="L39" i="4"/>
  <c r="I40" i="4"/>
  <c r="L40" i="4"/>
  <c r="L13" i="34"/>
  <c r="L12" i="34"/>
  <c r="L15" i="34"/>
  <c r="L14" i="34"/>
  <c r="L39" i="6"/>
  <c r="L42" i="6"/>
  <c r="L40" i="6"/>
  <c r="L41" i="6"/>
  <c r="D23" i="35"/>
  <c r="D24" i="35"/>
  <c r="D25" i="35"/>
  <c r="D26" i="35"/>
  <c r="D27" i="35"/>
  <c r="W15" i="34"/>
  <c r="W14" i="34"/>
  <c r="W13" i="34"/>
  <c r="W12" i="34"/>
  <c r="V15" i="34"/>
  <c r="V14" i="34"/>
  <c r="V13" i="34"/>
  <c r="V12" i="34"/>
  <c r="N15" i="34"/>
  <c r="N14" i="34"/>
  <c r="N13" i="34"/>
  <c r="N12" i="34"/>
  <c r="F26" i="34"/>
  <c r="E26" i="34"/>
  <c r="D26" i="34"/>
  <c r="C26" i="34"/>
  <c r="F23" i="34"/>
  <c r="O15" i="34"/>
  <c r="E23" i="34"/>
  <c r="O14" i="34"/>
  <c r="D23" i="34"/>
  <c r="C23" i="34"/>
  <c r="O12" i="34"/>
  <c r="U15" i="34"/>
  <c r="T15" i="34"/>
  <c r="J15" i="34"/>
  <c r="U14" i="34"/>
  <c r="T14" i="34"/>
  <c r="J14" i="34"/>
  <c r="U13" i="34"/>
  <c r="T13" i="34"/>
  <c r="J13" i="34"/>
  <c r="U12" i="34"/>
  <c r="T12" i="34"/>
  <c r="J12" i="34"/>
  <c r="J6" i="34"/>
  <c r="Q98" i="13"/>
  <c r="F116" i="13"/>
  <c r="E116" i="13"/>
  <c r="P98" i="13"/>
  <c r="D116" i="13"/>
  <c r="P97" i="13"/>
  <c r="C116" i="13"/>
  <c r="P96" i="13"/>
  <c r="F115" i="13"/>
  <c r="E115" i="13"/>
  <c r="D115" i="13"/>
  <c r="C115" i="13"/>
  <c r="O99" i="13"/>
  <c r="O98" i="13"/>
  <c r="O97" i="13"/>
  <c r="O96" i="13"/>
  <c r="P43" i="13"/>
  <c r="P42" i="13"/>
  <c r="P41" i="13"/>
  <c r="D13" i="27"/>
  <c r="L13" i="27"/>
  <c r="T12" i="10"/>
  <c r="T12" i="11"/>
  <c r="T12" i="9"/>
  <c r="F17" i="24"/>
  <c r="U15" i="24"/>
  <c r="E17" i="24"/>
  <c r="U14" i="24"/>
  <c r="C17" i="24"/>
  <c r="U12" i="24"/>
  <c r="D17" i="24"/>
  <c r="U13" i="24"/>
  <c r="E14" i="30"/>
  <c r="N14" i="30"/>
  <c r="F14" i="30"/>
  <c r="N15" i="30"/>
  <c r="D14" i="30"/>
  <c r="N13" i="30"/>
  <c r="C14" i="30"/>
  <c r="N12" i="30"/>
  <c r="F17" i="30"/>
  <c r="U15" i="30"/>
  <c r="E17" i="30"/>
  <c r="U14" i="30"/>
  <c r="D17" i="30"/>
  <c r="U13" i="30"/>
  <c r="C17" i="30"/>
  <c r="U12" i="30"/>
  <c r="F18" i="27"/>
  <c r="V15" i="27"/>
  <c r="F17" i="27"/>
  <c r="U15" i="27"/>
  <c r="E14" i="24"/>
  <c r="N14" i="24"/>
  <c r="F14" i="24"/>
  <c r="N15" i="24"/>
  <c r="D14" i="24"/>
  <c r="N13" i="24"/>
  <c r="C14" i="24"/>
  <c r="C86" i="6"/>
  <c r="Q66" i="6"/>
  <c r="D86" i="6"/>
  <c r="Q67" i="6"/>
  <c r="E86" i="6"/>
  <c r="F86" i="6"/>
  <c r="Q69" i="6"/>
  <c r="F18" i="4"/>
  <c r="F17" i="4"/>
  <c r="U15" i="4"/>
  <c r="P13" i="14"/>
  <c r="P14" i="14"/>
  <c r="D58" i="14"/>
  <c r="E58" i="14"/>
  <c r="F58" i="14"/>
  <c r="P12" i="14"/>
  <c r="Q71" i="13"/>
  <c r="Q68" i="13"/>
  <c r="Q12" i="13"/>
  <c r="C32" i="4"/>
  <c r="Q12" i="4"/>
  <c r="C30" i="11"/>
  <c r="C112" i="10"/>
  <c r="P93" i="10"/>
  <c r="C110" i="10"/>
  <c r="C111" i="10"/>
  <c r="C56" i="10"/>
  <c r="C31" i="10"/>
  <c r="P12" i="10"/>
  <c r="C31" i="9"/>
  <c r="P12" i="9"/>
  <c r="F22" i="9"/>
  <c r="E22" i="9"/>
  <c r="D22" i="9"/>
  <c r="C22" i="9"/>
  <c r="C29" i="9"/>
  <c r="O12" i="9"/>
  <c r="F32" i="4"/>
  <c r="Q15" i="4"/>
  <c r="E32" i="4"/>
  <c r="D32" i="4"/>
  <c r="Q13" i="4"/>
  <c r="F56" i="14"/>
  <c r="E56" i="14"/>
  <c r="D56" i="14"/>
  <c r="C56" i="14"/>
  <c r="C63" i="28"/>
  <c r="C64" i="28"/>
  <c r="L50" i="4"/>
  <c r="L49" i="4"/>
  <c r="X15" i="30"/>
  <c r="W15" i="30"/>
  <c r="V15" i="30"/>
  <c r="T15" i="30"/>
  <c r="L15" i="30"/>
  <c r="J15" i="30"/>
  <c r="X14" i="30"/>
  <c r="W14" i="30"/>
  <c r="V14" i="30"/>
  <c r="T14" i="30"/>
  <c r="L14" i="30"/>
  <c r="J14" i="30"/>
  <c r="X13" i="30"/>
  <c r="W13" i="30"/>
  <c r="V13" i="30"/>
  <c r="T13" i="30"/>
  <c r="L13" i="30"/>
  <c r="J13" i="30"/>
  <c r="X12" i="30"/>
  <c r="W12" i="30"/>
  <c r="V12" i="30"/>
  <c r="T12" i="30"/>
  <c r="L12" i="30"/>
  <c r="J12" i="30"/>
  <c r="X15" i="24"/>
  <c r="W15" i="24"/>
  <c r="V15" i="24"/>
  <c r="T15" i="24"/>
  <c r="L15" i="24"/>
  <c r="J15" i="24"/>
  <c r="X14" i="24"/>
  <c r="W14" i="24"/>
  <c r="V14" i="24"/>
  <c r="T14" i="24"/>
  <c r="L14" i="24"/>
  <c r="J14" i="24"/>
  <c r="X13" i="24"/>
  <c r="W13" i="24"/>
  <c r="V13" i="24"/>
  <c r="T13" i="24"/>
  <c r="L13" i="24"/>
  <c r="J13" i="24"/>
  <c r="X12" i="24"/>
  <c r="W12" i="24"/>
  <c r="V12" i="24"/>
  <c r="T12" i="24"/>
  <c r="N12" i="24"/>
  <c r="L12" i="24"/>
  <c r="J12" i="24"/>
  <c r="K12" i="24"/>
  <c r="F32" i="30"/>
  <c r="Q15" i="30"/>
  <c r="E32" i="30"/>
  <c r="Q14" i="30"/>
  <c r="D32" i="30"/>
  <c r="Q13" i="30"/>
  <c r="C32" i="30"/>
  <c r="Q12" i="30"/>
  <c r="F31" i="30"/>
  <c r="P15" i="30"/>
  <c r="E31" i="30"/>
  <c r="P14" i="30"/>
  <c r="D31" i="30"/>
  <c r="P13" i="30"/>
  <c r="C31" i="30"/>
  <c r="P12" i="30"/>
  <c r="F30" i="30"/>
  <c r="F29" i="30"/>
  <c r="O15" i="30"/>
  <c r="E30" i="30"/>
  <c r="E29" i="30"/>
  <c r="O14" i="30"/>
  <c r="D30" i="30"/>
  <c r="D29" i="30"/>
  <c r="O13" i="30"/>
  <c r="C30" i="30"/>
  <c r="C29" i="30"/>
  <c r="O12" i="30"/>
  <c r="X15" i="27"/>
  <c r="W15" i="27"/>
  <c r="T15" i="27"/>
  <c r="N15" i="27"/>
  <c r="J15" i="27"/>
  <c r="X14" i="27"/>
  <c r="W14" i="27"/>
  <c r="V14" i="27"/>
  <c r="U14" i="27"/>
  <c r="T14" i="27"/>
  <c r="N14" i="27"/>
  <c r="J14" i="27"/>
  <c r="X13" i="27"/>
  <c r="W13" i="27"/>
  <c r="V13" i="27"/>
  <c r="U13" i="27"/>
  <c r="T13" i="27"/>
  <c r="N13" i="27"/>
  <c r="J13" i="27"/>
  <c r="X12" i="27"/>
  <c r="W12" i="27"/>
  <c r="V12" i="27"/>
  <c r="U12" i="27"/>
  <c r="T12" i="27"/>
  <c r="N12" i="27"/>
  <c r="L12" i="27"/>
  <c r="J12" i="27"/>
  <c r="X15" i="28"/>
  <c r="W15" i="28"/>
  <c r="V15" i="28"/>
  <c r="U15" i="28"/>
  <c r="T15" i="28"/>
  <c r="N15" i="28"/>
  <c r="L15" i="28"/>
  <c r="J15" i="28"/>
  <c r="X14" i="28"/>
  <c r="W14" i="28"/>
  <c r="V14" i="28"/>
  <c r="U14" i="28"/>
  <c r="T14" i="28"/>
  <c r="N14" i="28"/>
  <c r="L14" i="28"/>
  <c r="J14" i="28"/>
  <c r="X13" i="28"/>
  <c r="W13" i="28"/>
  <c r="V13" i="28"/>
  <c r="U13" i="28"/>
  <c r="T13" i="28"/>
  <c r="N13" i="28"/>
  <c r="L13" i="28"/>
  <c r="J13" i="28"/>
  <c r="X12" i="28"/>
  <c r="W12" i="28"/>
  <c r="V12" i="28"/>
  <c r="U12" i="28"/>
  <c r="T12" i="28"/>
  <c r="N12" i="28"/>
  <c r="L12" i="28"/>
  <c r="J12" i="28"/>
  <c r="X15" i="11"/>
  <c r="W15" i="11"/>
  <c r="V15" i="11"/>
  <c r="U15" i="11"/>
  <c r="T15" i="11"/>
  <c r="N15" i="11"/>
  <c r="L15" i="11"/>
  <c r="J15" i="11"/>
  <c r="X14" i="11"/>
  <c r="W14" i="11"/>
  <c r="V14" i="11"/>
  <c r="U14" i="11"/>
  <c r="T14" i="11"/>
  <c r="N14" i="11"/>
  <c r="L14" i="11"/>
  <c r="J14" i="11"/>
  <c r="X13" i="11"/>
  <c r="W13" i="11"/>
  <c r="V13" i="11"/>
  <c r="U13" i="11"/>
  <c r="T13" i="11"/>
  <c r="N13" i="11"/>
  <c r="L13" i="11"/>
  <c r="J13" i="11"/>
  <c r="X12" i="11"/>
  <c r="W12" i="11"/>
  <c r="V12" i="11"/>
  <c r="U12" i="11"/>
  <c r="N12" i="11"/>
  <c r="L12" i="11"/>
  <c r="J12" i="11"/>
  <c r="X15" i="10"/>
  <c r="W15" i="10"/>
  <c r="V15" i="10"/>
  <c r="U15" i="10"/>
  <c r="N15" i="10"/>
  <c r="L15" i="10"/>
  <c r="J15" i="10"/>
  <c r="X14" i="10"/>
  <c r="W14" i="10"/>
  <c r="V14" i="10"/>
  <c r="U14" i="10"/>
  <c r="T14" i="10"/>
  <c r="N14" i="10"/>
  <c r="L14" i="10"/>
  <c r="J14" i="10"/>
  <c r="X13" i="10"/>
  <c r="W13" i="10"/>
  <c r="V13" i="10"/>
  <c r="U13" i="10"/>
  <c r="T13" i="10"/>
  <c r="N13" i="10"/>
  <c r="L13" i="10"/>
  <c r="J13" i="10"/>
  <c r="X12" i="10"/>
  <c r="W12" i="10"/>
  <c r="V12" i="10"/>
  <c r="U12" i="10"/>
  <c r="N12" i="10"/>
  <c r="L12" i="10"/>
  <c r="J12" i="10"/>
  <c r="X15" i="9"/>
  <c r="W15" i="9"/>
  <c r="V15" i="9"/>
  <c r="U15" i="9"/>
  <c r="T15" i="9"/>
  <c r="N15" i="9"/>
  <c r="L15" i="9"/>
  <c r="J15" i="9"/>
  <c r="X14" i="9"/>
  <c r="W14" i="9"/>
  <c r="V14" i="9"/>
  <c r="U14" i="9"/>
  <c r="T14" i="9"/>
  <c r="N14" i="9"/>
  <c r="L14" i="9"/>
  <c r="J14" i="9"/>
  <c r="X13" i="9"/>
  <c r="W13" i="9"/>
  <c r="V13" i="9"/>
  <c r="U13" i="9"/>
  <c r="T13" i="9"/>
  <c r="N13" i="9"/>
  <c r="L13" i="9"/>
  <c r="J13" i="9"/>
  <c r="X12" i="9"/>
  <c r="W12" i="9"/>
  <c r="V12" i="9"/>
  <c r="U12" i="9"/>
  <c r="N12" i="9"/>
  <c r="L12" i="9"/>
  <c r="J12" i="9"/>
  <c r="F32" i="27"/>
  <c r="Q15" i="27"/>
  <c r="E32" i="27"/>
  <c r="Q14" i="27"/>
  <c r="D32" i="27"/>
  <c r="Q13" i="27"/>
  <c r="C32" i="27"/>
  <c r="Q12" i="27"/>
  <c r="F31" i="27"/>
  <c r="P15" i="27"/>
  <c r="E31" i="27"/>
  <c r="P14" i="27"/>
  <c r="D31" i="27"/>
  <c r="P13" i="27"/>
  <c r="C31" i="27"/>
  <c r="P12" i="27"/>
  <c r="F32" i="24"/>
  <c r="Q15" i="24"/>
  <c r="E32" i="24"/>
  <c r="Q14" i="24"/>
  <c r="D32" i="24"/>
  <c r="Q13" i="24"/>
  <c r="C32" i="24"/>
  <c r="Q12" i="24"/>
  <c r="F31" i="24"/>
  <c r="P15" i="24"/>
  <c r="E31" i="24"/>
  <c r="P14" i="24"/>
  <c r="D31" i="24"/>
  <c r="P13" i="24"/>
  <c r="C31" i="24"/>
  <c r="P12" i="24"/>
  <c r="F23" i="24"/>
  <c r="E23" i="24"/>
  <c r="E30" i="24"/>
  <c r="E29" i="24"/>
  <c r="O14" i="24"/>
  <c r="D23" i="24"/>
  <c r="D30" i="24"/>
  <c r="C23" i="24"/>
  <c r="C30" i="29"/>
  <c r="C29" i="29"/>
  <c r="O12" i="29"/>
  <c r="X15" i="29"/>
  <c r="W15" i="29"/>
  <c r="V15" i="29"/>
  <c r="U15" i="29"/>
  <c r="T15" i="29"/>
  <c r="N15" i="29"/>
  <c r="L15" i="29"/>
  <c r="J15" i="29"/>
  <c r="X14" i="29"/>
  <c r="W14" i="29"/>
  <c r="V14" i="29"/>
  <c r="U14" i="29"/>
  <c r="T14" i="29"/>
  <c r="N14" i="29"/>
  <c r="L14" i="29"/>
  <c r="J14" i="29"/>
  <c r="X13" i="29"/>
  <c r="W13" i="29"/>
  <c r="V13" i="29"/>
  <c r="U13" i="29"/>
  <c r="T13" i="29"/>
  <c r="N13" i="29"/>
  <c r="L13" i="29"/>
  <c r="J13" i="29"/>
  <c r="X12" i="29"/>
  <c r="W12" i="29"/>
  <c r="V12" i="29"/>
  <c r="U12" i="29"/>
  <c r="T12" i="29"/>
  <c r="N12" i="29"/>
  <c r="L12" i="29"/>
  <c r="J12" i="29"/>
  <c r="F32" i="28"/>
  <c r="Q15" i="28"/>
  <c r="E32" i="28"/>
  <c r="Q14" i="28"/>
  <c r="D32" i="28"/>
  <c r="Q13" i="28"/>
  <c r="C32" i="28"/>
  <c r="Q12" i="28"/>
  <c r="D113" i="6"/>
  <c r="Q94" i="6"/>
  <c r="E113" i="6"/>
  <c r="Q95" i="6"/>
  <c r="F113" i="6"/>
  <c r="Q96" i="6"/>
  <c r="C113" i="6"/>
  <c r="D59" i="6"/>
  <c r="E59" i="6"/>
  <c r="F59" i="6"/>
  <c r="Q42" i="6"/>
  <c r="C59" i="6"/>
  <c r="Q39" i="6"/>
  <c r="D32" i="6"/>
  <c r="Q13" i="6"/>
  <c r="E32" i="6"/>
  <c r="Q14" i="6"/>
  <c r="F32" i="6"/>
  <c r="C32" i="6"/>
  <c r="C23" i="27"/>
  <c r="D23" i="27"/>
  <c r="D30" i="27"/>
  <c r="D29" i="27"/>
  <c r="O13" i="27"/>
  <c r="E23" i="27"/>
  <c r="F23" i="27"/>
  <c r="F22" i="27"/>
  <c r="F50" i="29"/>
  <c r="F57" i="29"/>
  <c r="F56" i="29"/>
  <c r="O42" i="29"/>
  <c r="E50" i="29"/>
  <c r="E57" i="29"/>
  <c r="E56" i="29"/>
  <c r="O41" i="29"/>
  <c r="D50" i="29"/>
  <c r="D57" i="29"/>
  <c r="D56" i="29"/>
  <c r="O40" i="29"/>
  <c r="C50" i="29"/>
  <c r="C57" i="29"/>
  <c r="C56" i="29"/>
  <c r="O39" i="29"/>
  <c r="F26" i="29"/>
  <c r="E26" i="29"/>
  <c r="D26" i="29"/>
  <c r="C26" i="29"/>
  <c r="F32" i="29"/>
  <c r="Q15" i="29"/>
  <c r="E32" i="29"/>
  <c r="Q14" i="29"/>
  <c r="D32" i="29"/>
  <c r="Q13" i="29"/>
  <c r="C32" i="29"/>
  <c r="Q12" i="29"/>
  <c r="F58" i="29"/>
  <c r="P42" i="29"/>
  <c r="E58" i="29"/>
  <c r="P41" i="29"/>
  <c r="D58" i="29"/>
  <c r="P40" i="29"/>
  <c r="C58" i="29"/>
  <c r="P39" i="29"/>
  <c r="F30" i="24"/>
  <c r="F29" i="24"/>
  <c r="O15" i="24"/>
  <c r="D29" i="24"/>
  <c r="O13" i="24"/>
  <c r="C30" i="24"/>
  <c r="C29" i="24"/>
  <c r="O12" i="24"/>
  <c r="J7" i="30"/>
  <c r="J6" i="30"/>
  <c r="J7" i="24"/>
  <c r="J6" i="24"/>
  <c r="F31" i="29"/>
  <c r="P15" i="29"/>
  <c r="E31" i="29"/>
  <c r="P14" i="29"/>
  <c r="D31" i="29"/>
  <c r="P13" i="29"/>
  <c r="C31" i="29"/>
  <c r="P12" i="29"/>
  <c r="F58" i="28"/>
  <c r="P42" i="28"/>
  <c r="E58" i="28"/>
  <c r="P41" i="28"/>
  <c r="D58" i="28"/>
  <c r="P40" i="28"/>
  <c r="C58" i="28"/>
  <c r="P39" i="28"/>
  <c r="F31" i="28"/>
  <c r="P15" i="28"/>
  <c r="E31" i="28"/>
  <c r="P14" i="28"/>
  <c r="D31" i="28"/>
  <c r="P13" i="28"/>
  <c r="C31" i="28"/>
  <c r="P12" i="28"/>
  <c r="F112" i="11"/>
  <c r="P96" i="11"/>
  <c r="E112" i="11"/>
  <c r="P95" i="11"/>
  <c r="D112" i="11"/>
  <c r="P94" i="11"/>
  <c r="C112" i="11"/>
  <c r="P93" i="11"/>
  <c r="F85" i="11"/>
  <c r="E85" i="11"/>
  <c r="P68" i="11"/>
  <c r="D85" i="11"/>
  <c r="P67" i="11"/>
  <c r="C85" i="11"/>
  <c r="P66" i="11"/>
  <c r="F31" i="9"/>
  <c r="P15" i="9"/>
  <c r="E31" i="9"/>
  <c r="P14" i="9"/>
  <c r="D31" i="9"/>
  <c r="P13" i="9"/>
  <c r="C85" i="10"/>
  <c r="P66" i="10"/>
  <c r="C58" i="10"/>
  <c r="P39" i="10"/>
  <c r="J42" i="14"/>
  <c r="J41" i="14"/>
  <c r="J40" i="14"/>
  <c r="J39" i="14"/>
  <c r="K39" i="14"/>
  <c r="C57" i="14"/>
  <c r="F113" i="10"/>
  <c r="Q96" i="10"/>
  <c r="E113" i="10"/>
  <c r="Q95" i="10"/>
  <c r="D113" i="10"/>
  <c r="Q94" i="10"/>
  <c r="C113" i="10"/>
  <c r="Q93" i="10"/>
  <c r="F112" i="10"/>
  <c r="P96" i="10"/>
  <c r="E112" i="10"/>
  <c r="P95" i="10"/>
  <c r="D112" i="10"/>
  <c r="P94" i="10"/>
  <c r="C84" i="10"/>
  <c r="D84" i="10"/>
  <c r="E84" i="10"/>
  <c r="F84" i="10"/>
  <c r="D85" i="10"/>
  <c r="P67" i="10"/>
  <c r="E85" i="10"/>
  <c r="P68" i="10"/>
  <c r="F85" i="10"/>
  <c r="P69" i="10"/>
  <c r="C86" i="10"/>
  <c r="Q66" i="10"/>
  <c r="D86" i="10"/>
  <c r="Q67" i="10"/>
  <c r="E86" i="10"/>
  <c r="F86" i="10"/>
  <c r="F58" i="10"/>
  <c r="P42" i="10"/>
  <c r="E58" i="10"/>
  <c r="P41" i="10"/>
  <c r="D58" i="10"/>
  <c r="P40" i="10"/>
  <c r="F31" i="10"/>
  <c r="P15" i="10"/>
  <c r="E31" i="10"/>
  <c r="P14" i="10"/>
  <c r="D31" i="10"/>
  <c r="P13" i="10"/>
  <c r="F112" i="6"/>
  <c r="P96" i="6"/>
  <c r="E112" i="6"/>
  <c r="D112" i="6"/>
  <c r="C112" i="6"/>
  <c r="P93" i="6"/>
  <c r="F110" i="6"/>
  <c r="F111" i="6"/>
  <c r="E110" i="6"/>
  <c r="D110" i="6"/>
  <c r="D111" i="6"/>
  <c r="C110" i="6"/>
  <c r="F85" i="6"/>
  <c r="P69" i="6"/>
  <c r="E85" i="6"/>
  <c r="P68" i="6"/>
  <c r="D85" i="6"/>
  <c r="P67" i="6"/>
  <c r="C85" i="6"/>
  <c r="P66" i="6"/>
  <c r="F56" i="6"/>
  <c r="F57" i="6"/>
  <c r="E56" i="6"/>
  <c r="E57" i="6"/>
  <c r="D56" i="6"/>
  <c r="D57" i="6"/>
  <c r="C56" i="6"/>
  <c r="C57" i="6"/>
  <c r="C58" i="6"/>
  <c r="P39" i="6"/>
  <c r="F31" i="4"/>
  <c r="E31" i="4"/>
  <c r="P14" i="4"/>
  <c r="D31" i="4"/>
  <c r="P13" i="4"/>
  <c r="C31" i="4"/>
  <c r="Q41" i="29"/>
  <c r="Q40" i="29"/>
  <c r="X42" i="29"/>
  <c r="W42" i="29"/>
  <c r="V42" i="29"/>
  <c r="U42" i="29"/>
  <c r="T42" i="29"/>
  <c r="Q42" i="29"/>
  <c r="N42" i="29"/>
  <c r="L42" i="29"/>
  <c r="J42" i="29"/>
  <c r="X41" i="29"/>
  <c r="W41" i="29"/>
  <c r="V41" i="29"/>
  <c r="U41" i="29"/>
  <c r="T41" i="29"/>
  <c r="N41" i="29"/>
  <c r="L41" i="29"/>
  <c r="J41" i="29"/>
  <c r="X40" i="29"/>
  <c r="W40" i="29"/>
  <c r="V40" i="29"/>
  <c r="U40" i="29"/>
  <c r="T40" i="29"/>
  <c r="N40" i="29"/>
  <c r="L40" i="29"/>
  <c r="J40" i="29"/>
  <c r="X39" i="29"/>
  <c r="W39" i="29"/>
  <c r="V39" i="29"/>
  <c r="U39" i="29"/>
  <c r="T39" i="29"/>
  <c r="Q39" i="29"/>
  <c r="N39" i="29"/>
  <c r="L39" i="29"/>
  <c r="J39" i="29"/>
  <c r="K39" i="29"/>
  <c r="J34" i="29"/>
  <c r="J33" i="29"/>
  <c r="F30" i="29"/>
  <c r="F29" i="29"/>
  <c r="O15" i="29"/>
  <c r="E30" i="29"/>
  <c r="E29" i="29"/>
  <c r="O14" i="29"/>
  <c r="D30" i="29"/>
  <c r="D29" i="29"/>
  <c r="O13" i="29"/>
  <c r="J7" i="29"/>
  <c r="J6" i="29"/>
  <c r="F57" i="28"/>
  <c r="F56" i="28"/>
  <c r="O42" i="28"/>
  <c r="E57" i="28"/>
  <c r="E56" i="28"/>
  <c r="O41" i="28"/>
  <c r="D57" i="28"/>
  <c r="D56" i="28"/>
  <c r="O40" i="28"/>
  <c r="C57" i="28"/>
  <c r="C56" i="28"/>
  <c r="O39" i="28"/>
  <c r="X42" i="28"/>
  <c r="W42" i="28"/>
  <c r="V42" i="28"/>
  <c r="U42" i="28"/>
  <c r="T42" i="28"/>
  <c r="N42" i="28"/>
  <c r="L42" i="28"/>
  <c r="J42" i="28"/>
  <c r="X41" i="28"/>
  <c r="W41" i="28"/>
  <c r="V41" i="28"/>
  <c r="U41" i="28"/>
  <c r="T41" i="28"/>
  <c r="N41" i="28"/>
  <c r="L41" i="28"/>
  <c r="J41" i="28"/>
  <c r="X40" i="28"/>
  <c r="W40" i="28"/>
  <c r="V40" i="28"/>
  <c r="U40" i="28"/>
  <c r="T40" i="28"/>
  <c r="N40" i="28"/>
  <c r="L40" i="28"/>
  <c r="J40" i="28"/>
  <c r="X39" i="28"/>
  <c r="W39" i="28"/>
  <c r="V39" i="28"/>
  <c r="U39" i="28"/>
  <c r="T39" i="28"/>
  <c r="N39" i="28"/>
  <c r="L39" i="28"/>
  <c r="J39" i="28"/>
  <c r="K39" i="28"/>
  <c r="J34" i="28"/>
  <c r="J33" i="28"/>
  <c r="F30" i="28"/>
  <c r="F29" i="28"/>
  <c r="O15" i="28"/>
  <c r="E30" i="28"/>
  <c r="E29" i="28"/>
  <c r="O14" i="28"/>
  <c r="D30" i="28"/>
  <c r="D29" i="28"/>
  <c r="O13" i="28"/>
  <c r="C30" i="28"/>
  <c r="C29" i="28"/>
  <c r="O12" i="28"/>
  <c r="J7" i="28"/>
  <c r="J6" i="28"/>
  <c r="J6" i="27"/>
  <c r="J7" i="27"/>
  <c r="H22" i="27"/>
  <c r="I22" i="27"/>
  <c r="Q14" i="13"/>
  <c r="K29" i="13"/>
  <c r="C31" i="11"/>
  <c r="P12" i="11"/>
  <c r="F58" i="11"/>
  <c r="P42" i="11"/>
  <c r="E58" i="11"/>
  <c r="P41" i="11"/>
  <c r="D58" i="11"/>
  <c r="P40" i="11"/>
  <c r="C58" i="11"/>
  <c r="P39" i="11"/>
  <c r="F31" i="11"/>
  <c r="P15" i="11"/>
  <c r="E31" i="11"/>
  <c r="P14" i="11"/>
  <c r="D31" i="11"/>
  <c r="P13" i="11"/>
  <c r="P99" i="13"/>
  <c r="N99" i="13"/>
  <c r="L99" i="13"/>
  <c r="J99" i="13"/>
  <c r="N98" i="13"/>
  <c r="L98" i="13"/>
  <c r="J98" i="13"/>
  <c r="Q97" i="13"/>
  <c r="N97" i="13"/>
  <c r="L97" i="13"/>
  <c r="J97" i="13"/>
  <c r="N96" i="13"/>
  <c r="L96" i="13"/>
  <c r="J96" i="13"/>
  <c r="K96" i="13"/>
  <c r="N71" i="13"/>
  <c r="L71" i="13"/>
  <c r="J71" i="13"/>
  <c r="N70" i="13"/>
  <c r="L70" i="13"/>
  <c r="J70" i="13"/>
  <c r="N69" i="13"/>
  <c r="L69" i="13"/>
  <c r="J69" i="13"/>
  <c r="N68" i="13"/>
  <c r="L68" i="13"/>
  <c r="J68" i="13"/>
  <c r="K68" i="13"/>
  <c r="N43" i="13"/>
  <c r="L43" i="13"/>
  <c r="J43" i="13"/>
  <c r="N42" i="13"/>
  <c r="L42" i="13"/>
  <c r="J42" i="13"/>
  <c r="N41" i="13"/>
  <c r="L41" i="13"/>
  <c r="J41" i="13"/>
  <c r="N40" i="13"/>
  <c r="L40" i="13"/>
  <c r="J40" i="13"/>
  <c r="K40" i="13"/>
  <c r="N15" i="13"/>
  <c r="L15" i="13"/>
  <c r="N14" i="13"/>
  <c r="L14" i="13"/>
  <c r="Q13" i="13"/>
  <c r="N13" i="13"/>
  <c r="L13" i="13"/>
  <c r="N12" i="13"/>
  <c r="L12" i="13"/>
  <c r="J15" i="13"/>
  <c r="J14" i="13"/>
  <c r="J13" i="13"/>
  <c r="J12" i="13"/>
  <c r="J7" i="13"/>
  <c r="J6" i="13"/>
  <c r="F59" i="14"/>
  <c r="E59" i="14"/>
  <c r="D59" i="14"/>
  <c r="C59" i="14"/>
  <c r="G57" i="14"/>
  <c r="F57" i="14"/>
  <c r="E57" i="14"/>
  <c r="D57" i="14"/>
  <c r="F32" i="14"/>
  <c r="Q15" i="14"/>
  <c r="E32" i="14"/>
  <c r="Q14" i="14"/>
  <c r="D32" i="14"/>
  <c r="Q13" i="14"/>
  <c r="C32" i="14"/>
  <c r="Q12" i="14"/>
  <c r="P15" i="14"/>
  <c r="G30" i="14"/>
  <c r="F30" i="14"/>
  <c r="F29" i="14"/>
  <c r="O15" i="14"/>
  <c r="E30" i="14"/>
  <c r="E29" i="14"/>
  <c r="O14" i="14"/>
  <c r="D30" i="14"/>
  <c r="D29" i="14"/>
  <c r="O13" i="14"/>
  <c r="O12" i="14"/>
  <c r="Q99" i="14"/>
  <c r="P99" i="14"/>
  <c r="O99" i="14"/>
  <c r="N99" i="14"/>
  <c r="L99" i="14"/>
  <c r="J99" i="14"/>
  <c r="Q98" i="14"/>
  <c r="P98" i="14"/>
  <c r="O98" i="14"/>
  <c r="N98" i="14"/>
  <c r="L98" i="14"/>
  <c r="J98" i="14"/>
  <c r="Q97" i="14"/>
  <c r="P97" i="14"/>
  <c r="O97" i="14"/>
  <c r="N97" i="14"/>
  <c r="L97" i="14"/>
  <c r="J97" i="14"/>
  <c r="Q96" i="14"/>
  <c r="P96" i="14"/>
  <c r="O96" i="14"/>
  <c r="N96" i="14"/>
  <c r="L96" i="14"/>
  <c r="J96" i="14"/>
  <c r="K96" i="14"/>
  <c r="J91" i="14"/>
  <c r="J90" i="14"/>
  <c r="Q71" i="14"/>
  <c r="P71" i="14"/>
  <c r="O71" i="14"/>
  <c r="N71" i="14"/>
  <c r="L71" i="14"/>
  <c r="J71" i="14"/>
  <c r="Q70" i="14"/>
  <c r="P70" i="14"/>
  <c r="O70" i="14"/>
  <c r="N70" i="14"/>
  <c r="L70" i="14"/>
  <c r="J70" i="14"/>
  <c r="Q69" i="14"/>
  <c r="P69" i="14"/>
  <c r="O69" i="14"/>
  <c r="N69" i="14"/>
  <c r="L69" i="14"/>
  <c r="J69" i="14"/>
  <c r="Q68" i="14"/>
  <c r="P68" i="14"/>
  <c r="O68" i="14"/>
  <c r="N68" i="14"/>
  <c r="L68" i="14"/>
  <c r="J68" i="14"/>
  <c r="K68" i="14"/>
  <c r="J63" i="14"/>
  <c r="J62" i="14"/>
  <c r="N15" i="14"/>
  <c r="L15" i="14"/>
  <c r="J15" i="14"/>
  <c r="N14" i="14"/>
  <c r="L14" i="14"/>
  <c r="J14" i="14"/>
  <c r="N13" i="14"/>
  <c r="L13" i="14"/>
  <c r="J13" i="14"/>
  <c r="N12" i="14"/>
  <c r="L12" i="14"/>
  <c r="J12" i="14"/>
  <c r="J7" i="14"/>
  <c r="J6" i="14"/>
  <c r="J91" i="13"/>
  <c r="J90" i="13"/>
  <c r="J35" i="13"/>
  <c r="J34" i="13"/>
  <c r="G115" i="13"/>
  <c r="F88" i="13"/>
  <c r="P71" i="13"/>
  <c r="E88" i="13"/>
  <c r="P70" i="13"/>
  <c r="D88" i="13"/>
  <c r="P69" i="13"/>
  <c r="G87" i="13"/>
  <c r="F87" i="13"/>
  <c r="E87" i="13"/>
  <c r="D87" i="13"/>
  <c r="F86" i="13"/>
  <c r="O71" i="13"/>
  <c r="E86" i="13"/>
  <c r="O70" i="13"/>
  <c r="D86" i="13"/>
  <c r="O69" i="13"/>
  <c r="G31" i="13"/>
  <c r="E32" i="13"/>
  <c r="P14" i="13"/>
  <c r="F31" i="13"/>
  <c r="E31" i="13"/>
  <c r="D31" i="13"/>
  <c r="C31" i="13"/>
  <c r="F30" i="13"/>
  <c r="O15" i="13"/>
  <c r="E30" i="13"/>
  <c r="O14" i="13"/>
  <c r="D30" i="13"/>
  <c r="O13" i="13"/>
  <c r="C30" i="13"/>
  <c r="O12" i="13"/>
  <c r="X42" i="4"/>
  <c r="W42" i="4"/>
  <c r="V42" i="4"/>
  <c r="U42" i="4"/>
  <c r="T42" i="4"/>
  <c r="N42" i="4"/>
  <c r="X41" i="4"/>
  <c r="W41" i="4"/>
  <c r="V41" i="4"/>
  <c r="U41" i="4"/>
  <c r="T41" i="4"/>
  <c r="N41" i="4"/>
  <c r="X40" i="4"/>
  <c r="W40" i="4"/>
  <c r="V40" i="4"/>
  <c r="U40" i="4"/>
  <c r="T40" i="4"/>
  <c r="N40" i="4"/>
  <c r="X39" i="4"/>
  <c r="W39" i="4"/>
  <c r="V39" i="4"/>
  <c r="U39" i="4"/>
  <c r="T39" i="4"/>
  <c r="N39" i="4"/>
  <c r="N13" i="4"/>
  <c r="T13" i="4"/>
  <c r="U13" i="4"/>
  <c r="V13" i="4"/>
  <c r="W13" i="4"/>
  <c r="X13" i="4"/>
  <c r="N14" i="4"/>
  <c r="T14" i="4"/>
  <c r="U14" i="4"/>
  <c r="V14" i="4"/>
  <c r="W14" i="4"/>
  <c r="X14" i="4"/>
  <c r="N15" i="4"/>
  <c r="T15" i="4"/>
  <c r="V15" i="4"/>
  <c r="W15" i="4"/>
  <c r="X15" i="4"/>
  <c r="N12" i="4"/>
  <c r="T12" i="4"/>
  <c r="U12" i="4"/>
  <c r="V12" i="4"/>
  <c r="W12" i="4"/>
  <c r="X12" i="4"/>
  <c r="J13" i="4"/>
  <c r="J14" i="4"/>
  <c r="J15" i="4"/>
  <c r="X96" i="6"/>
  <c r="W96" i="6"/>
  <c r="V96" i="6"/>
  <c r="U96" i="6"/>
  <c r="T96" i="6"/>
  <c r="X95" i="6"/>
  <c r="W95" i="6"/>
  <c r="V95" i="6"/>
  <c r="U95" i="6"/>
  <c r="T95" i="6"/>
  <c r="X94" i="6"/>
  <c r="W94" i="6"/>
  <c r="V94" i="6"/>
  <c r="U94" i="6"/>
  <c r="T94" i="6"/>
  <c r="X93" i="6"/>
  <c r="W93" i="6"/>
  <c r="V93" i="6"/>
  <c r="U93" i="6"/>
  <c r="T93" i="6"/>
  <c r="X69" i="6"/>
  <c r="W69" i="6"/>
  <c r="V69" i="6"/>
  <c r="U69" i="6"/>
  <c r="T69" i="6"/>
  <c r="X68" i="6"/>
  <c r="W68" i="6"/>
  <c r="V68" i="6"/>
  <c r="U68" i="6"/>
  <c r="T68" i="6"/>
  <c r="X67" i="6"/>
  <c r="W67" i="6"/>
  <c r="V67" i="6"/>
  <c r="U67" i="6"/>
  <c r="T67" i="6"/>
  <c r="X66" i="6"/>
  <c r="W66" i="6"/>
  <c r="V66" i="6"/>
  <c r="U66" i="6"/>
  <c r="T66" i="6"/>
  <c r="X42" i="6"/>
  <c r="W42" i="6"/>
  <c r="V42" i="6"/>
  <c r="U42" i="6"/>
  <c r="T42" i="6"/>
  <c r="X41" i="6"/>
  <c r="W41" i="6"/>
  <c r="V41" i="6"/>
  <c r="U41" i="6"/>
  <c r="T41" i="6"/>
  <c r="X40" i="6"/>
  <c r="W40" i="6"/>
  <c r="V40" i="6"/>
  <c r="U40" i="6"/>
  <c r="T40" i="6"/>
  <c r="X39" i="6"/>
  <c r="W39" i="6"/>
  <c r="V39" i="6"/>
  <c r="U39" i="6"/>
  <c r="T39" i="6"/>
  <c r="X15" i="6"/>
  <c r="W15" i="6"/>
  <c r="V15" i="6"/>
  <c r="U15" i="6"/>
  <c r="T15" i="6"/>
  <c r="X14" i="6"/>
  <c r="W14" i="6"/>
  <c r="V14" i="6"/>
  <c r="U14" i="6"/>
  <c r="T14" i="6"/>
  <c r="X13" i="6"/>
  <c r="W13" i="6"/>
  <c r="V13" i="6"/>
  <c r="U13" i="6"/>
  <c r="T13" i="6"/>
  <c r="X12" i="6"/>
  <c r="W12" i="6"/>
  <c r="V12" i="6"/>
  <c r="U12" i="6"/>
  <c r="T12" i="6"/>
  <c r="N96" i="11"/>
  <c r="L96" i="11"/>
  <c r="J96" i="11"/>
  <c r="N95" i="11"/>
  <c r="L95" i="11"/>
  <c r="J95" i="11"/>
  <c r="N94" i="11"/>
  <c r="L94" i="11"/>
  <c r="J94" i="11"/>
  <c r="N93" i="11"/>
  <c r="L93" i="11"/>
  <c r="J93" i="11"/>
  <c r="K93" i="11"/>
  <c r="J88" i="11"/>
  <c r="J87" i="11"/>
  <c r="P69" i="11"/>
  <c r="N69" i="11"/>
  <c r="L69" i="11"/>
  <c r="J69" i="11"/>
  <c r="N68" i="11"/>
  <c r="L68" i="11"/>
  <c r="J68" i="11"/>
  <c r="N67" i="11"/>
  <c r="L67" i="11"/>
  <c r="J67" i="11"/>
  <c r="N66" i="11"/>
  <c r="L66" i="11"/>
  <c r="J66" i="11"/>
  <c r="K66" i="11"/>
  <c r="J61" i="11"/>
  <c r="J60" i="11"/>
  <c r="N42" i="11"/>
  <c r="L42" i="11"/>
  <c r="J42" i="11"/>
  <c r="N41" i="11"/>
  <c r="L41" i="11"/>
  <c r="J41" i="11"/>
  <c r="N40" i="11"/>
  <c r="L40" i="11"/>
  <c r="J40" i="11"/>
  <c r="N39" i="11"/>
  <c r="L39" i="11"/>
  <c r="J39" i="11"/>
  <c r="K39" i="11"/>
  <c r="J34" i="11"/>
  <c r="J33" i="11"/>
  <c r="J7" i="11"/>
  <c r="J6" i="11"/>
  <c r="F113" i="11"/>
  <c r="Q96" i="11"/>
  <c r="E113" i="11"/>
  <c r="Q95" i="11"/>
  <c r="D113" i="11"/>
  <c r="Q94" i="11"/>
  <c r="C113" i="11"/>
  <c r="Q93" i="11"/>
  <c r="F111" i="11"/>
  <c r="E111" i="11"/>
  <c r="D111" i="11"/>
  <c r="C111" i="11"/>
  <c r="F110" i="11"/>
  <c r="O96" i="11"/>
  <c r="E110" i="11"/>
  <c r="O95" i="11"/>
  <c r="D110" i="11"/>
  <c r="O94" i="11"/>
  <c r="C110" i="11"/>
  <c r="O93" i="11"/>
  <c r="F86" i="11"/>
  <c r="Q69" i="11"/>
  <c r="E86" i="11"/>
  <c r="Q68" i="11"/>
  <c r="D86" i="11"/>
  <c r="Q67" i="11"/>
  <c r="C86" i="11"/>
  <c r="Q66" i="11"/>
  <c r="G84" i="11"/>
  <c r="F84" i="11"/>
  <c r="E84" i="11"/>
  <c r="D84" i="11"/>
  <c r="C84" i="11"/>
  <c r="F83" i="11"/>
  <c r="O69" i="11"/>
  <c r="E83" i="11"/>
  <c r="O68" i="11"/>
  <c r="D83" i="11"/>
  <c r="O67" i="11"/>
  <c r="C83" i="11"/>
  <c r="O66" i="11"/>
  <c r="F59" i="11"/>
  <c r="Q42" i="11"/>
  <c r="E59" i="11"/>
  <c r="Q41" i="11"/>
  <c r="D59" i="11"/>
  <c r="Q40" i="11"/>
  <c r="C59" i="11"/>
  <c r="Q39" i="11"/>
  <c r="F57" i="11"/>
  <c r="E57" i="11"/>
  <c r="D57" i="11"/>
  <c r="C57" i="11"/>
  <c r="F56" i="11"/>
  <c r="O42" i="11"/>
  <c r="E56" i="11"/>
  <c r="O41" i="11"/>
  <c r="D56" i="11"/>
  <c r="O40" i="11"/>
  <c r="C56" i="11"/>
  <c r="O39" i="11"/>
  <c r="F32" i="11"/>
  <c r="Q15" i="11"/>
  <c r="E32" i="11"/>
  <c r="Q14" i="11"/>
  <c r="D32" i="11"/>
  <c r="Q13" i="11"/>
  <c r="C32" i="11"/>
  <c r="Q12" i="11"/>
  <c r="G30" i="11"/>
  <c r="G22" i="11"/>
  <c r="F30" i="11"/>
  <c r="E30" i="11"/>
  <c r="D30" i="11"/>
  <c r="H22" i="11"/>
  <c r="F22" i="11"/>
  <c r="F29" i="11"/>
  <c r="O15" i="11"/>
  <c r="E22" i="11"/>
  <c r="E29" i="11"/>
  <c r="O14" i="11"/>
  <c r="D22" i="11"/>
  <c r="D29" i="11"/>
  <c r="O13" i="11"/>
  <c r="C22" i="11"/>
  <c r="C29" i="11"/>
  <c r="O12" i="11"/>
  <c r="F58" i="6"/>
  <c r="P42" i="6"/>
  <c r="E58" i="6"/>
  <c r="P41" i="6"/>
  <c r="D58" i="6"/>
  <c r="P40" i="6"/>
  <c r="F76" i="6"/>
  <c r="E76" i="6"/>
  <c r="D76" i="6"/>
  <c r="H76" i="6"/>
  <c r="G76" i="6"/>
  <c r="C76" i="6"/>
  <c r="F22" i="6"/>
  <c r="F29" i="6"/>
  <c r="O15" i="6"/>
  <c r="E22" i="6"/>
  <c r="E29" i="6"/>
  <c r="E30" i="6"/>
  <c r="D22" i="6"/>
  <c r="D29" i="6"/>
  <c r="O13" i="6"/>
  <c r="C22" i="6"/>
  <c r="C29" i="6"/>
  <c r="C30" i="6"/>
  <c r="H22" i="6"/>
  <c r="G22" i="6"/>
  <c r="I15" i="4"/>
  <c r="L15" i="4"/>
  <c r="I14" i="4"/>
  <c r="L14" i="4"/>
  <c r="I13" i="4"/>
  <c r="L13" i="4"/>
  <c r="I12" i="4"/>
  <c r="L12" i="4"/>
  <c r="I10" i="4"/>
  <c r="I38" i="4"/>
  <c r="H50" i="4"/>
  <c r="G50" i="4"/>
  <c r="H22" i="4"/>
  <c r="G22" i="4"/>
  <c r="J33" i="4"/>
  <c r="H22" i="9"/>
  <c r="H76" i="10"/>
  <c r="D32" i="10"/>
  <c r="Q13" i="10"/>
  <c r="E32" i="10"/>
  <c r="Q14" i="10"/>
  <c r="F32" i="10"/>
  <c r="Q15" i="10"/>
  <c r="C32" i="10"/>
  <c r="Q12" i="10"/>
  <c r="J88" i="10"/>
  <c r="J87" i="10"/>
  <c r="J61" i="10"/>
  <c r="J60" i="10"/>
  <c r="J34" i="10"/>
  <c r="J33" i="10"/>
  <c r="J7" i="10"/>
  <c r="J6" i="10"/>
  <c r="J7" i="9"/>
  <c r="J6" i="9"/>
  <c r="J34" i="4"/>
  <c r="J6" i="4"/>
  <c r="J5" i="4"/>
  <c r="J88" i="6"/>
  <c r="J87" i="6"/>
  <c r="J7" i="6"/>
  <c r="J6" i="6"/>
  <c r="J34" i="6"/>
  <c r="J33" i="6"/>
  <c r="J61" i="6"/>
  <c r="J60" i="6"/>
  <c r="N96" i="6"/>
  <c r="L96" i="6"/>
  <c r="J96" i="6"/>
  <c r="P95" i="6"/>
  <c r="N95" i="6"/>
  <c r="L95" i="6"/>
  <c r="J95" i="6"/>
  <c r="P94" i="6"/>
  <c r="N94" i="6"/>
  <c r="L94" i="6"/>
  <c r="J94" i="6"/>
  <c r="Q93" i="6"/>
  <c r="N93" i="6"/>
  <c r="L93" i="6"/>
  <c r="J93" i="6"/>
  <c r="K93" i="6"/>
  <c r="N69" i="6"/>
  <c r="L69" i="6"/>
  <c r="J69" i="6"/>
  <c r="Q68" i="6"/>
  <c r="N68" i="6"/>
  <c r="L68" i="6"/>
  <c r="J68" i="6"/>
  <c r="N67" i="6"/>
  <c r="L67" i="6"/>
  <c r="J67" i="6"/>
  <c r="N66" i="6"/>
  <c r="L66" i="6"/>
  <c r="J66" i="6"/>
  <c r="K66" i="6"/>
  <c r="N42" i="6"/>
  <c r="J42" i="6"/>
  <c r="N41" i="6"/>
  <c r="J41" i="6"/>
  <c r="N40" i="6"/>
  <c r="J40" i="6"/>
  <c r="N39" i="6"/>
  <c r="J39" i="6"/>
  <c r="K39" i="6"/>
  <c r="N15" i="6"/>
  <c r="L15" i="6"/>
  <c r="J15" i="6"/>
  <c r="N14" i="6"/>
  <c r="L14" i="6"/>
  <c r="J14" i="6"/>
  <c r="N13" i="6"/>
  <c r="L13" i="6"/>
  <c r="J13" i="6"/>
  <c r="Q12" i="6"/>
  <c r="N12" i="6"/>
  <c r="L12" i="6"/>
  <c r="J12" i="6"/>
  <c r="J42" i="4"/>
  <c r="J41" i="4"/>
  <c r="J40" i="4"/>
  <c r="J39" i="4"/>
  <c r="K39" i="4"/>
  <c r="J12" i="4"/>
  <c r="N96" i="10"/>
  <c r="L96" i="10"/>
  <c r="J96" i="10"/>
  <c r="N95" i="10"/>
  <c r="L95" i="10"/>
  <c r="J95" i="10"/>
  <c r="N94" i="10"/>
  <c r="L94" i="10"/>
  <c r="J94" i="10"/>
  <c r="N93" i="10"/>
  <c r="L93" i="10"/>
  <c r="J93" i="10"/>
  <c r="K93" i="10"/>
  <c r="N69" i="10"/>
  <c r="L69" i="10"/>
  <c r="J69" i="10"/>
  <c r="N68" i="10"/>
  <c r="L68" i="10"/>
  <c r="J68" i="10"/>
  <c r="N67" i="10"/>
  <c r="L67" i="10"/>
  <c r="J67" i="10"/>
  <c r="N66" i="10"/>
  <c r="L66" i="10"/>
  <c r="J66" i="10"/>
  <c r="K66" i="10"/>
  <c r="N42" i="10"/>
  <c r="L42" i="10"/>
  <c r="J42" i="10"/>
  <c r="N41" i="10"/>
  <c r="L41" i="10"/>
  <c r="J41" i="10"/>
  <c r="N40" i="10"/>
  <c r="L40" i="10"/>
  <c r="J40" i="10"/>
  <c r="N39" i="10"/>
  <c r="L39" i="10"/>
  <c r="J39" i="10"/>
  <c r="K39" i="10"/>
  <c r="F110" i="10"/>
  <c r="O96" i="10"/>
  <c r="E110" i="10"/>
  <c r="E111" i="10"/>
  <c r="D110" i="10"/>
  <c r="O94" i="10"/>
  <c r="D111" i="10"/>
  <c r="G84" i="10"/>
  <c r="G76" i="10"/>
  <c r="G30" i="10"/>
  <c r="G22" i="10"/>
  <c r="Q69" i="10"/>
  <c r="Q68" i="10"/>
  <c r="F76" i="10"/>
  <c r="F83" i="10"/>
  <c r="O69" i="10"/>
  <c r="E76" i="10"/>
  <c r="E83" i="10"/>
  <c r="O68" i="10"/>
  <c r="D76" i="10"/>
  <c r="D83" i="10"/>
  <c r="O67" i="10"/>
  <c r="C76" i="10"/>
  <c r="C83" i="10"/>
  <c r="O66" i="10"/>
  <c r="F59" i="10"/>
  <c r="Q42" i="10"/>
  <c r="E59" i="10"/>
  <c r="Q41" i="10"/>
  <c r="D59" i="10"/>
  <c r="Q40" i="10"/>
  <c r="C59" i="10"/>
  <c r="Q39" i="10"/>
  <c r="F56" i="10"/>
  <c r="F57" i="10"/>
  <c r="E56" i="10"/>
  <c r="D56" i="10"/>
  <c r="D57" i="10"/>
  <c r="O40" i="10"/>
  <c r="C30" i="10"/>
  <c r="F30" i="10"/>
  <c r="E30" i="10"/>
  <c r="D30" i="10"/>
  <c r="F22" i="10"/>
  <c r="F29" i="10"/>
  <c r="O15" i="10"/>
  <c r="E22" i="10"/>
  <c r="E29" i="10"/>
  <c r="O14" i="10"/>
  <c r="D22" i="10"/>
  <c r="D29" i="10"/>
  <c r="O13" i="10"/>
  <c r="C22" i="10"/>
  <c r="C29" i="10"/>
  <c r="O12" i="10"/>
  <c r="D30" i="9"/>
  <c r="E30" i="9"/>
  <c r="F30" i="9"/>
  <c r="C30" i="9"/>
  <c r="F29" i="9"/>
  <c r="O15" i="9"/>
  <c r="D29" i="9"/>
  <c r="O13" i="9"/>
  <c r="F32" i="9"/>
  <c r="Q15" i="9"/>
  <c r="E32" i="9"/>
  <c r="Q14" i="9"/>
  <c r="D32" i="9"/>
  <c r="Q13" i="9"/>
  <c r="C32" i="9"/>
  <c r="Q12" i="9"/>
  <c r="E29" i="9"/>
  <c r="O14" i="9"/>
  <c r="F22" i="4"/>
  <c r="F29" i="4"/>
  <c r="O15" i="4"/>
  <c r="E22" i="4"/>
  <c r="E29" i="4"/>
  <c r="O14" i="4"/>
  <c r="D22" i="4"/>
  <c r="D29" i="4"/>
  <c r="O13" i="4"/>
  <c r="C22" i="4"/>
  <c r="C29" i="4"/>
  <c r="O12" i="4"/>
  <c r="D30" i="4"/>
  <c r="E30" i="4"/>
  <c r="F30" i="4"/>
  <c r="C30" i="4"/>
  <c r="F50" i="4"/>
  <c r="F57" i="4"/>
  <c r="O42" i="4"/>
  <c r="E50" i="4"/>
  <c r="E57" i="4"/>
  <c r="O41" i="4"/>
  <c r="D50" i="4"/>
  <c r="D57" i="4"/>
  <c r="D58" i="4"/>
  <c r="C50" i="4"/>
  <c r="C57" i="4"/>
  <c r="O39" i="4"/>
  <c r="O42" i="10"/>
  <c r="O42" i="6"/>
  <c r="Q41" i="6"/>
  <c r="Q40" i="6"/>
  <c r="Q15" i="6"/>
  <c r="C31" i="6"/>
  <c r="P12" i="6"/>
  <c r="D31" i="6"/>
  <c r="P13" i="6"/>
  <c r="E31" i="6"/>
  <c r="P14" i="6"/>
  <c r="F31" i="6"/>
  <c r="P15" i="6"/>
  <c r="P12" i="4"/>
  <c r="D59" i="4"/>
  <c r="P40" i="4"/>
  <c r="E59" i="4"/>
  <c r="P41" i="4"/>
  <c r="F59" i="4"/>
  <c r="P42" i="4"/>
  <c r="D60" i="4"/>
  <c r="Q40" i="4"/>
  <c r="E60" i="4"/>
  <c r="Q41" i="4"/>
  <c r="F60" i="4"/>
  <c r="Q42" i="4"/>
  <c r="C60" i="4"/>
  <c r="Q39" i="4"/>
  <c r="C59" i="4"/>
  <c r="P39" i="4"/>
  <c r="Q14" i="4"/>
  <c r="P15" i="4"/>
  <c r="E24" i="34"/>
  <c r="K12" i="34"/>
  <c r="D32" i="13"/>
  <c r="P13" i="13"/>
  <c r="C32" i="13"/>
  <c r="P12" i="13"/>
  <c r="K12" i="27"/>
  <c r="K12" i="30"/>
  <c r="D83" i="6"/>
  <c r="P13" i="34"/>
  <c r="Q13" i="34"/>
  <c r="Q15" i="34"/>
  <c r="P15" i="34"/>
  <c r="P14" i="34"/>
  <c r="Q14" i="34"/>
  <c r="P12" i="34"/>
  <c r="Q12" i="34"/>
  <c r="O95" i="10"/>
  <c r="M50" i="4"/>
  <c r="O39" i="6"/>
  <c r="K12" i="28"/>
  <c r="C24" i="34"/>
  <c r="O40" i="6"/>
  <c r="K12" i="6"/>
  <c r="D30" i="6"/>
  <c r="F30" i="6"/>
  <c r="F83" i="6"/>
  <c r="F84" i="6"/>
  <c r="E13" i="27"/>
  <c r="L14" i="27"/>
  <c r="F30" i="27"/>
  <c r="F29" i="27"/>
  <c r="O15" i="27"/>
  <c r="O93" i="10"/>
  <c r="O12" i="6"/>
  <c r="F59" i="28"/>
  <c r="Q42" i="28"/>
  <c r="C59" i="28"/>
  <c r="Q39" i="28"/>
  <c r="O41" i="6"/>
  <c r="O94" i="6"/>
  <c r="F58" i="4"/>
  <c r="D22" i="27"/>
  <c r="C83" i="6"/>
  <c r="O66" i="6"/>
  <c r="K12" i="29"/>
  <c r="O40" i="4"/>
  <c r="O14" i="6"/>
  <c r="C111" i="6"/>
  <c r="O93" i="6"/>
  <c r="K12" i="10"/>
  <c r="K12" i="11"/>
  <c r="K12" i="9"/>
  <c r="E58" i="4"/>
  <c r="F24" i="34"/>
  <c r="F111" i="10"/>
  <c r="C58" i="4"/>
  <c r="K12" i="14"/>
  <c r="D24" i="34"/>
  <c r="O13" i="34"/>
  <c r="D84" i="6"/>
  <c r="O67" i="6"/>
  <c r="K12" i="4"/>
  <c r="K12" i="13"/>
  <c r="D59" i="28"/>
  <c r="Q40" i="28"/>
  <c r="E111" i="6"/>
  <c r="O95" i="6"/>
  <c r="E30" i="27"/>
  <c r="E29" i="27"/>
  <c r="O14" i="27"/>
  <c r="E22" i="27"/>
  <c r="C57" i="10"/>
  <c r="O39" i="10"/>
  <c r="C84" i="6"/>
  <c r="O69" i="6"/>
  <c r="E57" i="10"/>
  <c r="O41" i="10"/>
  <c r="E83" i="6"/>
  <c r="F32" i="13"/>
  <c r="P15" i="13"/>
  <c r="C30" i="27"/>
  <c r="C29" i="27"/>
  <c r="O12" i="27"/>
  <c r="C22" i="27"/>
  <c r="F13" i="27"/>
  <c r="L15" i="27"/>
  <c r="E59" i="28"/>
  <c r="Q41" i="28"/>
  <c r="C66" i="28"/>
  <c r="O96" i="6"/>
  <c r="D61" i="13"/>
  <c r="Q41" i="13"/>
  <c r="C61" i="13"/>
  <c r="Q40" i="13"/>
  <c r="F130" i="14"/>
  <c r="E130" i="14"/>
  <c r="D130" i="14"/>
  <c r="F61" i="13"/>
  <c r="Q43" i="13"/>
  <c r="E61" i="13"/>
  <c r="Q42" i="13"/>
  <c r="E84" i="6"/>
  <c r="O68" i="6"/>
  <c r="H78" i="90" l="1"/>
  <c r="H120" i="90"/>
  <c r="H84" i="90"/>
  <c r="H141" i="90"/>
  <c r="H23" i="90"/>
  <c r="H75" i="90"/>
  <c r="H188" i="90"/>
  <c r="E190" i="90"/>
  <c r="D282" i="90" s="1"/>
  <c r="E219" i="90"/>
  <c r="H105" i="90"/>
  <c r="H19" i="90"/>
  <c r="H43" i="90"/>
  <c r="H198" i="90"/>
  <c r="E198" i="90" s="1"/>
  <c r="D286" i="90" s="1"/>
  <c r="G20" i="90"/>
  <c r="G16" i="90"/>
  <c r="I120" i="90"/>
  <c r="I99" i="90"/>
  <c r="I177" i="90"/>
  <c r="E301" i="90"/>
  <c r="E299" i="90"/>
  <c r="AJ20" i="90"/>
  <c r="E303" i="90"/>
  <c r="E298" i="90"/>
  <c r="E302" i="90"/>
  <c r="E300" i="90"/>
  <c r="H162" i="90"/>
  <c r="E162" i="90" s="1"/>
  <c r="D271" i="90" s="1"/>
  <c r="H61" i="90"/>
  <c r="H11" i="90"/>
  <c r="H13" i="90"/>
  <c r="H9" i="90"/>
  <c r="E9" i="90" s="1"/>
  <c r="D299" i="90"/>
  <c r="Y6" i="90" s="1"/>
  <c r="E194" i="90"/>
  <c r="G10" i="90"/>
  <c r="I110" i="90"/>
  <c r="I171" i="90"/>
  <c r="I167" i="90"/>
  <c r="G12" i="90"/>
  <c r="G28" i="90"/>
  <c r="I138" i="90"/>
  <c r="I111" i="90"/>
  <c r="I148" i="90"/>
  <c r="G14" i="90"/>
  <c r="G36" i="90"/>
  <c r="I173" i="90"/>
  <c r="I113" i="90"/>
  <c r="I160" i="90"/>
  <c r="G34" i="90"/>
  <c r="G44" i="90"/>
  <c r="I140" i="90"/>
  <c r="I123" i="90"/>
  <c r="I181" i="90"/>
  <c r="G50" i="90"/>
  <c r="I75" i="90"/>
  <c r="I93" i="90"/>
  <c r="I125" i="90"/>
  <c r="I150" i="90"/>
  <c r="I64" i="90"/>
  <c r="I109" i="90"/>
  <c r="I105" i="90"/>
  <c r="I128" i="90"/>
  <c r="I152" i="90"/>
  <c r="I73" i="90"/>
  <c r="G18" i="90"/>
  <c r="I107" i="90"/>
  <c r="I136" i="90"/>
  <c r="I162" i="90"/>
  <c r="I115" i="90"/>
  <c r="G46" i="90"/>
  <c r="I117" i="90"/>
  <c r="I154" i="90"/>
  <c r="I164" i="90"/>
  <c r="G24" i="90"/>
  <c r="G54" i="90"/>
  <c r="I119" i="90"/>
  <c r="I166" i="90"/>
  <c r="I174" i="90"/>
  <c r="G52" i="90"/>
  <c r="I67" i="90"/>
  <c r="I135" i="90"/>
  <c r="I178" i="90"/>
  <c r="I176" i="90"/>
  <c r="G60" i="90"/>
  <c r="I79" i="90"/>
  <c r="I149" i="90"/>
  <c r="I132" i="90"/>
  <c r="I133" i="90"/>
  <c r="I66" i="90"/>
  <c r="I69" i="90"/>
  <c r="I180" i="90"/>
  <c r="I134" i="90"/>
  <c r="I145" i="90"/>
  <c r="I68" i="90"/>
  <c r="I83" i="90"/>
  <c r="I76" i="90"/>
  <c r="I144" i="90"/>
  <c r="I169" i="90"/>
  <c r="I87" i="90"/>
  <c r="I97" i="90"/>
  <c r="I88" i="90"/>
  <c r="I146" i="90"/>
  <c r="I179" i="90"/>
  <c r="G22" i="90"/>
  <c r="I70" i="90"/>
  <c r="I100" i="90"/>
  <c r="I156" i="90"/>
  <c r="G30" i="90"/>
  <c r="I94" i="90"/>
  <c r="I112" i="90"/>
  <c r="I158" i="90"/>
  <c r="G38" i="90"/>
  <c r="I106" i="90"/>
  <c r="I124" i="90"/>
  <c r="I170" i="90"/>
  <c r="I91" i="90"/>
  <c r="I118" i="90"/>
  <c r="I137" i="90"/>
  <c r="I139" i="90"/>
  <c r="I103" i="90"/>
  <c r="I127" i="90"/>
  <c r="I78" i="90"/>
  <c r="I151" i="90"/>
  <c r="G56" i="90"/>
  <c r="I130" i="90"/>
  <c r="I80" i="90"/>
  <c r="I163" i="90"/>
  <c r="H214" i="90"/>
  <c r="I63" i="90"/>
  <c r="I147" i="90"/>
  <c r="I92" i="90"/>
  <c r="I175" i="90"/>
  <c r="I65" i="90"/>
  <c r="I72" i="90"/>
  <c r="I102" i="90"/>
  <c r="I129" i="90"/>
  <c r="I71" i="90"/>
  <c r="I74" i="90"/>
  <c r="I104" i="90"/>
  <c r="I131" i="90"/>
  <c r="I81" i="90"/>
  <c r="I84" i="90"/>
  <c r="I114" i="90"/>
  <c r="I141" i="90"/>
  <c r="G26" i="90"/>
  <c r="I96" i="90"/>
  <c r="I116" i="90"/>
  <c r="I143" i="90"/>
  <c r="G58" i="90"/>
  <c r="I98" i="90"/>
  <c r="I121" i="90"/>
  <c r="I155" i="90"/>
  <c r="I85" i="90"/>
  <c r="I108" i="90"/>
  <c r="I161" i="90"/>
  <c r="E126" i="90"/>
  <c r="D259" i="90" s="1"/>
  <c r="E132" i="90"/>
  <c r="D261" i="90" s="1"/>
  <c r="E141" i="90"/>
  <c r="D264" i="90" s="1"/>
  <c r="E191" i="90"/>
  <c r="D283" i="90" s="1"/>
  <c r="E105" i="90"/>
  <c r="D252" i="90" s="1"/>
  <c r="H187" i="90"/>
  <c r="H15" i="90"/>
  <c r="E15" i="90" s="1"/>
  <c r="D230" i="90" s="1"/>
  <c r="E39" i="90"/>
  <c r="D234" i="90" s="1"/>
  <c r="E84" i="90"/>
  <c r="D245" i="90" s="1"/>
  <c r="E78" i="90"/>
  <c r="D243" i="90" s="1"/>
  <c r="E150" i="90"/>
  <c r="D267" i="90" s="1"/>
  <c r="E63" i="90"/>
  <c r="D238" i="90" s="1"/>
  <c r="E120" i="90"/>
  <c r="D257" i="90" s="1"/>
  <c r="E114" i="90"/>
  <c r="D255" i="90" s="1"/>
  <c r="E72" i="90"/>
  <c r="D241" i="90" s="1"/>
  <c r="E75" i="90"/>
  <c r="D242" i="90" s="1"/>
  <c r="E188" i="90"/>
  <c r="D280" i="90" s="1"/>
  <c r="E117" i="90"/>
  <c r="D256" i="90" s="1"/>
  <c r="E102" i="90"/>
  <c r="D251" i="90" s="1"/>
  <c r="E177" i="90"/>
  <c r="H90" i="90"/>
  <c r="H47" i="90"/>
  <c r="H21" i="90"/>
  <c r="H129" i="90"/>
  <c r="H66" i="90"/>
  <c r="H49" i="90"/>
  <c r="H144" i="90"/>
  <c r="H25" i="90"/>
  <c r="H37" i="90"/>
  <c r="H156" i="90"/>
  <c r="H35" i="90"/>
  <c r="H96" i="90"/>
  <c r="H165" i="90"/>
  <c r="D302" i="90"/>
  <c r="AB6" i="90" s="1"/>
  <c r="D301" i="90"/>
  <c r="AA6" i="90" s="1"/>
  <c r="H33" i="90"/>
  <c r="H59" i="90"/>
  <c r="H153" i="90"/>
  <c r="H69" i="90"/>
  <c r="H174" i="90"/>
  <c r="D300" i="90"/>
  <c r="Z6" i="90" s="1"/>
  <c r="H57" i="90"/>
  <c r="H159" i="90"/>
  <c r="D298" i="90"/>
  <c r="X6" i="90" s="1"/>
  <c r="H108" i="90"/>
  <c r="H138" i="90"/>
  <c r="H87" i="90"/>
  <c r="H123" i="90"/>
  <c r="H29" i="90"/>
  <c r="H45" i="90"/>
  <c r="H192" i="90"/>
  <c r="H93" i="90"/>
  <c r="H210" i="90"/>
  <c r="E210" i="90" s="1"/>
  <c r="H206" i="90"/>
  <c r="E206" i="90" s="1"/>
  <c r="H202" i="90"/>
  <c r="H81" i="90"/>
  <c r="H171" i="90"/>
  <c r="H51" i="90"/>
  <c r="H41" i="90"/>
  <c r="H168" i="90"/>
  <c r="H147" i="90"/>
  <c r="H135" i="90"/>
  <c r="H180" i="90"/>
  <c r="H27" i="90"/>
  <c r="H53" i="90"/>
  <c r="H111" i="90"/>
  <c r="H99" i="90"/>
  <c r="H183" i="90"/>
  <c r="E292" i="90" l="1"/>
  <c r="D292" i="90"/>
  <c r="E189" i="90"/>
  <c r="D281" i="90" s="1"/>
  <c r="E214" i="90"/>
  <c r="E202" i="90"/>
  <c r="D287" i="90" s="1"/>
  <c r="E174" i="90"/>
  <c r="E180" i="90"/>
  <c r="D277" i="90" s="1"/>
  <c r="E187" i="90"/>
  <c r="D279" i="90" s="1"/>
  <c r="E111" i="90"/>
  <c r="D254" i="90" s="1"/>
  <c r="E153" i="90"/>
  <c r="D268" i="90" s="1"/>
  <c r="E93" i="90"/>
  <c r="D248" i="90" s="1"/>
  <c r="E27" i="90"/>
  <c r="D232" i="90" s="1"/>
  <c r="E147" i="90"/>
  <c r="D266" i="90" s="1"/>
  <c r="E51" i="90"/>
  <c r="E159" i="90"/>
  <c r="D270" i="90" s="1"/>
  <c r="E183" i="90"/>
  <c r="E99" i="90"/>
  <c r="D250" i="90" s="1"/>
  <c r="E108" i="90"/>
  <c r="D253" i="90" s="1"/>
  <c r="E57" i="90"/>
  <c r="D237" i="90" s="1"/>
  <c r="E135" i="90"/>
  <c r="D262" i="90" s="1"/>
  <c r="E69" i="90"/>
  <c r="D240" i="90" s="1"/>
  <c r="E168" i="90"/>
  <c r="D273" i="90" s="1"/>
  <c r="E33" i="90"/>
  <c r="D233" i="90" s="1"/>
  <c r="E96" i="90"/>
  <c r="D249" i="90" s="1"/>
  <c r="E129" i="90"/>
  <c r="E138" i="90"/>
  <c r="E156" i="90"/>
  <c r="D269" i="90" s="1"/>
  <c r="E192" i="90"/>
  <c r="D284" i="90" s="1"/>
  <c r="E45" i="90"/>
  <c r="D235" i="90" s="1"/>
  <c r="E21" i="90"/>
  <c r="E282" i="90" s="1"/>
  <c r="E123" i="90"/>
  <c r="D258" i="90" s="1"/>
  <c r="E165" i="90"/>
  <c r="D272" i="90" s="1"/>
  <c r="E171" i="90"/>
  <c r="D274" i="90" s="1"/>
  <c r="E81" i="90"/>
  <c r="D244" i="90" s="1"/>
  <c r="E90" i="90"/>
  <c r="D247" i="90" s="1"/>
  <c r="E144" i="90"/>
  <c r="D265" i="90" s="1"/>
  <c r="E66" i="90"/>
  <c r="E87" i="90"/>
  <c r="D246" i="90" s="1"/>
  <c r="E288" i="90"/>
  <c r="E289" i="90"/>
  <c r="E230" i="90"/>
  <c r="E281" i="90" l="1"/>
  <c r="D289" i="90"/>
  <c r="D288" i="90"/>
  <c r="D229" i="90"/>
  <c r="E229" i="90" s="1"/>
  <c r="D236" i="90"/>
  <c r="D285" i="90"/>
  <c r="D275" i="90"/>
  <c r="D260" i="90"/>
  <c r="D239" i="90"/>
  <c r="D263" i="90"/>
  <c r="D276" i="90"/>
  <c r="D231" i="90"/>
  <c r="E231" i="90" s="1"/>
  <c r="I157" i="90"/>
  <c r="I168" i="90"/>
  <c r="I90" i="90"/>
  <c r="I86" i="90"/>
  <c r="G40" i="90"/>
  <c r="G42" i="90"/>
  <c r="I172" i="90"/>
  <c r="I142" i="90"/>
  <c r="I159" i="90"/>
  <c r="I82" i="90"/>
  <c r="G48" i="90"/>
  <c r="D303" i="90"/>
  <c r="I153" i="90"/>
  <c r="I101" i="90"/>
  <c r="I95" i="90"/>
  <c r="G62" i="90"/>
  <c r="I77" i="90"/>
  <c r="I182" i="90"/>
  <c r="I126" i="90"/>
  <c r="I122" i="90"/>
  <c r="I89" i="90"/>
  <c r="G32" i="90"/>
  <c r="D290" i="90"/>
  <c r="D278" i="90"/>
  <c r="E263" i="90" l="1"/>
  <c r="E285" i="90"/>
  <c r="E278" i="90"/>
  <c r="E242" i="90"/>
  <c r="E276" i="90"/>
  <c r="E273" i="90"/>
  <c r="E258" i="90"/>
  <c r="E262" i="90"/>
  <c r="E233" i="90"/>
  <c r="E260" i="90"/>
  <c r="E248" i="90"/>
  <c r="E274" i="90"/>
  <c r="E265" i="90"/>
  <c r="E247" i="90"/>
  <c r="E287" i="90"/>
  <c r="E241" i="90"/>
  <c r="E261" i="90"/>
  <c r="E244" i="90"/>
  <c r="E257" i="90"/>
  <c r="E280" i="90"/>
  <c r="E272" i="90"/>
  <c r="E264" i="90"/>
  <c r="E266" i="90"/>
  <c r="E239" i="90"/>
  <c r="E255" i="90"/>
  <c r="E290" i="90"/>
  <c r="E283" i="90"/>
  <c r="E251" i="90"/>
  <c r="E245" i="90"/>
  <c r="E237" i="90"/>
  <c r="E277" i="90"/>
  <c r="E254" i="90"/>
  <c r="E252" i="90"/>
  <c r="E234" i="90"/>
  <c r="E243" i="90"/>
  <c r="E246" i="90"/>
  <c r="E271" i="90"/>
  <c r="E268" i="90"/>
  <c r="E253" i="90"/>
  <c r="E240" i="90"/>
  <c r="E275" i="90"/>
  <c r="E286" i="90"/>
  <c r="E256" i="90"/>
  <c r="E267" i="90"/>
  <c r="E284" i="90"/>
  <c r="E269" i="90"/>
  <c r="E259" i="90"/>
  <c r="E238" i="90"/>
  <c r="E249" i="90"/>
  <c r="E232" i="90"/>
  <c r="E236" i="90"/>
  <c r="E270" i="90"/>
  <c r="E279" i="90"/>
  <c r="E250" i="90"/>
  <c r="E235" i="90"/>
  <c r="U9" i="90" l="1"/>
  <c r="U10" i="90" s="1"/>
  <c r="T84" i="90" l="1"/>
  <c r="Z95" i="90"/>
  <c r="P139" i="90"/>
  <c r="O141" i="90"/>
  <c r="AA173" i="90"/>
  <c r="AB149" i="90"/>
  <c r="P105" i="90"/>
  <c r="X142" i="90"/>
  <c r="Q174" i="90"/>
  <c r="X104" i="90"/>
  <c r="AA142" i="90"/>
  <c r="Q47" i="90"/>
  <c r="N63" i="90"/>
  <c r="AA148" i="90"/>
  <c r="Y120" i="90"/>
  <c r="Q107" i="90"/>
  <c r="O95" i="90"/>
  <c r="X110" i="90"/>
  <c r="O167" i="90"/>
  <c r="N126" i="90"/>
  <c r="AA135" i="90"/>
  <c r="AB25" i="90"/>
  <c r="AA152" i="90"/>
  <c r="O138" i="90"/>
  <c r="L157" i="90"/>
  <c r="X130" i="90"/>
  <c r="T138" i="90"/>
  <c r="Z154" i="90"/>
  <c r="AA128" i="90"/>
  <c r="X119" i="90"/>
  <c r="AA53" i="90"/>
  <c r="Z111" i="90"/>
  <c r="AA162" i="90"/>
  <c r="Q162" i="90"/>
  <c r="AB124" i="90"/>
  <c r="Q136" i="90"/>
  <c r="Q101" i="90"/>
  <c r="P102" i="90"/>
  <c r="O97" i="90"/>
  <c r="L170" i="90"/>
  <c r="X105" i="90"/>
  <c r="P180" i="90"/>
  <c r="X13" i="90"/>
  <c r="P89" i="90"/>
  <c r="X134" i="90"/>
  <c r="Y98" i="90"/>
  <c r="Z103" i="90"/>
  <c r="Y132" i="90"/>
  <c r="Q175" i="90"/>
  <c r="AA73" i="90"/>
  <c r="N132" i="90"/>
  <c r="X152" i="90"/>
  <c r="Y100" i="90"/>
  <c r="L167" i="90"/>
  <c r="AB167" i="90"/>
  <c r="O47" i="90"/>
  <c r="O168" i="90"/>
  <c r="Q84" i="90"/>
  <c r="L109" i="90"/>
  <c r="Y116" i="90"/>
  <c r="AB127" i="90"/>
  <c r="N39" i="90"/>
  <c r="Z83" i="90"/>
  <c r="Z102" i="90"/>
  <c r="L96" i="90"/>
  <c r="Q74" i="90"/>
  <c r="L87" i="90"/>
  <c r="Y138" i="90"/>
  <c r="X163" i="90"/>
  <c r="X145" i="90"/>
  <c r="O180" i="90"/>
  <c r="Q70" i="90"/>
  <c r="Q124" i="90"/>
  <c r="X150" i="90"/>
  <c r="L179" i="90"/>
  <c r="Y68" i="90"/>
  <c r="Q72" i="90"/>
  <c r="AA19" i="90"/>
  <c r="Z35" i="90"/>
  <c r="Y123" i="90"/>
  <c r="X27" i="90"/>
  <c r="Y90" i="90"/>
  <c r="AA82" i="90"/>
  <c r="Z101" i="90"/>
  <c r="P155" i="90"/>
  <c r="O137" i="90"/>
  <c r="T93" i="90"/>
  <c r="Q39" i="90"/>
  <c r="X158" i="90"/>
  <c r="AA138" i="90"/>
  <c r="P130" i="90"/>
  <c r="X157" i="90"/>
  <c r="AA147" i="90"/>
  <c r="P68" i="90"/>
  <c r="P154" i="90"/>
  <c r="N162" i="90"/>
  <c r="X39" i="90"/>
  <c r="AA57" i="90"/>
  <c r="L175" i="90"/>
  <c r="X139" i="90"/>
  <c r="O136" i="90"/>
  <c r="Z149" i="90"/>
  <c r="Q106" i="90"/>
  <c r="Y160" i="90"/>
  <c r="P129" i="90"/>
  <c r="Q157" i="90"/>
  <c r="Y75" i="90"/>
  <c r="X81" i="90"/>
  <c r="AA132" i="90"/>
  <c r="X87" i="90"/>
  <c r="X107" i="90"/>
  <c r="Z145" i="90"/>
  <c r="L129" i="90"/>
  <c r="N144" i="90"/>
  <c r="L155" i="90"/>
  <c r="Q110" i="90"/>
  <c r="Z45" i="90"/>
  <c r="M41" i="90"/>
  <c r="Z65" i="90"/>
  <c r="P45" i="90"/>
  <c r="AB74" i="90"/>
  <c r="Y127" i="90"/>
  <c r="L153" i="90"/>
  <c r="Y91" i="90"/>
  <c r="Y134" i="90"/>
  <c r="Q57" i="90"/>
  <c r="Q156" i="90"/>
  <c r="AB160" i="90"/>
  <c r="M33" i="90"/>
  <c r="O153" i="90"/>
  <c r="N129" i="90"/>
  <c r="AB70" i="90"/>
  <c r="T162" i="90"/>
  <c r="Q171" i="90"/>
  <c r="M15" i="90"/>
  <c r="Q64" i="90"/>
  <c r="AA21" i="90"/>
  <c r="P25" i="90"/>
  <c r="Q97" i="90"/>
  <c r="P77" i="90"/>
  <c r="AA155" i="90"/>
  <c r="P19" i="90"/>
  <c r="Y109" i="90"/>
  <c r="Y101" i="90"/>
  <c r="M21" i="90"/>
  <c r="AA129" i="90"/>
  <c r="T147" i="90"/>
  <c r="L115" i="90"/>
  <c r="O134" i="90"/>
  <c r="O15" i="90"/>
  <c r="P27" i="90"/>
  <c r="L154" i="90"/>
  <c r="X146" i="90"/>
  <c r="AB150" i="90"/>
  <c r="O182" i="90"/>
  <c r="X112" i="90"/>
  <c r="L158" i="90"/>
  <c r="N51" i="90"/>
  <c r="Y105" i="90"/>
  <c r="P174" i="90"/>
  <c r="N141" i="90"/>
  <c r="Y159" i="90"/>
  <c r="X109" i="90"/>
  <c r="P140" i="90"/>
  <c r="AB151" i="90"/>
  <c r="Z105" i="90"/>
  <c r="P100" i="90"/>
  <c r="P169" i="90"/>
  <c r="P181" i="90"/>
  <c r="Z141" i="90"/>
  <c r="Y168" i="90"/>
  <c r="AA89" i="90"/>
  <c r="AB145" i="90"/>
  <c r="P86" i="90"/>
  <c r="X137" i="90"/>
  <c r="L77" i="90"/>
  <c r="Y37" i="90"/>
  <c r="Y94" i="90"/>
  <c r="AB134" i="90"/>
  <c r="Z158" i="90"/>
  <c r="AA158" i="90"/>
  <c r="Y85" i="90"/>
  <c r="P72" i="90"/>
  <c r="T69" i="90"/>
  <c r="AB86" i="90"/>
  <c r="L144" i="90"/>
  <c r="Y144" i="90"/>
  <c r="T111" i="90"/>
  <c r="X103" i="90"/>
  <c r="O71" i="90"/>
  <c r="Z133" i="90"/>
  <c r="AB146" i="90"/>
  <c r="AA131" i="90"/>
  <c r="X135" i="90"/>
  <c r="AB39" i="90"/>
  <c r="P95" i="90"/>
  <c r="AA103" i="90"/>
  <c r="Z70" i="90"/>
  <c r="AB118" i="90"/>
  <c r="Y126" i="90"/>
  <c r="P94" i="90"/>
  <c r="Y86" i="90"/>
  <c r="O102" i="90"/>
  <c r="Y174" i="90"/>
  <c r="Z11" i="90"/>
  <c r="L75" i="90"/>
  <c r="Q27" i="90"/>
  <c r="X29" i="90"/>
  <c r="T72" i="90"/>
  <c r="Z155" i="90"/>
  <c r="X37" i="90"/>
  <c r="O148" i="90"/>
  <c r="P127" i="90"/>
  <c r="P128" i="90"/>
  <c r="P9" i="90"/>
  <c r="Y176" i="90"/>
  <c r="P114" i="90"/>
  <c r="Y41" i="90"/>
  <c r="AB107" i="90"/>
  <c r="O183" i="90"/>
  <c r="X127" i="90"/>
  <c r="O79" i="90"/>
  <c r="Q172" i="90"/>
  <c r="N185" i="90"/>
  <c r="Q177" i="90"/>
  <c r="AB174" i="90"/>
  <c r="Y23" i="90"/>
  <c r="Z17" i="90"/>
  <c r="O113" i="90"/>
  <c r="AA59" i="90"/>
  <c r="T180" i="90"/>
  <c r="Z139" i="90"/>
  <c r="X68" i="90"/>
  <c r="AB143" i="90"/>
  <c r="T9" i="90"/>
  <c r="AA136" i="90"/>
  <c r="AB153" i="90"/>
  <c r="P104" i="90"/>
  <c r="Y164" i="90"/>
  <c r="AA157" i="90"/>
  <c r="Y93" i="90"/>
  <c r="T153" i="90"/>
  <c r="O114" i="90"/>
  <c r="AA9" i="90"/>
  <c r="Q122" i="90"/>
  <c r="O116" i="90"/>
  <c r="O163" i="90"/>
  <c r="P116" i="90"/>
  <c r="L176" i="90"/>
  <c r="X74" i="90"/>
  <c r="AA97" i="90"/>
  <c r="AA45" i="90"/>
  <c r="X122" i="90"/>
  <c r="O160" i="90"/>
  <c r="Y25" i="90"/>
  <c r="Z152" i="90"/>
  <c r="Y57" i="90"/>
  <c r="Q139" i="90"/>
  <c r="X99" i="90"/>
  <c r="O74" i="90"/>
  <c r="N184" i="90"/>
  <c r="O21" i="90"/>
  <c r="AA68" i="90"/>
  <c r="AA93" i="90"/>
  <c r="AB43" i="90"/>
  <c r="P146" i="90"/>
  <c r="Z110" i="90"/>
  <c r="X23" i="90"/>
  <c r="P163" i="90"/>
  <c r="Q95" i="90"/>
  <c r="Q13" i="90"/>
  <c r="Q89" i="90"/>
  <c r="L81" i="90"/>
  <c r="AA100" i="90"/>
  <c r="X96" i="90"/>
  <c r="Q163" i="90"/>
  <c r="AB11" i="90"/>
  <c r="AB115" i="90"/>
  <c r="AA156" i="90"/>
  <c r="Z69" i="90"/>
  <c r="T126" i="90"/>
  <c r="P43" i="90"/>
  <c r="O72" i="90"/>
  <c r="Z175" i="90"/>
  <c r="AA116" i="90"/>
  <c r="Y79" i="90"/>
  <c r="L76" i="90"/>
  <c r="AA66" i="90"/>
  <c r="L102" i="90"/>
  <c r="L70" i="90"/>
  <c r="O70" i="90"/>
  <c r="Z31" i="90"/>
  <c r="X131" i="90"/>
  <c r="Z64" i="90"/>
  <c r="AA137" i="90"/>
  <c r="P142" i="90"/>
  <c r="Q153" i="90"/>
  <c r="X86" i="90"/>
  <c r="N123" i="90"/>
  <c r="T159" i="90"/>
  <c r="O64" i="90"/>
  <c r="Q17" i="90"/>
  <c r="N138" i="90"/>
  <c r="N99" i="90"/>
  <c r="L171" i="90"/>
  <c r="Q85" i="90"/>
  <c r="AB81" i="90"/>
  <c r="Y131" i="90"/>
  <c r="N69" i="90"/>
  <c r="Q37" i="90"/>
  <c r="M17" i="90"/>
  <c r="AB102" i="90"/>
  <c r="L95" i="90"/>
  <c r="L169" i="90"/>
  <c r="O92" i="90"/>
  <c r="Y166" i="90"/>
  <c r="AA119" i="90"/>
  <c r="Z108" i="90"/>
  <c r="N165" i="90"/>
  <c r="Q141" i="90"/>
  <c r="X35" i="90"/>
  <c r="AB170" i="90"/>
  <c r="L162" i="90"/>
  <c r="Y129" i="90"/>
  <c r="O129" i="90"/>
  <c r="AA145" i="90"/>
  <c r="P120" i="90"/>
  <c r="AA83" i="90"/>
  <c r="Y157" i="90"/>
  <c r="X67" i="90"/>
  <c r="X176" i="90"/>
  <c r="AA70" i="90"/>
  <c r="X149" i="90"/>
  <c r="AB161" i="90"/>
  <c r="Q104" i="90"/>
  <c r="P67" i="90"/>
  <c r="AA51" i="90"/>
  <c r="AA115" i="90"/>
  <c r="O132" i="90"/>
  <c r="X11" i="90"/>
  <c r="P162" i="90"/>
  <c r="X88" i="90"/>
  <c r="X128" i="90"/>
  <c r="Y31" i="90"/>
  <c r="Y33" i="90"/>
  <c r="N45" i="90"/>
  <c r="AB180" i="90"/>
  <c r="X19" i="90"/>
  <c r="Y172" i="90"/>
  <c r="AA35" i="90"/>
  <c r="Y155" i="90"/>
  <c r="AA170" i="90"/>
  <c r="Z107" i="90"/>
  <c r="AA79" i="90"/>
  <c r="Y69" i="90"/>
  <c r="Y15" i="90"/>
  <c r="M51" i="90"/>
  <c r="AB17" i="90"/>
  <c r="L140" i="90"/>
  <c r="Q93" i="90"/>
  <c r="P178" i="90"/>
  <c r="O99" i="90"/>
  <c r="Z41" i="90"/>
  <c r="P83" i="90"/>
  <c r="O126" i="90"/>
  <c r="X65" i="90"/>
  <c r="L74" i="90"/>
  <c r="AA159" i="90"/>
  <c r="Y124" i="90"/>
  <c r="Q114" i="90"/>
  <c r="T96" i="90"/>
  <c r="L73" i="90"/>
  <c r="M55" i="90"/>
  <c r="X175" i="90"/>
  <c r="AB166" i="90"/>
  <c r="Y67" i="90"/>
  <c r="Y147" i="90"/>
  <c r="Q90" i="90"/>
  <c r="AA78" i="90"/>
  <c r="AA140" i="90"/>
  <c r="Z23" i="90"/>
  <c r="AB33" i="90"/>
  <c r="Y59" i="90"/>
  <c r="Z88" i="90"/>
  <c r="Q182" i="90"/>
  <c r="O146" i="90"/>
  <c r="AB109" i="90"/>
  <c r="Q78" i="90"/>
  <c r="Q75" i="90"/>
  <c r="AA134" i="90"/>
  <c r="X71" i="90"/>
  <c r="AB71" i="90"/>
  <c r="T66" i="90"/>
  <c r="O101" i="90"/>
  <c r="P113" i="90"/>
  <c r="AB9" i="90"/>
  <c r="O181" i="90"/>
  <c r="Z163" i="90"/>
  <c r="L182" i="90"/>
  <c r="Z43" i="90"/>
  <c r="O87" i="90"/>
  <c r="L105" i="90"/>
  <c r="P172" i="90"/>
  <c r="P98" i="90"/>
  <c r="L89" i="90"/>
  <c r="Y114" i="90"/>
  <c r="N135" i="90"/>
  <c r="Y148" i="90"/>
  <c r="AB97" i="90"/>
  <c r="Z59" i="90"/>
  <c r="Y163" i="90"/>
  <c r="Z104" i="90"/>
  <c r="Y35" i="90"/>
  <c r="AA84" i="90"/>
  <c r="X53" i="90"/>
  <c r="Z169" i="90"/>
  <c r="N156" i="90"/>
  <c r="O109" i="90"/>
  <c r="P150" i="90"/>
  <c r="M19" i="90"/>
  <c r="T150" i="90"/>
  <c r="P41" i="90"/>
  <c r="Z115" i="90"/>
  <c r="L181" i="90"/>
  <c r="AA49" i="90"/>
  <c r="Z67" i="90"/>
  <c r="L160" i="90"/>
  <c r="L159" i="90"/>
  <c r="Q123" i="90"/>
  <c r="N150" i="90"/>
  <c r="AA180" i="90"/>
  <c r="O43" i="90"/>
  <c r="Z13" i="90"/>
  <c r="P110" i="90"/>
  <c r="O108" i="90"/>
  <c r="L97" i="90"/>
  <c r="Z39" i="90"/>
  <c r="L172" i="90"/>
  <c r="P158" i="90"/>
  <c r="AB73" i="90"/>
  <c r="Y64" i="90"/>
  <c r="L66" i="90"/>
  <c r="M25" i="90"/>
  <c r="Y87" i="90"/>
  <c r="Z112" i="90"/>
  <c r="Q185" i="90"/>
  <c r="O68" i="90"/>
  <c r="P121" i="90"/>
  <c r="P168" i="90"/>
  <c r="X78" i="90"/>
  <c r="Q116" i="90"/>
  <c r="AB57" i="90"/>
  <c r="P134" i="90"/>
  <c r="Z9" i="90"/>
  <c r="O169" i="90"/>
  <c r="Q180" i="90"/>
  <c r="T120" i="90"/>
  <c r="N174" i="90"/>
  <c r="AA94" i="90"/>
  <c r="Z79" i="90"/>
  <c r="N147" i="90"/>
  <c r="Z89" i="90"/>
  <c r="X100" i="90"/>
  <c r="O98" i="90"/>
  <c r="P31" i="90"/>
  <c r="N27" i="90"/>
  <c r="N111" i="90"/>
  <c r="P21" i="90"/>
  <c r="Q133" i="90"/>
  <c r="P143" i="90"/>
  <c r="Q15" i="90"/>
  <c r="AB19" i="90"/>
  <c r="AA81" i="90"/>
  <c r="Q154" i="90"/>
  <c r="Z171" i="90"/>
  <c r="Q146" i="90"/>
  <c r="O165" i="90"/>
  <c r="AB95" i="90"/>
  <c r="AB82" i="90"/>
  <c r="Q108" i="90"/>
  <c r="Q19" i="90"/>
  <c r="Y19" i="90"/>
  <c r="AB35" i="90"/>
  <c r="P145" i="90"/>
  <c r="AA177" i="90"/>
  <c r="X138" i="90"/>
  <c r="X59" i="90"/>
  <c r="AA120" i="90"/>
  <c r="X76" i="90"/>
  <c r="O35" i="90"/>
  <c r="P159" i="90"/>
  <c r="AA165" i="90"/>
  <c r="AA17" i="90"/>
  <c r="Q164" i="90"/>
  <c r="M13" i="90"/>
  <c r="AA74" i="90"/>
  <c r="AB68" i="90"/>
  <c r="Z33" i="90"/>
  <c r="X9" i="90"/>
  <c r="M11" i="90"/>
  <c r="P184" i="90"/>
  <c r="P37" i="90"/>
  <c r="P33" i="90"/>
  <c r="AA114" i="90"/>
  <c r="Z47" i="90"/>
  <c r="Z49" i="90"/>
  <c r="L114" i="90"/>
  <c r="P107" i="90"/>
  <c r="AB116" i="90"/>
  <c r="O17" i="90"/>
  <c r="L120" i="90"/>
  <c r="Z142" i="90"/>
  <c r="O78" i="90"/>
  <c r="AA37" i="90"/>
  <c r="Z162" i="90"/>
  <c r="O106" i="90"/>
  <c r="AB31" i="90"/>
  <c r="Z147" i="90"/>
  <c r="P166" i="90"/>
  <c r="Q109" i="90"/>
  <c r="Y53" i="90"/>
  <c r="Q165" i="90"/>
  <c r="AB110" i="90"/>
  <c r="L78" i="90"/>
  <c r="P88" i="90"/>
  <c r="Z82" i="90"/>
  <c r="Q83" i="90"/>
  <c r="Z63" i="90"/>
  <c r="P149" i="90"/>
  <c r="O125" i="90"/>
  <c r="O120" i="90"/>
  <c r="Q102" i="90"/>
  <c r="Q132" i="90"/>
  <c r="L117" i="90"/>
  <c r="Y99" i="90"/>
  <c r="AB163" i="90"/>
  <c r="AA154" i="90"/>
  <c r="AB78" i="90"/>
  <c r="P164" i="90"/>
  <c r="O164" i="90"/>
  <c r="Y165" i="90"/>
  <c r="AB79" i="90"/>
  <c r="P112" i="90"/>
  <c r="AA133" i="90"/>
  <c r="Y70" i="90"/>
  <c r="X21" i="90"/>
  <c r="L79" i="90"/>
  <c r="AA175" i="90"/>
  <c r="AB138" i="90"/>
  <c r="N21" i="90"/>
  <c r="Z174" i="90"/>
  <c r="L178" i="90"/>
  <c r="P183" i="90"/>
  <c r="P61" i="90"/>
  <c r="Q25" i="90"/>
  <c r="O174" i="90"/>
  <c r="O121" i="90"/>
  <c r="X85" i="90"/>
  <c r="O140" i="90"/>
  <c r="O41" i="90"/>
  <c r="T141" i="90"/>
  <c r="Y104" i="90"/>
  <c r="O67" i="90"/>
  <c r="P66" i="90"/>
  <c r="AB122" i="90"/>
  <c r="P13" i="90"/>
  <c r="X92" i="90"/>
  <c r="Q183" i="90"/>
  <c r="Z113" i="90"/>
  <c r="Y140" i="90"/>
  <c r="Q21" i="90"/>
  <c r="P70" i="90"/>
  <c r="T51" i="90"/>
  <c r="T78" i="90"/>
  <c r="Z137" i="90"/>
  <c r="Q96" i="90"/>
  <c r="AB136" i="90"/>
  <c r="O77" i="90"/>
  <c r="P133" i="90"/>
  <c r="L83" i="90"/>
  <c r="Q87" i="90"/>
  <c r="AB171" i="90"/>
  <c r="Z81" i="90"/>
  <c r="X31" i="90"/>
  <c r="L134" i="90"/>
  <c r="L161" i="90"/>
  <c r="T117" i="90"/>
  <c r="Y152" i="90"/>
  <c r="AA144" i="90"/>
  <c r="Z146" i="90"/>
  <c r="Y149" i="90"/>
  <c r="L136" i="90"/>
  <c r="Y29" i="90"/>
  <c r="P85" i="90"/>
  <c r="Q31" i="90"/>
  <c r="Q137" i="90"/>
  <c r="P148" i="90"/>
  <c r="X90" i="90"/>
  <c r="X57" i="90"/>
  <c r="Z21" i="90"/>
  <c r="Q138" i="90"/>
  <c r="Z51" i="90"/>
  <c r="AB142" i="90"/>
  <c r="T75" i="90"/>
  <c r="AB87" i="90"/>
  <c r="AB94" i="90"/>
  <c r="X63" i="90"/>
  <c r="X64" i="90"/>
  <c r="T27" i="90"/>
  <c r="O53" i="90"/>
  <c r="P47" i="90"/>
  <c r="X156" i="90"/>
  <c r="AA166" i="90"/>
  <c r="Q151" i="90"/>
  <c r="Z121" i="90"/>
  <c r="P152" i="90"/>
  <c r="Y102" i="90"/>
  <c r="L86" i="90"/>
  <c r="AA124" i="90"/>
  <c r="P63" i="90"/>
  <c r="L142" i="90"/>
  <c r="Q69" i="90"/>
  <c r="AA80" i="90"/>
  <c r="O91" i="90"/>
  <c r="Q126" i="90"/>
  <c r="O31" i="90"/>
  <c r="O93" i="90"/>
  <c r="P64" i="90"/>
  <c r="AA102" i="90"/>
  <c r="P177" i="90"/>
  <c r="Y61" i="90"/>
  <c r="X143" i="90"/>
  <c r="AB147" i="90"/>
  <c r="P11" i="90"/>
  <c r="O154" i="90"/>
  <c r="Y13" i="90"/>
  <c r="Z73" i="90"/>
  <c r="AA167" i="90"/>
  <c r="L123" i="90"/>
  <c r="AB99" i="90"/>
  <c r="X61" i="90"/>
  <c r="Q120" i="90"/>
  <c r="P99" i="90"/>
  <c r="P73" i="90"/>
  <c r="L84" i="90"/>
  <c r="P74" i="90"/>
  <c r="P122" i="90"/>
  <c r="T21" i="90"/>
  <c r="Z173" i="90"/>
  <c r="Z127" i="90"/>
  <c r="O27" i="90"/>
  <c r="X116" i="90"/>
  <c r="X89" i="90"/>
  <c r="AB85" i="90"/>
  <c r="AB49" i="90"/>
  <c r="L130" i="90"/>
  <c r="Y158" i="90"/>
  <c r="AA96" i="90"/>
  <c r="Q103" i="90"/>
  <c r="P126" i="90"/>
  <c r="X79" i="90"/>
  <c r="AB37" i="90"/>
  <c r="AA27" i="90"/>
  <c r="O177" i="90"/>
  <c r="L180" i="90"/>
  <c r="Z126" i="90"/>
  <c r="Q73" i="90"/>
  <c r="Q128" i="90"/>
  <c r="X108" i="90"/>
  <c r="AA108" i="90"/>
  <c r="AB64" i="90"/>
  <c r="AB41" i="90"/>
  <c r="X55" i="90"/>
  <c r="AB76" i="90"/>
  <c r="O110" i="90"/>
  <c r="N33" i="90"/>
  <c r="L113" i="90"/>
  <c r="Q100" i="90"/>
  <c r="Q92" i="90"/>
  <c r="X174" i="90"/>
  <c r="Z136" i="90"/>
  <c r="Y154" i="90"/>
  <c r="P136" i="90"/>
  <c r="L107" i="90"/>
  <c r="N159" i="90"/>
  <c r="O151" i="90"/>
  <c r="O176" i="90"/>
  <c r="X113" i="90"/>
  <c r="AA95" i="90"/>
  <c r="Q130" i="90"/>
  <c r="N87" i="90"/>
  <c r="P165" i="90"/>
  <c r="O143" i="90"/>
  <c r="P97" i="90"/>
  <c r="AB98" i="90"/>
  <c r="L173" i="90"/>
  <c r="AB162" i="90"/>
  <c r="AB27" i="90"/>
  <c r="AA88" i="90"/>
  <c r="Q143" i="90"/>
  <c r="P118" i="90"/>
  <c r="X129" i="90"/>
  <c r="P135" i="90"/>
  <c r="Z116" i="90"/>
  <c r="Y143" i="90"/>
  <c r="P81" i="90"/>
  <c r="AB47" i="90"/>
  <c r="L147" i="90"/>
  <c r="M31" i="90"/>
  <c r="X75" i="90"/>
  <c r="X66" i="90"/>
  <c r="Z100" i="90"/>
  <c r="O133" i="90"/>
  <c r="Y122" i="90"/>
  <c r="P125" i="90"/>
  <c r="P132" i="90"/>
  <c r="Y92" i="90"/>
  <c r="Y17" i="90"/>
  <c r="AB80" i="90"/>
  <c r="P75" i="90"/>
  <c r="Q81" i="90"/>
  <c r="Y119" i="90"/>
  <c r="X25" i="90"/>
  <c r="AB168" i="90"/>
  <c r="Y170" i="90"/>
  <c r="Z159" i="90"/>
  <c r="P71" i="90"/>
  <c r="O75" i="90"/>
  <c r="T123" i="90"/>
  <c r="AA85" i="90"/>
  <c r="AA33" i="90"/>
  <c r="X169" i="90"/>
  <c r="T135" i="90"/>
  <c r="O171" i="90"/>
  <c r="X95" i="90"/>
  <c r="AB169" i="90"/>
  <c r="Q134" i="90"/>
  <c r="AB159" i="90"/>
  <c r="P108" i="90"/>
  <c r="O100" i="90"/>
  <c r="AB128" i="90"/>
  <c r="P96" i="90"/>
  <c r="P90" i="90"/>
  <c r="L145" i="90"/>
  <c r="Y161" i="90"/>
  <c r="AB129" i="90"/>
  <c r="O45" i="90"/>
  <c r="Z85" i="90"/>
  <c r="L94" i="90"/>
  <c r="Y145" i="90"/>
  <c r="Y128" i="90"/>
  <c r="AB112" i="90"/>
  <c r="N81" i="90"/>
  <c r="Y78" i="90"/>
  <c r="P80" i="90"/>
  <c r="X82" i="90"/>
  <c r="X43" i="90"/>
  <c r="P124" i="90"/>
  <c r="N117" i="90"/>
  <c r="AB154" i="90"/>
  <c r="O13" i="90"/>
  <c r="O19" i="90"/>
  <c r="Z66" i="90"/>
  <c r="Y9" i="90"/>
  <c r="O84" i="90"/>
  <c r="X177" i="90"/>
  <c r="O150" i="90"/>
  <c r="X41" i="90"/>
  <c r="M47" i="90"/>
  <c r="AB137" i="90"/>
  <c r="T63" i="90"/>
  <c r="AA163" i="90"/>
  <c r="Q29" i="90"/>
  <c r="AB63" i="90"/>
  <c r="T105" i="90"/>
  <c r="Y89" i="90"/>
  <c r="AB29" i="90"/>
  <c r="Y96" i="90"/>
  <c r="AB157" i="90"/>
  <c r="O88" i="90"/>
  <c r="M57" i="90"/>
  <c r="L121" i="90"/>
  <c r="P109" i="90"/>
  <c r="Y106" i="90"/>
  <c r="Z84" i="90"/>
  <c r="AB90" i="90"/>
  <c r="AA92" i="90"/>
  <c r="AB91" i="90"/>
  <c r="Q158" i="90"/>
  <c r="X167" i="90"/>
  <c r="X102" i="90"/>
  <c r="Q166" i="90"/>
  <c r="Q49" i="90"/>
  <c r="Y139" i="90"/>
  <c r="Z75" i="90"/>
  <c r="Y51" i="90"/>
  <c r="AA39" i="90"/>
  <c r="P17" i="90"/>
  <c r="L150" i="90"/>
  <c r="Q119" i="90"/>
  <c r="O103" i="90"/>
  <c r="Z76" i="90"/>
  <c r="Y136" i="90"/>
  <c r="AA75" i="90"/>
  <c r="T108" i="90"/>
  <c r="L151" i="90"/>
  <c r="Y162" i="90"/>
  <c r="L165" i="90"/>
  <c r="X153" i="90"/>
  <c r="AA146" i="90"/>
  <c r="O107" i="90"/>
  <c r="AA41" i="90"/>
  <c r="P53" i="90"/>
  <c r="Q176" i="90"/>
  <c r="Z167" i="90"/>
  <c r="AB103" i="90"/>
  <c r="M27" i="90"/>
  <c r="L90" i="90"/>
  <c r="Z92" i="90"/>
  <c r="P160" i="90"/>
  <c r="AB125" i="90"/>
  <c r="AA31" i="90"/>
  <c r="P78" i="90"/>
  <c r="Z144" i="90"/>
  <c r="X15" i="90"/>
  <c r="Z122" i="90"/>
  <c r="L133" i="90"/>
  <c r="Z166" i="90"/>
  <c r="AB51" i="90"/>
  <c r="O9" i="90"/>
  <c r="L185" i="90"/>
  <c r="T57" i="90"/>
  <c r="Y55" i="90"/>
  <c r="P84" i="90"/>
  <c r="N105" i="90"/>
  <c r="AB23" i="90"/>
  <c r="O184" i="90"/>
  <c r="X132" i="90"/>
  <c r="Z106" i="90"/>
  <c r="O123" i="90"/>
  <c r="M35" i="90"/>
  <c r="X144" i="90"/>
  <c r="Z114" i="90"/>
  <c r="X141" i="90"/>
  <c r="Q125" i="90"/>
  <c r="AB175" i="90"/>
  <c r="AA123" i="90"/>
  <c r="Q45" i="90"/>
  <c r="X123" i="90"/>
  <c r="Q161" i="90"/>
  <c r="Z90" i="90"/>
  <c r="Y73" i="90"/>
  <c r="Q113" i="90"/>
  <c r="N108" i="90"/>
  <c r="O96" i="90"/>
  <c r="Q148" i="90"/>
  <c r="X126" i="90"/>
  <c r="N90" i="90"/>
  <c r="L138" i="90"/>
  <c r="X121" i="90"/>
  <c r="AB88" i="90"/>
  <c r="O73" i="90"/>
  <c r="AA63" i="90"/>
  <c r="Z160" i="90"/>
  <c r="Z129" i="90"/>
  <c r="Z53" i="90"/>
  <c r="AA55" i="90"/>
  <c r="AA141" i="90"/>
  <c r="L99" i="90"/>
  <c r="X51" i="90"/>
  <c r="AA72" i="90"/>
  <c r="O166" i="90"/>
  <c r="Y112" i="90"/>
  <c r="O111" i="90"/>
  <c r="Q63" i="90"/>
  <c r="AA23" i="90"/>
  <c r="X151" i="90"/>
  <c r="Z148" i="90"/>
  <c r="Z168" i="90"/>
  <c r="Z134" i="90"/>
  <c r="Z94" i="90"/>
  <c r="P103" i="90"/>
  <c r="AA13" i="90"/>
  <c r="O162" i="90"/>
  <c r="T39" i="90"/>
  <c r="Q117" i="90"/>
  <c r="X147" i="90"/>
  <c r="X72" i="90"/>
  <c r="L139" i="90"/>
  <c r="AA98" i="90"/>
  <c r="Z91" i="90"/>
  <c r="O172" i="90"/>
  <c r="L146" i="90"/>
  <c r="Q43" i="90"/>
  <c r="Z118" i="90"/>
  <c r="Y27" i="90"/>
  <c r="AA130" i="90"/>
  <c r="P57" i="90"/>
  <c r="T15" i="90"/>
  <c r="X173" i="90"/>
  <c r="Y150" i="90"/>
  <c r="X118" i="90"/>
  <c r="AB113" i="90"/>
  <c r="N168" i="90"/>
  <c r="P55" i="90"/>
  <c r="P65" i="90"/>
  <c r="P93" i="90"/>
  <c r="AA87" i="90"/>
  <c r="AB92" i="90"/>
  <c r="L148" i="90"/>
  <c r="T165" i="90"/>
  <c r="O63" i="90"/>
  <c r="AB65" i="90"/>
  <c r="Z138" i="90"/>
  <c r="L88" i="90"/>
  <c r="Q76" i="90"/>
  <c r="Z57" i="90"/>
  <c r="Z37" i="90"/>
  <c r="O158" i="90"/>
  <c r="P175" i="90"/>
  <c r="AA61" i="90"/>
  <c r="L64" i="90"/>
  <c r="L131" i="90"/>
  <c r="AB45" i="90"/>
  <c r="X171" i="90"/>
  <c r="Y66" i="90"/>
  <c r="Z74" i="90"/>
  <c r="P87" i="90"/>
  <c r="AA11" i="90"/>
  <c r="P111" i="90"/>
  <c r="AA104" i="90"/>
  <c r="Z132" i="90"/>
  <c r="AA149" i="90"/>
  <c r="P151" i="90"/>
  <c r="P115" i="90"/>
  <c r="M45" i="90"/>
  <c r="P35" i="90"/>
  <c r="Y71" i="90"/>
  <c r="X97" i="90"/>
  <c r="Z153" i="90"/>
  <c r="Q55" i="90"/>
  <c r="X154" i="90"/>
  <c r="X164" i="90"/>
  <c r="L68" i="90"/>
  <c r="AB155" i="90"/>
  <c r="Y130" i="90"/>
  <c r="P101" i="90"/>
  <c r="AA160" i="90"/>
  <c r="P147" i="90"/>
  <c r="AB117" i="90"/>
  <c r="Y137" i="90"/>
  <c r="L100" i="90"/>
  <c r="Z157" i="90"/>
  <c r="O178" i="90"/>
  <c r="Y39" i="90"/>
  <c r="X114" i="90"/>
  <c r="N84" i="90"/>
  <c r="L92" i="90"/>
  <c r="L63" i="90"/>
  <c r="Z124" i="90"/>
  <c r="T99" i="90"/>
  <c r="T87" i="90"/>
  <c r="O61" i="90"/>
  <c r="AA86" i="90"/>
  <c r="AA25" i="90"/>
  <c r="X111" i="90"/>
  <c r="N120" i="90"/>
  <c r="Y121" i="90"/>
  <c r="AB133" i="90"/>
  <c r="L152" i="90"/>
  <c r="AA143" i="90"/>
  <c r="AB61" i="90"/>
  <c r="L119" i="90"/>
  <c r="P185" i="90"/>
  <c r="P29" i="90"/>
  <c r="Z86" i="90"/>
  <c r="X161" i="90"/>
  <c r="O144" i="90"/>
  <c r="Z71" i="90"/>
  <c r="O128" i="90"/>
  <c r="Y153" i="90"/>
  <c r="O161" i="90"/>
  <c r="O130" i="90"/>
  <c r="M59" i="90"/>
  <c r="Q173" i="90"/>
  <c r="P156" i="90"/>
  <c r="P137" i="90"/>
  <c r="Z96" i="90"/>
  <c r="AB144" i="90"/>
  <c r="O82" i="90"/>
  <c r="AA164" i="90"/>
  <c r="Y113" i="90"/>
  <c r="X98" i="90"/>
  <c r="Z93" i="90"/>
  <c r="Q9" i="90"/>
  <c r="AB55" i="90"/>
  <c r="Y169" i="90"/>
  <c r="O65" i="90"/>
  <c r="AB66" i="90"/>
  <c r="L124" i="90"/>
  <c r="Y151" i="90"/>
  <c r="AA29" i="90"/>
  <c r="AA101" i="90"/>
  <c r="X49" i="90"/>
  <c r="Q167" i="90"/>
  <c r="AB173" i="90"/>
  <c r="AA91" i="90"/>
  <c r="AB158" i="90"/>
  <c r="O157" i="90"/>
  <c r="O135" i="90"/>
  <c r="P123" i="90"/>
  <c r="O152" i="90"/>
  <c r="O105" i="90"/>
  <c r="AA168" i="90"/>
  <c r="O66" i="90"/>
  <c r="O104" i="90"/>
  <c r="O57" i="90"/>
  <c r="Z97" i="90"/>
  <c r="Z140" i="90"/>
  <c r="P49" i="90"/>
  <c r="L67" i="90"/>
  <c r="P141" i="90"/>
  <c r="O170" i="90"/>
  <c r="Z165" i="90"/>
  <c r="X168" i="90"/>
  <c r="AB104" i="90"/>
  <c r="Y63" i="90"/>
  <c r="T171" i="90"/>
  <c r="Y83" i="90"/>
  <c r="N96" i="90"/>
  <c r="L116" i="90"/>
  <c r="T132" i="90"/>
  <c r="X140" i="90"/>
  <c r="AB106" i="90"/>
  <c r="AB101" i="90"/>
  <c r="N177" i="90"/>
  <c r="Z143" i="90"/>
  <c r="AB69" i="90"/>
  <c r="L104" i="90"/>
  <c r="T156" i="90"/>
  <c r="X180" i="90"/>
  <c r="AA113" i="90"/>
  <c r="AA117" i="90"/>
  <c r="X70" i="90"/>
  <c r="X101" i="90"/>
  <c r="Z117" i="90"/>
  <c r="AB132" i="90"/>
  <c r="AB152" i="90"/>
  <c r="AB120" i="90"/>
  <c r="P144" i="90"/>
  <c r="AB176" i="90"/>
  <c r="Z29" i="90"/>
  <c r="L126" i="90"/>
  <c r="Y43" i="90"/>
  <c r="Q144" i="90"/>
  <c r="Z135" i="90"/>
  <c r="Q65" i="90"/>
  <c r="X77" i="90"/>
  <c r="X124" i="90"/>
  <c r="L110" i="90"/>
  <c r="L149" i="90"/>
  <c r="Y95" i="90"/>
  <c r="AA111" i="90"/>
  <c r="O159" i="90"/>
  <c r="O51" i="90"/>
  <c r="AB141" i="90"/>
  <c r="P76" i="90"/>
  <c r="L69" i="90"/>
  <c r="AB21" i="90"/>
  <c r="Z177" i="90"/>
  <c r="X33" i="90"/>
  <c r="Q112" i="90"/>
  <c r="AA171" i="90"/>
  <c r="P91" i="90"/>
  <c r="AB59" i="90"/>
  <c r="Y107" i="90"/>
  <c r="Q170" i="90"/>
  <c r="O173" i="90"/>
  <c r="L106" i="90"/>
  <c r="P117" i="90"/>
  <c r="L72" i="90"/>
  <c r="AB177" i="90"/>
  <c r="AA126" i="90"/>
  <c r="P161" i="90"/>
  <c r="AB89" i="90"/>
  <c r="Y103" i="90"/>
  <c r="T168" i="90"/>
  <c r="P173" i="90"/>
  <c r="O59" i="90"/>
  <c r="P39" i="90"/>
  <c r="Z170" i="90"/>
  <c r="Z180" i="90"/>
  <c r="O25" i="90"/>
  <c r="AB172" i="90"/>
  <c r="AB84" i="90"/>
  <c r="N153" i="90"/>
  <c r="X93" i="90"/>
  <c r="Q131" i="90"/>
  <c r="O131" i="90"/>
  <c r="Q105" i="90"/>
  <c r="O112" i="90"/>
  <c r="Z123" i="90"/>
  <c r="Q145" i="90"/>
  <c r="AA174" i="90"/>
  <c r="Q35" i="90"/>
  <c r="Y97" i="90"/>
  <c r="X166" i="90"/>
  <c r="Q71" i="90"/>
  <c r="L174" i="90"/>
  <c r="AB67" i="90"/>
  <c r="Z77" i="90"/>
  <c r="AA151" i="90"/>
  <c r="O83" i="90"/>
  <c r="P79" i="90"/>
  <c r="Q118" i="90"/>
  <c r="O155" i="90"/>
  <c r="AB111" i="90"/>
  <c r="AA64" i="90"/>
  <c r="Q169" i="90"/>
  <c r="O89" i="90"/>
  <c r="O86" i="90"/>
  <c r="M61" i="90"/>
  <c r="Z156" i="90"/>
  <c r="Y167" i="90"/>
  <c r="L80" i="90"/>
  <c r="AB100" i="90"/>
  <c r="Q61" i="90"/>
  <c r="Z119" i="90"/>
  <c r="Y88" i="90"/>
  <c r="O76" i="90"/>
  <c r="Y171" i="90"/>
  <c r="Q155" i="90"/>
  <c r="Y117" i="90"/>
  <c r="O29" i="90"/>
  <c r="P182" i="90"/>
  <c r="N75" i="90"/>
  <c r="O69" i="90"/>
  <c r="N72" i="90"/>
  <c r="Y135" i="90"/>
  <c r="AB77" i="90"/>
  <c r="L166" i="90"/>
  <c r="X17" i="90"/>
  <c r="O94" i="90"/>
  <c r="O142" i="90"/>
  <c r="M49" i="90"/>
  <c r="O118" i="90"/>
  <c r="L183" i="90"/>
  <c r="T102" i="90"/>
  <c r="AB165" i="90"/>
  <c r="O179" i="90"/>
  <c r="Q150" i="90"/>
  <c r="Q111" i="90"/>
  <c r="P171" i="90"/>
  <c r="Y84" i="90"/>
  <c r="AB108" i="90"/>
  <c r="P15" i="90"/>
  <c r="AB131" i="90"/>
  <c r="AA110" i="90"/>
  <c r="Q59" i="90"/>
  <c r="Z128" i="90"/>
  <c r="Q91" i="90"/>
  <c r="Z61" i="90"/>
  <c r="Q86" i="90"/>
  <c r="L184" i="90"/>
  <c r="AB13" i="90"/>
  <c r="L125" i="90"/>
  <c r="Z87" i="90"/>
  <c r="AB126" i="90"/>
  <c r="AA99" i="90"/>
  <c r="P170" i="90"/>
  <c r="P176" i="90"/>
  <c r="Q66" i="90"/>
  <c r="Y81" i="90"/>
  <c r="Y65" i="90"/>
  <c r="P92" i="90"/>
  <c r="AB83" i="90"/>
  <c r="Q33" i="90"/>
  <c r="AB96" i="90"/>
  <c r="AB114" i="90"/>
  <c r="L71" i="90"/>
  <c r="N78" i="90"/>
  <c r="AB121" i="90"/>
  <c r="AA65" i="90"/>
  <c r="AB105" i="90"/>
  <c r="Q184" i="90"/>
  <c r="T174" i="90"/>
  <c r="P153" i="90"/>
  <c r="T81" i="90"/>
  <c r="O55" i="90"/>
  <c r="Y125" i="90"/>
  <c r="L93" i="90"/>
  <c r="Z72" i="90"/>
  <c r="P157" i="90"/>
  <c r="O37" i="90"/>
  <c r="AA112" i="90"/>
  <c r="Y80" i="90"/>
  <c r="L111" i="90"/>
  <c r="AB135" i="90"/>
  <c r="Q179" i="90"/>
  <c r="X160" i="90"/>
  <c r="Z176" i="90"/>
  <c r="X115" i="90"/>
  <c r="X125" i="90"/>
  <c r="AA127" i="90"/>
  <c r="AB15" i="90"/>
  <c r="Y175" i="90"/>
  <c r="Q67" i="90"/>
  <c r="P138" i="90"/>
  <c r="L103" i="90"/>
  <c r="AB93" i="90"/>
  <c r="Q88" i="90"/>
  <c r="T144" i="90"/>
  <c r="O80" i="90"/>
  <c r="AB130" i="90"/>
  <c r="O23" i="90"/>
  <c r="AB139" i="90"/>
  <c r="Z99" i="90"/>
  <c r="Z78" i="90"/>
  <c r="O139" i="90"/>
  <c r="O49" i="90"/>
  <c r="X155" i="90"/>
  <c r="Z120" i="90"/>
  <c r="L128" i="90"/>
  <c r="Q77" i="90"/>
  <c r="Z109" i="90"/>
  <c r="X159" i="90"/>
  <c r="X136" i="90"/>
  <c r="AA109" i="90"/>
  <c r="AA105" i="90"/>
  <c r="Y142" i="90"/>
  <c r="X91" i="90"/>
  <c r="T129" i="90"/>
  <c r="X117" i="90"/>
  <c r="X47" i="90"/>
  <c r="Q99" i="90"/>
  <c r="AA139" i="90"/>
  <c r="X133" i="90"/>
  <c r="O115" i="90"/>
  <c r="AA121" i="90"/>
  <c r="AA122" i="90"/>
  <c r="Q129" i="90"/>
  <c r="L132" i="90"/>
  <c r="Y45" i="90"/>
  <c r="Z130" i="90"/>
  <c r="AB148" i="90"/>
  <c r="AB75" i="90"/>
  <c r="Q79" i="90"/>
  <c r="Q82" i="90"/>
  <c r="Q160" i="90"/>
  <c r="AA69" i="90"/>
  <c r="Q41" i="90"/>
  <c r="Q181" i="90"/>
  <c r="X165" i="90"/>
  <c r="L164" i="90"/>
  <c r="AA90" i="90"/>
  <c r="Y72" i="90"/>
  <c r="X172" i="90"/>
  <c r="O124" i="90"/>
  <c r="Q178" i="90"/>
  <c r="P131" i="90"/>
  <c r="L108" i="90"/>
  <c r="M53" i="90"/>
  <c r="Y133" i="90"/>
  <c r="T177" i="90"/>
  <c r="O175" i="90"/>
  <c r="O39" i="90"/>
  <c r="L163" i="90"/>
  <c r="O119" i="90"/>
  <c r="AA47" i="90"/>
  <c r="Z150" i="90"/>
  <c r="L141" i="90"/>
  <c r="Q168" i="90"/>
  <c r="AA150" i="90"/>
  <c r="AB119" i="90"/>
  <c r="Q159" i="90"/>
  <c r="Q142" i="90"/>
  <c r="X69" i="90"/>
  <c r="P23" i="90"/>
  <c r="Y146" i="90"/>
  <c r="P69" i="90"/>
  <c r="AA71" i="90"/>
  <c r="Z125" i="90"/>
  <c r="Z80" i="90"/>
  <c r="Y108" i="90"/>
  <c r="X94" i="90"/>
  <c r="X80" i="90"/>
  <c r="AB164" i="90"/>
  <c r="M29" i="90"/>
  <c r="Q68" i="90"/>
  <c r="O149" i="90"/>
  <c r="N180" i="90"/>
  <c r="P179" i="90"/>
  <c r="X170" i="90"/>
  <c r="O185" i="90"/>
  <c r="Y118" i="90"/>
  <c r="AA169" i="90"/>
  <c r="N114" i="90"/>
  <c r="Y49" i="90"/>
  <c r="Z164" i="90"/>
  <c r="Q135" i="90"/>
  <c r="L122" i="90"/>
  <c r="AA43" i="90"/>
  <c r="AA107" i="90"/>
  <c r="Q98" i="90"/>
  <c r="AA161" i="90"/>
  <c r="Y141" i="90"/>
  <c r="Y74" i="90"/>
  <c r="O147" i="90"/>
  <c r="AA125" i="90"/>
  <c r="O90" i="90"/>
  <c r="P167" i="90"/>
  <c r="Q127" i="90"/>
  <c r="X120" i="90"/>
  <c r="X148" i="90"/>
  <c r="N66" i="90"/>
  <c r="Q51" i="90"/>
  <c r="Z131" i="90"/>
  <c r="Q53" i="90"/>
  <c r="Q11" i="90"/>
  <c r="L127" i="90"/>
  <c r="O81" i="90"/>
  <c r="Z19" i="90"/>
  <c r="T114" i="90"/>
  <c r="N171" i="90"/>
  <c r="X45" i="90"/>
  <c r="AB156" i="90"/>
  <c r="Z172" i="90"/>
  <c r="X162" i="90"/>
  <c r="X83" i="90"/>
  <c r="M37" i="90"/>
  <c r="Z68" i="90"/>
  <c r="P119" i="90"/>
  <c r="O117" i="90"/>
  <c r="AA172" i="90"/>
  <c r="O127" i="90"/>
  <c r="Y173" i="90"/>
  <c r="L112" i="90"/>
  <c r="N93" i="90"/>
  <c r="Y82" i="90"/>
  <c r="Z27" i="90"/>
  <c r="X73" i="90"/>
  <c r="Z15" i="90"/>
  <c r="P59" i="90"/>
  <c r="M23" i="90"/>
  <c r="L137" i="90"/>
  <c r="L65" i="90"/>
  <c r="Y110" i="90"/>
  <c r="Q121" i="90"/>
  <c r="Y21" i="90"/>
  <c r="L91" i="90"/>
  <c r="Z55" i="90"/>
  <c r="Y11" i="90"/>
  <c r="P106" i="90"/>
  <c r="Y180" i="90"/>
  <c r="M43" i="90"/>
  <c r="AA15" i="90"/>
  <c r="Y156" i="90"/>
  <c r="AB72" i="90"/>
  <c r="M39" i="90"/>
  <c r="L135" i="90"/>
  <c r="Q147" i="90"/>
  <c r="Q23" i="90"/>
  <c r="N57" i="90"/>
  <c r="Z98" i="90"/>
  <c r="AB140" i="90"/>
  <c r="P82" i="90"/>
  <c r="L156" i="90"/>
  <c r="N15" i="90"/>
  <c r="Z151" i="90"/>
  <c r="O33" i="90"/>
  <c r="Q140" i="90"/>
  <c r="L168" i="90"/>
  <c r="L118" i="90"/>
  <c r="AB53" i="90"/>
  <c r="O122" i="90"/>
  <c r="X106" i="90"/>
  <c r="Q80" i="90"/>
  <c r="AB123" i="90"/>
  <c r="AA106" i="90"/>
  <c r="Y47" i="90"/>
  <c r="L98" i="90"/>
  <c r="O145" i="90"/>
  <c r="AA118" i="90"/>
  <c r="Q94" i="90"/>
  <c r="L143" i="90"/>
  <c r="Q149" i="90"/>
  <c r="Q152" i="90"/>
  <c r="L82" i="90"/>
  <c r="Q115" i="90"/>
  <c r="AA153" i="90"/>
  <c r="Z161" i="90"/>
  <c r="Z25" i="90"/>
  <c r="L85" i="90"/>
  <c r="X84" i="90"/>
  <c r="Y115" i="90"/>
  <c r="N183" i="90"/>
  <c r="Y77" i="90"/>
  <c r="L101" i="90"/>
  <c r="AA76" i="90"/>
  <c r="T90" i="90"/>
  <c r="AA77" i="90"/>
  <c r="O11" i="90"/>
  <c r="N9" i="90"/>
  <c r="N102" i="90"/>
  <c r="AA176" i="90"/>
  <c r="O85" i="90"/>
  <c r="Y111" i="90"/>
  <c r="AA67" i="90"/>
  <c r="Y76" i="90"/>
  <c r="P51" i="90"/>
  <c r="Y177" i="90"/>
  <c r="V101" i="90" l="1"/>
  <c r="V85" i="90"/>
  <c r="V82" i="90"/>
  <c r="V143" i="90"/>
  <c r="V98" i="90"/>
  <c r="V118" i="90"/>
  <c r="V168" i="90"/>
  <c r="V156" i="90"/>
  <c r="V135" i="90"/>
  <c r="U39" i="90"/>
  <c r="U40" i="90" s="1"/>
  <c r="U43" i="90"/>
  <c r="U44" i="90" s="1"/>
  <c r="V91" i="90"/>
  <c r="V65" i="90"/>
  <c r="V137" i="90"/>
  <c r="U23" i="90"/>
  <c r="U24" i="90" s="1"/>
  <c r="V112" i="90"/>
  <c r="U37" i="90"/>
  <c r="U38" i="90" s="1"/>
  <c r="V127" i="90"/>
  <c r="V122" i="90"/>
  <c r="U29" i="90"/>
  <c r="U30" i="90" s="1"/>
  <c r="V141" i="90"/>
  <c r="V163" i="90"/>
  <c r="U53" i="90"/>
  <c r="U54" i="90" s="1"/>
  <c r="V108" i="90"/>
  <c r="V164" i="90"/>
  <c r="V132" i="90"/>
  <c r="V128" i="90"/>
  <c r="V103" i="90"/>
  <c r="V111" i="90"/>
  <c r="V93" i="90"/>
  <c r="V71" i="90"/>
  <c r="Q188" i="90"/>
  <c r="V125" i="90"/>
  <c r="U49" i="90"/>
  <c r="U50" i="90" s="1"/>
  <c r="V166" i="90"/>
  <c r="V80" i="90"/>
  <c r="U61" i="90"/>
  <c r="U62" i="90" s="1"/>
  <c r="V174" i="90"/>
  <c r="V72" i="90"/>
  <c r="V106" i="90"/>
  <c r="V69" i="90"/>
  <c r="V149" i="90"/>
  <c r="V110" i="90"/>
  <c r="V126" i="90"/>
  <c r="V104" i="90"/>
  <c r="V116" i="90"/>
  <c r="V67" i="90"/>
  <c r="V124" i="90"/>
  <c r="U59" i="90"/>
  <c r="U60" i="90" s="1"/>
  <c r="V119" i="90"/>
  <c r="V152" i="90"/>
  <c r="V63" i="90"/>
  <c r="V92" i="90"/>
  <c r="V100" i="90"/>
  <c r="V68" i="90"/>
  <c r="U45" i="90"/>
  <c r="U46" i="90" s="1"/>
  <c r="V131" i="90"/>
  <c r="V64" i="90"/>
  <c r="V88" i="90"/>
  <c r="V148" i="90"/>
  <c r="V146" i="90"/>
  <c r="V139" i="90"/>
  <c r="V99" i="90"/>
  <c r="V138" i="90"/>
  <c r="U35" i="90"/>
  <c r="U36" i="90" s="1"/>
  <c r="V133" i="90"/>
  <c r="V90" i="90"/>
  <c r="U27" i="90"/>
  <c r="U28" i="90" s="1"/>
  <c r="V165" i="90"/>
  <c r="V151" i="90"/>
  <c r="V150" i="90"/>
  <c r="V121" i="90"/>
  <c r="U57" i="90"/>
  <c r="U58" i="90" s="1"/>
  <c r="U47" i="90"/>
  <c r="U48" i="90" s="1"/>
  <c r="V94" i="90"/>
  <c r="V145" i="90"/>
  <c r="U31" i="90"/>
  <c r="U32" i="90" s="1"/>
  <c r="V147" i="90"/>
  <c r="V173" i="90"/>
  <c r="V107" i="90"/>
  <c r="V113" i="90"/>
  <c r="V180" i="90"/>
  <c r="V130" i="90"/>
  <c r="V84" i="90"/>
  <c r="V123" i="90"/>
  <c r="V142" i="90"/>
  <c r="V86" i="90"/>
  <c r="Q187" i="90"/>
  <c r="V136" i="90"/>
  <c r="V161" i="90"/>
  <c r="V134" i="90"/>
  <c r="V83" i="90"/>
  <c r="V178" i="90"/>
  <c r="V79" i="90"/>
  <c r="V117" i="90"/>
  <c r="V78" i="90"/>
  <c r="V120" i="90"/>
  <c r="V114" i="90"/>
  <c r="U11" i="90"/>
  <c r="U12" i="90" s="1"/>
  <c r="U13" i="90"/>
  <c r="U14" i="90" s="1"/>
  <c r="U25" i="90"/>
  <c r="U26" i="90" s="1"/>
  <c r="V66" i="90"/>
  <c r="V172" i="90"/>
  <c r="V97" i="90"/>
  <c r="V159" i="90"/>
  <c r="V160" i="90"/>
  <c r="V181" i="90"/>
  <c r="U19" i="90"/>
  <c r="U20" i="90" s="1"/>
  <c r="V89" i="90"/>
  <c r="V105" i="90"/>
  <c r="V182" i="90"/>
  <c r="U55" i="90"/>
  <c r="U56" i="90" s="1"/>
  <c r="V73" i="90"/>
  <c r="V74" i="90"/>
  <c r="V140" i="90"/>
  <c r="U51" i="90"/>
  <c r="U52" i="90" s="1"/>
  <c r="V162" i="90"/>
  <c r="V169" i="90"/>
  <c r="V95" i="90"/>
  <c r="U17" i="90"/>
  <c r="U18" i="90" s="1"/>
  <c r="V171" i="90"/>
  <c r="V70" i="90"/>
  <c r="V102" i="90"/>
  <c r="V76" i="90"/>
  <c r="V81" i="90"/>
  <c r="V176" i="90"/>
  <c r="V75" i="90"/>
  <c r="V144" i="90"/>
  <c r="V77" i="90"/>
  <c r="V158" i="90"/>
  <c r="V154" i="90"/>
  <c r="V115" i="90"/>
  <c r="U21" i="90"/>
  <c r="U22" i="90" s="1"/>
  <c r="U15" i="90"/>
  <c r="U16" i="90" s="1"/>
  <c r="U33" i="90"/>
  <c r="U34" i="90" s="1"/>
  <c r="V153" i="90"/>
  <c r="U41" i="90"/>
  <c r="U42" i="90" s="1"/>
  <c r="V155" i="90"/>
  <c r="V129" i="90"/>
  <c r="V175" i="90"/>
  <c r="V179" i="90"/>
  <c r="V87" i="90"/>
  <c r="V96" i="90"/>
  <c r="V109" i="90"/>
  <c r="V167" i="90"/>
  <c r="V170" i="90"/>
  <c r="V157" i="90"/>
  <c r="T45" i="90"/>
  <c r="T33" i="90"/>
  <c r="Q191" i="90" l="1"/>
  <c r="Q189" i="90"/>
  <c r="Q192" i="90"/>
  <c r="Q190"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3C00BD8-DD3A-407B-AF30-9DD32A91185B}">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02FB01D8-6FF5-489F-A544-8329099B45D6}">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DF6A5EE5-FD85-4AAB-A38D-CBF6204E4148}">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7320C23E-C061-4065-9A10-44003AD58406}">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124ED533-E1E2-4EDF-B4CA-22965A0B727B}">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B5E47CE-A319-4880-B1ED-621A56C28F99}">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F0157D22-CB78-4163-A547-8BB329223F4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1F70793C-023F-4FFF-9D87-4C03CDA65FDB}">
      <text>
        <r>
          <rPr>
            <b/>
            <sz val="9"/>
            <color indexed="81"/>
            <rFont val="Tahoma"/>
            <family val="2"/>
          </rPr>
          <t>Andreas Helk | Viegand Maagøe:</t>
        </r>
        <r>
          <rPr>
            <sz val="9"/>
            <color indexed="81"/>
            <rFont val="Tahoma"/>
            <family val="2"/>
          </rPr>
          <t xml:space="preserve">
Consider looking into updating these</t>
        </r>
      </text>
    </comment>
    <comment ref="X6" authorId="1" shapeId="0" xr:uid="{5FA7DEC2-D327-483C-87D6-E1B23A50A2E2}">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64D96DC-9BB3-40E8-96BE-D8922A6758E3}">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F0D50127-DF50-4708-81B5-F8E5EC52DC1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A140DE02-DDEB-4E2A-AB54-366E078165D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4893FD2C-BB4A-4F02-8030-18B0D3CCA92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455E212B-C356-434A-B67C-D6DBF82D8959}">
      <text>
        <r>
          <rPr>
            <b/>
            <sz val="9"/>
            <color indexed="81"/>
            <rFont val="Tahoma"/>
            <family val="2"/>
          </rPr>
          <t>Stefan Petrovic:</t>
        </r>
        <r>
          <rPr>
            <sz val="9"/>
            <color indexed="81"/>
            <rFont val="Tahoma"/>
            <family val="2"/>
          </rPr>
          <t xml:space="preserve">
=L6*0.95 was previously</t>
        </r>
      </text>
    </comment>
    <comment ref="O188" authorId="2" shapeId="0" xr:uid="{2689AF7F-96A0-4A08-BF06-6B99AF2FD365}">
      <text>
        <r>
          <rPr>
            <b/>
            <sz val="9"/>
            <color indexed="81"/>
            <rFont val="Tahoma"/>
            <family val="2"/>
          </rPr>
          <t>Stefan Petrovic:</t>
        </r>
        <r>
          <rPr>
            <sz val="9"/>
            <color indexed="81"/>
            <rFont val="Tahoma"/>
            <family val="2"/>
          </rPr>
          <t xml:space="preserve">
=L6*0.95 was previously</t>
        </r>
      </text>
    </comment>
    <comment ref="O189" authorId="2" shapeId="0" xr:uid="{9F8289A3-E4B8-4FBB-ADA1-912E0739F3AE}">
      <text>
        <r>
          <rPr>
            <b/>
            <sz val="9"/>
            <color indexed="81"/>
            <rFont val="Tahoma"/>
            <family val="2"/>
          </rPr>
          <t>Stefan Petrovic:</t>
        </r>
        <r>
          <rPr>
            <sz val="9"/>
            <color indexed="81"/>
            <rFont val="Tahoma"/>
            <family val="2"/>
          </rPr>
          <t xml:space="preserve">
=L6*0.95 was previously</t>
        </r>
      </text>
    </comment>
    <comment ref="O190" authorId="2" shapeId="0" xr:uid="{62D42DFA-F372-4B4F-9D0B-2F022BF35A9C}">
      <text>
        <r>
          <rPr>
            <b/>
            <sz val="9"/>
            <color indexed="81"/>
            <rFont val="Tahoma"/>
            <family val="2"/>
          </rPr>
          <t>Stefan Petrovic:</t>
        </r>
        <r>
          <rPr>
            <sz val="9"/>
            <color indexed="81"/>
            <rFont val="Tahoma"/>
            <family val="2"/>
          </rPr>
          <t xml:space="preserve">
=L6*0.95 was previously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T18" authorId="0" shapeId="0" xr:uid="{2DEBE107-3E14-42A7-B210-B21D307B41F3}">
      <text>
        <r>
          <rPr>
            <b/>
            <sz val="9"/>
            <color indexed="81"/>
            <rFont val="Tahoma"/>
            <family val="2"/>
          </rPr>
          <t>Andreas Helk | Viegand Maagøe:</t>
        </r>
        <r>
          <rPr>
            <sz val="9"/>
            <color indexed="81"/>
            <rFont val="Tahoma"/>
            <family val="2"/>
          </rPr>
          <t xml:space="preserve">
CCS cost american tech sheet</t>
        </r>
      </text>
    </comment>
    <comment ref="Z26" authorId="0" shapeId="0" xr:uid="{47F59E99-0E3D-4128-8CBF-7D07169E1647}">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26" authorId="0" shapeId="0" xr:uid="{EE3EB8F3-37A1-478E-AEA6-69F8E28A6F7D}">
      <text>
        <r>
          <rPr>
            <b/>
            <sz val="9"/>
            <color indexed="81"/>
            <rFont val="Tahoma"/>
            <family val="2"/>
          </rPr>
          <t>Andreas Helk | Viegand Maagøe:</t>
        </r>
        <r>
          <rPr>
            <sz val="9"/>
            <color indexed="81"/>
            <rFont val="Tahoma"/>
            <family val="2"/>
          </rPr>
          <t xml:space="preserve">
Consider looking into updating these</t>
        </r>
      </text>
    </comment>
    <comment ref="Z42" authorId="0" shapeId="0" xr:uid="{28D3DCED-6C0E-4F20-AF68-A479284DA88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42" authorId="0" shapeId="0" xr:uid="{33A1D648-AEFF-49AA-8FE2-4AF1AB12EEB6}">
      <text>
        <r>
          <rPr>
            <b/>
            <sz val="9"/>
            <color indexed="81"/>
            <rFont val="Tahoma"/>
            <family val="2"/>
          </rPr>
          <t>Andreas Helk | Viegand Maagøe:</t>
        </r>
        <r>
          <rPr>
            <sz val="9"/>
            <color indexed="81"/>
            <rFont val="Tahoma"/>
            <family val="2"/>
          </rPr>
          <t xml:space="preserve">
Consider looking into updating these</t>
        </r>
      </text>
    </comment>
    <comment ref="B47" authorId="0" shapeId="0" xr:uid="{1C973D77-B046-4AFF-9241-BD08DCA7AD32}">
      <text>
        <r>
          <rPr>
            <b/>
            <sz val="9"/>
            <color indexed="81"/>
            <rFont val="Tahoma"/>
            <family val="2"/>
          </rPr>
          <t>Andreas Helk | Viegand Maagøe:</t>
        </r>
        <r>
          <rPr>
            <sz val="9"/>
            <color indexed="81"/>
            <rFont val="Tahoma"/>
            <family val="2"/>
          </rPr>
          <t xml:space="preserve">
Has to be multiplied by the specific boiler efficiency</t>
        </r>
      </text>
    </comment>
    <comment ref="B49" authorId="0" shapeId="0" xr:uid="{1D458684-E550-4AC7-B5F7-5A71403FAEDA}">
      <text>
        <r>
          <rPr>
            <b/>
            <sz val="9"/>
            <color indexed="81"/>
            <rFont val="Tahoma"/>
            <family val="2"/>
          </rPr>
          <t>Andreas Helk | Viegand Maagøe:</t>
        </r>
        <r>
          <rPr>
            <sz val="9"/>
            <color indexed="81"/>
            <rFont val="Tahoma"/>
            <family val="2"/>
          </rPr>
          <t xml:space="preserve">
Has to be multiplied by the specific boiler efficiency</t>
        </r>
      </text>
    </comment>
    <comment ref="B50" authorId="0" shapeId="0" xr:uid="{75B2D9F5-6D3D-42FC-8071-4FC85B31FD33}">
      <text>
        <r>
          <rPr>
            <b/>
            <sz val="9"/>
            <color indexed="81"/>
            <rFont val="Tahoma"/>
            <family val="2"/>
          </rPr>
          <t>Andreas Helk | Viegand Maagøe:</t>
        </r>
        <r>
          <rPr>
            <sz val="9"/>
            <color indexed="81"/>
            <rFont val="Tahoma"/>
            <family val="2"/>
          </rPr>
          <t xml:space="preserve">
Has to be multiplied by the specific boiler efficiency</t>
        </r>
      </text>
    </comment>
    <comment ref="B127" authorId="0" shapeId="0" xr:uid="{F7617E7B-B728-4B4C-9210-AA12EEDF89A4}">
      <text>
        <r>
          <rPr>
            <b/>
            <sz val="9"/>
            <color indexed="81"/>
            <rFont val="Tahoma"/>
            <family val="2"/>
          </rPr>
          <t>Andreas Helk | Viegand Maagøe:</t>
        </r>
        <r>
          <rPr>
            <sz val="9"/>
            <color indexed="81"/>
            <rFont val="Tahoma"/>
            <family val="2"/>
          </rPr>
          <t xml:space="preserve">
Has to be multiplied by the specific boiler efficiency</t>
        </r>
      </text>
    </comment>
    <comment ref="B129" authorId="0" shapeId="0" xr:uid="{E60E626E-454B-4E77-8868-D1B3B71C01F3}">
      <text>
        <r>
          <rPr>
            <b/>
            <sz val="9"/>
            <color indexed="81"/>
            <rFont val="Tahoma"/>
            <family val="2"/>
          </rPr>
          <t>Andreas Helk | Viegand Maagøe:</t>
        </r>
        <r>
          <rPr>
            <sz val="9"/>
            <color indexed="81"/>
            <rFont val="Tahoma"/>
            <family val="2"/>
          </rPr>
          <t xml:space="preserve">
Has to be multiplied by the specific boiler efficiency</t>
        </r>
      </text>
    </comment>
    <comment ref="B130" authorId="0" shapeId="0" xr:uid="{7FB79CBA-0626-4B82-92BC-136734098C9C}">
      <text>
        <r>
          <rPr>
            <b/>
            <sz val="9"/>
            <color indexed="81"/>
            <rFont val="Tahoma"/>
            <family val="2"/>
          </rPr>
          <t>Andreas Helk | Viegand Maagøe:</t>
        </r>
        <r>
          <rPr>
            <sz val="9"/>
            <color indexed="81"/>
            <rFont val="Tahoma"/>
            <family val="2"/>
          </rPr>
          <t xml:space="preserve">
Has to be multiplied by the specific boiler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O38" authorId="0" shapeId="0" xr:uid="{6A307809-B988-454B-B65C-5236303557B0}">
      <text>
        <r>
          <rPr>
            <b/>
            <sz val="9"/>
            <color indexed="81"/>
            <rFont val="Tahoma"/>
            <family val="2"/>
          </rPr>
          <t>Andreas Helk | Viegand Maagøe:</t>
        </r>
        <r>
          <rPr>
            <sz val="9"/>
            <color indexed="81"/>
            <rFont val="Tahoma"/>
            <family val="2"/>
          </rPr>
          <t xml:space="preserve">
Weighted average of the different temperature levels, and their potential in the food sector.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Stefan Petrovic</author>
  </authors>
  <commentList>
    <comment ref="L9" authorId="0" shapeId="0" xr:uid="{00000000-0006-0000-2600-000001000000}">
      <text>
        <r>
          <rPr>
            <b/>
            <sz val="9"/>
            <color indexed="81"/>
            <rFont val="Tahoma"/>
            <family val="2"/>
          </rPr>
          <t>Stefan Petrovic:</t>
        </r>
        <r>
          <rPr>
            <sz val="9"/>
            <color indexed="81"/>
            <rFont val="Tahoma"/>
            <family val="2"/>
          </rPr>
          <t xml:space="preserve">
Danish Technology Catalogue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7" authorId="0" shapeId="0" xr:uid="{DA616BE4-01B6-42A2-8A44-6F6F98FBDECE}">
      <text>
        <r>
          <rPr>
            <b/>
            <sz val="9"/>
            <color indexed="81"/>
            <rFont val="Tahoma"/>
            <family val="2"/>
          </rPr>
          <t>Rikke Næraa:</t>
        </r>
        <r>
          <rPr>
            <sz val="9"/>
            <color indexed="81"/>
            <rFont val="Tahoma"/>
            <family val="2"/>
          </rPr>
          <t xml:space="preserve">
It is assumed that the unit should be (€/unit/year)</t>
        </r>
      </text>
    </comment>
    <comment ref="B54" authorId="0" shapeId="0" xr:uid="{A415CB73-E8CF-4ADE-A9A5-9C820F1ED6A7}">
      <text>
        <r>
          <rPr>
            <b/>
            <sz val="9"/>
            <color indexed="81"/>
            <rFont val="Tahoma"/>
            <family val="2"/>
          </rPr>
          <t>Rikke Næraa:</t>
        </r>
        <r>
          <rPr>
            <sz val="9"/>
            <color indexed="81"/>
            <rFont val="Tahoma"/>
            <family val="2"/>
          </rPr>
          <t xml:space="preserve">
It is assumed that the unit should be (€/unit/year), but then the cost become rather low compared to for single family houses
</t>
        </r>
      </text>
    </comment>
    <comment ref="B81" authorId="0" shapeId="0" xr:uid="{0485CF9B-DE2B-40BE-A0B0-2CF0F5129C55}">
      <text>
        <r>
          <rPr>
            <b/>
            <sz val="9"/>
            <color indexed="81"/>
            <rFont val="Tahoma"/>
            <family val="2"/>
          </rPr>
          <t>Rikke Næraa:</t>
        </r>
        <r>
          <rPr>
            <sz val="9"/>
            <color indexed="81"/>
            <rFont val="Tahoma"/>
            <family val="2"/>
          </rPr>
          <t xml:space="preserve">
same coments as for fossil fuel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32" authorId="0" shapeId="0" xr:uid="{00000000-0006-0000-1100-000001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D32" authorId="0" shapeId="0" xr:uid="{00000000-0006-0000-1100-000002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E32" authorId="0" shapeId="0" xr:uid="{00000000-0006-0000-1100-000003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F32" authorId="0" shapeId="0" xr:uid="{00000000-0006-0000-1100-000004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1" authorId="0" shapeId="0" xr:uid="{00000000-0006-0000-13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2" authorId="0" shapeId="0" xr:uid="{00000000-0006-0000-14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B53" authorId="0" shapeId="0" xr:uid="{00000000-0006-0000-1400-000002000000}">
      <text>
        <r>
          <rPr>
            <b/>
            <sz val="9"/>
            <color indexed="81"/>
            <rFont val="Tahoma"/>
            <family val="2"/>
          </rPr>
          <t>Rikke Næraa:</t>
        </r>
        <r>
          <rPr>
            <sz val="9"/>
            <color indexed="81"/>
            <rFont val="Tahoma"/>
            <family val="2"/>
          </rPr>
          <t xml:space="preserve">
Strange that the additional cost is increasing in the future?</t>
        </r>
      </text>
    </comment>
    <comment ref="D76" authorId="0" shapeId="0" xr:uid="{00000000-0006-0000-1400-000003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9" authorId="0" shapeId="0" xr:uid="{00000000-0006-0000-1A00-000001000000}">
      <text>
        <r>
          <rPr>
            <b/>
            <sz val="9"/>
            <color indexed="81"/>
            <rFont val="Tahoma"/>
            <family val="2"/>
          </rPr>
          <t>Rikke Næraa:</t>
        </r>
        <r>
          <rPr>
            <sz val="9"/>
            <color indexed="81"/>
            <rFont val="Tahoma"/>
            <family val="2"/>
          </rPr>
          <t xml:space="preserve">
possible additionel specific investment not included</t>
        </r>
      </text>
    </comment>
    <comment ref="B30" authorId="0" shapeId="0" xr:uid="{00000000-0006-0000-1A00-000002000000}">
      <text>
        <r>
          <rPr>
            <b/>
            <sz val="9"/>
            <color indexed="81"/>
            <rFont val="Tahoma"/>
            <family val="2"/>
          </rPr>
          <t>Rikke Næraa:</t>
        </r>
        <r>
          <rPr>
            <sz val="9"/>
            <color indexed="81"/>
            <rFont val="Tahoma"/>
            <family val="2"/>
          </rPr>
          <t xml:space="preserve">
possible additionel specific investment not included</t>
        </r>
      </text>
    </comment>
    <comment ref="B56" authorId="0" shapeId="0" xr:uid="{00000000-0006-0000-1A00-000003000000}">
      <text>
        <r>
          <rPr>
            <b/>
            <sz val="9"/>
            <color indexed="81"/>
            <rFont val="Tahoma"/>
            <family val="2"/>
          </rPr>
          <t>Rikke Næraa:</t>
        </r>
        <r>
          <rPr>
            <sz val="9"/>
            <color indexed="81"/>
            <rFont val="Tahoma"/>
            <family val="2"/>
          </rPr>
          <t xml:space="preserve">
possible additionel specific investment not included</t>
        </r>
      </text>
    </comment>
    <comment ref="B57" authorId="0" shapeId="0" xr:uid="{00000000-0006-0000-1A00-000004000000}">
      <text>
        <r>
          <rPr>
            <b/>
            <sz val="9"/>
            <color indexed="81"/>
            <rFont val="Tahoma"/>
            <family val="2"/>
          </rPr>
          <t>Rikke Næraa:</t>
        </r>
        <r>
          <rPr>
            <sz val="9"/>
            <color indexed="81"/>
            <rFont val="Tahoma"/>
            <family val="2"/>
          </rPr>
          <t xml:space="preserve">
possible additionel specific investment not included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I5" authorId="0" shapeId="0" xr:uid="{00000000-0006-0000-2F00-000001000000}">
      <text>
        <r>
          <rPr>
            <b/>
            <sz val="9"/>
            <color indexed="81"/>
            <rFont val="Tahoma"/>
            <family val="2"/>
          </rPr>
          <t>Iben Moll Rasmussen:</t>
        </r>
        <r>
          <rPr>
            <sz val="9"/>
            <color indexed="81"/>
            <rFont val="Tahoma"/>
            <family val="2"/>
          </rPr>
          <t xml:space="preserve">
What does this mean?</t>
        </r>
      </text>
    </comment>
    <comment ref="I6" authorId="1" shapeId="0" xr:uid="{00000000-0006-0000-2F00-000002000000}">
      <text>
        <r>
          <rPr>
            <b/>
            <sz val="9"/>
            <color indexed="81"/>
            <rFont val="Tahoma"/>
            <family val="2"/>
          </rPr>
          <t>Mikkel Bosack Simonsen:</t>
        </r>
        <r>
          <rPr>
            <sz val="9"/>
            <color indexed="81"/>
            <rFont val="Tahoma"/>
            <family val="2"/>
          </rPr>
          <t xml:space="preserve">
asummed similar to ELC HP with ambient temperature
</t>
        </r>
      </text>
    </comment>
    <comment ref="J6" authorId="1" shapeId="0" xr:uid="{00000000-0006-0000-2F00-000003000000}">
      <text>
        <r>
          <rPr>
            <b/>
            <sz val="9"/>
            <color indexed="81"/>
            <rFont val="Tahoma"/>
            <family val="2"/>
          </rPr>
          <t>Mikkel Bosack Simonsen:</t>
        </r>
        <r>
          <rPr>
            <sz val="9"/>
            <color indexed="81"/>
            <rFont val="Tahoma"/>
            <family val="2"/>
          </rPr>
          <t xml:space="preserve">
asummed similar to ELC HP with ambient temperature</t>
        </r>
      </text>
    </comment>
    <comment ref="K6" authorId="1" shapeId="0" xr:uid="{00000000-0006-0000-2F00-000004000000}">
      <text>
        <r>
          <rPr>
            <b/>
            <sz val="9"/>
            <color indexed="81"/>
            <rFont val="Tahoma"/>
            <family val="2"/>
          </rPr>
          <t>Mikkel Bosack Simonsen:</t>
        </r>
        <r>
          <rPr>
            <sz val="9"/>
            <color indexed="81"/>
            <rFont val="Tahoma"/>
            <family val="2"/>
          </rPr>
          <t xml:space="preserve">
asummed similar to ELC HP with ambient temperature</t>
        </r>
      </text>
    </comment>
    <comment ref="I10" authorId="1" shapeId="0" xr:uid="{00000000-0006-0000-2F00-000005000000}">
      <text>
        <r>
          <rPr>
            <b/>
            <sz val="9"/>
            <color indexed="81"/>
            <rFont val="Tahoma"/>
            <family val="2"/>
          </rPr>
          <t>Mikkel Bosack Simonsen:</t>
        </r>
        <r>
          <rPr>
            <sz val="9"/>
            <color indexed="81"/>
            <rFont val="Tahoma"/>
            <family val="2"/>
          </rPr>
          <t xml:space="preserve">
asummed similar to ELC HP with ambient temperature
</t>
        </r>
      </text>
    </comment>
    <comment ref="J10" authorId="1" shapeId="0" xr:uid="{00000000-0006-0000-2F00-000006000000}">
      <text>
        <r>
          <rPr>
            <b/>
            <sz val="9"/>
            <color indexed="81"/>
            <rFont val="Tahoma"/>
            <family val="2"/>
          </rPr>
          <t>Mikkel Bosack Simonsen:</t>
        </r>
        <r>
          <rPr>
            <sz val="9"/>
            <color indexed="81"/>
            <rFont val="Tahoma"/>
            <family val="2"/>
          </rPr>
          <t xml:space="preserve">
asummed similar to ELC HP with ambient temperature</t>
        </r>
      </text>
    </comment>
    <comment ref="K10" authorId="1" shapeId="0" xr:uid="{00000000-0006-0000-2F00-000007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J5" authorId="0" shapeId="0" xr:uid="{00000000-0006-0000-3000-000001000000}">
      <text>
        <r>
          <rPr>
            <b/>
            <sz val="9"/>
            <color indexed="81"/>
            <rFont val="Tahoma"/>
            <family val="2"/>
          </rPr>
          <t>Iben Moll Rasmussen:</t>
        </r>
        <r>
          <rPr>
            <sz val="9"/>
            <color indexed="81"/>
            <rFont val="Tahoma"/>
            <family val="2"/>
          </rPr>
          <t xml:space="preserve">
What does this mean?</t>
        </r>
      </text>
    </comment>
    <comment ref="J6" authorId="1" shapeId="0" xr:uid="{00000000-0006-0000-3000-000002000000}">
      <text>
        <r>
          <rPr>
            <b/>
            <sz val="9"/>
            <color indexed="81"/>
            <rFont val="Tahoma"/>
            <family val="2"/>
          </rPr>
          <t>Mikkel Bosack Simonsen:</t>
        </r>
        <r>
          <rPr>
            <sz val="9"/>
            <color indexed="81"/>
            <rFont val="Tahoma"/>
            <family val="2"/>
          </rPr>
          <t xml:space="preserve">
asummed similar to ELC HP with ambient temperature
</t>
        </r>
      </text>
    </comment>
    <comment ref="K6" authorId="1" shapeId="0" xr:uid="{00000000-0006-0000-3000-000003000000}">
      <text>
        <r>
          <rPr>
            <b/>
            <sz val="9"/>
            <color indexed="81"/>
            <rFont val="Tahoma"/>
            <family val="2"/>
          </rPr>
          <t>Mikkel Bosack Simonsen:</t>
        </r>
        <r>
          <rPr>
            <sz val="9"/>
            <color indexed="81"/>
            <rFont val="Tahoma"/>
            <family val="2"/>
          </rPr>
          <t xml:space="preserve">
asummed similar to ELC HP with ambient temperature</t>
        </r>
      </text>
    </comment>
    <comment ref="L6" authorId="1" shapeId="0" xr:uid="{00000000-0006-0000-3000-000004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Hareas1" type="6" refreshedVersion="4" background="1" saveData="1">
    <textPr codePage="65001" sourceFile="\\dtu-storage\stpet\Documents\Stefan\BBR\Waste heat\DHareas.csv" comma="1">
      <textFields count="7">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<sst xmlns="http://schemas.openxmlformats.org/spreadsheetml/2006/main" count="14387" uniqueCount="1964">
  <si>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</si>
  <si>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</si>
  <si>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</si>
  <si>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</si>
  <si>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</si>
  <si>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</si>
  <si>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</si>
  <si>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</si>
  <si>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</si>
  <si>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</si>
  <si>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1, 2, 3, 4</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</si>
  <si>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</si>
  <si>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</si>
  <si>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</si>
  <si>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</si>
  <si>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</si>
  <si>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</si>
  <si>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</si>
  <si>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</si>
  <si>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</si>
  <si>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</si>
  <si>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5, 6</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</si>
  <si>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</si>
  <si>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</si>
  <si>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</si>
  <si>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</si>
  <si>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</si>
  <si>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</si>
  <si>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</si>
  <si>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</si>
  <si>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</si>
  <si>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</si>
  <si>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</si>
  <si>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</si>
  <si>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</si>
  <si>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</si>
  <si>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t>
  </si>
  <si>
    <t>Natural gas boiler</t>
  </si>
  <si>
    <t>One-family house, existing and new building</t>
  </si>
  <si>
    <t>100-104</t>
  </si>
  <si>
    <t>Electricity consumption (kWh/year)</t>
  </si>
  <si>
    <t>80-200</t>
  </si>
  <si>
    <t>40-120</t>
  </si>
  <si>
    <t>20-80</t>
  </si>
  <si>
    <t>?</t>
  </si>
  <si>
    <t>B, C</t>
  </si>
  <si>
    <t>D, E</t>
  </si>
  <si>
    <t>45</t>
  </si>
  <si>
    <t>55</t>
  </si>
  <si>
    <t>K</t>
  </si>
  <si>
    <t>Fixed O&amp;M (€/kW/year)</t>
  </si>
  <si>
    <t>H</t>
  </si>
  <si>
    <t>I</t>
  </si>
  <si>
    <t>Apartment complex, existing and new building</t>
  </si>
  <si>
    <t>20-750</t>
  </si>
  <si>
    <t>J</t>
  </si>
  <si>
    <t>50-85</t>
  </si>
  <si>
    <t>15-50</t>
  </si>
  <si>
    <t>District heating substation</t>
  </si>
  <si>
    <t>B</t>
  </si>
  <si>
    <t>1.5-3.5</t>
  </si>
  <si>
    <t>2, 3, 4</t>
  </si>
  <si>
    <t>20-25</t>
  </si>
  <si>
    <t>75-80</t>
  </si>
  <si>
    <t>Fixed O&amp;M (€/unit/year)</t>
  </si>
  <si>
    <t>2, 4</t>
  </si>
  <si>
    <t>Biomass boiler, automatic stoking</t>
  </si>
  <si>
    <t>4, 5</t>
  </si>
  <si>
    <t>NA</t>
  </si>
  <si>
    <t>2, 5</t>
  </si>
  <si>
    <t>2.5-11</t>
  </si>
  <si>
    <t>- hereof equipment (1000€/unit)</t>
  </si>
  <si>
    <t>2-10</t>
  </si>
  <si>
    <t>- hereof installation (1000€/unit)</t>
  </si>
  <si>
    <t>0.5-1</t>
  </si>
  <si>
    <t>D, F</t>
  </si>
  <si>
    <t>E</t>
  </si>
  <si>
    <t>100-1000</t>
  </si>
  <si>
    <t>Biomass boiler, manual stoking</t>
  </si>
  <si>
    <t>3</t>
  </si>
  <si>
    <t>1.5</t>
  </si>
  <si>
    <t xml:space="preserve">D </t>
  </si>
  <si>
    <t>Wood stove without water tank</t>
  </si>
  <si>
    <t>1.5-9</t>
  </si>
  <si>
    <t>1.5-6</t>
  </si>
  <si>
    <t>20-60</t>
  </si>
  <si>
    <t>2</t>
  </si>
  <si>
    <t>- hereof installation (%1000€/unit)</t>
  </si>
  <si>
    <t>0.6</t>
  </si>
  <si>
    <t>Wood stove with water tank</t>
  </si>
  <si>
    <t>1.5-4</t>
  </si>
  <si>
    <t>1.5-3</t>
  </si>
  <si>
    <t>20-70</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</si>
  <si>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</si>
  <si>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</si>
  <si>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</si>
  <si>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</si>
  <si>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</si>
  <si>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</si>
  <si>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Heat pump, air-to-water</t>
  </si>
  <si>
    <t>Expected share of space heating demand covered by the heat pump unit (%)</t>
  </si>
  <si>
    <t>Expected share of hot tap water demand covered by the heat pump unit (%)</t>
  </si>
  <si>
    <t>A,B</t>
  </si>
  <si>
    <t>1, 2, 3, 4, 6, 7</t>
  </si>
  <si>
    <t>A, B, E</t>
  </si>
  <si>
    <t>1, 2, 5</t>
  </si>
  <si>
    <t>85</t>
  </si>
  <si>
    <t>15</t>
  </si>
  <si>
    <t>50-750</t>
  </si>
  <si>
    <t>A, B</t>
  </si>
  <si>
    <t>20-300</t>
  </si>
  <si>
    <t>Heat pump, brine-to-water</t>
  </si>
  <si>
    <t>A, B, D, E, G</t>
  </si>
  <si>
    <t>Possible additional specific investment  (1000€/kW)</t>
  </si>
  <si>
    <t>A, B, D, E</t>
  </si>
  <si>
    <t>75</t>
  </si>
  <si>
    <t>25</t>
  </si>
  <si>
    <t>Heat pump, ventilation</t>
  </si>
  <si>
    <t>1, 2, 4</t>
  </si>
  <si>
    <t>C, D</t>
  </si>
  <si>
    <t>90</t>
  </si>
  <si>
    <t>10</t>
  </si>
  <si>
    <t>14-200</t>
  </si>
  <si>
    <t>Solar heating system</t>
  </si>
  <si>
    <r>
      <t>Typical size per unit (m</t>
    </r>
    <r>
      <rPr>
        <vertAlign val="superscript"/>
        <sz val="9"/>
        <color indexed="8"/>
        <rFont val="Arial"/>
        <family val="2"/>
      </rPr>
      <t>2</t>
    </r>
    <r>
      <rPr>
        <sz val="9"/>
        <color indexed="8"/>
        <rFont val="Arial"/>
        <family val="2"/>
      </rPr>
      <t>)</t>
    </r>
  </si>
  <si>
    <t>Typical size per unit (kW)</t>
  </si>
  <si>
    <t>2, 6</t>
  </si>
  <si>
    <r>
      <t>Specific investment (1000€/m</t>
    </r>
    <r>
      <rPr>
        <vertAlign val="superscript"/>
        <sz val="9"/>
        <color indexed="8"/>
        <rFont val="Arial"/>
        <family val="2"/>
      </rPr>
      <t>2</t>
    </r>
    <r>
      <rPr>
        <sz val="9"/>
        <color indexed="8"/>
        <rFont val="Arial"/>
        <family val="2"/>
      </rPr>
      <t>)</t>
    </r>
  </si>
  <si>
    <t>1, 8, 9, 10</t>
  </si>
  <si>
    <t>9, 1</t>
  </si>
  <si>
    <t>Variable O&amp;M (€/unit/year)</t>
  </si>
  <si>
    <t>Electric heating</t>
  </si>
  <si>
    <t>B, D</t>
  </si>
  <si>
    <t>For electric heating,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</si>
  <si>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</si>
  <si>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</si>
  <si>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</si>
  <si>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</si>
  <si>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</si>
  <si>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</si>
  <si>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</si>
  <si>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</si>
  <si>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</si>
  <si>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</si>
  <si>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</si>
  <si>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</si>
  <si>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</si>
  <si>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</si>
  <si>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</si>
  <si>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</si>
  <si>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</si>
  <si>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</si>
  <si>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</si>
  <si>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</si>
  <si>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</si>
  <si>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</si>
  <si>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</si>
  <si>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</si>
  <si>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</si>
  <si>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</si>
  <si>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</si>
  <si>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</si>
  <si>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</si>
  <si>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</si>
  <si>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</si>
  <si>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</si>
  <si>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</si>
  <si>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</si>
  <si>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</si>
  <si>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</si>
  <si>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</si>
  <si>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</si>
  <si>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</si>
  <si>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</si>
  <si>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</si>
  <si>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</si>
  <si>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</si>
  <si>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</si>
  <si>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</si>
  <si>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</si>
  <si>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</si>
  <si>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</si>
  <si>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</si>
  <si>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</si>
  <si>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</si>
  <si>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</si>
  <si>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</si>
  <si>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</si>
  <si>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</si>
  <si>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</si>
  <si>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</si>
  <si>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</si>
  <si>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</si>
  <si>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</si>
  <si>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</si>
  <si>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</si>
  <si>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</si>
  <si>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</si>
  <si>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</si>
  <si>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</si>
  <si>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</si>
  <si>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</si>
  <si>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</si>
  <si>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</si>
  <si>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</si>
  <si>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</si>
  <si>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</si>
  <si>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</si>
  <si>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</si>
  <si>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</si>
  <si>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</si>
  <si>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</si>
  <si>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</si>
  <si>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</si>
  <si>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</si>
  <si>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</si>
  <si>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</si>
  <si>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</si>
  <si>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</si>
  <si>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</si>
  <si>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</si>
  <si>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</si>
  <si>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</si>
  <si>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</si>
  <si>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</si>
  <si>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</si>
  <si>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</si>
  <si>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</si>
  <si>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</si>
  <si>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</si>
  <si>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</si>
  <si>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</si>
  <si>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</si>
  <si>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</si>
  <si>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</si>
  <si>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</si>
  <si>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</si>
  <si>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</si>
  <si>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</si>
  <si>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</si>
  <si>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</si>
  <si>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</si>
  <si>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</si>
  <si>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</si>
  <si>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</si>
  <si>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</si>
  <si>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</si>
  <si>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</si>
  <si>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</si>
  <si>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</si>
  <si>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</si>
  <si>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</si>
  <si>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</si>
  <si>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</si>
  <si>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</si>
  <si>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</si>
  <si>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</si>
  <si>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</si>
  <si>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</si>
  <si>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</si>
  <si>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</si>
  <si>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</si>
  <si>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</si>
  <si>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</si>
  <si>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</si>
  <si>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</si>
  <si>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</si>
  <si>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</si>
  <si>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</si>
  <si>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</si>
  <si>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</si>
  <si>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</si>
  <si>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</si>
  <si>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</si>
  <si>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</si>
  <si>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</si>
  <si>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</si>
  <si>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</si>
  <si>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3-20</t>
  </si>
  <si>
    <t>2-20</t>
  </si>
  <si>
    <t>1-20</t>
  </si>
  <si>
    <t>5-40</t>
  </si>
  <si>
    <t>5-35</t>
  </si>
  <si>
    <t>5-30</t>
  </si>
  <si>
    <t>6-20</t>
  </si>
  <si>
    <t>4-20</t>
  </si>
  <si>
    <t>3-12</t>
  </si>
  <si>
    <t>5-25</t>
  </si>
  <si>
    <t>7-30</t>
  </si>
  <si>
    <t>5-18</t>
  </si>
  <si>
    <t>4-16</t>
  </si>
  <si>
    <t>4-14</t>
  </si>
  <si>
    <t>2-12</t>
  </si>
  <si>
    <t>3-8</t>
  </si>
  <si>
    <t>2-5</t>
  </si>
  <si>
    <t>3-5</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</si>
  <si>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</si>
  <si>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</si>
  <si>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</si>
  <si>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</si>
  <si>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</si>
  <si>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</si>
  <si>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</si>
  <si>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</si>
  <si>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</si>
  <si>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</si>
  <si>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</si>
  <si>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</si>
  <si>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</si>
  <si>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</si>
  <si>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</si>
  <si>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</si>
  <si>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</si>
  <si>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</si>
  <si>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</si>
  <si>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</si>
  <si>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</si>
  <si>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</si>
  <si>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</si>
  <si>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</si>
  <si>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</si>
  <si>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</si>
  <si>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</si>
  <si>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</si>
  <si>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</si>
  <si>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10 kW boiler</t>
  </si>
  <si>
    <t>kr/kW/year</t>
  </si>
  <si>
    <t>kr/GJ</t>
  </si>
  <si>
    <t>kr/€</t>
  </si>
  <si>
    <t>Average</t>
  </si>
  <si>
    <t>kW</t>
  </si>
  <si>
    <t xml:space="preserve">Boiler size, Check against  the range for the "Heat production capacity for one unit (kW)" in the first row in the datasheet </t>
  </si>
  <si>
    <t>Heat production capacity</t>
  </si>
  <si>
    <t xml:space="preserve">Check against  the range for the "Heat production capacity for one unit (kW)" in the first row in the datasheet </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</si>
  <si>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</si>
  <si>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</si>
  <si>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</si>
  <si>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</si>
  <si>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</si>
  <si>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</si>
  <si>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</si>
  <si>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</si>
  <si>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</si>
  <si>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</si>
  <si>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</si>
  <si>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</si>
  <si>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</si>
  <si>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</si>
  <si>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</si>
  <si>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</si>
  <si>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</si>
  <si>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</si>
  <si>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</si>
  <si>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r>
      <t>Specific investment in</t>
    </r>
    <r>
      <rPr>
        <b/>
        <sz val="11"/>
        <color indexed="8"/>
        <rFont val="Calibri"/>
        <family val="2"/>
      </rPr>
      <t xml:space="preserve"> dkr/kW </t>
    </r>
  </si>
  <si>
    <r>
      <t xml:space="preserve"> Specific investment in </t>
    </r>
    <r>
      <rPr>
        <b/>
        <sz val="11"/>
        <color indexed="8"/>
        <rFont val="Calibri"/>
        <family val="2"/>
      </rPr>
      <t>dkr/unit</t>
    </r>
  </si>
  <si>
    <r>
      <t xml:space="preserve">FIX O&amp;M </t>
    </r>
    <r>
      <rPr>
        <b/>
        <sz val="11"/>
        <color indexed="8"/>
        <rFont val="Calibri"/>
        <family val="2"/>
      </rPr>
      <t>dkr/kW/year</t>
    </r>
  </si>
  <si>
    <r>
      <t xml:space="preserve">Variable O&amp;M in </t>
    </r>
    <r>
      <rPr>
        <b/>
        <sz val="11"/>
        <color indexed="8"/>
        <rFont val="Calibri"/>
        <family val="2"/>
      </rPr>
      <t>dkr/GJ</t>
    </r>
  </si>
  <si>
    <t xml:space="preserve">The green  should be copied to TIMES: </t>
  </si>
  <si>
    <t xml:space="preserve">Currency </t>
  </si>
  <si>
    <t>c</t>
  </si>
  <si>
    <t>kWh</t>
  </si>
  <si>
    <t>GJ</t>
  </si>
  <si>
    <t>One family house, new and existing buildings</t>
  </si>
  <si>
    <t>Total efficiency (%) net</t>
  </si>
  <si>
    <t>SO2 (degree of desulphoring, %)</t>
  </si>
  <si>
    <t>NOX (g per GJ fuel)</t>
  </si>
  <si>
    <t>CH4 (g per GJ fuel)</t>
  </si>
  <si>
    <t>N2O (g per GJ fuel)</t>
  </si>
  <si>
    <t>Financial data  (air/water)</t>
  </si>
  <si>
    <t>Possible additional specific investment (1000€/unit)</t>
  </si>
  <si>
    <t>Variable costs O&amp;M (€/MWh)</t>
  </si>
  <si>
    <t>Financial data  (brine/water)</t>
  </si>
  <si>
    <t>Absorption heat pump, brine-to-water</t>
  </si>
  <si>
    <t>Apartment complex, existing and new buildings</t>
  </si>
  <si>
    <t>L</t>
  </si>
  <si>
    <t>Gas engine driven heat pump, air-to-water and brine-to-water</t>
  </si>
  <si>
    <t>Gas engine driven heat pump heat pump</t>
  </si>
  <si>
    <t>A, K</t>
  </si>
  <si>
    <t>Gas engine driven heat pump heat pump, air-to-water</t>
  </si>
  <si>
    <t>0,5 - 1,4</t>
  </si>
  <si>
    <t>0,5 -1,4</t>
  </si>
  <si>
    <t>F,G,N</t>
  </si>
  <si>
    <t>I1</t>
  </si>
  <si>
    <t>I2</t>
  </si>
  <si>
    <t>Gas engine driven heat pump heat pump, brine-to-water</t>
  </si>
  <si>
    <t>F, G, N,O</t>
  </si>
  <si>
    <t>1,6+23</t>
  </si>
  <si>
    <t>H, J</t>
  </si>
  <si>
    <t>Gas driven adsorption heat pumps, air-to-water and brine-to-water</t>
  </si>
  <si>
    <t>1,5-15</t>
  </si>
  <si>
    <t>E; H</t>
  </si>
  <si>
    <t xml:space="preserve"> /5/, /17/</t>
  </si>
  <si>
    <t>A, H</t>
  </si>
  <si>
    <t xml:space="preserve">Gas driven absorption heat pumps, air-to-water </t>
  </si>
  <si>
    <t>Absorption heat pump</t>
  </si>
  <si>
    <t>I,K,L</t>
  </si>
  <si>
    <t>C2</t>
  </si>
  <si>
    <t>Absorption heat pump, air-to-water</t>
  </si>
  <si>
    <t>A, D, L</t>
  </si>
  <si>
    <t>C1</t>
  </si>
  <si>
    <t>A,D</t>
  </si>
  <si>
    <t>Gas driven absorption heat pumps brine-to-water</t>
  </si>
  <si>
    <t>H, H2</t>
  </si>
  <si>
    <t>A,D,E,F2;K</t>
  </si>
  <si>
    <t>1,6+ 23</t>
  </si>
  <si>
    <t>F1, H</t>
  </si>
  <si>
    <t>Variable costs O&amp;M (€/GJ)</t>
  </si>
  <si>
    <t>Variable costs O&amp;M (€/unit/year)</t>
  </si>
  <si>
    <t>MJ</t>
  </si>
  <si>
    <t>kr/MWh</t>
  </si>
  <si>
    <t>References:</t>
  </si>
  <si>
    <t>1 Forsyningskatalog 1988.</t>
  </si>
  <si>
    <t>2 Dansk Elforsyningsstatistik 2008.</t>
  </si>
  <si>
    <t>3 1975 – 1990 Publikationer fra DEFU Concerning electric heating. Here are also reports on storage heaters.</t>
  </si>
  <si>
    <t>4 http://www.dimplex.co.uk/products/domestic_heating/installed_ heating/storage_heaters/index.htm.</t>
  </si>
  <si>
    <t>5 http://www.lk.dk/Lauritz+Knudsen/privat/det-intelligente-hjem/det-intelligente-hjem.page?</t>
  </si>
  <si>
    <t>6 Peter Strøm from “EL-Strøm A/S”, personnaly communication.</t>
  </si>
  <si>
    <t>Notes:</t>
  </si>
  <si>
    <t>A Annual efficiency based on 100 % space heating efficiency and hot water efficiency. In addition, distribution heat losses compared to water based heating systems are saved, typically in the range of 5-10 %.</t>
  </si>
  <si>
    <t>B Assuming 150 apartments.</t>
  </si>
  <si>
    <t>C Assuming change of heating elements in the hot water tank every 10 years.</t>
  </si>
  <si>
    <t>D The price includes the complete system including room heaters and hot tap water preparation.</t>
  </si>
  <si>
    <t>if it is assumed that the energyconsumtion for hotwater is 4000kWh/year(=14,4 GJ/year) for an average 6 hosehold and 65% of the heating is delivered from the solarcollectors</t>
  </si>
  <si>
    <t xml:space="preserve">if it is assumed for a household in a detached building that the energyconsumtion for hotwater is 4000kWh/year(=14,4 GJ/year) for an average 6 hosehold and 65% of the heating is delivered from the solarcollectors. And it is assumed that heat production from solar collectors on  the multi storey building can be calculated from the relation between the installed capacity:  140kW/4,2 kW * 14,4 GJ/year =   </t>
  </si>
  <si>
    <t>* Source</t>
  </si>
  <si>
    <t>TechName</t>
  </si>
  <si>
    <t>*TechDesc</t>
  </si>
  <si>
    <t>Comm-IN</t>
  </si>
  <si>
    <t>Comm-OUT</t>
  </si>
  <si>
    <t>*PlantName</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</si>
  <si>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</si>
  <si>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</si>
  <si>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</si>
  <si>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</si>
  <si>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</si>
  <si>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</si>
  <si>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</si>
  <si>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</si>
  <si>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</si>
  <si>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</si>
  <si>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</si>
  <si>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</si>
  <si>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</si>
  <si>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</si>
  <si>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</si>
  <si>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</si>
  <si>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</si>
  <si>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</si>
  <si>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</si>
  <si>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</si>
  <si>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</si>
  <si>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</si>
  <si>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</si>
  <si>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</si>
  <si>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</si>
  <si>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</si>
  <si>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</si>
  <si>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</si>
  <si>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</si>
  <si>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</si>
  <si>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</si>
  <si>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</si>
  <si>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</si>
  <si>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</si>
  <si>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</si>
  <si>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</si>
  <si>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</si>
  <si>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</si>
  <si>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~FI_T</t>
  </si>
  <si>
    <t>yes</t>
  </si>
  <si>
    <t>Mkr/MW</t>
  </si>
  <si>
    <t>Mkr/MW/year</t>
  </si>
  <si>
    <t>Mkr/PJ</t>
  </si>
  <si>
    <t>EFF heat pumps moved to Trans file</t>
  </si>
  <si>
    <t>Stefan</t>
  </si>
  <si>
    <t>Sheet HOU_Deta_Boil</t>
  </si>
  <si>
    <t>Sheet HOU_Multi_Boil</t>
  </si>
  <si>
    <t>Mauri</t>
  </si>
  <si>
    <t>Sheet HOU_Deta Boil</t>
  </si>
  <si>
    <t>Sheet HOU_Multi Boil</t>
  </si>
  <si>
    <t>Technology Catalog - Heat Generation</t>
  </si>
  <si>
    <t>43. District Heating Boiler, Biomass Fired boiler - Wood Chips</t>
  </si>
  <si>
    <t>District Heating Boiler, Wood Chips</t>
  </si>
  <si>
    <t>Generation capacity for one plant (MJ/s</t>
  </si>
  <si>
    <t>Availability (%)</t>
  </si>
  <si>
    <t>Nominal Investment (M€ per MJ/s)</t>
  </si>
  <si>
    <t>Total O&amp;M (€ per MWh)</t>
  </si>
  <si>
    <t>1 -1 2</t>
  </si>
  <si>
    <t>1</t>
  </si>
  <si>
    <t>96-98</t>
  </si>
  <si>
    <t>0.5 - 1</t>
  </si>
  <si>
    <t>Unburned hydrocarbons, UHC (g per GJ guel)</t>
  </si>
  <si>
    <t>4;3;3;3</t>
  </si>
  <si>
    <t xml:space="preserve">0.5 - 1.1 </t>
  </si>
  <si>
    <t>references</t>
  </si>
  <si>
    <t>1 Danish Heating Association, January 2012</t>
  </si>
  <si>
    <t>2 Elsams og Elktraffs opdatering at  Energi</t>
  </si>
  <si>
    <t>* Electric appliances</t>
  </si>
  <si>
    <t>INDELC</t>
  </si>
  <si>
    <t>* Heat Exchangers</t>
  </si>
  <si>
    <t>DMD</t>
  </si>
  <si>
    <t>Date</t>
  </si>
  <si>
    <t>Name</t>
  </si>
  <si>
    <t>Sheet Name</t>
  </si>
  <si>
    <t>Cells</t>
  </si>
  <si>
    <t>Comments</t>
  </si>
  <si>
    <t>Olexandr Balyk</t>
  </si>
  <si>
    <t>IND_Food</t>
  </si>
  <si>
    <t>Electric boiler are set to deliver HT as well</t>
  </si>
  <si>
    <t>Rows 61-66 and 89-94</t>
  </si>
  <si>
    <t>Removed because not used anymore in this model version</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</si>
  <si>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</si>
  <si>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</si>
  <si>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</si>
  <si>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Sector</t>
  </si>
  <si>
    <t>Agriculture</t>
  </si>
  <si>
    <t>Kenneth Bernard Karlsson</t>
  </si>
  <si>
    <t>IND_AGR</t>
  </si>
  <si>
    <t>Update of name to align with VT file</t>
  </si>
  <si>
    <t>Added the 3 haulage demands</t>
  </si>
  <si>
    <t>Changed dem name as in agr.</t>
  </si>
  <si>
    <t>Olexandr</t>
  </si>
  <si>
    <t>IND_SavTechs</t>
  </si>
  <si>
    <t>Moved all the data from SubRES_IND_SavingPot to here</t>
  </si>
  <si>
    <t>Construction</t>
  </si>
  <si>
    <t>Steffen</t>
  </si>
  <si>
    <t>All IND_ sheets</t>
  </si>
  <si>
    <t>Corrected names for new technologies, removing the "i".</t>
  </si>
  <si>
    <t>C6:C112</t>
  </si>
  <si>
    <t>Lars B. Termansen</t>
  </si>
  <si>
    <t>Intro</t>
  </si>
  <si>
    <t>Added intro sheet</t>
  </si>
  <si>
    <t>all sheets</t>
  </si>
  <si>
    <t>Tab colors adjusted</t>
  </si>
  <si>
    <t>Description</t>
  </si>
  <si>
    <t>Purpose:</t>
  </si>
  <si>
    <t>Description:</t>
  </si>
  <si>
    <t>Relevant sectors</t>
  </si>
  <si>
    <t>Description of different sheets</t>
  </si>
  <si>
    <t xml:space="preserve">READ THIS </t>
  </si>
  <si>
    <t>Special remarks relevant for this workbook</t>
  </si>
  <si>
    <t>IND</t>
  </si>
  <si>
    <t>Definition of new technology definition available to be installed in industrt</t>
  </si>
  <si>
    <t>IND_G&amp;C</t>
  </si>
  <si>
    <t>Technologies are copied from ELC sector for proces heat and HOU for room heat. Notice the process definitions are kept for each industry sheet</t>
  </si>
  <si>
    <t>New technologies for Agriculture (A)</t>
  </si>
  <si>
    <t>Oil-fired boiler</t>
  </si>
  <si>
    <t>DH-substation</t>
  </si>
  <si>
    <t>DHB Wood-Chips</t>
  </si>
  <si>
    <t>Biomass boiler, automatic</t>
  </si>
  <si>
    <t>Biomass boiler, manual</t>
  </si>
  <si>
    <t>Wood stove</t>
  </si>
  <si>
    <t>Heat pump, ground source</t>
  </si>
  <si>
    <t>HP, gas absorption, air-to-water</t>
  </si>
  <si>
    <t>HP, gas absorption, brine-to-water</t>
  </si>
  <si>
    <t>Heat pump, gas engine air-water</t>
  </si>
  <si>
    <t>Heat pump, gas engine, Brine-wat</t>
  </si>
  <si>
    <t>Solar heating</t>
  </si>
  <si>
    <t>Electrical heating</t>
  </si>
  <si>
    <t>Micro CHP, natural gas FC</t>
  </si>
  <si>
    <t>Micro CHP, hydrogen FC</t>
  </si>
  <si>
    <t>Micro CHP, Stirling engine</t>
  </si>
  <si>
    <t>Micro CHP, Gas engine</t>
  </si>
  <si>
    <t>DH network</t>
  </si>
  <si>
    <t>Data sheet for Oil-fired boiler</t>
  </si>
  <si>
    <t>Data sheet for Natural gas boiler</t>
  </si>
  <si>
    <t>Data sheet for DH-substation</t>
  </si>
  <si>
    <t>Data sheet for DHB Wood-Chips</t>
  </si>
  <si>
    <t>Data sheet for Biomass boiler, automatic</t>
  </si>
  <si>
    <t>Data sheet for Biomass boiler, manual</t>
  </si>
  <si>
    <t>Data sheet for Wood stove</t>
  </si>
  <si>
    <t>Data sheet for Heat pump, air-to-air</t>
  </si>
  <si>
    <t>Data sheet for Heat pump, air-to-water</t>
  </si>
  <si>
    <t>Data sheet for Heat pump, ground source</t>
  </si>
  <si>
    <t>Data sheet for HP, gas absorption, air-to-water</t>
  </si>
  <si>
    <t>Data sheet for HP, gas absorption, brine-to-water</t>
  </si>
  <si>
    <t>Data sheet for Heat pump, gas engine air-water</t>
  </si>
  <si>
    <t>Data sheet for Heat pump, gas engine, Brine-wat</t>
  </si>
  <si>
    <t>Data sheet for Solar heating</t>
  </si>
  <si>
    <t>Data sheet for Heat pump, ventilation</t>
  </si>
  <si>
    <t>Data sheet for Electrical heating</t>
  </si>
  <si>
    <t>Data sheet for Micro CHP, natural gas FC</t>
  </si>
  <si>
    <t>Data sheet for Micro CHP, hydrogen FC</t>
  </si>
  <si>
    <t>Data sheet for Micro CHP, Stirling engine</t>
  </si>
  <si>
    <t>Data sheet for Micro CHP, Gas engine</t>
  </si>
  <si>
    <t>Data sheet for DH network</t>
  </si>
  <si>
    <t>Data sheet for Electrical grid</t>
  </si>
  <si>
    <t>Steffen Dockweiler</t>
  </si>
  <si>
    <t>Column S</t>
  </si>
  <si>
    <t>Changed AFA to VT-file level</t>
  </si>
  <si>
    <t>Added INDBGA, INDNGA, INDSNG1, INDSNG2 to forklifts</t>
  </si>
  <si>
    <t>F108</t>
  </si>
  <si>
    <t>C26:Y29</t>
  </si>
  <si>
    <t>Added oil boilers for high temp - to match statistics</t>
  </si>
  <si>
    <t>Added wood chips/pellets for high temp - to match statistics</t>
  </si>
  <si>
    <t>C30:Y49</t>
  </si>
  <si>
    <t>Removed Forest Machines as a seperate energy service</t>
  </si>
  <si>
    <t>INDCOA</t>
  </si>
  <si>
    <t>C6:Y13</t>
  </si>
  <si>
    <t>Introduced coal fired plant to create MT and HT only for IND_G&amp;C, to match statistics (Aalborg Portland)</t>
  </si>
  <si>
    <t>DAYNITE</t>
  </si>
  <si>
    <t>Changed SOL-technology to DAYNITE timeslice</t>
  </si>
  <si>
    <t>Changed start date for all techs to be 2011</t>
  </si>
  <si>
    <r>
      <t xml:space="preserve">Changed the COAL effieciency/cost to be equal to biomass - </t>
    </r>
    <r>
      <rPr>
        <b/>
        <sz val="11"/>
        <color rgb="FFFF0000"/>
        <rFont val="Calibri"/>
        <family val="2"/>
        <scheme val="minor"/>
      </rPr>
      <t>SHOULD BE REVISITED!</t>
    </r>
  </si>
  <si>
    <t>Solar_Heating</t>
  </si>
  <si>
    <t>Recalculated variable O&amp;M for 2030 and 2050 since improvements to % heat possible to cover by solar heat improves.</t>
  </si>
  <si>
    <t>Fixed O&amp;M Cost (EUR/TJ/year)</t>
  </si>
  <si>
    <t>Fixed O&amp;M Cost (MDKK/MW)</t>
  </si>
  <si>
    <t>From SubRes_ELC_DH-Pipes</t>
  </si>
  <si>
    <t xml:space="preserve">Introduced higher value for Fixed annual O&amp;M for DH- taken from Subres_ELC_DH-Pipes  to better capture the pipe costs. Please note that investments costs of installing the pipes are included in the INV costs - we were simply missing the O&amp;M of the pipes. It can be discussed whether these should occur to the industries themselves, or rather to ELC sector?  </t>
  </si>
  <si>
    <t>SDO assumption - 27-07-2016</t>
  </si>
  <si>
    <t>Total O&amp;M are split in Variable and Fixed, since this tech is extremely favored</t>
  </si>
  <si>
    <t xml:space="preserve">when fixed O&amp;M are zero! </t>
  </si>
  <si>
    <t>Split rate:</t>
  </si>
  <si>
    <t>Fixed O&amp;M</t>
  </si>
  <si>
    <t>Variable O&amp;M</t>
  </si>
  <si>
    <t xml:space="preserve">Introduced an assumption splitting total O&amp;M for wood whips on both variable and fixed, instead of just variable before. The model installed very much WCH maybe because of zero fixed O&amp;M. </t>
  </si>
  <si>
    <t>kWh/m2</t>
  </si>
  <si>
    <t>Demand only for space heating</t>
  </si>
  <si>
    <t>Share of space heating covered by solar heating</t>
  </si>
  <si>
    <t>Demand only for DHW</t>
  </si>
  <si>
    <t>Share of DHW covered by solar heating</t>
  </si>
  <si>
    <t>Demand for space heating and DHW</t>
  </si>
  <si>
    <t>m2</t>
  </si>
  <si>
    <t>Made same assumptions on investment costs and O&amp;M as in the Solar Heating of Housing. Changed size of heating area assumption to 1500M2, and changed 2030 and 2050 effeicency of room heat to 12 %</t>
  </si>
  <si>
    <t>Assumed area of a industry building</t>
  </si>
  <si>
    <t>41 Heat only generation tech (boilers, heat pumps, geothermal)
Electric boilers, 400 or 690 V, 0.06-5 MW; 10 or 15 kV, &gt;10 MW</t>
  </si>
  <si>
    <t>Uncertainty (2020)</t>
  </si>
  <si>
    <t>Uncertainty (2050)</t>
  </si>
  <si>
    <t>Lower</t>
  </si>
  <si>
    <t>Upper</t>
  </si>
  <si>
    <t>Heat generation capacity for one unit (MW)</t>
  </si>
  <si>
    <t>Total efficiency, net (%), name plate</t>
  </si>
  <si>
    <t>Total efficiency , net (%), annual average</t>
  </si>
  <si>
    <t>Electricity consumption for pumps etc. (% of heat gen)</t>
  </si>
  <si>
    <t>0.5</t>
  </si>
  <si>
    <t>0.1</t>
  </si>
  <si>
    <t>Forced outage (%)</t>
  </si>
  <si>
    <t>Planned outage (weeks per year)</t>
  </si>
  <si>
    <t>0.2</t>
  </si>
  <si>
    <t>Regulation ability</t>
  </si>
  <si>
    <t>Primary regulation (% per 30 seconds)</t>
  </si>
  <si>
    <t>Secondary regulation (% per minute)</t>
  </si>
  <si>
    <t>Minimum load (% of full load)</t>
  </si>
  <si>
    <t>Warm start-up time (hours)</t>
  </si>
  <si>
    <t>0.008</t>
  </si>
  <si>
    <t>Cold start-up time (hours)</t>
  </si>
  <si>
    <t>0.08</t>
  </si>
  <si>
    <r>
      <t>SO</t>
    </r>
    <r>
      <rPr>
        <vertAlign val="subscript"/>
        <sz val="9"/>
        <rFont val="Arial"/>
        <family val="2"/>
      </rPr>
      <t>2</t>
    </r>
    <r>
      <rPr>
        <sz val="9"/>
        <rFont val="Arial"/>
        <family val="2"/>
      </rPr>
      <t xml:space="preserve"> (g per GJ fuel) </t>
    </r>
  </si>
  <si>
    <t>Cf. the utilized electricity</t>
  </si>
  <si>
    <r>
      <t>NO</t>
    </r>
    <r>
      <rPr>
        <vertAlign val="subscript"/>
        <sz val="9"/>
        <rFont val="Arial"/>
        <family val="2"/>
      </rPr>
      <t>X</t>
    </r>
    <r>
      <rPr>
        <sz val="9"/>
        <rFont val="Arial"/>
        <family val="2"/>
      </rPr>
      <t xml:space="preserve"> (g per GJ fuel) </t>
    </r>
  </si>
  <si>
    <r>
      <t>CH</t>
    </r>
    <r>
      <rPr>
        <vertAlign val="subscript"/>
        <sz val="9"/>
        <rFont val="Arial"/>
        <family val="2"/>
      </rPr>
      <t>4</t>
    </r>
    <r>
      <rPr>
        <sz val="9"/>
        <rFont val="Arial"/>
        <family val="2"/>
      </rPr>
      <t xml:space="preserve"> (g per GJ fuel) </t>
    </r>
  </si>
  <si>
    <r>
      <t>N</t>
    </r>
    <r>
      <rPr>
        <vertAlign val="subscript"/>
        <sz val="9"/>
        <rFont val="Arial"/>
        <family val="2"/>
      </rPr>
      <t>2</t>
    </r>
    <r>
      <rPr>
        <sz val="9"/>
        <rFont val="Arial"/>
        <family val="2"/>
      </rPr>
      <t xml:space="preserve">O (g per GJ fuel) </t>
    </r>
  </si>
  <si>
    <r>
      <t>Particles</t>
    </r>
    <r>
      <rPr>
        <sz val="9"/>
        <rFont val="Arial"/>
        <family val="2"/>
      </rPr>
      <t xml:space="preserve"> (g per GJ fuel)</t>
    </r>
  </si>
  <si>
    <t xml:space="preserve">Financial data                                 </t>
  </si>
  <si>
    <t>Nominal investment (M€ per MW), 400/690 V; 1-5 MW</t>
  </si>
  <si>
    <t xml:space="preserve"> - of which equipment</t>
  </si>
  <si>
    <t xml:space="preserve"> - of which installation</t>
  </si>
  <si>
    <t>Nominal investment (M€ per MW); 10/15 kV; &gt;10 MW</t>
  </si>
  <si>
    <t>Variable O&amp;M (€/MWh)</t>
  </si>
  <si>
    <r>
      <t>- of which is electricity costs (€/MWh</t>
    </r>
    <r>
      <rPr>
        <sz val="9"/>
        <rFont val="Arial"/>
        <family val="2"/>
      </rPr>
      <t>)</t>
    </r>
  </si>
  <si>
    <r>
      <t>- of which is other O&amp;M costs (€/MWh</t>
    </r>
    <r>
      <rPr>
        <sz val="9"/>
        <rFont val="Arial"/>
        <family val="2"/>
      </rPr>
      <t>)</t>
    </r>
  </si>
  <si>
    <t>Technology specific data</t>
  </si>
  <si>
    <t>Startup costs (€/MW/startup)</t>
  </si>
  <si>
    <t>Mikkel Bosack Simonsen</t>
  </si>
  <si>
    <t>Changede values for electric boilers, made similar to 1 MW boilers in the ELC sector</t>
  </si>
  <si>
    <t>IND_Machinery</t>
  </si>
  <si>
    <t>Renamed Metal industry to Machinery industry</t>
  </si>
  <si>
    <t>CURR</t>
  </si>
  <si>
    <t>R</t>
  </si>
  <si>
    <t>S</t>
  </si>
  <si>
    <t>W</t>
  </si>
  <si>
    <t>avaialable in</t>
  </si>
  <si>
    <t>Oil boiler</t>
  </si>
  <si>
    <t>oil boiler new 1</t>
  </si>
  <si>
    <t>Steam boiler, Oil</t>
  </si>
  <si>
    <t>Full application potential</t>
  </si>
  <si>
    <t>"x,n" indicate which end-use,
 n ref. to note"</t>
  </si>
  <si>
    <t>1.Food, beverages and tobacco</t>
  </si>
  <si>
    <t>2.Commodity production</t>
  </si>
  <si>
    <t>3.Cement and non-metallic mineral (+Extraction of gravel and stone)</t>
  </si>
  <si>
    <t>4.Chemical industry</t>
  </si>
  <si>
    <t>5.Metals, machinery and electronics</t>
  </si>
  <si>
    <t>Current application potential</t>
  </si>
  <si>
    <t>Uncertainty (2030)</t>
  </si>
  <si>
    <t>Energy services</t>
  </si>
  <si>
    <t>End-use</t>
  </si>
  <si>
    <r>
      <t xml:space="preserve">Heat generation capacity for one unit </t>
    </r>
    <r>
      <rPr>
        <sz val="10"/>
        <color rgb="FFFF0000"/>
        <rFont val="Arial"/>
        <family val="2"/>
      </rPr>
      <t>(MW)</t>
    </r>
    <r>
      <rPr>
        <sz val="10"/>
        <rFont val="Arial"/>
        <family val="2"/>
      </rPr>
      <t xml:space="preserve"> </t>
    </r>
    <r>
      <rPr>
        <sz val="10"/>
        <color rgb="FFFF0000"/>
        <rFont val="Arial"/>
        <family val="2"/>
      </rPr>
      <t>multiply by 1000 to get kW</t>
    </r>
    <r>
      <rPr>
        <sz val="10"/>
        <rFont val="Arial"/>
        <family val="2"/>
      </rPr>
      <t xml:space="preserve"> [kW]</t>
    </r>
  </si>
  <si>
    <t>3, 10</t>
  </si>
  <si>
    <t>Direct
%</t>
  </si>
  <si>
    <t>Indirect
%</t>
  </si>
  <si>
    <t>Total efficiency, net (%), nominel load</t>
  </si>
  <si>
    <t xml:space="preserve">5,6,7,8 </t>
  </si>
  <si>
    <t>High temperature</t>
  </si>
  <si>
    <t>6. Firing /Sintering</t>
  </si>
  <si>
    <t>Total efficiency, net (%), annual average</t>
  </si>
  <si>
    <t>7. Melting /Casting</t>
  </si>
  <si>
    <t>Auxiliary electricity consumption (% of heat gen)</t>
  </si>
  <si>
    <t>9. Other processes &gt;150C</t>
  </si>
  <si>
    <t>Medium temperature</t>
  </si>
  <si>
    <t>2. Heating/Boiling</t>
  </si>
  <si>
    <t>x</t>
  </si>
  <si>
    <t>3. Drying</t>
  </si>
  <si>
    <t>3,5,8</t>
  </si>
  <si>
    <t>4. Dewatering</t>
  </si>
  <si>
    <t>5. Distillation</t>
  </si>
  <si>
    <t>Regulation Ability</t>
  </si>
  <si>
    <r>
      <t>8.</t>
    </r>
    <r>
      <rPr>
        <sz val="9"/>
        <rFont val="Arial"/>
        <family val="2"/>
      </rPr>
      <t>Other processes &lt;150⁰C,</t>
    </r>
  </si>
  <si>
    <t>Room heat</t>
  </si>
  <si>
    <t>12. spatial heating</t>
  </si>
  <si>
    <r>
      <t>SO</t>
    </r>
    <r>
      <rPr>
        <vertAlign val="subscript"/>
        <sz val="10"/>
        <rFont val="Arial"/>
        <family val="2"/>
      </rPr>
      <t>2</t>
    </r>
    <r>
      <rPr>
        <sz val="10"/>
        <rFont val="Arial"/>
        <family val="2"/>
      </rPr>
      <t xml:space="preserve"> (g per GJ fuel) </t>
    </r>
  </si>
  <si>
    <t>3, 9</t>
  </si>
  <si>
    <t xml:space="preserve">PM2.5 (g per GJ fuel) </t>
  </si>
  <si>
    <r>
      <t>NO</t>
    </r>
    <r>
      <rPr>
        <vertAlign val="subscript"/>
        <sz val="10"/>
        <rFont val="Arial"/>
        <family val="2"/>
      </rPr>
      <t>X</t>
    </r>
    <r>
      <rPr>
        <sz val="10"/>
        <rFont val="Arial"/>
        <family val="2"/>
      </rPr>
      <t xml:space="preserve"> (g per GJ fuel) </t>
    </r>
  </si>
  <si>
    <r>
      <rPr>
        <b/>
        <sz val="10"/>
        <color theme="5"/>
        <rFont val="Arial"/>
        <family val="2"/>
      </rPr>
      <t>Nominal</t>
    </r>
    <r>
      <rPr>
        <sz val="10"/>
        <rFont val="Arial"/>
        <family val="2"/>
      </rPr>
      <t xml:space="preserve"> investment </t>
    </r>
    <r>
      <rPr>
        <sz val="10"/>
        <color rgb="FFFF0000"/>
        <rFont val="Arial"/>
        <family val="2"/>
      </rPr>
      <t>(M€ per MW) is the same as k EUR/kW</t>
    </r>
    <r>
      <rPr>
        <sz val="10"/>
        <rFont val="Arial"/>
        <family val="2"/>
      </rPr>
      <t xml:space="preserve"> [1000 EUR/kW]</t>
    </r>
  </si>
  <si>
    <t>F,G,H</t>
  </si>
  <si>
    <t>3,10</t>
  </si>
  <si>
    <t xml:space="preserve"> - of which equipment  (%)</t>
  </si>
  <si>
    <t xml:space="preserve"> - of which installation  (%)</t>
  </si>
  <si>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r>
      <rPr>
        <sz val="10"/>
        <rFont val="Arial"/>
        <family val="2"/>
      </rPr>
      <t xml:space="preserve">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</si>
  <si>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r>
      <rPr>
        <sz val="10"/>
        <rFont val="Arial"/>
        <family val="2"/>
      </rPr>
      <t xml:space="preserve"> [EUR/GJ]</t>
    </r>
  </si>
  <si>
    <t xml:space="preserve"> - of which is electricity costs (€/MWh)</t>
  </si>
  <si>
    <t xml:space="preserve"> - of which is other O&amp;M costs (€/MWh)</t>
  </si>
  <si>
    <t>Specific investment</t>
  </si>
  <si>
    <t>Fix OM</t>
  </si>
  <si>
    <t>Indirect investments cost (M€ per MW)</t>
  </si>
  <si>
    <t>Non energy gains (M€ per MW)</t>
  </si>
  <si>
    <t>Startup cost (€/MW/startup)</t>
  </si>
  <si>
    <t xml:space="preserve">Carbon capture removal of CO2 emissions (% of emission) </t>
  </si>
  <si>
    <t>Temperature heat source supply (°C)</t>
  </si>
  <si>
    <t>Temperature heat source return (°C)</t>
  </si>
  <si>
    <t>Cooling generation capacity for one unit (MW)</t>
  </si>
  <si>
    <r>
      <t>Specific investment in</t>
    </r>
    <r>
      <rPr>
        <b/>
        <sz val="11"/>
        <color indexed="8"/>
        <rFont val="Calibri"/>
        <family val="2"/>
      </rPr>
      <t xml:space="preserve"> dkr/kW </t>
    </r>
    <r>
      <rPr>
        <sz val="11"/>
        <color theme="1"/>
        <rFont val="Calibri"/>
        <family val="2"/>
        <scheme val="minor"/>
      </rPr>
      <t xml:space="preserve">
C50*$G$4*1000
specific/nominal? investment cost *  currency conversion *1000</t>
    </r>
  </si>
  <si>
    <r>
      <t xml:space="preserve"> Specific investment in </t>
    </r>
    <r>
      <rPr>
        <b/>
        <sz val="11"/>
        <color theme="0" tint="-0.249977111117893"/>
        <rFont val="Calibri"/>
        <family val="2"/>
      </rPr>
      <t>dkr/unit</t>
    </r>
  </si>
  <si>
    <r>
      <t xml:space="preserve">FIX O&amp;M </t>
    </r>
    <r>
      <rPr>
        <b/>
        <sz val="11"/>
        <color indexed="8"/>
        <rFont val="Calibri"/>
        <family val="2"/>
      </rPr>
      <t>dkr/kW/year</t>
    </r>
    <r>
      <rPr>
        <sz val="11"/>
        <color theme="1"/>
        <rFont val="Calibri"/>
        <family val="2"/>
        <scheme val="minor"/>
      </rPr>
      <t xml:space="preserve">
C55*$G$4
fixed OM * currency conversion</t>
    </r>
  </si>
  <si>
    <r>
      <t xml:space="preserve">Variable O&amp;M in </t>
    </r>
    <r>
      <rPr>
        <b/>
        <sz val="11"/>
        <color indexed="8"/>
        <rFont val="Calibri"/>
        <family val="2"/>
      </rPr>
      <t xml:space="preserve">dkr/GJ
</t>
    </r>
    <r>
      <rPr>
        <sz val="11"/>
        <color rgb="FF000000"/>
        <rFont val="Calibri"/>
        <family val="2"/>
      </rPr>
      <t>C56*$G$4</t>
    </r>
    <r>
      <rPr>
        <sz val="11"/>
        <color theme="1"/>
        <rFont val="Calibri"/>
        <family val="2"/>
        <scheme val="minor"/>
      </rPr>
      <t xml:space="preserve">
Variable OM * currency conversion </t>
    </r>
  </si>
  <si>
    <t>References</t>
  </si>
  <si>
    <t>Vigants, G., Galindoms, G., Veidenbergs, I., Vigants, E., &amp; Blumberga, D. (2015). Efficiency diagram for district heating system with gas condensing unit. Energy Procedia, 72, 119–126.</t>
  </si>
  <si>
    <t>Danish Energy Agency, Heating installations, 2016 (updated 2018).</t>
  </si>
  <si>
    <t xml:space="preserve">Danish Energy Agency, Energy Plants for Electricity and District heating generation, 2016 (updated 2019) </t>
  </si>
  <si>
    <t>Applied Technologies of New York, Steam vs hot water boiler, 2016.</t>
  </si>
  <si>
    <t>ETSAP, Industrial Combustion Boilers, IEA ETSAP 2010.</t>
  </si>
  <si>
    <t>Chen, Q., Finney, K., Li, H., Zhang, X., Zhou, J., Sharifi, V., &amp; Swithenbank, J. (2012). Condensing boiler applications in the process industry. Applied Energy, 89(1), 30–36.</t>
  </si>
  <si>
    <t>EnergyVortex, ENERGY EFFICIENCY &amp; INDUSTRIAL BOILER EFFICIENCY, 2010</t>
  </si>
  <si>
    <t>Danish Energy Agency, Forudsætninger for samfundsøkonomiske analyser på energiområdet, 2016</t>
  </si>
  <si>
    <t>Tjærborg Industri, Olie og gas kedler, 2019</t>
  </si>
  <si>
    <t>Notes</t>
  </si>
  <si>
    <t>Ranges from 0,5 to 50. Typical value of 20 MW</t>
  </si>
  <si>
    <t>1 %-point higher for hot water boiler, due to assumed lower flue gas temperature</t>
  </si>
  <si>
    <t xml:space="preserve">Will be reduced if carbon capture in installed </t>
  </si>
  <si>
    <t>20 %-point lower for hot water boiler</t>
  </si>
  <si>
    <t>The cost of auxiliary electricity consumption is calculated using the following electricity prices in €/MWh: 2020: 73, 2030: 75, 2040: 76, 2050: 76. Includes transport tarif</t>
  </si>
  <si>
    <t>Not relevant to this technology</t>
  </si>
  <si>
    <t>oil boiler new 2</t>
  </si>
  <si>
    <t>Hot water boiler, Oil</t>
  </si>
  <si>
    <r>
      <rPr>
        <sz val="10"/>
        <color rgb="FFFF0000"/>
        <rFont val="Arial"/>
        <family val="2"/>
      </rPr>
      <t>Nominal</t>
    </r>
    <r>
      <rPr>
        <sz val="10"/>
        <rFont val="Arial"/>
        <family val="2"/>
      </rPr>
      <t xml:space="preserve"> investment </t>
    </r>
    <r>
      <rPr>
        <sz val="10"/>
        <color rgb="FFFF0000"/>
        <rFont val="Arial"/>
        <family val="2"/>
      </rPr>
      <t>(M€ per MW) is the same as k EUR/kW</t>
    </r>
  </si>
  <si>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</si>
  <si>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</si>
  <si>
    <t>gas boiler new 1</t>
  </si>
  <si>
    <t>Steam boiler, Natural gas or biogas</t>
  </si>
  <si>
    <t>is nominal the same as specific investment costs?</t>
  </si>
  <si>
    <t>='Natural gas boiler_New'!'Natural gas boiler_New'!P1</t>
  </si>
  <si>
    <t>gas boiler new 2</t>
  </si>
  <si>
    <t>Steam boiler, Natural gas or biogas (Condensing)</t>
  </si>
  <si>
    <t>5,6,7,8,10</t>
  </si>
  <si>
    <t>gas boiler new 3</t>
  </si>
  <si>
    <t>Hot water boiler, Natural gas or biogas</t>
  </si>
  <si>
    <t>Relevant for hot water boiler, going from current potential to full potential</t>
  </si>
  <si>
    <t>gas boiler new 4</t>
  </si>
  <si>
    <t>Hot water boiler, Natural gas or biogas (Condensing)</t>
  </si>
  <si>
    <t>gas boiler new 5</t>
  </si>
  <si>
    <t>Direct Firing, Natural Gas</t>
  </si>
  <si>
    <t>8, 9</t>
  </si>
  <si>
    <t>4, 7</t>
  </si>
  <si>
    <t>2, 1</t>
  </si>
  <si>
    <t>update</t>
  </si>
  <si>
    <t>Danish Energy Agency, Technology Data Generation of Electricity and District Heating, August 2016 - Updated November 2019</t>
  </si>
  <si>
    <t>Viegand Maagøe, Direct Firing, 2018</t>
  </si>
  <si>
    <t>Milton Megatherm, Correspondance 2019</t>
  </si>
  <si>
    <t>IOGP, The potential for CCS and CCU in Europe, REPORT TO THE THIRTY SECOND MEETING OF THE EUROPEAN GAS REGULATORY FORUM 5-6 JUNE 2019</t>
  </si>
  <si>
    <t>Eclipse, Vortometric Burner Series Datasheet 128-3, 20/2/2015</t>
  </si>
  <si>
    <t>Viegand Maagøe assessment, 2019</t>
  </si>
  <si>
    <t>Eclipse, Eclipse AirHeat Burners Datasheet 115-11, 30/9/2010</t>
  </si>
  <si>
    <t>Eclipse, Eclipse RatioAir Burners Datasheet 135, 21/10/2010</t>
  </si>
  <si>
    <t xml:space="preserve"> The efficiency of the burner is set equal to the lower heating value, the process will determine how well the flue gas is utilised, and thus the final efficiency.</t>
  </si>
  <si>
    <t xml:space="preserve"> Unit price is based on Miton Megatherms 2.5 MW burner, installed price assessed by Viegand Maagøe.  The assessment is an experience based guess as no concrete data was retrieved.</t>
  </si>
  <si>
    <t xml:space="preserve"> Assumed to be equal to 10% of the boiler O&amp;M from [1].</t>
  </si>
  <si>
    <t xml:space="preserve"> The cost of auxiliary electricity consumption is calculated using the following electricity prices in €/MWh: 2020: 73, 2030: 75, 2040: 76, 2050: 76. Includes transport tarif</t>
  </si>
  <si>
    <t xml:space="preserve"> The indirect costs will be too strong a function of the process to put into a single value across all industries.</t>
  </si>
  <si>
    <t>Direct firing. Electricity</t>
  </si>
  <si>
    <t>diret firing new 1</t>
  </si>
  <si>
    <t>Direct Firing, Electricity</t>
  </si>
  <si>
    <t>6, 7</t>
  </si>
  <si>
    <t>SAN Electro Heat A/S , Correspondance 2019</t>
  </si>
  <si>
    <t xml:space="preserve"> Transformer electricity losses are not included, and the efficiency will thus be 100%.</t>
  </si>
  <si>
    <t xml:space="preserve"> Auxilliary consumption based on gas burner as the fan power is comparable. Any pretreatment (grinding, etc.) of the fuel is not included.</t>
  </si>
  <si>
    <t xml:space="preserve"> The regulation is dependant on the flow conditions and the subsequent surface temperature, the chosen value is an average.</t>
  </si>
  <si>
    <t xml:space="preserve"> Unit price from San Electro Heat, installed price assessed by Viegand Maagøe. The assessment is an experience based guess as no concrete data was retrieved.</t>
  </si>
  <si>
    <t xml:space="preserve"> Units are composed of multiple heating elements, each unit is installed with backup elements that can be enabled if some of the elements fail, resulting in minimal downtime and O&amp;M during the lifetime of the equipment.</t>
  </si>
  <si>
    <t>Heat pump, up to 60 °C, Temp lift = 40 K</t>
  </si>
  <si>
    <t>1, 3</t>
  </si>
  <si>
    <t>B,C</t>
  </si>
  <si>
    <t xml:space="preserve"> - of which equipment (%)</t>
  </si>
  <si>
    <t xml:space="preserve"> - of which installation (%)</t>
  </si>
  <si>
    <t>Fixed O&amp;M (€/MJ/s/year)</t>
  </si>
  <si>
    <t/>
  </si>
  <si>
    <t xml:space="preserve">SO2 (g per GJ fuel) </t>
  </si>
  <si>
    <t xml:space="preserve">NOX (g per GJ fuel) </t>
  </si>
  <si>
    <r>
      <t xml:space="preserve">FIX O&amp;M </t>
    </r>
    <r>
      <rPr>
        <b/>
        <sz val="11"/>
        <color indexed="8"/>
        <rFont val="Calibri"/>
        <family val="2"/>
      </rPr>
      <t>dkr/kW/year</t>
    </r>
    <r>
      <rPr>
        <sz val="11"/>
        <color theme="1"/>
        <rFont val="Calibri"/>
        <family val="2"/>
        <scheme val="minor"/>
      </rPr>
      <t xml:space="preserve">
C55*$G$4/1000
fixed OM * currency conversion</t>
    </r>
  </si>
  <si>
    <r>
      <t xml:space="preserve">Variable O&amp;M in </t>
    </r>
    <r>
      <rPr>
        <b/>
        <sz val="11"/>
        <color indexed="8"/>
        <rFont val="Calibri"/>
        <family val="2"/>
      </rPr>
      <t xml:space="preserve">dkr/GJ
</t>
    </r>
    <r>
      <rPr>
        <sz val="11"/>
        <color rgb="FF000000"/>
        <rFont val="Calibri"/>
        <family val="2"/>
      </rPr>
      <t>C56*$G$4/3,6</t>
    </r>
    <r>
      <rPr>
        <sz val="11"/>
        <color theme="1"/>
        <rFont val="Calibri"/>
        <family val="2"/>
        <scheme val="minor"/>
      </rPr>
      <t xml:space="preserve">
Variable OM * currency conversion </t>
    </r>
  </si>
  <si>
    <t>Viegand Maagøe, 2019.</t>
  </si>
  <si>
    <t>Technological data for energy plants (Compressions Heat Pumps for DH), Energistyrelsen, 2017</t>
  </si>
  <si>
    <t xml:space="preserve"> EHPA, Large Scale heat pumps in Europe, 2019</t>
  </si>
  <si>
    <t>Danish Enegy Agency, Technology Data - Energy Plants for Electricity and District heating generation, 2016</t>
  </si>
  <si>
    <t>http://www.planenergi.dk/varmepumper/. Drejebog til store varmepumpeprojekter i fjernvarmesystemet, 2014. [Online]</t>
  </si>
  <si>
    <t>Danish Energy Agency, Inspirationskatalog for store varmepumper, 2017</t>
  </si>
  <si>
    <t>0,5-5 MW</t>
  </si>
  <si>
    <t>Estimated based on cases presented in [3]</t>
  </si>
  <si>
    <t>Based on lost produktion during startup/shutdown</t>
  </si>
  <si>
    <t xml:space="preserve">May vary depending on heat source availability </t>
  </si>
  <si>
    <r>
      <t xml:space="preserve">Very individual, can vary </t>
    </r>
    <r>
      <rPr>
        <sz val="9"/>
        <rFont val="Calibri"/>
        <family val="2"/>
      </rPr>
      <t>÷</t>
    </r>
    <r>
      <rPr>
        <sz val="9"/>
        <rFont val="Arial"/>
        <family val="2"/>
      </rPr>
      <t xml:space="preserve"> 20 %</t>
    </r>
  </si>
  <si>
    <t>Very individual, can vary + 20 %</t>
  </si>
  <si>
    <t>Going from current implementation to potential</t>
  </si>
  <si>
    <t>Uses waste heat</t>
  </si>
  <si>
    <t>Heat pump 60C new 1</t>
  </si>
  <si>
    <t>Heat pump, up to 70 °C, Temp lift = 50 K</t>
  </si>
  <si>
    <t>8.Other processes &lt;150⁰C,</t>
  </si>
  <si>
    <t>Heat pump 70C new 1</t>
  </si>
  <si>
    <t>Heat pump, up to 80 °C, Temp lift = 60 K</t>
  </si>
  <si>
    <t>Heat pump 80C new 1</t>
  </si>
  <si>
    <t xml:space="preserve"> Mechanical vapor recompression</t>
  </si>
  <si>
    <t>Medium 
temperature</t>
  </si>
  <si>
    <t>Mechanical Vapor Recompression new 1</t>
  </si>
  <si>
    <t>1-30 MW</t>
  </si>
  <si>
    <t xml:space="preserve">A single unit is roughly limited to 6 MW, due to size, but the units are often connected to one unit at the site. Giving the possibility for larger capacities. </t>
  </si>
  <si>
    <t>Based on lost production during startup/shutdown</t>
  </si>
  <si>
    <t>Only relevant if heat source are process cooling</t>
  </si>
  <si>
    <t>Heat driven heat pumps, up to 80 °C</t>
  </si>
  <si>
    <t>Cf. the utilized heat</t>
  </si>
  <si>
    <t>Viegand Maagøe, MVR, 2018</t>
  </si>
  <si>
    <t>Technological data for energi plants (Compressions Heat Pumps for DH), Energistyrelsen, 2017</t>
  </si>
  <si>
    <t>Viegand Maagøe, 2019</t>
  </si>
  <si>
    <t>EPCON, EVAPORATION TECHNOLOGY, 2019</t>
  </si>
  <si>
    <t>EPCON investment cost offer, 2017.</t>
  </si>
  <si>
    <t>5-50 MW</t>
  </si>
  <si>
    <t>Assumed temperature lift of 5 K (saturation temperatur)</t>
  </si>
  <si>
    <t>Not relevant</t>
  </si>
  <si>
    <t>Heat driven heat pump 80C new 1</t>
  </si>
  <si>
    <t>Booster heat pump, up to 150 °C, Temp lift = 130 K, steam</t>
  </si>
  <si>
    <t>M</t>
  </si>
  <si>
    <t>N</t>
  </si>
  <si>
    <t>https://www.sciencedirect.com/topics/engineering/partial-load</t>
  </si>
  <si>
    <t>Van der Spek, et. Al., Challenges and uncertainties of ex ante techno-economic analysis of low
TRL CO2 capture technology: Lessons from a case study of an NGCC with
exhaust gas recycle and electric swing adsorption, 2017</t>
  </si>
  <si>
    <t>1-15 MW</t>
  </si>
  <si>
    <t>Utilising waste heat above 30 °C will increase COP. Waste heat up to 75 °C can be utilised</t>
  </si>
  <si>
    <t xml:space="preserve">Calculated from manufacturer software and manufacturer offer. </t>
  </si>
  <si>
    <t>Assumed similar to electrical compression heat pump and mechanical vapor recompression technologies</t>
  </si>
  <si>
    <t>Assumed similar to high temperature heat pump technologies</t>
  </si>
  <si>
    <r>
      <t xml:space="preserve">Very individual, can vary </t>
    </r>
    <r>
      <rPr>
        <sz val="9"/>
        <rFont val="Calibri"/>
        <family val="2"/>
      </rPr>
      <t>÷</t>
    </r>
    <r>
      <rPr>
        <sz val="9"/>
        <rFont val="Arial"/>
        <family val="2"/>
      </rPr>
      <t xml:space="preserve"> 10 %</t>
    </r>
  </si>
  <si>
    <t>Very individual, can vary + 10 %</t>
  </si>
  <si>
    <t>Assumed 10 % higher than electrical compression heat pump. The turbo compressors have low O&amp;M</t>
  </si>
  <si>
    <t>Going from simple implementation to potential</t>
  </si>
  <si>
    <t>Booster heat pump 150C new 1</t>
  </si>
  <si>
    <t>High temperature heat pumps, up to 125 °C</t>
  </si>
  <si>
    <t>1, 3, 4</t>
  </si>
  <si>
    <t>http://www.planenergi.dk/varmepumper/.</t>
  </si>
  <si>
    <t>Teknologisk instutut, Hybridvarmepumpe til fjernvarme, 2018</t>
  </si>
  <si>
    <t>Energiforskning, Højtemperatur varmepumper kan bruge lavtemperatur spildvarme, 2013</t>
  </si>
  <si>
    <r>
      <t xml:space="preserve">Jensen, J., Elmegaard, B., and Markussen, W. </t>
    </r>
    <r>
      <rPr>
        <i/>
        <sz val="9"/>
        <color theme="1"/>
        <rFont val="Arial"/>
        <family val="2"/>
      </rPr>
      <t xml:space="preserve">Industrial heat pumps for high temperature process applications.: A numerical study of the ammonia-water hybrid absorption-compression heat pump. </t>
    </r>
    <r>
      <rPr>
        <sz val="9"/>
        <color theme="1"/>
        <rFont val="Arial"/>
        <family val="2"/>
      </rPr>
      <t>PhD thesis. ,2016</t>
    </r>
  </si>
  <si>
    <t>Calculated from start-up loss</t>
  </si>
  <si>
    <t>Slightly higher than large heat pumps [11]</t>
  </si>
  <si>
    <t xml:space="preserve">Theoretically as low as 10 %. For screw as low as 25 %, lower than that will affect the performance drastically. </t>
  </si>
  <si>
    <t>High temperature abs. heat pump new 1</t>
  </si>
  <si>
    <t>Nominal investment (M€ per MW) is the same as k EUR/kW [1000 EUR/kW]</t>
  </si>
  <si>
    <t>Specific investment in dkr/kW 
C50*$G$4*1000
specific/nominal? investment cost *  currency conversion *1000</t>
  </si>
  <si>
    <t xml:space="preserve"> Specific investment in dkr/unit</t>
  </si>
  <si>
    <t>FIX O&amp;M dkr/kW/year
C55*$G$4/1000
fixed OM * currency conversion</t>
  </si>
  <si>
    <t xml:space="preserve">Variable O&amp;M in dkr/GJ
C56*$G$4/3,6
Variable OM * currency conversion </t>
  </si>
  <si>
    <t>High temperature heat pumps, up to 150 °C</t>
  </si>
  <si>
    <t>High temperature abs. heat pump new 2</t>
  </si>
  <si>
    <t>Corrected to technology readiness level (Not commercially avaiable at the moment)</t>
  </si>
  <si>
    <t>Catalogue has two absorption heat pumps that are aggregated into one technology!</t>
  </si>
  <si>
    <t>NB: average efficiency and investment cost of the two available temperature intervals</t>
  </si>
  <si>
    <t>Hotdisc</t>
  </si>
  <si>
    <t>4,5</t>
  </si>
  <si>
    <t>Dielectric heating</t>
  </si>
  <si>
    <t>6,7,8</t>
  </si>
  <si>
    <t>H,I</t>
  </si>
  <si>
    <t>Thermex Thermatron, https://thermex-thermatron.com/industrial-microwave-generators/, 2019</t>
  </si>
  <si>
    <t>Technological Institute, https://www.dti.dk/industrial-microwave-processing/</t>
  </si>
  <si>
    <t>Cellencor, https://www.cellencor.com, 2019</t>
  </si>
  <si>
    <t>Bi.Elle, http://www.microwaves.it/ing/company.htm, 2019</t>
  </si>
  <si>
    <t>A.M. Hasna, Microwave Processing Applications in Chemical Engineering: Cost Analysis, 2011</t>
  </si>
  <si>
    <t>Tony Koral, Considerations for Commercial Success, 2013
in new RF and Microwave Industrial
Heating Applications</t>
  </si>
  <si>
    <t>Bi.Elle, Personal communication, 2019</t>
  </si>
  <si>
    <t>Beyond Zero Emissions Inc, Zero Carbon Industry Plan
Electrifying Industry, 2018</t>
  </si>
  <si>
    <t>0,01-0,2 MW</t>
  </si>
  <si>
    <t>Cooling system account for a small loss</t>
  </si>
  <si>
    <t>The capacity is often specifically regulated to product flow</t>
  </si>
  <si>
    <t>Can vary quite significantly, as different applications requires different additional subsystems.</t>
  </si>
  <si>
    <t xml:space="preserve">The magnatron (microwave generator) has a lifetime of around 10.000 hours of operation. Replacement of magnatron are included here. </t>
  </si>
  <si>
    <t xml:space="preserve">Infrared will have non energy gains, but it has not been possible to estimate. </t>
  </si>
  <si>
    <t xml:space="preserve">Treatment times are up to 20 times faster than traditional systems. </t>
  </si>
  <si>
    <t>FLSmidth, Personal communication, 2019</t>
  </si>
  <si>
    <t>European Commision, The potential for CCS and CCU in Europe, 2019</t>
  </si>
  <si>
    <t>Sampo Kour, et Al., The potential for CCUS in selected industrial sectors – summary ofconcept evaluations in Finland, 2017</t>
  </si>
  <si>
    <t>10-100 MW</t>
  </si>
  <si>
    <t>36-72 hours</t>
  </si>
  <si>
    <t>Assumed equal to waste used in incineration power plant</t>
  </si>
  <si>
    <t>Includes retrofit to existing system</t>
  </si>
  <si>
    <t xml:space="preserve">If a rebuillt of the system is necessary, this cost need to be included. E.g. if a cement oven is a separate line and not inline system. </t>
  </si>
  <si>
    <t>Typically engineered to remove 80-90 %, above 95 % is possible</t>
  </si>
  <si>
    <t>The fuel is waste and the waste needs minimum pre-handling. Large pieces of waste can be fired directly in the Hotdisc. Cost of waste will be lower than at an inceration plant</t>
  </si>
  <si>
    <t>Infrared heating</t>
  </si>
  <si>
    <t>I,J</t>
  </si>
  <si>
    <t>Netek IR System A/S, Personal communication, 2019</t>
  </si>
  <si>
    <t>IG Infrared, https://www.ig-infrared.com, 2019</t>
  </si>
  <si>
    <r>
      <rPr>
        <i/>
        <sz val="10"/>
        <color rgb="FF222222"/>
        <rFont val="Calibri"/>
        <family val="2"/>
        <scheme val="minor"/>
      </rPr>
      <t>American Society of. Heating, Refrigerating and Air-Conditioning Engineers, ASHRAE Handbook – Heating, Ventilating, and Air-Conditioning Systems and Equipment (I-P Edition)</t>
    </r>
    <r>
      <rPr>
        <sz val="10"/>
        <color rgb="FF222222"/>
        <rFont val="Calibri"/>
        <family val="2"/>
        <scheme val="minor"/>
      </rPr>
      <t>, 2008</t>
    </r>
  </si>
  <si>
    <t>The electricity to heat efficiency is 100 %, but not all of the electricity is converted to radiant energy [5]</t>
  </si>
  <si>
    <t xml:space="preserve">A part of the electricity is conveted to convective heat, and some of it is lost to surrounding. </t>
  </si>
  <si>
    <t xml:space="preserve">A system often consist of mulitiple emitters, giving the possiblity in turn emitters off individually. </t>
  </si>
  <si>
    <t xml:space="preserve">The emitters have a lifetime of 10.000 to 15.000 hours of operation. Replacement of emitters are included here. </t>
  </si>
  <si>
    <t xml:space="preserve">Heating time is 7 to 40 times faster than convective ovens. Uptake much less space which enable possible expansion. </t>
  </si>
  <si>
    <t>Electric boiler, 10 kV, steam</t>
  </si>
  <si>
    <t>1,2</t>
  </si>
  <si>
    <t>AS:scan, Personal communication, 2019</t>
  </si>
  <si>
    <t>Tjæreborg Industri, Personal communication, 2019</t>
  </si>
  <si>
    <t>10-60 MW</t>
  </si>
  <si>
    <t>Electrode boilers at medium-high voltage are directly connected to the distribution grid. Costs for the distribution board are included
in the equipment costs.</t>
  </si>
  <si>
    <t>Investment cos is slightly higher than for a hot water boiler.</t>
  </si>
  <si>
    <t>Electric boiler new 1</t>
  </si>
  <si>
    <t>Infrared new 1</t>
  </si>
  <si>
    <t>Dielectric heating new 1</t>
  </si>
  <si>
    <t>Hotdisc new 1</t>
  </si>
  <si>
    <t>Electric boiler, 10 kV, hot water</t>
  </si>
  <si>
    <t>Electric boiler new 2</t>
  </si>
  <si>
    <t>Steam boiler, Wood Chips</t>
  </si>
  <si>
    <t>F,G,H,I</t>
  </si>
  <si>
    <t xml:space="preserve">Plants for district heating is around 6 MW, and CHP ranging up to 200-300 MW. 20 MW is considered commom in industry </t>
  </si>
  <si>
    <t>Assumed slightly higher than gas boiler</t>
  </si>
  <si>
    <t>Estimated based on gas boiler and wood CHP plant</t>
  </si>
  <si>
    <t xml:space="preserve">Viegand Maagøe A/S experience </t>
  </si>
  <si>
    <t xml:space="preserve">Future cost prediction is based on average cost development of other similar technologies. </t>
  </si>
  <si>
    <t>5 % higher for wood pellet</t>
  </si>
  <si>
    <t>Steam boiler, Wood chips (Condensing)</t>
  </si>
  <si>
    <t>L,M</t>
  </si>
  <si>
    <t>E,F,G,H</t>
  </si>
  <si>
    <t xml:space="preserve">Rambøll Danmark, internal evaluation based on either existing projects, supplier offers, or pre-project studies.  Used for estimation of the efficiency for technology "09a Wood Chips HOP" heat only boilers, woodchips 6W in the Technology Data - Energy Plants for Electricity and District heating generation, version  0007 January 2020 </t>
  </si>
  <si>
    <t xml:space="preserve">L. </t>
  </si>
  <si>
    <t xml:space="preserve">Assuming that the system is optimised at a inlet temperature of 40°C. </t>
  </si>
  <si>
    <t xml:space="preserve">M. </t>
  </si>
  <si>
    <t xml:space="preserve">The efficiency is for a plant using woodchips with a water content of 50% and wetting of the combusting air. If other types of wood- biomass is assumed the efficiency should be reduced accordingly. </t>
  </si>
  <si>
    <t>Biomass boiler new 3</t>
  </si>
  <si>
    <t>Hot water boiler, Wood Chips</t>
  </si>
  <si>
    <t>Hot water boiler, Wood chips (Condensing)</t>
  </si>
  <si>
    <t>E,F,G</t>
  </si>
  <si>
    <t>Biomass boiler new 1</t>
  </si>
  <si>
    <t>Biomass boiler new 2</t>
  </si>
  <si>
    <t>Biomass boiler new 4</t>
  </si>
  <si>
    <t>fuel?</t>
  </si>
  <si>
    <t>FLO_MARK</t>
  </si>
  <si>
    <t>Trad. Heat pump 80C</t>
  </si>
  <si>
    <t>Heat driven Heat pump 80C</t>
  </si>
  <si>
    <t>High Temp abs. Heat pump 150C</t>
  </si>
  <si>
    <t>Booster Heat pump 150C</t>
  </si>
  <si>
    <t>MVR</t>
  </si>
  <si>
    <t>Indirect</t>
  </si>
  <si>
    <t>Direct</t>
  </si>
  <si>
    <t>Infrared</t>
  </si>
  <si>
    <t>Electric boiler</t>
  </si>
  <si>
    <t>Biomass boiler</t>
  </si>
  <si>
    <t>Oil-fired boiler_NEW</t>
  </si>
  <si>
    <t>Natural gas boiler_NEW</t>
  </si>
  <si>
    <t>- Cement has to use waste as input</t>
  </si>
  <si>
    <t>- The added heat pumps use waste heat within industries themselves - how will this influence the district heating?</t>
  </si>
  <si>
    <t>- Should the heat pumps have another input than just INDELC or also industrial wasteheat?</t>
  </si>
  <si>
    <t>Direct electric heating</t>
  </si>
  <si>
    <t>Sheet names (for lookups)</t>
  </si>
  <si>
    <t>Sector name:</t>
  </si>
  <si>
    <t>Carbon Capture and Storage new 1</t>
  </si>
  <si>
    <t>Post-combustion carbon capture retrofit - 100 MW(th) WtE or biomass CHP plant</t>
  </si>
  <si>
    <t>Uncertainty (2025)</t>
  </si>
  <si>
    <r>
      <t>Typical total plant capacity (t CO2</t>
    </r>
    <r>
      <rPr>
        <vertAlign val="subscript"/>
        <sz val="8"/>
        <rFont val="Calibri"/>
        <family val="2"/>
        <scheme val="minor"/>
      </rPr>
      <t xml:space="preserve"> </t>
    </r>
    <r>
      <rPr>
        <sz val="8"/>
        <rFont val="Calibri"/>
        <family val="2"/>
        <scheme val="minor"/>
      </rPr>
      <t xml:space="preserve"> output / hour)</t>
    </r>
  </si>
  <si>
    <t>- Inputs at max capacity</t>
  </si>
  <si>
    <t xml:space="preserve">A) Mass of Fluegas (t/t CO2 output) </t>
  </si>
  <si>
    <r>
      <t>B1) CO</t>
    </r>
    <r>
      <rPr>
        <vertAlign val="subscript"/>
        <sz val="8"/>
        <rFont val="Calibri"/>
        <family val="2"/>
        <scheme val="minor"/>
      </rPr>
      <t>2</t>
    </r>
    <r>
      <rPr>
        <sz val="8"/>
        <rFont val="Calibri"/>
        <family val="2"/>
        <scheme val="minor"/>
      </rPr>
      <t xml:space="preserve"> share in fluegas input (%-vol, dry)</t>
    </r>
  </si>
  <si>
    <r>
      <t>B2) Flue gas temperature (0</t>
    </r>
    <r>
      <rPr>
        <sz val="8"/>
        <rFont val="Symbol"/>
        <family val="1"/>
        <charset val="2"/>
      </rPr>
      <t>°</t>
    </r>
    <r>
      <rPr>
        <sz val="8"/>
        <rFont val="Calibri"/>
        <family val="2"/>
        <scheme val="minor"/>
      </rPr>
      <t>C)</t>
    </r>
  </si>
  <si>
    <t xml:space="preserve">C1) Heat  input (MWh/t CO2-output) </t>
  </si>
  <si>
    <t xml:space="preserve">C2) Eletricity input (MWh/t CO2-output) </t>
  </si>
  <si>
    <t xml:space="preserve">C3)  Amine make-up (kg/t CO2-output) </t>
  </si>
  <si>
    <r>
      <t>Y)  Auxiliary products inputs (kg/t CO2-output</t>
    </r>
    <r>
      <rPr>
        <vertAlign val="subscript"/>
        <sz val="8"/>
        <rFont val="Calibri"/>
        <family val="2"/>
        <scheme val="minor"/>
      </rPr>
      <t xml:space="preserve"> </t>
    </r>
    <r>
      <rPr>
        <sz val="8"/>
        <rFont val="Calibri"/>
        <family val="2"/>
        <scheme val="minor"/>
      </rPr>
      <t xml:space="preserve">) </t>
    </r>
  </si>
  <si>
    <t>- Outputs at max capacity</t>
  </si>
  <si>
    <t>A2) CO2 purity prior to post cleaning (% vol)</t>
  </si>
  <si>
    <t>A3) Total pressure of CO2 gas (kPa(a))</t>
  </si>
  <si>
    <r>
      <t>Ax) CO</t>
    </r>
    <r>
      <rPr>
        <vertAlign val="subscript"/>
        <sz val="8"/>
        <rFont val="Calibri"/>
        <family val="2"/>
        <scheme val="minor"/>
      </rPr>
      <t>2</t>
    </r>
    <r>
      <rPr>
        <sz val="8"/>
        <rFont val="Calibri"/>
        <family val="2"/>
        <scheme val="minor"/>
      </rPr>
      <t xml:space="preserve"> capture rate, net (%)</t>
    </r>
  </si>
  <si>
    <t xml:space="preserve">C1) Heat out (MWh/t CO2-output) </t>
  </si>
  <si>
    <r>
      <t>C2) Temperature of heat out (</t>
    </r>
    <r>
      <rPr>
        <sz val="8"/>
        <rFont val="Symbol"/>
        <family val="1"/>
        <charset val="2"/>
      </rPr>
      <t>°</t>
    </r>
    <r>
      <rPr>
        <sz val="8"/>
        <rFont val="Calibri"/>
        <family val="2"/>
        <scheme val="minor"/>
      </rPr>
      <t>C)</t>
    </r>
  </si>
  <si>
    <t>X) Other Non-energy outputs (kg/t CO2-output)</t>
  </si>
  <si>
    <t>- other technical data</t>
  </si>
  <si>
    <t>Specific investment (mill € /[t CO2 output/hour])</t>
  </si>
  <si>
    <t xml:space="preserve"> - hereof capture plant (%)</t>
  </si>
  <si>
    <t xml:space="preserve"> - hereof CO₂ compression&amp;dehydration (%)</t>
  </si>
  <si>
    <t>- hereof utilities &amp; flue gas integration (%)</t>
  </si>
  <si>
    <t xml:space="preserve"> - hereof heat integration (%)</t>
  </si>
  <si>
    <t xml:space="preserve"> - hereof Owner's cost (%)</t>
  </si>
  <si>
    <t>Fixed O&amp;M (mill € /[t CO2 output/Hour])</t>
  </si>
  <si>
    <t>Variable O&amp;M (€ per t CO2 output)</t>
  </si>
  <si>
    <t>Startup cost (€ per startup/[t CO2/hour])</t>
  </si>
  <si>
    <t xml:space="preserve">Technology specific data                                 </t>
  </si>
  <si>
    <t>CO₂ compression and dehydration - Electricity input (MWh/t CO₂ output)</t>
  </si>
  <si>
    <t>CO₂ compression and dehydration - Heat out (MWh/t CO₂ output)</t>
  </si>
  <si>
    <t>Comm-OUT-A</t>
  </si>
  <si>
    <t>Share-I</t>
  </si>
  <si>
    <t>VDA_FLOP</t>
  </si>
  <si>
    <t>*COP</t>
  </si>
  <si>
    <t>WH Base input:</t>
  </si>
  <si>
    <t>HT</t>
  </si>
  <si>
    <t>MT</t>
  </si>
  <si>
    <t>RH</t>
  </si>
  <si>
    <t>NRG</t>
  </si>
  <si>
    <t>INDGWH</t>
  </si>
  <si>
    <t>CC capacity is chosen to match flue gas flow and CO₂ emission from a 100 MWth biomass boiler. Larger capacites available today if required.</t>
  </si>
  <si>
    <t>The biomass CHP is assumed to be equipped with flue gas condensation, hence flue gas is available at 35 deg. C</t>
  </si>
  <si>
    <t>Heat is supplied as low pressure steam 3-5 bara and (130-150 deg. C)</t>
  </si>
  <si>
    <t>Electricity consumption includes additional CC plant, flue gas fan work and cooling water pumps, but no ID cooling tower, other utilities. CO₂ compression and drying not included.</t>
  </si>
  <si>
    <t>Purity given on wet basis. On dry basis purity is &gt;99.95%vol</t>
  </si>
  <si>
    <t>CO₂ pressure at outlet flange. Future processes is expected to deliver CO₂ at higher pressure (save compression work)</t>
  </si>
  <si>
    <t>The CO₂ capture percentage from the flue gas is expected to increase from today's 90% to 95% in 2050.</t>
  </si>
  <si>
    <t>20% of heat is available at 80 deg. C, 80% is available at 50 deg C. The reported 60 deg C is an weighed average.</t>
  </si>
  <si>
    <t>Total cost including site integration and CO₂ compression. CAPEX is expected to decrease by 40% in 2050 as the market develops. Total capital investment is calculated as plant capacity (t CO₂ output/h) multiplied by the specific investment cost</t>
  </si>
  <si>
    <t>If the CHP is euipped with flue gas condensation to &lt;40 deg C the precooler of the CC plant may be omitted. The CC plant cost can in that case be reduced with 5% and the utility cost with 20% (because of less cooling requirement)</t>
  </si>
  <si>
    <t>If CO₂ should be delivered liquefied for truck or road transport, a liquefaction plant must be added hence increase this post with 50% + interim storage (specified in chapter on CO₂ transport of Technology Catalogue)</t>
  </si>
  <si>
    <t>Substantial cost have been included for heat integration which covers steam turbine modification, coupling to district heating net. Heat pump technology for upgrade of low temp waste heat not included.</t>
  </si>
  <si>
    <t>Fixed O&amp;M is taken as 3% of CAPEX</t>
  </si>
  <si>
    <t>Assume compression from CC plant outlet pressure to 150 bar and drying to &lt; 50 ppmv H₂O. Specific power consumption decrease with time as CO₂ is delivered at increasingly higher pressure from the CC plant</t>
  </si>
  <si>
    <t>kt CO2/PJ</t>
  </si>
  <si>
    <r>
      <t xml:space="preserve">FIX O&amp;M </t>
    </r>
    <r>
      <rPr>
        <b/>
        <sz val="11"/>
        <color indexed="8"/>
        <rFont val="Calibri"/>
        <family val="2"/>
      </rPr>
      <t>dkr/kW</t>
    </r>
    <r>
      <rPr>
        <sz val="11"/>
        <color theme="1"/>
        <rFont val="Calibri"/>
        <family val="2"/>
        <scheme val="minor"/>
      </rPr>
      <t xml:space="preserve">
C55*$G$4/1000
fixed OM * currency conversion</t>
    </r>
  </si>
  <si>
    <t>Post-combustion carbon capture retrofit - 500 MW(th) biomass-fired boiler</t>
  </si>
  <si>
    <t>A1) CO2 purity prior to post cleaning (% vol)</t>
  </si>
  <si>
    <t>A2) Total pressure of CO2 gas (kPa(a))</t>
  </si>
  <si>
    <t>Typical total plant capacity (t CO2  output / hour)</t>
  </si>
  <si>
    <t>B1) CO2 share in fluegas input (%-vol, dry)</t>
  </si>
  <si>
    <t>B2) Flue gas temperature (°C)</t>
  </si>
  <si>
    <t xml:space="preserve">Y)  Auxiliary products inputs (kg/t CO2-output ) </t>
  </si>
  <si>
    <t>A3) CO2 capture rate, net (%)</t>
  </si>
  <si>
    <t>C2) Temperature of heat out (°C)</t>
  </si>
  <si>
    <t>t CO2/MWh</t>
  </si>
  <si>
    <t>Natural gas:</t>
  </si>
  <si>
    <t>MWh/t CO2</t>
  </si>
  <si>
    <t>INV</t>
  </si>
  <si>
    <t>FIX-OM</t>
  </si>
  <si>
    <t>Var-OM</t>
  </si>
  <si>
    <t>Mdkk/MW</t>
  </si>
  <si>
    <t>Steam boiler, Coal</t>
  </si>
  <si>
    <t>Nominal investment (M€ per MW)</t>
  </si>
  <si>
    <t>Only a few plant of this type is in operation in Denmark. Nordic Suger operates a 33 MW - which is considered above average</t>
  </si>
  <si>
    <t>Estimated based on gas boiler and coal CHP plant</t>
  </si>
  <si>
    <t>Coal boiler new 1</t>
  </si>
  <si>
    <t>Hot water boiler, Coal</t>
  </si>
  <si>
    <t>E,F</t>
  </si>
  <si>
    <t>Coal boiler new 2</t>
  </si>
  <si>
    <t>Coal boiler</t>
  </si>
  <si>
    <t>dkk/GJ</t>
  </si>
  <si>
    <t>=Mdkk/PJ</t>
  </si>
  <si>
    <t>INPUT</t>
  </si>
  <si>
    <t xml:space="preserve">Fixed ELCC </t>
  </si>
  <si>
    <t>OUTPUT</t>
  </si>
  <si>
    <t>Output in given unit/PJ_output</t>
  </si>
  <si>
    <t>Comm-IN-A</t>
  </si>
  <si>
    <t>Input name</t>
  </si>
  <si>
    <t>Auxiliary Input</t>
  </si>
  <si>
    <t>Output name</t>
  </si>
  <si>
    <t>Auxilary Output</t>
  </si>
  <si>
    <t>INDNGA</t>
  </si>
  <si>
    <t>INDGWH, CCXCO2</t>
  </si>
  <si>
    <t>IGDHT</t>
  </si>
  <si>
    <t>ELCCOA</t>
  </si>
  <si>
    <t>ELCHFO</t>
  </si>
  <si>
    <t>ELCDSL</t>
  </si>
  <si>
    <t>ELCNGA</t>
  </si>
  <si>
    <t>ELCBGA</t>
  </si>
  <si>
    <t>ELCWPE</t>
  </si>
  <si>
    <t>ELCWCH</t>
  </si>
  <si>
    <t>ELCSTR</t>
  </si>
  <si>
    <t>ELCWST</t>
  </si>
  <si>
    <t>ELCWIN</t>
  </si>
  <si>
    <t>ELCSOL</t>
  </si>
  <si>
    <t>ELCGEO</t>
  </si>
  <si>
    <t>ELCHYD</t>
  </si>
  <si>
    <t>ELCWAV</t>
  </si>
  <si>
    <t>*Units</t>
  </si>
  <si>
    <t>kg/GJ</t>
  </si>
  <si>
    <t>CO2</t>
  </si>
  <si>
    <t>t CO2 emission/MWh input</t>
  </si>
  <si>
    <t>EL/heat</t>
  </si>
  <si>
    <t>Year</t>
  </si>
  <si>
    <t>Capture rate</t>
  </si>
  <si>
    <t>This is the required formatting of the table, for implementing CCS to the industry sheets directly</t>
  </si>
  <si>
    <t>Coal</t>
  </si>
  <si>
    <t xml:space="preserve"> </t>
  </si>
  <si>
    <t>1. Oil-fired boiler</t>
  </si>
  <si>
    <t>Oil burner (mineral oil fired, &lt;10 % FAME)</t>
  </si>
  <si>
    <t>15-30</t>
  </si>
  <si>
    <t>Fixed O&amp;M (€/year)</t>
  </si>
  <si>
    <t>Oil burner (bio oil)</t>
  </si>
  <si>
    <t>&gt; 30</t>
  </si>
  <si>
    <t>Specific investment (1000€/unit) - 400 kW unit</t>
  </si>
  <si>
    <t>MKr15</t>
  </si>
  <si>
    <t>Agriculture Demand Heat Medium Temp. up to 150C</t>
  </si>
  <si>
    <t>Agriculture Demand Heat High Temp. over 150C</t>
  </si>
  <si>
    <t>Agriculture Demand Heat Room Heat</t>
  </si>
  <si>
    <t>Agriculture Demand Light</t>
  </si>
  <si>
    <t>Agriculture Demand Electric Motors</t>
  </si>
  <si>
    <t>Agriculture Demand Haulage Tractors, Trucks, Fishing boats, Forest machines</t>
  </si>
  <si>
    <t>Agriculture Demand Haulage Forklifts</t>
  </si>
  <si>
    <t>Decentral</t>
  </si>
  <si>
    <t>Central</t>
  </si>
  <si>
    <t>DKW</t>
  </si>
  <si>
    <t>DKE</t>
  </si>
  <si>
    <t>Years</t>
  </si>
  <si>
    <t>MKr/PJ</t>
  </si>
  <si>
    <t>MKr/MW</t>
  </si>
  <si>
    <t>Construction time</t>
  </si>
  <si>
    <t>ILED</t>
  </si>
  <si>
    <t>Technical life</t>
  </si>
  <si>
    <t>Fraction of capacity in peak equations</t>
  </si>
  <si>
    <t>Annual availability/utilization factor</t>
  </si>
  <si>
    <t>Units of activity/unit of capacity</t>
  </si>
  <si>
    <t>Annual variable O&amp;M cost</t>
  </si>
  <si>
    <t>Annual fixed O&amp;M cost</t>
  </si>
  <si>
    <t>Total cost of investment in new capacity</t>
  </si>
  <si>
    <t>Electricity consumption</t>
  </si>
  <si>
    <t xml:space="preserve">Minimum capacity for technology </t>
  </si>
  <si>
    <t>Peak</t>
  </si>
  <si>
    <t>*ELCC Input</t>
  </si>
  <si>
    <t>*Minimum capacity</t>
  </si>
  <si>
    <r>
      <t>N</t>
    </r>
    <r>
      <rPr>
        <vertAlign val="subscript"/>
        <sz val="9"/>
        <color theme="1"/>
        <rFont val="Arial"/>
        <family val="2"/>
      </rPr>
      <t>2</t>
    </r>
    <r>
      <rPr>
        <sz val="9"/>
        <color theme="1"/>
        <rFont val="Arial"/>
        <family val="2"/>
      </rPr>
      <t>O (g per GJ fuel)</t>
    </r>
  </si>
  <si>
    <r>
      <t>CH</t>
    </r>
    <r>
      <rPr>
        <vertAlign val="subscript"/>
        <sz val="9"/>
        <color theme="1"/>
        <rFont val="Arial"/>
        <family val="2"/>
      </rPr>
      <t>4</t>
    </r>
    <r>
      <rPr>
        <sz val="9"/>
        <color theme="1"/>
        <rFont val="Arial"/>
        <family val="2"/>
      </rPr>
      <t xml:space="preserve"> (g per GJ fuel)</t>
    </r>
  </si>
  <si>
    <r>
      <t>NO</t>
    </r>
    <r>
      <rPr>
        <vertAlign val="subscript"/>
        <sz val="9"/>
        <color theme="1"/>
        <rFont val="Arial"/>
        <family val="2"/>
      </rPr>
      <t>X</t>
    </r>
    <r>
      <rPr>
        <sz val="9"/>
        <color theme="1"/>
        <rFont val="Arial"/>
        <family val="2"/>
      </rPr>
      <t xml:space="preserve"> (g per GJ fuel)</t>
    </r>
  </si>
  <si>
    <r>
      <t>SO</t>
    </r>
    <r>
      <rPr>
        <vertAlign val="subscript"/>
        <sz val="9"/>
        <color theme="1"/>
        <rFont val="Arial"/>
        <family val="2"/>
      </rPr>
      <t>2</t>
    </r>
    <r>
      <rPr>
        <sz val="9"/>
        <color theme="1"/>
        <rFont val="Arial"/>
        <family val="2"/>
      </rPr>
      <t xml:space="preserve"> (g per GJ fuel)</t>
    </r>
  </si>
  <si>
    <t>Data for the danish energy agency 2017 technology catalog</t>
  </si>
  <si>
    <t>DKK/EU</t>
  </si>
  <si>
    <t>Degrees of waste heat</t>
  </si>
  <si>
    <t>Comm</t>
  </si>
  <si>
    <r>
      <t>- of which is other O&amp;M costs (€/MWh</t>
    </r>
    <r>
      <rPr>
        <vertAlign val="subscript"/>
        <sz val="9"/>
        <rFont val="Arial"/>
        <family val="2"/>
      </rPr>
      <t>heat</t>
    </r>
    <r>
      <rPr>
        <sz val="9"/>
        <rFont val="Arial"/>
        <family val="2"/>
      </rPr>
      <t>)</t>
    </r>
  </si>
  <si>
    <r>
      <t>- of which is electricity costs (€/MWh</t>
    </r>
    <r>
      <rPr>
        <vertAlign val="subscript"/>
        <sz val="9"/>
        <rFont val="Arial"/>
        <family val="2"/>
      </rPr>
      <t>heat</t>
    </r>
    <r>
      <rPr>
        <sz val="9"/>
        <rFont val="Arial"/>
        <family val="2"/>
      </rPr>
      <t>)</t>
    </r>
  </si>
  <si>
    <r>
      <t>Variable O&amp;M (€/MWh</t>
    </r>
    <r>
      <rPr>
        <vertAlign val="subscript"/>
        <sz val="9"/>
        <rFont val="Arial"/>
        <family val="2"/>
      </rPr>
      <t>heat</t>
    </r>
    <r>
      <rPr>
        <sz val="9"/>
        <rFont val="Arial"/>
        <family val="2"/>
      </rPr>
      <t>)</t>
    </r>
  </si>
  <si>
    <r>
      <t>Fixed O&amp;M (€/MW</t>
    </r>
    <r>
      <rPr>
        <vertAlign val="subscript"/>
        <sz val="9"/>
        <rFont val="Arial"/>
        <family val="2"/>
      </rPr>
      <t>heat</t>
    </r>
    <r>
      <rPr>
        <sz val="9"/>
        <rFont val="Arial"/>
        <family val="2"/>
      </rPr>
      <t>/year)</t>
    </r>
  </si>
  <si>
    <t>A, L</t>
  </si>
  <si>
    <r>
      <t>Nominal investment (M€ per MW</t>
    </r>
    <r>
      <rPr>
        <vertAlign val="subscript"/>
        <sz val="9"/>
        <rFont val="Arial"/>
        <family val="2"/>
      </rPr>
      <t>heat</t>
    </r>
    <r>
      <rPr>
        <sz val="9"/>
        <rFont val="Arial"/>
        <family val="2"/>
      </rPr>
      <t>)</t>
    </r>
  </si>
  <si>
    <t>8,10</t>
  </si>
  <si>
    <r>
      <t>Space requirement (1000m2 per MW</t>
    </r>
    <r>
      <rPr>
        <vertAlign val="subscript"/>
        <sz val="9"/>
        <rFont val="Arial"/>
        <family val="2"/>
      </rPr>
      <t>heat</t>
    </r>
    <r>
      <rPr>
        <sz val="9"/>
        <rFont val="Arial"/>
        <family val="2"/>
      </rPr>
      <t>)</t>
    </r>
  </si>
  <si>
    <t>I, M</t>
  </si>
  <si>
    <t>3, 4</t>
  </si>
  <si>
    <t>A, B, F, J</t>
  </si>
  <si>
    <t>Total eff., net (%), annual average, waste heat 40° C, reduced supply temp.</t>
  </si>
  <si>
    <r>
      <t xml:space="preserve">Total eff., net (%), annual average, waste heat </t>
    </r>
    <r>
      <rPr>
        <b/>
        <sz val="9"/>
        <color rgb="FFFF0000"/>
        <rFont val="Arial"/>
        <family val="2"/>
      </rPr>
      <t>20° C</t>
    </r>
    <r>
      <rPr>
        <sz val="9"/>
        <rFont val="Arial"/>
        <family val="2"/>
      </rPr>
      <t>, reduced supply temp.</t>
    </r>
  </si>
  <si>
    <t>Total eff., net (%), annual average, ambient heat source, reduced supply temp.</t>
  </si>
  <si>
    <t>A, F, J, K</t>
  </si>
  <si>
    <t>Total eff., net (%), annual average, ambient heat source, no dev. in supply temp.</t>
  </si>
  <si>
    <t>N/A</t>
  </si>
  <si>
    <r>
      <t>Heat generation capacity for one unit (MW</t>
    </r>
    <r>
      <rPr>
        <vertAlign val="subscript"/>
        <sz val="9"/>
        <rFont val="Arial"/>
        <family val="2"/>
      </rPr>
      <t>heat</t>
    </r>
    <r>
      <rPr>
        <sz val="9"/>
        <rFont val="Arial"/>
        <family val="2"/>
      </rPr>
      <t>)</t>
    </r>
  </si>
  <si>
    <t>40 Electrical compression heat pumps - district heating</t>
  </si>
  <si>
    <t>T_lm, source [C] =</t>
  </si>
  <si>
    <t>T_source out [K] =</t>
  </si>
  <si>
    <t>T_source in [K] =</t>
  </si>
  <si>
    <t>Currency Conversion</t>
  </si>
  <si>
    <t>Degrees of Source Temperature</t>
  </si>
  <si>
    <t>Total eff., net (%), annual average, waste heat 20° C, reduced supply temp.</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</si>
  <si>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</si>
  <si>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</si>
  <si>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</si>
  <si>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</si>
  <si>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</si>
  <si>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</si>
  <si>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</si>
  <si>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</si>
  <si>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</si>
  <si>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</si>
  <si>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</si>
  <si>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</si>
  <si>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</si>
  <si>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</si>
  <si>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</si>
  <si>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</si>
  <si>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</si>
  <si>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</si>
  <si>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</si>
  <si>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</si>
  <si>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</si>
  <si>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</si>
  <si>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</si>
  <si>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</si>
  <si>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</si>
  <si>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</si>
  <si>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</si>
  <si>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</si>
  <si>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</si>
  <si>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</si>
  <si>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</si>
  <si>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</si>
  <si>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</si>
  <si>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</si>
  <si>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</si>
  <si>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</si>
  <si>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</si>
  <si>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</si>
  <si>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</si>
  <si>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</si>
  <si>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</si>
  <si>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</si>
  <si>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</si>
  <si>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</si>
  <si>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</si>
  <si>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</si>
  <si>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</si>
  <si>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</si>
  <si>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</si>
  <si>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</si>
  <si>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</si>
  <si>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</si>
  <si>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</si>
  <si>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</si>
  <si>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</si>
  <si>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</si>
  <si>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</si>
  <si>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</si>
  <si>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</si>
  <si>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</si>
  <si>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</si>
  <si>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</si>
  <si>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</si>
  <si>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</si>
  <si>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</si>
  <si>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</si>
  <si>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</si>
  <si>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</si>
  <si>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</si>
  <si>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</si>
  <si>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</si>
  <si>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</si>
  <si>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</si>
  <si>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</si>
  <si>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</si>
  <si>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</si>
  <si>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</si>
  <si>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</si>
  <si>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</si>
  <si>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</si>
  <si>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</si>
  <si>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</si>
  <si>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</si>
  <si>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</si>
  <si>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</si>
  <si>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</si>
  <si>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</si>
  <si>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</si>
  <si>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</si>
  <si>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</si>
  <si>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</si>
  <si>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</si>
  <si>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</si>
  <si>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</si>
  <si>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</si>
  <si>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</si>
  <si>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</si>
  <si>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</si>
  <si>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</si>
  <si>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</si>
  <si>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</si>
  <si>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</si>
  <si>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</si>
  <si>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</si>
  <si>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</si>
  <si>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</si>
  <si>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</si>
  <si>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</si>
  <si>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</si>
  <si>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</si>
  <si>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</si>
  <si>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</si>
  <si>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</si>
  <si>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</si>
  <si>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</si>
  <si>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</si>
  <si>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</si>
  <si>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</si>
  <si>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</si>
  <si>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</si>
  <si>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</si>
  <si>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</si>
  <si>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</si>
  <si>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</si>
  <si>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</si>
  <si>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</si>
  <si>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</si>
  <si>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</si>
  <si>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</si>
  <si>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</si>
  <si>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</si>
  <si>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</si>
  <si>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</si>
  <si>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</si>
  <si>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</si>
  <si>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</si>
  <si>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</si>
  <si>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</si>
  <si>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</si>
  <si>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</si>
  <si>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</si>
  <si>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</si>
  <si>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</si>
  <si>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</si>
  <si>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</si>
  <si>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</si>
  <si>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</si>
  <si>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</si>
  <si>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</si>
  <si>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</si>
  <si>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</si>
  <si>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</si>
  <si>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</si>
  <si>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</si>
  <si>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</si>
  <si>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</si>
  <si>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</si>
  <si>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</si>
  <si>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</si>
  <si>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</si>
  <si>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</si>
  <si>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</si>
  <si>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</si>
  <si>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</si>
  <si>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</si>
  <si>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</si>
  <si>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</si>
  <si>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</si>
  <si>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</si>
  <si>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</si>
  <si>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</si>
  <si>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</si>
  <si>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</si>
  <si>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</si>
  <si>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</si>
  <si>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</si>
  <si>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</si>
  <si>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</si>
  <si>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</si>
  <si>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</si>
  <si>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</si>
  <si>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</si>
  <si>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</si>
  <si>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</si>
  <si>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</si>
  <si>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</si>
  <si>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</si>
  <si>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</si>
  <si>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</si>
  <si>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</si>
  <si>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</si>
  <si>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</si>
  <si>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</si>
  <si>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</si>
  <si>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</si>
  <si>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</si>
  <si>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</si>
  <si>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</si>
  <si>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</si>
  <si>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</si>
  <si>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</si>
  <si>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</si>
  <si>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</si>
  <si>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</si>
  <si>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</si>
  <si>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</si>
  <si>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</si>
  <si>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</si>
  <si>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</si>
  <si>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</si>
  <si>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</si>
  <si>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</si>
  <si>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</si>
  <si>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</si>
  <si>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</si>
  <si>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</si>
  <si>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</si>
  <si>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</si>
  <si>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</si>
  <si>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</si>
  <si>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</si>
  <si>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</si>
  <si>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</si>
  <si>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</si>
  <si>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</si>
  <si>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</si>
  <si>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</si>
  <si>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</si>
  <si>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</si>
  <si>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</si>
  <si>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</si>
  <si>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</si>
  <si>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</si>
  <si>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</si>
  <si>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</si>
  <si>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</si>
  <si>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</si>
  <si>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</si>
  <si>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</si>
  <si>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</si>
  <si>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</si>
  <si>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</si>
  <si>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</si>
  <si>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</si>
  <si>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</si>
  <si>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</si>
  <si>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</si>
  <si>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</si>
  <si>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</si>
  <si>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</si>
  <si>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</si>
  <si>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</si>
  <si>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</si>
  <si>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</si>
  <si>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</si>
  <si>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</si>
  <si>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</si>
  <si>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</si>
  <si>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</si>
  <si>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</si>
  <si>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</si>
  <si>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</si>
  <si>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</si>
  <si>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</si>
  <si>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</si>
  <si>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</si>
  <si>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</si>
  <si>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</si>
  <si>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</si>
  <si>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</si>
  <si>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</si>
  <si>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</si>
  <si>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</si>
  <si>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</si>
  <si>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</si>
  <si>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</si>
  <si>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</si>
  <si>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</si>
  <si>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</si>
  <si>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</si>
  <si>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</si>
  <si>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</si>
  <si>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</si>
  <si>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</si>
  <si>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</si>
  <si>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</si>
  <si>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</si>
  <si>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</si>
  <si>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</si>
  <si>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</si>
  <si>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</si>
  <si>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</si>
  <si>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</si>
  <si>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</si>
  <si>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</si>
  <si>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</si>
  <si>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</si>
  <si>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</si>
  <si>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</si>
  <si>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</si>
  <si>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</si>
  <si>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</si>
  <si>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</si>
  <si>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</si>
  <si>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</si>
  <si>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</si>
  <si>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</si>
  <si>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</si>
  <si>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</si>
  <si>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</si>
  <si>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</si>
  <si>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</si>
  <si>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</si>
  <si>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</si>
  <si>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</si>
  <si>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</si>
  <si>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</si>
  <si>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</si>
  <si>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</si>
  <si>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</si>
  <si>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</si>
  <si>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</si>
  <si>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</si>
  <si>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</si>
  <si>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</si>
  <si>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</si>
  <si>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</si>
  <si>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</si>
  <si>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</si>
  <si>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</si>
  <si>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</si>
  <si>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</si>
  <si>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</si>
  <si>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</si>
  <si>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</si>
  <si>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</si>
  <si>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</si>
  <si>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</si>
  <si>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</si>
  <si>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</si>
  <si>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</si>
  <si>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</si>
  <si>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</si>
  <si>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</si>
  <si>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</si>
  <si>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</si>
  <si>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</si>
  <si>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</si>
  <si>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</si>
  <si>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</si>
  <si>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</si>
  <si>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</si>
  <si>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</si>
  <si>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</si>
  <si>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</si>
  <si>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</si>
  <si>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</si>
  <si>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</si>
  <si>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</si>
  <si>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</si>
  <si>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</si>
  <si>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</si>
  <si>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</si>
  <si>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</si>
  <si>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</si>
  <si>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</si>
  <si>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</si>
  <si>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</si>
  <si>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</si>
  <si>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</si>
  <si>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</si>
  <si>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</si>
  <si>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</si>
  <si>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</si>
  <si>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</si>
  <si>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</si>
  <si>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</si>
  <si>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</si>
  <si>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</si>
  <si>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</si>
  <si>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</si>
  <si>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</si>
  <si>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</si>
  <si>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</si>
  <si>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</si>
  <si>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</si>
  <si>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</si>
  <si>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</si>
  <si>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</si>
  <si>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</si>
  <si>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</si>
  <si>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</si>
  <si>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</si>
  <si>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</si>
  <si>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</si>
  <si>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</si>
  <si>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</si>
  <si>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</si>
  <si>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</si>
  <si>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</si>
  <si>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</si>
  <si>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</si>
  <si>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</si>
  <si>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</si>
  <si>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</si>
  <si>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</si>
  <si>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</si>
  <si>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</si>
  <si>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</si>
  <si>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</si>
  <si>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</si>
  <si>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</si>
  <si>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</si>
  <si>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</si>
  <si>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</si>
  <si>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</si>
  <si>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</si>
  <si>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</si>
  <si>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</si>
  <si>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</si>
  <si>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</si>
  <si>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</si>
  <si>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</si>
  <si>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</si>
  <si>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</si>
  <si>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</si>
  <si>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</si>
  <si>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</si>
  <si>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</si>
  <si>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</si>
  <si>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</si>
  <si>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</si>
  <si>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</si>
  <si>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</si>
  <si>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</si>
  <si>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</si>
  <si>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</si>
  <si>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</si>
  <si>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</si>
  <si>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</si>
  <si>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</si>
  <si>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</si>
  <si>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</si>
  <si>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</si>
  <si>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</si>
  <si>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</si>
  <si>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</si>
  <si>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</si>
  <si>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</si>
  <si>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</si>
  <si>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</si>
  <si>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</si>
  <si>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</si>
  <si>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</si>
  <si>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</si>
  <si>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</si>
  <si>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</si>
  <si>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</si>
  <si>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</si>
  <si>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</si>
  <si>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</si>
  <si>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</si>
  <si>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</si>
  <si>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</si>
  <si>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</si>
  <si>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</si>
  <si>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</si>
  <si>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</si>
  <si>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</si>
  <si>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</si>
  <si>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</si>
  <si>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</si>
  <si>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</si>
  <si>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</si>
  <si>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</si>
  <si>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</si>
  <si>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</si>
  <si>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</si>
  <si>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</si>
  <si>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</si>
  <si>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</si>
  <si>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</si>
  <si>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</si>
  <si>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</si>
  <si>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</si>
  <si>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</si>
  <si>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</si>
  <si>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</si>
  <si>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</si>
  <si>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</si>
  <si>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</si>
  <si>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HADSUND BY'S FJERNVARMEVÆRK A.M.B.A.</t>
  </si>
  <si>
    <t>FERRITSLEV FJERNVARME A.M.B.A.</t>
  </si>
  <si>
    <t>HADSTEN VARMEVÆRK</t>
  </si>
  <si>
    <t>FENSMARK FJERNVARMEVÆRK A M B A</t>
  </si>
  <si>
    <t>HADERSLEV FJERNVARME</t>
  </si>
  <si>
    <t>FELDBORG KRAFTVARMEVÆRK A.M.B.A.</t>
  </si>
  <si>
    <t>GØRDING VARMEVÆRK A.M.B.A.</t>
  </si>
  <si>
    <t>FAXE FJERNVARMESELSKAB A M B A</t>
  </si>
  <si>
    <t>GYLLING-ØRTING-FALLING KRAFTVARMEVÆRK</t>
  </si>
  <si>
    <t>FARUM FJERNVARME A M B A</t>
  </si>
  <si>
    <t>GULDBORGSUND FORSYNING VARME</t>
  </si>
  <si>
    <t>Farsø Varmeværk A M B A</t>
  </si>
  <si>
    <t>GRÅSTEN VARME A/S</t>
  </si>
  <si>
    <t>ESBJERG VARME A/S</t>
  </si>
  <si>
    <t>GRÆSTED FJERNVARME</t>
  </si>
  <si>
    <t>GREVE FJERNVARMEVÆRK</t>
  </si>
  <si>
    <t>ENERGIGRUPPEN JYLLAND VARME A/S</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</si>
  <si>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</si>
  <si>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</si>
  <si>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</si>
  <si>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</si>
  <si>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</si>
  <si>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</si>
  <si>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</si>
  <si>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</si>
  <si>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</si>
  <si>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</si>
  <si>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</si>
  <si>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</si>
  <si>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</si>
  <si>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</si>
  <si>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</si>
  <si>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</si>
  <si>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</si>
  <si>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</si>
  <si>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LTMEH</t>
  </si>
  <si>
    <t>GANDRUP VESTER-HASSING VARMEFORSYNING</t>
  </si>
  <si>
    <t>GALTEN VARMEVÆRK</t>
  </si>
  <si>
    <t>E.ON DANMARK A/S</t>
  </si>
  <si>
    <t>FUGLEBJERG FJERNVARME</t>
  </si>
  <si>
    <t>Dybvad Varmeværk</t>
  </si>
  <si>
    <t>DURUP FJERNVARME</t>
  </si>
  <si>
    <t>FREDERIKSBERG FJERNVARME A/S</t>
  </si>
  <si>
    <t>DTU-HF A.m.b.a.</t>
  </si>
  <si>
    <t>Winter</t>
  </si>
  <si>
    <t>Autumn</t>
  </si>
  <si>
    <t>Summer</t>
  </si>
  <si>
    <t>Spring</t>
  </si>
  <si>
    <t>MTEH</t>
  </si>
  <si>
    <t>FREDERIKS VARMEVÆRK A.M.B.A.</t>
  </si>
  <si>
    <t>DRONNINGLUND FJERNVARMEVÆRK AMBA</t>
  </si>
  <si>
    <t>DONG GAS DISTRIBUTION A/S</t>
  </si>
  <si>
    <t>DONG ENERGY GASFORSYNING A/S</t>
  </si>
  <si>
    <t>FJERNVARMECENTRALEN AVEDØRE HOLME</t>
  </si>
  <si>
    <t>DONG ENERGY A/S</t>
  </si>
  <si>
    <t>DAGNÆS-BÆKKELUND VARMEVÆRK</t>
  </si>
  <si>
    <t>FILSKOV ENERGISELSKAB</t>
  </si>
  <si>
    <t>Christian Højer</t>
  </si>
  <si>
    <t>FENSMARK FJERNVARMEVÆRK A.M.B.A.</t>
  </si>
  <si>
    <t>CHR FELD FJERNVS AMBA</t>
  </si>
  <si>
    <t>FAXE FJERNVARMESELSKAB A.M.B.A.</t>
  </si>
  <si>
    <t>BØVLING VARMEVÆRK</t>
  </si>
  <si>
    <t>FARSØ VARMEVÆRK A.M.B.A.</t>
  </si>
  <si>
    <t>BÆLUM VARMEVÆRK AMBA</t>
  </si>
  <si>
    <t>ESBJERG FORSYNING A/S</t>
  </si>
  <si>
    <t>Bækmarksbro Varmeværk A.M.B.A.</t>
  </si>
  <si>
    <t>ENERGIMIDT - ENERGIGRUPPEN JYLLAND A/S</t>
  </si>
  <si>
    <t>BRØRUP FJERNVARME A M B A</t>
  </si>
  <si>
    <t>Ret_temp_wint</t>
  </si>
  <si>
    <t>Supp_temp_wint</t>
  </si>
  <si>
    <t>Ret_temp_aut</t>
  </si>
  <si>
    <t>Supp_temp_aut</t>
  </si>
  <si>
    <t>Ret_temp_summ</t>
  </si>
  <si>
    <t>Supp_temp_summ</t>
  </si>
  <si>
    <t>Ret_temp_sspr</t>
  </si>
  <si>
    <t>Supp_temp_spr</t>
  </si>
  <si>
    <t>ENERGI VIBORG KRAFTVARME A/S</t>
  </si>
  <si>
    <t>BRØNDERSLEV VARME A/S</t>
  </si>
  <si>
    <t>WINTER</t>
  </si>
  <si>
    <t>AUTUMN</t>
  </si>
  <si>
    <t>SUMMER</t>
  </si>
  <si>
    <t>SPRING</t>
  </si>
  <si>
    <t>ELLIDSHØJ-FERSLEV KRAFTVARMEVÆRK</t>
  </si>
  <si>
    <t>BRØNDBY FJERNVARME A M B A</t>
  </si>
  <si>
    <t>EJSTRUPHOLM VARMEVÆRK</t>
  </si>
  <si>
    <t>Water</t>
  </si>
  <si>
    <t>https://www.seatemperature.org/europe/denmark/</t>
  </si>
  <si>
    <t>EJSING FJERNVARMEFORSYNING A.M.B.A.</t>
  </si>
  <si>
    <t>BRÆDSTRUP FJERNVARME A M B A</t>
  </si>
  <si>
    <t>Soil</t>
  </si>
  <si>
    <t>EJBY FJERNVARME A.M.B.A.</t>
  </si>
  <si>
    <t>BROVST FJERNVARME ANDELSSELSKAB</t>
  </si>
  <si>
    <t>Air</t>
  </si>
  <si>
    <t>EGEDAL FJERNVARME A/S</t>
  </si>
  <si>
    <t>BROAGER FJERNVARMESELSKAB AMBA</t>
  </si>
  <si>
    <t>EBELTOFT FJERNVARMEVÆRK A.M.B.A.</t>
  </si>
  <si>
    <t>Bredsten-Balle Kraftvarmeværk amba</t>
  </si>
  <si>
    <t>DYBVAD VARMEVÆRK A.M.B.A.</t>
  </si>
  <si>
    <t>Brande Fjernvarme</t>
  </si>
  <si>
    <t>Based on similar assumptions for DH temperatures as stated in the technology catalog 2017 from the Danish energy agency</t>
  </si>
  <si>
    <t>Future COP Values</t>
  </si>
  <si>
    <t>Boulstrup-Hou Kraftvarmeværk AMBA</t>
  </si>
  <si>
    <t>DAGNÆS-BÆKKELUND VARMEVÆRK A.M.B.A.</t>
  </si>
  <si>
    <t>CHRISTIANSFELD FJERNVARMESELSKAB A.M.B.A</t>
  </si>
  <si>
    <t>BORUP VARMEVÆRK A M B A</t>
  </si>
  <si>
    <t>BÆLUM VARMEVÆRK A.M.B.A.</t>
  </si>
  <si>
    <t>BORNHOLMS VARME A/S</t>
  </si>
  <si>
    <t>Historical average temperatures denmark</t>
  </si>
  <si>
    <t>BÆKMARKSBRO VARMEVÆRK A.M.B.A.</t>
  </si>
  <si>
    <t>Bogense Forsyningsselskab</t>
  </si>
  <si>
    <t>BRØRUP FJERNVARME A.M.B.A.</t>
  </si>
  <si>
    <t>BLÅHØJ ENERGISELSKAB A.M.B.A.</t>
  </si>
  <si>
    <t>BRØNDBY FJERNVARME A.M.B.A.</t>
  </si>
  <si>
    <t>BLENSTRUP KRAFTVARMEVÆRK A.M.B.A.</t>
  </si>
  <si>
    <t>BRÆDSTRUP FJERNVARME A.M.B.A.</t>
  </si>
  <si>
    <t>BJERRINGBRO VARMEVÆRK AMBA</t>
  </si>
  <si>
    <t>BROVST FJERNVARME A.M.B.A.</t>
  </si>
  <si>
    <t>BINDSLEV FJERNVARME A M B A</t>
  </si>
  <si>
    <t>Waste heat 40 Degrees</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</si>
  <si>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</si>
  <si>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</si>
  <si>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</si>
  <si>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</si>
  <si>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</si>
  <si>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</si>
  <si>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</si>
  <si>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</si>
  <si>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Waste heat 20 Degrees</t>
  </si>
  <si>
    <t>BRAMMING FJERNVARME A.M.B.A.</t>
  </si>
  <si>
    <t>Avedøre Fjernvarme</t>
  </si>
  <si>
    <t>BOULSTRUP-HOU KRAFTVARMEVÆRK A.M.B.A.</t>
  </si>
  <si>
    <t>AUNING VARMEVÆRK A M B A</t>
  </si>
  <si>
    <t>BORUP VARMEVÆRK</t>
  </si>
  <si>
    <t>AULUM FJERNVARME AMBA</t>
  </si>
  <si>
    <t>BOGENSE FORSYNINGSSELSKAB A.M.B.A.</t>
  </si>
  <si>
    <t>AUGUSTENBORG FJERNVARME A M B A</t>
  </si>
  <si>
    <t>´5-10</t>
  </si>
  <si>
    <t>0-18</t>
  </si>
  <si>
    <t>Heat pump, ambient</t>
  </si>
  <si>
    <t>BJERRINGBRO VARMEVÆRK A.M.B.A.</t>
  </si>
  <si>
    <t>ASÅ VARMEVÆRK                     V/POUL NIELSEN</t>
  </si>
  <si>
    <t>BINDSLEV FJERNVARME A.M.B.A.</t>
  </si>
  <si>
    <t>ASTRUP KRAFTVARMEVÆRK A.M.B.A.</t>
  </si>
  <si>
    <t>BILLUND VARMEVÆRK A.M.B.A.</t>
  </si>
  <si>
    <t>ASSENS FJERNVARME A M B A</t>
  </si>
  <si>
    <t>°K</t>
  </si>
  <si>
    <t>BEDSTED FJERNVARME</t>
  </si>
  <si>
    <t>ARDEN VARMEVÆRK AMBA</t>
  </si>
  <si>
    <t>BALLING FJERNVARMEVÆRK A.M.B.A.</t>
  </si>
  <si>
    <t>ANSAGER VARMEVÆRK</t>
  </si>
  <si>
    <t>Off-Design Eff.</t>
  </si>
  <si>
    <t>AULUM FJERNVARME A.M.B.A.</t>
  </si>
  <si>
    <t>ANS FJERNVARMEVÆRK A M B A</t>
  </si>
  <si>
    <t>Lorentz Eff.</t>
  </si>
  <si>
    <t>Carnot Eff.</t>
  </si>
  <si>
    <t>AUGUSTENBORG FJERNVARME A.M.B.A.</t>
  </si>
  <si>
    <t>ANDELSSELSKABET OKSBØL VARMEVÆRK</t>
  </si>
  <si>
    <t>°C</t>
  </si>
  <si>
    <t>HTEH</t>
  </si>
  <si>
    <r>
      <rPr>
        <sz val="11"/>
        <color theme="1"/>
        <rFont val="Verdana"/>
        <family val="2"/>
      </rPr>
      <t>°</t>
    </r>
    <r>
      <rPr>
        <sz val="11"/>
        <color theme="1"/>
        <rFont val="Calibri"/>
        <family val="2"/>
      </rPr>
      <t>C</t>
    </r>
  </si>
  <si>
    <t>ASAA FJERNVARME</t>
  </si>
  <si>
    <t>ANDELSSELSKABET MØLHOLM VARMEVÆRK</t>
  </si>
  <si>
    <t>Lorentz efficiency, High</t>
  </si>
  <si>
    <t>Lorentz efficiency, Low</t>
  </si>
  <si>
    <t>Lorentz efficiency, mean</t>
  </si>
  <si>
    <t>vand</t>
  </si>
  <si>
    <t>luft</t>
  </si>
  <si>
    <t>Source, out</t>
  </si>
  <si>
    <t>Source, in</t>
  </si>
  <si>
    <t>DH T out</t>
  </si>
  <si>
    <t>DH T in</t>
  </si>
  <si>
    <t>COP High</t>
  </si>
  <si>
    <t>COP Low</t>
  </si>
  <si>
    <t>COP mean</t>
  </si>
  <si>
    <t>Tech</t>
  </si>
  <si>
    <t>ASSENS FJERNVARME - FYN</t>
  </si>
  <si>
    <t>LTEH</t>
  </si>
  <si>
    <t>ANSAGER VARMEVÆRK A.M.B.A.</t>
  </si>
  <si>
    <t>ALS FJERNVARME AMBA</t>
  </si>
  <si>
    <t>Tech catalogue Lorents efficiency calculation</t>
  </si>
  <si>
    <t>Outlet temp</t>
  </si>
  <si>
    <t>Avg. EH Delta_T</t>
  </si>
  <si>
    <t>Avg. EH T</t>
  </si>
  <si>
    <t>ALS FJERNVARME A.M.B.A.</t>
  </si>
  <si>
    <t>ALLINGÅBRO VARMEVÆRK A M B A</t>
  </si>
  <si>
    <t>Assumptions</t>
  </si>
  <si>
    <t>ALLINGÅBRO VARMEVÆRK A.M.B.A.</t>
  </si>
  <si>
    <t>Allerød Kommune</t>
  </si>
  <si>
    <t>The COP values for the excess heat heat pumps has been calculated using Lorentz formula of efficiency, with assumptions showed in the table. Future Temperatures of DH grid, based on similar assumptions made by the Danish Energy agency, are used for calculatiung future COP values for HP</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</si>
  <si>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</si>
  <si>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AFFALDVARME AARHUS</t>
  </si>
  <si>
    <t>AGERSTED VARMEVÆRK</t>
  </si>
  <si>
    <t>Net_loss_perc</t>
  </si>
  <si>
    <t>Cooling</t>
  </si>
  <si>
    <t>Internt energitab</t>
  </si>
  <si>
    <t>DKE_DKW</t>
  </si>
  <si>
    <t>Cen_Dec</t>
  </si>
  <si>
    <t>CVR_number</t>
  </si>
  <si>
    <t>forsytekst</t>
  </si>
  <si>
    <t>OBJECTID</t>
  </si>
  <si>
    <t>Look up value</t>
  </si>
  <si>
    <t>Agriculture Fishing boats - Diesel New 1</t>
  </si>
  <si>
    <t>Tractor</t>
  </si>
  <si>
    <t>Van</t>
  </si>
  <si>
    <t>PnD</t>
  </si>
  <si>
    <t>Pick up and delivery</t>
  </si>
  <si>
    <t>Vocational</t>
  </si>
  <si>
    <t>Heavy duty trucks also used used during construction &amp; mining</t>
  </si>
  <si>
    <t>NACFE</t>
  </si>
  <si>
    <t>Long distance semi trucks</t>
  </si>
  <si>
    <t>Mass in kg</t>
  </si>
  <si>
    <t>fuel consumption in gallon/mile (gpm) for charge sustaining and depleting modes</t>
  </si>
  <si>
    <t>energy consumption in Wh/mile (Whpm)</t>
  </si>
  <si>
    <t>Component Power</t>
  </si>
  <si>
    <t>daily fuel consumption assuming max range</t>
  </si>
  <si>
    <t>Weighted freight fuel consumption</t>
  </si>
  <si>
    <t>retail price equivalent of the components with learning costs ($)</t>
  </si>
  <si>
    <t>Retail Price ($)</t>
  </si>
  <si>
    <t>Case</t>
  </si>
  <si>
    <t>Class</t>
  </si>
  <si>
    <t>Purpose</t>
  </si>
  <si>
    <t>Powertrain</t>
  </si>
  <si>
    <t>RegulatoryCode</t>
  </si>
  <si>
    <t>TestMass</t>
  </si>
  <si>
    <t>CargoMass</t>
  </si>
  <si>
    <t>Battery kWh (Total)</t>
  </si>
  <si>
    <t>gpm_ARB</t>
  </si>
  <si>
    <t>gpm_EPA_55</t>
  </si>
  <si>
    <t>gpm_EPA_65</t>
  </si>
  <si>
    <t>gpm_CD_ARB</t>
  </si>
  <si>
    <t>gpm_CD_EPA_55</t>
  </si>
  <si>
    <t>gpm_CD_EPA_65</t>
  </si>
  <si>
    <t>Whpm_ARB</t>
  </si>
  <si>
    <t>Whpm_EPA_55</t>
  </si>
  <si>
    <t>Whpm_EPA_65</t>
  </si>
  <si>
    <t>Whpm_CD_ARB</t>
  </si>
  <si>
    <t>Whpm_CD_EPA_55</t>
  </si>
  <si>
    <t>Whpm_CD_EPA_65</t>
  </si>
  <si>
    <t>Engine (kW)</t>
  </si>
  <si>
    <t>Motor (kW)</t>
  </si>
  <si>
    <t>Battery (kW)</t>
  </si>
  <si>
    <t>Battery (kWh)</t>
  </si>
  <si>
    <t>Fuel cell (kW)</t>
  </si>
  <si>
    <t>ARB (gallons)</t>
  </si>
  <si>
    <t>EPA55 (gallons)</t>
  </si>
  <si>
    <t>EPA65 (gallons)</t>
  </si>
  <si>
    <t>gallon/1000mile-ton</t>
  </si>
  <si>
    <t>Engine</t>
  </si>
  <si>
    <t>Motor</t>
  </si>
  <si>
    <t>Battery</t>
  </si>
  <si>
    <t>Transmission</t>
  </si>
  <si>
    <t>Chassis</t>
  </si>
  <si>
    <t>Weight reduction</t>
  </si>
  <si>
    <t>Aero Improvments</t>
  </si>
  <si>
    <t>Fuel cell</t>
  </si>
  <si>
    <t>Tank</t>
  </si>
  <si>
    <t>Vehicle</t>
  </si>
  <si>
    <t>Conv</t>
  </si>
  <si>
    <t>ISG</t>
  </si>
  <si>
    <t>HEV</t>
  </si>
  <si>
    <t>PHEV</t>
  </si>
  <si>
    <t>BEV</t>
  </si>
  <si>
    <t>FCHEV</t>
  </si>
  <si>
    <t>Overall average values for all vehicles</t>
  </si>
  <si>
    <t>Utility</t>
  </si>
  <si>
    <t>non defined vehicles</t>
  </si>
  <si>
    <t>GJ/Gallon</t>
  </si>
  <si>
    <t>PJ/mileton</t>
  </si>
  <si>
    <t>It is assumed the average vehicle is used 10 % of its total daily range this alligns with teh calculation of AFA for tractors in denmark</t>
  </si>
  <si>
    <t>Number of tractors calculated</t>
  </si>
  <si>
    <t xml:space="preserve">Number of tractors in Denmark,https://effektivtlandbrug.landbrugnet.dk/traktorstatistik/faldende-traktorsalg-i-danmark.aspx </t>
  </si>
  <si>
    <t>PJ diesel in agriculture sector for tractors and other diesel fuel consumption</t>
  </si>
  <si>
    <t>GJ/day</t>
  </si>
  <si>
    <t>GJ/Year</t>
  </si>
  <si>
    <t>CAPUNIT</t>
  </si>
  <si>
    <t>Efficiency, relative to 2017 values</t>
  </si>
  <si>
    <t>AFA (PJ/Year)</t>
  </si>
  <si>
    <t>Kvehicle</t>
  </si>
  <si>
    <t>CAPprice/Pj</t>
  </si>
  <si>
    <t>AZ1,AZ2,AZ3</t>
  </si>
  <si>
    <t>AGR_Techs</t>
  </si>
  <si>
    <t>AGRELC</t>
  </si>
  <si>
    <t>AGRWST</t>
  </si>
  <si>
    <t>AGRWCH</t>
  </si>
  <si>
    <t>AGRDSL,AGRDSB,AGRHFO,AGRGSB</t>
  </si>
  <si>
    <t>AGRNGA,AGRSNG,AGRBGA,AGRH2,AGRSYN</t>
  </si>
  <si>
    <t>AGRCOA</t>
  </si>
  <si>
    <t>AGRSOL</t>
  </si>
  <si>
    <t>AGRHCE</t>
  </si>
  <si>
    <t>AGRHDE</t>
  </si>
  <si>
    <t>AGRH2</t>
  </si>
  <si>
    <t>AGRLPG,AGRNGA,AGRSNG,AGRBGA,AGRH2,AGRSYN</t>
  </si>
  <si>
    <t>AGRFB</t>
  </si>
  <si>
    <t>Construction of Agriculture excel structure based on the Industrial technology catalogue used in NCES2020</t>
  </si>
  <si>
    <t>AGDPH</t>
  </si>
  <si>
    <t>AGDSH</t>
  </si>
  <si>
    <t>AGDLA</t>
  </si>
  <si>
    <t>AGDEM</t>
  </si>
  <si>
    <t>AGDTF</t>
  </si>
  <si>
    <t>AGDFL</t>
  </si>
  <si>
    <t>AGDCO</t>
  </si>
  <si>
    <t>Agriculture Demand Cooling</t>
  </si>
  <si>
    <t>Source is subres values from Commercial sector</t>
  </si>
  <si>
    <t>AGRHSE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</si>
</sst>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_ * #,##0.00_ ;_ * \-#,##0.00_ ;_ * &quot;-&quot;??_ ;_ @_ "/>
    <numFmt numFmtId="165" formatCode="0.000"/>
    <numFmt numFmtId="166" formatCode="_ * #,##0_ ;_ * \-#,##0_ ;_ * &quot;-&quot;??_ ;_ @_ "/>
    <numFmt numFmtId="167" formatCode="0.0"/>
    <numFmt numFmtId="168" formatCode="_-[$€-2]\ * #,##0.00_-;\-[$€-2]\ * #,##0.00_-;_-[$€-2]\ * &quot;-&quot;??_-"/>
    <numFmt numFmtId="169" formatCode="_-&quot;€&quot;\ * #,##0.00_-;\-&quot;€&quot;\ * #,##0.00_-;_-&quot;€&quot;\ * &quot;-&quot;??_-;_-@_-"/>
    <numFmt numFmtId="170" formatCode="#,##0;\-\ #,##0;_-\ &quot;- &quot;"/>
    <numFmt numFmtId="171" formatCode="_([$€]* #,##0.00_);_([$€]* \(#,##0.00\);_([$€]* &quot;-&quot;??_);_(@_)"/>
    <numFmt numFmtId="172" formatCode="\Te\x\t"/>
    <numFmt numFmtId="173" formatCode="_(* #,##0.00_);_(* \(#,##0.00\);_(* &quot;-&quot;??_);_(@_)"/>
    <numFmt numFmtId="174" formatCode="_(* #,##0_);_(* \(#,##0\);_(* &quot;-&quot;_);_(@_)"/>
    <numFmt numFmtId="175" formatCode="_ * #,##0.0_ ;_ * \-#,##0.0_ ;_ * &quot;-&quot;??_ ;_ @_ "/>
    <numFmt numFmtId="176" formatCode="0.0000"/>
    <numFmt numFmtId="177" formatCode="0.0;\-0.0;0"/>
    <numFmt numFmtId="178" formatCode="0.000000"/>
    <numFmt numFmtId="179" formatCode="0.0%"/>
    <numFmt numFmtId="180" formatCode="_ * #,##0_ ;_ * \-#,##0_ ;_ * &quot;-&quot;_ ;_ @_ "/>
    <numFmt numFmtId="181" formatCode="_-[$€-2]* #,##0.00_-;\-[$€-2]* #,##0.00_-;_-[$€-2]* &quot;-&quot;??_-"/>
    <numFmt numFmtId="182" formatCode="0_ ;\-0\ "/>
    <numFmt numFmtId="183" formatCode="_-* #,##0.00\ _k_r_-;\-* #,##0.00\ _k_r_-;_-* &quot;-&quot;??\ _k_r_-;_-@_-"/>
    <numFmt numFmtId="184" formatCode="0.0;\-0.0"/>
    <numFmt numFmtId="185" formatCode="\$#,##0\ ;\(\$#,##0\)"/>
  </numFmts>
  <fonts count="184">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sz val="9"/>
      <color theme="1"/>
      <name val="Times New Roman"/>
      <family val="1"/>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b/>
      <sz val="11"/>
      <color indexed="8"/>
      <name val="Calibri"/>
      <family val="2"/>
      <scheme val="minor"/>
    </font>
    <font>
      <sz val="8"/>
      <color theme="1"/>
      <name val="Arial"/>
      <family val="2"/>
    </font>
    <font>
      <sz val="11"/>
      <name val="Calibri"/>
      <family val="2"/>
      <scheme val="minor"/>
    </font>
    <font>
      <sz val="10"/>
      <name val="Arial"/>
      <family val="2"/>
    </font>
    <font>
      <sz val="10"/>
      <color rgb="FFFF0000"/>
      <name val="Arial"/>
      <family val="2"/>
    </font>
    <font>
      <b/>
      <sz val="10"/>
      <name val="Arial"/>
      <family val="2"/>
    </font>
    <font>
      <sz val="10"/>
      <color rgb="FF008FBC"/>
      <name val="Calibri"/>
      <family val="2"/>
    </font>
    <font>
      <sz val="10"/>
      <color indexed="23"/>
      <name val="Calibri"/>
      <family val="2"/>
    </font>
    <font>
      <b/>
      <sz val="16"/>
      <color theme="0"/>
      <name val="Calibri"/>
      <family val="2"/>
    </font>
    <font>
      <b/>
      <sz val="12"/>
      <color theme="0"/>
      <name val="Calibri"/>
      <family val="2"/>
      <scheme val="minor"/>
    </font>
    <font>
      <sz val="10"/>
      <color rgb="FF00B050"/>
      <name val="Calibri"/>
      <family val="2"/>
    </font>
    <font>
      <sz val="10"/>
      <color rgb="FFFF0000"/>
      <name val="Calibri"/>
      <family val="2"/>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2"/>
      <name val="Arial"/>
      <family val="2"/>
    </font>
    <font>
      <sz val="8"/>
      <color indexed="9"/>
      <name val="Arial"/>
      <family val="2"/>
    </font>
    <font>
      <sz val="11"/>
      <name val="Calibri"/>
      <family val="2"/>
    </font>
    <font>
      <b/>
      <sz val="11"/>
      <color rgb="FFFF0000"/>
      <name val="Calibri"/>
      <family val="2"/>
      <scheme val="minor"/>
    </font>
    <font>
      <sz val="9"/>
      <name val="Arial"/>
      <family val="2"/>
    </font>
    <font>
      <vertAlign val="subscript"/>
      <sz val="9"/>
      <name val="Arial"/>
      <family val="2"/>
    </font>
    <font>
      <sz val="11"/>
      <color rgb="FF3F3F76"/>
      <name val="Calibri"/>
      <family val="2"/>
      <scheme val="minor"/>
    </font>
    <font>
      <b/>
      <sz val="11"/>
      <color rgb="FF3F3F3F"/>
      <name val="Calibri"/>
      <family val="2"/>
      <scheme val="minor"/>
    </font>
    <font>
      <sz val="8"/>
      <name val="Arial"/>
      <family val="2"/>
    </font>
    <font>
      <sz val="9"/>
      <name val="Geneva"/>
      <family val="2"/>
    </font>
    <font>
      <u/>
      <sz val="11"/>
      <color theme="10"/>
      <name val="Calibri"/>
      <family val="2"/>
      <scheme val="minor"/>
    </font>
    <font>
      <sz val="10"/>
      <name val="Calibri"/>
      <family val="2"/>
      <scheme val="minor"/>
    </font>
    <font>
      <b/>
      <sz val="10"/>
      <color theme="1"/>
      <name val="Arial"/>
      <family val="2"/>
    </font>
    <font>
      <sz val="10"/>
      <color rgb="FF000000"/>
      <name val="Arial"/>
      <family val="2"/>
    </font>
    <font>
      <b/>
      <sz val="16"/>
      <color rgb="FF4F81BD"/>
      <name val="Arial"/>
      <family val="2"/>
    </font>
    <font>
      <b/>
      <sz val="11"/>
      <color rgb="FF000000"/>
      <name val="Calibri"/>
      <family val="2"/>
    </font>
    <font>
      <b/>
      <sz val="10"/>
      <color rgb="FF000000"/>
      <name val="Arial"/>
      <family val="2"/>
    </font>
    <font>
      <b/>
      <i/>
      <sz val="11"/>
      <name val="Calibri"/>
      <family val="2"/>
    </font>
    <font>
      <sz val="10"/>
      <color rgb="FFFF0000"/>
      <name val="Calibri"/>
      <family val="2"/>
      <scheme val="minor"/>
    </font>
    <font>
      <vertAlign val="subscript"/>
      <sz val="10"/>
      <name val="Arial"/>
      <family val="2"/>
    </font>
    <font>
      <sz val="10"/>
      <color theme="1"/>
      <name val="Calibri"/>
      <family val="2"/>
      <scheme val="minor"/>
    </font>
    <font>
      <b/>
      <sz val="11"/>
      <color theme="5"/>
      <name val="Calibri"/>
      <family val="2"/>
      <scheme val="minor"/>
    </font>
    <font>
      <b/>
      <sz val="10"/>
      <color theme="5"/>
      <name val="Arial"/>
      <family val="2"/>
    </font>
    <font>
      <sz val="10"/>
      <color theme="1"/>
      <name val="Arial"/>
      <family val="2"/>
    </font>
    <font>
      <sz val="11"/>
      <color theme="0" tint="-0.249977111117893"/>
      <name val="Calibri"/>
      <family val="2"/>
      <scheme val="minor"/>
    </font>
    <font>
      <b/>
      <sz val="11"/>
      <color theme="0" tint="-0.249977111117893"/>
      <name val="Calibri"/>
      <family val="2"/>
    </font>
    <font>
      <sz val="11"/>
      <color rgb="FF000000"/>
      <name val="Calibri"/>
      <family val="2"/>
    </font>
    <font>
      <sz val="9"/>
      <color theme="1"/>
      <name val="Calibri"/>
      <family val="2"/>
      <scheme val="minor"/>
    </font>
    <font>
      <sz val="9"/>
      <color rgb="FF333333"/>
      <name val="Calibri"/>
      <family val="2"/>
      <scheme val="minor"/>
    </font>
    <font>
      <sz val="9"/>
      <name val="Calibri"/>
      <family val="2"/>
      <scheme val="minor"/>
    </font>
    <font>
      <sz val="11"/>
      <color theme="1"/>
      <name val="Arial"/>
      <family val="2"/>
    </font>
    <font>
      <b/>
      <sz val="10"/>
      <color theme="1"/>
      <name val="Calibri"/>
      <family val="2"/>
      <scheme val="minor"/>
    </font>
    <font>
      <b/>
      <sz val="10"/>
      <color indexed="8"/>
      <name val="Arial"/>
      <family val="2"/>
    </font>
    <font>
      <i/>
      <sz val="9"/>
      <color theme="1"/>
      <name val="Arial"/>
      <family val="2"/>
    </font>
    <font>
      <sz val="10"/>
      <color rgb="FF222222"/>
      <name val="Calibri"/>
      <family val="2"/>
      <scheme val="minor"/>
    </font>
    <font>
      <i/>
      <sz val="10"/>
      <color rgb="FF222222"/>
      <name val="Calibri"/>
      <family val="2"/>
      <scheme val="minor"/>
    </font>
    <font>
      <sz val="7"/>
      <color rgb="FF333333"/>
      <name val="Verdana"/>
      <family val="2"/>
    </font>
    <font>
      <b/>
      <sz val="9"/>
      <color theme="0" tint="-0.499984740745262"/>
      <name val="Arial"/>
      <family val="2"/>
    </font>
    <font>
      <b/>
      <sz val="10"/>
      <name val="Calibri"/>
      <family val="2"/>
      <scheme val="minor"/>
    </font>
    <font>
      <b/>
      <sz val="9"/>
      <color theme="1"/>
      <name val="Calibri"/>
      <family val="2"/>
      <scheme val="minor"/>
    </font>
    <font>
      <sz val="8"/>
      <name val="Calibri"/>
      <family val="2"/>
      <scheme val="minor"/>
    </font>
    <font>
      <b/>
      <sz val="8"/>
      <name val="Calibri"/>
      <family val="2"/>
      <scheme val="minor"/>
    </font>
    <font>
      <b/>
      <sz val="9"/>
      <name val="Calibri"/>
      <family val="2"/>
      <scheme val="minor"/>
    </font>
    <font>
      <vertAlign val="subscript"/>
      <sz val="8"/>
      <name val="Calibri"/>
      <family val="2"/>
      <scheme val="minor"/>
    </font>
    <font>
      <b/>
      <i/>
      <sz val="9"/>
      <name val="Calibri"/>
      <family val="2"/>
      <scheme val="minor"/>
    </font>
    <font>
      <sz val="8"/>
      <name val="Symbol"/>
      <family val="1"/>
      <charset val="2"/>
    </font>
    <font>
      <b/>
      <sz val="11"/>
      <name val="Calibri"/>
      <family val="2"/>
      <scheme val="minor"/>
    </font>
    <font>
      <b/>
      <sz val="9"/>
      <color indexed="8"/>
      <name val="Calibri"/>
      <family val="2"/>
      <scheme val="minor"/>
    </font>
    <font>
      <sz val="9"/>
      <color theme="0"/>
      <name val="Arial"/>
      <family val="2"/>
    </font>
    <font>
      <sz val="11"/>
      <color theme="1"/>
      <name val="Calibri"/>
      <family val="2"/>
      <charset val="1"/>
      <scheme val="minor"/>
    </font>
    <font>
      <vertAlign val="subscript"/>
      <sz val="9"/>
      <color theme="1"/>
      <name val="Arial"/>
      <family val="2"/>
    </font>
    <font>
      <i/>
      <sz val="11"/>
      <name val="Calibri"/>
      <family val="2"/>
      <scheme val="minor"/>
    </font>
    <font>
      <b/>
      <sz val="9"/>
      <color rgb="FFFF0000"/>
      <name val="Arial"/>
      <family val="2"/>
    </font>
    <font>
      <sz val="11"/>
      <name val="Calibri"/>
      <family val="2"/>
      <charset val="1"/>
      <scheme val="minor"/>
    </font>
    <font>
      <i/>
      <sz val="11"/>
      <name val="Calibri"/>
      <family val="2"/>
      <charset val="1"/>
      <scheme val="minor"/>
    </font>
    <font>
      <sz val="11"/>
      <color rgb="FFFF0000"/>
      <name val="Calibri"/>
      <family val="2"/>
      <charset val="1"/>
      <scheme val="minor"/>
    </font>
    <font>
      <b/>
      <sz val="12"/>
      <color rgb="FFFF0000"/>
      <name val="Calibri"/>
      <family val="2"/>
      <scheme val="minor"/>
    </font>
    <font>
      <sz val="11"/>
      <color rgb="FF00B0F0"/>
      <name val="Calibri"/>
      <family val="2"/>
      <scheme val="minor"/>
    </font>
    <font>
      <sz val="12"/>
      <name val="Calibri"/>
      <family val="2"/>
      <scheme val="minor"/>
    </font>
    <font>
      <sz val="11"/>
      <color theme="4"/>
      <name val="Calibri"/>
      <family val="2"/>
      <scheme val="minor"/>
    </font>
    <font>
      <b/>
      <sz val="14"/>
      <color theme="1"/>
      <name val="Calibri"/>
      <family val="2"/>
      <scheme val="minor"/>
    </font>
    <font>
      <sz val="16"/>
      <color theme="1"/>
      <name val="Calibri"/>
      <family val="2"/>
      <scheme val="minor"/>
    </font>
    <font>
      <sz val="12"/>
      <color theme="1"/>
      <name val="Calibri"/>
      <family val="2"/>
      <scheme val="minor"/>
    </font>
    <font>
      <sz val="11"/>
      <color theme="1"/>
      <name val="Verdana"/>
      <family val="2"/>
    </font>
    <font>
      <sz val="18"/>
      <color theme="3"/>
      <name val="Cambria"/>
      <family val="2"/>
      <scheme val="major"/>
    </font>
    <font>
      <sz val="11"/>
      <color rgb="FF9C0006"/>
      <name val="Calibri"/>
      <family val="2"/>
      <scheme val="minor"/>
    </font>
    <font>
      <sz val="10"/>
      <name val="Arial"/>
      <family val="2"/>
    </font>
    <font>
      <sz val="10"/>
      <color rgb="FF0000FF"/>
      <name val="Calibri"/>
      <family val="2"/>
    </font>
    <font>
      <b/>
      <sz val="16"/>
      <color theme="0"/>
      <name val="Calibri"/>
      <family val="2"/>
      <scheme val="minor"/>
    </font>
    <font>
      <b/>
      <sz val="13"/>
      <color theme="0"/>
      <name val="Calibri"/>
      <family val="2"/>
      <scheme val="minor"/>
    </font>
    <font>
      <b/>
      <sz val="11"/>
      <name val="Calibri"/>
      <family val="2"/>
    </font>
    <font>
      <i/>
      <sz val="10"/>
      <name val="Calibri"/>
      <family val="2"/>
    </font>
    <font>
      <sz val="11"/>
      <name val="Arial"/>
      <family val="2"/>
    </font>
    <font>
      <u/>
      <sz val="8"/>
      <color indexed="12"/>
      <name val="Arial"/>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s>
  <fills count="11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C6F1FF"/>
        <bgColor indexed="64"/>
      </patternFill>
    </fill>
    <fill>
      <patternFill patternType="solid">
        <fgColor theme="0" tint="-0.24994659260841701"/>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indexed="63"/>
        <bgColor indexed="64"/>
      </patternFill>
    </fill>
    <fill>
      <patternFill patternType="solid">
        <fgColor indexed="62"/>
        <bgColor indexed="64"/>
      </patternFill>
    </fill>
    <fill>
      <patternFill patternType="solid">
        <fgColor theme="9"/>
        <bgColor indexed="64"/>
      </patternFill>
    </fill>
    <fill>
      <patternFill patternType="solid">
        <fgColor theme="7" tint="0.79998168889431442"/>
        <bgColor indexed="64"/>
      </patternFill>
    </fill>
    <fill>
      <patternFill patternType="solid">
        <fgColor rgb="FFFFCC99"/>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FFF"/>
        <bgColor indexed="64"/>
      </patternFill>
    </fill>
    <fill>
      <patternFill patternType="solid">
        <fgColor theme="4" tint="0.79998168889431442"/>
        <bgColor indexed="64"/>
      </patternFill>
    </fill>
    <fill>
      <patternFill patternType="solid">
        <fgColor rgb="FFF79646"/>
        <bgColor rgb="FF000000"/>
      </patternFill>
    </fill>
    <fill>
      <patternFill patternType="solid">
        <fgColor theme="4" tint="0.79998168889431442"/>
        <bgColor rgb="FF000000"/>
      </patternFill>
    </fill>
    <fill>
      <patternFill patternType="solid">
        <fgColor theme="4" tint="0.59999389629810485"/>
        <bgColor indexed="64"/>
      </patternFill>
    </fill>
    <fill>
      <patternFill patternType="solid">
        <fgColor theme="8" tint="0.79998168889431442"/>
        <bgColor indexed="64"/>
      </patternFill>
    </fill>
    <fill>
      <patternFill patternType="solid">
        <fgColor theme="8" tint="0.79998168889431442"/>
        <bgColor rgb="FF000000"/>
      </patternFill>
    </fill>
    <fill>
      <patternFill patternType="solid">
        <fgColor theme="8" tint="0.59999389629810485"/>
        <bgColor rgb="FF000000"/>
      </patternFill>
    </fill>
    <fill>
      <patternFill patternType="solid">
        <fgColor theme="0"/>
        <bgColor rgb="FF000000"/>
      </patternFill>
    </fill>
    <fill>
      <patternFill patternType="solid">
        <fgColor theme="6" tint="0.59999389629810485"/>
        <bgColor indexed="64"/>
      </patternFill>
    </fill>
    <fill>
      <patternFill patternType="solid">
        <fgColor indexed="44"/>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BED6EE"/>
        <bgColor indexed="64"/>
      </patternFill>
    </fill>
    <fill>
      <patternFill patternType="solid">
        <fgColor theme="6" tint="0.59996337778862885"/>
        <bgColor indexed="64"/>
      </patternFill>
    </fill>
    <fill>
      <patternFill patternType="solid">
        <fgColor indexed="9"/>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26"/>
        <bgColor indexed="64"/>
      </patternFill>
    </fill>
    <fill>
      <patternFill patternType="solid">
        <fgColor indexed="40"/>
      </patternFill>
    </fill>
    <fill>
      <patternFill patternType="solid">
        <fgColor theme="4"/>
        <bgColor theme="4"/>
      </patternFill>
    </fill>
    <fill>
      <patternFill patternType="solid">
        <fgColor rgb="FFFFC000"/>
        <bgColor theme="4"/>
      </patternFill>
    </fill>
    <fill>
      <patternFill patternType="solid">
        <fgColor theme="4" tint="0.79998168889431442"/>
        <bgColor theme="4" tint="0.79998168889431442"/>
      </patternFill>
    </fill>
    <fill>
      <patternFill patternType="solid">
        <fgColor rgb="FFFFC9C9"/>
        <bgColor indexed="64"/>
      </patternFill>
    </fill>
  </fills>
  <borders count="115">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indexed="64"/>
      </left>
      <right/>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0000"/>
      </left>
      <right/>
      <top style="thick">
        <color rgb="FFFF0000"/>
      </top>
      <bottom/>
      <diagonal/>
    </border>
    <border>
      <left style="thin">
        <color auto="1"/>
      </left>
      <right style="thin">
        <color auto="1"/>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style="thin">
        <color auto="1"/>
      </left>
      <right style="thin">
        <color auto="1"/>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thin">
        <color rgb="FFFF0000"/>
      </left>
      <right style="thin">
        <color rgb="FFFF0000"/>
      </right>
      <top/>
      <bottom style="thin">
        <color rgb="FFFF0000"/>
      </bottom>
      <diagonal/>
    </border>
    <border>
      <left style="thin">
        <color rgb="FFFF0000"/>
      </left>
      <right style="thin">
        <color rgb="FFFF0000"/>
      </right>
      <top/>
      <bottom/>
      <diagonal/>
    </border>
    <border>
      <left style="thin">
        <color rgb="FFFF0000"/>
      </left>
      <right/>
      <top style="thin">
        <color rgb="FFFF0000"/>
      </top>
      <bottom/>
      <diagonal/>
    </border>
    <border>
      <left style="thin">
        <color indexed="64"/>
      </left>
      <right style="thin">
        <color indexed="64"/>
      </right>
      <top style="thin">
        <color rgb="FFFF0000"/>
      </top>
      <bottom style="thin">
        <color indexed="64"/>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style="thin">
        <color indexed="64"/>
      </left>
      <right style="thin">
        <color rgb="FFFF0000"/>
      </right>
      <top style="thin">
        <color indexed="64"/>
      </top>
      <bottom style="thin">
        <color indexed="64"/>
      </bottom>
      <diagonal/>
    </border>
    <border>
      <left style="thin">
        <color rgb="FFFF0000"/>
      </left>
      <right/>
      <top/>
      <bottom style="thin">
        <color rgb="FFFF0000"/>
      </bottom>
      <diagonal/>
    </border>
    <border>
      <left style="medium">
        <color indexed="64"/>
      </left>
      <right style="thin">
        <color indexed="64"/>
      </right>
      <top style="thin">
        <color indexed="64"/>
      </top>
      <bottom style="thin">
        <color rgb="FFFF0000"/>
      </bottom>
      <diagonal/>
    </border>
    <border>
      <left style="thin">
        <color indexed="64"/>
      </left>
      <right style="thin">
        <color indexed="64"/>
      </right>
      <top style="thin">
        <color indexed="64"/>
      </top>
      <bottom style="thin">
        <color rgb="FFFF0000"/>
      </bottom>
      <diagonal/>
    </border>
    <border>
      <left style="thin">
        <color indexed="64"/>
      </left>
      <right style="thin">
        <color rgb="FFFF0000"/>
      </right>
      <top style="thin">
        <color indexed="64"/>
      </top>
      <bottom style="thin">
        <color rgb="FFFF0000"/>
      </bottom>
      <diagonal/>
    </border>
    <border>
      <left/>
      <right style="thin">
        <color indexed="64"/>
      </right>
      <top/>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ck">
        <color auto="1"/>
      </right>
      <top/>
      <bottom/>
      <diagonal/>
    </border>
    <border>
      <left/>
      <right/>
      <top style="thin">
        <color theme="4"/>
      </top>
      <bottom style="double">
        <color theme="4"/>
      </bottom>
      <diagonal/>
    </border>
    <border>
      <left/>
      <right/>
      <top/>
      <bottom style="thin">
        <color indexed="50"/>
      </bottom>
      <diagonal/>
    </border>
    <border>
      <left style="medium">
        <color indexed="64"/>
      </left>
      <right style="medium">
        <color indexed="64"/>
      </right>
      <top style="thin">
        <color indexed="64"/>
      </top>
      <bottom style="medium">
        <color indexed="64"/>
      </bottom>
      <diagonal/>
    </border>
    <border>
      <left/>
      <right/>
      <top/>
      <bottom style="thick">
        <color indexed="4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55822">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34"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0" fontId="39" fillId="0" borderId="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40"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60" fillId="0" borderId="0"/>
    <xf numFmtId="3" fontId="63" fillId="41" borderId="43" applyBorder="0" applyAlignment="0" applyProtection="0"/>
    <xf numFmtId="0" fontId="64" fillId="0" borderId="0" applyNumberFormat="0" applyFill="0" applyBorder="0" applyAlignment="0" applyProtection="0"/>
    <xf numFmtId="0" fontId="65" fillId="33" borderId="0" applyNumberFormat="0" applyAlignment="0" applyProtection="0"/>
    <xf numFmtId="0" fontId="65" fillId="33" borderId="44" applyNumberFormat="0" applyAlignment="0" applyProtection="0"/>
    <xf numFmtId="0" fontId="66" fillId="42" borderId="45" applyNumberFormat="0" applyAlignment="0" applyProtection="0"/>
    <xf numFmtId="3" fontId="67" fillId="37" borderId="0"/>
    <xf numFmtId="3" fontId="68" fillId="37" borderId="43" applyBorder="0" applyAlignment="0" applyProtection="0">
      <alignment horizontal="center" vertical="center"/>
    </xf>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17" fillId="21" borderId="2" applyNumberFormat="0" applyAlignment="0" applyProtection="0"/>
    <xf numFmtId="0" fontId="17" fillId="21" borderId="2" applyNumberFormat="0" applyAlignment="0" applyProtection="0"/>
    <xf numFmtId="173" fontId="11"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0" fontId="72" fillId="43" borderId="0" applyNumberFormat="0" applyBorder="0" applyAlignment="0" applyProtection="0"/>
    <xf numFmtId="0" fontId="73"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39" fillId="0" borderId="0" applyFont="0" applyFill="0" applyBorder="0" applyAlignment="0" applyProtection="0"/>
    <xf numFmtId="0" fontId="69" fillId="45" borderId="46" applyNumberFormat="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0" fontId="74" fillId="44" borderId="0" applyNumberFormat="0" applyBorder="0" applyAlignment="0" applyProtection="0"/>
    <xf numFmtId="0" fontId="40"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40" fillId="48"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11" fillId="0" borderId="0" applyNumberFormat="0" applyFont="0" applyFill="0" applyBorder="0" applyProtection="0">
      <alignment horizontal="left" vertical="center" indent="5"/>
    </xf>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1" fillId="77" borderId="43" applyNumberFormat="0" applyAlignment="0" applyProtection="0"/>
    <xf numFmtId="164" fontId="1" fillId="0" borderId="0" applyFont="0" applyFill="0" applyBorder="0" applyAlignment="0" applyProtection="0"/>
    <xf numFmtId="43" fontId="1" fillId="0" borderId="0" applyFont="0" applyFill="0" applyBorder="0" applyAlignment="0" applyProtection="0"/>
    <xf numFmtId="0" fontId="69" fillId="45" borderId="46" applyNumberFormat="0" applyAlignment="0" applyProtection="0"/>
    <xf numFmtId="0" fontId="85" fillId="0" borderId="0" applyNumberFormat="0" applyFill="0" applyBorder="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83" fillId="0" borderId="0" applyFill="0" applyBorder="0"/>
    <xf numFmtId="0" fontId="11" fillId="0" borderId="0"/>
    <xf numFmtId="0" fontId="40" fillId="0" borderId="0"/>
    <xf numFmtId="0" fontId="40" fillId="0" borderId="0"/>
    <xf numFmtId="0" fontId="39" fillId="0" borderId="0"/>
    <xf numFmtId="0" fontId="40" fillId="0" borderId="0"/>
    <xf numFmtId="0" fontId="44" fillId="0" borderId="0"/>
    <xf numFmtId="0" fontId="35" fillId="0" borderId="0"/>
    <xf numFmtId="4" fontId="37" fillId="0" borderId="1" applyFill="0" applyBorder="0" applyProtection="0">
      <alignment horizontal="right" vertical="center"/>
    </xf>
    <xf numFmtId="0" fontId="11" fillId="24" borderId="0" applyNumberFormat="0" applyFont="0" applyBorder="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0" fontId="29" fillId="0" borderId="8" applyNumberFormat="0" applyFill="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4" fillId="0" borderId="0"/>
    <xf numFmtId="0" fontId="11" fillId="0" borderId="0"/>
    <xf numFmtId="0" fontId="124" fillId="0" borderId="0"/>
    <xf numFmtId="0" fontId="11" fillId="0" borderId="0"/>
    <xf numFmtId="0" fontId="40" fillId="0" borderId="0"/>
    <xf numFmtId="0" fontId="124" fillId="0" borderId="0"/>
    <xf numFmtId="9" fontId="124" fillId="0" borderId="0" applyFont="0" applyFill="0" applyBorder="0" applyAlignment="0" applyProtection="0"/>
    <xf numFmtId="0" fontId="40" fillId="0" borderId="0"/>
    <xf numFmtId="0" fontId="40" fillId="0" borderId="0"/>
    <xf numFmtId="0" fontId="85" fillId="0" borderId="0" applyNumberFormat="0" applyFill="0" applyBorder="0" applyAlignment="0" applyProtection="0"/>
    <xf numFmtId="0" fontId="124" fillId="0" borderId="0"/>
    <xf numFmtId="0" fontId="141" fillId="0" borderId="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0" fontId="11" fillId="0" borderId="0"/>
    <xf numFmtId="0" fontId="44" fillId="0" borderId="0"/>
    <xf numFmtId="0" fontId="11" fillId="0" borderId="0"/>
    <xf numFmtId="0" fontId="40"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181" fontId="11" fillId="0" borderId="0"/>
    <xf numFmtId="181" fontId="11" fillId="0" borderId="0"/>
    <xf numFmtId="3" fontId="11" fillId="37" borderId="43" applyFont="0" applyFill="0" applyBorder="0" applyAlignment="0" applyProtection="0"/>
    <xf numFmtId="3" fontId="11" fillId="37" borderId="43" applyFont="0" applyFill="0" applyBorder="0" applyAlignment="0" applyProtection="0"/>
    <xf numFmtId="3" fontId="142" fillId="95" borderId="43"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43" applyNumberFormat="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81"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5"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2" fontId="67" fillId="96" borderId="0" applyNumberFormat="0" applyBorder="0" applyAlignment="0" applyProtection="0">
      <alignment horizontal="center"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143" fillId="33" borderId="0" applyNumberFormat="0" applyAlignment="0" applyProtection="0"/>
    <xf numFmtId="0" fontId="144" fillId="36" borderId="0" applyNumberFormat="0" applyAlignment="0" applyProtection="0"/>
    <xf numFmtId="0" fontId="66" fillId="42" borderId="0" applyNumberFormat="0" applyAlignment="0" applyProtection="0"/>
    <xf numFmtId="182" fontId="145" fillId="97" borderId="0" applyNumberFormat="0" applyFill="0" applyBorder="0" applyAlignment="0">
      <alignment horizont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2" fillId="0" borderId="11" applyNumberFormat="0" applyFill="0" applyAlignment="0" applyProtection="0"/>
    <xf numFmtId="0" fontId="2" fillId="0" borderId="11" applyNumberFormat="0" applyFill="0" applyAlignment="0" applyProtection="0"/>
    <xf numFmtId="0" fontId="68" fillId="31" borderId="43" applyNumberFormat="0" applyFill="0" applyBorder="0" applyAlignment="0" applyProtection="0"/>
    <xf numFmtId="0" fontId="146" fillId="31" borderId="43"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3" fontId="63" fillId="41" borderId="43" applyBorder="0" applyAlignment="0" applyProtection="0"/>
    <xf numFmtId="164" fontId="11" fillId="0" borderId="0" applyFont="0" applyFill="0" applyBorder="0" applyAlignment="0" applyProtection="0"/>
    <xf numFmtId="0" fontId="73" fillId="0" borderId="0" applyNumberFormat="0" applyFill="0" applyBorder="0" applyAlignment="0" applyProtection="0"/>
    <xf numFmtId="0" fontId="20" fillId="7" borderId="2" applyNumberFormat="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23" fillId="21" borderId="10"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0" fontId="11" fillId="0" borderId="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39" fillId="0" borderId="0" applyFont="0" applyFill="0" applyBorder="0" applyAlignment="0" applyProtection="0"/>
    <xf numFmtId="0" fontId="22" fillId="23" borderId="0" applyNumberFormat="0" applyBorder="0" applyAlignment="0" applyProtection="0"/>
    <xf numFmtId="168"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1" fontId="2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1" fillId="0" borderId="0"/>
    <xf numFmtId="3" fontId="142" fillId="95" borderId="43"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7" borderId="43"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11" fillId="0" borderId="0"/>
    <xf numFmtId="0" fontId="39" fillId="0" borderId="0"/>
    <xf numFmtId="0" fontId="83" fillId="0" borderId="0" applyFill="0" applyBorder="0"/>
    <xf numFmtId="0" fontId="39"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20" fillId="7" borderId="2" applyNumberFormat="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40" fillId="0" borderId="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11" fillId="0" borderId="0" applyFont="0" applyFill="0" applyBorder="0" applyAlignment="0" applyProtection="0"/>
    <xf numFmtId="0" fontId="140" fillId="30" borderId="0"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7" borderId="43" applyNumberFormat="0" applyAlignment="0" applyProtection="0"/>
    <xf numFmtId="43" fontId="40"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1" fillId="0" borderId="0"/>
    <xf numFmtId="0" fontId="39" fillId="0" borderId="0"/>
    <xf numFmtId="0" fontId="11" fillId="0" borderId="0"/>
    <xf numFmtId="0" fontId="11" fillId="0" borderId="0"/>
    <xf numFmtId="0" fontId="11" fillId="0" borderId="0"/>
    <xf numFmtId="0" fontId="40" fillId="0" borderId="0"/>
    <xf numFmtId="0" fontId="40" fillId="0" borderId="0"/>
    <xf numFmtId="0" fontId="40" fillId="0" borderId="0"/>
    <xf numFmtId="164" fontId="35" fillId="0" borderId="0" applyFont="0" applyFill="0" applyBorder="0" applyAlignment="0" applyProtection="0"/>
    <xf numFmtId="0" fontId="40" fillId="0" borderId="0"/>
    <xf numFmtId="0" fontId="40" fillId="0" borderId="0"/>
    <xf numFmtId="0" fontId="44" fillId="0" borderId="0"/>
    <xf numFmtId="0" fontId="11" fillId="0" borderId="0"/>
    <xf numFmtId="0" fontId="40" fillId="0" borderId="0"/>
    <xf numFmtId="0" fontId="40" fillId="0" borderId="0"/>
    <xf numFmtId="0" fontId="35" fillId="0" borderId="0"/>
    <xf numFmtId="0" fontId="40" fillId="0" borderId="0"/>
    <xf numFmtId="0" fontId="40"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0" fontId="39" fillId="0" borderId="0"/>
    <xf numFmtId="0" fontId="20" fillId="7" borderId="2"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85" fillId="0" borderId="0" applyNumberForma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11" fillId="0" borderId="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23" fillId="21" borderId="10"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40" fillId="0" borderId="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8"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3" fillId="21" borderId="10" applyNumberFormat="0" applyAlignment="0" applyProtection="0"/>
    <xf numFmtId="0" fontId="11"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0" borderId="0" applyNumberFormat="0" applyFont="0" applyFill="0" applyBorder="0" applyProtection="0">
      <alignment horizontal="left" vertical="center" indent="5"/>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11" fillId="0" borderId="0" applyNumberFormat="0" applyFont="0" applyFill="0" applyBorder="0" applyProtection="0">
      <alignment horizontal="left" vertical="center" indent="5"/>
    </xf>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40" fillId="0" borderId="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9"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0" fontId="35" fillId="25" borderId="9" applyNumberFormat="0" applyFon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169" fontId="35" fillId="0" borderId="0" applyFont="0" applyFill="0" applyBorder="0" applyAlignment="0" applyProtection="0"/>
    <xf numFmtId="0" fontId="23" fillId="21" borderId="10" applyNumberForma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4" fontId="35" fillId="0" borderId="0" applyFont="0" applyFill="0" applyBorder="0" applyAlignment="0" applyProtection="0"/>
    <xf numFmtId="3" fontId="67" fillId="37" borderId="0"/>
    <xf numFmtId="170" fontId="35" fillId="0" borderId="0" applyFont="0" applyFill="0" applyBorder="0" applyAlignment="0" applyProtection="0"/>
    <xf numFmtId="0" fontId="37" fillId="0" borderId="5">
      <alignment horizontal="left" vertical="center" wrapText="1" indent="2"/>
    </xf>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1" fillId="25" borderId="9"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3" fillId="21" borderId="10"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 fillId="0" borderId="11" applyNumberFormat="0" applyFill="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68"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1" fontId="21" fillId="0" borderId="0" applyFont="0" applyFill="0" applyBorder="0" applyAlignment="0" applyProtection="0"/>
    <xf numFmtId="0" fontId="29" fillId="0" borderId="8" applyNumberFormat="0" applyFill="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 fontId="37" fillId="0" borderId="1" applyFill="0" applyBorder="0" applyProtection="0">
      <alignment horizontal="right" vertical="center"/>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0" fillId="7" borderId="2" applyNumberFormat="0" applyAlignment="0" applyProtection="0"/>
    <xf numFmtId="0" fontId="37" fillId="0" borderId="5">
      <alignment horizontal="left" vertical="center" wrapText="1" indent="2"/>
    </xf>
    <xf numFmtId="0" fontId="17" fillId="21" borderId="2" applyNumberFormat="0" applyAlignment="0" applyProtection="0"/>
    <xf numFmtId="0" fontId="17" fillId="21" borderId="2" applyNumberFormat="0" applyAlignment="0" applyProtection="0"/>
    <xf numFmtId="0" fontId="29" fillId="0" borderId="8" applyNumberFormat="0" applyFill="0" applyAlignment="0" applyProtection="0"/>
    <xf numFmtId="4" fontId="37" fillId="0" borderId="1" applyFill="0" applyBorder="0" applyProtection="0">
      <alignment horizontal="right" vertical="center"/>
    </xf>
    <xf numFmtId="0" fontId="20" fillId="7" borderId="2" applyNumberFormat="0" applyAlignment="0" applyProtection="0"/>
    <xf numFmtId="0" fontId="37" fillId="0" borderId="5">
      <alignment horizontal="left" vertical="center" wrapText="1" indent="2"/>
    </xf>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7" fillId="21" borderId="2" applyNumberFormat="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0" fillId="7" borderId="2"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71" fontId="11" fillId="0" borderId="0" applyFont="0" applyFill="0" applyBorder="0" applyAlignment="0" applyProtection="0"/>
    <xf numFmtId="181"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83" fillId="0" borderId="0" applyFill="0" applyBorder="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25" borderId="9" applyNumberFormat="0" applyFon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1"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9"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0" borderId="0"/>
    <xf numFmtId="0" fontId="23" fillId="21" borderId="10" applyNumberFormat="0" applyAlignment="0" applyProtection="0"/>
    <xf numFmtId="0" fontId="40" fillId="0" borderId="0"/>
    <xf numFmtId="0" fontId="40" fillId="0" borderId="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25" borderId="9" applyNumberFormat="0" applyFont="0" applyAlignment="0" applyProtection="0"/>
    <xf numFmtId="0" fontId="11"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5" fillId="25" borderId="9" applyNumberFormat="0" applyFont="0" applyAlignment="0" applyProtection="0"/>
    <xf numFmtId="0" fontId="29" fillId="0" borderId="8" applyNumberFormat="0" applyFill="0" applyAlignment="0" applyProtection="0"/>
    <xf numFmtId="0" fontId="29" fillId="0" borderId="8" applyNumberFormat="0" applyFill="0" applyAlignment="0" applyProtection="0"/>
    <xf numFmtId="0" fontId="11" fillId="25" borderId="9" applyNumberFormat="0" applyFont="0" applyAlignment="0" applyProtection="0"/>
    <xf numFmtId="164" fontId="35" fillId="0" borderId="0" applyFont="0" applyFill="0" applyBorder="0" applyAlignment="0" applyProtection="0"/>
    <xf numFmtId="0" fontId="37" fillId="0" borderId="5">
      <alignment horizontal="left" vertical="center" wrapText="1" indent="2"/>
    </xf>
    <xf numFmtId="4" fontId="37" fillId="0" borderId="1" applyFill="0" applyBorder="0" applyProtection="0">
      <alignment horizontal="right" vertical="center"/>
    </xf>
    <xf numFmtId="4" fontId="37" fillId="0" borderId="1" applyFill="0" applyBorder="0" applyProtection="0">
      <alignment horizontal="right" vertical="center"/>
    </xf>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3" fontId="11" fillId="97" borderId="2" applyFont="0" applyFill="0" applyBorder="0" applyAlignment="0" applyProtection="0"/>
    <xf numFmtId="3" fontId="11" fillId="97" borderId="2"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0" fontId="31" fillId="3" borderId="0" applyNumberFormat="0" applyBorder="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3" fontId="142" fillId="95" borderId="2" applyNumberFormat="0" applyBorder="0" applyAlignment="0" applyProtection="0"/>
    <xf numFmtId="0" fontId="149" fillId="0" borderId="0"/>
    <xf numFmtId="0" fontId="150" fillId="0" borderId="0">
      <alignment horizontal="right"/>
    </xf>
    <xf numFmtId="0" fontId="151" fillId="0" borderId="0"/>
    <xf numFmtId="0" fontId="152" fillId="0" borderId="0"/>
    <xf numFmtId="0" fontId="153" fillId="0" borderId="0"/>
    <xf numFmtId="0" fontId="154" fillId="0" borderId="109" applyNumberFormat="0" applyAlignment="0"/>
    <xf numFmtId="0" fontId="155" fillId="0" borderId="0" applyAlignment="0">
      <alignment horizontal="left"/>
    </xf>
    <xf numFmtId="0" fontId="155" fillId="0" borderId="0">
      <alignment horizontal="right"/>
    </xf>
    <xf numFmtId="179" fontId="155" fillId="0" borderId="0">
      <alignment horizontal="right"/>
    </xf>
    <xf numFmtId="167" fontId="156" fillId="0" borderId="0">
      <alignment horizontal="right"/>
    </xf>
    <xf numFmtId="0" fontId="157" fillId="0" borderId="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7" fillId="37" borderId="2" applyNumberFormat="0" applyBorder="0" applyAlignment="0" applyProtection="0"/>
    <xf numFmtId="0" fontId="19" fillId="22" borderId="4"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3"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0" borderId="0" applyFont="0" applyFill="0" applyBorder="0" applyAlignment="0" applyProtection="0"/>
    <xf numFmtId="0" fontId="25" fillId="0" borderId="0" applyNumberFormat="0" applyFill="0" applyBorder="0" applyAlignment="0" applyProtection="0"/>
    <xf numFmtId="0" fontId="32" fillId="4"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148" fillId="0" borderId="0" applyNumberFormat="0" applyFill="0" applyBorder="0" applyAlignment="0" applyProtection="0">
      <alignment vertical="top"/>
      <protection locked="0"/>
    </xf>
    <xf numFmtId="0" fontId="158" fillId="0" borderId="0" applyNumberFormat="0" applyFill="0" applyBorder="0" applyAlignment="0" applyProtection="0">
      <alignment vertical="top"/>
      <protection locked="0"/>
    </xf>
    <xf numFmtId="0" fontId="20" fillId="7" borderId="2"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0" fontId="81" fillId="77" borderId="43" applyNumberFormat="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48" fillId="0" borderId="0" applyNumberFormat="0" applyFill="0" applyBorder="0" applyAlignment="0" applyProtection="0">
      <alignment vertical="top"/>
      <protection locked="0"/>
    </xf>
    <xf numFmtId="164" fontId="11" fillId="0" borderId="0" applyFon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159" fillId="0" borderId="0" applyNumberFormat="0" applyFill="0" applyBorder="0" applyAlignment="0" applyProtection="0">
      <alignment vertical="top"/>
      <protection locked="0"/>
    </xf>
    <xf numFmtId="0" fontId="18" fillId="0" borderId="3" applyNumberFormat="0" applyFill="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35"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0" fontId="40"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0" fontId="62" fillId="73" borderId="1" applyNumberFormat="0" applyProtection="0">
      <alignment horizontal="right"/>
    </xf>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4" fillId="0" borderId="0"/>
    <xf numFmtId="0" fontId="11" fillId="0" borderId="0"/>
    <xf numFmtId="0" fontId="39" fillId="0" borderId="0"/>
    <xf numFmtId="9" fontId="11" fillId="0" borderId="0" applyFont="0" applyFill="0" applyBorder="0" applyAlignment="0" applyProtection="0"/>
    <xf numFmtId="0" fontId="11" fillId="0" borderId="0" applyNumberFormat="0" applyFont="0" applyFill="0" applyBorder="0" applyProtection="0">
      <alignment horizontal="left" vertical="center" indent="2"/>
    </xf>
    <xf numFmtId="4" fontId="37" fillId="98" borderId="1">
      <alignment horizontal="right" vertical="center"/>
    </xf>
    <xf numFmtId="0" fontId="33" fillId="0" borderId="0" applyNumberFormat="0">
      <alignment horizontal="right"/>
    </xf>
    <xf numFmtId="0" fontId="33" fillId="0" borderId="110">
      <alignment horizontal="left" vertical="top" wrapText="1"/>
    </xf>
    <xf numFmtId="0" fontId="11" fillId="0" borderId="15"/>
    <xf numFmtId="0" fontId="161" fillId="0" borderId="0" applyNumberFormat="0" applyFill="0" applyBorder="0" applyAlignment="0" applyProtection="0"/>
    <xf numFmtId="4" fontId="37" fillId="0" borderId="93">
      <alignment horizontal="right" vertical="center"/>
    </xf>
    <xf numFmtId="0" fontId="37" fillId="24" borderId="1"/>
    <xf numFmtId="0" fontId="37" fillId="0" borderId="0"/>
    <xf numFmtId="0" fontId="11" fillId="0" borderId="0"/>
    <xf numFmtId="0" fontId="40" fillId="46" borderId="47" applyNumberFormat="0" applyFon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3" fillId="21" borderId="10" applyNumberFormat="0" applyAlignment="0" applyProtection="0"/>
    <xf numFmtId="0" fontId="23" fillId="21" borderId="10" applyNumberFormat="0" applyAlignment="0" applyProtection="0"/>
    <xf numFmtId="9" fontId="40" fillId="0" borderId="0" applyFont="0" applyFill="0" applyBorder="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60" fillId="0" borderId="0" applyNumberFormat="0" applyFill="0" applyBorder="0" applyAlignment="0" applyProtection="0"/>
    <xf numFmtId="0" fontId="2" fillId="0" borderId="11" applyNumberFormat="0" applyFill="0" applyAlignment="0" applyProtection="0"/>
    <xf numFmtId="0" fontId="11" fillId="0" borderId="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3" fontId="162" fillId="0" borderId="0" applyFont="0" applyFill="0" applyBorder="0" applyAlignment="0" applyProtection="0"/>
    <xf numFmtId="184" fontId="11" fillId="0" borderId="0"/>
    <xf numFmtId="184" fontId="11" fillId="0" borderId="0"/>
    <xf numFmtId="184" fontId="11" fillId="0" borderId="0"/>
    <xf numFmtId="184" fontId="11" fillId="0" borderId="0"/>
    <xf numFmtId="184" fontId="11" fillId="0" borderId="0"/>
    <xf numFmtId="0" fontId="39" fillId="0" borderId="0"/>
    <xf numFmtId="185" fontId="162" fillId="0" borderId="0" applyFont="0" applyFill="0" applyBorder="0" applyAlignment="0" applyProtection="0"/>
    <xf numFmtId="0" fontId="162" fillId="0" borderId="0" applyFont="0" applyFill="0" applyBorder="0" applyAlignment="0" applyProtection="0"/>
    <xf numFmtId="0" fontId="39" fillId="0" borderId="0"/>
    <xf numFmtId="2" fontId="162"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37" fillId="0" borderId="1" applyFill="0" applyBorder="0" applyProtection="0">
      <alignment horizontal="right" vertical="center"/>
    </xf>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9"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163" fillId="26" borderId="111" applyNumberFormat="0" applyProtection="0">
      <alignment vertical="center"/>
    </xf>
    <xf numFmtId="4" fontId="164" fillId="26" borderId="111" applyNumberFormat="0" applyProtection="0">
      <alignment vertical="center"/>
    </xf>
    <xf numFmtId="4" fontId="165" fillId="23" borderId="111" applyNumberFormat="0" applyProtection="0">
      <alignment horizontal="left" vertical="center" indent="1"/>
    </xf>
    <xf numFmtId="0" fontId="11" fillId="0" borderId="0"/>
    <xf numFmtId="4" fontId="166" fillId="99" borderId="111" applyNumberFormat="0" applyProtection="0">
      <alignment horizontal="left" vertical="center" indent="1"/>
    </xf>
    <xf numFmtId="4" fontId="167" fillId="100" borderId="111" applyNumberFormat="0" applyProtection="0">
      <alignment vertical="center"/>
    </xf>
    <xf numFmtId="0" fontId="11" fillId="0" borderId="0"/>
    <xf numFmtId="0" fontId="11" fillId="0" borderId="0"/>
    <xf numFmtId="0" fontId="11" fillId="0" borderId="0"/>
    <xf numFmtId="4" fontId="147" fillId="20" borderId="111" applyNumberFormat="0" applyProtection="0">
      <alignment vertical="center"/>
    </xf>
    <xf numFmtId="0" fontId="11" fillId="0" borderId="0"/>
    <xf numFmtId="0" fontId="11" fillId="0" borderId="0"/>
    <xf numFmtId="0" fontId="11" fillId="0" borderId="0"/>
    <xf numFmtId="4" fontId="167" fillId="101" borderId="111" applyNumberFormat="0" applyProtection="0">
      <alignment vertical="center"/>
    </xf>
    <xf numFmtId="0" fontId="11" fillId="0" borderId="0"/>
    <xf numFmtId="0" fontId="11" fillId="0" borderId="0"/>
    <xf numFmtId="0" fontId="11" fillId="0" borderId="0"/>
    <xf numFmtId="4" fontId="168" fillId="100" borderId="111" applyNumberFormat="0" applyProtection="0">
      <alignment vertical="center"/>
    </xf>
    <xf numFmtId="4" fontId="169" fillId="102" borderId="111" applyNumberFormat="0" applyProtection="0">
      <alignment horizontal="left" vertical="center" indent="1"/>
    </xf>
    <xf numFmtId="4" fontId="169" fillId="99" borderId="111" applyNumberFormat="0" applyProtection="0">
      <alignment horizontal="left" vertical="center" indent="1"/>
    </xf>
    <xf numFmtId="4" fontId="169" fillId="99" borderId="111" applyNumberFormat="0" applyProtection="0">
      <alignment horizontal="left" vertical="center" indent="1"/>
    </xf>
    <xf numFmtId="4" fontId="170" fillId="92" borderId="111" applyNumberFormat="0" applyProtection="0">
      <alignment vertical="center"/>
    </xf>
    <xf numFmtId="4" fontId="171" fillId="97" borderId="111" applyNumberFormat="0" applyProtection="0">
      <alignment horizontal="left" vertical="center" indent="1"/>
    </xf>
    <xf numFmtId="4" fontId="172" fillId="99" borderId="0" applyNumberFormat="0" applyProtection="0">
      <alignment horizontal="left" vertical="center" indent="1"/>
    </xf>
    <xf numFmtId="4" fontId="173" fillId="99" borderId="0"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174" fillId="97" borderId="111" applyNumberFormat="0" applyProtection="0">
      <alignment vertical="center"/>
    </xf>
    <xf numFmtId="4" fontId="175" fillId="97" borderId="111" applyNumberFormat="0" applyProtection="0">
      <alignment vertical="center"/>
    </xf>
    <xf numFmtId="4" fontId="176" fillId="103" borderId="111" applyNumberFormat="0" applyProtection="0">
      <alignment horizontal="left" vertical="center" indent="1"/>
    </xf>
    <xf numFmtId="0" fontId="11" fillId="0" borderId="0"/>
    <xf numFmtId="4" fontId="177" fillId="97" borderId="111" applyNumberFormat="0" applyProtection="0">
      <alignment horizontal="right" vertical="center"/>
    </xf>
    <xf numFmtId="4" fontId="178" fillId="97" borderId="111" applyNumberFormat="0" applyProtection="0">
      <alignment vertical="center"/>
    </xf>
    <xf numFmtId="4" fontId="177" fillId="25" borderId="111" applyNumberFormat="0" applyProtection="0">
      <alignment horizontal="left" vertical="center"/>
    </xf>
    <xf numFmtId="0" fontId="11" fillId="0" borderId="0"/>
    <xf numFmtId="4" fontId="179" fillId="97" borderId="111" applyNumberFormat="0" applyProtection="0">
      <alignment vertical="center"/>
    </xf>
    <xf numFmtId="4" fontId="180" fillId="97" borderId="111" applyNumberFormat="0" applyProtection="0">
      <alignment vertical="center"/>
    </xf>
    <xf numFmtId="4" fontId="176" fillId="104" borderId="111" applyNumberFormat="0" applyProtection="0">
      <alignment horizontal="left" vertical="center" indent="1"/>
    </xf>
    <xf numFmtId="4" fontId="181" fillId="105" borderId="0" applyNumberFormat="0" applyProtection="0">
      <alignment horizontal="left" indent="1"/>
    </xf>
    <xf numFmtId="4" fontId="182" fillId="97" borderId="111" applyNumberFormat="0" applyProtection="0">
      <alignment vertical="center"/>
    </xf>
    <xf numFmtId="3" fontId="11" fillId="97" borderId="2" applyFont="0" applyFill="0" applyBorder="0" applyAlignment="0" applyProtection="0"/>
    <xf numFmtId="3" fontId="11" fillId="97" borderId="2" applyFont="0" applyFill="0" applyBorder="0" applyAlignment="0" applyProtection="0"/>
    <xf numFmtId="0" fontId="41" fillId="30" borderId="0" applyNumberFormat="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164"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9" fontId="11" fillId="0" borderId="1" applyFill="0" applyProtection="0">
      <alignment horizontal="righ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24" borderId="1"/>
    <xf numFmtId="0" fontId="11" fillId="0" borderId="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7" fillId="21" borderId="2" applyNumberFormat="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 fontId="37" fillId="0" borderId="1" applyFill="0" applyBorder="0" applyProtection="0">
      <alignment horizontal="right" vertical="center"/>
    </xf>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62" fillId="73" borderId="1" applyNumberFormat="0" applyProtection="0">
      <alignment horizontal="lef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3" fontId="63" fillId="41" borderId="43"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9" fontId="11" fillId="0" borderId="1" applyFill="0" applyProtection="0">
      <alignment horizontal="right"/>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49" fontId="11" fillId="0" borderId="1" applyFill="0" applyProtection="0">
      <alignment horizontal="right"/>
    </xf>
    <xf numFmtId="1" fontId="11" fillId="0" borderId="1" applyFill="0" applyProtection="0">
      <alignment horizontal="right" vertical="top" wrapText="1"/>
    </xf>
    <xf numFmtId="43"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2" fontId="11" fillId="0" borderId="1" applyFill="0" applyProtection="0">
      <alignment horizontal="right" vertical="top" wrapText="1"/>
    </xf>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11" fillId="0" borderId="0"/>
    <xf numFmtId="0" fontId="40" fillId="0" borderId="0"/>
    <xf numFmtId="9" fontId="40" fillId="0" borderId="0" applyFont="0" applyFill="0" applyBorder="0" applyAlignment="0" applyProtection="0"/>
    <xf numFmtId="0" fontId="62" fillId="73" borderId="1" applyNumberFormat="0" applyProtection="0">
      <alignment horizontal="left"/>
    </xf>
    <xf numFmtId="0" fontId="62" fillId="73" borderId="1" applyNumberFormat="0" applyProtection="0">
      <alignment horizontal="right"/>
    </xf>
    <xf numFmtId="2" fontId="11" fillId="0" borderId="1" applyFill="0" applyProtection="0">
      <alignment horizontal="right" vertical="top" wrapText="1"/>
    </xf>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2"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62" fillId="73" borderId="1" applyNumberFormat="0" applyProtection="0">
      <alignment horizontal="left"/>
    </xf>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11"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right"/>
    </xf>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40" fillId="0" borderId="0"/>
    <xf numFmtId="164" fontId="35"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0" fontId="40" fillId="0" borderId="0"/>
    <xf numFmtId="0" fontId="62" fillId="73" borderId="1" applyNumberFormat="0" applyProtection="0">
      <alignment horizontal="right"/>
    </xf>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left"/>
    </xf>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11" fillId="0" borderId="0"/>
    <xf numFmtId="0"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2"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40" fillId="0" borderId="0"/>
    <xf numFmtId="1" fontId="11" fillId="0" borderId="1" applyFill="0" applyProtection="0">
      <alignment horizontal="right" vertical="top" wrapText="1"/>
    </xf>
    <xf numFmtId="9"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9" fontId="11" fillId="0" borderId="1" applyFill="0" applyProtection="0">
      <alignment horizontal="right"/>
    </xf>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4" fillId="0" borderId="0"/>
    <xf numFmtId="0" fontId="11" fillId="0" borderId="0"/>
    <xf numFmtId="0" fontId="11" fillId="0" borderId="0"/>
    <xf numFmtId="0" fontId="11" fillId="0" borderId="0"/>
    <xf numFmtId="0" fontId="11" fillId="0" borderId="0"/>
    <xf numFmtId="182" fontId="11" fillId="0" borderId="0"/>
    <xf numFmtId="0" fontId="11" fillId="0" borderId="0"/>
    <xf numFmtId="0" fontId="11" fillId="0" borderId="0"/>
    <xf numFmtId="182" fontId="11" fillId="0" borderId="0"/>
    <xf numFmtId="181" fontId="11" fillId="0" borderId="0"/>
    <xf numFmtId="0" fontId="83" fillId="0" borderId="0" applyFill="0" applyBorder="0"/>
    <xf numFmtId="181" fontId="11" fillId="0" borderId="0"/>
    <xf numFmtId="0" fontId="83" fillId="0" borderId="0" applyFill="0" applyBorder="0"/>
    <xf numFmtId="181" fontId="11" fillId="0" borderId="0"/>
    <xf numFmtId="0" fontId="11" fillId="0" borderId="0"/>
    <xf numFmtId="0" fontId="11" fillId="0" borderId="0"/>
    <xf numFmtId="0" fontId="98" fillId="0" borderId="0"/>
    <xf numFmtId="0" fontId="98" fillId="0" borderId="0"/>
    <xf numFmtId="0" fontId="98" fillId="0" borderId="0"/>
    <xf numFmtId="0" fontId="98" fillId="0" borderId="0"/>
    <xf numFmtId="0" fontId="98" fillId="0" borderId="0"/>
    <xf numFmtId="0" fontId="98" fillId="0" borderId="0"/>
    <xf numFmtId="181" fontId="183" fillId="0" borderId="0"/>
    <xf numFmtId="0" fontId="39" fillId="0" borderId="0"/>
    <xf numFmtId="181" fontId="183" fillId="0" borderId="0"/>
    <xf numFmtId="0" fontId="11" fillId="0" borderId="0"/>
    <xf numFmtId="0" fontId="11" fillId="0" borderId="0"/>
    <xf numFmtId="0" fontId="98" fillId="0" borderId="0"/>
    <xf numFmtId="0" fontId="98" fillId="0" borderId="0"/>
    <xf numFmtId="0" fontId="98" fillId="0" borderId="0"/>
    <xf numFmtId="182" fontId="7" fillId="37" borderId="0" applyNumberFormat="0" applyBorder="0" applyAlignment="0"/>
    <xf numFmtId="0" fontId="83" fillId="0" borderId="0" applyFill="0" applyBorder="0"/>
    <xf numFmtId="0" fontId="11" fillId="0" borderId="0"/>
    <xf numFmtId="0" fontId="83" fillId="0" borderId="0" applyFill="0" applyBorder="0"/>
    <xf numFmtId="0" fontId="83" fillId="0" borderId="0" applyFill="0" applyBorder="0"/>
    <xf numFmtId="182" fontId="7" fillId="37" borderId="0" applyNumberFormat="0" applyBorder="0" applyAlignment="0"/>
    <xf numFmtId="0" fontId="11" fillId="0" borderId="0"/>
    <xf numFmtId="0" fontId="11" fillId="0" borderId="0"/>
    <xf numFmtId="0" fontId="44" fillId="0" borderId="0"/>
    <xf numFmtId="0" fontId="11" fillId="0" borderId="0"/>
    <xf numFmtId="0" fontId="11" fillId="0" borderId="0"/>
    <xf numFmtId="0" fontId="44" fillId="0" borderId="0"/>
    <xf numFmtId="0" fontId="11" fillId="0" borderId="0"/>
    <xf numFmtId="0" fontId="11" fillId="0" borderId="0"/>
    <xf numFmtId="0" fontId="39" fillId="0" borderId="0"/>
    <xf numFmtId="182" fontId="7" fillId="37" borderId="0" applyNumberFormat="0" applyBorder="0" applyAlignment="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82" fillId="31" borderId="71" applyNumberFormat="0" applyAlignment="0" applyProtection="0"/>
    <xf numFmtId="0" fontId="39" fillId="0" borderId="0"/>
    <xf numFmtId="179" fontId="8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39"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26" fillId="0" borderId="0" applyNumberFormat="0" applyFill="0" applyBorder="0" applyAlignment="0" applyProtection="0"/>
    <xf numFmtId="0" fontId="46" fillId="0" borderId="108"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24" fillId="0" borderId="0" applyNumberFormat="0" applyFill="0" applyBorder="0" applyAlignment="0" applyProtection="0"/>
    <xf numFmtId="0" fontId="47" fillId="0" borderId="0" applyNumberForma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9" fontId="40" fillId="0" borderId="0" applyFont="0" applyFill="0" applyBorder="0" applyAlignment="0" applyProtection="0"/>
    <xf numFmtId="0" fontId="40" fillId="0" borderId="0"/>
  </cellStyleXfs>
  <cellXfs count="1362">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3" fontId="49" fillId="0" borderId="13" xfId="0" applyNumberFormat="1" applyFont="1" applyBorder="1" applyAlignment="1">
      <alignment horizontal="center" wrapText="1"/>
    </xf>
    <xf numFmtId="17" fontId="49" fillId="0" borderId="13" xfId="0" applyNumberFormat="1"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8" fillId="0" borderId="17" xfId="0" applyFont="1" applyBorder="1" applyAlignment="1">
      <alignment horizontal="center" wrapText="1"/>
    </xf>
    <xf numFmtId="0" fontId="52" fillId="0" borderId="13" xfId="0" applyFont="1" applyBorder="1" applyAlignment="1">
      <alignment vertical="top" wrapText="1"/>
    </xf>
    <xf numFmtId="0" fontId="48" fillId="0" borderId="15" xfId="0" applyFont="1" applyBorder="1" applyAlignment="1">
      <alignment horizontal="center" wrapText="1"/>
    </xf>
    <xf numFmtId="0" fontId="48" fillId="0" borderId="17" xfId="0" applyFont="1" applyBorder="1" applyAlignment="1">
      <alignment horizontal="center" vertical="top"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1257" applyNumberFormat="1" applyFont="1" applyFill="1"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0" fontId="49" fillId="0" borderId="17" xfId="0" quotePrefix="1" applyFont="1" applyBorder="1" applyAlignment="1">
      <alignment horizontal="center" wrapText="1"/>
    </xf>
    <xf numFmtId="0" fontId="48" fillId="0" borderId="17" xfId="0" quotePrefix="1" applyFont="1" applyBorder="1" applyAlignment="1">
      <alignment horizontal="center" wrapText="1"/>
    </xf>
    <xf numFmtId="16" fontId="48"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0" fontId="48" fillId="0" borderId="13" xfId="0" quotePrefix="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49" fillId="0" borderId="15" xfId="0" applyFont="1" applyBorder="1" applyAlignment="1">
      <alignment horizontal="center" wrapText="1"/>
    </xf>
    <xf numFmtId="0" fontId="49" fillId="0" borderId="13" xfId="0" applyFont="1" applyBorder="1" applyAlignment="1">
      <alignment horizontal="center" wrapText="1"/>
    </xf>
    <xf numFmtId="0" fontId="0" fillId="33" borderId="0" xfId="0" applyFill="1"/>
    <xf numFmtId="165" fontId="49" fillId="33" borderId="13" xfId="0" applyNumberFormat="1" applyFont="1" applyFill="1" applyBorder="1" applyAlignment="1">
      <alignment horizontal="center" wrapText="1"/>
    </xf>
    <xf numFmtId="166" fontId="40" fillId="32" borderId="0" xfId="47" applyNumberFormat="1" applyFont="1" applyFill="1"/>
    <xf numFmtId="0" fontId="49" fillId="33" borderId="13" xfId="0" applyFont="1" applyFill="1" applyBorder="1" applyAlignment="1">
      <alignment horizontal="center" wrapText="1"/>
    </xf>
    <xf numFmtId="0" fontId="51" fillId="33" borderId="15" xfId="0" applyFont="1" applyFill="1" applyBorder="1" applyAlignment="1">
      <alignment horizontal="center" wrapText="1"/>
    </xf>
    <xf numFmtId="166" fontId="47" fillId="32" borderId="0" xfId="47" applyNumberFormat="1" applyFont="1" applyFill="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4" borderId="20" xfId="0" applyFont="1" applyFill="1" applyBorder="1" applyAlignment="1">
      <alignment horizontal="right" vertical="center" wrapText="1"/>
    </xf>
    <xf numFmtId="0" fontId="8" fillId="34" borderId="20" xfId="0" applyFont="1" applyFill="1" applyBorder="1" applyAlignment="1">
      <alignment horizontal="center" vertical="center" wrapText="1"/>
    </xf>
    <xf numFmtId="0" fontId="8" fillId="34" borderId="20" xfId="0" applyFont="1" applyFill="1" applyBorder="1" applyAlignment="1">
      <alignment horizontal="center" vertical="center"/>
    </xf>
    <xf numFmtId="0" fontId="53"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4" fillId="0" borderId="1" xfId="0" applyFont="1" applyBorder="1"/>
    <xf numFmtId="166" fontId="54" fillId="0" borderId="1" xfId="0" applyNumberFormat="1" applyFont="1" applyBorder="1"/>
    <xf numFmtId="166" fontId="40" fillId="32" borderId="1" xfId="47" applyNumberFormat="1" applyFont="1" applyFill="1" applyBorder="1"/>
    <xf numFmtId="0" fontId="0" fillId="0" borderId="1" xfId="0" applyBorder="1"/>
    <xf numFmtId="0" fontId="0" fillId="0" borderId="21" xfId="0" applyBorder="1"/>
    <xf numFmtId="0" fontId="55" fillId="33" borderId="0" xfId="0" applyFont="1" applyFill="1"/>
    <xf numFmtId="0" fontId="0" fillId="0" borderId="0" xfId="0" applyFill="1"/>
    <xf numFmtId="0" fontId="55" fillId="0" borderId="0" xfId="0" applyFont="1" applyFill="1"/>
    <xf numFmtId="0" fontId="55" fillId="33" borderId="22" xfId="0" applyFont="1" applyFill="1" applyBorder="1"/>
    <xf numFmtId="0" fontId="47" fillId="32" borderId="0" xfId="0" applyFont="1" applyFill="1"/>
    <xf numFmtId="0" fontId="55" fillId="32" borderId="0" xfId="0" applyFont="1" applyFill="1"/>
    <xf numFmtId="0" fontId="55" fillId="33" borderId="1" xfId="0" applyFont="1" applyFill="1" applyBorder="1"/>
    <xf numFmtId="0" fontId="47" fillId="32" borderId="1" xfId="0" applyFont="1" applyFill="1" applyBorder="1"/>
    <xf numFmtId="0" fontId="47" fillId="0" borderId="0" xfId="0" applyFont="1"/>
    <xf numFmtId="0" fontId="47" fillId="32" borderId="18" xfId="0" applyFont="1" applyFill="1" applyBorder="1" applyAlignment="1">
      <alignment horizontal="center"/>
    </xf>
    <xf numFmtId="0" fontId="55" fillId="32" borderId="18" xfId="0" applyFont="1" applyFill="1" applyBorder="1"/>
    <xf numFmtId="0" fontId="0" fillId="0" borderId="0" xfId="0" applyAlignment="1">
      <alignment wrapText="1"/>
    </xf>
    <xf numFmtId="16" fontId="49" fillId="0" borderId="0" xfId="0" quotePrefix="1" applyNumberFormat="1" applyFont="1" applyBorder="1" applyAlignment="1">
      <alignment horizontal="center" wrapText="1"/>
    </xf>
    <xf numFmtId="0" fontId="49" fillId="0" borderId="0" xfId="0" quotePrefix="1" applyFont="1" applyBorder="1" applyAlignment="1">
      <alignment horizontal="center" wrapText="1"/>
    </xf>
    <xf numFmtId="0" fontId="48" fillId="0" borderId="21" xfId="0" applyFont="1" applyBorder="1" applyAlignment="1">
      <alignment wrapText="1"/>
    </xf>
    <xf numFmtId="0" fontId="54" fillId="0" borderId="0" xfId="0" applyFont="1"/>
    <xf numFmtId="0" fontId="49" fillId="0" borderId="15" xfId="0" applyFont="1" applyBorder="1" applyAlignment="1">
      <alignment horizontal="center" wrapText="1"/>
    </xf>
    <xf numFmtId="0" fontId="49" fillId="0" borderId="13" xfId="0" applyFont="1" applyBorder="1" applyAlignment="1">
      <alignment horizontal="center" wrapText="1"/>
    </xf>
    <xf numFmtId="0" fontId="54" fillId="0" borderId="1" xfId="0" applyFont="1" applyFill="1" applyBorder="1" applyAlignment="1">
      <alignment horizontal="center"/>
    </xf>
    <xf numFmtId="0" fontId="54" fillId="0" borderId="1" xfId="0" applyFont="1" applyBorder="1" applyAlignment="1">
      <alignment horizontal="center"/>
    </xf>
    <xf numFmtId="0" fontId="0" fillId="35" borderId="1" xfId="0" applyFill="1" applyBorder="1"/>
    <xf numFmtId="0" fontId="56" fillId="0" borderId="0" xfId="0" applyFont="1"/>
    <xf numFmtId="0" fontId="0" fillId="0" borderId="0" xfId="0" applyAlignment="1">
      <alignment horizontal="center"/>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13" xfId="0" applyFont="1" applyFill="1" applyBorder="1" applyAlignment="1">
      <alignment wrapText="1"/>
    </xf>
    <xf numFmtId="0" fontId="56" fillId="0" borderId="0" xfId="0" applyFont="1" applyAlignment="1">
      <alignment horizontal="left" indent="6"/>
    </xf>
    <xf numFmtId="0" fontId="57" fillId="0" borderId="0" xfId="0" applyFont="1"/>
    <xf numFmtId="0" fontId="48" fillId="0" borderId="15" xfId="0" applyFont="1" applyFill="1" applyBorder="1" applyAlignment="1">
      <alignment horizontal="center" vertical="top" wrapText="1"/>
    </xf>
    <xf numFmtId="0" fontId="48" fillId="0" borderId="18" xfId="0" applyFont="1" applyFill="1" applyBorder="1" applyAlignment="1">
      <alignment horizontal="center" wrapText="1"/>
    </xf>
    <xf numFmtId="0" fontId="48" fillId="0" borderId="23" xfId="0" applyFont="1" applyBorder="1" applyAlignment="1">
      <alignment wrapText="1"/>
    </xf>
    <xf numFmtId="0" fontId="48" fillId="0" borderId="26" xfId="0" applyFont="1" applyFill="1" applyBorder="1" applyAlignment="1">
      <alignment wrapText="1"/>
    </xf>
    <xf numFmtId="0" fontId="48" fillId="0" borderId="27" xfId="0" applyFont="1" applyFill="1" applyBorder="1" applyAlignment="1">
      <alignment wrapText="1"/>
    </xf>
    <xf numFmtId="0" fontId="48" fillId="0" borderId="28" xfId="0" applyFont="1" applyFill="1" applyBorder="1" applyAlignment="1">
      <alignment wrapText="1"/>
    </xf>
    <xf numFmtId="0" fontId="48" fillId="0" borderId="17" xfId="0" applyFont="1" applyFill="1" applyBorder="1" applyAlignment="1">
      <alignment wrapText="1"/>
    </xf>
    <xf numFmtId="0" fontId="48" fillId="0" borderId="18" xfId="0" applyFont="1" applyBorder="1" applyAlignment="1">
      <alignment vertical="center" wrapText="1"/>
    </xf>
    <xf numFmtId="1" fontId="0" fillId="32" borderId="0" xfId="0" applyNumberFormat="1" applyFill="1"/>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164" fontId="40" fillId="32" borderId="0" xfId="47" applyNumberFormat="1" applyFont="1" applyFill="1"/>
    <xf numFmtId="0" fontId="48" fillId="0" borderId="12" xfId="0" applyFont="1" applyBorder="1" applyAlignment="1">
      <alignment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9" fontId="48" fillId="0" borderId="13" xfId="968" applyFont="1" applyBorder="1" applyAlignment="1">
      <alignment wrapText="1"/>
    </xf>
    <xf numFmtId="0" fontId="48" fillId="0" borderId="13" xfId="0" applyFont="1" applyFill="1" applyBorder="1" applyAlignment="1">
      <alignment wrapText="1"/>
    </xf>
    <xf numFmtId="0" fontId="48" fillId="0" borderId="12" xfId="0" applyFont="1" applyFill="1" applyBorder="1" applyAlignment="1">
      <alignment wrapText="1"/>
    </xf>
    <xf numFmtId="0" fontId="48" fillId="0" borderId="18" xfId="0" applyFont="1" applyFill="1" applyBorder="1" applyAlignment="1">
      <alignment wrapText="1"/>
    </xf>
    <xf numFmtId="166" fontId="48" fillId="0" borderId="18" xfId="47" quotePrefix="1" applyNumberFormat="1" applyFont="1" applyBorder="1" applyAlignment="1">
      <alignment wrapText="1"/>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9" fillId="0" borderId="29"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3" xfId="0" applyFont="1" applyBorder="1" applyAlignment="1">
      <alignment horizontal="center" vertical="center"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0" fontId="48" fillId="0" borderId="30" xfId="0" applyFont="1" applyBorder="1" applyAlignment="1">
      <alignment vertical="center" wrapText="1"/>
    </xf>
    <xf numFmtId="0" fontId="48" fillId="0" borderId="16" xfId="0" applyFont="1" applyBorder="1" applyAlignment="1">
      <alignment vertical="center" wrapText="1"/>
    </xf>
    <xf numFmtId="0" fontId="48" fillId="0" borderId="12" xfId="0" applyFont="1" applyBorder="1" applyAlignment="1">
      <alignment vertical="center"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0" fontId="48" fillId="0" borderId="13" xfId="0" applyFont="1" applyFill="1" applyBorder="1" applyAlignment="1">
      <alignment wrapText="1"/>
    </xf>
    <xf numFmtId="9" fontId="48" fillId="0" borderId="13" xfId="968" applyFont="1" applyFill="1" applyBorder="1" applyAlignment="1">
      <alignment wrapText="1"/>
    </xf>
    <xf numFmtId="0" fontId="48" fillId="0" borderId="12" xfId="0" applyFont="1" applyFill="1" applyBorder="1" applyAlignment="1">
      <alignment wrapText="1"/>
    </xf>
    <xf numFmtId="0" fontId="58" fillId="0" borderId="13" xfId="0" applyFont="1" applyFill="1" applyBorder="1" applyAlignment="1">
      <alignment wrapText="1"/>
    </xf>
    <xf numFmtId="0" fontId="48" fillId="0" borderId="13" xfId="0" applyFont="1" applyBorder="1" applyAlignment="1">
      <alignment vertical="top" wrapText="1"/>
    </xf>
    <xf numFmtId="0" fontId="48" fillId="0" borderId="30" xfId="0" applyFont="1" applyFill="1" applyBorder="1" applyAlignment="1">
      <alignment wrapText="1"/>
    </xf>
    <xf numFmtId="0" fontId="48" fillId="0" borderId="30" xfId="0" applyFont="1" applyBorder="1" applyAlignment="1">
      <alignment wrapText="1"/>
    </xf>
    <xf numFmtId="0" fontId="48" fillId="0" borderId="18" xfId="0" applyFont="1" applyFill="1" applyBorder="1" applyAlignment="1">
      <alignment wrapText="1"/>
    </xf>
    <xf numFmtId="0" fontId="48" fillId="0" borderId="25" xfId="0" applyFont="1" applyFill="1" applyBorder="1" applyAlignment="1">
      <alignment wrapText="1"/>
    </xf>
    <xf numFmtId="0" fontId="48" fillId="0" borderId="25" xfId="0" applyFont="1" applyFill="1" applyBorder="1" applyAlignment="1">
      <alignment horizontal="center" wrapText="1"/>
    </xf>
    <xf numFmtId="9" fontId="48" fillId="0" borderId="13" xfId="0" applyNumberFormat="1" applyFont="1" applyFill="1" applyBorder="1" applyAlignment="1">
      <alignment wrapText="1"/>
    </xf>
    <xf numFmtId="0" fontId="48" fillId="0" borderId="18" xfId="0" applyFont="1" applyBorder="1" applyAlignment="1">
      <alignment vertical="center" wrapText="1"/>
    </xf>
    <xf numFmtId="0" fontId="48" fillId="0" borderId="25" xfId="0" applyFont="1" applyBorder="1" applyAlignment="1">
      <alignment vertical="center" wrapText="1"/>
    </xf>
    <xf numFmtId="166" fontId="40" fillId="0" borderId="0" xfId="47" applyNumberFormat="1" applyFont="1" applyAlignment="1">
      <alignment horizontal="center"/>
    </xf>
    <xf numFmtId="0" fontId="7" fillId="26" borderId="31" xfId="0" applyFont="1" applyFill="1" applyBorder="1" applyAlignment="1">
      <alignment horizontal="left" vertical="center" wrapText="1"/>
    </xf>
    <xf numFmtId="0" fontId="8" fillId="34" borderId="20" xfId="0" applyFont="1" applyFill="1" applyBorder="1" applyAlignment="1">
      <alignment horizontal="left" vertical="center" wrapText="1"/>
    </xf>
    <xf numFmtId="0" fontId="8" fillId="34" borderId="32" xfId="0" applyFont="1" applyFill="1" applyBorder="1" applyAlignment="1">
      <alignment horizontal="right" vertical="center" wrapText="1"/>
    </xf>
    <xf numFmtId="0" fontId="11" fillId="0" borderId="0" xfId="550"/>
    <xf numFmtId="0" fontId="11" fillId="0" borderId="0" xfId="550" applyFill="1"/>
    <xf numFmtId="0" fontId="11" fillId="0" borderId="0" xfId="550" applyFont="1" applyFill="1"/>
    <xf numFmtId="0" fontId="11" fillId="28" borderId="0" xfId="550" applyFill="1"/>
    <xf numFmtId="0" fontId="0" fillId="0" borderId="0" xfId="0" applyAlignment="1">
      <alignment horizontal="left"/>
    </xf>
    <xf numFmtId="0" fontId="0" fillId="0" borderId="0" xfId="0" applyBorder="1" applyAlignment="1">
      <alignment horizontal="left"/>
    </xf>
    <xf numFmtId="0" fontId="48" fillId="0" borderId="29" xfId="0" applyFont="1" applyBorder="1" applyAlignment="1">
      <alignment vertical="center" wrapText="1"/>
    </xf>
    <xf numFmtId="0" fontId="48" fillId="0" borderId="17" xfId="0" applyFont="1" applyBorder="1" applyAlignment="1">
      <alignment vertical="center" wrapText="1"/>
    </xf>
    <xf numFmtId="0" fontId="48" fillId="0" borderId="13" xfId="0" applyFont="1" applyBorder="1" applyAlignment="1">
      <alignment vertical="center" wrapText="1"/>
    </xf>
    <xf numFmtId="0" fontId="49" fillId="0" borderId="13" xfId="0" applyFont="1" applyBorder="1" applyAlignment="1">
      <alignment horizontal="center" wrapText="1"/>
    </xf>
    <xf numFmtId="0" fontId="48" fillId="32" borderId="13" xfId="0" applyFont="1" applyFill="1" applyBorder="1" applyAlignment="1">
      <alignment horizontal="center" wrapText="1"/>
    </xf>
    <xf numFmtId="0" fontId="48" fillId="32" borderId="18" xfId="0" applyFont="1" applyFill="1" applyBorder="1" applyAlignment="1">
      <alignment wrapText="1"/>
    </xf>
    <xf numFmtId="0" fontId="48" fillId="32" borderId="12" xfId="0" applyFont="1" applyFill="1" applyBorder="1" applyAlignment="1">
      <alignment wrapText="1"/>
    </xf>
    <xf numFmtId="0" fontId="48" fillId="33" borderId="12" xfId="0" quotePrefix="1" applyNumberFormat="1" applyFont="1" applyFill="1" applyBorder="1" applyAlignment="1">
      <alignment wrapText="1"/>
    </xf>
    <xf numFmtId="0" fontId="48" fillId="33" borderId="13" xfId="0" applyFont="1" applyFill="1" applyBorder="1" applyAlignment="1">
      <alignment wrapText="1"/>
    </xf>
    <xf numFmtId="0" fontId="48" fillId="33" borderId="12" xfId="0" applyFont="1" applyFill="1" applyBorder="1" applyAlignment="1">
      <alignment wrapText="1"/>
    </xf>
    <xf numFmtId="0" fontId="49" fillId="32" borderId="17" xfId="0" applyFont="1" applyFill="1" applyBorder="1" applyAlignment="1">
      <alignment horizontal="center" wrapText="1"/>
    </xf>
    <xf numFmtId="0" fontId="40" fillId="32" borderId="1" xfId="47" applyNumberFormat="1" applyFont="1" applyFill="1" applyBorder="1"/>
    <xf numFmtId="0" fontId="49" fillId="37" borderId="17" xfId="0" applyFont="1" applyFill="1" applyBorder="1" applyAlignment="1">
      <alignment horizontal="center" wrapText="1"/>
    </xf>
    <xf numFmtId="0" fontId="40" fillId="32" borderId="0" xfId="47" applyNumberFormat="1" applyFont="1" applyFill="1"/>
    <xf numFmtId="0" fontId="49" fillId="32" borderId="0" xfId="0" applyFont="1" applyFill="1" applyBorder="1" applyAlignment="1">
      <alignment horizontal="center" wrapText="1"/>
    </xf>
    <xf numFmtId="0" fontId="49" fillId="32" borderId="33" xfId="0" applyFont="1" applyFill="1" applyBorder="1" applyAlignment="1">
      <alignment horizontal="center" wrapText="1"/>
    </xf>
    <xf numFmtId="0" fontId="49" fillId="32" borderId="34" xfId="0" applyFont="1" applyFill="1" applyBorder="1" applyAlignment="1">
      <alignment horizontal="center" wrapText="1"/>
    </xf>
    <xf numFmtId="0" fontId="49" fillId="32" borderId="29" xfId="0" applyFont="1" applyFill="1" applyBorder="1" applyAlignment="1">
      <alignment horizontal="center" wrapText="1"/>
    </xf>
    <xf numFmtId="0" fontId="49" fillId="32" borderId="35" xfId="0" applyFont="1" applyFill="1" applyBorder="1" applyAlignment="1">
      <alignment horizontal="center" wrapText="1"/>
    </xf>
    <xf numFmtId="0" fontId="49" fillId="32" borderId="14" xfId="0" applyFont="1" applyFill="1" applyBorder="1" applyAlignment="1">
      <alignment horizontal="center" wrapText="1"/>
    </xf>
    <xf numFmtId="0" fontId="49" fillId="32" borderId="15" xfId="0" applyFont="1" applyFill="1" applyBorder="1" applyAlignment="1">
      <alignment horizontal="center" wrapText="1"/>
    </xf>
    <xf numFmtId="0" fontId="48" fillId="32" borderId="33" xfId="0" applyFont="1" applyFill="1" applyBorder="1" applyAlignment="1">
      <alignment vertical="center" wrapText="1"/>
    </xf>
    <xf numFmtId="0" fontId="54" fillId="0" borderId="1" xfId="0" applyNumberFormat="1" applyFont="1" applyBorder="1"/>
    <xf numFmtId="0" fontId="54" fillId="0" borderId="0" xfId="0" applyFont="1" applyBorder="1" applyAlignment="1">
      <alignment horizontal="center"/>
    </xf>
    <xf numFmtId="2" fontId="54" fillId="0" borderId="1" xfId="0" applyNumberFormat="1" applyFont="1" applyFill="1" applyBorder="1" applyAlignment="1">
      <alignment horizontal="center"/>
    </xf>
    <xf numFmtId="0" fontId="54" fillId="0" borderId="0" xfId="0" applyFont="1" applyFill="1" applyBorder="1" applyAlignment="1">
      <alignment horizontal="center"/>
    </xf>
    <xf numFmtId="2" fontId="0" fillId="0" borderId="1" xfId="0" applyNumberFormat="1" applyFill="1" applyBorder="1" applyAlignment="1">
      <alignment horizontal="center"/>
    </xf>
    <xf numFmtId="2" fontId="0" fillId="0" borderId="0" xfId="0" applyNumberFormat="1" applyFill="1" applyBorder="1" applyAlignment="1">
      <alignment horizontal="center"/>
    </xf>
    <xf numFmtId="0" fontId="0" fillId="0" borderId="36" xfId="0" applyBorder="1"/>
    <xf numFmtId="0" fontId="54" fillId="37" borderId="0" xfId="0" applyFont="1" applyFill="1" applyBorder="1" applyAlignment="1">
      <alignment horizontal="center"/>
    </xf>
    <xf numFmtId="0" fontId="54" fillId="37" borderId="0" xfId="47" applyNumberFormat="1" applyFont="1" applyFill="1" applyBorder="1" applyAlignment="1"/>
    <xf numFmtId="0" fontId="59" fillId="0" borderId="0" xfId="0" applyFont="1" applyFill="1" applyBorder="1" applyAlignment="1">
      <alignment horizontal="center"/>
    </xf>
    <xf numFmtId="172" fontId="11" fillId="28" borderId="0" xfId="550" applyNumberFormat="1" applyFill="1"/>
    <xf numFmtId="172" fontId="11" fillId="0" borderId="0" xfId="550" applyNumberFormat="1" applyFont="1"/>
    <xf numFmtId="172" fontId="7" fillId="26" borderId="19" xfId="550" applyNumberFormat="1" applyFont="1" applyFill="1" applyBorder="1" applyAlignment="1">
      <alignment horizontal="left" vertical="center" wrapText="1"/>
    </xf>
    <xf numFmtId="172" fontId="14" fillId="29" borderId="15" xfId="550" quotePrefix="1" applyNumberFormat="1" applyFont="1" applyFill="1" applyBorder="1" applyAlignment="1">
      <alignment horizontal="left" vertical="top" wrapText="1"/>
    </xf>
    <xf numFmtId="172" fontId="11" fillId="0" borderId="0" xfId="550" applyNumberFormat="1" applyFill="1"/>
    <xf numFmtId="172" fontId="0" fillId="0" borderId="0" xfId="0" applyNumberFormat="1"/>
    <xf numFmtId="172" fontId="13" fillId="0" borderId="0" xfId="550" applyNumberFormat="1" applyFont="1"/>
    <xf numFmtId="172" fontId="11" fillId="0" borderId="0" xfId="550" applyNumberFormat="1"/>
    <xf numFmtId="172" fontId="14" fillId="29" borderId="20" xfId="550" applyNumberFormat="1" applyFont="1" applyFill="1" applyBorder="1" applyAlignment="1">
      <alignment horizontal="left" vertical="top" wrapText="1"/>
    </xf>
    <xf numFmtId="172" fontId="14" fillId="29" borderId="20" xfId="550" quotePrefix="1" applyNumberFormat="1" applyFont="1" applyFill="1" applyBorder="1" applyAlignment="1">
      <alignment horizontal="left" vertical="top" wrapText="1"/>
    </xf>
    <xf numFmtId="172" fontId="12" fillId="0" borderId="0" xfId="550" applyNumberFormat="1" applyFont="1" applyFill="1" applyBorder="1" applyAlignment="1">
      <alignment horizontal="left"/>
    </xf>
    <xf numFmtId="172" fontId="13" fillId="0" borderId="0" xfId="550" applyNumberFormat="1" applyFont="1" applyFill="1" applyBorder="1" applyAlignment="1">
      <alignment horizontal="left" wrapText="1"/>
    </xf>
    <xf numFmtId="172" fontId="12" fillId="0" borderId="0" xfId="550"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59" fillId="0" borderId="0" xfId="0" applyFont="1"/>
    <xf numFmtId="0" fontId="0" fillId="0" borderId="0" xfId="0"/>
    <xf numFmtId="0" fontId="59"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9" fillId="0" borderId="0" xfId="0" applyNumberFormat="1" applyFont="1" applyFill="1" applyBorder="1" applyAlignment="1">
      <alignment horizontal="center"/>
    </xf>
    <xf numFmtId="0" fontId="0" fillId="38" borderId="0" xfId="0" applyFill="1"/>
    <xf numFmtId="0" fontId="51" fillId="0" borderId="0" xfId="0" applyFont="1" applyBorder="1" applyAlignment="1">
      <alignment horizontal="center" wrapText="1"/>
    </xf>
    <xf numFmtId="0" fontId="49" fillId="0" borderId="1" xfId="0" applyFont="1" applyFill="1" applyBorder="1" applyAlignment="1">
      <alignment horizontal="center" wrapText="1"/>
    </xf>
    <xf numFmtId="0" fontId="49" fillId="0" borderId="1" xfId="0" applyFont="1" applyBorder="1" applyAlignment="1">
      <alignment horizontal="center" wrapText="1"/>
    </xf>
    <xf numFmtId="0" fontId="48" fillId="0" borderId="1" xfId="0" applyFont="1" applyBorder="1" applyAlignment="1">
      <alignment wrapText="1"/>
    </xf>
    <xf numFmtId="0" fontId="49" fillId="0" borderId="26" xfId="0" applyFont="1" applyBorder="1" applyAlignment="1">
      <alignment horizontal="center" wrapText="1"/>
    </xf>
    <xf numFmtId="0" fontId="50" fillId="0" borderId="35" xfId="0" applyFont="1" applyBorder="1" applyAlignment="1">
      <alignment wrapText="1"/>
    </xf>
    <xf numFmtId="0" fontId="51" fillId="0" borderId="17" xfId="0" applyFont="1" applyBorder="1" applyAlignment="1">
      <alignment horizontal="center" wrapText="1"/>
    </xf>
    <xf numFmtId="49" fontId="49" fillId="0" borderId="1" xfId="0" quotePrefix="1" applyNumberFormat="1" applyFont="1" applyBorder="1" applyAlignment="1">
      <alignment horizontal="center" wrapText="1"/>
    </xf>
    <xf numFmtId="49" fontId="49" fillId="0" borderId="1" xfId="0" applyNumberFormat="1" applyFont="1" applyBorder="1" applyAlignment="1">
      <alignment horizontal="center" wrapText="1"/>
    </xf>
    <xf numFmtId="0" fontId="50" fillId="0" borderId="1" xfId="0" applyFont="1" applyBorder="1" applyAlignment="1">
      <alignment wrapText="1"/>
    </xf>
    <xf numFmtId="0" fontId="51" fillId="0" borderId="1" xfId="0" applyFont="1" applyBorder="1" applyAlignment="1">
      <alignment horizontal="center" wrapText="1"/>
    </xf>
    <xf numFmtId="49" fontId="51" fillId="0" borderId="1" xfId="0" applyNumberFormat="1" applyFont="1" applyBorder="1" applyAlignment="1">
      <alignment horizontal="center" wrapText="1"/>
    </xf>
    <xf numFmtId="0" fontId="48" fillId="0" borderId="0" xfId="0" applyFont="1" applyBorder="1" applyAlignment="1">
      <alignment wrapText="1"/>
    </xf>
    <xf numFmtId="0" fontId="50" fillId="0" borderId="37" xfId="0" applyFont="1" applyBorder="1" applyAlignment="1">
      <alignment wrapText="1"/>
    </xf>
    <xf numFmtId="0" fontId="49" fillId="0" borderId="28" xfId="0" applyFont="1" applyBorder="1" applyAlignment="1">
      <alignment horizontal="center" wrapText="1"/>
    </xf>
    <xf numFmtId="0" fontId="51" fillId="0" borderId="37" xfId="0" applyFont="1" applyBorder="1" applyAlignment="1">
      <alignment horizontal="center" wrapText="1"/>
    </xf>
    <xf numFmtId="0" fontId="51" fillId="0" borderId="38" xfId="0" applyFont="1" applyBorder="1" applyAlignment="1">
      <alignment horizontal="center" wrapText="1"/>
    </xf>
    <xf numFmtId="0" fontId="55" fillId="0" borderId="38" xfId="0" applyFont="1" applyFill="1" applyBorder="1"/>
    <xf numFmtId="49" fontId="49" fillId="0" borderId="39" xfId="0" applyNumberFormat="1" applyFont="1" applyBorder="1" applyAlignment="1">
      <alignment horizontal="center" wrapText="1"/>
    </xf>
    <xf numFmtId="165" fontId="49" fillId="0" borderId="26" xfId="0" applyNumberFormat="1" applyFont="1" applyFill="1" applyBorder="1" applyAlignment="1">
      <alignment horizontal="center" wrapText="1"/>
    </xf>
    <xf numFmtId="0" fontId="55" fillId="0" borderId="26" xfId="0" applyFont="1" applyFill="1" applyBorder="1"/>
    <xf numFmtId="167" fontId="0" fillId="32" borderId="0" xfId="0" applyNumberFormat="1" applyFill="1"/>
    <xf numFmtId="0" fontId="54" fillId="37" borderId="27" xfId="0" applyFont="1" applyFill="1" applyBorder="1" applyAlignment="1">
      <alignment horizontal="center"/>
    </xf>
    <xf numFmtId="2" fontId="0" fillId="33" borderId="1" xfId="0" applyNumberFormat="1" applyFill="1" applyBorder="1"/>
    <xf numFmtId="2" fontId="0" fillId="0" borderId="1" xfId="0" applyNumberFormat="1" applyFill="1" applyBorder="1"/>
    <xf numFmtId="0" fontId="0" fillId="0" borderId="1" xfId="0" applyFill="1" applyBorder="1"/>
    <xf numFmtId="0" fontId="59" fillId="0" borderId="1" xfId="0" applyFont="1" applyFill="1" applyBorder="1" applyAlignment="1">
      <alignment horizontal="center"/>
    </xf>
    <xf numFmtId="0" fontId="59" fillId="0" borderId="1" xfId="0" applyFont="1" applyBorder="1"/>
    <xf numFmtId="0" fontId="0" fillId="32" borderId="0" xfId="0" applyFill="1" applyBorder="1"/>
    <xf numFmtId="0" fontId="59" fillId="0" borderId="36" xfId="0" applyFont="1" applyFill="1" applyBorder="1" applyAlignment="1">
      <alignment horizontal="left"/>
    </xf>
    <xf numFmtId="172" fontId="11" fillId="0" borderId="0" xfId="550" applyNumberFormat="1" applyFont="1" applyFill="1" applyBorder="1" applyAlignment="1">
      <alignment horizontal="left"/>
    </xf>
    <xf numFmtId="172" fontId="0" fillId="0" borderId="0" xfId="0" applyNumberFormat="1" applyBorder="1"/>
    <xf numFmtId="172" fontId="11" fillId="0" borderId="0" xfId="550" applyNumberFormat="1" applyFill="1" applyBorder="1"/>
    <xf numFmtId="172" fontId="11" fillId="0" borderId="0" xfId="550" applyNumberFormat="1" applyFont="1" applyFill="1" applyBorder="1"/>
    <xf numFmtId="172" fontId="11" fillId="0" borderId="0" xfId="550" applyNumberFormat="1" applyFont="1" applyBorder="1"/>
    <xf numFmtId="0" fontId="59" fillId="0" borderId="40" xfId="0" applyFont="1" applyFill="1" applyBorder="1" applyAlignment="1">
      <alignment horizontal="left"/>
    </xf>
    <xf numFmtId="0" fontId="0" fillId="0" borderId="40" xfId="0"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2" fontId="0" fillId="0" borderId="0" xfId="48" applyNumberFormat="1" applyFont="1"/>
    <xf numFmtId="0" fontId="0" fillId="0" borderId="42" xfId="0" applyBorder="1"/>
    <xf numFmtId="0" fontId="0" fillId="0" borderId="27" xfId="0" applyBorder="1"/>
    <xf numFmtId="0" fontId="54" fillId="0" borderId="37" xfId="0" applyFont="1" applyFill="1" applyBorder="1" applyAlignment="1">
      <alignment horizontal="center"/>
    </xf>
    <xf numFmtId="0" fontId="54" fillId="37" borderId="21" xfId="0" applyFont="1" applyFill="1" applyBorder="1" applyAlignment="1">
      <alignment horizontal="center"/>
    </xf>
    <xf numFmtId="2" fontId="59" fillId="0" borderId="37" xfId="0" applyNumberFormat="1" applyFont="1" applyFill="1" applyBorder="1" applyAlignment="1">
      <alignment horizontal="center"/>
    </xf>
    <xf numFmtId="0" fontId="0" fillId="0" borderId="37" xfId="0" applyBorder="1"/>
    <xf numFmtId="0" fontId="54" fillId="0" borderId="39" xfId="0" applyFont="1" applyFill="1" applyBorder="1" applyAlignment="1">
      <alignment horizontal="center"/>
    </xf>
    <xf numFmtId="0" fontId="0" fillId="0" borderId="39" xfId="0" applyBorder="1"/>
    <xf numFmtId="0" fontId="0" fillId="0" borderId="39" xfId="0" applyFill="1" applyBorder="1"/>
    <xf numFmtId="0" fontId="7" fillId="39" borderId="19" xfId="0" applyFont="1" applyFill="1" applyBorder="1" applyAlignment="1">
      <alignment horizontal="right" vertical="center" wrapText="1"/>
    </xf>
    <xf numFmtId="0" fontId="59" fillId="0" borderId="0" xfId="0" quotePrefix="1" applyFont="1" applyFill="1" applyBorder="1" applyAlignment="1">
      <alignment horizontal="left"/>
    </xf>
    <xf numFmtId="0" fontId="0" fillId="0" borderId="0" xfId="0" applyFont="1"/>
    <xf numFmtId="0" fontId="0" fillId="37" borderId="0" xfId="0" applyFill="1" applyBorder="1"/>
    <xf numFmtId="0" fontId="7" fillId="37" borderId="0" xfId="0" applyFont="1" applyFill="1" applyBorder="1" applyAlignment="1">
      <alignment horizontal="right" vertical="center" wrapText="1"/>
    </xf>
    <xf numFmtId="0" fontId="8" fillId="37" borderId="0" xfId="0" applyFont="1" applyFill="1" applyBorder="1" applyAlignment="1">
      <alignment horizontal="right" vertical="center" wrapText="1"/>
    </xf>
    <xf numFmtId="0" fontId="8" fillId="37" borderId="0" xfId="0" applyFont="1" applyFill="1" applyBorder="1" applyAlignment="1">
      <alignment horizontal="center"/>
    </xf>
    <xf numFmtId="2" fontId="59" fillId="37" borderId="0" xfId="0" applyNumberFormat="1" applyFont="1" applyFill="1" applyBorder="1" applyAlignment="1">
      <alignment horizontal="center"/>
    </xf>
    <xf numFmtId="0" fontId="71" fillId="0" borderId="0" xfId="548" applyFont="1"/>
    <xf numFmtId="0" fontId="44" fillId="0" borderId="0" xfId="548"/>
    <xf numFmtId="0" fontId="46" fillId="0" borderId="0" xfId="548" applyFont="1"/>
    <xf numFmtId="0" fontId="46" fillId="0" borderId="36" xfId="548" applyFont="1" applyBorder="1"/>
    <xf numFmtId="0" fontId="0" fillId="0" borderId="0" xfId="548" applyFont="1"/>
    <xf numFmtId="0" fontId="70" fillId="72" borderId="0" xfId="548" applyFont="1" applyFill="1"/>
    <xf numFmtId="0" fontId="0" fillId="71" borderId="0" xfId="548" applyFont="1" applyFill="1"/>
    <xf numFmtId="0" fontId="0" fillId="75" borderId="0" xfId="548" applyFont="1" applyFill="1"/>
    <xf numFmtId="0" fontId="0" fillId="0" borderId="19" xfId="0" applyBorder="1"/>
    <xf numFmtId="0" fontId="8" fillId="0" borderId="0" xfId="0" applyFont="1" applyFill="1" applyBorder="1" applyAlignment="1">
      <alignment horizontal="center"/>
    </xf>
    <xf numFmtId="0" fontId="54" fillId="0" borderId="26" xfId="0" applyFont="1" applyFill="1" applyBorder="1" applyAlignment="1">
      <alignment horizontal="center"/>
    </xf>
    <xf numFmtId="0" fontId="77" fillId="0" borderId="0" xfId="0" applyFont="1" applyFill="1" applyBorder="1" applyAlignment="1">
      <alignment horizontal="right"/>
    </xf>
    <xf numFmtId="172" fontId="14" fillId="0" borderId="0" xfId="550" quotePrefix="1" applyNumberFormat="1" applyFont="1" applyFill="1" applyBorder="1" applyAlignment="1">
      <alignment horizontal="left" vertical="top" wrapText="1"/>
    </xf>
    <xf numFmtId="0" fontId="11" fillId="29" borderId="20" xfId="547" applyFont="1" applyFill="1" applyBorder="1" applyAlignment="1">
      <alignment horizontal="center" wrapText="1"/>
    </xf>
    <xf numFmtId="0" fontId="0" fillId="76" borderId="0" xfId="0" applyFill="1"/>
    <xf numFmtId="9" fontId="0" fillId="76" borderId="0" xfId="0" applyNumberFormat="1" applyFill="1"/>
    <xf numFmtId="0" fontId="46" fillId="76" borderId="0" xfId="0" applyFont="1" applyFill="1"/>
    <xf numFmtId="0" fontId="49" fillId="0" borderId="13" xfId="0" applyFont="1" applyBorder="1" applyAlignment="1">
      <alignment horizontal="center" wrapText="1"/>
    </xf>
    <xf numFmtId="175" fontId="40" fillId="32" borderId="1" xfId="47" applyNumberFormat="1" applyFont="1" applyFill="1" applyBorder="1"/>
    <xf numFmtId="0" fontId="0" fillId="32" borderId="48" xfId="0" applyFill="1" applyBorder="1"/>
    <xf numFmtId="0" fontId="0" fillId="0" borderId="49" xfId="0" applyBorder="1"/>
    <xf numFmtId="0" fontId="0" fillId="0" borderId="50" xfId="0" applyBorder="1"/>
    <xf numFmtId="0" fontId="0" fillId="0" borderId="51" xfId="0" applyBorder="1"/>
    <xf numFmtId="9" fontId="0" fillId="32" borderId="52" xfId="968" applyFont="1" applyFill="1" applyBorder="1"/>
    <xf numFmtId="0" fontId="0" fillId="0" borderId="53" xfId="0" applyBorder="1"/>
    <xf numFmtId="0" fontId="0" fillId="0" borderId="52" xfId="0" applyBorder="1"/>
    <xf numFmtId="0" fontId="0" fillId="0" borderId="27" xfId="0" applyFill="1" applyBorder="1"/>
    <xf numFmtId="0" fontId="0" fillId="32" borderId="52" xfId="0" applyFill="1" applyBorder="1"/>
    <xf numFmtId="0" fontId="78" fillId="0" borderId="52" xfId="0" applyFont="1" applyFill="1" applyBorder="1"/>
    <xf numFmtId="0" fontId="78" fillId="0" borderId="27" xfId="0" applyFont="1" applyBorder="1"/>
    <xf numFmtId="0" fontId="78" fillId="0" borderId="54" xfId="0" applyFont="1" applyFill="1" applyBorder="1"/>
    <xf numFmtId="0" fontId="78" fillId="0" borderId="55" xfId="0" applyFont="1" applyBorder="1"/>
    <xf numFmtId="0" fontId="0" fillId="0" borderId="56" xfId="0" applyBorder="1"/>
    <xf numFmtId="0" fontId="0" fillId="0" borderId="57" xfId="0" applyBorder="1"/>
    <xf numFmtId="0" fontId="0" fillId="32" borderId="60" xfId="0" applyFill="1" applyBorder="1"/>
    <xf numFmtId="166" fontId="40" fillId="32" borderId="61" xfId="47" applyNumberFormat="1" applyFont="1" applyFill="1" applyBorder="1"/>
    <xf numFmtId="0" fontId="55" fillId="33" borderId="62" xfId="0" applyFont="1" applyFill="1" applyBorder="1"/>
    <xf numFmtId="0" fontId="55" fillId="33" borderId="63" xfId="0" applyFont="1" applyFill="1" applyBorder="1"/>
    <xf numFmtId="0" fontId="0" fillId="32" borderId="64" xfId="0" applyFill="1" applyBorder="1"/>
    <xf numFmtId="0" fontId="55" fillId="33" borderId="65" xfId="0" applyFont="1" applyFill="1" applyBorder="1"/>
    <xf numFmtId="0" fontId="0" fillId="32" borderId="66" xfId="0" applyFill="1" applyBorder="1"/>
    <xf numFmtId="166" fontId="40" fillId="32" borderId="67" xfId="47" applyNumberFormat="1" applyFont="1" applyFill="1" applyBorder="1"/>
    <xf numFmtId="0" fontId="0" fillId="35" borderId="68" xfId="0" applyFill="1" applyBorder="1"/>
    <xf numFmtId="0" fontId="0" fillId="0" borderId="69" xfId="0" applyBorder="1"/>
    <xf numFmtId="2" fontId="47" fillId="0" borderId="1" xfId="0" applyNumberFormat="1" applyFont="1" applyFill="1" applyBorder="1" applyAlignment="1">
      <alignment horizontal="center"/>
    </xf>
    <xf numFmtId="0" fontId="62" fillId="37" borderId="1" xfId="0" applyFont="1" applyFill="1" applyBorder="1" applyAlignment="1">
      <alignment vertical="top" wrapText="1"/>
    </xf>
    <xf numFmtId="0" fontId="79" fillId="37" borderId="1" xfId="0" applyFont="1" applyFill="1" applyBorder="1" applyAlignment="1">
      <alignment vertical="top" wrapText="1"/>
    </xf>
    <xf numFmtId="0" fontId="62" fillId="37" borderId="1" xfId="0" applyFont="1" applyFill="1" applyBorder="1" applyAlignment="1">
      <alignment horizontal="center" vertical="top" wrapText="1"/>
    </xf>
    <xf numFmtId="0" fontId="79" fillId="37" borderId="1" xfId="0" applyFont="1" applyFill="1" applyBorder="1" applyAlignment="1">
      <alignment horizontal="center" vertical="center" wrapText="1"/>
    </xf>
    <xf numFmtId="0" fontId="79" fillId="37" borderId="1" xfId="0" applyFont="1" applyFill="1" applyBorder="1" applyAlignment="1">
      <alignment horizontal="center" vertical="top" wrapText="1"/>
    </xf>
    <xf numFmtId="1" fontId="79" fillId="37" borderId="1" xfId="0" applyNumberFormat="1" applyFont="1" applyFill="1" applyBorder="1" applyAlignment="1">
      <alignment horizontal="center" vertical="top" wrapText="1"/>
    </xf>
    <xf numFmtId="0" fontId="79" fillId="37" borderId="26" xfId="0" applyFont="1" applyFill="1" applyBorder="1" applyAlignment="1">
      <alignment vertical="top" wrapText="1"/>
    </xf>
    <xf numFmtId="0"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wrapText="1"/>
    </xf>
    <xf numFmtId="0" fontId="79" fillId="37" borderId="1" xfId="0" applyNumberFormat="1" applyFont="1" applyFill="1" applyBorder="1" applyAlignment="1">
      <alignment horizontal="center" vertical="top" wrapText="1"/>
    </xf>
    <xf numFmtId="2" fontId="79" fillId="37" borderId="1" xfId="0" applyNumberFormat="1" applyFont="1" applyFill="1" applyBorder="1" applyAlignment="1">
      <alignment horizontal="center" vertical="center" wrapText="1"/>
    </xf>
    <xf numFmtId="0" fontId="79" fillId="37" borderId="1" xfId="0" applyNumberFormat="1" applyFont="1" applyFill="1" applyBorder="1" applyAlignment="1">
      <alignment horizontal="center" vertical="center" wrapText="1"/>
    </xf>
    <xf numFmtId="1" fontId="79" fillId="37" borderId="1" xfId="0" applyNumberFormat="1" applyFont="1" applyFill="1" applyBorder="1" applyAlignment="1">
      <alignment horizontal="center" vertical="center" wrapText="1"/>
    </xf>
    <xf numFmtId="167" fontId="79" fillId="37" borderId="1" xfId="0" applyNumberFormat="1" applyFont="1" applyFill="1" applyBorder="1" applyAlignment="1">
      <alignment horizontal="center" vertical="center" wrapText="1"/>
    </xf>
    <xf numFmtId="0" fontId="79" fillId="37" borderId="1" xfId="0" applyFont="1" applyFill="1" applyBorder="1" applyAlignment="1">
      <alignment vertical="center"/>
    </xf>
    <xf numFmtId="49" fontId="79" fillId="37" borderId="26" xfId="0" applyNumberFormat="1" applyFont="1" applyFill="1" applyBorder="1" applyAlignment="1">
      <alignment vertical="center" wrapText="1"/>
    </xf>
    <xf numFmtId="0" fontId="79" fillId="37" borderId="40" xfId="0" applyFont="1" applyFill="1" applyBorder="1" applyAlignment="1">
      <alignment horizontal="center" vertical="center" wrapText="1"/>
    </xf>
    <xf numFmtId="0" fontId="79" fillId="37" borderId="1" xfId="0" quotePrefix="1" applyFont="1" applyFill="1" applyBorder="1" applyAlignment="1">
      <alignment horizontal="center" vertical="top" wrapText="1"/>
    </xf>
    <xf numFmtId="0" fontId="54" fillId="32" borderId="1" xfId="0" applyFont="1" applyFill="1" applyBorder="1"/>
    <xf numFmtId="166" fontId="54" fillId="32" borderId="1" xfId="0" applyNumberFormat="1" applyFont="1" applyFill="1" applyBorder="1"/>
    <xf numFmtId="175" fontId="54" fillId="32" borderId="1" xfId="0" applyNumberFormat="1" applyFont="1" applyFill="1" applyBorder="1"/>
    <xf numFmtId="0" fontId="0" fillId="0" borderId="40" xfId="0" applyBorder="1"/>
    <xf numFmtId="0" fontId="0" fillId="0" borderId="70" xfId="0" applyBorder="1"/>
    <xf numFmtId="0" fontId="0" fillId="37" borderId="0" xfId="0" applyFill="1"/>
    <xf numFmtId="0" fontId="0" fillId="80" borderId="0" xfId="0" applyFill="1"/>
    <xf numFmtId="0" fontId="46" fillId="81" borderId="0" xfId="0" applyFont="1" applyFill="1"/>
    <xf numFmtId="0" fontId="50" fillId="0" borderId="0" xfId="0" applyFont="1" applyAlignment="1">
      <alignment horizontal="center" wrapText="1"/>
    </xf>
    <xf numFmtId="0" fontId="87" fillId="82" borderId="18" xfId="0" applyFont="1" applyFill="1" applyBorder="1" applyAlignment="1">
      <alignment vertical="center" wrapText="1"/>
    </xf>
    <xf numFmtId="0" fontId="49" fillId="0" borderId="0" xfId="0" applyFont="1" applyAlignment="1">
      <alignment horizontal="center" wrapText="1"/>
    </xf>
    <xf numFmtId="0" fontId="89" fillId="0" borderId="72" xfId="0" applyFont="1" applyBorder="1" applyAlignment="1">
      <alignment vertical="center"/>
    </xf>
    <xf numFmtId="0" fontId="45" fillId="0" borderId="73" xfId="0" applyFont="1" applyBorder="1"/>
    <xf numFmtId="0" fontId="45" fillId="0" borderId="74" xfId="0" applyFont="1" applyBorder="1"/>
    <xf numFmtId="0" fontId="51" fillId="0" borderId="0" xfId="0" applyFont="1" applyAlignment="1">
      <alignment horizontal="center" wrapText="1"/>
    </xf>
    <xf numFmtId="0" fontId="45" fillId="0" borderId="0" xfId="0" applyFont="1"/>
    <xf numFmtId="0" fontId="62" fillId="83" borderId="82" xfId="0" applyFont="1" applyFill="1" applyBorder="1" applyAlignment="1">
      <alignment vertical="top" wrapText="1"/>
    </xf>
    <xf numFmtId="0" fontId="48" fillId="0" borderId="0" xfId="0" applyFont="1" applyAlignment="1">
      <alignment horizontal="center" wrapText="1"/>
    </xf>
    <xf numFmtId="0" fontId="11" fillId="0" borderId="79" xfId="0" applyFont="1" applyBorder="1" applyAlignment="1">
      <alignment vertical="center" wrapText="1"/>
    </xf>
    <xf numFmtId="0" fontId="11" fillId="37" borderId="1" xfId="0" applyFont="1" applyFill="1" applyBorder="1" applyAlignment="1">
      <alignment horizontal="center" vertical="center" wrapText="1"/>
    </xf>
    <xf numFmtId="0" fontId="11" fillId="82" borderId="81" xfId="0" applyFont="1" applyFill="1" applyBorder="1" applyAlignment="1">
      <alignment horizontal="center" vertical="center" wrapText="1"/>
    </xf>
    <xf numFmtId="0" fontId="90" fillId="0" borderId="28" xfId="0" applyFont="1" applyBorder="1" applyAlignment="1">
      <alignment horizontal="center" wrapText="1"/>
    </xf>
    <xf numFmtId="0" fontId="90" fillId="0" borderId="84" xfId="0" applyFont="1" applyBorder="1" applyAlignment="1">
      <alignment horizontal="center" wrapText="1"/>
    </xf>
    <xf numFmtId="0" fontId="11" fillId="83" borderId="80" xfId="0" applyFont="1" applyFill="1" applyBorder="1" applyAlignment="1">
      <alignment vertical="center" wrapText="1"/>
    </xf>
    <xf numFmtId="0" fontId="11" fillId="83" borderId="1" xfId="968" applyNumberFormat="1" applyFont="1" applyFill="1" applyBorder="1" applyAlignment="1">
      <alignment horizontal="center" vertical="center" wrapText="1"/>
    </xf>
    <xf numFmtId="0" fontId="11" fillId="83" borderId="0" xfId="0" applyFont="1" applyFill="1" applyAlignment="1">
      <alignment horizontal="center"/>
    </xf>
    <xf numFmtId="0" fontId="11" fillId="83" borderId="1" xfId="0" applyFont="1" applyFill="1" applyBorder="1" applyAlignment="1">
      <alignment horizontal="center" vertical="center" wrapText="1"/>
    </xf>
    <xf numFmtId="0" fontId="11" fillId="83" borderId="81" xfId="0" applyFont="1" applyFill="1" applyBorder="1" applyAlignment="1">
      <alignment horizontal="center" vertical="center" wrapText="1"/>
    </xf>
    <xf numFmtId="0" fontId="45" fillId="0" borderId="33" xfId="0" applyFont="1" applyBorder="1"/>
    <xf numFmtId="9" fontId="45" fillId="0" borderId="86" xfId="0" applyNumberFormat="1" applyFont="1" applyBorder="1" applyAlignment="1">
      <alignment horizontal="center" vertical="center"/>
    </xf>
    <xf numFmtId="0" fontId="11" fillId="33" borderId="80" xfId="0" applyFont="1" applyFill="1" applyBorder="1" applyAlignment="1">
      <alignment vertical="center" wrapText="1"/>
    </xf>
    <xf numFmtId="0" fontId="11" fillId="33" borderId="1" xfId="968" applyNumberFormat="1" applyFont="1" applyFill="1" applyBorder="1" applyAlignment="1">
      <alignment horizontal="center" vertical="center" wrapText="1"/>
    </xf>
    <xf numFmtId="0" fontId="11" fillId="0" borderId="1" xfId="968"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81" xfId="0" applyFont="1" applyBorder="1" applyAlignment="1">
      <alignment horizontal="center" vertical="center" wrapText="1"/>
    </xf>
    <xf numFmtId="0" fontId="45" fillId="0" borderId="35" xfId="0" applyFont="1" applyBorder="1"/>
    <xf numFmtId="0" fontId="45" fillId="0" borderId="80" xfId="0" applyFont="1" applyBorder="1" applyAlignment="1">
      <alignment horizontal="center" vertical="center"/>
    </xf>
    <xf numFmtId="0" fontId="88" fillId="83" borderId="39" xfId="0" applyFont="1" applyFill="1" applyBorder="1" applyAlignment="1">
      <alignment horizontal="center" vertical="center" wrapText="1"/>
    </xf>
    <xf numFmtId="0" fontId="88" fillId="83" borderId="1" xfId="0" applyFont="1" applyFill="1" applyBorder="1" applyAlignment="1">
      <alignment horizontal="center" vertical="center" wrapText="1"/>
    </xf>
    <xf numFmtId="0" fontId="88" fillId="83" borderId="37" xfId="0" applyFont="1" applyFill="1" applyBorder="1" applyAlignment="1">
      <alignment horizontal="center" vertical="center" wrapText="1"/>
    </xf>
    <xf numFmtId="0" fontId="45" fillId="0" borderId="14" xfId="0" applyFont="1" applyBorder="1"/>
    <xf numFmtId="0" fontId="45" fillId="0" borderId="90" xfId="0" applyFont="1" applyBorder="1" applyAlignment="1">
      <alignment horizontal="center" vertical="center"/>
    </xf>
    <xf numFmtId="0" fontId="45" fillId="0" borderId="80" xfId="0" applyFont="1" applyBorder="1"/>
    <xf numFmtId="0" fontId="45" fillId="0" borderId="1" xfId="0" applyFont="1" applyBorder="1" applyAlignment="1">
      <alignment horizontal="center" vertical="center"/>
    </xf>
    <xf numFmtId="0" fontId="88" fillId="33" borderId="39" xfId="0" applyFont="1" applyFill="1" applyBorder="1" applyAlignment="1">
      <alignment horizontal="center" vertical="center" wrapText="1"/>
    </xf>
    <xf numFmtId="0" fontId="88" fillId="0" borderId="39" xfId="0" applyFont="1" applyBorder="1" applyAlignment="1">
      <alignment horizontal="center" vertical="center" wrapText="1"/>
    </xf>
    <xf numFmtId="0" fontId="88" fillId="82" borderId="39" xfId="0" applyFont="1" applyFill="1" applyBorder="1" applyAlignment="1">
      <alignment horizontal="center" vertical="center" wrapText="1"/>
    </xf>
    <xf numFmtId="0" fontId="61" fillId="82" borderId="81" xfId="0" applyFont="1" applyFill="1" applyBorder="1" applyAlignment="1">
      <alignment horizontal="center" vertical="center" wrapText="1"/>
    </xf>
    <xf numFmtId="0" fontId="62" fillId="0" borderId="18" xfId="0" applyFont="1" applyBorder="1" applyAlignment="1">
      <alignment vertical="center" wrapText="1"/>
    </xf>
    <xf numFmtId="0" fontId="91" fillId="82" borderId="78" xfId="0" applyFont="1" applyFill="1" applyBorder="1" applyAlignment="1">
      <alignment horizontal="center" vertical="center" wrapText="1"/>
    </xf>
    <xf numFmtId="0" fontId="91" fillId="82" borderId="82" xfId="0" applyFont="1" applyFill="1" applyBorder="1" applyAlignment="1">
      <alignment horizontal="center" vertical="center" wrapText="1"/>
    </xf>
    <xf numFmtId="0" fontId="91" fillId="82" borderId="77" xfId="0" applyFont="1" applyFill="1" applyBorder="1" applyAlignment="1">
      <alignment horizontal="center" vertical="center" wrapText="1"/>
    </xf>
    <xf numFmtId="0" fontId="91" fillId="82" borderId="23" xfId="0" applyFont="1" applyFill="1" applyBorder="1" applyAlignment="1">
      <alignment horizontal="center" vertical="center" wrapText="1"/>
    </xf>
    <xf numFmtId="0" fontId="62" fillId="37" borderId="82" xfId="0" applyFont="1" applyFill="1" applyBorder="1" applyAlignment="1">
      <alignment vertical="top" wrapText="1"/>
    </xf>
    <xf numFmtId="0" fontId="86" fillId="0" borderId="82" xfId="0" applyFont="1" applyBorder="1"/>
    <xf numFmtId="0" fontId="93" fillId="0" borderId="92" xfId="0" applyFont="1" applyBorder="1"/>
    <xf numFmtId="0" fontId="45" fillId="0" borderId="90" xfId="0" applyFont="1" applyBorder="1"/>
    <xf numFmtId="0" fontId="45" fillId="0" borderId="93" xfId="0" applyFont="1" applyBorder="1" applyAlignment="1">
      <alignment horizontal="center"/>
    </xf>
    <xf numFmtId="0" fontId="46" fillId="0" borderId="18" xfId="0" applyFont="1" applyBorder="1" applyAlignment="1">
      <alignment horizontal="center" wrapText="1"/>
    </xf>
    <xf numFmtId="0" fontId="45" fillId="0" borderId="15" xfId="0" applyFont="1" applyBorder="1"/>
    <xf numFmtId="0" fontId="45" fillId="0" borderId="82" xfId="0" quotePrefix="1" applyFont="1" applyBorder="1" applyAlignment="1">
      <alignment horizontal="center" vertical="center"/>
    </xf>
    <xf numFmtId="9" fontId="0" fillId="0" borderId="23" xfId="0" applyNumberFormat="1" applyBorder="1" applyAlignment="1">
      <alignment horizontal="center" vertical="center"/>
    </xf>
    <xf numFmtId="9" fontId="0" fillId="0" borderId="24" xfId="0" applyNumberFormat="1" applyBorder="1" applyAlignment="1">
      <alignment horizontal="center" vertical="center"/>
    </xf>
    <xf numFmtId="9" fontId="0" fillId="0" borderId="77" xfId="0" applyNumberFormat="1" applyBorder="1" applyAlignment="1">
      <alignment horizontal="center" vertical="center"/>
    </xf>
    <xf numFmtId="9" fontId="0" fillId="0" borderId="25" xfId="0" applyNumberFormat="1" applyBorder="1" applyAlignment="1">
      <alignment horizontal="center" vertical="center"/>
    </xf>
    <xf numFmtId="0" fontId="11" fillId="83" borderId="40" xfId="0" applyFont="1" applyFill="1" applyBorder="1" applyAlignment="1">
      <alignment horizontal="center" vertical="center" wrapText="1"/>
    </xf>
    <xf numFmtId="0" fontId="86" fillId="83" borderId="1" xfId="0" applyFont="1" applyFill="1" applyBorder="1"/>
    <xf numFmtId="0" fontId="55" fillId="0" borderId="0" xfId="0" applyFont="1"/>
    <xf numFmtId="0" fontId="62" fillId="0" borderId="80" xfId="0" applyFont="1" applyBorder="1" applyAlignment="1">
      <alignment vertical="center" wrapText="1"/>
    </xf>
    <xf numFmtId="0" fontId="91" fillId="82" borderId="1" xfId="0" applyFont="1" applyFill="1" applyBorder="1" applyAlignment="1">
      <alignment vertical="center" wrapText="1"/>
    </xf>
    <xf numFmtId="0" fontId="86" fillId="0" borderId="1" xfId="0" applyFont="1" applyBorder="1"/>
    <xf numFmtId="0" fontId="93" fillId="0" borderId="81" xfId="0" applyFont="1" applyBorder="1"/>
    <xf numFmtId="0" fontId="95" fillId="0" borderId="1" xfId="0" applyFont="1" applyBorder="1"/>
    <xf numFmtId="0" fontId="86" fillId="0" borderId="1" xfId="0" applyFont="1" applyBorder="1" applyAlignment="1">
      <alignment horizontal="center"/>
    </xf>
    <xf numFmtId="0" fontId="86" fillId="0" borderId="81" xfId="0" applyFont="1" applyBorder="1" applyAlignment="1">
      <alignment horizontal="center"/>
    </xf>
    <xf numFmtId="0" fontId="49" fillId="0" borderId="0" xfId="0" applyFont="1" applyAlignment="1">
      <alignment horizontal="center" vertical="center" wrapText="1"/>
    </xf>
    <xf numFmtId="0" fontId="11" fillId="33" borderId="83" xfId="0" applyFont="1" applyFill="1" applyBorder="1" applyAlignment="1">
      <alignment vertical="center" wrapText="1"/>
    </xf>
    <xf numFmtId="0" fontId="88" fillId="33" borderId="31" xfId="0" applyFont="1" applyFill="1" applyBorder="1" applyAlignment="1">
      <alignment horizontal="center" vertical="center" wrapText="1"/>
    </xf>
    <xf numFmtId="0" fontId="62" fillId="0" borderId="23" xfId="0" applyFont="1" applyBorder="1" applyAlignment="1">
      <alignment vertical="center" wrapText="1"/>
    </xf>
    <xf numFmtId="0" fontId="91" fillId="82" borderId="94" xfId="0" applyFont="1" applyFill="1" applyBorder="1" applyAlignment="1">
      <alignment horizontal="center" vertical="center" wrapText="1"/>
    </xf>
    <xf numFmtId="0" fontId="91" fillId="82" borderId="92" xfId="0" applyFont="1" applyFill="1" applyBorder="1" applyAlignment="1">
      <alignment horizontal="center" vertical="center" wrapText="1"/>
    </xf>
    <xf numFmtId="0" fontId="62" fillId="37" borderId="78" xfId="0" applyFont="1" applyFill="1" applyBorder="1" applyAlignment="1">
      <alignment vertical="top" wrapText="1"/>
    </xf>
    <xf numFmtId="0" fontId="96" fillId="0" borderId="0" xfId="0" applyFont="1" applyAlignment="1">
      <alignment wrapText="1"/>
    </xf>
    <xf numFmtId="0" fontId="11" fillId="33" borderId="79" xfId="0" applyFont="1" applyFill="1" applyBorder="1" applyAlignment="1">
      <alignment vertical="center" wrapText="1"/>
    </xf>
    <xf numFmtId="165" fontId="98" fillId="33" borderId="40" xfId="0" applyNumberFormat="1" applyFont="1" applyFill="1" applyBorder="1" applyAlignment="1">
      <alignment horizontal="center" vertical="center" wrapText="1"/>
    </xf>
    <xf numFmtId="165" fontId="98" fillId="33" borderId="26" xfId="0" applyNumberFormat="1" applyFont="1" applyFill="1" applyBorder="1" applyAlignment="1">
      <alignment horizontal="center" vertical="center" wrapText="1"/>
    </xf>
    <xf numFmtId="165" fontId="98" fillId="33" borderId="42" xfId="0" applyNumberFormat="1" applyFont="1" applyFill="1" applyBorder="1" applyAlignment="1">
      <alignment horizontal="center" vertical="center" wrapText="1"/>
    </xf>
    <xf numFmtId="0" fontId="11" fillId="82" borderId="81" xfId="0" quotePrefix="1" applyFont="1" applyFill="1" applyBorder="1" applyAlignment="1">
      <alignment horizontal="center" vertical="center" wrapText="1"/>
    </xf>
    <xf numFmtId="0" fontId="11" fillId="0" borderId="80" xfId="0" applyFont="1" applyBorder="1" applyAlignment="1">
      <alignment vertical="center" wrapText="1"/>
    </xf>
    <xf numFmtId="0" fontId="98" fillId="82" borderId="39" xfId="0" applyFont="1" applyFill="1" applyBorder="1" applyAlignment="1">
      <alignment horizontal="center" vertical="center" wrapText="1"/>
    </xf>
    <xf numFmtId="1" fontId="98" fillId="82" borderId="39" xfId="0" applyNumberFormat="1" applyFont="1" applyFill="1" applyBorder="1" applyAlignment="1">
      <alignment horizontal="center" vertical="center" wrapText="1"/>
    </xf>
    <xf numFmtId="0" fontId="11" fillId="82" borderId="1" xfId="0" applyFont="1" applyFill="1" applyBorder="1" applyAlignment="1">
      <alignment horizontal="center" vertical="center" wrapText="1"/>
    </xf>
    <xf numFmtId="0" fontId="98" fillId="33" borderId="39" xfId="0" applyFont="1" applyFill="1" applyBorder="1" applyAlignment="1">
      <alignment horizontal="center" vertical="center" wrapText="1"/>
    </xf>
    <xf numFmtId="0" fontId="88" fillId="33" borderId="1" xfId="0" applyFont="1" applyFill="1" applyBorder="1" applyAlignment="1">
      <alignment horizontal="center" vertical="center"/>
    </xf>
    <xf numFmtId="0" fontId="88" fillId="33" borderId="37" xfId="0" applyFont="1" applyFill="1" applyBorder="1" applyAlignment="1">
      <alignment horizontal="center" vertical="center"/>
    </xf>
    <xf numFmtId="0" fontId="61" fillId="82" borderId="1" xfId="0" applyFont="1" applyFill="1" applyBorder="1" applyAlignment="1">
      <alignment horizontal="center" vertical="center" wrapText="1"/>
    </xf>
    <xf numFmtId="167" fontId="11" fillId="33" borderId="40" xfId="0" applyNumberFormat="1" applyFont="1" applyFill="1" applyBorder="1" applyAlignment="1">
      <alignment horizontal="center" wrapText="1"/>
    </xf>
    <xf numFmtId="0" fontId="50" fillId="0" borderId="0" xfId="0" applyFont="1" applyAlignment="1">
      <alignment wrapText="1"/>
    </xf>
    <xf numFmtId="0" fontId="11" fillId="83" borderId="86" xfId="0" applyFont="1" applyFill="1" applyBorder="1" applyAlignment="1">
      <alignment vertical="center" wrapText="1"/>
    </xf>
    <xf numFmtId="167" fontId="11" fillId="85" borderId="40" xfId="0" applyNumberFormat="1" applyFont="1" applyFill="1" applyBorder="1" applyAlignment="1">
      <alignment horizontal="center" wrapText="1"/>
    </xf>
    <xf numFmtId="0" fontId="95" fillId="83" borderId="1" xfId="0" applyFont="1" applyFill="1" applyBorder="1"/>
    <xf numFmtId="167" fontId="11" fillId="83" borderId="40" xfId="0" applyNumberFormat="1" applyFont="1" applyFill="1" applyBorder="1" applyAlignment="1">
      <alignment horizontal="center" wrapText="1"/>
    </xf>
    <xf numFmtId="0" fontId="61" fillId="83" borderId="1" xfId="0" applyFont="1" applyFill="1" applyBorder="1" applyAlignment="1">
      <alignment horizontal="center" vertical="center" wrapText="1"/>
    </xf>
    <xf numFmtId="167" fontId="61" fillId="82" borderId="39" xfId="0" applyNumberFormat="1" applyFont="1" applyFill="1" applyBorder="1" applyAlignment="1">
      <alignment horizontal="center" vertical="center" wrapText="1"/>
    </xf>
    <xf numFmtId="0" fontId="98" fillId="82" borderId="1" xfId="0" applyFont="1" applyFill="1" applyBorder="1" applyAlignment="1">
      <alignment horizontal="center" vertical="center" wrapText="1"/>
    </xf>
    <xf numFmtId="0" fontId="98" fillId="82" borderId="37" xfId="0" applyFont="1" applyFill="1" applyBorder="1" applyAlignment="1">
      <alignment horizontal="center" vertical="center" wrapText="1"/>
    </xf>
    <xf numFmtId="0" fontId="95" fillId="0" borderId="82" xfId="0" applyFont="1" applyBorder="1"/>
    <xf numFmtId="0" fontId="95" fillId="0" borderId="92" xfId="0" applyFont="1" applyBorder="1"/>
    <xf numFmtId="0" fontId="0" fillId="80" borderId="0" xfId="0" applyFill="1" applyAlignment="1">
      <alignment wrapText="1"/>
    </xf>
    <xf numFmtId="1" fontId="11" fillId="83" borderId="39" xfId="0" applyNumberFormat="1" applyFont="1" applyFill="1" applyBorder="1" applyAlignment="1">
      <alignment horizontal="center" vertical="center" wrapText="1"/>
    </xf>
    <xf numFmtId="167" fontId="11" fillId="83" borderId="39" xfId="0" applyNumberFormat="1" applyFont="1" applyFill="1" applyBorder="1" applyAlignment="1">
      <alignment horizontal="center" vertical="center" wrapText="1"/>
    </xf>
    <xf numFmtId="0" fontId="61" fillId="83" borderId="81" xfId="0" applyFont="1" applyFill="1" applyBorder="1" applyAlignment="1">
      <alignment horizontal="center" vertical="center" wrapText="1"/>
    </xf>
    <xf numFmtId="0" fontId="47" fillId="80" borderId="0" xfId="0" applyFont="1" applyFill="1"/>
    <xf numFmtId="0" fontId="54" fillId="86" borderId="1" xfId="0" applyFont="1" applyFill="1" applyBorder="1"/>
    <xf numFmtId="166" fontId="54" fillId="86" borderId="1" xfId="0" applyNumberFormat="1" applyFont="1" applyFill="1" applyBorder="1"/>
    <xf numFmtId="0" fontId="54" fillId="86" borderId="0" xfId="0" applyFont="1" applyFill="1"/>
    <xf numFmtId="0" fontId="98" fillId="83" borderId="39" xfId="0" applyFont="1" applyFill="1" applyBorder="1" applyAlignment="1">
      <alignment horizontal="center" vertical="center" wrapText="1"/>
    </xf>
    <xf numFmtId="0" fontId="98" fillId="83" borderId="1" xfId="0" applyFont="1" applyFill="1" applyBorder="1" applyAlignment="1">
      <alignment horizontal="center" vertical="center" wrapText="1"/>
    </xf>
    <xf numFmtId="0" fontId="98" fillId="83" borderId="37" xfId="0" applyFont="1" applyFill="1" applyBorder="1" applyAlignment="1">
      <alignment horizontal="center" vertical="center" wrapText="1"/>
    </xf>
    <xf numFmtId="0" fontId="11" fillId="83" borderId="37" xfId="0" applyFont="1" applyFill="1" applyBorder="1" applyAlignment="1">
      <alignment horizontal="center" vertical="center" wrapText="1"/>
    </xf>
    <xf numFmtId="0" fontId="95" fillId="83" borderId="1" xfId="0" applyFont="1" applyFill="1" applyBorder="1" applyAlignment="1">
      <alignment horizontal="center" vertical="center"/>
    </xf>
    <xf numFmtId="0" fontId="95" fillId="83" borderId="28" xfId="0" applyFont="1" applyFill="1" applyBorder="1"/>
    <xf numFmtId="0" fontId="11" fillId="83" borderId="83" xfId="0" applyFont="1" applyFill="1" applyBorder="1" applyAlignment="1">
      <alignment vertical="center" wrapText="1"/>
    </xf>
    <xf numFmtId="0" fontId="95" fillId="83" borderId="84" xfId="0" applyFont="1" applyFill="1" applyBorder="1"/>
    <xf numFmtId="0" fontId="11" fillId="83" borderId="90" xfId="0" applyFont="1" applyFill="1" applyBorder="1" applyAlignment="1">
      <alignment vertical="center" wrapText="1"/>
    </xf>
    <xf numFmtId="0" fontId="98" fillId="83" borderId="32" xfId="0" applyFont="1" applyFill="1" applyBorder="1" applyAlignment="1">
      <alignment horizontal="center" vertical="center" wrapText="1"/>
    </xf>
    <xf numFmtId="0" fontId="98" fillId="83" borderId="93" xfId="0" applyFont="1" applyFill="1" applyBorder="1" applyAlignment="1">
      <alignment horizontal="center" vertical="center" wrapText="1"/>
    </xf>
    <xf numFmtId="0" fontId="98" fillId="83" borderId="95" xfId="0" applyFont="1" applyFill="1" applyBorder="1" applyAlignment="1">
      <alignment horizontal="center" vertical="center" wrapText="1"/>
    </xf>
    <xf numFmtId="0" fontId="95" fillId="83" borderId="93" xfId="0" applyFont="1" applyFill="1" applyBorder="1"/>
    <xf numFmtId="0" fontId="95" fillId="83" borderId="96" xfId="0" applyFont="1" applyFill="1" applyBorder="1"/>
    <xf numFmtId="166" fontId="40" fillId="80" borderId="0" xfId="47" applyNumberFormat="1" applyFill="1"/>
    <xf numFmtId="166" fontId="40" fillId="0" borderId="0" xfId="47" applyNumberFormat="1" applyFill="1" applyBorder="1"/>
    <xf numFmtId="0" fontId="99" fillId="0" borderId="0" xfId="0" applyFont="1"/>
    <xf numFmtId="166" fontId="99" fillId="0" borderId="0" xfId="47" applyNumberFormat="1" applyFont="1"/>
    <xf numFmtId="2" fontId="0" fillId="80" borderId="0" xfId="0" applyNumberFormat="1" applyFill="1"/>
    <xf numFmtId="0" fontId="4" fillId="37" borderId="0" xfId="0" applyFont="1" applyFill="1" applyAlignment="1">
      <alignment vertical="center" wrapText="1"/>
    </xf>
    <xf numFmtId="0" fontId="102" fillId="37" borderId="0" xfId="0" applyFont="1" applyFill="1"/>
    <xf numFmtId="0" fontId="79" fillId="37" borderId="0" xfId="0" applyFont="1" applyFill="1"/>
    <xf numFmtId="0" fontId="3" fillId="37" borderId="0" xfId="0" applyFont="1" applyFill="1" applyAlignment="1">
      <alignment vertical="center" wrapText="1"/>
    </xf>
    <xf numFmtId="0" fontId="103" fillId="37" borderId="0" xfId="0" applyFont="1" applyFill="1" applyAlignment="1">
      <alignment vertical="center"/>
    </xf>
    <xf numFmtId="0" fontId="48" fillId="0" borderId="0" xfId="0" applyFont="1"/>
    <xf numFmtId="0" fontId="102" fillId="37" borderId="0" xfId="0" applyFont="1" applyFill="1" applyAlignment="1">
      <alignment vertical="center"/>
    </xf>
    <xf numFmtId="0" fontId="103" fillId="37" borderId="0" xfId="0" applyFont="1" applyFill="1"/>
    <xf numFmtId="0" fontId="49" fillId="37" borderId="0" xfId="0" applyFont="1" applyFill="1" applyAlignment="1">
      <alignment horizontal="right" vertical="center" wrapText="1"/>
    </xf>
    <xf numFmtId="0" fontId="104" fillId="37" borderId="0" xfId="0" applyFont="1" applyFill="1"/>
    <xf numFmtId="0" fontId="102" fillId="0" borderId="0" xfId="0" applyFont="1"/>
    <xf numFmtId="0" fontId="62" fillId="87" borderId="82" xfId="0" applyFont="1" applyFill="1" applyBorder="1" applyAlignment="1">
      <alignment vertical="top" wrapText="1"/>
    </xf>
    <xf numFmtId="0" fontId="11" fillId="87" borderId="80" xfId="0" applyFont="1" applyFill="1" applyBorder="1" applyAlignment="1">
      <alignment vertical="center" wrapText="1"/>
    </xf>
    <xf numFmtId="0" fontId="11" fillId="87" borderId="1" xfId="968" applyNumberFormat="1" applyFont="1" applyFill="1" applyBorder="1" applyAlignment="1">
      <alignment horizontal="center" vertical="center" wrapText="1"/>
    </xf>
    <xf numFmtId="0" fontId="11" fillId="87" borderId="0" xfId="0" applyFont="1" applyFill="1" applyAlignment="1">
      <alignment horizontal="center"/>
    </xf>
    <xf numFmtId="0" fontId="11" fillId="87" borderId="1" xfId="0" applyFont="1" applyFill="1" applyBorder="1" applyAlignment="1">
      <alignment horizontal="center" vertical="center" wrapText="1"/>
    </xf>
    <xf numFmtId="0" fontId="11" fillId="87" borderId="81" xfId="0" applyFont="1" applyFill="1" applyBorder="1" applyAlignment="1">
      <alignment horizontal="center" vertical="center" wrapText="1"/>
    </xf>
    <xf numFmtId="0" fontId="11" fillId="37" borderId="1" xfId="968" applyNumberFormat="1" applyFont="1" applyFill="1" applyBorder="1" applyAlignment="1">
      <alignment horizontal="center" vertical="center" wrapText="1"/>
    </xf>
    <xf numFmtId="0" fontId="88" fillId="87" borderId="39" xfId="0" applyFont="1" applyFill="1" applyBorder="1" applyAlignment="1">
      <alignment horizontal="center" vertical="center" wrapText="1"/>
    </xf>
    <xf numFmtId="0" fontId="88" fillId="87" borderId="1" xfId="0" applyFont="1" applyFill="1" applyBorder="1" applyAlignment="1">
      <alignment horizontal="center" vertical="center" wrapText="1"/>
    </xf>
    <xf numFmtId="0" fontId="88" fillId="87" borderId="37" xfId="0" applyFont="1" applyFill="1" applyBorder="1" applyAlignment="1">
      <alignment horizontal="center" vertical="center" wrapText="1"/>
    </xf>
    <xf numFmtId="0" fontId="11" fillId="87" borderId="40" xfId="0" applyFont="1" applyFill="1" applyBorder="1" applyAlignment="1">
      <alignment horizontal="center" vertical="center" wrapText="1"/>
    </xf>
    <xf numFmtId="0" fontId="86" fillId="87" borderId="1" xfId="0" applyFont="1" applyFill="1" applyBorder="1"/>
    <xf numFmtId="0" fontId="98" fillId="33" borderId="40" xfId="0" applyFont="1" applyFill="1" applyBorder="1" applyAlignment="1">
      <alignment horizontal="center" vertical="center" wrapText="1"/>
    </xf>
    <xf numFmtId="0" fontId="98" fillId="33" borderId="26" xfId="0" applyFont="1" applyFill="1" applyBorder="1" applyAlignment="1">
      <alignment horizontal="center" vertical="center" wrapText="1"/>
    </xf>
    <xf numFmtId="0" fontId="98" fillId="33" borderId="42" xfId="0" applyFont="1" applyFill="1" applyBorder="1" applyAlignment="1">
      <alignment horizontal="center" vertical="center" wrapText="1"/>
    </xf>
    <xf numFmtId="167" fontId="11" fillId="88" borderId="40" xfId="0" applyNumberFormat="1" applyFont="1" applyFill="1" applyBorder="1" applyAlignment="1">
      <alignment horizontal="center" wrapText="1"/>
    </xf>
    <xf numFmtId="0" fontId="95" fillId="87" borderId="1" xfId="0" applyFont="1" applyFill="1" applyBorder="1"/>
    <xf numFmtId="167" fontId="11" fillId="87" borderId="40" xfId="0" applyNumberFormat="1" applyFont="1" applyFill="1" applyBorder="1" applyAlignment="1">
      <alignment horizontal="center" wrapText="1"/>
    </xf>
    <xf numFmtId="0" fontId="61" fillId="87" borderId="1" xfId="0" applyFont="1" applyFill="1" applyBorder="1" applyAlignment="1">
      <alignment horizontal="center" vertical="center" wrapText="1"/>
    </xf>
    <xf numFmtId="167" fontId="11" fillId="37" borderId="40" xfId="0" applyNumberFormat="1" applyFont="1" applyFill="1" applyBorder="1" applyAlignment="1">
      <alignment horizontal="center" wrapText="1"/>
    </xf>
    <xf numFmtId="0" fontId="11" fillId="0" borderId="83" xfId="0" applyFont="1" applyBorder="1" applyAlignment="1">
      <alignment vertical="center" wrapText="1"/>
    </xf>
    <xf numFmtId="0" fontId="88" fillId="82" borderId="1" xfId="0" applyFont="1" applyFill="1" applyBorder="1" applyAlignment="1">
      <alignment horizontal="center" vertical="center"/>
    </xf>
    <xf numFmtId="0" fontId="88" fillId="82" borderId="37" xfId="0" applyFont="1" applyFill="1" applyBorder="1" applyAlignment="1">
      <alignment horizontal="center" vertical="center"/>
    </xf>
    <xf numFmtId="0" fontId="11" fillId="87" borderId="86" xfId="0" applyFont="1" applyFill="1" applyBorder="1" applyAlignment="1">
      <alignment vertical="center" wrapText="1"/>
    </xf>
    <xf numFmtId="1" fontId="11" fillId="87" borderId="39" xfId="0" applyNumberFormat="1" applyFont="1" applyFill="1" applyBorder="1" applyAlignment="1">
      <alignment horizontal="center" vertical="center" wrapText="1"/>
    </xf>
    <xf numFmtId="167" fontId="11" fillId="87" borderId="39" xfId="0" applyNumberFormat="1" applyFont="1" applyFill="1" applyBorder="1" applyAlignment="1">
      <alignment horizontal="center" vertical="center" wrapText="1"/>
    </xf>
    <xf numFmtId="0" fontId="61" fillId="87" borderId="81" xfId="0" applyFont="1" applyFill="1" applyBorder="1" applyAlignment="1">
      <alignment horizontal="center" vertical="center" wrapText="1"/>
    </xf>
    <xf numFmtId="0" fontId="98" fillId="87" borderId="39" xfId="0" applyFont="1" applyFill="1" applyBorder="1" applyAlignment="1">
      <alignment horizontal="center" vertical="center" wrapText="1"/>
    </xf>
    <xf numFmtId="0" fontId="98" fillId="87" borderId="1" xfId="0" applyFont="1" applyFill="1" applyBorder="1" applyAlignment="1">
      <alignment horizontal="center" vertical="center" wrapText="1"/>
    </xf>
    <xf numFmtId="0" fontId="98" fillId="87" borderId="37" xfId="0" applyFont="1" applyFill="1" applyBorder="1" applyAlignment="1">
      <alignment horizontal="center" vertical="center" wrapText="1"/>
    </xf>
    <xf numFmtId="0" fontId="11" fillId="87" borderId="37" xfId="0" applyFont="1" applyFill="1" applyBorder="1" applyAlignment="1">
      <alignment horizontal="center" vertical="center" wrapText="1"/>
    </xf>
    <xf numFmtId="0" fontId="95" fillId="87" borderId="1" xfId="0" applyFont="1" applyFill="1" applyBorder="1" applyAlignment="1">
      <alignment horizontal="center" vertical="center"/>
    </xf>
    <xf numFmtId="0" fontId="95" fillId="87" borderId="28" xfId="0" applyFont="1" applyFill="1" applyBorder="1"/>
    <xf numFmtId="0" fontId="11" fillId="87" borderId="83" xfId="0" applyFont="1" applyFill="1" applyBorder="1" applyAlignment="1">
      <alignment vertical="center" wrapText="1"/>
    </xf>
    <xf numFmtId="0" fontId="95" fillId="87" borderId="84" xfId="0" applyFont="1" applyFill="1" applyBorder="1"/>
    <xf numFmtId="0" fontId="11" fillId="87" borderId="90" xfId="0" applyFont="1" applyFill="1" applyBorder="1" applyAlignment="1">
      <alignment vertical="center" wrapText="1"/>
    </xf>
    <xf numFmtId="0" fontId="98" fillId="87" borderId="32" xfId="0" applyFont="1" applyFill="1" applyBorder="1" applyAlignment="1">
      <alignment horizontal="center" vertical="center" wrapText="1"/>
    </xf>
    <xf numFmtId="0" fontId="98" fillId="87" borderId="93" xfId="0" applyFont="1" applyFill="1" applyBorder="1" applyAlignment="1">
      <alignment horizontal="center" vertical="center" wrapText="1"/>
    </xf>
    <xf numFmtId="0" fontId="98" fillId="87" borderId="95" xfId="0" applyFont="1" applyFill="1" applyBorder="1" applyAlignment="1">
      <alignment horizontal="center" vertical="center" wrapText="1"/>
    </xf>
    <xf numFmtId="0" fontId="95" fillId="87" borderId="93" xfId="0" applyFont="1" applyFill="1" applyBorder="1"/>
    <xf numFmtId="0" fontId="95" fillId="87" borderId="96" xfId="0" applyFont="1" applyFill="1" applyBorder="1"/>
    <xf numFmtId="0" fontId="62" fillId="79" borderId="82" xfId="0" applyFont="1" applyFill="1" applyBorder="1" applyAlignment="1">
      <alignment vertical="top" wrapText="1"/>
    </xf>
    <xf numFmtId="0" fontId="11" fillId="79" borderId="80" xfId="0" applyFont="1" applyFill="1" applyBorder="1" applyAlignment="1">
      <alignment vertical="center" wrapText="1"/>
    </xf>
    <xf numFmtId="0" fontId="11" fillId="79" borderId="1" xfId="968" applyNumberFormat="1" applyFont="1" applyFill="1" applyBorder="1" applyAlignment="1">
      <alignment horizontal="center" vertical="center" wrapText="1"/>
    </xf>
    <xf numFmtId="0" fontId="11" fillId="79" borderId="0" xfId="0" applyFont="1" applyFill="1" applyAlignment="1">
      <alignment horizontal="center"/>
    </xf>
    <xf numFmtId="0" fontId="88" fillId="79" borderId="39" xfId="0" applyFont="1" applyFill="1" applyBorder="1" applyAlignment="1">
      <alignment horizontal="center" vertical="center" wrapText="1"/>
    </xf>
    <xf numFmtId="0" fontId="88" fillId="79" borderId="1" xfId="0" applyFont="1" applyFill="1" applyBorder="1" applyAlignment="1">
      <alignment horizontal="center" vertical="center" wrapText="1"/>
    </xf>
    <xf numFmtId="0" fontId="88" fillId="79" borderId="37" xfId="0" applyFont="1" applyFill="1" applyBorder="1" applyAlignment="1">
      <alignment horizontal="center" vertical="center" wrapText="1"/>
    </xf>
    <xf numFmtId="0" fontId="11" fillId="79" borderId="1" xfId="0" applyFont="1" applyFill="1" applyBorder="1" applyAlignment="1">
      <alignment horizontal="center" vertical="center" wrapText="1"/>
    </xf>
    <xf numFmtId="0" fontId="11" fillId="79" borderId="81" xfId="0" applyFont="1" applyFill="1" applyBorder="1" applyAlignment="1">
      <alignment horizontal="center" vertical="center" wrapText="1"/>
    </xf>
    <xf numFmtId="0" fontId="11" fillId="79" borderId="40" xfId="0" applyFont="1" applyFill="1" applyBorder="1" applyAlignment="1">
      <alignment horizontal="center" vertical="center" wrapText="1"/>
    </xf>
    <xf numFmtId="0" fontId="86" fillId="79" borderId="1" xfId="0" applyFont="1" applyFill="1" applyBorder="1"/>
    <xf numFmtId="2" fontId="98" fillId="33" borderId="40" xfId="0" applyNumberFormat="1" applyFont="1" applyFill="1" applyBorder="1" applyAlignment="1">
      <alignment horizontal="center" vertical="center" wrapText="1"/>
    </xf>
    <xf numFmtId="167" fontId="11" fillId="89" borderId="40" xfId="0" applyNumberFormat="1" applyFont="1" applyFill="1" applyBorder="1" applyAlignment="1">
      <alignment horizontal="center" wrapText="1"/>
    </xf>
    <xf numFmtId="0" fontId="95" fillId="79" borderId="1" xfId="0" applyFont="1" applyFill="1" applyBorder="1"/>
    <xf numFmtId="167" fontId="11" fillId="79" borderId="40" xfId="0" applyNumberFormat="1" applyFont="1" applyFill="1" applyBorder="1" applyAlignment="1">
      <alignment horizontal="center" wrapText="1"/>
    </xf>
    <xf numFmtId="0" fontId="61" fillId="79" borderId="1" xfId="0" applyFont="1" applyFill="1" applyBorder="1" applyAlignment="1">
      <alignment horizontal="center" vertical="center" wrapText="1"/>
    </xf>
    <xf numFmtId="0" fontId="11" fillId="79" borderId="86" xfId="0" applyFont="1" applyFill="1" applyBorder="1" applyAlignment="1">
      <alignment vertical="center" wrapText="1"/>
    </xf>
    <xf numFmtId="2" fontId="49" fillId="89" borderId="75" xfId="0" applyNumberFormat="1" applyFont="1" applyFill="1" applyBorder="1" applyAlignment="1">
      <alignment horizontal="center" vertical="center" wrapText="1"/>
    </xf>
    <xf numFmtId="167" fontId="11" fillId="79" borderId="39" xfId="0" applyNumberFormat="1" applyFont="1" applyFill="1" applyBorder="1" applyAlignment="1">
      <alignment horizontal="center" vertical="center" wrapText="1"/>
    </xf>
    <xf numFmtId="0" fontId="61" fillId="79" borderId="81" xfId="0" applyFont="1" applyFill="1" applyBorder="1" applyAlignment="1">
      <alignment horizontal="center" vertical="center" wrapText="1"/>
    </xf>
    <xf numFmtId="0" fontId="98" fillId="79" borderId="39" xfId="0" applyFont="1" applyFill="1" applyBorder="1" applyAlignment="1">
      <alignment horizontal="center" vertical="center" wrapText="1"/>
    </xf>
    <xf numFmtId="0" fontId="98" fillId="79" borderId="1" xfId="0" applyFont="1" applyFill="1" applyBorder="1" applyAlignment="1">
      <alignment horizontal="center" vertical="center" wrapText="1"/>
    </xf>
    <xf numFmtId="0" fontId="98" fillId="79" borderId="37" xfId="0" applyFont="1" applyFill="1" applyBorder="1" applyAlignment="1">
      <alignment horizontal="center" vertical="center" wrapText="1"/>
    </xf>
    <xf numFmtId="0" fontId="11" fillId="79" borderId="37" xfId="0" applyFont="1" applyFill="1" applyBorder="1" applyAlignment="1">
      <alignment horizontal="center" vertical="center" wrapText="1"/>
    </xf>
    <xf numFmtId="0" fontId="95" fillId="79" borderId="1" xfId="0" applyFont="1" applyFill="1" applyBorder="1" applyAlignment="1">
      <alignment horizontal="center" vertical="center"/>
    </xf>
    <xf numFmtId="0" fontId="95" fillId="79" borderId="28" xfId="0" applyFont="1" applyFill="1" applyBorder="1"/>
    <xf numFmtId="0" fontId="11" fillId="79" borderId="83" xfId="0" applyFont="1" applyFill="1" applyBorder="1" applyAlignment="1">
      <alignment vertical="center" wrapText="1"/>
    </xf>
    <xf numFmtId="0" fontId="11" fillId="79" borderId="90" xfId="0" applyFont="1" applyFill="1" applyBorder="1" applyAlignment="1">
      <alignment vertical="center" wrapText="1"/>
    </xf>
    <xf numFmtId="0" fontId="95" fillId="79" borderId="93" xfId="0" applyFont="1" applyFill="1" applyBorder="1"/>
    <xf numFmtId="0" fontId="95" fillId="79" borderId="96" xfId="0" applyFont="1" applyFill="1" applyBorder="1"/>
    <xf numFmtId="0" fontId="49" fillId="37" borderId="0" xfId="0" applyFont="1" applyFill="1" applyAlignment="1">
      <alignment vertical="center" wrapText="1"/>
    </xf>
    <xf numFmtId="0" fontId="102" fillId="0" borderId="0" xfId="0" applyFont="1" applyAlignment="1">
      <alignment vertical="center"/>
    </xf>
    <xf numFmtId="0" fontId="103" fillId="0" borderId="0" xfId="0" applyFont="1" applyAlignment="1">
      <alignment vertical="center"/>
    </xf>
    <xf numFmtId="0" fontId="103" fillId="0" borderId="0" xfId="0" applyFont="1"/>
    <xf numFmtId="0" fontId="11" fillId="81" borderId="80" xfId="0" applyFont="1" applyFill="1" applyBorder="1" applyAlignment="1">
      <alignment vertical="center" wrapText="1"/>
    </xf>
    <xf numFmtId="1" fontId="11" fillId="81" borderId="1" xfId="968" applyNumberFormat="1" applyFont="1" applyFill="1" applyBorder="1" applyAlignment="1">
      <alignment horizontal="center" vertical="center" wrapText="1"/>
    </xf>
    <xf numFmtId="1" fontId="11" fillId="37" borderId="1" xfId="968" applyNumberFormat="1" applyFont="1" applyFill="1" applyBorder="1" applyAlignment="1">
      <alignment horizontal="center" vertical="center" wrapText="1"/>
    </xf>
    <xf numFmtId="1" fontId="11" fillId="33" borderId="1" xfId="968" applyNumberFormat="1" applyFont="1" applyFill="1" applyBorder="1" applyAlignment="1">
      <alignment horizontal="center" vertical="center" wrapText="1"/>
    </xf>
    <xf numFmtId="2" fontId="88" fillId="81" borderId="39" xfId="0" applyNumberFormat="1" applyFont="1" applyFill="1" applyBorder="1" applyAlignment="1">
      <alignment horizontal="center" vertical="center" wrapText="1"/>
    </xf>
    <xf numFmtId="0" fontId="11" fillId="81" borderId="1" xfId="0" applyFont="1" applyFill="1" applyBorder="1" applyAlignment="1">
      <alignment horizontal="center" vertical="center" wrapText="1"/>
    </xf>
    <xf numFmtId="0" fontId="11" fillId="81" borderId="81" xfId="0" applyFont="1" applyFill="1" applyBorder="1" applyAlignment="1">
      <alignment horizontal="center" vertical="center" wrapText="1"/>
    </xf>
    <xf numFmtId="2" fontId="98" fillId="81" borderId="1" xfId="0" applyNumberFormat="1" applyFont="1" applyFill="1" applyBorder="1" applyAlignment="1">
      <alignment horizontal="center" vertical="center" wrapText="1"/>
    </xf>
    <xf numFmtId="0" fontId="88" fillId="81" borderId="39" xfId="0" applyFont="1" applyFill="1" applyBorder="1" applyAlignment="1">
      <alignment horizontal="center" vertical="center" wrapText="1"/>
    </xf>
    <xf numFmtId="0" fontId="62" fillId="82" borderId="78" xfId="0" applyFont="1" applyFill="1" applyBorder="1" applyAlignment="1">
      <alignment horizontal="center" vertical="center" wrapText="1"/>
    </xf>
    <xf numFmtId="0" fontId="62" fillId="82" borderId="82" xfId="0" applyFont="1" applyFill="1" applyBorder="1" applyAlignment="1">
      <alignment horizontal="center" vertical="center" wrapText="1"/>
    </xf>
    <xf numFmtId="0" fontId="62" fillId="82" borderId="77" xfId="0" applyFont="1" applyFill="1" applyBorder="1" applyAlignment="1">
      <alignment horizontal="center" vertical="center" wrapText="1"/>
    </xf>
    <xf numFmtId="0" fontId="62" fillId="82" borderId="23" xfId="0" applyFont="1" applyFill="1" applyBorder="1" applyAlignment="1">
      <alignment horizontal="center" vertical="center" wrapText="1"/>
    </xf>
    <xf numFmtId="0" fontId="86" fillId="0" borderId="92" xfId="0" applyFont="1" applyBorder="1"/>
    <xf numFmtId="1" fontId="88" fillId="81" borderId="39" xfId="0" applyNumberFormat="1" applyFont="1" applyFill="1" applyBorder="1" applyAlignment="1">
      <alignment horizontal="center" vertical="center" wrapText="1"/>
    </xf>
    <xf numFmtId="9" fontId="88" fillId="81" borderId="1" xfId="0" applyNumberFormat="1" applyFont="1" applyFill="1" applyBorder="1" applyAlignment="1">
      <alignment horizontal="center" vertical="center" wrapText="1"/>
    </xf>
    <xf numFmtId="0" fontId="88" fillId="81" borderId="1" xfId="0" applyFont="1" applyFill="1" applyBorder="1" applyAlignment="1">
      <alignment horizontal="center" vertical="center" wrapText="1"/>
    </xf>
    <xf numFmtId="9" fontId="105" fillId="0" borderId="23" xfId="0" applyNumberFormat="1" applyFont="1" applyBorder="1" applyAlignment="1">
      <alignment horizontal="center" vertical="center"/>
    </xf>
    <xf numFmtId="9" fontId="105" fillId="0" borderId="24" xfId="0" applyNumberFormat="1" applyFont="1" applyBorder="1" applyAlignment="1">
      <alignment horizontal="center" vertical="center"/>
    </xf>
    <xf numFmtId="9" fontId="105" fillId="0" borderId="77" xfId="0" applyNumberFormat="1" applyFont="1" applyBorder="1" applyAlignment="1">
      <alignment horizontal="center" vertical="center"/>
    </xf>
    <xf numFmtId="9" fontId="105" fillId="0" borderId="25" xfId="0" applyNumberFormat="1" applyFont="1" applyBorder="1" applyAlignment="1">
      <alignment horizontal="center" vertical="center"/>
    </xf>
    <xf numFmtId="0" fontId="11" fillId="81" borderId="40" xfId="0" applyFont="1" applyFill="1" applyBorder="1" applyAlignment="1">
      <alignment horizontal="center" vertical="center" wrapText="1"/>
    </xf>
    <xf numFmtId="0" fontId="86" fillId="81" borderId="1" xfId="0" applyFont="1" applyFill="1" applyBorder="1"/>
    <xf numFmtId="0" fontId="86" fillId="0" borderId="81" xfId="0" applyFont="1" applyBorder="1"/>
    <xf numFmtId="0" fontId="62" fillId="82" borderId="94" xfId="0" applyFont="1" applyFill="1" applyBorder="1" applyAlignment="1">
      <alignment horizontal="center" vertical="center" wrapText="1"/>
    </xf>
    <xf numFmtId="0" fontId="62" fillId="82" borderId="92" xfId="0" applyFont="1" applyFill="1" applyBorder="1" applyAlignment="1">
      <alignment horizontal="center" vertical="center" wrapText="1"/>
    </xf>
    <xf numFmtId="165" fontId="98" fillId="33" borderId="39" xfId="0" applyNumberFormat="1" applyFont="1" applyFill="1" applyBorder="1" applyAlignment="1">
      <alignment horizontal="center" vertical="center" wrapText="1"/>
    </xf>
    <xf numFmtId="1" fontId="98" fillId="0" borderId="39" xfId="0" applyNumberFormat="1" applyFont="1" applyBorder="1" applyAlignment="1">
      <alignment horizontal="center" vertical="center" wrapText="1"/>
    </xf>
    <xf numFmtId="1" fontId="98" fillId="33" borderId="39" xfId="0" applyNumberFormat="1" applyFont="1" applyFill="1" applyBorder="1" applyAlignment="1">
      <alignment horizontal="center" vertical="center" wrapText="1"/>
    </xf>
    <xf numFmtId="1" fontId="88" fillId="33" borderId="1" xfId="0" applyNumberFormat="1" applyFont="1" applyFill="1" applyBorder="1" applyAlignment="1">
      <alignment horizontal="center" vertical="center"/>
    </xf>
    <xf numFmtId="1" fontId="88" fillId="33" borderId="37" xfId="0" applyNumberFormat="1" applyFont="1" applyFill="1" applyBorder="1" applyAlignment="1">
      <alignment horizontal="center" vertical="center"/>
    </xf>
    <xf numFmtId="2" fontId="11" fillId="33" borderId="40" xfId="0" applyNumberFormat="1" applyFont="1" applyFill="1" applyBorder="1" applyAlignment="1">
      <alignment horizontal="center" wrapText="1"/>
    </xf>
    <xf numFmtId="2" fontId="11" fillId="79" borderId="40" xfId="0" applyNumberFormat="1" applyFont="1" applyFill="1" applyBorder="1" applyAlignment="1">
      <alignment horizontal="center" wrapText="1"/>
    </xf>
    <xf numFmtId="0" fontId="11" fillId="79" borderId="39" xfId="0" applyFont="1" applyFill="1" applyBorder="1" applyAlignment="1">
      <alignment horizontal="center" vertical="center" wrapText="1"/>
    </xf>
    <xf numFmtId="0" fontId="86" fillId="79" borderId="81" xfId="0" applyFont="1" applyFill="1" applyBorder="1"/>
    <xf numFmtId="0" fontId="11" fillId="79" borderId="1" xfId="0" applyFont="1" applyFill="1" applyBorder="1" applyAlignment="1">
      <alignment horizontal="center" vertical="center"/>
    </xf>
    <xf numFmtId="0" fontId="11" fillId="79" borderId="37" xfId="0" applyFont="1" applyFill="1" applyBorder="1" applyAlignment="1">
      <alignment horizontal="center" vertical="center"/>
    </xf>
    <xf numFmtId="0" fontId="62" fillId="79" borderId="18" xfId="0" applyFont="1" applyFill="1" applyBorder="1" applyAlignment="1">
      <alignment vertical="center" wrapText="1"/>
    </xf>
    <xf numFmtId="0" fontId="62" fillId="79" borderId="78" xfId="0" applyFont="1" applyFill="1" applyBorder="1" applyAlignment="1">
      <alignment horizontal="center" vertical="center" wrapText="1"/>
    </xf>
    <xf numFmtId="0" fontId="62" fillId="79" borderId="82" xfId="0" applyFont="1" applyFill="1" applyBorder="1" applyAlignment="1">
      <alignment horizontal="center" vertical="center" wrapText="1"/>
    </xf>
    <xf numFmtId="0" fontId="62" fillId="79" borderId="77" xfId="0" applyFont="1" applyFill="1" applyBorder="1" applyAlignment="1">
      <alignment horizontal="center" vertical="center" wrapText="1"/>
    </xf>
    <xf numFmtId="0" fontId="62" fillId="79" borderId="23" xfId="0" applyFont="1" applyFill="1" applyBorder="1" applyAlignment="1">
      <alignment horizontal="center" vertical="center" wrapText="1"/>
    </xf>
    <xf numFmtId="0" fontId="86" fillId="79" borderId="82" xfId="0" applyFont="1" applyFill="1" applyBorder="1"/>
    <xf numFmtId="0" fontId="86" fillId="79" borderId="92" xfId="0" applyFont="1" applyFill="1" applyBorder="1"/>
    <xf numFmtId="167" fontId="11" fillId="79" borderId="74" xfId="0" applyNumberFormat="1" applyFont="1" applyFill="1" applyBorder="1" applyAlignment="1">
      <alignment horizontal="center" vertical="center" wrapText="1"/>
    </xf>
    <xf numFmtId="0" fontId="11" fillId="79" borderId="76" xfId="0" applyFont="1" applyFill="1" applyBorder="1" applyAlignment="1">
      <alignment horizontal="center" vertical="center" wrapText="1"/>
    </xf>
    <xf numFmtId="1" fontId="47" fillId="80" borderId="0" xfId="0" applyNumberFormat="1" applyFont="1" applyFill="1"/>
    <xf numFmtId="0" fontId="86" fillId="79" borderId="28" xfId="0" applyFont="1" applyFill="1" applyBorder="1"/>
    <xf numFmtId="167" fontId="11" fillId="79" borderId="32" xfId="0" applyNumberFormat="1" applyFont="1" applyFill="1" applyBorder="1" applyAlignment="1">
      <alignment horizontal="center" vertical="center" wrapText="1"/>
    </xf>
    <xf numFmtId="0" fontId="86" fillId="79" borderId="93" xfId="0" applyFont="1" applyFill="1" applyBorder="1"/>
    <xf numFmtId="0" fontId="86" fillId="79" borderId="96" xfId="0" applyFont="1" applyFill="1" applyBorder="1"/>
    <xf numFmtId="0" fontId="95" fillId="37" borderId="0" xfId="0" applyFont="1" applyFill="1"/>
    <xf numFmtId="0" fontId="88" fillId="33" borderId="31" xfId="0" applyFont="1" applyFill="1" applyBorder="1" applyAlignment="1">
      <alignment horizontal="center" vertical="center" wrapText="1"/>
    </xf>
    <xf numFmtId="167" fontId="98" fillId="82" borderId="39" xfId="0" applyNumberFormat="1" applyFont="1" applyFill="1" applyBorder="1" applyAlignment="1">
      <alignment horizontal="center" vertical="center" wrapText="1"/>
    </xf>
    <xf numFmtId="0" fontId="95" fillId="0" borderId="0" xfId="0" applyFont="1"/>
    <xf numFmtId="0" fontId="45" fillId="0" borderId="1" xfId="0" quotePrefix="1" applyFont="1" applyBorder="1" applyAlignment="1">
      <alignment horizontal="center" vertical="center"/>
    </xf>
    <xf numFmtId="0" fontId="45" fillId="0" borderId="82" xfId="0" applyFont="1" applyBorder="1" applyAlignment="1">
      <alignment horizontal="center" vertical="center"/>
    </xf>
    <xf numFmtId="0" fontId="45" fillId="0" borderId="23" xfId="0" applyFont="1" applyBorder="1" applyAlignment="1">
      <alignment horizontal="center"/>
    </xf>
    <xf numFmtId="0" fontId="45" fillId="0" borderId="25" xfId="0" applyFont="1" applyBorder="1" applyAlignment="1">
      <alignment horizontal="center"/>
    </xf>
    <xf numFmtId="2" fontId="11" fillId="83" borderId="39" xfId="0" applyNumberFormat="1" applyFont="1" applyFill="1" applyBorder="1" applyAlignment="1">
      <alignment horizontal="center" vertical="center" wrapText="1"/>
    </xf>
    <xf numFmtId="0" fontId="46" fillId="37" borderId="0" xfId="0" applyFont="1" applyFill="1"/>
    <xf numFmtId="0" fontId="79" fillId="37" borderId="0" xfId="0" applyFont="1" applyFill="1" applyAlignment="1">
      <alignment vertical="top"/>
    </xf>
    <xf numFmtId="3" fontId="67" fillId="37" borderId="0" xfId="1257"/>
    <xf numFmtId="0" fontId="0" fillId="37" borderId="0" xfId="0" applyFill="1" applyAlignment="1">
      <alignment horizontal="right"/>
    </xf>
    <xf numFmtId="3" fontId="46" fillId="0" borderId="0" xfId="0" applyNumberFormat="1" applyFont="1"/>
    <xf numFmtId="1" fontId="11" fillId="83" borderId="1" xfId="968" applyNumberFormat="1" applyFont="1" applyFill="1" applyBorder="1" applyAlignment="1">
      <alignment horizontal="center" vertical="center" wrapText="1"/>
    </xf>
    <xf numFmtId="1" fontId="11" fillId="83" borderId="0" xfId="0" applyNumberFormat="1" applyFont="1" applyFill="1" applyAlignment="1">
      <alignment horizontal="center"/>
    </xf>
    <xf numFmtId="1" fontId="11" fillId="0" borderId="1" xfId="968" applyNumberFormat="1" applyFont="1" applyFill="1" applyBorder="1" applyAlignment="1">
      <alignment horizontal="center" vertical="center" wrapText="1"/>
    </xf>
    <xf numFmtId="0" fontId="61" fillId="82" borderId="39" xfId="0" applyFont="1" applyFill="1" applyBorder="1" applyAlignment="1">
      <alignment horizontal="center" vertical="center" wrapText="1"/>
    </xf>
    <xf numFmtId="0" fontId="11" fillId="83" borderId="39" xfId="0" applyFont="1" applyFill="1" applyBorder="1" applyAlignment="1">
      <alignment horizontal="center" vertical="center" wrapText="1"/>
    </xf>
    <xf numFmtId="167" fontId="98" fillId="83" borderId="32" xfId="0" applyNumberFormat="1" applyFont="1" applyFill="1" applyBorder="1" applyAlignment="1">
      <alignment horizontal="center" vertical="center" wrapText="1"/>
    </xf>
    <xf numFmtId="167" fontId="98" fillId="83" borderId="93" xfId="0" applyNumberFormat="1" applyFont="1" applyFill="1" applyBorder="1" applyAlignment="1">
      <alignment horizontal="center" vertical="center" wrapText="1"/>
    </xf>
    <xf numFmtId="167" fontId="98" fillId="83" borderId="95" xfId="0" applyNumberFormat="1" applyFont="1" applyFill="1" applyBorder="1" applyAlignment="1">
      <alignment horizontal="center" vertical="center" wrapText="1"/>
    </xf>
    <xf numFmtId="2" fontId="98" fillId="33" borderId="26" xfId="0" applyNumberFormat="1" applyFont="1" applyFill="1" applyBorder="1" applyAlignment="1">
      <alignment horizontal="center" vertical="center" wrapText="1"/>
    </xf>
    <xf numFmtId="2" fontId="98" fillId="33" borderId="42" xfId="0" applyNumberFormat="1" applyFont="1" applyFill="1" applyBorder="1" applyAlignment="1">
      <alignment horizontal="center" vertical="center" wrapText="1"/>
    </xf>
    <xf numFmtId="0" fontId="4" fillId="37" borderId="0" xfId="0" applyFont="1" applyFill="1"/>
    <xf numFmtId="0" fontId="79" fillId="90" borderId="0" xfId="0" applyFont="1" applyFill="1" applyAlignment="1">
      <alignment horizontal="right"/>
    </xf>
    <xf numFmtId="0" fontId="79" fillId="90" borderId="0" xfId="0" applyFont="1" applyFill="1"/>
    <xf numFmtId="0" fontId="79" fillId="90" borderId="0" xfId="0" applyFont="1" applyFill="1" applyAlignment="1">
      <alignment vertical="top"/>
    </xf>
    <xf numFmtId="0" fontId="83" fillId="90" borderId="0" xfId="0" applyFont="1" applyFill="1" applyAlignment="1">
      <alignment horizontal="right"/>
    </xf>
    <xf numFmtId="0" fontId="4" fillId="90" borderId="0" xfId="0" applyFont="1" applyFill="1" applyAlignment="1">
      <alignment horizontal="right"/>
    </xf>
    <xf numFmtId="2" fontId="11" fillId="83" borderId="40" xfId="0" applyNumberFormat="1" applyFont="1" applyFill="1" applyBorder="1" applyAlignment="1">
      <alignment horizontal="center" wrapText="1"/>
    </xf>
    <xf numFmtId="0" fontId="79" fillId="37" borderId="0" xfId="0" applyFont="1" applyFill="1" applyAlignment="1">
      <alignment horizontal="right"/>
    </xf>
    <xf numFmtId="0" fontId="107" fillId="82" borderId="0" xfId="0" applyFont="1" applyFill="1" applyAlignment="1">
      <alignment vertical="center" wrapText="1"/>
    </xf>
    <xf numFmtId="0" fontId="11" fillId="37" borderId="0" xfId="0" applyFont="1" applyFill="1" applyAlignment="1">
      <alignment vertical="top"/>
    </xf>
    <xf numFmtId="0" fontId="11" fillId="37" borderId="0" xfId="0" applyFont="1" applyFill="1" applyAlignment="1">
      <alignment vertical="top" wrapText="1"/>
    </xf>
    <xf numFmtId="0" fontId="11" fillId="37" borderId="0" xfId="0" applyFont="1" applyFill="1"/>
    <xf numFmtId="0" fontId="107" fillId="37" borderId="0" xfId="0" applyFont="1" applyFill="1" applyAlignment="1">
      <alignment horizontal="right"/>
    </xf>
    <xf numFmtId="0" fontId="95" fillId="37" borderId="0" xfId="0" applyFont="1" applyFill="1" applyAlignment="1">
      <alignment horizontal="right"/>
    </xf>
    <xf numFmtId="0" fontId="95" fillId="0" borderId="0" xfId="0" applyFont="1" applyAlignment="1">
      <alignment horizontal="right"/>
    </xf>
    <xf numFmtId="0" fontId="4" fillId="0" borderId="0" xfId="0" applyFont="1"/>
    <xf numFmtId="0" fontId="102" fillId="37" borderId="0" xfId="0" applyFont="1" applyFill="1" applyAlignment="1">
      <alignment horizontal="right"/>
    </xf>
    <xf numFmtId="0" fontId="4" fillId="37" borderId="0" xfId="0" applyFont="1" applyFill="1" applyAlignment="1">
      <alignment horizontal="right"/>
    </xf>
    <xf numFmtId="0" fontId="59" fillId="37" borderId="0" xfId="0" applyFont="1" applyFill="1"/>
    <xf numFmtId="1" fontId="11" fillId="87" borderId="1" xfId="968" applyNumberFormat="1" applyFont="1" applyFill="1" applyBorder="1" applyAlignment="1">
      <alignment horizontal="center" vertical="center" wrapText="1"/>
    </xf>
    <xf numFmtId="1" fontId="11" fillId="87" borderId="0" xfId="0" applyNumberFormat="1" applyFont="1" applyFill="1" applyAlignment="1">
      <alignment horizontal="center"/>
    </xf>
    <xf numFmtId="2" fontId="11" fillId="87" borderId="39" xfId="0" applyNumberFormat="1" applyFont="1" applyFill="1" applyBorder="1" applyAlignment="1">
      <alignment horizontal="center" vertical="center" wrapText="1"/>
    </xf>
    <xf numFmtId="0" fontId="11" fillId="87" borderId="39" xfId="0" applyFont="1" applyFill="1" applyBorder="1" applyAlignment="1">
      <alignment horizontal="center" vertical="center" wrapText="1"/>
    </xf>
    <xf numFmtId="0" fontId="71" fillId="0" borderId="23" xfId="0" applyFont="1" applyBorder="1"/>
    <xf numFmtId="0" fontId="0" fillId="0" borderId="25" xfId="0" applyBorder="1"/>
    <xf numFmtId="2" fontId="88" fillId="83" borderId="39" xfId="0" applyNumberFormat="1" applyFont="1" applyFill="1" applyBorder="1" applyAlignment="1">
      <alignment horizontal="center" vertical="center" wrapText="1"/>
    </xf>
    <xf numFmtId="167" fontId="88" fillId="83" borderId="39" xfId="0" applyNumberFormat="1" applyFont="1" applyFill="1" applyBorder="1" applyAlignment="1">
      <alignment horizontal="center" vertical="center" wrapText="1"/>
    </xf>
    <xf numFmtId="0" fontId="109" fillId="0" borderId="0" xfId="0" applyFont="1"/>
    <xf numFmtId="0" fontId="79" fillId="37" borderId="0" xfId="0" applyFont="1" applyFill="1" applyAlignment="1">
      <alignment horizontal="right" vertical="center"/>
    </xf>
    <xf numFmtId="0" fontId="83" fillId="37" borderId="0" xfId="0" applyFont="1" applyFill="1" applyAlignment="1">
      <alignment horizontal="right" vertical="center"/>
    </xf>
    <xf numFmtId="0" fontId="4" fillId="37" borderId="0" xfId="0" applyFont="1" applyFill="1" applyAlignment="1">
      <alignment horizontal="right" vertical="center"/>
    </xf>
    <xf numFmtId="2" fontId="11" fillId="87" borderId="40" xfId="0" applyNumberFormat="1" applyFont="1" applyFill="1" applyBorder="1" applyAlignment="1">
      <alignment horizontal="center" wrapText="1"/>
    </xf>
    <xf numFmtId="0" fontId="11" fillId="37" borderId="40" xfId="0" applyFont="1" applyFill="1" applyBorder="1" applyAlignment="1">
      <alignment horizontal="center" wrapText="1"/>
    </xf>
    <xf numFmtId="167" fontId="98" fillId="87" borderId="32" xfId="0" applyNumberFormat="1" applyFont="1" applyFill="1" applyBorder="1" applyAlignment="1">
      <alignment horizontal="center" vertical="center" wrapText="1"/>
    </xf>
    <xf numFmtId="167" fontId="98" fillId="87" borderId="93" xfId="0" applyNumberFormat="1" applyFont="1" applyFill="1" applyBorder="1" applyAlignment="1">
      <alignment horizontal="center" vertical="center" wrapText="1"/>
    </xf>
    <xf numFmtId="167" fontId="98" fillId="87" borderId="95" xfId="0" applyNumberFormat="1" applyFont="1" applyFill="1" applyBorder="1" applyAlignment="1">
      <alignment horizontal="center" vertical="center" wrapText="1"/>
    </xf>
    <xf numFmtId="0" fontId="95" fillId="87" borderId="1" xfId="0" applyFont="1" applyFill="1" applyBorder="1" applyAlignment="1">
      <alignment horizontal="left" vertical="center"/>
    </xf>
    <xf numFmtId="1" fontId="88" fillId="83" borderId="39" xfId="0" applyNumberFormat="1" applyFont="1" applyFill="1" applyBorder="1" applyAlignment="1">
      <alignment horizontal="center" vertical="center" wrapText="1"/>
    </xf>
    <xf numFmtId="1" fontId="88" fillId="87" borderId="39" xfId="0" applyNumberFormat="1" applyFont="1" applyFill="1" applyBorder="1" applyAlignment="1">
      <alignment horizontal="center" vertical="center" wrapText="1"/>
    </xf>
    <xf numFmtId="0" fontId="50" fillId="0" borderId="0" xfId="0" applyFont="1" applyAlignment="1">
      <alignment wrapText="1"/>
    </xf>
    <xf numFmtId="0" fontId="50" fillId="0" borderId="0" xfId="0" applyFont="1" applyAlignment="1">
      <alignment horizontal="center" wrapText="1"/>
    </xf>
    <xf numFmtId="164" fontId="54" fillId="86" borderId="1" xfId="0" applyNumberFormat="1" applyFont="1" applyFill="1" applyBorder="1"/>
    <xf numFmtId="0" fontId="111" fillId="0" borderId="0" xfId="0" applyFont="1"/>
    <xf numFmtId="0" fontId="112" fillId="0" borderId="0" xfId="0" applyFont="1" applyAlignment="1">
      <alignment wrapText="1"/>
    </xf>
    <xf numFmtId="0" fontId="50" fillId="0" borderId="0" xfId="0" applyFont="1" applyAlignment="1">
      <alignment horizontal="center" wrapText="1"/>
    </xf>
    <xf numFmtId="0" fontId="50" fillId="0" borderId="0" xfId="0" applyFont="1" applyAlignment="1">
      <alignment wrapText="1"/>
    </xf>
    <xf numFmtId="0" fontId="45" fillId="0" borderId="23" xfId="0" applyFont="1" applyBorder="1" applyAlignment="1">
      <alignment horizontal="center"/>
    </xf>
    <xf numFmtId="0" fontId="45" fillId="0" borderId="25" xfId="0" applyFont="1" applyBorder="1" applyAlignment="1">
      <alignment horizontal="center"/>
    </xf>
    <xf numFmtId="0" fontId="88" fillId="33" borderId="31" xfId="0" applyFont="1" applyFill="1" applyBorder="1" applyAlignment="1">
      <alignment horizontal="center" vertical="center" wrapText="1"/>
    </xf>
    <xf numFmtId="0" fontId="54" fillId="0" borderId="1" xfId="0" applyFont="1" applyFill="1" applyBorder="1" applyAlignment="1">
      <alignment horizontal="left"/>
    </xf>
    <xf numFmtId="2" fontId="54" fillId="0" borderId="26" xfId="0" applyNumberFormat="1" applyFont="1" applyFill="1" applyBorder="1" applyAlignment="1">
      <alignment horizontal="center"/>
    </xf>
    <xf numFmtId="0" fontId="15" fillId="3" borderId="0" xfId="3" applyBorder="1"/>
    <xf numFmtId="172" fontId="0" fillId="0" borderId="36" xfId="0" applyNumberFormat="1" applyBorder="1"/>
    <xf numFmtId="0" fontId="0" fillId="0" borderId="36" xfId="0" applyBorder="1" applyAlignment="1">
      <alignment horizontal="left"/>
    </xf>
    <xf numFmtId="0" fontId="77" fillId="0" borderId="36" xfId="0" applyFont="1" applyFill="1" applyBorder="1" applyAlignment="1">
      <alignment horizontal="right"/>
    </xf>
    <xf numFmtId="0" fontId="8" fillId="0" borderId="36" xfId="0" applyFont="1" applyFill="1" applyBorder="1" applyAlignment="1">
      <alignment horizontal="center"/>
    </xf>
    <xf numFmtId="0" fontId="15" fillId="3" borderId="36" xfId="3" applyBorder="1"/>
    <xf numFmtId="0" fontId="54" fillId="0" borderId="28" xfId="0" applyFont="1" applyFill="1" applyBorder="1" applyAlignment="1">
      <alignment horizontal="center"/>
    </xf>
    <xf numFmtId="172" fontId="0" fillId="0" borderId="19" xfId="0" applyNumberFormat="1" applyBorder="1"/>
    <xf numFmtId="0" fontId="0" fillId="0" borderId="19" xfId="0" applyBorder="1" applyAlignment="1">
      <alignment horizontal="left"/>
    </xf>
    <xf numFmtId="0" fontId="8" fillId="0" borderId="19" xfId="0" applyFont="1" applyFill="1" applyBorder="1" applyAlignment="1">
      <alignment horizontal="center"/>
    </xf>
    <xf numFmtId="0" fontId="15" fillId="3" borderId="19" xfId="3" applyBorder="1"/>
    <xf numFmtId="0" fontId="0" fillId="0" borderId="0" xfId="0" quotePrefix="1"/>
    <xf numFmtId="0" fontId="0" fillId="0" borderId="19" xfId="0" applyFill="1" applyBorder="1"/>
    <xf numFmtId="0" fontId="0" fillId="0" borderId="36" xfId="0" applyFill="1" applyBorder="1"/>
    <xf numFmtId="0" fontId="8" fillId="0" borderId="40" xfId="0" applyFont="1" applyFill="1" applyBorder="1" applyAlignment="1">
      <alignment horizontal="center"/>
    </xf>
    <xf numFmtId="0" fontId="8" fillId="34" borderId="32" xfId="0" applyFont="1" applyFill="1" applyBorder="1" applyAlignment="1">
      <alignment horizontal="left" vertical="center" wrapText="1"/>
    </xf>
    <xf numFmtId="0" fontId="0" fillId="0" borderId="31" xfId="0" applyBorder="1"/>
    <xf numFmtId="0" fontId="0" fillId="0" borderId="31" xfId="0" applyFill="1" applyBorder="1"/>
    <xf numFmtId="0" fontId="0" fillId="0" borderId="70" xfId="0" applyFill="1" applyBorder="1"/>
    <xf numFmtId="0" fontId="0" fillId="0" borderId="40" xfId="0" applyFill="1" applyBorder="1"/>
    <xf numFmtId="0" fontId="8" fillId="0" borderId="70" xfId="0" applyFont="1" applyFill="1" applyBorder="1" applyAlignment="1">
      <alignment horizontal="center"/>
    </xf>
    <xf numFmtId="0" fontId="0" fillId="0" borderId="70" xfId="0" applyBorder="1" applyAlignment="1">
      <alignment horizontal="left"/>
    </xf>
    <xf numFmtId="0" fontId="77" fillId="0" borderId="42" xfId="0" applyFont="1" applyFill="1" applyBorder="1" applyAlignment="1">
      <alignment horizontal="right"/>
    </xf>
    <xf numFmtId="165" fontId="54" fillId="0" borderId="1" xfId="0" applyNumberFormat="1" applyFont="1" applyFill="1" applyBorder="1" applyAlignment="1">
      <alignment horizontal="center"/>
    </xf>
    <xf numFmtId="165" fontId="54" fillId="0" borderId="28" xfId="0" applyNumberFormat="1" applyFont="1" applyFill="1" applyBorder="1" applyAlignment="1">
      <alignment horizontal="center"/>
    </xf>
    <xf numFmtId="165" fontId="54" fillId="0" borderId="26" xfId="0" applyNumberFormat="1" applyFont="1" applyFill="1" applyBorder="1" applyAlignment="1">
      <alignment horizontal="center"/>
    </xf>
    <xf numFmtId="0" fontId="0" fillId="0" borderId="12" xfId="0" applyBorder="1" applyAlignment="1">
      <alignment horizontal="center"/>
    </xf>
    <xf numFmtId="0" fontId="0" fillId="0" borderId="30" xfId="0" applyBorder="1" applyAlignment="1">
      <alignment horizontal="center"/>
    </xf>
    <xf numFmtId="0" fontId="0" fillId="0" borderId="0" xfId="0" applyAlignment="1">
      <alignment horizontal="right"/>
    </xf>
    <xf numFmtId="0" fontId="0" fillId="32" borderId="1" xfId="0" applyFill="1" applyBorder="1"/>
    <xf numFmtId="0" fontId="0" fillId="32" borderId="1" xfId="0" applyFont="1" applyFill="1" applyBorder="1"/>
    <xf numFmtId="9" fontId="40" fillId="0" borderId="0" xfId="968" applyFont="1" applyFill="1"/>
    <xf numFmtId="172" fontId="0" fillId="0" borderId="15" xfId="0" applyNumberFormat="1" applyBorder="1"/>
    <xf numFmtId="0" fontId="113" fillId="82" borderId="41" xfId="0" applyFont="1" applyFill="1" applyBorder="1" applyAlignment="1">
      <alignment vertical="center" wrapText="1"/>
    </xf>
    <xf numFmtId="0" fontId="115" fillId="82" borderId="37" xfId="0" applyFont="1" applyFill="1" applyBorder="1" applyAlignment="1">
      <alignment vertical="center" wrapText="1"/>
    </xf>
    <xf numFmtId="0" fontId="116" fillId="82" borderId="70" xfId="0" applyFont="1" applyFill="1" applyBorder="1" applyAlignment="1">
      <alignment horizontal="center" vertical="center" wrapText="1"/>
    </xf>
    <xf numFmtId="0" fontId="116" fillId="82" borderId="39" xfId="0" applyFont="1" applyFill="1" applyBorder="1" applyAlignment="1">
      <alignment vertical="center" wrapText="1"/>
    </xf>
    <xf numFmtId="0" fontId="117" fillId="82" borderId="37" xfId="0" applyFont="1" applyFill="1" applyBorder="1" applyAlignment="1">
      <alignment vertical="center" wrapText="1"/>
    </xf>
    <xf numFmtId="0" fontId="115" fillId="82" borderId="1" xfId="0" applyFont="1" applyFill="1" applyBorder="1" applyAlignment="1">
      <alignment vertical="center" wrapText="1"/>
    </xf>
    <xf numFmtId="0" fontId="115" fillId="82" borderId="1" xfId="0" applyFont="1" applyFill="1" applyBorder="1" applyAlignment="1">
      <alignment horizontal="center" vertical="center" wrapText="1"/>
    </xf>
    <xf numFmtId="49" fontId="119" fillId="82" borderId="26" xfId="0" applyNumberFormat="1" applyFont="1" applyFill="1" applyBorder="1" applyAlignment="1">
      <alignment vertical="center" wrapText="1"/>
    </xf>
    <xf numFmtId="0" fontId="117" fillId="82" borderId="26" xfId="0" applyFont="1" applyFill="1" applyBorder="1" applyAlignment="1">
      <alignment vertical="center" wrapText="1"/>
    </xf>
    <xf numFmtId="0" fontId="115" fillId="82" borderId="28" xfId="0" applyFont="1" applyFill="1" applyBorder="1" applyAlignment="1">
      <alignment vertical="center" wrapText="1"/>
    </xf>
    <xf numFmtId="0" fontId="115" fillId="82" borderId="28" xfId="0" applyFont="1" applyFill="1" applyBorder="1" applyAlignment="1">
      <alignment horizontal="center" vertical="center" wrapText="1"/>
    </xf>
    <xf numFmtId="0" fontId="115" fillId="82" borderId="26" xfId="0" applyFont="1" applyFill="1" applyBorder="1" applyAlignment="1">
      <alignment vertical="center" wrapText="1"/>
    </xf>
    <xf numFmtId="0" fontId="115" fillId="82" borderId="26" xfId="0" applyFont="1" applyFill="1" applyBorder="1" applyAlignment="1">
      <alignment horizontal="center" vertical="center" wrapText="1"/>
    </xf>
    <xf numFmtId="0" fontId="115" fillId="82" borderId="1" xfId="0" applyFont="1" applyFill="1" applyBorder="1" applyAlignment="1">
      <alignment horizontal="left" vertical="center" wrapText="1"/>
    </xf>
    <xf numFmtId="0" fontId="115" fillId="82" borderId="27" xfId="0" applyFont="1" applyFill="1" applyBorder="1" applyAlignment="1">
      <alignment vertical="center" wrapText="1"/>
    </xf>
    <xf numFmtId="0" fontId="117" fillId="82" borderId="1" xfId="0" applyFont="1" applyFill="1" applyBorder="1" applyAlignment="1">
      <alignment vertical="center" wrapText="1"/>
    </xf>
    <xf numFmtId="0" fontId="115" fillId="82" borderId="28" xfId="0" quotePrefix="1" applyFont="1" applyFill="1" applyBorder="1" applyAlignment="1">
      <alignment vertical="center" wrapText="1"/>
    </xf>
    <xf numFmtId="0" fontId="117" fillId="82" borderId="39" xfId="0" applyFont="1" applyFill="1" applyBorder="1" applyAlignment="1">
      <alignment vertical="center" wrapText="1"/>
    </xf>
    <xf numFmtId="0" fontId="121" fillId="82" borderId="37" xfId="0" applyFont="1" applyFill="1" applyBorder="1" applyAlignment="1">
      <alignment horizontal="center" vertical="center" wrapText="1"/>
    </xf>
    <xf numFmtId="0" fontId="121" fillId="82" borderId="1" xfId="0" applyFont="1" applyFill="1" applyBorder="1" applyAlignment="1">
      <alignment horizontal="center" vertical="center" wrapText="1"/>
    </xf>
    <xf numFmtId="0" fontId="121" fillId="82" borderId="0" xfId="0" applyFont="1" applyFill="1" applyAlignment="1">
      <alignment horizontal="center" vertical="center" wrapText="1"/>
    </xf>
    <xf numFmtId="0" fontId="121" fillId="82" borderId="37" xfId="0" applyFont="1" applyFill="1" applyBorder="1" applyAlignment="1">
      <alignment vertical="center" wrapText="1"/>
    </xf>
    <xf numFmtId="0" fontId="121" fillId="82" borderId="36" xfId="0" applyFont="1" applyFill="1" applyBorder="1" applyAlignment="1">
      <alignment vertical="center" wrapText="1"/>
    </xf>
    <xf numFmtId="0" fontId="121" fillId="82" borderId="38" xfId="0" applyFont="1" applyFill="1" applyBorder="1" applyAlignment="1">
      <alignment vertical="center" wrapText="1"/>
    </xf>
    <xf numFmtId="0" fontId="121" fillId="82" borderId="38" xfId="0" applyFont="1" applyFill="1" applyBorder="1" applyAlignment="1">
      <alignment horizontal="center" vertical="center" wrapText="1"/>
    </xf>
    <xf numFmtId="0" fontId="59" fillId="82" borderId="1" xfId="0" applyFont="1" applyFill="1" applyBorder="1" applyAlignment="1">
      <alignment horizontal="center" vertical="center" wrapText="1"/>
    </xf>
    <xf numFmtId="0" fontId="121" fillId="82" borderId="26" xfId="0" applyFont="1" applyFill="1" applyBorder="1" applyAlignment="1">
      <alignment vertical="center" wrapText="1"/>
    </xf>
    <xf numFmtId="0" fontId="59" fillId="82" borderId="28" xfId="0" applyFont="1" applyFill="1" applyBorder="1" applyAlignment="1">
      <alignment horizontal="center" vertical="center" wrapText="1"/>
    </xf>
    <xf numFmtId="0" fontId="59" fillId="82" borderId="26" xfId="0" applyFont="1" applyFill="1" applyBorder="1" applyAlignment="1">
      <alignment horizontal="center" vertical="center" wrapText="1"/>
    </xf>
    <xf numFmtId="0" fontId="47" fillId="82" borderId="1" xfId="0" applyFont="1" applyFill="1" applyBorder="1" applyAlignment="1">
      <alignment horizontal="center" vertical="center" wrapText="1"/>
    </xf>
    <xf numFmtId="0" fontId="121" fillId="82" borderId="1" xfId="0" applyFont="1" applyFill="1" applyBorder="1" applyAlignment="1">
      <alignment vertical="center" wrapText="1"/>
    </xf>
    <xf numFmtId="0" fontId="59" fillId="0" borderId="1" xfId="0" applyFont="1" applyBorder="1" applyAlignment="1">
      <alignment horizontal="center" vertical="center" wrapText="1"/>
    </xf>
    <xf numFmtId="0" fontId="59" fillId="82" borderId="28" xfId="0" applyFont="1" applyFill="1" applyBorder="1" applyAlignment="1">
      <alignment vertical="center" wrapText="1"/>
    </xf>
    <xf numFmtId="0" fontId="59" fillId="82" borderId="1" xfId="0" applyFont="1" applyFill="1" applyBorder="1" applyAlignment="1">
      <alignment vertical="center" wrapText="1"/>
    </xf>
    <xf numFmtId="2" fontId="59" fillId="82" borderId="1" xfId="0" applyNumberFormat="1" applyFont="1" applyFill="1" applyBorder="1" applyAlignment="1">
      <alignment horizontal="center" vertical="center" wrapText="1"/>
    </xf>
    <xf numFmtId="0" fontId="0" fillId="0" borderId="0" xfId="0" applyBorder="1" applyAlignment="1">
      <alignment horizontal="center"/>
    </xf>
    <xf numFmtId="0" fontId="7" fillId="26" borderId="38" xfId="0" applyFont="1" applyFill="1" applyBorder="1" applyAlignment="1">
      <alignment horizontal="center" vertical="center" wrapText="1"/>
    </xf>
    <xf numFmtId="0" fontId="7" fillId="26" borderId="38" xfId="0" applyFont="1" applyFill="1" applyBorder="1" applyAlignment="1">
      <alignment horizontal="right" vertical="center" wrapText="1"/>
    </xf>
    <xf numFmtId="0" fontId="7" fillId="26" borderId="39" xfId="0" applyFont="1" applyFill="1" applyBorder="1" applyAlignment="1">
      <alignment horizontal="left" vertical="center" wrapText="1"/>
    </xf>
    <xf numFmtId="2" fontId="54" fillId="0" borderId="0" xfId="0" applyNumberFormat="1" applyFont="1" applyFill="1" applyBorder="1" applyAlignment="1">
      <alignment horizontal="center"/>
    </xf>
    <xf numFmtId="2" fontId="54" fillId="0" borderId="19" xfId="0" applyNumberFormat="1" applyFont="1" applyFill="1" applyBorder="1" applyAlignment="1">
      <alignment horizontal="center"/>
    </xf>
    <xf numFmtId="2" fontId="54" fillId="0" borderId="28" xfId="0" applyNumberFormat="1" applyFont="1" applyFill="1" applyBorder="1" applyAlignment="1">
      <alignment horizontal="center"/>
    </xf>
    <xf numFmtId="0" fontId="46" fillId="0" borderId="33" xfId="0" applyFont="1" applyBorder="1" applyAlignment="1">
      <alignment horizontal="center"/>
    </xf>
    <xf numFmtId="0" fontId="0" fillId="0" borderId="34"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35" xfId="0" applyBorder="1" applyAlignment="1">
      <alignment horizontal="center"/>
    </xf>
    <xf numFmtId="0" fontId="0" fillId="32" borderId="29" xfId="0" applyFill="1" applyBorder="1"/>
    <xf numFmtId="0" fontId="0" fillId="32" borderId="17" xfId="0" applyFill="1" applyBorder="1"/>
    <xf numFmtId="0" fontId="0" fillId="32" borderId="13" xfId="0" applyFill="1" applyBorder="1"/>
    <xf numFmtId="0" fontId="7" fillId="26" borderId="39" xfId="0" applyFont="1" applyFill="1" applyBorder="1" applyAlignment="1">
      <alignment horizontal="right" vertical="center" wrapText="1"/>
    </xf>
    <xf numFmtId="0" fontId="8" fillId="27" borderId="39" xfId="0" applyFont="1" applyFill="1" applyBorder="1" applyAlignment="1">
      <alignment horizontal="center"/>
    </xf>
    <xf numFmtId="0" fontId="54" fillId="0" borderId="26" xfId="0" applyFont="1" applyFill="1" applyBorder="1" applyAlignment="1">
      <alignment horizontal="left"/>
    </xf>
    <xf numFmtId="0" fontId="0" fillId="0" borderId="100" xfId="0" applyBorder="1"/>
    <xf numFmtId="0" fontId="0" fillId="0" borderId="15" xfId="0" applyBorder="1"/>
    <xf numFmtId="0" fontId="0" fillId="0" borderId="15" xfId="0" applyBorder="1" applyAlignment="1">
      <alignment horizontal="left"/>
    </xf>
    <xf numFmtId="0" fontId="54" fillId="0" borderId="93" xfId="0" applyFont="1" applyFill="1" applyBorder="1" applyAlignment="1">
      <alignment horizontal="center"/>
    </xf>
    <xf numFmtId="2" fontId="54" fillId="0" borderId="93" xfId="0" applyNumberFormat="1" applyFont="1" applyFill="1" applyBorder="1" applyAlignment="1">
      <alignment horizontal="center"/>
    </xf>
    <xf numFmtId="165" fontId="54" fillId="0" borderId="93" xfId="0" applyNumberFormat="1" applyFont="1" applyFill="1" applyBorder="1" applyAlignment="1">
      <alignment horizontal="center"/>
    </xf>
    <xf numFmtId="0" fontId="77" fillId="0" borderId="15" xfId="0" applyFont="1" applyFill="1" applyBorder="1" applyAlignment="1">
      <alignment horizontal="right"/>
    </xf>
    <xf numFmtId="0" fontId="8" fillId="0" borderId="15" xfId="0" applyFont="1" applyFill="1" applyBorder="1" applyAlignment="1">
      <alignment horizontal="center"/>
    </xf>
    <xf numFmtId="0" fontId="54" fillId="0" borderId="93" xfId="0" applyFont="1" applyFill="1" applyBorder="1" applyAlignment="1">
      <alignment horizontal="left"/>
    </xf>
    <xf numFmtId="0" fontId="15" fillId="3" borderId="15" xfId="3" applyBorder="1"/>
    <xf numFmtId="0" fontId="77" fillId="0" borderId="95" xfId="0" applyFont="1" applyFill="1" applyBorder="1" applyAlignment="1">
      <alignment horizontal="right"/>
    </xf>
    <xf numFmtId="0" fontId="122" fillId="37" borderId="0" xfId="0" applyFont="1" applyFill="1"/>
    <xf numFmtId="0" fontId="115" fillId="0" borderId="0" xfId="0" applyFont="1" applyAlignment="1">
      <alignment horizontal="center" vertical="center" wrapText="1"/>
    </xf>
    <xf numFmtId="0" fontId="115" fillId="82" borderId="0" xfId="0" applyFont="1" applyFill="1" applyAlignment="1">
      <alignment horizontal="center" vertical="center" wrapText="1"/>
    </xf>
    <xf numFmtId="0" fontId="115" fillId="0" borderId="0" xfId="0" applyFont="1" applyAlignment="1">
      <alignment vertical="center" wrapText="1"/>
    </xf>
    <xf numFmtId="0" fontId="122" fillId="37" borderId="0" xfId="0" applyFont="1" applyFill="1" applyAlignment="1">
      <alignment vertical="center"/>
    </xf>
    <xf numFmtId="0" fontId="59" fillId="0" borderId="0" xfId="0" applyFont="1" applyAlignment="1">
      <alignment horizontal="right"/>
    </xf>
    <xf numFmtId="17" fontId="0" fillId="0" borderId="0" xfId="0" applyNumberFormat="1"/>
    <xf numFmtId="0" fontId="115" fillId="32" borderId="26" xfId="0" applyFont="1" applyFill="1" applyBorder="1" applyAlignment="1">
      <alignment vertical="center" wrapText="1"/>
    </xf>
    <xf numFmtId="0" fontId="59" fillId="32" borderId="1" xfId="0" applyFont="1" applyFill="1" applyBorder="1" applyAlignment="1">
      <alignment horizontal="center" vertical="center" wrapText="1"/>
    </xf>
    <xf numFmtId="0" fontId="59" fillId="32" borderId="26" xfId="0" applyFont="1" applyFill="1" applyBorder="1" applyAlignment="1">
      <alignment horizontal="center" vertical="center" wrapText="1"/>
    </xf>
    <xf numFmtId="0" fontId="115" fillId="32" borderId="28" xfId="0" applyFont="1" applyFill="1" applyBorder="1" applyAlignment="1">
      <alignment horizontal="left" vertical="center" wrapText="1"/>
    </xf>
    <xf numFmtId="0" fontId="59" fillId="32" borderId="28" xfId="0" applyFont="1" applyFill="1" applyBorder="1" applyAlignment="1">
      <alignment horizontal="center" vertical="center" wrapText="1"/>
    </xf>
    <xf numFmtId="176" fontId="0" fillId="0" borderId="0" xfId="0" applyNumberFormat="1"/>
    <xf numFmtId="0" fontId="88" fillId="33" borderId="31" xfId="0" applyFont="1" applyFill="1" applyBorder="1" applyAlignment="1">
      <alignment horizontal="center" vertical="center" wrapText="1"/>
    </xf>
    <xf numFmtId="0" fontId="45" fillId="0" borderId="23" xfId="0" applyFont="1" applyBorder="1" applyAlignment="1">
      <alignment horizontal="center"/>
    </xf>
    <xf numFmtId="0" fontId="45" fillId="0" borderId="25" xfId="0" applyFont="1" applyBorder="1" applyAlignment="1">
      <alignment horizontal="center"/>
    </xf>
    <xf numFmtId="0" fontId="49" fillId="0" borderId="13" xfId="0" applyFont="1" applyBorder="1" applyAlignment="1">
      <alignment horizontal="center" wrapText="1"/>
    </xf>
    <xf numFmtId="167" fontId="98" fillId="82" borderId="1" xfId="0" applyNumberFormat="1" applyFont="1" applyFill="1" applyBorder="1" applyAlignment="1">
      <alignment horizontal="center" vertical="center" wrapText="1"/>
    </xf>
    <xf numFmtId="167" fontId="98" fillId="82" borderId="37" xfId="0" applyNumberFormat="1" applyFont="1" applyFill="1" applyBorder="1" applyAlignment="1">
      <alignment horizontal="center" vertical="center" wrapText="1"/>
    </xf>
    <xf numFmtId="167" fontId="88" fillId="87" borderId="39" xfId="0" applyNumberFormat="1" applyFont="1" applyFill="1" applyBorder="1" applyAlignment="1">
      <alignment horizontal="center" vertical="center" wrapText="1"/>
    </xf>
    <xf numFmtId="2" fontId="88" fillId="87" borderId="39" xfId="0" applyNumberFormat="1" applyFont="1" applyFill="1" applyBorder="1" applyAlignment="1">
      <alignment horizontal="center" vertical="center" wrapText="1"/>
    </xf>
    <xf numFmtId="167" fontId="88" fillId="33" borderId="39" xfId="0" applyNumberFormat="1" applyFont="1" applyFill="1" applyBorder="1" applyAlignment="1">
      <alignment horizontal="center" vertical="center" wrapText="1"/>
    </xf>
    <xf numFmtId="167" fontId="88" fillId="82" borderId="1" xfId="0" applyNumberFormat="1" applyFont="1" applyFill="1" applyBorder="1" applyAlignment="1">
      <alignment horizontal="center" vertical="center"/>
    </xf>
    <xf numFmtId="167" fontId="88" fillId="82" borderId="37" xfId="0" applyNumberFormat="1" applyFont="1" applyFill="1" applyBorder="1" applyAlignment="1">
      <alignment horizontal="center" vertical="center"/>
    </xf>
    <xf numFmtId="0" fontId="123" fillId="37" borderId="0" xfId="0" applyFont="1" applyFill="1"/>
    <xf numFmtId="0" fontId="70" fillId="37" borderId="0" xfId="0" applyFont="1" applyFill="1"/>
    <xf numFmtId="0" fontId="77" fillId="0" borderId="21" xfId="0" applyFont="1" applyFill="1" applyBorder="1" applyAlignment="1">
      <alignment horizontal="right"/>
    </xf>
    <xf numFmtId="0" fontId="54" fillId="0" borderId="0" xfId="0" applyFont="1" applyFill="1" applyBorder="1" applyAlignment="1">
      <alignment horizontal="left"/>
    </xf>
    <xf numFmtId="0" fontId="54" fillId="0" borderId="36" xfId="0" applyFont="1" applyFill="1" applyBorder="1" applyAlignment="1">
      <alignment horizontal="center"/>
    </xf>
    <xf numFmtId="2" fontId="54" fillId="0" borderId="36" xfId="0" applyNumberFormat="1" applyFont="1" applyFill="1" applyBorder="1" applyAlignment="1">
      <alignment horizontal="center"/>
    </xf>
    <xf numFmtId="0" fontId="54" fillId="0" borderId="36" xfId="0" applyFont="1" applyFill="1" applyBorder="1" applyAlignment="1">
      <alignment horizontal="left"/>
    </xf>
    <xf numFmtId="0" fontId="15" fillId="3" borderId="21" xfId="3" applyBorder="1"/>
    <xf numFmtId="0" fontId="15" fillId="3" borderId="42" xfId="3" applyBorder="1"/>
    <xf numFmtId="0" fontId="15" fillId="3" borderId="41" xfId="3" applyBorder="1"/>
    <xf numFmtId="0" fontId="11" fillId="0" borderId="0" xfId="550" applyBorder="1"/>
    <xf numFmtId="0" fontId="0" fillId="0" borderId="0" xfId="0" applyFill="1" applyAlignment="1">
      <alignment horizontal="left"/>
    </xf>
    <xf numFmtId="0" fontId="59" fillId="34" borderId="20" xfId="0" applyFont="1" applyFill="1" applyBorder="1" applyAlignment="1">
      <alignment vertical="top" wrapText="1"/>
    </xf>
    <xf numFmtId="0" fontId="77" fillId="34" borderId="20" xfId="0" applyFont="1" applyFill="1" applyBorder="1" applyAlignment="1">
      <alignment horizontal="right" vertical="center" wrapText="1"/>
    </xf>
    <xf numFmtId="0" fontId="77" fillId="34" borderId="32" xfId="0" applyFont="1" applyFill="1" applyBorder="1" applyAlignment="1">
      <alignment horizontal="right" vertical="center" wrapText="1"/>
    </xf>
    <xf numFmtId="0" fontId="115" fillId="75" borderId="1" xfId="0" applyFont="1" applyFill="1" applyBorder="1" applyAlignment="1">
      <alignment vertical="center" wrapText="1"/>
    </xf>
    <xf numFmtId="0" fontId="59" fillId="75" borderId="1" xfId="0" applyFont="1" applyFill="1" applyBorder="1" applyAlignment="1">
      <alignment horizontal="center" vertical="center" wrapText="1"/>
    </xf>
    <xf numFmtId="0" fontId="115" fillId="75" borderId="1" xfId="0" applyFont="1" applyFill="1" applyBorder="1" applyAlignment="1">
      <alignment horizontal="center" vertical="center" wrapText="1"/>
    </xf>
    <xf numFmtId="0" fontId="115" fillId="75" borderId="27" xfId="0" applyFont="1" applyFill="1" applyBorder="1" applyAlignment="1">
      <alignment vertical="center" wrapText="1"/>
    </xf>
    <xf numFmtId="0" fontId="59" fillId="75" borderId="26" xfId="0" applyFont="1" applyFill="1" applyBorder="1" applyAlignment="1">
      <alignment horizontal="center" vertical="center" wrapText="1"/>
    </xf>
    <xf numFmtId="0" fontId="115" fillId="75" borderId="26" xfId="0" applyFont="1" applyFill="1" applyBorder="1" applyAlignment="1">
      <alignment horizontal="center" vertical="center" wrapText="1"/>
    </xf>
    <xf numFmtId="0" fontId="115" fillId="75" borderId="28" xfId="0" applyFont="1" applyFill="1" applyBorder="1" applyAlignment="1">
      <alignment vertical="center" wrapText="1"/>
    </xf>
    <xf numFmtId="0" fontId="59" fillId="75" borderId="1" xfId="0" applyFont="1" applyFill="1" applyBorder="1"/>
    <xf numFmtId="0" fontId="7" fillId="26" borderId="38" xfId="6969" applyFont="1" applyFill="1" applyBorder="1" applyAlignment="1">
      <alignment horizontal="left" vertical="center" wrapText="1"/>
    </xf>
    <xf numFmtId="1" fontId="7" fillId="81" borderId="37" xfId="6969" applyNumberFormat="1" applyFont="1" applyFill="1" applyBorder="1" applyAlignment="1">
      <alignment horizontal="right"/>
    </xf>
    <xf numFmtId="1" fontId="7" fillId="81" borderId="38" xfId="6969" applyNumberFormat="1" applyFont="1" applyFill="1" applyBorder="1" applyAlignment="1">
      <alignment horizontal="right"/>
    </xf>
    <xf numFmtId="0" fontId="7" fillId="29" borderId="15" xfId="6969" applyFont="1" applyFill="1" applyBorder="1" applyAlignment="1">
      <alignment horizontal="left" wrapText="1"/>
    </xf>
    <xf numFmtId="0" fontId="7" fillId="29" borderId="15" xfId="6969" applyFont="1" applyFill="1" applyBorder="1" applyAlignment="1">
      <alignment horizontal="right" wrapText="1"/>
    </xf>
    <xf numFmtId="0" fontId="7" fillId="91" borderId="0" xfId="6969" applyFont="1" applyFill="1"/>
    <xf numFmtId="177" fontId="7" fillId="91" borderId="0" xfId="6969" applyNumberFormat="1" applyFont="1" applyFill="1"/>
    <xf numFmtId="0" fontId="0" fillId="0" borderId="34" xfId="0" applyBorder="1"/>
    <xf numFmtId="0" fontId="0" fillId="0" borderId="29" xfId="0" applyBorder="1"/>
    <xf numFmtId="0" fontId="0" fillId="0" borderId="35" xfId="0" applyBorder="1"/>
    <xf numFmtId="0" fontId="0" fillId="0" borderId="17" xfId="0" applyBorder="1"/>
    <xf numFmtId="0" fontId="0" fillId="0" borderId="14" xfId="0" applyBorder="1"/>
    <xf numFmtId="0" fontId="0" fillId="0" borderId="13" xfId="0" applyBorder="1"/>
    <xf numFmtId="0" fontId="46" fillId="0" borderId="33" xfId="0" applyFont="1" applyBorder="1"/>
    <xf numFmtId="0" fontId="46" fillId="0" borderId="34" xfId="0" applyFont="1" applyBorder="1"/>
    <xf numFmtId="0" fontId="46" fillId="0" borderId="34" xfId="0" applyFont="1" applyFill="1" applyBorder="1"/>
    <xf numFmtId="0" fontId="46" fillId="0" borderId="29" xfId="0" applyFont="1" applyBorder="1"/>
    <xf numFmtId="0" fontId="46" fillId="0" borderId="35" xfId="0" applyFont="1" applyBorder="1"/>
    <xf numFmtId="0" fontId="46" fillId="0" borderId="103" xfId="0" applyFont="1" applyBorder="1"/>
    <xf numFmtId="0" fontId="46" fillId="0" borderId="104" xfId="0" applyFont="1" applyBorder="1"/>
    <xf numFmtId="0" fontId="54" fillId="0" borderId="41" xfId="0" applyFont="1" applyBorder="1"/>
    <xf numFmtId="0" fontId="54" fillId="0" borderId="19" xfId="0" applyFont="1" applyBorder="1"/>
    <xf numFmtId="0" fontId="54" fillId="0" borderId="21" xfId="0" applyFont="1" applyBorder="1"/>
    <xf numFmtId="0" fontId="54" fillId="0" borderId="0" xfId="0" applyFont="1" applyBorder="1"/>
    <xf numFmtId="0" fontId="54" fillId="0" borderId="22" xfId="0" applyFont="1" applyBorder="1"/>
    <xf numFmtId="0" fontId="54" fillId="0" borderId="15" xfId="0" applyFont="1" applyBorder="1"/>
    <xf numFmtId="0" fontId="54" fillId="0" borderId="26" xfId="0" applyFont="1" applyBorder="1"/>
    <xf numFmtId="0" fontId="7" fillId="26" borderId="105" xfId="0" applyFont="1" applyFill="1" applyBorder="1" applyAlignment="1">
      <alignment horizontal="right" vertical="center" wrapText="1"/>
    </xf>
    <xf numFmtId="0" fontId="8" fillId="34" borderId="106" xfId="0" applyFont="1" applyFill="1" applyBorder="1" applyAlignment="1">
      <alignment horizontal="right" vertical="center" wrapText="1"/>
    </xf>
    <xf numFmtId="0" fontId="54" fillId="0" borderId="17" xfId="0" applyFont="1" applyBorder="1"/>
    <xf numFmtId="2" fontId="54" fillId="0" borderId="0" xfId="0" applyNumberFormat="1" applyFont="1" applyBorder="1" applyAlignment="1">
      <alignment horizontal="center"/>
    </xf>
    <xf numFmtId="0" fontId="54" fillId="86" borderId="93" xfId="0" applyFont="1" applyFill="1" applyBorder="1"/>
    <xf numFmtId="0" fontId="54" fillId="0" borderId="93" xfId="0" applyFont="1" applyBorder="1" applyAlignment="1">
      <alignment horizontal="center"/>
    </xf>
    <xf numFmtId="2" fontId="54" fillId="0" borderId="15" xfId="0" applyNumberFormat="1" applyFont="1" applyBorder="1" applyAlignment="1">
      <alignment horizontal="center"/>
    </xf>
    <xf numFmtId="0" fontId="54" fillId="0" borderId="13" xfId="0" applyFont="1" applyBorder="1"/>
    <xf numFmtId="0" fontId="78" fillId="0" borderId="35" xfId="0" applyFont="1" applyBorder="1"/>
    <xf numFmtId="0" fontId="7" fillId="26" borderId="38" xfId="0" applyFont="1" applyFill="1" applyBorder="1" applyAlignment="1">
      <alignment horizontal="left" vertical="center" wrapText="1"/>
    </xf>
    <xf numFmtId="0" fontId="59" fillId="26" borderId="38" xfId="0" applyFont="1" applyFill="1" applyBorder="1" applyAlignment="1">
      <alignment horizontal="left" vertical="center"/>
    </xf>
    <xf numFmtId="0" fontId="7" fillId="26" borderId="38" xfId="0" applyFont="1" applyFill="1" applyBorder="1" applyAlignment="1">
      <alignment horizontal="center" vertical="center"/>
    </xf>
    <xf numFmtId="165" fontId="54" fillId="0" borderId="19" xfId="0" applyNumberFormat="1" applyFont="1" applyBorder="1"/>
    <xf numFmtId="165" fontId="54" fillId="0" borderId="0" xfId="0" applyNumberFormat="1" applyFont="1" applyBorder="1"/>
    <xf numFmtId="165" fontId="54" fillId="0" borderId="15" xfId="0" applyNumberFormat="1" applyFont="1" applyBorder="1"/>
    <xf numFmtId="165" fontId="54" fillId="0" borderId="31" xfId="0" applyNumberFormat="1" applyFont="1" applyBorder="1"/>
    <xf numFmtId="165" fontId="54" fillId="0" borderId="70" xfId="0" applyNumberFormat="1" applyFont="1" applyBorder="1"/>
    <xf numFmtId="165" fontId="54" fillId="0" borderId="100" xfId="0" applyNumberFormat="1" applyFont="1" applyBorder="1"/>
    <xf numFmtId="172" fontId="0" fillId="0" borderId="0" xfId="0" applyNumberFormat="1" applyFill="1"/>
    <xf numFmtId="172" fontId="0" fillId="0" borderId="0" xfId="0" applyNumberFormat="1" applyFill="1" applyBorder="1"/>
    <xf numFmtId="0" fontId="48" fillId="0" borderId="16" xfId="0" quotePrefix="1" applyFont="1" applyBorder="1" applyAlignment="1">
      <alignment wrapText="1"/>
    </xf>
    <xf numFmtId="0" fontId="48" fillId="0" borderId="12" xfId="0" quotePrefix="1" applyFont="1" applyBorder="1" applyAlignment="1">
      <alignment wrapText="1"/>
    </xf>
    <xf numFmtId="0" fontId="48" fillId="35" borderId="12" xfId="0" applyFont="1" applyFill="1" applyBorder="1" applyAlignment="1">
      <alignment wrapText="1"/>
    </xf>
    <xf numFmtId="0" fontId="49" fillId="35" borderId="13" xfId="0" applyFont="1" applyFill="1" applyBorder="1" applyAlignment="1">
      <alignment horizontal="center" wrapText="1"/>
    </xf>
    <xf numFmtId="0" fontId="55" fillId="0" borderId="22" xfId="0" applyFont="1" applyBorder="1"/>
    <xf numFmtId="167" fontId="49" fillId="0" borderId="17" xfId="0" applyNumberFormat="1" applyFont="1" applyBorder="1" applyAlignment="1">
      <alignment horizontal="center" wrapText="1"/>
    </xf>
    <xf numFmtId="167" fontId="49" fillId="0" borderId="13" xfId="0" applyNumberFormat="1" applyFont="1" applyBorder="1" applyAlignment="1">
      <alignment horizontal="center" wrapText="1"/>
    </xf>
    <xf numFmtId="1" fontId="49" fillId="0" borderId="17" xfId="0" applyNumberFormat="1" applyFont="1" applyBorder="1" applyAlignment="1">
      <alignment horizontal="center" wrapText="1"/>
    </xf>
    <xf numFmtId="1" fontId="49" fillId="0" borderId="13" xfId="0" applyNumberFormat="1" applyFont="1" applyBorder="1" applyAlignment="1">
      <alignment horizontal="center" wrapText="1"/>
    </xf>
    <xf numFmtId="0" fontId="11" fillId="0" borderId="36" xfId="550" applyBorder="1"/>
    <xf numFmtId="0" fontId="0" fillId="0" borderId="41" xfId="0" applyFill="1" applyBorder="1"/>
    <xf numFmtId="0" fontId="0" fillId="0" borderId="21" xfId="0" applyFill="1" applyBorder="1"/>
    <xf numFmtId="0" fontId="0" fillId="0" borderId="42" xfId="0" applyFill="1" applyBorder="1"/>
    <xf numFmtId="0" fontId="11" fillId="0" borderId="0" xfId="6970"/>
    <xf numFmtId="0" fontId="124" fillId="0" borderId="0" xfId="6971"/>
    <xf numFmtId="0" fontId="40" fillId="0" borderId="0" xfId="6973"/>
    <xf numFmtId="0" fontId="40" fillId="0" borderId="0" xfId="6973" applyAlignment="1">
      <alignment wrapText="1"/>
    </xf>
    <xf numFmtId="2" fontId="40" fillId="0" borderId="0" xfId="6973" applyNumberFormat="1"/>
    <xf numFmtId="0" fontId="0" fillId="0" borderId="0" xfId="6973" applyFont="1"/>
    <xf numFmtId="0" fontId="0" fillId="0" borderId="0" xfId="6973" applyFont="1" applyAlignment="1">
      <alignment wrapText="1"/>
    </xf>
    <xf numFmtId="0" fontId="124" fillId="0" borderId="0" xfId="6971" applyAlignment="1">
      <alignment horizontal="center"/>
    </xf>
    <xf numFmtId="0" fontId="124" fillId="0" borderId="0" xfId="6974"/>
    <xf numFmtId="0" fontId="59" fillId="0" borderId="0" xfId="2001" applyFont="1"/>
    <xf numFmtId="2" fontId="124" fillId="0" borderId="0" xfId="6974" applyNumberFormat="1"/>
    <xf numFmtId="0" fontId="59" fillId="27" borderId="20" xfId="6974" applyFont="1" applyFill="1" applyBorder="1" applyAlignment="1">
      <alignment horizontal="right"/>
    </xf>
    <xf numFmtId="0" fontId="59" fillId="34" borderId="19" xfId="6974" applyFont="1" applyFill="1" applyBorder="1" applyAlignment="1">
      <alignment vertical="top" wrapText="1"/>
    </xf>
    <xf numFmtId="0" fontId="59" fillId="26" borderId="19" xfId="6974" applyFont="1" applyFill="1" applyBorder="1" applyAlignment="1">
      <alignment horizontal="left" vertical="center" wrapText="1"/>
    </xf>
    <xf numFmtId="0" fontId="59" fillId="86" borderId="19" xfId="6974" applyFont="1" applyFill="1" applyBorder="1" applyAlignment="1">
      <alignment horizontal="left" vertical="center" wrapText="1"/>
    </xf>
    <xf numFmtId="0" fontId="49" fillId="0" borderId="13" xfId="6971" applyFont="1" applyBorder="1" applyAlignment="1">
      <alignment horizontal="center" wrapText="1"/>
    </xf>
    <xf numFmtId="0" fontId="48" fillId="0" borderId="12" xfId="6971" applyFont="1" applyBorder="1" applyAlignment="1">
      <alignment wrapText="1"/>
    </xf>
    <xf numFmtId="3" fontId="49" fillId="0" borderId="13" xfId="6971" applyNumberFormat="1" applyFont="1" applyBorder="1" applyAlignment="1">
      <alignment horizontal="center" wrapText="1"/>
    </xf>
    <xf numFmtId="0" fontId="49" fillId="0" borderId="17" xfId="6971" applyFont="1" applyBorder="1" applyAlignment="1">
      <alignment horizontal="center" wrapText="1"/>
    </xf>
    <xf numFmtId="0" fontId="48" fillId="0" borderId="16" xfId="6971" applyFont="1" applyBorder="1" applyAlignment="1">
      <alignment wrapText="1"/>
    </xf>
    <xf numFmtId="0" fontId="51" fillId="0" borderId="13" xfId="6971" applyFont="1" applyBorder="1" applyAlignment="1">
      <alignment horizontal="center" wrapText="1"/>
    </xf>
    <xf numFmtId="0" fontId="51" fillId="0" borderId="15" xfId="6971" applyFont="1" applyBorder="1" applyAlignment="1">
      <alignment horizontal="center" wrapText="1"/>
    </xf>
    <xf numFmtId="0" fontId="50" fillId="0" borderId="14" xfId="6971" applyFont="1" applyBorder="1" applyAlignment="1">
      <alignment wrapText="1"/>
    </xf>
    <xf numFmtId="2" fontId="124" fillId="0" borderId="0" xfId="6971" applyNumberFormat="1"/>
    <xf numFmtId="0" fontId="124" fillId="0" borderId="0" xfId="6971" applyAlignment="1">
      <alignment wrapText="1"/>
    </xf>
    <xf numFmtId="2" fontId="59" fillId="0" borderId="0" xfId="2001" applyNumberFormat="1" applyFont="1"/>
    <xf numFmtId="0" fontId="126" fillId="0" borderId="0" xfId="2001" applyFont="1"/>
    <xf numFmtId="0" fontId="59" fillId="27" borderId="20" xfId="6971" applyFont="1" applyFill="1" applyBorder="1" applyAlignment="1">
      <alignment horizontal="right"/>
    </xf>
    <xf numFmtId="0" fontId="59" fillId="34" borderId="19" xfId="6971" applyFont="1" applyFill="1" applyBorder="1" applyAlignment="1">
      <alignment vertical="top" wrapText="1"/>
    </xf>
    <xf numFmtId="0" fontId="59" fillId="26" borderId="19" xfId="6971" applyFont="1" applyFill="1" applyBorder="1" applyAlignment="1">
      <alignment horizontal="left" vertical="center" wrapText="1"/>
    </xf>
    <xf numFmtId="0" fontId="59" fillId="86" borderId="19" xfId="6971" applyFont="1" applyFill="1" applyBorder="1" applyAlignment="1">
      <alignment horizontal="left" vertical="center" wrapText="1"/>
    </xf>
    <xf numFmtId="0" fontId="79" fillId="37" borderId="1" xfId="6976" applyFont="1" applyFill="1" applyBorder="1" applyAlignment="1">
      <alignment horizontal="center" vertical="center" wrapText="1"/>
    </xf>
    <xf numFmtId="0" fontId="79" fillId="37" borderId="1" xfId="6976" applyFont="1" applyFill="1" applyBorder="1" applyAlignment="1">
      <alignment vertical="center" wrapText="1"/>
    </xf>
    <xf numFmtId="0" fontId="79" fillId="37" borderId="40" xfId="6976" applyFont="1" applyFill="1" applyBorder="1" applyAlignment="1">
      <alignment horizontal="center" vertical="center" wrapText="1"/>
    </xf>
    <xf numFmtId="167" fontId="79" fillId="37" borderId="40" xfId="6976" applyNumberFormat="1" applyFont="1" applyFill="1" applyBorder="1" applyAlignment="1">
      <alignment horizontal="center" wrapText="1"/>
    </xf>
    <xf numFmtId="49" fontId="79" fillId="37" borderId="26" xfId="6976" applyNumberFormat="1" applyFont="1" applyFill="1" applyBorder="1" applyAlignment="1">
      <alignment vertical="center" wrapText="1"/>
    </xf>
    <xf numFmtId="0" fontId="79" fillId="37" borderId="26" xfId="6976" applyFont="1" applyFill="1" applyBorder="1" applyAlignment="1">
      <alignment vertical="center" wrapText="1"/>
    </xf>
    <xf numFmtId="2" fontId="79" fillId="37" borderId="40" xfId="6976" applyNumberFormat="1" applyFont="1" applyFill="1" applyBorder="1" applyAlignment="1">
      <alignment horizontal="center" vertical="center" wrapText="1"/>
    </xf>
    <xf numFmtId="167" fontId="79" fillId="37" borderId="40" xfId="6976" applyNumberFormat="1" applyFont="1" applyFill="1" applyBorder="1" applyAlignment="1">
      <alignment horizontal="center" vertical="center" wrapText="1"/>
    </xf>
    <xf numFmtId="0" fontId="79" fillId="37" borderId="40" xfId="6976" quotePrefix="1" applyFont="1" applyFill="1" applyBorder="1" applyAlignment="1">
      <alignment horizontal="center" vertical="center" wrapText="1"/>
    </xf>
    <xf numFmtId="0" fontId="79" fillId="37" borderId="70" xfId="6976" applyFont="1" applyFill="1" applyBorder="1" applyAlignment="1">
      <alignment horizontal="center" vertical="center" wrapText="1"/>
    </xf>
    <xf numFmtId="0" fontId="79" fillId="37" borderId="42" xfId="6976" applyFont="1" applyFill="1" applyBorder="1" applyAlignment="1">
      <alignment vertical="center" wrapText="1"/>
    </xf>
    <xf numFmtId="0" fontId="79" fillId="78" borderId="1" xfId="6976" applyFont="1" applyFill="1" applyBorder="1" applyAlignment="1">
      <alignment horizontal="center" vertical="center" wrapText="1"/>
    </xf>
    <xf numFmtId="0" fontId="79" fillId="78" borderId="40" xfId="6976" applyFont="1" applyFill="1" applyBorder="1" applyAlignment="1">
      <alignment horizontal="center" vertical="center" wrapText="1"/>
    </xf>
    <xf numFmtId="0" fontId="79" fillId="78" borderId="26" xfId="6976" applyFont="1" applyFill="1" applyBorder="1" applyAlignment="1">
      <alignment vertical="center" wrapText="1"/>
    </xf>
    <xf numFmtId="0" fontId="79" fillId="37" borderId="27" xfId="6976" applyFont="1" applyFill="1" applyBorder="1" applyAlignment="1">
      <alignment vertical="center" wrapText="1"/>
    </xf>
    <xf numFmtId="0" fontId="79" fillId="78" borderId="39" xfId="6976" applyFont="1" applyFill="1" applyBorder="1" applyAlignment="1">
      <alignment horizontal="center" vertical="center" wrapText="1"/>
    </xf>
    <xf numFmtId="0" fontId="79" fillId="78" borderId="1" xfId="6976" applyFont="1" applyFill="1" applyBorder="1" applyAlignment="1">
      <alignment vertical="center" wrapText="1"/>
    </xf>
    <xf numFmtId="0" fontId="79" fillId="0" borderId="39" xfId="6976" applyFont="1" applyBorder="1" applyAlignment="1">
      <alignment horizontal="center" vertical="center" wrapText="1"/>
    </xf>
    <xf numFmtId="0" fontId="79" fillId="0" borderId="1" xfId="6976" applyFont="1" applyBorder="1" applyAlignment="1">
      <alignment horizontal="center" vertical="center" wrapText="1"/>
    </xf>
    <xf numFmtId="0" fontId="79" fillId="0" borderId="1" xfId="6976" applyFont="1" applyBorder="1" applyAlignment="1">
      <alignment vertical="center" wrapText="1"/>
    </xf>
    <xf numFmtId="0" fontId="62" fillId="37" borderId="39" xfId="6976" applyFont="1" applyFill="1" applyBorder="1" applyAlignment="1">
      <alignment vertical="center" wrapText="1"/>
    </xf>
    <xf numFmtId="0" fontId="62" fillId="37" borderId="38" xfId="6976" applyFont="1" applyFill="1" applyBorder="1" applyAlignment="1">
      <alignment vertical="center" wrapText="1"/>
    </xf>
    <xf numFmtId="0" fontId="62" fillId="37" borderId="37" xfId="6976" applyFont="1" applyFill="1" applyBorder="1" applyAlignment="1">
      <alignment vertical="center" wrapText="1"/>
    </xf>
    <xf numFmtId="0" fontId="62" fillId="37" borderId="40" xfId="6976" applyFont="1" applyFill="1" applyBorder="1" applyAlignment="1">
      <alignment horizontal="center" vertical="center" wrapText="1"/>
    </xf>
    <xf numFmtId="0" fontId="62" fillId="37" borderId="1" xfId="6976" applyFont="1" applyFill="1" applyBorder="1" applyAlignment="1">
      <alignment vertical="center" wrapText="1"/>
    </xf>
    <xf numFmtId="167" fontId="11" fillId="0" borderId="0" xfId="6970" applyNumberFormat="1"/>
    <xf numFmtId="0" fontId="128" fillId="0" borderId="0" xfId="6971" applyFont="1"/>
    <xf numFmtId="2" fontId="128" fillId="0" borderId="0" xfId="6971" applyNumberFormat="1" applyFont="1"/>
    <xf numFmtId="0" fontId="128" fillId="0" borderId="0" xfId="2001" applyFont="1"/>
    <xf numFmtId="0" fontId="128" fillId="0" borderId="0" xfId="6971" applyFont="1" applyAlignment="1">
      <alignment wrapText="1"/>
    </xf>
    <xf numFmtId="2" fontId="128" fillId="0" borderId="0" xfId="2001" applyNumberFormat="1" applyFont="1"/>
    <xf numFmtId="0" fontId="129" fillId="0" borderId="0" xfId="2001" applyFont="1"/>
    <xf numFmtId="0" fontId="130" fillId="0" borderId="0" xfId="6971" applyFont="1"/>
    <xf numFmtId="165" fontId="124" fillId="0" borderId="0" xfId="6971" applyNumberFormat="1" applyAlignment="1">
      <alignment horizontal="center"/>
    </xf>
    <xf numFmtId="2" fontId="124" fillId="0" borderId="0" xfId="6971" applyNumberFormat="1" applyAlignment="1">
      <alignment horizontal="center"/>
    </xf>
    <xf numFmtId="0" fontId="59" fillId="0" borderId="0" xfId="2001" applyFont="1" applyAlignment="1">
      <alignment horizontal="center"/>
    </xf>
    <xf numFmtId="0" fontId="124" fillId="0" borderId="0" xfId="6971" applyAlignment="1">
      <alignment horizontal="center" wrapText="1"/>
    </xf>
    <xf numFmtId="2" fontId="59" fillId="0" borderId="0" xfId="2001" applyNumberFormat="1" applyFont="1" applyAlignment="1">
      <alignment horizontal="center"/>
    </xf>
    <xf numFmtId="178" fontId="59" fillId="0" borderId="0" xfId="2001" applyNumberFormat="1" applyFont="1" applyAlignment="1">
      <alignment horizontal="center"/>
    </xf>
    <xf numFmtId="167" fontId="124" fillId="0" borderId="0" xfId="6971" applyNumberFormat="1" applyAlignment="1">
      <alignment horizontal="center" wrapText="1"/>
    </xf>
    <xf numFmtId="0" fontId="124" fillId="0" borderId="39" xfId="6971" applyBorder="1"/>
    <xf numFmtId="0" fontId="124" fillId="0" borderId="37" xfId="6971" applyBorder="1"/>
    <xf numFmtId="0" fontId="59" fillId="27" borderId="20" xfId="6971" applyFont="1" applyFill="1" applyBorder="1" applyAlignment="1">
      <alignment horizontal="center"/>
    </xf>
    <xf numFmtId="0" fontId="59" fillId="34" borderId="19" xfId="6971" applyFont="1" applyFill="1" applyBorder="1" applyAlignment="1">
      <alignment horizontal="center" vertical="top" wrapText="1"/>
    </xf>
    <xf numFmtId="0" fontId="124" fillId="0" borderId="0" xfId="6974" applyAlignment="1">
      <alignment wrapText="1"/>
    </xf>
    <xf numFmtId="0" fontId="79" fillId="37" borderId="1" xfId="6977" applyFont="1" applyFill="1" applyBorder="1" applyAlignment="1">
      <alignment horizontal="center" vertical="center" wrapText="1"/>
    </xf>
    <xf numFmtId="0" fontId="79" fillId="37" borderId="1" xfId="6977" applyFont="1" applyFill="1" applyBorder="1" applyAlignment="1">
      <alignment vertical="center" wrapText="1"/>
    </xf>
    <xf numFmtId="0" fontId="79" fillId="37" borderId="40" xfId="6977" applyFont="1" applyFill="1" applyBorder="1" applyAlignment="1">
      <alignment horizontal="center" vertical="center" wrapText="1"/>
    </xf>
    <xf numFmtId="167" fontId="79" fillId="37" borderId="40" xfId="6977" applyNumberFormat="1" applyFont="1" applyFill="1" applyBorder="1" applyAlignment="1">
      <alignment horizontal="center" wrapText="1"/>
    </xf>
    <xf numFmtId="49" fontId="79" fillId="37" borderId="26" xfId="6977" applyNumberFormat="1" applyFont="1" applyFill="1" applyBorder="1" applyAlignment="1">
      <alignment vertical="center" wrapText="1"/>
    </xf>
    <xf numFmtId="0" fontId="79" fillId="37" borderId="26" xfId="6977" applyFont="1" applyFill="1" applyBorder="1" applyAlignment="1">
      <alignment vertical="center" wrapText="1"/>
    </xf>
    <xf numFmtId="2" fontId="79" fillId="37" borderId="40" xfId="6977" applyNumberFormat="1" applyFont="1" applyFill="1" applyBorder="1" applyAlignment="1">
      <alignment horizontal="center" vertical="center" wrapText="1"/>
    </xf>
    <xf numFmtId="167" fontId="79" fillId="37" borderId="40" xfId="6977" applyNumberFormat="1" applyFont="1" applyFill="1" applyBorder="1" applyAlignment="1">
      <alignment horizontal="center" vertical="center" wrapText="1"/>
    </xf>
    <xf numFmtId="0" fontId="79" fillId="37" borderId="40" xfId="6977" quotePrefix="1" applyFont="1" applyFill="1" applyBorder="1" applyAlignment="1">
      <alignment horizontal="center" vertical="center" wrapText="1"/>
    </xf>
    <xf numFmtId="0" fontId="79" fillId="37" borderId="70" xfId="6977" applyFont="1" applyFill="1" applyBorder="1" applyAlignment="1">
      <alignment horizontal="center" vertical="center" wrapText="1"/>
    </xf>
    <xf numFmtId="0" fontId="79" fillId="37" borderId="42" xfId="6977" applyFont="1" applyFill="1" applyBorder="1" applyAlignment="1">
      <alignment vertical="center" wrapText="1"/>
    </xf>
    <xf numFmtId="0" fontId="79" fillId="37" borderId="27" xfId="6977" applyFont="1" applyFill="1" applyBorder="1" applyAlignment="1">
      <alignment vertical="center" wrapText="1"/>
    </xf>
    <xf numFmtId="0" fontId="79" fillId="37" borderId="39" xfId="6977" applyFont="1" applyFill="1" applyBorder="1" applyAlignment="1">
      <alignment horizontal="center" vertical="center" wrapText="1"/>
    </xf>
    <xf numFmtId="0" fontId="62" fillId="37" borderId="39" xfId="6977" applyFont="1" applyFill="1" applyBorder="1" applyAlignment="1">
      <alignment vertical="center" wrapText="1"/>
    </xf>
    <xf numFmtId="0" fontId="62" fillId="37" borderId="38" xfId="6977" applyFont="1" applyFill="1" applyBorder="1" applyAlignment="1">
      <alignment vertical="center" wrapText="1"/>
    </xf>
    <xf numFmtId="0" fontId="62" fillId="37" borderId="37" xfId="6977" applyFont="1" applyFill="1" applyBorder="1" applyAlignment="1">
      <alignment vertical="center" wrapText="1"/>
    </xf>
    <xf numFmtId="0" fontId="62" fillId="37" borderId="40" xfId="6977" applyFont="1" applyFill="1" applyBorder="1" applyAlignment="1">
      <alignment horizontal="center" vertical="center" wrapText="1"/>
    </xf>
    <xf numFmtId="0" fontId="62" fillId="37" borderId="1" xfId="6977" applyFont="1" applyFill="1" applyBorder="1" applyAlignment="1">
      <alignment vertical="center" wrapText="1"/>
    </xf>
    <xf numFmtId="0" fontId="128" fillId="0" borderId="0" xfId="6974" applyFont="1"/>
    <xf numFmtId="2" fontId="128" fillId="0" borderId="0" xfId="6974" applyNumberFormat="1" applyFont="1"/>
    <xf numFmtId="0" fontId="128" fillId="0" borderId="0" xfId="6974" applyFont="1" applyAlignment="1">
      <alignment wrapText="1"/>
    </xf>
    <xf numFmtId="0" fontId="130" fillId="0" borderId="0" xfId="6974" applyFont="1"/>
    <xf numFmtId="0" fontId="49" fillId="0" borderId="13" xfId="6974" applyFont="1" applyBorder="1" applyAlignment="1">
      <alignment horizontal="center" wrapText="1"/>
    </xf>
    <xf numFmtId="0" fontId="48" fillId="0" borderId="12" xfId="6974" applyFont="1" applyBorder="1" applyAlignment="1">
      <alignment wrapText="1"/>
    </xf>
    <xf numFmtId="3" fontId="49" fillId="0" borderId="13" xfId="6974" applyNumberFormat="1" applyFont="1" applyBorder="1" applyAlignment="1">
      <alignment horizontal="center" wrapText="1"/>
    </xf>
    <xf numFmtId="0" fontId="49" fillId="0" borderId="17" xfId="6974" applyFont="1" applyBorder="1" applyAlignment="1">
      <alignment horizontal="center" wrapText="1"/>
    </xf>
    <xf numFmtId="0" fontId="48" fillId="0" borderId="16" xfId="6974" applyFont="1" applyBorder="1" applyAlignment="1">
      <alignment wrapText="1"/>
    </xf>
    <xf numFmtId="0" fontId="51" fillId="0" borderId="13" xfId="6974" applyFont="1" applyBorder="1" applyAlignment="1">
      <alignment horizontal="center" wrapText="1"/>
    </xf>
    <xf numFmtId="0" fontId="51" fillId="0" borderId="15" xfId="6974" applyFont="1" applyBorder="1" applyAlignment="1">
      <alignment horizontal="center" wrapText="1"/>
    </xf>
    <xf numFmtId="0" fontId="50" fillId="0" borderId="14" xfId="6974" applyFont="1" applyBorder="1" applyAlignment="1">
      <alignment wrapText="1"/>
    </xf>
    <xf numFmtId="0" fontId="40" fillId="0" borderId="35" xfId="6973" applyBorder="1"/>
    <xf numFmtId="9" fontId="40" fillId="0" borderId="107" xfId="6973" applyNumberFormat="1" applyBorder="1"/>
    <xf numFmtId="1" fontId="40" fillId="0" borderId="21" xfId="6973" applyNumberFormat="1" applyBorder="1"/>
    <xf numFmtId="3" fontId="40" fillId="0" borderId="70" xfId="6973" applyNumberFormat="1" applyBorder="1"/>
    <xf numFmtId="3" fontId="40" fillId="0" borderId="0" xfId="6973" applyNumberFormat="1"/>
    <xf numFmtId="179" fontId="40" fillId="0" borderId="35" xfId="6973" applyNumberFormat="1" applyBorder="1"/>
    <xf numFmtId="9" fontId="131" fillId="0" borderId="107" xfId="6973" applyNumberFormat="1" applyFont="1" applyBorder="1"/>
    <xf numFmtId="9" fontId="78" fillId="0" borderId="107" xfId="6973" applyNumberFormat="1" applyFont="1" applyBorder="1"/>
    <xf numFmtId="0" fontId="132" fillId="0" borderId="0" xfId="6973" applyFont="1"/>
    <xf numFmtId="9" fontId="132" fillId="0" borderId="40" xfId="6973" applyNumberFormat="1" applyFont="1" applyBorder="1"/>
    <xf numFmtId="1" fontId="132" fillId="0" borderId="42" xfId="6973" applyNumberFormat="1" applyFont="1" applyBorder="1"/>
    <xf numFmtId="3" fontId="132" fillId="0" borderId="40" xfId="6973" applyNumberFormat="1" applyFont="1" applyBorder="1"/>
    <xf numFmtId="3" fontId="132" fillId="0" borderId="36" xfId="6973" applyNumberFormat="1" applyFont="1" applyBorder="1"/>
    <xf numFmtId="3" fontId="132" fillId="0" borderId="42" xfId="6973" applyNumberFormat="1" applyFont="1" applyBorder="1"/>
    <xf numFmtId="179" fontId="132" fillId="0" borderId="40" xfId="6973" applyNumberFormat="1" applyFont="1" applyBorder="1"/>
    <xf numFmtId="0" fontId="132" fillId="0" borderId="26" xfId="6973" applyFont="1" applyBorder="1"/>
    <xf numFmtId="9" fontId="132" fillId="0" borderId="70" xfId="6973" applyNumberFormat="1" applyFont="1" applyBorder="1"/>
    <xf numFmtId="1" fontId="132" fillId="0" borderId="21" xfId="6973" applyNumberFormat="1" applyFont="1" applyBorder="1"/>
    <xf numFmtId="3" fontId="132" fillId="0" borderId="70" xfId="6973" applyNumberFormat="1" applyFont="1" applyBorder="1"/>
    <xf numFmtId="3" fontId="132" fillId="0" borderId="0" xfId="6973" applyNumberFormat="1" applyFont="1"/>
    <xf numFmtId="3" fontId="132" fillId="0" borderId="21" xfId="6973" applyNumberFormat="1" applyFont="1" applyBorder="1"/>
    <xf numFmtId="179" fontId="132" fillId="0" borderId="70" xfId="6973" applyNumberFormat="1" applyFont="1" applyBorder="1"/>
    <xf numFmtId="0" fontId="132" fillId="0" borderId="27" xfId="6973" applyFont="1" applyBorder="1"/>
    <xf numFmtId="0" fontId="132" fillId="0" borderId="70" xfId="6973" applyFont="1" applyBorder="1"/>
    <xf numFmtId="0" fontId="132" fillId="0" borderId="21" xfId="6973" applyFont="1" applyBorder="1"/>
    <xf numFmtId="9" fontId="40" fillId="0" borderId="70" xfId="6973" applyNumberFormat="1" applyBorder="1"/>
    <xf numFmtId="3" fontId="40" fillId="0" borderId="21" xfId="6973" applyNumberFormat="1" applyBorder="1"/>
    <xf numFmtId="179" fontId="40" fillId="0" borderId="70" xfId="6973" applyNumberFormat="1" applyBorder="1"/>
    <xf numFmtId="0" fontId="40" fillId="0" borderId="27" xfId="6973" applyBorder="1"/>
    <xf numFmtId="1" fontId="132" fillId="0" borderId="70" xfId="6973" applyNumberFormat="1" applyFont="1" applyBorder="1"/>
    <xf numFmtId="1" fontId="132" fillId="0" borderId="0" xfId="6973" applyNumberFormat="1" applyFont="1"/>
    <xf numFmtId="9" fontId="133" fillId="0" borderId="107" xfId="6973" applyNumberFormat="1" applyFont="1" applyBorder="1"/>
    <xf numFmtId="0" fontId="134" fillId="0" borderId="0" xfId="6973" applyFont="1"/>
    <xf numFmtId="9" fontId="134" fillId="0" borderId="70" xfId="6973" applyNumberFormat="1" applyFont="1" applyBorder="1"/>
    <xf numFmtId="1" fontId="134" fillId="0" borderId="21" xfId="6973" applyNumberFormat="1" applyFont="1" applyBorder="1"/>
    <xf numFmtId="3" fontId="134" fillId="0" borderId="70" xfId="6973" applyNumberFormat="1" applyFont="1" applyBorder="1"/>
    <xf numFmtId="3" fontId="134" fillId="0" borderId="0" xfId="6973" applyNumberFormat="1" applyFont="1"/>
    <xf numFmtId="3" fontId="134" fillId="0" borderId="21" xfId="6973" applyNumberFormat="1" applyFont="1" applyBorder="1"/>
    <xf numFmtId="179" fontId="134" fillId="0" borderId="70" xfId="6973" applyNumberFormat="1" applyFont="1" applyBorder="1"/>
    <xf numFmtId="0" fontId="134" fillId="0" borderId="27" xfId="6973" applyFont="1" applyBorder="1"/>
    <xf numFmtId="0" fontId="40" fillId="0" borderId="70" xfId="6973" applyBorder="1"/>
    <xf numFmtId="0" fontId="40" fillId="0" borderId="21" xfId="6973" applyBorder="1"/>
    <xf numFmtId="2" fontId="0" fillId="0" borderId="0" xfId="6973" applyNumberFormat="1" applyFont="1"/>
    <xf numFmtId="2" fontId="40" fillId="0" borderId="13" xfId="6973" applyNumberFormat="1" applyBorder="1"/>
    <xf numFmtId="2" fontId="40" fillId="0" borderId="15" xfId="6973" applyNumberFormat="1" applyBorder="1"/>
    <xf numFmtId="0" fontId="135" fillId="0" borderId="14" xfId="6973" applyFont="1" applyBorder="1" applyAlignment="1">
      <alignment vertical="center"/>
    </xf>
    <xf numFmtId="2" fontId="40" fillId="0" borderId="17" xfId="6973" applyNumberFormat="1" applyBorder="1"/>
    <xf numFmtId="0" fontId="135" fillId="0" borderId="35" xfId="6973" applyFont="1" applyBorder="1" applyAlignment="1">
      <alignment vertical="center"/>
    </xf>
    <xf numFmtId="2" fontId="40" fillId="0" borderId="29" xfId="6973" applyNumberFormat="1" applyBorder="1"/>
    <xf numFmtId="2" fontId="40" fillId="0" borderId="34" xfId="6973" applyNumberFormat="1" applyBorder="1"/>
    <xf numFmtId="0" fontId="135" fillId="0" borderId="33" xfId="6973" applyFont="1" applyBorder="1" applyAlignment="1">
      <alignment vertical="center"/>
    </xf>
    <xf numFmtId="1" fontId="136" fillId="40" borderId="13" xfId="6973" applyNumberFormat="1" applyFont="1" applyFill="1" applyBorder="1"/>
    <xf numFmtId="1" fontId="136" fillId="40" borderId="15" xfId="6973" applyNumberFormat="1" applyFont="1" applyFill="1" applyBorder="1"/>
    <xf numFmtId="1" fontId="136" fillId="76" borderId="15" xfId="6973" applyNumberFormat="1" applyFont="1" applyFill="1" applyBorder="1"/>
    <xf numFmtId="167" fontId="136" fillId="78" borderId="15" xfId="6973" applyNumberFormat="1" applyFont="1" applyFill="1" applyBorder="1"/>
    <xf numFmtId="167" fontId="136" fillId="78" borderId="15" xfId="6973" quotePrefix="1" applyNumberFormat="1" applyFont="1" applyFill="1" applyBorder="1"/>
    <xf numFmtId="1" fontId="136" fillId="87" borderId="15" xfId="6973" applyNumberFormat="1" applyFont="1" applyFill="1" applyBorder="1"/>
    <xf numFmtId="1" fontId="136" fillId="40" borderId="17" xfId="6973" applyNumberFormat="1" applyFont="1" applyFill="1" applyBorder="1"/>
    <xf numFmtId="1" fontId="136" fillId="40" borderId="0" xfId="6973" applyNumberFormat="1" applyFont="1" applyFill="1"/>
    <xf numFmtId="1" fontId="136" fillId="76" borderId="0" xfId="6973" applyNumberFormat="1" applyFont="1" applyFill="1"/>
    <xf numFmtId="167" fontId="136" fillId="78" borderId="0" xfId="6973" applyNumberFormat="1" applyFont="1" applyFill="1"/>
    <xf numFmtId="1" fontId="136" fillId="87" borderId="0" xfId="6973" applyNumberFormat="1" applyFont="1" applyFill="1"/>
    <xf numFmtId="0" fontId="137" fillId="40" borderId="29" xfId="6973" applyFont="1" applyFill="1" applyBorder="1"/>
    <xf numFmtId="0" fontId="137" fillId="40" borderId="34" xfId="6973" applyFont="1" applyFill="1" applyBorder="1"/>
    <xf numFmtId="0" fontId="137" fillId="76" borderId="34" xfId="6973" applyFont="1" applyFill="1" applyBorder="1"/>
    <xf numFmtId="0" fontId="137" fillId="78" borderId="34" xfId="6973" applyFont="1" applyFill="1" applyBorder="1"/>
    <xf numFmtId="0" fontId="137" fillId="87" borderId="34" xfId="6973" applyFont="1" applyFill="1" applyBorder="1"/>
    <xf numFmtId="0" fontId="40" fillId="0" borderId="33" xfId="6973" applyBorder="1"/>
    <xf numFmtId="0" fontId="85" fillId="0" borderId="0" xfId="6978"/>
    <xf numFmtId="0" fontId="40" fillId="71" borderId="0" xfId="6973" applyFill="1"/>
    <xf numFmtId="0" fontId="46" fillId="71" borderId="0" xfId="6973" applyFont="1" applyFill="1"/>
    <xf numFmtId="0" fontId="135" fillId="0" borderId="15" xfId="6973" applyFont="1" applyBorder="1"/>
    <xf numFmtId="0" fontId="135" fillId="0" borderId="0" xfId="6973" applyFont="1"/>
    <xf numFmtId="0" fontId="135" fillId="0" borderId="34" xfId="6973" applyFont="1" applyBorder="1"/>
    <xf numFmtId="0" fontId="124" fillId="0" borderId="0" xfId="6979"/>
    <xf numFmtId="1" fontId="124" fillId="0" borderId="0" xfId="6979" applyNumberFormat="1"/>
    <xf numFmtId="1" fontId="136" fillId="78" borderId="15" xfId="6973" applyNumberFormat="1" applyFont="1" applyFill="1" applyBorder="1"/>
    <xf numFmtId="16" fontId="0" fillId="0" borderId="0" xfId="6973" applyNumberFormat="1" applyFont="1"/>
    <xf numFmtId="1" fontId="136" fillId="78" borderId="0" xfId="6973" applyNumberFormat="1" applyFont="1" applyFill="1"/>
    <xf numFmtId="0" fontId="40" fillId="0" borderId="34" xfId="6973" applyBorder="1"/>
    <xf numFmtId="1" fontId="138" fillId="0" borderId="33" xfId="6973" applyNumberFormat="1" applyFont="1" applyBorder="1"/>
    <xf numFmtId="0" fontId="40" fillId="0" borderId="40" xfId="6973" applyBorder="1"/>
    <xf numFmtId="0" fontId="40" fillId="0" borderId="36" xfId="6973" applyBorder="1"/>
    <xf numFmtId="0" fontId="40" fillId="0" borderId="42" xfId="6973" applyBorder="1"/>
    <xf numFmtId="0" fontId="135" fillId="0" borderId="0" xfId="6973" applyFont="1" applyAlignment="1">
      <alignment vertical="center"/>
    </xf>
    <xf numFmtId="0" fontId="0" fillId="0" borderId="21" xfId="6973" applyFont="1" applyBorder="1"/>
    <xf numFmtId="1" fontId="138" fillId="0" borderId="0" xfId="6973" applyNumberFormat="1" applyFont="1"/>
    <xf numFmtId="1" fontId="45" fillId="0" borderId="0" xfId="6973" applyNumberFormat="1" applyFont="1"/>
    <xf numFmtId="0" fontId="40" fillId="0" borderId="31" xfId="6973" applyBorder="1"/>
    <xf numFmtId="0" fontId="40" fillId="0" borderId="19" xfId="6973" applyBorder="1"/>
    <xf numFmtId="0" fontId="137" fillId="0" borderId="19" xfId="6973" applyFont="1" applyBorder="1"/>
    <xf numFmtId="0" fontId="137" fillId="0" borderId="41" xfId="6973" applyFont="1" applyBorder="1"/>
    <xf numFmtId="0" fontId="137" fillId="0" borderId="0" xfId="6973" applyFont="1"/>
    <xf numFmtId="179" fontId="40" fillId="0" borderId="31" xfId="6973" applyNumberFormat="1" applyBorder="1"/>
    <xf numFmtId="0" fontId="40" fillId="0" borderId="28" xfId="6973" applyBorder="1"/>
    <xf numFmtId="0" fontId="40" fillId="0" borderId="107" xfId="6973" applyBorder="1"/>
    <xf numFmtId="43" fontId="0" fillId="0" borderId="0" xfId="0" applyNumberFormat="1"/>
    <xf numFmtId="0" fontId="59" fillId="0" borderId="27" xfId="0" applyFont="1" applyFill="1" applyBorder="1" applyAlignment="1">
      <alignment horizontal="center"/>
    </xf>
    <xf numFmtId="0" fontId="86" fillId="94" borderId="0" xfId="6980" applyFont="1" applyFill="1" applyBorder="1"/>
    <xf numFmtId="0" fontId="0" fillId="0" borderId="112" xfId="0" applyBorder="1"/>
    <xf numFmtId="167" fontId="0" fillId="0" borderId="0" xfId="0" applyNumberFormat="1"/>
    <xf numFmtId="1" fontId="0" fillId="0" borderId="0" xfId="0" applyNumberFormat="1"/>
    <xf numFmtId="0" fontId="69" fillId="106" borderId="113" xfId="0" applyFont="1" applyFill="1" applyBorder="1"/>
    <xf numFmtId="0" fontId="69" fillId="106" borderId="112" xfId="0" applyFont="1" applyFill="1" applyBorder="1"/>
    <xf numFmtId="1" fontId="69" fillId="106" borderId="112" xfId="0" applyNumberFormat="1" applyFont="1" applyFill="1" applyBorder="1"/>
    <xf numFmtId="167" fontId="69" fillId="106" borderId="112" xfId="0" applyNumberFormat="1" applyFont="1" applyFill="1" applyBorder="1"/>
    <xf numFmtId="165" fontId="69" fillId="106" borderId="112" xfId="0" applyNumberFormat="1" applyFont="1" applyFill="1" applyBorder="1"/>
    <xf numFmtId="2" fontId="69" fillId="106" borderId="112" xfId="0" applyNumberFormat="1" applyFont="1" applyFill="1" applyBorder="1"/>
    <xf numFmtId="167" fontId="69" fillId="107" borderId="112" xfId="0" applyNumberFormat="1" applyFont="1" applyFill="1" applyBorder="1"/>
    <xf numFmtId="1" fontId="69" fillId="107" borderId="114" xfId="0" applyNumberFormat="1" applyFont="1" applyFill="1" applyBorder="1"/>
    <xf numFmtId="0" fontId="0" fillId="108" borderId="113" xfId="0" applyFill="1" applyBorder="1"/>
    <xf numFmtId="0" fontId="0" fillId="108" borderId="112" xfId="0" applyFill="1" applyBorder="1"/>
    <xf numFmtId="0" fontId="0" fillId="93" borderId="0" xfId="0" applyFill="1"/>
    <xf numFmtId="0" fontId="0" fillId="0" borderId="113" xfId="0" applyBorder="1"/>
    <xf numFmtId="1" fontId="69" fillId="106" borderId="0" xfId="0" applyNumberFormat="1" applyFont="1" applyFill="1" applyBorder="1"/>
    <xf numFmtId="0" fontId="40" fillId="0" borderId="0" xfId="55821"/>
    <xf numFmtId="0" fontId="86" fillId="26" borderId="19" xfId="0" applyFont="1" applyFill="1" applyBorder="1" applyAlignment="1">
      <alignment horizontal="left" vertical="center" wrapText="1"/>
    </xf>
    <xf numFmtId="0" fontId="86" fillId="109" borderId="19" xfId="0" applyFont="1" applyFill="1" applyBorder="1" applyAlignment="1">
      <alignment horizontal="center" vertical="center" wrapText="1"/>
    </xf>
    <xf numFmtId="165" fontId="0" fillId="0" borderId="1" xfId="0" applyNumberFormat="1" applyFill="1" applyBorder="1" applyAlignment="1">
      <alignment horizontal="center"/>
    </xf>
    <xf numFmtId="167" fontId="59" fillId="0" borderId="1" xfId="0" applyNumberFormat="1" applyFont="1" applyFill="1" applyBorder="1" applyAlignment="1">
      <alignment horizontal="center"/>
    </xf>
    <xf numFmtId="0" fontId="47" fillId="0" borderId="1" xfId="0" applyFont="1" applyFill="1" applyBorder="1" applyAlignment="1">
      <alignment horizontal="center"/>
    </xf>
    <xf numFmtId="2" fontId="54" fillId="0" borderId="1" xfId="0" applyNumberFormat="1" applyFont="1" applyBorder="1" applyAlignment="1">
      <alignment horizontal="center"/>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9" fontId="45" fillId="0" borderId="87" xfId="0" applyNumberFormat="1" applyFont="1" applyBorder="1" applyAlignment="1">
      <alignment horizontal="center" vertical="center"/>
    </xf>
    <xf numFmtId="0" fontId="0" fillId="0" borderId="27" xfId="0" applyBorder="1"/>
    <xf numFmtId="0" fontId="0" fillId="0" borderId="85" xfId="0" applyBorder="1"/>
    <xf numFmtId="9" fontId="45" fillId="0" borderId="27" xfId="0" applyNumberFormat="1" applyFont="1" applyBorder="1" applyAlignment="1">
      <alignment horizontal="center" vertical="center"/>
    </xf>
    <xf numFmtId="9" fontId="45" fillId="0" borderId="85" xfId="0" applyNumberFormat="1" applyFont="1" applyBorder="1" applyAlignment="1">
      <alignment horizontal="center" vertical="center"/>
    </xf>
    <xf numFmtId="0" fontId="50" fillId="0" borderId="35" xfId="0" applyFont="1" applyBorder="1" applyAlignment="1">
      <alignment horizontal="center" wrapText="1"/>
    </xf>
    <xf numFmtId="0" fontId="50" fillId="0" borderId="0" xfId="0" applyFont="1" applyAlignment="1">
      <alignment horizontal="center" wrapText="1"/>
    </xf>
    <xf numFmtId="0" fontId="50" fillId="0" borderId="17" xfId="0" applyFont="1" applyBorder="1" applyAlignment="1">
      <alignment horizontal="center" wrapText="1"/>
    </xf>
    <xf numFmtId="0" fontId="46" fillId="0" borderId="30" xfId="0" applyFont="1" applyBorder="1" applyAlignment="1">
      <alignment horizontal="center" vertical="center" wrapText="1"/>
    </xf>
    <xf numFmtId="0" fontId="46" fillId="0" borderId="16" xfId="0" applyFont="1" applyBorder="1" applyAlignment="1">
      <alignment horizontal="center" vertical="center" wrapText="1"/>
    </xf>
    <xf numFmtId="0" fontId="46" fillId="0" borderId="12" xfId="0" applyFont="1" applyBorder="1" applyAlignment="1">
      <alignment horizontal="center" vertical="center" wrapText="1"/>
    </xf>
    <xf numFmtId="0" fontId="92" fillId="84" borderId="30" xfId="0" applyFont="1" applyFill="1" applyBorder="1" applyAlignment="1">
      <alignment horizontal="center" vertical="center" textRotation="180" wrapText="1"/>
    </xf>
    <xf numFmtId="0" fontId="0" fillId="0" borderId="16" xfId="0" applyBorder="1"/>
    <xf numFmtId="0" fontId="0" fillId="0" borderId="12" xfId="0" applyBorder="1"/>
    <xf numFmtId="9" fontId="45" fillId="0" borderId="88" xfId="0" applyNumberFormat="1" applyFont="1" applyBorder="1" applyAlignment="1">
      <alignment horizontal="center" vertical="center"/>
    </xf>
    <xf numFmtId="9" fontId="45" fillId="0" borderId="89" xfId="0" applyNumberFormat="1" applyFont="1" applyBorder="1" applyAlignment="1">
      <alignment horizontal="center" vertical="center"/>
    </xf>
    <xf numFmtId="9" fontId="45" fillId="0" borderId="91" xfId="0" applyNumberFormat="1" applyFont="1" applyBorder="1" applyAlignment="1">
      <alignment horizontal="center" vertical="center"/>
    </xf>
    <xf numFmtId="0" fontId="90" fillId="0" borderId="30" xfId="0" applyFont="1" applyBorder="1" applyAlignment="1">
      <alignment horizontal="center" vertical="center" wrapText="1"/>
    </xf>
    <xf numFmtId="0" fontId="90" fillId="0" borderId="16" xfId="0" applyFont="1" applyBorder="1" applyAlignment="1">
      <alignment horizontal="center" vertical="center" wrapText="1"/>
    </xf>
    <xf numFmtId="0" fontId="90" fillId="0" borderId="12" xfId="0" applyFont="1" applyBorder="1" applyAlignment="1">
      <alignment horizontal="center" vertical="center" wrapText="1"/>
    </xf>
    <xf numFmtId="9" fontId="45" fillId="0" borderId="97" xfId="0" applyNumberFormat="1" applyFont="1" applyBorder="1" applyAlignment="1">
      <alignment horizontal="center" vertical="center"/>
    </xf>
    <xf numFmtId="9" fontId="45" fillId="0" borderId="98" xfId="0" applyNumberFormat="1" applyFont="1" applyBorder="1" applyAlignment="1">
      <alignment horizontal="center" vertical="center"/>
    </xf>
    <xf numFmtId="9" fontId="45" fillId="0" borderId="99" xfId="0" applyNumberFormat="1" applyFont="1" applyBorder="1" applyAlignment="1">
      <alignment horizontal="center" vertical="center"/>
    </xf>
    <xf numFmtId="0" fontId="90" fillId="0" borderId="75" xfId="0" applyFont="1" applyBorder="1" applyAlignment="1">
      <alignment horizontal="center" vertical="center" wrapText="1"/>
    </xf>
    <xf numFmtId="0" fontId="90" fillId="0" borderId="76" xfId="0" applyFont="1" applyBorder="1" applyAlignment="1">
      <alignment horizontal="center" vertical="center" wrapText="1"/>
    </xf>
    <xf numFmtId="0" fontId="45" fillId="0" borderId="1" xfId="0" applyFont="1" applyBorder="1" applyAlignment="1">
      <alignment wrapText="1"/>
    </xf>
    <xf numFmtId="0" fontId="45" fillId="0" borderId="81" xfId="0" applyFont="1" applyBorder="1" applyAlignment="1">
      <alignment wrapText="1"/>
    </xf>
    <xf numFmtId="0" fontId="91" fillId="33" borderId="30" xfId="0" applyFont="1" applyFill="1" applyBorder="1" applyAlignment="1">
      <alignment vertical="center" wrapText="1"/>
    </xf>
    <xf numFmtId="0" fontId="0" fillId="33" borderId="12" xfId="0" applyFill="1" applyBorder="1" applyAlignment="1">
      <alignment vertical="center" wrapText="1"/>
    </xf>
    <xf numFmtId="0" fontId="91" fillId="33" borderId="30" xfId="0" applyFont="1" applyFill="1" applyBorder="1" applyAlignment="1">
      <alignment horizontal="center" vertical="center" wrapText="1"/>
    </xf>
    <xf numFmtId="0" fontId="0" fillId="33" borderId="12" xfId="0" applyFill="1" applyBorder="1" applyAlignment="1">
      <alignment horizontal="center" vertical="center" wrapText="1"/>
    </xf>
    <xf numFmtId="0" fontId="62" fillId="37" borderId="77" xfId="0" applyFont="1" applyFill="1" applyBorder="1" applyAlignment="1">
      <alignment horizontal="center" vertical="top" wrapText="1"/>
    </xf>
    <xf numFmtId="0" fontId="62" fillId="37" borderId="78" xfId="0" applyFont="1" applyFill="1" applyBorder="1" applyAlignment="1">
      <alignment horizontal="center" vertical="top" wrapText="1"/>
    </xf>
    <xf numFmtId="0" fontId="90" fillId="0" borderId="33" xfId="0" applyFont="1" applyBorder="1" applyAlignment="1">
      <alignment horizontal="center" vertical="center" wrapText="1"/>
    </xf>
    <xf numFmtId="0" fontId="90" fillId="0" borderId="29" xfId="0" applyFont="1" applyBorder="1" applyAlignment="1">
      <alignment horizontal="center" vertical="center" wrapText="1"/>
    </xf>
    <xf numFmtId="0" fontId="90" fillId="0" borderId="35" xfId="0" applyFont="1" applyBorder="1" applyAlignment="1">
      <alignment horizontal="center" vertical="center" wrapText="1"/>
    </xf>
    <xf numFmtId="0" fontId="90" fillId="0" borderId="17" xfId="0" applyFont="1" applyBorder="1" applyAlignment="1">
      <alignment horizontal="center" vertical="center" wrapText="1"/>
    </xf>
    <xf numFmtId="0" fontId="90" fillId="0" borderId="101" xfId="0" applyFont="1" applyBorder="1" applyAlignment="1">
      <alignment horizontal="center" vertical="center" wrapText="1"/>
    </xf>
    <xf numFmtId="0" fontId="90" fillId="0" borderId="102" xfId="0" applyFont="1" applyBorder="1" applyAlignment="1">
      <alignment horizontal="center" vertical="center" wrapText="1"/>
    </xf>
    <xf numFmtId="0" fontId="45" fillId="0" borderId="74" xfId="0" applyFont="1" applyBorder="1" applyAlignment="1">
      <alignment textRotation="180" wrapText="1"/>
    </xf>
    <xf numFmtId="0" fontId="45" fillId="0" borderId="80" xfId="0" applyFont="1" applyBorder="1" applyAlignment="1">
      <alignment textRotation="180" wrapText="1"/>
    </xf>
    <xf numFmtId="0" fontId="45" fillId="0" borderId="39" xfId="0" applyFont="1" applyBorder="1" applyAlignment="1">
      <alignment wrapText="1"/>
    </xf>
    <xf numFmtId="0" fontId="45" fillId="0" borderId="31" xfId="0" applyFont="1" applyBorder="1" applyAlignment="1">
      <alignment wrapText="1"/>
    </xf>
    <xf numFmtId="0" fontId="90" fillId="0" borderId="79" xfId="0" applyFont="1" applyBorder="1" applyAlignment="1">
      <alignment horizontal="center" vertical="center" textRotation="180" wrapText="1"/>
    </xf>
    <xf numFmtId="0" fontId="90" fillId="0" borderId="80" xfId="0" applyFont="1" applyBorder="1" applyAlignment="1">
      <alignment horizontal="center" vertical="center" textRotation="180" wrapText="1"/>
    </xf>
    <xf numFmtId="0" fontId="90" fillId="0" borderId="83" xfId="0" applyFont="1" applyBorder="1" applyAlignment="1">
      <alignment horizontal="center" vertical="center" textRotation="180" wrapText="1"/>
    </xf>
    <xf numFmtId="0" fontId="90" fillId="0" borderId="39" xfId="0" applyFont="1" applyBorder="1" applyAlignment="1">
      <alignment vertical="center" wrapText="1"/>
    </xf>
    <xf numFmtId="0" fontId="90" fillId="0" borderId="1" xfId="0" applyFont="1" applyBorder="1" applyAlignment="1">
      <alignment vertical="center" wrapText="1"/>
    </xf>
    <xf numFmtId="0" fontId="45" fillId="0" borderId="28" xfId="0" applyFont="1" applyBorder="1" applyAlignment="1">
      <alignment wrapText="1"/>
    </xf>
    <xf numFmtId="3" fontId="46" fillId="82" borderId="23" xfId="1257" applyFont="1" applyFill="1" applyBorder="1" applyAlignment="1">
      <alignment horizontal="left" vertical="center" wrapText="1"/>
    </xf>
    <xf numFmtId="0" fontId="91" fillId="82" borderId="24" xfId="0" applyFont="1" applyFill="1" applyBorder="1" applyAlignment="1">
      <alignment horizontal="left" vertical="center" wrapText="1"/>
    </xf>
    <xf numFmtId="0" fontId="91" fillId="82" borderId="25" xfId="0" applyFont="1" applyFill="1" applyBorder="1" applyAlignment="1">
      <alignment horizontal="left" vertical="center" wrapText="1"/>
    </xf>
    <xf numFmtId="0" fontId="91" fillId="82" borderId="30" xfId="0" applyFont="1" applyFill="1" applyBorder="1" applyAlignment="1">
      <alignment horizontal="center" vertical="center" wrapText="1"/>
    </xf>
    <xf numFmtId="0" fontId="0" fillId="0" borderId="12" xfId="0" applyBorder="1" applyAlignment="1">
      <alignment horizontal="center" vertical="center" wrapText="1"/>
    </xf>
    <xf numFmtId="0" fontId="45" fillId="0" borderId="27" xfId="0" applyFont="1" applyBorder="1" applyAlignment="1">
      <alignment horizontal="center" vertical="center"/>
    </xf>
    <xf numFmtId="0" fontId="45" fillId="0" borderId="85" xfId="0" applyFont="1" applyBorder="1" applyAlignment="1">
      <alignment horizontal="center" vertical="center"/>
    </xf>
    <xf numFmtId="0" fontId="45" fillId="0" borderId="89" xfId="0" applyFont="1" applyBorder="1" applyAlignment="1">
      <alignment horizontal="center" vertical="center"/>
    </xf>
    <xf numFmtId="0" fontId="45" fillId="0" borderId="91" xfId="0" applyFont="1" applyBorder="1" applyAlignment="1">
      <alignment horizontal="center" vertical="center"/>
    </xf>
    <xf numFmtId="0" fontId="92" fillId="84" borderId="16" xfId="0" applyFont="1" applyFill="1" applyBorder="1" applyAlignment="1">
      <alignment horizontal="center" vertical="center" textRotation="180" wrapText="1"/>
    </xf>
    <xf numFmtId="0" fontId="92" fillId="84" borderId="12" xfId="0" applyFont="1" applyFill="1" applyBorder="1" applyAlignment="1">
      <alignment horizontal="center" vertical="center" textRotation="180" wrapText="1"/>
    </xf>
    <xf numFmtId="0" fontId="90" fillId="0" borderId="28" xfId="0" applyFont="1" applyBorder="1" applyAlignment="1">
      <alignment vertical="center" wrapText="1"/>
    </xf>
    <xf numFmtId="0" fontId="90" fillId="0" borderId="85" xfId="0" applyFont="1" applyBorder="1" applyAlignment="1">
      <alignment vertical="center" wrapText="1"/>
    </xf>
    <xf numFmtId="3" fontId="92" fillId="84" borderId="30" xfId="0" applyNumberFormat="1" applyFont="1" applyFill="1" applyBorder="1" applyAlignment="1">
      <alignment horizontal="center" vertical="center" textRotation="180" wrapText="1"/>
    </xf>
    <xf numFmtId="0" fontId="62" fillId="87" borderId="77" xfId="0" applyFont="1" applyFill="1" applyBorder="1" applyAlignment="1">
      <alignment horizontal="center" vertical="top" wrapText="1"/>
    </xf>
    <xf numFmtId="0" fontId="62" fillId="87" borderId="78" xfId="0" applyFont="1" applyFill="1" applyBorder="1" applyAlignment="1">
      <alignment horizontal="center" vertical="top" wrapText="1"/>
    </xf>
    <xf numFmtId="0" fontId="91" fillId="87" borderId="30" xfId="0" applyFont="1" applyFill="1" applyBorder="1" applyAlignment="1">
      <alignment horizontal="center" vertical="center" wrapText="1"/>
    </xf>
    <xf numFmtId="0" fontId="0" fillId="87" borderId="12" xfId="0" applyFill="1" applyBorder="1" applyAlignment="1">
      <alignment horizontal="center" vertical="center" wrapText="1"/>
    </xf>
    <xf numFmtId="0" fontId="46" fillId="82" borderId="23" xfId="1257" applyNumberFormat="1" applyFont="1" applyFill="1" applyBorder="1" applyAlignment="1">
      <alignment horizontal="left" vertical="center" wrapText="1"/>
    </xf>
    <xf numFmtId="0" fontId="88" fillId="82" borderId="24" xfId="0" applyFont="1" applyFill="1" applyBorder="1" applyAlignment="1">
      <alignment horizontal="left" vertical="center" wrapText="1"/>
    </xf>
    <xf numFmtId="0" fontId="88" fillId="82" borderId="25" xfId="0" applyFont="1" applyFill="1" applyBorder="1" applyAlignment="1">
      <alignment horizontal="left" vertical="center" wrapText="1"/>
    </xf>
    <xf numFmtId="0" fontId="50" fillId="0" borderId="0" xfId="0" applyFont="1" applyAlignment="1">
      <alignment wrapText="1"/>
    </xf>
    <xf numFmtId="3" fontId="114" fillId="82" borderId="37" xfId="1257" applyFont="1" applyFill="1" applyBorder="1" applyAlignment="1">
      <alignment horizontal="center" vertical="center" wrapText="1"/>
    </xf>
    <xf numFmtId="3" fontId="114" fillId="82" borderId="38" xfId="1257" applyFont="1" applyFill="1" applyBorder="1" applyAlignment="1">
      <alignment horizontal="center" vertical="center" wrapText="1"/>
    </xf>
    <xf numFmtId="3" fontId="114" fillId="82" borderId="39" xfId="1257" applyFont="1" applyFill="1" applyBorder="1" applyAlignment="1">
      <alignment horizontal="center" vertical="center" wrapText="1"/>
    </xf>
    <xf numFmtId="0" fontId="121" fillId="82" borderId="37" xfId="0" applyFont="1" applyFill="1" applyBorder="1" applyAlignment="1">
      <alignment horizontal="center" vertical="center" wrapText="1"/>
    </xf>
    <xf numFmtId="0" fontId="121" fillId="82" borderId="39" xfId="0" applyFont="1" applyFill="1" applyBorder="1" applyAlignment="1">
      <alignment horizontal="center" vertical="center" wrapText="1"/>
    </xf>
    <xf numFmtId="0" fontId="113" fillId="82" borderId="38" xfId="0" applyFont="1" applyFill="1" applyBorder="1" applyAlignment="1">
      <alignment horizontal="center" vertical="center" wrapText="1"/>
    </xf>
    <xf numFmtId="0" fontId="113" fillId="82" borderId="39" xfId="0" applyFont="1" applyFill="1" applyBorder="1" applyAlignment="1">
      <alignment horizontal="center" vertical="center" wrapText="1"/>
    </xf>
    <xf numFmtId="1" fontId="0" fillId="0" borderId="0" xfId="0" applyNumberFormat="1" applyAlignment="1">
      <alignment horizontal="center"/>
    </xf>
    <xf numFmtId="165" fontId="0" fillId="0" borderId="0" xfId="0" applyNumberFormat="1" applyAlignment="1">
      <alignment horizontal="center"/>
    </xf>
    <xf numFmtId="0" fontId="62" fillId="83" borderId="77" xfId="0" applyFont="1" applyFill="1" applyBorder="1" applyAlignment="1">
      <alignment horizontal="center" vertical="top" wrapText="1"/>
    </xf>
    <xf numFmtId="0" fontId="62" fillId="83" borderId="78" xfId="0" applyFont="1" applyFill="1" applyBorder="1" applyAlignment="1">
      <alignment horizontal="center" vertical="top" wrapText="1"/>
    </xf>
    <xf numFmtId="0" fontId="91" fillId="83" borderId="30" xfId="0" applyFont="1" applyFill="1" applyBorder="1" applyAlignment="1">
      <alignment horizontal="center" vertical="center" wrapText="1"/>
    </xf>
    <xf numFmtId="0" fontId="0" fillId="83" borderId="12" xfId="0" applyFill="1" applyBorder="1" applyAlignment="1">
      <alignment horizontal="center" vertical="center" wrapText="1"/>
    </xf>
    <xf numFmtId="0" fontId="62" fillId="79" borderId="77" xfId="0" applyFont="1" applyFill="1" applyBorder="1" applyAlignment="1">
      <alignment horizontal="center" vertical="top" wrapText="1"/>
    </xf>
    <xf numFmtId="0" fontId="62" fillId="79" borderId="78" xfId="0" applyFont="1" applyFill="1" applyBorder="1" applyAlignment="1">
      <alignment horizontal="center" vertical="top" wrapText="1"/>
    </xf>
    <xf numFmtId="0" fontId="106" fillId="37" borderId="23" xfId="1257" applyNumberFormat="1" applyFont="1" applyBorder="1" applyAlignment="1">
      <alignment horizontal="left"/>
    </xf>
    <xf numFmtId="0" fontId="106" fillId="37" borderId="24" xfId="1257" applyNumberFormat="1" applyFont="1" applyBorder="1" applyAlignment="1">
      <alignment horizontal="left"/>
    </xf>
    <xf numFmtId="0" fontId="106" fillId="37" borderId="25" xfId="1257" applyNumberFormat="1" applyFont="1" applyBorder="1" applyAlignment="1">
      <alignment horizontal="left"/>
    </xf>
    <xf numFmtId="0" fontId="62" fillId="83" borderId="25" xfId="0" applyFont="1" applyFill="1" applyBorder="1" applyAlignment="1">
      <alignment horizontal="center" vertical="top" wrapText="1"/>
    </xf>
    <xf numFmtId="0" fontId="91" fillId="83" borderId="12" xfId="0" applyFont="1" applyFill="1" applyBorder="1" applyAlignment="1">
      <alignment horizontal="center" vertical="center" wrapText="1"/>
    </xf>
    <xf numFmtId="0" fontId="91" fillId="33" borderId="12" xfId="0" applyFont="1" applyFill="1" applyBorder="1" applyAlignment="1">
      <alignment vertical="center" wrapText="1"/>
    </xf>
    <xf numFmtId="0" fontId="91" fillId="33" borderId="12" xfId="0" applyFont="1" applyFill="1" applyBorder="1" applyAlignment="1">
      <alignment horizontal="center" vertical="center" wrapText="1"/>
    </xf>
    <xf numFmtId="0" fontId="62" fillId="83" borderId="23" xfId="0" applyFont="1" applyFill="1" applyBorder="1" applyAlignment="1">
      <alignment horizontal="center" vertical="top" wrapText="1"/>
    </xf>
    <xf numFmtId="0" fontId="88" fillId="33" borderId="41" xfId="0" applyFont="1" applyFill="1" applyBorder="1" applyAlignment="1">
      <alignment horizontal="center" vertical="center" wrapText="1"/>
    </xf>
    <xf numFmtId="0" fontId="88" fillId="33" borderId="19" xfId="0" applyFont="1" applyFill="1" applyBorder="1" applyAlignment="1">
      <alignment horizontal="center" vertical="center" wrapText="1"/>
    </xf>
    <xf numFmtId="0" fontId="88" fillId="33" borderId="31" xfId="0" applyFont="1" applyFill="1" applyBorder="1" applyAlignment="1">
      <alignment horizontal="center" vertical="center" wrapText="1"/>
    </xf>
    <xf numFmtId="0" fontId="88" fillId="33" borderId="21" xfId="0" applyFont="1" applyFill="1" applyBorder="1" applyAlignment="1">
      <alignment horizontal="center" vertical="center" wrapText="1"/>
    </xf>
    <xf numFmtId="0" fontId="88" fillId="33" borderId="0" xfId="0" applyFont="1" applyFill="1" applyBorder="1" applyAlignment="1">
      <alignment horizontal="center" vertical="center" wrapText="1"/>
    </xf>
    <xf numFmtId="0" fontId="88" fillId="33" borderId="70" xfId="0" applyFont="1" applyFill="1" applyBorder="1" applyAlignment="1">
      <alignment horizontal="center" vertical="center" wrapText="1"/>
    </xf>
    <xf numFmtId="0" fontId="88" fillId="33" borderId="22" xfId="0" applyFont="1" applyFill="1" applyBorder="1" applyAlignment="1">
      <alignment horizontal="center" vertical="center" wrapText="1"/>
    </xf>
    <xf numFmtId="0" fontId="88" fillId="33" borderId="15" xfId="0" applyFont="1" applyFill="1" applyBorder="1" applyAlignment="1">
      <alignment horizontal="center" vertical="center" wrapText="1"/>
    </xf>
    <xf numFmtId="0" fontId="88" fillId="33" borderId="100" xfId="0" applyFont="1" applyFill="1" applyBorder="1" applyAlignment="1">
      <alignment horizontal="center" vertical="center" wrapText="1"/>
    </xf>
    <xf numFmtId="0" fontId="95" fillId="83" borderId="37" xfId="0" applyFont="1" applyFill="1" applyBorder="1" applyAlignment="1">
      <alignment horizontal="center" vertical="center"/>
    </xf>
    <xf numFmtId="0" fontId="95" fillId="83" borderId="38" xfId="0" applyFont="1" applyFill="1" applyBorder="1" applyAlignment="1">
      <alignment horizontal="center" vertical="center"/>
    </xf>
    <xf numFmtId="0" fontId="95" fillId="83" borderId="39" xfId="0" applyFont="1" applyFill="1" applyBorder="1" applyAlignment="1">
      <alignment horizontal="center" vertical="center"/>
    </xf>
    <xf numFmtId="167" fontId="88" fillId="33" borderId="41" xfId="0" applyNumberFormat="1" applyFont="1" applyFill="1" applyBorder="1" applyAlignment="1">
      <alignment horizontal="center" vertical="center" wrapText="1"/>
    </xf>
    <xf numFmtId="167" fontId="88" fillId="33" borderId="19" xfId="0" applyNumberFormat="1" applyFont="1" applyFill="1" applyBorder="1" applyAlignment="1">
      <alignment horizontal="center" vertical="center" wrapText="1"/>
    </xf>
    <xf numFmtId="167" fontId="88" fillId="33" borderId="31" xfId="0" applyNumberFormat="1" applyFont="1" applyFill="1" applyBorder="1" applyAlignment="1">
      <alignment horizontal="center" vertical="center" wrapText="1"/>
    </xf>
    <xf numFmtId="167" fontId="88" fillId="33" borderId="21" xfId="0" applyNumberFormat="1" applyFont="1" applyFill="1" applyBorder="1" applyAlignment="1">
      <alignment horizontal="center" vertical="center" wrapText="1"/>
    </xf>
    <xf numFmtId="167" fontId="88" fillId="33" borderId="0" xfId="0" applyNumberFormat="1" applyFont="1" applyFill="1" applyBorder="1" applyAlignment="1">
      <alignment horizontal="center" vertical="center" wrapText="1"/>
    </xf>
    <xf numFmtId="167" fontId="88" fillId="33" borderId="70" xfId="0" applyNumberFormat="1" applyFont="1" applyFill="1" applyBorder="1" applyAlignment="1">
      <alignment horizontal="center" vertical="center" wrapText="1"/>
    </xf>
    <xf numFmtId="0" fontId="45" fillId="0" borderId="23" xfId="0" applyFont="1" applyBorder="1" applyAlignment="1">
      <alignment horizontal="center"/>
    </xf>
    <xf numFmtId="0" fontId="45" fillId="0" borderId="25" xfId="0" applyFont="1" applyBorder="1" applyAlignment="1">
      <alignment horizontal="center"/>
    </xf>
    <xf numFmtId="0" fontId="88" fillId="33" borderId="0" xfId="0" applyFont="1" applyFill="1" applyAlignment="1">
      <alignment horizontal="center" vertical="center" wrapText="1"/>
    </xf>
    <xf numFmtId="3" fontId="106" fillId="37" borderId="23" xfId="1257" applyFont="1" applyBorder="1" applyAlignment="1">
      <alignment horizontal="left"/>
    </xf>
    <xf numFmtId="0" fontId="95" fillId="37" borderId="24" xfId="0" applyFont="1" applyFill="1" applyBorder="1" applyAlignment="1">
      <alignment horizontal="left"/>
    </xf>
    <xf numFmtId="0" fontId="95" fillId="37" borderId="25" xfId="0" applyFont="1" applyFill="1" applyBorder="1" applyAlignment="1">
      <alignment horizontal="left"/>
    </xf>
    <xf numFmtId="0" fontId="0" fillId="0" borderId="89" xfId="0" applyBorder="1"/>
    <xf numFmtId="0" fontId="0" fillId="0" borderId="91" xfId="0" applyBorder="1"/>
    <xf numFmtId="0" fontId="50" fillId="0" borderId="30" xfId="0" applyFont="1" applyBorder="1" applyAlignment="1">
      <alignment wrapText="1"/>
    </xf>
    <xf numFmtId="0" fontId="50" fillId="0" borderId="12" xfId="0" applyFont="1" applyBorder="1" applyAlignment="1">
      <alignment wrapText="1"/>
    </xf>
    <xf numFmtId="0" fontId="50" fillId="0" borderId="33" xfId="0" applyFont="1" applyBorder="1" applyAlignment="1">
      <alignment horizontal="center" wrapText="1"/>
    </xf>
    <xf numFmtId="0" fontId="50" fillId="0" borderId="34" xfId="0" applyFont="1" applyBorder="1" applyAlignment="1">
      <alignment horizontal="center" wrapText="1"/>
    </xf>
    <xf numFmtId="0" fontId="50" fillId="0" borderId="29" xfId="0" applyFont="1" applyBorder="1" applyAlignment="1">
      <alignment horizontal="center" wrapText="1"/>
    </xf>
    <xf numFmtId="0" fontId="50" fillId="0" borderId="23" xfId="0" applyFont="1" applyBorder="1" applyAlignment="1">
      <alignment horizontal="center" wrapText="1"/>
    </xf>
    <xf numFmtId="0" fontId="50" fillId="0" borderId="24" xfId="0" applyFont="1" applyBorder="1" applyAlignment="1">
      <alignment horizontal="center" wrapText="1"/>
    </xf>
    <xf numFmtId="0" fontId="50" fillId="0" borderId="25" xfId="0" applyFont="1" applyBorder="1" applyAlignment="1">
      <alignment horizontal="center" wrapText="1"/>
    </xf>
    <xf numFmtId="0" fontId="50" fillId="0" borderId="59" xfId="0" applyFont="1" applyBorder="1" applyAlignment="1">
      <alignment wrapText="1"/>
    </xf>
    <xf numFmtId="0" fontId="50" fillId="0" borderId="58" xfId="0" applyFont="1" applyBorder="1" applyAlignment="1">
      <alignment wrapText="1"/>
    </xf>
    <xf numFmtId="0" fontId="50" fillId="0" borderId="0" xfId="0" applyFont="1" applyBorder="1" applyAlignment="1">
      <alignment horizontal="center" wrapText="1"/>
    </xf>
    <xf numFmtId="0" fontId="50" fillId="0" borderId="37" xfId="0" applyFont="1" applyBorder="1" applyAlignment="1">
      <alignment wrapText="1"/>
    </xf>
    <xf numFmtId="0" fontId="50" fillId="0" borderId="41" xfId="0" applyFont="1" applyBorder="1" applyAlignment="1">
      <alignment horizontal="center" wrapText="1"/>
    </xf>
    <xf numFmtId="0" fontId="50" fillId="0" borderId="19" xfId="0" applyFont="1" applyBorder="1" applyAlignment="1">
      <alignment horizontal="center" wrapText="1"/>
    </xf>
    <xf numFmtId="0" fontId="50" fillId="0" borderId="31" xfId="0" applyFont="1" applyBorder="1" applyAlignment="1">
      <alignment horizontal="center" wrapText="1"/>
    </xf>
    <xf numFmtId="0" fontId="50" fillId="0" borderId="42" xfId="0" applyFont="1" applyBorder="1" applyAlignment="1">
      <alignment horizontal="center" wrapText="1"/>
    </xf>
    <xf numFmtId="0" fontId="50" fillId="0" borderId="36" xfId="0" applyFont="1" applyBorder="1" applyAlignment="1">
      <alignment horizontal="center" wrapText="1"/>
    </xf>
    <xf numFmtId="0" fontId="50" fillId="0" borderId="40" xfId="0" applyFont="1" applyBorder="1" applyAlignment="1">
      <alignment horizontal="center" wrapText="1"/>
    </xf>
    <xf numFmtId="0" fontId="48" fillId="0" borderId="34" xfId="0" applyFont="1" applyBorder="1" applyAlignment="1">
      <alignment horizontal="center" vertical="center" wrapText="1"/>
    </xf>
    <xf numFmtId="0" fontId="48" fillId="0" borderId="0" xfId="0" applyFont="1" applyBorder="1" applyAlignment="1">
      <alignment horizontal="center" vertical="center" wrapText="1"/>
    </xf>
    <xf numFmtId="0" fontId="48" fillId="0" borderId="15" xfId="0" applyFont="1" applyBorder="1" applyAlignment="1">
      <alignment horizontal="center" vertical="center" wrapText="1"/>
    </xf>
    <xf numFmtId="0" fontId="50" fillId="0" borderId="16" xfId="0" applyFont="1" applyBorder="1" applyAlignment="1">
      <alignment wrapText="1"/>
    </xf>
    <xf numFmtId="0" fontId="48" fillId="0" borderId="33" xfId="0" applyFont="1" applyBorder="1" applyAlignment="1">
      <alignment vertical="center" wrapText="1"/>
    </xf>
    <xf numFmtId="0" fontId="48" fillId="0" borderId="34" xfId="0" applyFont="1" applyBorder="1" applyAlignment="1">
      <alignment vertical="center" wrapText="1"/>
    </xf>
    <xf numFmtId="0" fontId="48" fillId="0" borderId="29" xfId="0" applyFont="1" applyBorder="1" applyAlignment="1">
      <alignment vertical="center" wrapText="1"/>
    </xf>
    <xf numFmtId="0" fontId="48" fillId="0" borderId="35"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50" fillId="0" borderId="24" xfId="0" applyFont="1" applyBorder="1" applyAlignment="1">
      <alignment horizontal="center" vertical="top" wrapText="1"/>
    </xf>
    <xf numFmtId="0" fontId="50" fillId="0" borderId="25" xfId="0" applyFont="1" applyBorder="1" applyAlignment="1">
      <alignment horizontal="center" vertical="top" wrapText="1"/>
    </xf>
    <xf numFmtId="0" fontId="50" fillId="0" borderId="23" xfId="0" applyFont="1" applyBorder="1" applyAlignment="1">
      <alignment horizontal="center" vertical="top" wrapText="1"/>
    </xf>
    <xf numFmtId="0" fontId="48" fillId="0" borderId="24" xfId="0" applyFont="1" applyFill="1" applyBorder="1" applyAlignment="1">
      <alignment horizontal="center" vertical="top" wrapText="1"/>
    </xf>
    <xf numFmtId="0" fontId="48" fillId="0" borderId="25" xfId="0" applyFont="1" applyFill="1" applyBorder="1" applyAlignment="1">
      <alignment horizontal="center"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62" fillId="37" borderId="1" xfId="0" applyFont="1" applyFill="1" applyBorder="1" applyAlignment="1">
      <alignment vertical="top" wrapText="1"/>
    </xf>
    <xf numFmtId="0" fontId="79" fillId="37" borderId="1" xfId="0" applyFont="1" applyFill="1" applyBorder="1" applyAlignment="1">
      <alignment horizontal="center" vertical="top" wrapText="1"/>
    </xf>
    <xf numFmtId="0" fontId="79" fillId="37" borderId="41" xfId="0" applyFont="1" applyFill="1" applyBorder="1" applyAlignment="1">
      <alignment horizontal="center" vertical="center" wrapText="1"/>
    </xf>
    <xf numFmtId="0" fontId="79" fillId="37" borderId="19" xfId="0" applyFont="1" applyFill="1" applyBorder="1" applyAlignment="1">
      <alignment horizontal="center" vertical="center" wrapText="1"/>
    </xf>
    <xf numFmtId="0" fontId="79" fillId="37" borderId="31" xfId="0" applyFont="1" applyFill="1" applyBorder="1" applyAlignment="1">
      <alignment horizontal="center" vertical="center" wrapText="1"/>
    </xf>
    <xf numFmtId="0" fontId="79" fillId="37" borderId="21" xfId="0" applyFont="1" applyFill="1" applyBorder="1" applyAlignment="1">
      <alignment horizontal="center" vertical="center" wrapText="1"/>
    </xf>
    <xf numFmtId="0" fontId="79" fillId="37" borderId="0" xfId="0" applyFont="1" applyFill="1" applyBorder="1" applyAlignment="1">
      <alignment horizontal="center" vertical="center" wrapText="1"/>
    </xf>
    <xf numFmtId="0" fontId="79" fillId="37" borderId="70" xfId="0" applyFont="1" applyFill="1" applyBorder="1" applyAlignment="1">
      <alignment horizontal="center" vertical="center" wrapText="1"/>
    </xf>
    <xf numFmtId="0" fontId="79" fillId="37" borderId="42" xfId="0" applyFont="1" applyFill="1" applyBorder="1" applyAlignment="1">
      <alignment horizontal="center" vertical="center" wrapText="1"/>
    </xf>
    <xf numFmtId="0" fontId="79" fillId="37" borderId="36" xfId="0" applyFont="1" applyFill="1" applyBorder="1" applyAlignment="1">
      <alignment horizontal="center" vertical="center" wrapText="1"/>
    </xf>
    <xf numFmtId="0" fontId="79" fillId="37" borderId="40" xfId="0" applyFont="1" applyFill="1" applyBorder="1" applyAlignment="1">
      <alignment horizontal="center" vertical="center" wrapText="1"/>
    </xf>
    <xf numFmtId="0" fontId="62" fillId="37" borderId="1" xfId="0" applyFont="1" applyFill="1" applyBorder="1" applyAlignment="1">
      <alignment horizontal="center" vertical="top" wrapText="1"/>
    </xf>
    <xf numFmtId="0" fontId="0" fillId="37" borderId="1" xfId="0" applyFill="1" applyBorder="1" applyAlignment="1">
      <alignment horizontal="center" vertical="top" wrapText="1"/>
    </xf>
    <xf numFmtId="0" fontId="49" fillId="0" borderId="33" xfId="0" applyFont="1" applyBorder="1" applyAlignment="1">
      <alignment horizontal="center" vertical="center" wrapText="1"/>
    </xf>
    <xf numFmtId="0" fontId="49" fillId="0" borderId="34"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35"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xf numFmtId="0" fontId="50" fillId="0" borderId="30" xfId="6971" applyFont="1" applyBorder="1" applyAlignment="1">
      <alignment wrapText="1"/>
    </xf>
    <xf numFmtId="0" fontId="50" fillId="0" borderId="12" xfId="6971" applyFont="1" applyBorder="1" applyAlignment="1">
      <alignment wrapText="1"/>
    </xf>
    <xf numFmtId="0" fontId="50" fillId="0" borderId="33" xfId="6971" applyFont="1" applyBorder="1" applyAlignment="1">
      <alignment horizontal="center" wrapText="1"/>
    </xf>
    <xf numFmtId="0" fontId="50" fillId="0" borderId="34" xfId="6971" applyFont="1" applyBorder="1" applyAlignment="1">
      <alignment horizontal="center" wrapText="1"/>
    </xf>
    <xf numFmtId="0" fontId="50" fillId="0" borderId="29" xfId="6971" applyFont="1" applyBorder="1" applyAlignment="1">
      <alignment horizontal="center" wrapText="1"/>
    </xf>
    <xf numFmtId="0" fontId="50" fillId="0" borderId="14" xfId="6971" applyFont="1" applyBorder="1" applyAlignment="1">
      <alignment horizontal="center" wrapText="1"/>
    </xf>
    <xf numFmtId="0" fontId="50" fillId="0" borderId="15" xfId="6971" applyFont="1" applyBorder="1" applyAlignment="1">
      <alignment horizontal="center" wrapText="1"/>
    </xf>
    <xf numFmtId="0" fontId="50" fillId="0" borderId="13" xfId="6971" applyFont="1" applyBorder="1" applyAlignment="1">
      <alignment horizontal="center" wrapText="1"/>
    </xf>
    <xf numFmtId="0" fontId="124" fillId="0" borderId="37" xfId="6971" applyBorder="1" applyAlignment="1">
      <alignment horizontal="center" vertical="center" wrapText="1"/>
    </xf>
    <xf numFmtId="0" fontId="124" fillId="0" borderId="39" xfId="6971" applyBorder="1" applyAlignment="1">
      <alignment horizontal="center" vertical="center" wrapText="1"/>
    </xf>
    <xf numFmtId="0" fontId="62" fillId="37" borderId="37" xfId="6976" applyFont="1" applyFill="1" applyBorder="1" applyAlignment="1">
      <alignment vertical="center" wrapText="1"/>
    </xf>
    <xf numFmtId="0" fontId="62" fillId="37" borderId="38" xfId="6976" applyFont="1" applyFill="1" applyBorder="1" applyAlignment="1">
      <alignment vertical="center" wrapText="1"/>
    </xf>
    <xf numFmtId="0" fontId="62" fillId="37" borderId="39" xfId="6976" applyFont="1" applyFill="1" applyBorder="1" applyAlignment="1">
      <alignment vertical="center" wrapText="1"/>
    </xf>
    <xf numFmtId="0" fontId="62" fillId="37" borderId="1" xfId="6976" applyFont="1" applyFill="1" applyBorder="1" applyAlignment="1">
      <alignment vertical="center" wrapText="1"/>
    </xf>
    <xf numFmtId="0" fontId="62" fillId="37" borderId="37" xfId="6976" applyFont="1" applyFill="1" applyBorder="1" applyAlignment="1">
      <alignment horizontal="center" vertical="center" wrapText="1"/>
    </xf>
    <xf numFmtId="0" fontId="40" fillId="37" borderId="38" xfId="6976" applyFill="1" applyBorder="1" applyAlignment="1">
      <alignment horizontal="center" vertical="center" wrapText="1"/>
    </xf>
    <xf numFmtId="0" fontId="40" fillId="37" borderId="39" xfId="6976" applyFill="1" applyBorder="1" applyAlignment="1">
      <alignment horizontal="center" vertical="center" wrapText="1"/>
    </xf>
    <xf numFmtId="0" fontId="62" fillId="37" borderId="39" xfId="6976" applyFont="1" applyFill="1" applyBorder="1" applyAlignment="1">
      <alignment horizontal="center" vertical="center" wrapText="1"/>
    </xf>
    <xf numFmtId="0" fontId="62" fillId="37" borderId="37" xfId="6977" applyFont="1" applyFill="1" applyBorder="1" applyAlignment="1">
      <alignment vertical="center" wrapText="1"/>
    </xf>
    <xf numFmtId="0" fontId="62" fillId="37" borderId="38" xfId="6977" applyFont="1" applyFill="1" applyBorder="1" applyAlignment="1">
      <alignment vertical="center" wrapText="1"/>
    </xf>
    <xf numFmtId="0" fontId="62" fillId="37" borderId="39" xfId="6977" applyFont="1" applyFill="1" applyBorder="1" applyAlignment="1">
      <alignment vertical="center" wrapText="1"/>
    </xf>
    <xf numFmtId="0" fontId="62" fillId="37" borderId="1" xfId="6977" applyFont="1" applyFill="1" applyBorder="1" applyAlignment="1">
      <alignment vertical="center" wrapText="1"/>
    </xf>
    <xf numFmtId="0" fontId="62" fillId="37" borderId="37" xfId="6977" applyFont="1" applyFill="1" applyBorder="1" applyAlignment="1">
      <alignment horizontal="center" vertical="center" wrapText="1"/>
    </xf>
    <xf numFmtId="0" fontId="40" fillId="37" borderId="38" xfId="6977" applyFill="1" applyBorder="1" applyAlignment="1">
      <alignment horizontal="center" vertical="center" wrapText="1"/>
    </xf>
    <xf numFmtId="0" fontId="40" fillId="37" borderId="39" xfId="6977" applyFill="1" applyBorder="1" applyAlignment="1">
      <alignment horizontal="center" vertical="center" wrapText="1"/>
    </xf>
    <xf numFmtId="0" fontId="62" fillId="37" borderId="39" xfId="6977" applyFont="1" applyFill="1" applyBorder="1" applyAlignment="1">
      <alignment horizontal="center" vertical="center" wrapText="1"/>
    </xf>
    <xf numFmtId="0" fontId="50" fillId="0" borderId="30" xfId="6974" applyFont="1" applyBorder="1" applyAlignment="1">
      <alignment wrapText="1"/>
    </xf>
    <xf numFmtId="0" fontId="50" fillId="0" borderId="12" xfId="6974" applyFont="1" applyBorder="1" applyAlignment="1">
      <alignment wrapText="1"/>
    </xf>
    <xf numFmtId="0" fontId="50" fillId="0" borderId="33" xfId="6974" applyFont="1" applyBorder="1" applyAlignment="1">
      <alignment horizontal="center" wrapText="1"/>
    </xf>
    <xf numFmtId="0" fontId="50" fillId="0" borderId="34" xfId="6974" applyFont="1" applyBorder="1" applyAlignment="1">
      <alignment horizontal="center" wrapText="1"/>
    </xf>
    <xf numFmtId="0" fontId="50" fillId="0" borderId="29" xfId="6974" applyFont="1" applyBorder="1" applyAlignment="1">
      <alignment horizontal="center" wrapText="1"/>
    </xf>
    <xf numFmtId="0" fontId="50" fillId="0" borderId="14" xfId="6974" applyFont="1" applyBorder="1" applyAlignment="1">
      <alignment horizontal="center" wrapText="1"/>
    </xf>
    <xf numFmtId="0" fontId="50" fillId="0" borderId="15" xfId="6974" applyFont="1" applyBorder="1" applyAlignment="1">
      <alignment horizontal="center" wrapText="1"/>
    </xf>
    <xf numFmtId="0" fontId="50" fillId="0" borderId="13" xfId="6974" applyFont="1" applyBorder="1" applyAlignment="1">
      <alignment horizontal="center" wrapText="1"/>
    </xf>
    <xf numFmtId="0" fontId="40" fillId="0" borderId="0" xfId="6973" applyAlignment="1">
      <alignment horizontal="center" wrapText="1"/>
    </xf>
    <xf numFmtId="0" fontId="40" fillId="0" borderId="0" xfId="6973" applyAlignment="1">
      <alignment horizontal="center"/>
    </xf>
    <xf numFmtId="0" fontId="40" fillId="87" borderId="0" xfId="6973" applyFill="1" applyAlignment="1">
      <alignment horizontal="center"/>
    </xf>
    <xf numFmtId="0" fontId="40" fillId="78" borderId="0" xfId="6973" applyFill="1" applyAlignment="1">
      <alignment horizontal="center"/>
    </xf>
    <xf numFmtId="0" fontId="40" fillId="76" borderId="0" xfId="6973" applyFill="1" applyAlignment="1">
      <alignment horizontal="center"/>
    </xf>
    <xf numFmtId="0" fontId="40" fillId="40" borderId="0" xfId="6973" applyFill="1" applyAlignment="1">
      <alignment horizontal="center"/>
    </xf>
    <xf numFmtId="0" fontId="135" fillId="0" borderId="35" xfId="6973" applyFont="1" applyBorder="1" applyAlignment="1">
      <alignment horizontal="left" vertical="center"/>
    </xf>
    <xf numFmtId="0" fontId="135" fillId="0" borderId="14" xfId="6973" applyFont="1" applyBorder="1" applyAlignment="1">
      <alignment horizontal="left" vertical="center"/>
    </xf>
    <xf numFmtId="0" fontId="135" fillId="0" borderId="33" xfId="6973" applyFont="1" applyBorder="1" applyAlignment="1">
      <alignment horizontal="left" vertical="center"/>
    </xf>
    <xf numFmtId="2" fontId="47" fillId="0" borderId="37" xfId="0" applyNumberFormat="1" applyFont="1" applyFill="1" applyBorder="1" applyAlignment="1">
      <alignment horizontal="center"/>
    </xf>
    <xf numFmtId="2" fontId="47" fillId="0" borderId="0" xfId="0" applyNumberFormat="1" applyFont="1" applyFill="1" applyBorder="1" applyAlignment="1">
      <alignment horizontal="center"/>
    </xf>
  </cellXfs>
  <cellStyles count="55822">
    <cellStyle name="_x000a_shell=progma 2" xfId="8909" xr:uid="{C2175498-ED50-43A1-A815-4890E9539A2C}"/>
    <cellStyle name="_x000a_shell=progma 2 2" xfId="8910" xr:uid="{F6E05FE1-02B1-40BD-903C-BBA462B34F36}"/>
    <cellStyle name="1.000" xfId="8911" xr:uid="{D92B6DDE-62BD-45E7-940E-E8898FA27ADA}"/>
    <cellStyle name="1.000 2" xfId="8912" xr:uid="{2ACE5F56-E592-41A6-8B4F-7BF1856BE0DB}"/>
    <cellStyle name="1.000 2 2" xfId="32602" xr:uid="{EB9132B4-BC60-4A5D-8080-4AF1DC61AC0A}"/>
    <cellStyle name="1.000 2 2 2" xfId="35551" xr:uid="{27C5832C-2E78-4DBD-BFFB-8BBC8FFC681E}"/>
    <cellStyle name="1.000 2 3" xfId="32671" xr:uid="{4AA492EF-F12E-44F5-9766-C024090DAC75}"/>
    <cellStyle name="1.000 2 4" xfId="23465" xr:uid="{D0602348-CE86-48B6-A031-B0800504DF3F}"/>
    <cellStyle name="1.000 3" xfId="32603" xr:uid="{21343C24-8118-4876-8DE7-1C17D3439A84}"/>
    <cellStyle name="1.000 3 2" xfId="35552" xr:uid="{30238A45-E185-4574-8F24-25E25F275357}"/>
    <cellStyle name="1.000 4" xfId="32670" xr:uid="{942179DF-960D-42C5-B69A-31A9C3A01BD7}"/>
    <cellStyle name="1.000 5" xfId="23464" xr:uid="{9BF65B02-15AB-4E30-9BC4-5306A0C7CD36}"/>
    <cellStyle name="20 % - Markeringsfarve1" xfId="1259" xr:uid="{00000000-0005-0000-0000-000000000000}"/>
    <cellStyle name="20 % - Markeringsfarve1 10" xfId="30255" xr:uid="{B9DE4457-15A2-4C61-9773-0E8D9A9A0EF7}"/>
    <cellStyle name="20 % - Markeringsfarve1 10 2" xfId="30256" xr:uid="{38359D8D-A86D-44E1-8F78-0CC6DA2D43EF}"/>
    <cellStyle name="20 % - Markeringsfarve1 11" xfId="30257" xr:uid="{09850DF8-CED9-446F-9CF6-D6B9438801E1}"/>
    <cellStyle name="20 % - Markeringsfarve1 12" xfId="17717" xr:uid="{155FD0DF-4308-4486-8ED1-80DFEB34100F}"/>
    <cellStyle name="20 % - Markeringsfarve1 2" xfId="1260" xr:uid="{00000000-0005-0000-0000-000001000000}"/>
    <cellStyle name="20 % - Markeringsfarve1 2 10" xfId="30258" xr:uid="{B78C7982-E192-491B-B6CE-867DCF9E2F0D}"/>
    <cellStyle name="20 % - Markeringsfarve1 2 11" xfId="17718" xr:uid="{6BE4D6DD-8C57-4137-82D2-AAEEC16F2F19}"/>
    <cellStyle name="20 % - Markeringsfarve1 2 2" xfId="23466" xr:uid="{55F207A1-3346-4FCC-ACD7-FD97DDB1F0FE}"/>
    <cellStyle name="20 % - Markeringsfarve1 2 2 2" xfId="23467" xr:uid="{DA9AC242-608E-4DAE-8455-59CC32671530}"/>
    <cellStyle name="20 % - Markeringsfarve1 2 2 2 2" xfId="30259" xr:uid="{B3BC2F25-5024-4E54-99B4-5931EC086834}"/>
    <cellStyle name="20 % - Markeringsfarve1 2 2 2 3" xfId="30260" xr:uid="{73A3324E-2A9D-4CE1-835C-E47EE6E1B9A2}"/>
    <cellStyle name="20 % - Markeringsfarve1 2 2 3" xfId="30261" xr:uid="{1A06A86B-4520-4150-AC67-DB875498A140}"/>
    <cellStyle name="20 % - Markeringsfarve1 2 2 3 2" xfId="30262" xr:uid="{63B41DF0-3ABC-4E9B-A5C2-001E35291616}"/>
    <cellStyle name="20 % - Markeringsfarve1 2 2 3 3" xfId="30263" xr:uid="{0090069C-EC1E-4E02-BA30-F13E0B0C2E8B}"/>
    <cellStyle name="20 % - Markeringsfarve1 2 2 4" xfId="30264" xr:uid="{E564855B-C60C-49FD-8F18-81409F29F990}"/>
    <cellStyle name="20 % - Markeringsfarve1 2 2 4 2" xfId="30265" xr:uid="{05C49F6C-85D7-46A6-844E-6C8F68FEF0E6}"/>
    <cellStyle name="20 % - Markeringsfarve1 2 2 4 3" xfId="30266" xr:uid="{CAD4803E-CA29-47F1-A440-0599DB0379F7}"/>
    <cellStyle name="20 % - Markeringsfarve1 2 2 5" xfId="30267" xr:uid="{828246A1-1B9D-4235-AFB4-E66948E63CD5}"/>
    <cellStyle name="20 % - Markeringsfarve1 2 2 5 2" xfId="30268" xr:uid="{5F10E29C-3102-453C-84DE-4ACE8A5E07CA}"/>
    <cellStyle name="20 % - Markeringsfarve1 2 2 5 3" xfId="30269" xr:uid="{A21CCE97-7F70-41E3-90CA-D1F60156B5BB}"/>
    <cellStyle name="20 % - Markeringsfarve1 2 2 6" xfId="30270" xr:uid="{6C817095-2629-4206-BBB2-A02559D13A6C}"/>
    <cellStyle name="20 % - Markeringsfarve1 2 2 6 2" xfId="30271" xr:uid="{F5DDBC7F-9BB1-497B-86BA-D703F0D7EA40}"/>
    <cellStyle name="20 % - Markeringsfarve1 2 2 6 3" xfId="30272" xr:uid="{4E351488-9AB5-4E4A-833D-49CB67524B98}"/>
    <cellStyle name="20 % - Markeringsfarve1 2 2 7" xfId="30273" xr:uid="{C89E9907-4215-40F1-A764-09617A84A0D1}"/>
    <cellStyle name="20 % - Markeringsfarve1 2 2 7 2" xfId="30274" xr:uid="{9F3EFE34-8773-4625-9D6B-6B5FCB7D9BBB}"/>
    <cellStyle name="20 % - Markeringsfarve1 2 2 8" xfId="30275" xr:uid="{23CAEC1A-1180-4123-A561-99282D1925D2}"/>
    <cellStyle name="20 % - Markeringsfarve1 2 3" xfId="23468" xr:uid="{1F1B7BDF-06B5-4ACA-A3EF-F2220578E239}"/>
    <cellStyle name="20 % - Markeringsfarve1 2 3 2" xfId="23469" xr:uid="{0EEA252C-6E82-4CF7-90B7-747FFBB9D0A9}"/>
    <cellStyle name="20 % - Markeringsfarve1 2 3 2 2" xfId="30276" xr:uid="{F05A224C-A60B-4F58-84E3-EDCC86C6259D}"/>
    <cellStyle name="20 % - Markeringsfarve1 2 3 2 3" xfId="30277" xr:uid="{D902CD73-293F-4057-8E9B-A9EC271DECF2}"/>
    <cellStyle name="20 % - Markeringsfarve1 2 3 3" xfId="30278" xr:uid="{67639BCD-E52B-4BD5-A3D2-8669B5592889}"/>
    <cellStyle name="20 % - Markeringsfarve1 2 3 3 2" xfId="30279" xr:uid="{81FC1148-9820-4CD5-AB43-FF22DBD748A4}"/>
    <cellStyle name="20 % - Markeringsfarve1 2 3 3 3" xfId="30280" xr:uid="{4E8FBBA3-8F46-4A0A-8BCD-5369336749C2}"/>
    <cellStyle name="20 % - Markeringsfarve1 2 3 4" xfId="30281" xr:uid="{A41601C5-32A0-43CE-9619-44DE3E687BE5}"/>
    <cellStyle name="20 % - Markeringsfarve1 2 3 4 2" xfId="30282" xr:uid="{B94647A8-984F-4A9E-BD94-D1BDFD1D03ED}"/>
    <cellStyle name="20 % - Markeringsfarve1 2 3 4 3" xfId="30283" xr:uid="{C9F0E519-F604-42CF-BD0E-A53087CD8215}"/>
    <cellStyle name="20 % - Markeringsfarve1 2 3 5" xfId="30284" xr:uid="{5891D469-A02E-43E2-A15C-57A976A786B6}"/>
    <cellStyle name="20 % - Markeringsfarve1 2 3 5 2" xfId="30285" xr:uid="{78D0225F-4FA7-414A-B465-7757451719D4}"/>
    <cellStyle name="20 % - Markeringsfarve1 2 3 5 3" xfId="30286" xr:uid="{94A5554F-D5A8-4CF3-BC68-EA07D7CC71DB}"/>
    <cellStyle name="20 % - Markeringsfarve1 2 3 6" xfId="30287" xr:uid="{B7B254DB-0C73-44AE-900C-8666C7291665}"/>
    <cellStyle name="20 % - Markeringsfarve1 2 3 6 2" xfId="30288" xr:uid="{A7B0BE6E-1595-4961-91E7-A6D31BB23968}"/>
    <cellStyle name="20 % - Markeringsfarve1 2 3 6 3" xfId="30289" xr:uid="{4DCFB0C1-E4C4-4609-9206-56BAAB132ED2}"/>
    <cellStyle name="20 % - Markeringsfarve1 2 3 7" xfId="30290" xr:uid="{3AD58DA2-FC79-4EE0-A8B7-7135364CA3BD}"/>
    <cellStyle name="20 % - Markeringsfarve1 2 3 7 2" xfId="30291" xr:uid="{A06959C6-0AB2-40FB-9602-7E42A4172677}"/>
    <cellStyle name="20 % - Markeringsfarve1 2 3 8" xfId="30292" xr:uid="{9A8B211E-F0EB-428A-A450-44B89A7D8922}"/>
    <cellStyle name="20 % - Markeringsfarve1 2 4" xfId="23470" xr:uid="{DAFB96E6-6A42-4759-88DF-63C6BCA8C6CD}"/>
    <cellStyle name="20 % - Markeringsfarve1 2 4 2" xfId="30293" xr:uid="{042444BE-29BC-4438-8B71-C0790EC91FC1}"/>
    <cellStyle name="20 % - Markeringsfarve1 2 4 3" xfId="30294" xr:uid="{05E8F589-EFB6-4182-8EBE-4B3D1971FFF0}"/>
    <cellStyle name="20 % - Markeringsfarve1 2 5" xfId="30295" xr:uid="{128A4C30-C62B-42A6-BE0E-09B7FD807420}"/>
    <cellStyle name="20 % - Markeringsfarve1 2 5 2" xfId="30296" xr:uid="{A0823D3C-B900-45D5-86EE-4BC22EE18B99}"/>
    <cellStyle name="20 % - Markeringsfarve1 2 5 3" xfId="30297" xr:uid="{4607CA98-24CD-4459-8EE6-719240180ACE}"/>
    <cellStyle name="20 % - Markeringsfarve1 2 6" xfId="30298" xr:uid="{94B7607D-62C2-41BE-923E-5D9AD2A3271C}"/>
    <cellStyle name="20 % - Markeringsfarve1 2 6 2" xfId="30299" xr:uid="{B118E4B2-E54F-414C-8E54-FEC0B7E4020B}"/>
    <cellStyle name="20 % - Markeringsfarve1 2 6 3" xfId="30300" xr:uid="{7F983BC4-69E7-4F41-BB04-1C8BD0A0B024}"/>
    <cellStyle name="20 % - Markeringsfarve1 2 7" xfId="30301" xr:uid="{6398EC07-7E25-418D-A999-38F08F58002C}"/>
    <cellStyle name="20 % - Markeringsfarve1 2 7 2" xfId="30302" xr:uid="{03BBBEE0-624F-4103-9919-7EE721D3CE62}"/>
    <cellStyle name="20 % - Markeringsfarve1 2 7 3" xfId="30303" xr:uid="{E5129C50-39E5-4EFA-BC7A-C66106428DCE}"/>
    <cellStyle name="20 % - Markeringsfarve1 2 8" xfId="30304" xr:uid="{50FB14DA-6D69-421F-AE8F-035BDC8CC90E}"/>
    <cellStyle name="20 % - Markeringsfarve1 2 8 2" xfId="30305" xr:uid="{826898EC-8711-4D66-9C04-AAA89DC80633}"/>
    <cellStyle name="20 % - Markeringsfarve1 2 8 3" xfId="30306" xr:uid="{52A67DEA-D514-4E36-B8CE-EC570B5E2526}"/>
    <cellStyle name="20 % - Markeringsfarve1 2 9" xfId="30307" xr:uid="{3617CA98-DB8E-4B72-B2EF-EFD87093DB13}"/>
    <cellStyle name="20 % - Markeringsfarve1 2 9 2" xfId="30308" xr:uid="{96332CF6-0785-4AEF-831D-C74AE75590FD}"/>
    <cellStyle name="20 % - Markeringsfarve1 3" xfId="2585" xr:uid="{135F4595-F8BD-4459-9134-0C53A788ADAC}"/>
    <cellStyle name="20 % - Markeringsfarve1 3 10" xfId="30309" xr:uid="{A7038E5A-A301-42CD-B818-3483EA1E40C7}"/>
    <cellStyle name="20 % - Markeringsfarve1 3 2" xfId="23471" xr:uid="{9F58CD80-8149-4653-8401-B2327F473B5A}"/>
    <cellStyle name="20 % - Markeringsfarve1 3 2 2" xfId="23472" xr:uid="{FACB055F-CDD7-4EAE-A793-73E4F8EE9744}"/>
    <cellStyle name="20 % - Markeringsfarve1 3 2 2 2" xfId="30310" xr:uid="{FFECB4AC-2A8F-4805-AC1C-70D68208E6BD}"/>
    <cellStyle name="20 % - Markeringsfarve1 3 2 2 3" xfId="30311" xr:uid="{9EC41035-7EE6-4D85-9288-F425C342111A}"/>
    <cellStyle name="20 % - Markeringsfarve1 3 2 3" xfId="30312" xr:uid="{B670B544-7578-4AAD-B623-0C61E2F3B3E8}"/>
    <cellStyle name="20 % - Markeringsfarve1 3 2 3 2" xfId="30313" xr:uid="{1284774C-A9DB-46C8-B3AF-2448DE0AB78D}"/>
    <cellStyle name="20 % - Markeringsfarve1 3 2 3 3" xfId="30314" xr:uid="{C0A9831F-DD3F-4697-B7DF-5EA294A9FCAF}"/>
    <cellStyle name="20 % - Markeringsfarve1 3 2 4" xfId="30315" xr:uid="{AAD702C0-4871-48CF-9616-537F8411DB2B}"/>
    <cellStyle name="20 % - Markeringsfarve1 3 2 4 2" xfId="30316" xr:uid="{EBBA596B-FD6D-43C9-A65E-51637A09B7DC}"/>
    <cellStyle name="20 % - Markeringsfarve1 3 2 4 3" xfId="30317" xr:uid="{F48B6BB1-A967-4AB0-97F7-9322847F7F68}"/>
    <cellStyle name="20 % - Markeringsfarve1 3 2 5" xfId="30318" xr:uid="{2644C61C-A27B-44DB-BD09-4CF39B3417DA}"/>
    <cellStyle name="20 % - Markeringsfarve1 3 2 5 2" xfId="30319" xr:uid="{122875BB-510D-47A7-A110-2BB4DF160D76}"/>
    <cellStyle name="20 % - Markeringsfarve1 3 2 5 3" xfId="30320" xr:uid="{9875DD9D-39DF-4BC8-B4AF-D3A7A3F9C5E4}"/>
    <cellStyle name="20 % - Markeringsfarve1 3 2 6" xfId="30321" xr:uid="{08BF653C-9C97-48FC-BC19-9A2ABB396906}"/>
    <cellStyle name="20 % - Markeringsfarve1 3 2 6 2" xfId="30322" xr:uid="{E5D006E8-F4D7-4F79-ADBA-1400BB781FE9}"/>
    <cellStyle name="20 % - Markeringsfarve1 3 2 6 3" xfId="30323" xr:uid="{C248C034-2A82-43DD-AD0F-CE92BE2D17A0}"/>
    <cellStyle name="20 % - Markeringsfarve1 3 2 7" xfId="30324" xr:uid="{C0769044-4CBB-42DB-AF03-09047840267C}"/>
    <cellStyle name="20 % - Markeringsfarve1 3 2 7 2" xfId="30325" xr:uid="{35DF65C9-379C-44D0-8C60-6A4D1B10677A}"/>
    <cellStyle name="20 % - Markeringsfarve1 3 2 8" xfId="30326" xr:uid="{ECCA4E8F-6675-4FEA-AE55-2B0821B8815E}"/>
    <cellStyle name="20 % - Markeringsfarve1 3 3" xfId="23473" xr:uid="{BB2043AC-8DCB-4432-AE50-82A0D06F816F}"/>
    <cellStyle name="20 % - Markeringsfarve1 3 3 2" xfId="30327" xr:uid="{36BE3FBF-A1B3-47D5-B256-C499ED1D76DF}"/>
    <cellStyle name="20 % - Markeringsfarve1 3 3 2 2" xfId="30328" xr:uid="{F616B62B-AD13-4282-9B87-6F3974275CB4}"/>
    <cellStyle name="20 % - Markeringsfarve1 3 3 2 3" xfId="30329" xr:uid="{B403BC4F-62F4-42ED-9751-630E21BC8D20}"/>
    <cellStyle name="20 % - Markeringsfarve1 3 3 3" xfId="30330" xr:uid="{DE07C238-BC68-4AE9-99F3-A79127E25BC4}"/>
    <cellStyle name="20 % - Markeringsfarve1 3 3 3 2" xfId="30331" xr:uid="{A190DE1C-6BD1-4EED-9762-44ECB72DDABD}"/>
    <cellStyle name="20 % - Markeringsfarve1 3 3 3 3" xfId="30332" xr:uid="{3991256C-5492-4168-8CCB-5F455609374D}"/>
    <cellStyle name="20 % - Markeringsfarve1 3 3 4" xfId="30333" xr:uid="{0063970E-A894-4330-AB87-C02EFFBFD2A8}"/>
    <cellStyle name="20 % - Markeringsfarve1 3 3 4 2" xfId="30334" xr:uid="{E75EA47B-A0E6-472D-9E1D-ED03E54A2A02}"/>
    <cellStyle name="20 % - Markeringsfarve1 3 3 4 3" xfId="30335" xr:uid="{2BFB2844-9483-49BC-8238-4F4CE2FFA972}"/>
    <cellStyle name="20 % - Markeringsfarve1 3 3 5" xfId="30336" xr:uid="{77DA2B49-8F38-40ED-945F-52F9AFA2FB3B}"/>
    <cellStyle name="20 % - Markeringsfarve1 3 3 5 2" xfId="30337" xr:uid="{6D77868F-A6EC-4F23-BBAA-A47169486645}"/>
    <cellStyle name="20 % - Markeringsfarve1 3 3 5 3" xfId="30338" xr:uid="{1C51EF3E-8EB0-4CD3-80DC-E39114CB16D5}"/>
    <cellStyle name="20 % - Markeringsfarve1 3 3 6" xfId="30339" xr:uid="{6C6428D9-F924-4B80-96DA-183CC0361805}"/>
    <cellStyle name="20 % - Markeringsfarve1 3 3 6 2" xfId="30340" xr:uid="{951D4A7F-3C40-4DB7-9028-7F98BC80BBDE}"/>
    <cellStyle name="20 % - Markeringsfarve1 3 3 6 3" xfId="30341" xr:uid="{6F0E7ACA-3EC1-4447-9821-D2EC2BA772A7}"/>
    <cellStyle name="20 % - Markeringsfarve1 3 3 7" xfId="30342" xr:uid="{2CBD4726-E9C3-444A-8841-F21973B259F6}"/>
    <cellStyle name="20 % - Markeringsfarve1 3 3 7 2" xfId="30343" xr:uid="{77895C77-659C-4FBB-BC12-06FC2AC11F3A}"/>
    <cellStyle name="20 % - Markeringsfarve1 3 3 8" xfId="30344" xr:uid="{574894F7-BE9A-443C-82A6-9BD94DA8A965}"/>
    <cellStyle name="20 % - Markeringsfarve1 3 4" xfId="30345" xr:uid="{7329AB1C-B29F-4BFB-A389-45BE957650DC}"/>
    <cellStyle name="20 % - Markeringsfarve1 3 4 2" xfId="30346" xr:uid="{98F12051-A526-4836-9013-5A8D39D89514}"/>
    <cellStyle name="20 % - Markeringsfarve1 3 4 3" xfId="30347" xr:uid="{031EAB5D-38EA-4370-B8C1-E6B8C983E05D}"/>
    <cellStyle name="20 % - Markeringsfarve1 3 5" xfId="30348" xr:uid="{EE399A5F-FA15-4D17-A832-BF1327FA0886}"/>
    <cellStyle name="20 % - Markeringsfarve1 3 5 2" xfId="30349" xr:uid="{2FBDD63E-805B-4DE8-BBED-FA75678A6D52}"/>
    <cellStyle name="20 % - Markeringsfarve1 3 5 3" xfId="30350" xr:uid="{320F462C-1806-4FDF-84B6-3B3F678EA0F0}"/>
    <cellStyle name="20 % - Markeringsfarve1 3 6" xfId="30351" xr:uid="{BA3AB97D-99C2-4FEA-9764-441662421566}"/>
    <cellStyle name="20 % - Markeringsfarve1 3 6 2" xfId="30352" xr:uid="{EE94F2B2-75E5-4944-BAAA-1E3814408623}"/>
    <cellStyle name="20 % - Markeringsfarve1 3 6 3" xfId="30353" xr:uid="{97F329D1-F0C9-4CA1-8AB5-A85354754C39}"/>
    <cellStyle name="20 % - Markeringsfarve1 3 7" xfId="30354" xr:uid="{7359ACD1-5234-43C7-A4A1-54B0876E2FD1}"/>
    <cellStyle name="20 % - Markeringsfarve1 3 7 2" xfId="30355" xr:uid="{12D4EFE8-C931-45F1-BE6F-6C5C50A49817}"/>
    <cellStyle name="20 % - Markeringsfarve1 3 7 3" xfId="30356" xr:uid="{26E13993-3C0A-46A0-96D3-406DD8B80C11}"/>
    <cellStyle name="20 % - Markeringsfarve1 3 8" xfId="30357" xr:uid="{004C4A57-51A0-4A42-AD16-0E5A9A3C63FF}"/>
    <cellStyle name="20 % - Markeringsfarve1 3 8 2" xfId="30358" xr:uid="{326DD8EC-B40A-4A09-89F1-7E722A464D2A}"/>
    <cellStyle name="20 % - Markeringsfarve1 3 8 3" xfId="30359" xr:uid="{3C989517-ED08-4343-80CC-7FFFD97697C8}"/>
    <cellStyle name="20 % - Markeringsfarve1 3 9" xfId="30360" xr:uid="{9592E2EB-9EEC-4B03-AAF3-C115AC266267}"/>
    <cellStyle name="20 % - Markeringsfarve1 3 9 2" xfId="30361" xr:uid="{8A0B1EC2-E810-4DF3-85FB-8DF6E21E5CAC}"/>
    <cellStyle name="20 % - Markeringsfarve1 4" xfId="23474" xr:uid="{620E51C8-5A90-4EA2-88E2-E8EEA101EAB5}"/>
    <cellStyle name="20 % - Markeringsfarve1 4 2" xfId="23475" xr:uid="{83E5902A-6A90-4DA5-A4B6-11363877B9B2}"/>
    <cellStyle name="20 % - Markeringsfarve1 4 2 2" xfId="30362" xr:uid="{82A9559B-5A17-48CD-8545-46D97A95F0CA}"/>
    <cellStyle name="20 % - Markeringsfarve1 4 2 3" xfId="30363" xr:uid="{CEE83DB2-271E-4ED3-BA45-E4B06A541593}"/>
    <cellStyle name="20 % - Markeringsfarve1 4 3" xfId="30364" xr:uid="{E9EF4B98-709B-4D5B-986E-13FB3C33334E}"/>
    <cellStyle name="20 % - Markeringsfarve1 4 3 2" xfId="30365" xr:uid="{1DB1A185-6F3A-4E79-96E3-73399A87E7EE}"/>
    <cellStyle name="20 % - Markeringsfarve1 4 3 3" xfId="30366" xr:uid="{47197A8F-9D41-4331-B082-50C6EAB23C2E}"/>
    <cellStyle name="20 % - Markeringsfarve1 4 4" xfId="30367" xr:uid="{42BA1925-B9DB-4945-BDA1-47F4D3320D85}"/>
    <cellStyle name="20 % - Markeringsfarve1 4 4 2" xfId="30368" xr:uid="{2E7FFCD9-91B6-4C98-9C0B-B31D3167A3ED}"/>
    <cellStyle name="20 % - Markeringsfarve1 4 4 3" xfId="30369" xr:uid="{D63D7ED8-9A36-46DE-9225-03493B42C7F8}"/>
    <cellStyle name="20 % - Markeringsfarve1 4 5" xfId="30370" xr:uid="{D054FF4F-1387-4EF8-A186-70A17BCBFB2C}"/>
    <cellStyle name="20 % - Markeringsfarve1 4 5 2" xfId="30371" xr:uid="{C7398972-8E23-493C-B20D-155BEE421E68}"/>
    <cellStyle name="20 % - Markeringsfarve1 4 5 3" xfId="30372" xr:uid="{56D42B5F-C59A-47AB-8136-989D0B3C7358}"/>
    <cellStyle name="20 % - Markeringsfarve1 4 6" xfId="30373" xr:uid="{68CB70AE-DAA0-43F5-BA86-E51799D0D772}"/>
    <cellStyle name="20 % - Markeringsfarve1 4 6 2" xfId="30374" xr:uid="{F0129780-11B8-4EB8-8C45-6927186A4ADE}"/>
    <cellStyle name="20 % - Markeringsfarve1 4 6 3" xfId="30375" xr:uid="{E0CB1C4C-274B-4E1D-966B-37BDBDCF0016}"/>
    <cellStyle name="20 % - Markeringsfarve1 4 7" xfId="30376" xr:uid="{06B10C62-9952-437B-A498-81CDB2FF770F}"/>
    <cellStyle name="20 % - Markeringsfarve1 4 7 2" xfId="30377" xr:uid="{7D85C6BC-045A-41AD-8F38-947ACE15385B}"/>
    <cellStyle name="20 % - Markeringsfarve1 4 8" xfId="30378" xr:uid="{9C0B5FBD-0FAB-4BAD-908F-93D277BC3917}"/>
    <cellStyle name="20 % - Markeringsfarve1 5" xfId="23476" xr:uid="{86859FDB-0DAA-4386-9FA2-B1E0E5C8BDF2}"/>
    <cellStyle name="20 % - Markeringsfarve1 5 2" xfId="23477" xr:uid="{CAE29328-9B7D-44D2-AE84-B54BD2596335}"/>
    <cellStyle name="20 % - Markeringsfarve1 5 2 2" xfId="30379" xr:uid="{EB8C2EB3-C817-4146-8185-C63C00E1E6C3}"/>
    <cellStyle name="20 % - Markeringsfarve1 5 2 3" xfId="30380" xr:uid="{57E73FE7-B867-4DBF-A61F-0122A81529CA}"/>
    <cellStyle name="20 % - Markeringsfarve1 5 3" xfId="30381" xr:uid="{1A8CFDDD-9CAC-4341-9B7A-268E19DC300F}"/>
    <cellStyle name="20 % - Markeringsfarve1 5 3 2" xfId="30382" xr:uid="{46343047-1306-4A4F-A0E2-3ABB3A6D1687}"/>
    <cellStyle name="20 % - Markeringsfarve1 5 3 3" xfId="30383" xr:uid="{4CD1130C-8353-4E90-926D-3B1929C32510}"/>
    <cellStyle name="20 % - Markeringsfarve1 5 4" xfId="30384" xr:uid="{31351FCE-EE87-4974-A1D0-15B2F2F47765}"/>
    <cellStyle name="20 % - Markeringsfarve1 5 4 2" xfId="30385" xr:uid="{B8962554-2EE6-4A29-A208-5C1A1C298E8E}"/>
    <cellStyle name="20 % - Markeringsfarve1 5 4 3" xfId="30386" xr:uid="{FEFD3A51-CB88-4EA0-9BB3-8EC5A1CA4F25}"/>
    <cellStyle name="20 % - Markeringsfarve1 5 5" xfId="30387" xr:uid="{11BEB3ED-7DDF-483A-BD30-B781F734713E}"/>
    <cellStyle name="20 % - Markeringsfarve1 5 5 2" xfId="30388" xr:uid="{27B944F6-623D-40D9-80C3-00440A5BD24E}"/>
    <cellStyle name="20 % - Markeringsfarve1 5 5 3" xfId="30389" xr:uid="{633D4CBC-4CDC-4683-B1EA-C7C0B6E5CF5E}"/>
    <cellStyle name="20 % - Markeringsfarve1 5 6" xfId="30390" xr:uid="{AA762771-E9D5-4ECB-9F7A-A005EAA9628E}"/>
    <cellStyle name="20 % - Markeringsfarve1 5 6 2" xfId="30391" xr:uid="{8668DE0C-8AC1-4343-B585-43F66485D2C2}"/>
    <cellStyle name="20 % - Markeringsfarve1 5 6 3" xfId="30392" xr:uid="{71F5852B-DF75-4F6D-AE81-A1D00CF47F82}"/>
    <cellStyle name="20 % - Markeringsfarve1 5 7" xfId="30393" xr:uid="{DC12C120-72F9-4F9F-9F00-9BBC6D5A55C6}"/>
    <cellStyle name="20 % - Markeringsfarve1 5 7 2" xfId="30394" xr:uid="{D195999C-807B-4839-95B1-D18437EE301C}"/>
    <cellStyle name="20 % - Markeringsfarve1 5 8" xfId="30395" xr:uid="{52D8671D-0164-4E04-8282-C5A0E19309A9}"/>
    <cellStyle name="20 % - Markeringsfarve1 6" xfId="23478" xr:uid="{751B8039-082E-4B1D-9B33-4314F757D264}"/>
    <cellStyle name="20 % - Markeringsfarve1 6 2" xfId="23479" xr:uid="{09BA19E6-8019-48C8-83C8-1D174C57F711}"/>
    <cellStyle name="20 % - Markeringsfarve1 6 2 2" xfId="30396" xr:uid="{FD3C1566-1ED9-4FE8-93A1-80E35C100C23}"/>
    <cellStyle name="20 % - Markeringsfarve1 6 2 3" xfId="30397" xr:uid="{16745440-080D-4095-BFF4-BB1FA5DD03DD}"/>
    <cellStyle name="20 % - Markeringsfarve1 6 3" xfId="30398" xr:uid="{42DCDED7-3D60-4773-85CC-FE7D39192BE3}"/>
    <cellStyle name="20 % - Markeringsfarve1 6 4" xfId="30399" xr:uid="{E3ED02B9-4C44-40FA-9264-EF6376E51116}"/>
    <cellStyle name="20 % - Markeringsfarve1 7" xfId="23480" xr:uid="{DC5B08B6-CE2B-4CD6-B331-E957DD92F423}"/>
    <cellStyle name="20 % - Markeringsfarve1 7 2" xfId="30400" xr:uid="{2B7BCB89-5332-4FAF-A020-ECD75E3CCA68}"/>
    <cellStyle name="20 % - Markeringsfarve1 7 3" xfId="30401" xr:uid="{D051AC0A-4DB0-4C25-A099-4F2D636C2B2F}"/>
    <cellStyle name="20 % - Markeringsfarve1 8" xfId="30402" xr:uid="{588A7C88-514E-4AB7-8F01-9A869970B03A}"/>
    <cellStyle name="20 % - Markeringsfarve1 8 2" xfId="30403" xr:uid="{B4DDE1B3-3D45-4345-89C7-259C4CB987CC}"/>
    <cellStyle name="20 % - Markeringsfarve1 8 3" xfId="30404" xr:uid="{977B5005-F67F-4F83-A142-E2100E44E6E2}"/>
    <cellStyle name="20 % - Markeringsfarve1 9" xfId="30405" xr:uid="{D2B6DAAB-05D3-4511-894B-6E1C529976CE}"/>
    <cellStyle name="20 % - Markeringsfarve1 9 2" xfId="30406" xr:uid="{C2ABC2E1-0BBF-43AF-AA8A-7586F077F705}"/>
    <cellStyle name="20 % - Markeringsfarve1 9 3" xfId="30407" xr:uid="{859BB95C-F1CC-4255-8367-6B6F9DCF2343}"/>
    <cellStyle name="20 % - Markeringsfarve2" xfId="1261" xr:uid="{00000000-0005-0000-0000-000002000000}"/>
    <cellStyle name="20 % - Markeringsfarve2 10" xfId="30408" xr:uid="{8948C716-099D-49D2-8BD4-CAC207CD51F3}"/>
    <cellStyle name="20 % - Markeringsfarve2 10 2" xfId="30409" xr:uid="{26959A30-4D70-4CF7-9313-20EEC2DED76F}"/>
    <cellStyle name="20 % - Markeringsfarve2 11" xfId="30410" xr:uid="{3677FA9F-2234-4C7A-8C2E-0C9F1C6DED6A}"/>
    <cellStyle name="20 % - Markeringsfarve2 12" xfId="17719" xr:uid="{133806A5-EC87-4F4F-A985-6FC7924BDC8B}"/>
    <cellStyle name="20 % - Markeringsfarve2 2" xfId="1262" xr:uid="{00000000-0005-0000-0000-000003000000}"/>
    <cellStyle name="20 % - Markeringsfarve2 2 10" xfId="30411" xr:uid="{D7E64765-EAC8-42CC-A73A-8F44DB0B7F07}"/>
    <cellStyle name="20 % - Markeringsfarve2 2 11" xfId="17720" xr:uid="{A4D8B056-3CB0-4210-BC4A-FB33D351707C}"/>
    <cellStyle name="20 % - Markeringsfarve2 2 2" xfId="23481" xr:uid="{C28B5AE4-F7DB-4C87-9BC0-A713206DD8AA}"/>
    <cellStyle name="20 % - Markeringsfarve2 2 2 2" xfId="23482" xr:uid="{C157CBC8-40C2-4318-9BF9-238F7DB27077}"/>
    <cellStyle name="20 % - Markeringsfarve2 2 2 2 2" xfId="30412" xr:uid="{7FFA3B6A-0276-4F55-97D2-349622272C5F}"/>
    <cellStyle name="20 % - Markeringsfarve2 2 2 2 3" xfId="30413" xr:uid="{D2B7CB4F-C047-4661-A7A2-52631AACCCDC}"/>
    <cellStyle name="20 % - Markeringsfarve2 2 2 3" xfId="30414" xr:uid="{E784909C-F0F7-4FD1-9906-22B459408BED}"/>
    <cellStyle name="20 % - Markeringsfarve2 2 2 3 2" xfId="30415" xr:uid="{1396724D-9FC3-477D-83B4-C13526264120}"/>
    <cellStyle name="20 % - Markeringsfarve2 2 2 3 3" xfId="30416" xr:uid="{74EFD3A6-6947-4402-9798-B14CEEE81A01}"/>
    <cellStyle name="20 % - Markeringsfarve2 2 2 4" xfId="30417" xr:uid="{9D49DCFD-F172-40C9-B381-F1D9C9E18465}"/>
    <cellStyle name="20 % - Markeringsfarve2 2 2 4 2" xfId="30418" xr:uid="{770DA7E4-E46F-408F-9C19-AD8D4F19FA19}"/>
    <cellStyle name="20 % - Markeringsfarve2 2 2 4 3" xfId="30419" xr:uid="{F58F7C9F-F21E-4015-94A7-09E4AC994C0B}"/>
    <cellStyle name="20 % - Markeringsfarve2 2 2 5" xfId="30420" xr:uid="{9F2D272E-9CDF-4D64-8566-88CE9FF81EF2}"/>
    <cellStyle name="20 % - Markeringsfarve2 2 2 5 2" xfId="30421" xr:uid="{3DF2609E-8A87-4B9B-AC3B-48381BF7DF1B}"/>
    <cellStyle name="20 % - Markeringsfarve2 2 2 5 3" xfId="30422" xr:uid="{2146917F-9E4A-47AE-96D3-0DA11ECF9210}"/>
    <cellStyle name="20 % - Markeringsfarve2 2 2 6" xfId="30423" xr:uid="{63CE31C8-102C-454F-B822-2DDD5EC0828A}"/>
    <cellStyle name="20 % - Markeringsfarve2 2 2 6 2" xfId="30424" xr:uid="{A68F2DD4-CFEE-45F2-9CA2-701B93E89762}"/>
    <cellStyle name="20 % - Markeringsfarve2 2 2 6 3" xfId="30425" xr:uid="{220E2EA4-8E23-48A9-A4F9-A9AEC3584AA8}"/>
    <cellStyle name="20 % - Markeringsfarve2 2 2 7" xfId="30426" xr:uid="{65AC8BC9-E016-4DFF-B909-CD33DB799236}"/>
    <cellStyle name="20 % - Markeringsfarve2 2 2 7 2" xfId="30427" xr:uid="{12FEC24C-2DAB-4D42-9897-1B12FD2DCEEF}"/>
    <cellStyle name="20 % - Markeringsfarve2 2 2 8" xfId="30428" xr:uid="{33CE2C0B-4A88-494C-87B6-ABB26B0F3831}"/>
    <cellStyle name="20 % - Markeringsfarve2 2 3" xfId="23483" xr:uid="{603C88D6-D9DB-48A7-AB64-28D75ACC59A1}"/>
    <cellStyle name="20 % - Markeringsfarve2 2 3 2" xfId="23484" xr:uid="{8E21AB7B-E2EA-479E-A95F-CD6E21D4460C}"/>
    <cellStyle name="20 % - Markeringsfarve2 2 3 2 2" xfId="30429" xr:uid="{350B64B2-D0D3-4A5C-9291-25CB3611C628}"/>
    <cellStyle name="20 % - Markeringsfarve2 2 3 2 3" xfId="30430" xr:uid="{0C854F73-B24E-4748-905C-5560CD88586C}"/>
    <cellStyle name="20 % - Markeringsfarve2 2 3 3" xfId="30431" xr:uid="{77B26B53-09FB-472F-A208-B1FA12D9E13C}"/>
    <cellStyle name="20 % - Markeringsfarve2 2 3 3 2" xfId="30432" xr:uid="{EB708E52-1972-4CDA-BD65-A4426FB9ED60}"/>
    <cellStyle name="20 % - Markeringsfarve2 2 3 3 3" xfId="30433" xr:uid="{8B953ED6-93BD-49BD-8572-AFD1FD4B72DC}"/>
    <cellStyle name="20 % - Markeringsfarve2 2 3 4" xfId="30434" xr:uid="{C7A96FDE-E952-4F8E-9E4E-B9CE9DAC9B78}"/>
    <cellStyle name="20 % - Markeringsfarve2 2 3 4 2" xfId="30435" xr:uid="{585F9FDA-E358-4964-AEED-3F20FED70EF0}"/>
    <cellStyle name="20 % - Markeringsfarve2 2 3 4 3" xfId="30436" xr:uid="{7CA1A377-5559-4E33-ABBA-419E167BC29F}"/>
    <cellStyle name="20 % - Markeringsfarve2 2 3 5" xfId="30437" xr:uid="{02514648-0795-4638-927F-566FA0CC9C54}"/>
    <cellStyle name="20 % - Markeringsfarve2 2 3 5 2" xfId="30438" xr:uid="{F8CF6D98-D2ED-4AC3-962D-4FE38F16E12A}"/>
    <cellStyle name="20 % - Markeringsfarve2 2 3 5 3" xfId="30439" xr:uid="{D75C351F-9BED-4591-88C3-1C73804A51A2}"/>
    <cellStyle name="20 % - Markeringsfarve2 2 3 6" xfId="30440" xr:uid="{8C54ECB7-F7AF-4D50-B6F8-989B65293CE2}"/>
    <cellStyle name="20 % - Markeringsfarve2 2 3 6 2" xfId="30441" xr:uid="{D9B6B6AA-4748-4DB4-8E6A-C3762A04C3C8}"/>
    <cellStyle name="20 % - Markeringsfarve2 2 3 6 3" xfId="30442" xr:uid="{EF641003-204B-4956-B86A-1253B233721D}"/>
    <cellStyle name="20 % - Markeringsfarve2 2 3 7" xfId="30443" xr:uid="{3C6A40F1-E797-49CF-9CFE-E983642424B8}"/>
    <cellStyle name="20 % - Markeringsfarve2 2 3 7 2" xfId="30444" xr:uid="{A2775188-D673-4BB1-87E6-E00255B292B0}"/>
    <cellStyle name="20 % - Markeringsfarve2 2 3 8" xfId="30445" xr:uid="{2972AA28-E6F4-45F1-AFC3-89BBBFF1CD25}"/>
    <cellStyle name="20 % - Markeringsfarve2 2 4" xfId="23485" xr:uid="{5C1334A4-1F6F-40C6-BC89-ED88708DE7F3}"/>
    <cellStyle name="20 % - Markeringsfarve2 2 4 2" xfId="30446" xr:uid="{96C265BA-EB59-417B-8C85-27416F1FDC0B}"/>
    <cellStyle name="20 % - Markeringsfarve2 2 4 3" xfId="30447" xr:uid="{7F9B47B3-D193-49DD-9556-D52DC4F4D913}"/>
    <cellStyle name="20 % - Markeringsfarve2 2 5" xfId="30448" xr:uid="{FC6210DF-CB69-438E-B15A-F27998699CBD}"/>
    <cellStyle name="20 % - Markeringsfarve2 2 5 2" xfId="30449" xr:uid="{565EA13B-2019-43F2-8F12-965CAE5898BA}"/>
    <cellStyle name="20 % - Markeringsfarve2 2 5 3" xfId="30450" xr:uid="{4D945403-F91C-4C17-BD2E-5562545C800C}"/>
    <cellStyle name="20 % - Markeringsfarve2 2 6" xfId="30451" xr:uid="{215FBB4D-0981-4624-ACBB-9D488B3D1321}"/>
    <cellStyle name="20 % - Markeringsfarve2 2 6 2" xfId="30452" xr:uid="{C34DBC5E-1FD2-48B2-A896-185488E68FF3}"/>
    <cellStyle name="20 % - Markeringsfarve2 2 6 3" xfId="30453" xr:uid="{96A8042F-6AD8-455F-8E6F-65F2ED442072}"/>
    <cellStyle name="20 % - Markeringsfarve2 2 7" xfId="30454" xr:uid="{8CD61F4D-CBDA-436F-9099-4EAA00BF1D13}"/>
    <cellStyle name="20 % - Markeringsfarve2 2 7 2" xfId="30455" xr:uid="{CCB0F5E4-6ABA-46A4-A0FB-BD56E9105F07}"/>
    <cellStyle name="20 % - Markeringsfarve2 2 7 3" xfId="30456" xr:uid="{A473EE24-13C0-4D53-AF85-F9E8AD943F90}"/>
    <cellStyle name="20 % - Markeringsfarve2 2 8" xfId="30457" xr:uid="{78532AEC-D477-4C97-8BB6-712336FB7168}"/>
    <cellStyle name="20 % - Markeringsfarve2 2 8 2" xfId="30458" xr:uid="{A082716D-AA77-4DDC-BCF5-3149B8409619}"/>
    <cellStyle name="20 % - Markeringsfarve2 2 8 3" xfId="30459" xr:uid="{B31C4F1C-4695-4E54-B2B7-7BC5B9C81825}"/>
    <cellStyle name="20 % - Markeringsfarve2 2 9" xfId="30460" xr:uid="{DFA5CCB9-5414-4F77-B6FF-87C86242F29D}"/>
    <cellStyle name="20 % - Markeringsfarve2 2 9 2" xfId="30461" xr:uid="{8776C54A-0E28-4A25-91C2-D584355571FE}"/>
    <cellStyle name="20 % - Markeringsfarve2 3" xfId="2586" xr:uid="{22A9BFCA-D7A2-4454-B925-5331D14C4E61}"/>
    <cellStyle name="20 % - Markeringsfarve2 3 10" xfId="30462" xr:uid="{853A22AC-7F14-49FD-860D-97F0A516242B}"/>
    <cellStyle name="20 % - Markeringsfarve2 3 2" xfId="23486" xr:uid="{BC93B78D-1652-4468-9F7E-C20E83A9B3DC}"/>
    <cellStyle name="20 % - Markeringsfarve2 3 2 2" xfId="30463" xr:uid="{CC0FBB36-5961-4EA9-8476-5A10C9D445D0}"/>
    <cellStyle name="20 % - Markeringsfarve2 3 2 2 2" xfId="30464" xr:uid="{0831AF86-D6A6-4C48-9974-082A73CF99CC}"/>
    <cellStyle name="20 % - Markeringsfarve2 3 2 2 3" xfId="30465" xr:uid="{2B6E089D-1F3A-4BAB-A495-CDAF4BDD3CB4}"/>
    <cellStyle name="20 % - Markeringsfarve2 3 2 3" xfId="30466" xr:uid="{3237FA4F-1A65-49E8-9B89-FD553BED39E1}"/>
    <cellStyle name="20 % - Markeringsfarve2 3 2 3 2" xfId="30467" xr:uid="{93862841-B65D-478D-8B0F-0BE7263C1525}"/>
    <cellStyle name="20 % - Markeringsfarve2 3 2 3 3" xfId="30468" xr:uid="{C9EA417A-71E3-423A-B4AC-88E2F61725EE}"/>
    <cellStyle name="20 % - Markeringsfarve2 3 2 4" xfId="30469" xr:uid="{47882B73-2B15-49CA-845E-B7435574C62E}"/>
    <cellStyle name="20 % - Markeringsfarve2 3 2 4 2" xfId="30470" xr:uid="{563781E4-543A-4190-B8D2-4919F92048FC}"/>
    <cellStyle name="20 % - Markeringsfarve2 3 2 4 3" xfId="30471" xr:uid="{3AD1AC21-2A7F-4B71-9C09-BCFB91400443}"/>
    <cellStyle name="20 % - Markeringsfarve2 3 2 5" xfId="30472" xr:uid="{09F7A5BC-5267-454F-AD8C-C5EA38EDF127}"/>
    <cellStyle name="20 % - Markeringsfarve2 3 2 5 2" xfId="30473" xr:uid="{F3BA9F62-5D3D-469A-BC5C-1B8A371D1973}"/>
    <cellStyle name="20 % - Markeringsfarve2 3 2 5 3" xfId="30474" xr:uid="{C07AC0E1-506D-4D2F-BC48-F922EA59A0BE}"/>
    <cellStyle name="20 % - Markeringsfarve2 3 2 6" xfId="30475" xr:uid="{9189CCFC-4EFD-497C-8120-0E6C9E31EBEC}"/>
    <cellStyle name="20 % - Markeringsfarve2 3 2 6 2" xfId="30476" xr:uid="{92D8B8A3-3EEA-47BC-AB37-F56DF3020FB7}"/>
    <cellStyle name="20 % - Markeringsfarve2 3 2 6 3" xfId="30477" xr:uid="{5A1523E5-5449-426A-B684-D8963B729AE2}"/>
    <cellStyle name="20 % - Markeringsfarve2 3 2 7" xfId="30478" xr:uid="{01A4D0A4-21EB-4E15-8DF8-E38675AF7594}"/>
    <cellStyle name="20 % - Markeringsfarve2 3 2 7 2" xfId="30479" xr:uid="{66B2D591-23FB-4334-9667-935BFCFA2C29}"/>
    <cellStyle name="20 % - Markeringsfarve2 3 2 8" xfId="30480" xr:uid="{43667715-3C2D-467F-A902-76ED1B60CE5D}"/>
    <cellStyle name="20 % - Markeringsfarve2 3 3" xfId="30481" xr:uid="{9CF83D00-6FE9-49F9-B51F-3AB285E3EFF3}"/>
    <cellStyle name="20 % - Markeringsfarve2 3 3 2" xfId="30482" xr:uid="{B57A8555-C4BD-4DDA-B3C4-6CD115D0EEED}"/>
    <cellStyle name="20 % - Markeringsfarve2 3 3 2 2" xfId="30483" xr:uid="{956BFC47-E492-42CD-BF4C-6F1EA00BA23E}"/>
    <cellStyle name="20 % - Markeringsfarve2 3 3 2 3" xfId="30484" xr:uid="{AF8CEBAD-A937-4FFA-8509-3AE3FFC1FA11}"/>
    <cellStyle name="20 % - Markeringsfarve2 3 3 3" xfId="30485" xr:uid="{D85D482E-6881-460E-B9A4-4FA09E8E9303}"/>
    <cellStyle name="20 % - Markeringsfarve2 3 3 3 2" xfId="30486" xr:uid="{43ABD234-DBE7-425B-BF7E-72F50541A30A}"/>
    <cellStyle name="20 % - Markeringsfarve2 3 3 3 3" xfId="30487" xr:uid="{2BEB1D3C-C0F3-4166-8686-BE77D979BF9D}"/>
    <cellStyle name="20 % - Markeringsfarve2 3 3 4" xfId="30488" xr:uid="{DFE84A85-8B49-4575-8769-02C72193F750}"/>
    <cellStyle name="20 % - Markeringsfarve2 3 3 4 2" xfId="30489" xr:uid="{DDBAB80A-E8CB-411E-A7AF-F6D2B705253B}"/>
    <cellStyle name="20 % - Markeringsfarve2 3 3 4 3" xfId="30490" xr:uid="{E38ACD31-0BA8-4302-9513-E19B21202CBF}"/>
    <cellStyle name="20 % - Markeringsfarve2 3 3 5" xfId="30491" xr:uid="{B69F41D3-6668-42AF-8CF3-9DE4609A92A9}"/>
    <cellStyle name="20 % - Markeringsfarve2 3 3 5 2" xfId="30492" xr:uid="{2912F58D-3C3E-425E-A6FF-F471A0C5B90F}"/>
    <cellStyle name="20 % - Markeringsfarve2 3 3 5 3" xfId="30493" xr:uid="{B1BBE3B1-7D06-4BEB-B645-5784FBE0280B}"/>
    <cellStyle name="20 % - Markeringsfarve2 3 3 6" xfId="30494" xr:uid="{CE9A7737-B371-4D47-A1B5-B46F8A4299A2}"/>
    <cellStyle name="20 % - Markeringsfarve2 3 3 6 2" xfId="30495" xr:uid="{78F26028-5AD7-4679-9E7D-AF6E11F643F0}"/>
    <cellStyle name="20 % - Markeringsfarve2 3 3 6 3" xfId="30496" xr:uid="{5F56C6DF-5F0C-44A6-A8C0-1421C68F74C8}"/>
    <cellStyle name="20 % - Markeringsfarve2 3 3 7" xfId="30497" xr:uid="{E84C6B06-3941-44CD-9460-20E7795BC910}"/>
    <cellStyle name="20 % - Markeringsfarve2 3 3 7 2" xfId="30498" xr:uid="{EC94142E-50E8-47CE-8EB9-616E66D3CF73}"/>
    <cellStyle name="20 % - Markeringsfarve2 3 3 8" xfId="30499" xr:uid="{E1CA7A79-4CAB-44DC-A236-285383D1CB20}"/>
    <cellStyle name="20 % - Markeringsfarve2 3 4" xfId="30500" xr:uid="{29CAC85D-72A4-48AD-A526-C96C6286374B}"/>
    <cellStyle name="20 % - Markeringsfarve2 3 4 2" xfId="30501" xr:uid="{AFCA1C56-6409-4FD4-818C-FACA7CA21789}"/>
    <cellStyle name="20 % - Markeringsfarve2 3 4 3" xfId="30502" xr:uid="{E2DD20BE-0A2A-4135-9412-9A46C59A4E39}"/>
    <cellStyle name="20 % - Markeringsfarve2 3 5" xfId="30503" xr:uid="{DA9629BD-FCA1-4CAD-B7C1-A0532233249F}"/>
    <cellStyle name="20 % - Markeringsfarve2 3 5 2" xfId="30504" xr:uid="{FE7FFC4B-7F6D-4A93-99D8-21A9FC1B9C41}"/>
    <cellStyle name="20 % - Markeringsfarve2 3 5 3" xfId="30505" xr:uid="{B8309F84-B270-4D54-A635-75B46EF88339}"/>
    <cellStyle name="20 % - Markeringsfarve2 3 6" xfId="30506" xr:uid="{FDA84867-9728-4778-81E6-81778C7234E3}"/>
    <cellStyle name="20 % - Markeringsfarve2 3 6 2" xfId="30507" xr:uid="{0B4A40D1-B717-4D04-8DF4-0CA72E1C6081}"/>
    <cellStyle name="20 % - Markeringsfarve2 3 6 3" xfId="30508" xr:uid="{79EA2421-EF41-414B-82BE-E9D47631115B}"/>
    <cellStyle name="20 % - Markeringsfarve2 3 7" xfId="30509" xr:uid="{BDF144BA-FC42-4F1D-97BD-127DA7BB1B3C}"/>
    <cellStyle name="20 % - Markeringsfarve2 3 7 2" xfId="30510" xr:uid="{2FB1E709-0D10-4557-99F8-7725650583C4}"/>
    <cellStyle name="20 % - Markeringsfarve2 3 7 3" xfId="30511" xr:uid="{FC4454EC-E37B-4838-9A4D-95BBCCDCF731}"/>
    <cellStyle name="20 % - Markeringsfarve2 3 8" xfId="30512" xr:uid="{3A934D22-EB85-4A5B-81FF-0A426F6BD308}"/>
    <cellStyle name="20 % - Markeringsfarve2 3 8 2" xfId="30513" xr:uid="{7E568AF9-0E8F-4CC9-B650-62B8549DD816}"/>
    <cellStyle name="20 % - Markeringsfarve2 3 8 3" xfId="30514" xr:uid="{2D6F2A85-96F9-4B96-8597-6D72DC436A07}"/>
    <cellStyle name="20 % - Markeringsfarve2 3 9" xfId="30515" xr:uid="{5C436FD0-4CE8-46A9-9743-FBCA791E7993}"/>
    <cellStyle name="20 % - Markeringsfarve2 3 9 2" xfId="30516" xr:uid="{5C1AF9EB-9DB9-4DBB-9DFD-053B4E580B99}"/>
    <cellStyle name="20 % - Markeringsfarve2 4" xfId="23487" xr:uid="{CC4EB750-CB11-4B7A-BCC3-A2D1F1FDACD6}"/>
    <cellStyle name="20 % - Markeringsfarve2 4 2" xfId="23488" xr:uid="{50D1B507-0361-4D03-9C78-B20F4CB4DAED}"/>
    <cellStyle name="20 % - Markeringsfarve2 4 2 2" xfId="30517" xr:uid="{BC54C7A1-2701-430E-B8FF-DF0CAA877A0F}"/>
    <cellStyle name="20 % - Markeringsfarve2 4 2 3" xfId="30518" xr:uid="{CF1D22F0-1AE7-4A34-B325-6D354BE96525}"/>
    <cellStyle name="20 % - Markeringsfarve2 4 3" xfId="30519" xr:uid="{E6FB7AEA-6651-4F4A-A35D-9B693AEB8C07}"/>
    <cellStyle name="20 % - Markeringsfarve2 4 3 2" xfId="30520" xr:uid="{DD8094CC-EA9A-4447-994F-40C8C547E973}"/>
    <cellStyle name="20 % - Markeringsfarve2 4 3 3" xfId="30521" xr:uid="{B7FBC3C1-53F8-4B6D-B34B-BC3754D3D8B0}"/>
    <cellStyle name="20 % - Markeringsfarve2 4 4" xfId="30522" xr:uid="{B2BB3F40-3400-4BAE-BF20-93C94EC32491}"/>
    <cellStyle name="20 % - Markeringsfarve2 4 4 2" xfId="30523" xr:uid="{3D89548E-2F64-4FB5-A29A-B8283C4773E7}"/>
    <cellStyle name="20 % - Markeringsfarve2 4 4 3" xfId="30524" xr:uid="{ECCC0E8D-803D-44E0-B11F-37E06655EE55}"/>
    <cellStyle name="20 % - Markeringsfarve2 4 5" xfId="30525" xr:uid="{72C2904C-4276-48A8-83BE-8F1955DE2FFE}"/>
    <cellStyle name="20 % - Markeringsfarve2 4 5 2" xfId="30526" xr:uid="{0A81BCC9-C5AE-49D1-BE68-76DF9211D507}"/>
    <cellStyle name="20 % - Markeringsfarve2 4 5 3" xfId="30527" xr:uid="{382D5903-FA2A-4248-80FD-A1D082F80149}"/>
    <cellStyle name="20 % - Markeringsfarve2 4 6" xfId="30528" xr:uid="{23AD13B5-187C-452E-9E64-4630435F1E01}"/>
    <cellStyle name="20 % - Markeringsfarve2 4 6 2" xfId="30529" xr:uid="{960E3135-99F0-474D-9AAE-735DC4EEBD0D}"/>
    <cellStyle name="20 % - Markeringsfarve2 4 6 3" xfId="30530" xr:uid="{B0028005-F7D0-4D43-9629-7312E559FF0B}"/>
    <cellStyle name="20 % - Markeringsfarve2 4 7" xfId="30531" xr:uid="{CEE10B8B-BDE6-4BBE-ACEC-7F3F6C60A3AB}"/>
    <cellStyle name="20 % - Markeringsfarve2 4 7 2" xfId="30532" xr:uid="{2098212A-FEC6-48DE-8480-498401B5D8C1}"/>
    <cellStyle name="20 % - Markeringsfarve2 4 8" xfId="30533" xr:uid="{6AF1A9F4-E461-40CC-9CC5-09A5732514A2}"/>
    <cellStyle name="20 % - Markeringsfarve2 5" xfId="23489" xr:uid="{972CF4D2-E85E-40EE-AC18-E441ECC97AE8}"/>
    <cellStyle name="20 % - Markeringsfarve2 5 2" xfId="23490" xr:uid="{52FC7F30-BE45-42A6-ABB3-4F4412B5E279}"/>
    <cellStyle name="20 % - Markeringsfarve2 5 2 2" xfId="30534" xr:uid="{F65B758D-C28B-4DF5-B67B-67FB5BC39C38}"/>
    <cellStyle name="20 % - Markeringsfarve2 5 2 3" xfId="30535" xr:uid="{0B07B882-FA74-4D7C-A341-711518E46170}"/>
    <cellStyle name="20 % - Markeringsfarve2 5 3" xfId="30536" xr:uid="{C5B184B4-AFF1-4DF1-AFAF-70F29D16BC58}"/>
    <cellStyle name="20 % - Markeringsfarve2 5 3 2" xfId="30537" xr:uid="{29B0C3D1-4912-419B-8F2A-651895E11A22}"/>
    <cellStyle name="20 % - Markeringsfarve2 5 3 3" xfId="30538" xr:uid="{E5EAA523-BD7E-4385-AB6A-2B49056AD53F}"/>
    <cellStyle name="20 % - Markeringsfarve2 5 4" xfId="30539" xr:uid="{F9FA0080-1B65-452A-9B26-E03C5DE0B201}"/>
    <cellStyle name="20 % - Markeringsfarve2 5 4 2" xfId="30540" xr:uid="{9357777D-9438-4842-8310-614BC5EBDD2D}"/>
    <cellStyle name="20 % - Markeringsfarve2 5 4 3" xfId="30541" xr:uid="{DEF99A39-B519-4750-BF3A-F00F814D2038}"/>
    <cellStyle name="20 % - Markeringsfarve2 5 5" xfId="30542" xr:uid="{1C4A4524-4B83-4EE8-A6FA-FF3ED3739E4D}"/>
    <cellStyle name="20 % - Markeringsfarve2 5 5 2" xfId="30543" xr:uid="{69278BCB-AAB9-43C4-BB00-3E896A2170BF}"/>
    <cellStyle name="20 % - Markeringsfarve2 5 5 3" xfId="30544" xr:uid="{782984DF-9D8B-47DE-A74D-2EA54913D762}"/>
    <cellStyle name="20 % - Markeringsfarve2 5 6" xfId="30545" xr:uid="{DF3A8A8D-1656-4B1C-B689-7522A4AB0A97}"/>
    <cellStyle name="20 % - Markeringsfarve2 5 6 2" xfId="30546" xr:uid="{1126A474-19B7-4296-9462-100BE616F41B}"/>
    <cellStyle name="20 % - Markeringsfarve2 5 6 3" xfId="30547" xr:uid="{C2F54AA5-383F-4515-8795-7F38072312AA}"/>
    <cellStyle name="20 % - Markeringsfarve2 5 7" xfId="30548" xr:uid="{3BD3ED53-E2BB-45D3-A50E-FCA87DAA8376}"/>
    <cellStyle name="20 % - Markeringsfarve2 5 7 2" xfId="30549" xr:uid="{D175EBD9-7C61-4FF3-A3A4-87B694FE00B6}"/>
    <cellStyle name="20 % - Markeringsfarve2 5 8" xfId="30550" xr:uid="{25FF214F-52AC-4431-8ADE-A297A68D5C93}"/>
    <cellStyle name="20 % - Markeringsfarve2 6" xfId="23491" xr:uid="{3385A10D-2516-4DE5-B4BD-E3DF7817AFD2}"/>
    <cellStyle name="20 % - Markeringsfarve2 6 2" xfId="23492" xr:uid="{6C590BE0-D1B3-418D-8371-B838467FC616}"/>
    <cellStyle name="20 % - Markeringsfarve2 6 2 2" xfId="30551" xr:uid="{DF154F75-BC12-43CA-8438-6105BB764F5D}"/>
    <cellStyle name="20 % - Markeringsfarve2 6 2 3" xfId="30552" xr:uid="{2D629FFC-3EE4-49F8-92D1-FDA5F02426C0}"/>
    <cellStyle name="20 % - Markeringsfarve2 6 3" xfId="30553" xr:uid="{3C3D4971-80B2-4226-BDD6-979AE39C1343}"/>
    <cellStyle name="20 % - Markeringsfarve2 6 4" xfId="30554" xr:uid="{85A3B220-2950-4DA7-8B20-D78C22CF9015}"/>
    <cellStyle name="20 % - Markeringsfarve2 7" xfId="23493" xr:uid="{77957283-14B6-4ED8-B839-AAEB0C980AA9}"/>
    <cellStyle name="20 % - Markeringsfarve2 7 2" xfId="30555" xr:uid="{00CC7D74-D044-4B62-B300-4CE1870D0F52}"/>
    <cellStyle name="20 % - Markeringsfarve2 7 3" xfId="30556" xr:uid="{E432E0A1-AF52-4B10-9E2F-980BDAA96243}"/>
    <cellStyle name="20 % - Markeringsfarve2 8" xfId="30557" xr:uid="{A6F0896E-F7C9-461B-A211-C6C038667CCD}"/>
    <cellStyle name="20 % - Markeringsfarve2 8 2" xfId="30558" xr:uid="{D8558587-7A0B-4C5C-8572-50CC2D054D70}"/>
    <cellStyle name="20 % - Markeringsfarve2 8 3" xfId="30559" xr:uid="{326EBEF2-1F67-4747-9366-4F8E9FD2623B}"/>
    <cellStyle name="20 % - Markeringsfarve2 9" xfId="30560" xr:uid="{C1307B08-EE51-4F31-B1E2-615BF9408888}"/>
    <cellStyle name="20 % - Markeringsfarve2 9 2" xfId="30561" xr:uid="{348BD3E0-2E4B-45D1-B508-1A5C73B3E485}"/>
    <cellStyle name="20 % - Markeringsfarve2 9 3" xfId="30562" xr:uid="{4B64CE94-BC35-4E0E-9D28-357ECB030A4F}"/>
    <cellStyle name="20 % - Markeringsfarve3" xfId="1263" xr:uid="{00000000-0005-0000-0000-000004000000}"/>
    <cellStyle name="20 % - Markeringsfarve3 10" xfId="30563" xr:uid="{5A8090B8-8CEE-473A-B553-6243665AA7E1}"/>
    <cellStyle name="20 % - Markeringsfarve3 10 2" xfId="30564" xr:uid="{82C81F3A-377C-43E8-9625-BF390839D856}"/>
    <cellStyle name="20 % - Markeringsfarve3 11" xfId="30565" xr:uid="{97D8BE5B-C8C2-4E63-8F96-9130D1E0D207}"/>
    <cellStyle name="20 % - Markeringsfarve3 12" xfId="17721" xr:uid="{9FE9A627-719A-4700-8D38-844B21FF6A87}"/>
    <cellStyle name="20 % - Markeringsfarve3 2" xfId="1264" xr:uid="{00000000-0005-0000-0000-000005000000}"/>
    <cellStyle name="20 % - Markeringsfarve3 2 10" xfId="30566" xr:uid="{DBC16257-B48B-46BF-9EFC-D068D078CC99}"/>
    <cellStyle name="20 % - Markeringsfarve3 2 11" xfId="17722" xr:uid="{8EACFD2E-B424-477A-945A-F729C16042C9}"/>
    <cellStyle name="20 % - Markeringsfarve3 2 2" xfId="23494" xr:uid="{2C008516-64BC-4735-930B-6921721354D5}"/>
    <cellStyle name="20 % - Markeringsfarve3 2 2 2" xfId="23495" xr:uid="{3E6386D8-65D2-4F0D-8BFE-6441984C1FFA}"/>
    <cellStyle name="20 % - Markeringsfarve3 2 2 2 2" xfId="30567" xr:uid="{D748036A-0F25-4B7E-B632-61ED85693689}"/>
    <cellStyle name="20 % - Markeringsfarve3 2 2 2 3" xfId="30568" xr:uid="{3D102298-B00D-4C2F-AE00-C58A121602A3}"/>
    <cellStyle name="20 % - Markeringsfarve3 2 2 3" xfId="30569" xr:uid="{E2952DBD-4C59-475E-A72F-489951E379EF}"/>
    <cellStyle name="20 % - Markeringsfarve3 2 2 3 2" xfId="30570" xr:uid="{83FDFC82-583A-4679-8A74-187284D049BC}"/>
    <cellStyle name="20 % - Markeringsfarve3 2 2 3 3" xfId="30571" xr:uid="{5C8D9B35-3760-4063-8570-8F03C8E3146E}"/>
    <cellStyle name="20 % - Markeringsfarve3 2 2 4" xfId="30572" xr:uid="{B899A67B-322A-46A1-B030-1D67F3B27452}"/>
    <cellStyle name="20 % - Markeringsfarve3 2 2 4 2" xfId="30573" xr:uid="{3207CE07-F821-4BBD-924F-AE94547D1D58}"/>
    <cellStyle name="20 % - Markeringsfarve3 2 2 4 3" xfId="30574" xr:uid="{DEFC84FD-9511-47D2-97B7-E7544EC2F4AD}"/>
    <cellStyle name="20 % - Markeringsfarve3 2 2 5" xfId="30575" xr:uid="{CAA20930-E574-4430-B0D1-3709D9E86485}"/>
    <cellStyle name="20 % - Markeringsfarve3 2 2 5 2" xfId="30576" xr:uid="{47A84042-A143-4F75-9F70-6AC2B755BC2C}"/>
    <cellStyle name="20 % - Markeringsfarve3 2 2 5 3" xfId="30577" xr:uid="{906C2527-113E-48B1-8B26-4CDA8E76257D}"/>
    <cellStyle name="20 % - Markeringsfarve3 2 2 6" xfId="30578" xr:uid="{53D9C553-C621-40C0-8E9D-20B42BE63404}"/>
    <cellStyle name="20 % - Markeringsfarve3 2 2 6 2" xfId="30579" xr:uid="{11271948-4A91-4396-9557-82AE7C81DA36}"/>
    <cellStyle name="20 % - Markeringsfarve3 2 2 6 3" xfId="30580" xr:uid="{8DCA5871-F54E-43A7-8C39-116B590CBEDF}"/>
    <cellStyle name="20 % - Markeringsfarve3 2 2 7" xfId="30581" xr:uid="{CDA2B927-669B-4FEC-AB11-30C1C3D91D6B}"/>
    <cellStyle name="20 % - Markeringsfarve3 2 2 7 2" xfId="30582" xr:uid="{1A2388D1-7230-436B-B39D-270236340188}"/>
    <cellStyle name="20 % - Markeringsfarve3 2 2 8" xfId="30583" xr:uid="{40EA5854-DC45-4E7C-8F2A-732EA96CA08D}"/>
    <cellStyle name="20 % - Markeringsfarve3 2 3" xfId="23496" xr:uid="{9DD3D151-35C0-40BA-940F-684D8D72AF7C}"/>
    <cellStyle name="20 % - Markeringsfarve3 2 3 2" xfId="23497" xr:uid="{9289A3CD-6200-4CF3-B9D7-0F35AC1A0BE4}"/>
    <cellStyle name="20 % - Markeringsfarve3 2 3 2 2" xfId="30584" xr:uid="{0976A378-F61D-4FF0-9BC2-4DF4ECBDED7C}"/>
    <cellStyle name="20 % - Markeringsfarve3 2 3 2 3" xfId="30585" xr:uid="{4A710459-C3A8-4AB0-883B-5EFD81411BE4}"/>
    <cellStyle name="20 % - Markeringsfarve3 2 3 3" xfId="30586" xr:uid="{53F2CFEC-F069-4190-A51E-8C20708DF88F}"/>
    <cellStyle name="20 % - Markeringsfarve3 2 3 3 2" xfId="30587" xr:uid="{DE41B7C1-B777-452E-A2A3-B452986FDE2A}"/>
    <cellStyle name="20 % - Markeringsfarve3 2 3 3 3" xfId="30588" xr:uid="{A1176FA3-74AA-4D01-A8D2-2F3CA3293E1C}"/>
    <cellStyle name="20 % - Markeringsfarve3 2 3 4" xfId="30589" xr:uid="{EAD2439E-3274-4DF0-982D-55F0E64A9D1F}"/>
    <cellStyle name="20 % - Markeringsfarve3 2 3 4 2" xfId="30590" xr:uid="{20687603-EAB5-475F-8FC4-52A94CB53CF1}"/>
    <cellStyle name="20 % - Markeringsfarve3 2 3 4 3" xfId="30591" xr:uid="{F3BAFAFA-75F1-49D7-8039-3C161394DA68}"/>
    <cellStyle name="20 % - Markeringsfarve3 2 3 5" xfId="30592" xr:uid="{D250D7B1-FD65-4C1E-AE23-E504A3195F80}"/>
    <cellStyle name="20 % - Markeringsfarve3 2 3 5 2" xfId="30593" xr:uid="{446D0AD2-15AB-4730-A055-FC9724BECC79}"/>
    <cellStyle name="20 % - Markeringsfarve3 2 3 5 3" xfId="30594" xr:uid="{DE46DEE3-541B-4F41-A4B0-CBE7393BA28A}"/>
    <cellStyle name="20 % - Markeringsfarve3 2 3 6" xfId="30595" xr:uid="{D46A75C6-82A7-46ED-86A2-2F9AF7CAAF0D}"/>
    <cellStyle name="20 % - Markeringsfarve3 2 3 6 2" xfId="30596" xr:uid="{64459389-2959-45AE-80F9-C80F00C00EFF}"/>
    <cellStyle name="20 % - Markeringsfarve3 2 3 6 3" xfId="30597" xr:uid="{4BC7CCB4-4997-447D-9EE3-B14E93E84238}"/>
    <cellStyle name="20 % - Markeringsfarve3 2 3 7" xfId="30598" xr:uid="{C6EE48D7-7C23-4FD2-902D-E7B363FB575F}"/>
    <cellStyle name="20 % - Markeringsfarve3 2 3 7 2" xfId="30599" xr:uid="{69049EA3-5C60-4971-99B6-1802F0D3BE86}"/>
    <cellStyle name="20 % - Markeringsfarve3 2 3 8" xfId="30600" xr:uid="{B7F715FC-D658-4CBD-87C9-E84E90A13557}"/>
    <cellStyle name="20 % - Markeringsfarve3 2 4" xfId="23498" xr:uid="{B66DCF4A-632E-4E75-86EC-0AADAFAFE28B}"/>
    <cellStyle name="20 % - Markeringsfarve3 2 4 2" xfId="23499" xr:uid="{CBC18479-C2ED-4ED7-907B-C7AE8EC4E5A7}"/>
    <cellStyle name="20 % - Markeringsfarve3 2 4 3" xfId="30601" xr:uid="{5C130B9C-82BF-4B37-8164-78D64FA65530}"/>
    <cellStyle name="20 % - Markeringsfarve3 2 5" xfId="23500" xr:uid="{38BC05F7-C995-4C60-B7FB-F4C382DAEDD2}"/>
    <cellStyle name="20 % - Markeringsfarve3 2 5 2" xfId="30602" xr:uid="{D6C837B9-F1B1-447B-B4C0-B83D82C4A471}"/>
    <cellStyle name="20 % - Markeringsfarve3 2 5 3" xfId="30603" xr:uid="{1C52AA9F-763E-473F-AF7D-34924631CD00}"/>
    <cellStyle name="20 % - Markeringsfarve3 2 6" xfId="30604" xr:uid="{AE8DFC05-1E82-46EF-9579-3F8E38ED9E4E}"/>
    <cellStyle name="20 % - Markeringsfarve3 2 6 2" xfId="30605" xr:uid="{832485B7-1958-4FA7-BEF7-18CCB7B8610C}"/>
    <cellStyle name="20 % - Markeringsfarve3 2 6 3" xfId="30606" xr:uid="{7116580C-2E45-499C-AD32-F790FB3C4B60}"/>
    <cellStyle name="20 % - Markeringsfarve3 2 7" xfId="30607" xr:uid="{C0076BFC-7B9D-47AC-BA09-86C9B0260AE7}"/>
    <cellStyle name="20 % - Markeringsfarve3 2 7 2" xfId="30608" xr:uid="{9B624048-7C71-4132-B1AD-100575807715}"/>
    <cellStyle name="20 % - Markeringsfarve3 2 7 3" xfId="30609" xr:uid="{02B86205-5813-4AC7-BE30-C6B9E16EA2AD}"/>
    <cellStyle name="20 % - Markeringsfarve3 2 8" xfId="30610" xr:uid="{97FD404C-1572-4348-A3C4-F44C4DCE7F7F}"/>
    <cellStyle name="20 % - Markeringsfarve3 2 8 2" xfId="30611" xr:uid="{9B36835B-E77F-4DB5-B269-50E18D4C8AAA}"/>
    <cellStyle name="20 % - Markeringsfarve3 2 8 3" xfId="30612" xr:uid="{EB5A203F-8D43-4E91-8F38-1A8D227C1775}"/>
    <cellStyle name="20 % - Markeringsfarve3 2 9" xfId="30613" xr:uid="{A1256460-416A-46F6-8A33-F608F94E76CD}"/>
    <cellStyle name="20 % - Markeringsfarve3 2 9 2" xfId="30614" xr:uid="{5EA57434-FF51-4F50-BB24-A85839B2B118}"/>
    <cellStyle name="20 % - Markeringsfarve3 3" xfId="2587" xr:uid="{CFC757D9-9939-472D-BD3A-638858576F1A}"/>
    <cellStyle name="20 % - Markeringsfarve3 3 10" xfId="30615" xr:uid="{B7826102-FA8A-4771-85A2-299AB3206EB2}"/>
    <cellStyle name="20 % - Markeringsfarve3 3 2" xfId="23501" xr:uid="{492C61F7-E8F3-43F5-9326-D8E5CCF7BD69}"/>
    <cellStyle name="20 % - Markeringsfarve3 3 2 2" xfId="30616" xr:uid="{6F8C0766-0590-49A3-AC28-DCFC38C26677}"/>
    <cellStyle name="20 % - Markeringsfarve3 3 2 2 2" xfId="30617" xr:uid="{FC6FC0B7-127F-43FF-AF96-C1EDC77CA07A}"/>
    <cellStyle name="20 % - Markeringsfarve3 3 2 2 3" xfId="30618" xr:uid="{2CBF8B4F-080C-48C0-856B-19AEAE89837E}"/>
    <cellStyle name="20 % - Markeringsfarve3 3 2 3" xfId="30619" xr:uid="{427D7FB8-A2B5-4752-9ED3-6A798B2204F8}"/>
    <cellStyle name="20 % - Markeringsfarve3 3 2 3 2" xfId="30620" xr:uid="{357E2E2D-E0A2-45BD-843C-C21532A7E23E}"/>
    <cellStyle name="20 % - Markeringsfarve3 3 2 3 3" xfId="30621" xr:uid="{D0FFE73F-A868-45AE-BB4B-74BDE7583133}"/>
    <cellStyle name="20 % - Markeringsfarve3 3 2 4" xfId="30622" xr:uid="{CED331A3-AFFF-447F-A29D-C6E7AE3A4954}"/>
    <cellStyle name="20 % - Markeringsfarve3 3 2 4 2" xfId="30623" xr:uid="{AB99F14F-8365-410B-8FD9-EC3A3A367E85}"/>
    <cellStyle name="20 % - Markeringsfarve3 3 2 4 3" xfId="30624" xr:uid="{4EA16873-4021-4E63-971B-F05EA5D3A1CB}"/>
    <cellStyle name="20 % - Markeringsfarve3 3 2 5" xfId="30625" xr:uid="{5818D104-8504-4FE7-B255-3068D959BF9B}"/>
    <cellStyle name="20 % - Markeringsfarve3 3 2 5 2" xfId="30626" xr:uid="{64538737-1609-48B1-A646-2A8D5A220E5A}"/>
    <cellStyle name="20 % - Markeringsfarve3 3 2 5 3" xfId="30627" xr:uid="{9A90CD03-2F52-4635-9970-E347ED879B30}"/>
    <cellStyle name="20 % - Markeringsfarve3 3 2 6" xfId="30628" xr:uid="{93CAC5AC-DB38-405B-8FFE-F640558CA7B5}"/>
    <cellStyle name="20 % - Markeringsfarve3 3 2 6 2" xfId="30629" xr:uid="{DBD43D16-5E8B-44AD-AF98-E2709DCBB2B0}"/>
    <cellStyle name="20 % - Markeringsfarve3 3 2 6 3" xfId="30630" xr:uid="{55A7DA6C-EBFB-415D-AF93-531181ED2F0D}"/>
    <cellStyle name="20 % - Markeringsfarve3 3 2 7" xfId="30631" xr:uid="{1F9484B6-F679-4599-998B-21E60DAE7AD4}"/>
    <cellStyle name="20 % - Markeringsfarve3 3 2 7 2" xfId="30632" xr:uid="{35E824D8-E0C5-4140-BEAA-22242E9B3F9C}"/>
    <cellStyle name="20 % - Markeringsfarve3 3 2 8" xfId="30633" xr:uid="{AD6DB336-DBBB-40BA-8A94-04E3C372EF49}"/>
    <cellStyle name="20 % - Markeringsfarve3 3 3" xfId="30634" xr:uid="{4CFDD4A8-34FB-419B-A5E0-03A451FC1D97}"/>
    <cellStyle name="20 % - Markeringsfarve3 3 3 2" xfId="30635" xr:uid="{21CE5DF7-0A48-46ED-9BC7-9241EECFF412}"/>
    <cellStyle name="20 % - Markeringsfarve3 3 3 2 2" xfId="30636" xr:uid="{354644E8-B738-440E-BF05-CF843080162B}"/>
    <cellStyle name="20 % - Markeringsfarve3 3 3 2 3" xfId="30637" xr:uid="{E1A80A65-D8A9-40E3-A1D1-DD9CA23296BA}"/>
    <cellStyle name="20 % - Markeringsfarve3 3 3 3" xfId="30638" xr:uid="{4B767552-B69F-47DA-A345-055BA133883A}"/>
    <cellStyle name="20 % - Markeringsfarve3 3 3 3 2" xfId="30639" xr:uid="{D09535B1-36BB-4DCF-8942-08E5375741BD}"/>
    <cellStyle name="20 % - Markeringsfarve3 3 3 3 3" xfId="30640" xr:uid="{E14BA535-C532-4B82-B43C-A1386C9CB345}"/>
    <cellStyle name="20 % - Markeringsfarve3 3 3 4" xfId="30641" xr:uid="{E0C37B8B-51CC-44F7-87A8-312723821017}"/>
    <cellStyle name="20 % - Markeringsfarve3 3 3 4 2" xfId="30642" xr:uid="{DFDE1129-E6EF-4028-BDE3-2CD609EFA19E}"/>
    <cellStyle name="20 % - Markeringsfarve3 3 3 4 3" xfId="30643" xr:uid="{329703A8-7599-4751-9032-06F02A665879}"/>
    <cellStyle name="20 % - Markeringsfarve3 3 3 5" xfId="30644" xr:uid="{17501D6D-D5AE-4FAC-92F9-A792B2F96372}"/>
    <cellStyle name="20 % - Markeringsfarve3 3 3 5 2" xfId="30645" xr:uid="{A2084617-8A48-4275-958E-331AD5368D79}"/>
    <cellStyle name="20 % - Markeringsfarve3 3 3 5 3" xfId="30646" xr:uid="{FE4C074D-75C8-4578-B7E1-BBEC2A1E8AFF}"/>
    <cellStyle name="20 % - Markeringsfarve3 3 3 6" xfId="30647" xr:uid="{9F06E7BE-3E07-432F-A75E-DDEA4C888787}"/>
    <cellStyle name="20 % - Markeringsfarve3 3 3 6 2" xfId="30648" xr:uid="{E8ED444C-F91D-4612-A13C-C108B506E661}"/>
    <cellStyle name="20 % - Markeringsfarve3 3 3 6 3" xfId="30649" xr:uid="{B31B0D14-1761-4C5C-861E-E01A8BD5D316}"/>
    <cellStyle name="20 % - Markeringsfarve3 3 3 7" xfId="30650" xr:uid="{E36D1BE3-8400-4E40-BC8C-CD1D7E93B319}"/>
    <cellStyle name="20 % - Markeringsfarve3 3 3 7 2" xfId="30651" xr:uid="{B73CF6FE-B72A-4335-9A7B-6F759ABF9215}"/>
    <cellStyle name="20 % - Markeringsfarve3 3 3 8" xfId="30652" xr:uid="{D06349E0-E18D-4443-8B93-F5095E374FED}"/>
    <cellStyle name="20 % - Markeringsfarve3 3 4" xfId="30653" xr:uid="{A229F7FB-81BC-448A-960F-32DC51F48773}"/>
    <cellStyle name="20 % - Markeringsfarve3 3 4 2" xfId="30654" xr:uid="{8598FD50-9FD7-470A-98AB-6C7F4C9E7B2D}"/>
    <cellStyle name="20 % - Markeringsfarve3 3 4 3" xfId="30655" xr:uid="{491D13B1-BEDA-434B-ADAA-5F9F43501453}"/>
    <cellStyle name="20 % - Markeringsfarve3 3 5" xfId="30656" xr:uid="{451524F5-6299-45E4-AF26-DC1D2FF6388D}"/>
    <cellStyle name="20 % - Markeringsfarve3 3 5 2" xfId="30657" xr:uid="{A810A07C-A288-46DA-82C1-F679373EA715}"/>
    <cellStyle name="20 % - Markeringsfarve3 3 5 3" xfId="30658" xr:uid="{D5CE933F-5466-434E-B2EC-B7297C238C7C}"/>
    <cellStyle name="20 % - Markeringsfarve3 3 6" xfId="30659" xr:uid="{FB3859E9-2512-4223-973F-AE5F95B0765B}"/>
    <cellStyle name="20 % - Markeringsfarve3 3 6 2" xfId="30660" xr:uid="{F9CADC96-8FD2-4BA5-8A45-74B6FC52ED1C}"/>
    <cellStyle name="20 % - Markeringsfarve3 3 6 3" xfId="30661" xr:uid="{85B604F7-497F-4A74-904D-B01DB4307EF5}"/>
    <cellStyle name="20 % - Markeringsfarve3 3 7" xfId="30662" xr:uid="{1A6032EC-2269-45D5-A445-DEB146073331}"/>
    <cellStyle name="20 % - Markeringsfarve3 3 7 2" xfId="30663" xr:uid="{A0ECD616-5BF7-423C-BE92-F081A15BE54D}"/>
    <cellStyle name="20 % - Markeringsfarve3 3 7 3" xfId="30664" xr:uid="{E2D8A60F-22AB-4F57-A2A3-46B5FAD2172B}"/>
    <cellStyle name="20 % - Markeringsfarve3 3 8" xfId="30665" xr:uid="{4436687E-8AC9-4FA5-B0AE-BFDAFB1DF64A}"/>
    <cellStyle name="20 % - Markeringsfarve3 3 8 2" xfId="30666" xr:uid="{34143D6A-2BFB-497A-A630-548AC953727F}"/>
    <cellStyle name="20 % - Markeringsfarve3 3 8 3" xfId="30667" xr:uid="{5B55BB76-0E9A-4AEA-A7D8-8F03371D8FD9}"/>
    <cellStyle name="20 % - Markeringsfarve3 3 9" xfId="30668" xr:uid="{401D0C7B-5583-4E62-94BC-494898C56654}"/>
    <cellStyle name="20 % - Markeringsfarve3 3 9 2" xfId="30669" xr:uid="{6E962AAF-D66B-43D6-9F8C-02D4F1F8E38A}"/>
    <cellStyle name="20 % - Markeringsfarve3 4" xfId="23502" xr:uid="{9642BFC1-5187-49C7-AF11-1DCF150FD88F}"/>
    <cellStyle name="20 % - Markeringsfarve3 4 2" xfId="23503" xr:uid="{D1E6838E-1B34-4D86-B3FD-A9AB0C73FA6D}"/>
    <cellStyle name="20 % - Markeringsfarve3 4 2 2" xfId="30670" xr:uid="{B8E1FC65-464C-4B0F-8AF2-5828BF8315A1}"/>
    <cellStyle name="20 % - Markeringsfarve3 4 2 3" xfId="30671" xr:uid="{D4DE7362-3DFA-4C91-A0C3-2CD0A524E9B1}"/>
    <cellStyle name="20 % - Markeringsfarve3 4 3" xfId="30672" xr:uid="{F2E0AB79-35F3-4E13-BC2C-060198606AC0}"/>
    <cellStyle name="20 % - Markeringsfarve3 4 3 2" xfId="30673" xr:uid="{9ECF99A2-E49F-4E1A-8179-5E34958290D1}"/>
    <cellStyle name="20 % - Markeringsfarve3 4 3 3" xfId="30674" xr:uid="{2A3ECBCE-6766-487C-9BF1-A77F52CF8927}"/>
    <cellStyle name="20 % - Markeringsfarve3 4 4" xfId="30675" xr:uid="{77A012C7-B342-48A1-8EA8-5FB692C5392F}"/>
    <cellStyle name="20 % - Markeringsfarve3 4 4 2" xfId="30676" xr:uid="{856C9928-7A9E-4C66-991F-2603093C8670}"/>
    <cellStyle name="20 % - Markeringsfarve3 4 4 3" xfId="30677" xr:uid="{9D065062-7AFE-43EB-88A2-6259E36E32BB}"/>
    <cellStyle name="20 % - Markeringsfarve3 4 5" xfId="30678" xr:uid="{27BA8CB9-369B-4E3F-868A-D1D59A2FD4A0}"/>
    <cellStyle name="20 % - Markeringsfarve3 4 5 2" xfId="30679" xr:uid="{BEE0BEF2-1099-43A3-BED9-F01AC7589F3B}"/>
    <cellStyle name="20 % - Markeringsfarve3 4 5 3" xfId="30680" xr:uid="{8B0CEF43-DF42-4D0B-B9DB-33638FBB98ED}"/>
    <cellStyle name="20 % - Markeringsfarve3 4 6" xfId="30681" xr:uid="{8EA0AF9C-68C3-49FF-9ACA-0A78C65BE0BA}"/>
    <cellStyle name="20 % - Markeringsfarve3 4 6 2" xfId="30682" xr:uid="{DF6A8928-43BE-4DDE-95B2-F03CF3A09499}"/>
    <cellStyle name="20 % - Markeringsfarve3 4 6 3" xfId="30683" xr:uid="{0C10779E-8C08-4F12-B4A6-FAAAE06FB957}"/>
    <cellStyle name="20 % - Markeringsfarve3 4 7" xfId="30684" xr:uid="{6734BB8F-4C28-4647-839C-C5A4CD9DD2AE}"/>
    <cellStyle name="20 % - Markeringsfarve3 4 7 2" xfId="30685" xr:uid="{8D8A2126-61D1-442E-9CD8-721F5EAE5AF1}"/>
    <cellStyle name="20 % - Markeringsfarve3 4 8" xfId="30686" xr:uid="{7DA20B39-7877-4847-B28D-6462D5857D72}"/>
    <cellStyle name="20 % - Markeringsfarve3 5" xfId="23504" xr:uid="{D6A327F5-A7BE-42EB-BC9C-FAAB9058A70C}"/>
    <cellStyle name="20 % - Markeringsfarve3 5 2" xfId="23505" xr:uid="{905BE758-49D1-467C-885C-B50EEB63B8C2}"/>
    <cellStyle name="20 % - Markeringsfarve3 5 2 2" xfId="30687" xr:uid="{03772C10-E730-4B10-8BE1-EE40AC387312}"/>
    <cellStyle name="20 % - Markeringsfarve3 5 2 3" xfId="30688" xr:uid="{92630C21-AC5B-41CD-9493-2F7ADB11C88D}"/>
    <cellStyle name="20 % - Markeringsfarve3 5 3" xfId="30689" xr:uid="{6EDE850B-0D39-45B6-B971-370A656FE805}"/>
    <cellStyle name="20 % - Markeringsfarve3 5 3 2" xfId="30690" xr:uid="{8C9BD42B-779F-4A02-8D5D-C267A440E3AB}"/>
    <cellStyle name="20 % - Markeringsfarve3 5 3 3" xfId="30691" xr:uid="{48F5D908-9BA9-4984-BDE4-414D89DF66B3}"/>
    <cellStyle name="20 % - Markeringsfarve3 5 4" xfId="30692" xr:uid="{4999A083-F56B-4BD5-942E-AE2E26068FFF}"/>
    <cellStyle name="20 % - Markeringsfarve3 5 4 2" xfId="30693" xr:uid="{38F61F28-99FF-4099-9E31-C7DF5B0B3F6F}"/>
    <cellStyle name="20 % - Markeringsfarve3 5 4 3" xfId="30694" xr:uid="{7545E1BD-2BB0-49FA-8E40-77AF58620B8A}"/>
    <cellStyle name="20 % - Markeringsfarve3 5 5" xfId="30695" xr:uid="{2A3A4CD4-A1BD-481C-B97E-B5FBCF64B4B2}"/>
    <cellStyle name="20 % - Markeringsfarve3 5 5 2" xfId="30696" xr:uid="{0DB2F0E4-4085-420A-BB52-67E36D9B80E1}"/>
    <cellStyle name="20 % - Markeringsfarve3 5 5 3" xfId="30697" xr:uid="{57E749CA-9ACB-4ABA-B08F-2246E8B03E4E}"/>
    <cellStyle name="20 % - Markeringsfarve3 5 6" xfId="30698" xr:uid="{73C004EC-8949-4259-A3A1-ECF607A6601E}"/>
    <cellStyle name="20 % - Markeringsfarve3 5 6 2" xfId="30699" xr:uid="{E3071F3D-AB89-46BD-9DDC-0275C2C1CD4D}"/>
    <cellStyle name="20 % - Markeringsfarve3 5 6 3" xfId="30700" xr:uid="{FAB479E7-650A-4D2B-B0F0-C18994DE9A70}"/>
    <cellStyle name="20 % - Markeringsfarve3 5 7" xfId="30701" xr:uid="{C7028EBF-7521-4C9E-8774-12DB3235D326}"/>
    <cellStyle name="20 % - Markeringsfarve3 5 7 2" xfId="30702" xr:uid="{9478EAC2-3DDE-416A-B54E-1FAC52E34DA3}"/>
    <cellStyle name="20 % - Markeringsfarve3 5 8" xfId="30703" xr:uid="{53C8ECA8-CD80-4DA3-BEC5-6525A2595097}"/>
    <cellStyle name="20 % - Markeringsfarve3 6" xfId="23506" xr:uid="{7DA92D3F-4370-4797-9241-2E7D45CD6291}"/>
    <cellStyle name="20 % - Markeringsfarve3 6 2" xfId="23507" xr:uid="{617CF3ED-409F-450F-9B40-65B0762B7093}"/>
    <cellStyle name="20 % - Markeringsfarve3 6 2 2" xfId="30704" xr:uid="{BFA0AC2C-F3AC-4265-BF8F-3FA43446F40E}"/>
    <cellStyle name="20 % - Markeringsfarve3 6 2 3" xfId="30705" xr:uid="{DF804A8C-AA37-48FD-A6CC-5FE8B82F2B12}"/>
    <cellStyle name="20 % - Markeringsfarve3 6 3" xfId="30706" xr:uid="{805A9C0D-F011-4E96-B6CE-653958B92055}"/>
    <cellStyle name="20 % - Markeringsfarve3 6 4" xfId="30707" xr:uid="{B565CA76-F7D9-492E-B025-CEF326C54493}"/>
    <cellStyle name="20 % - Markeringsfarve3 7" xfId="23508" xr:uid="{63A02281-0E5E-4ADC-BB41-158CD8EC7359}"/>
    <cellStyle name="20 % - Markeringsfarve3 7 2" xfId="30708" xr:uid="{D018BAE3-678D-4CAB-A92B-EF4472E07326}"/>
    <cellStyle name="20 % - Markeringsfarve3 7 3" xfId="30709" xr:uid="{BE195745-D604-4207-8AA8-301E96B8F1F2}"/>
    <cellStyle name="20 % - Markeringsfarve3 8" xfId="30710" xr:uid="{9DFB114E-02D1-48AE-8A58-E055B75FF52F}"/>
    <cellStyle name="20 % - Markeringsfarve3 8 2" xfId="30711" xr:uid="{005BD7C4-B33D-4B17-A8B3-A1698CAFFBAE}"/>
    <cellStyle name="20 % - Markeringsfarve3 8 3" xfId="30712" xr:uid="{8D7919F7-2B60-491A-B769-9A9B1168371D}"/>
    <cellStyle name="20 % - Markeringsfarve3 9" xfId="30713" xr:uid="{0F7C5AE0-EC83-4E82-8B14-D3C11A4DA922}"/>
    <cellStyle name="20 % - Markeringsfarve3 9 2" xfId="30714" xr:uid="{C4216167-B7C1-4A7E-9C2E-BAE4F9B95DD9}"/>
    <cellStyle name="20 % - Markeringsfarve3 9 3" xfId="30715" xr:uid="{1DD7A714-8D5D-40C0-83C0-52FC7B516EC1}"/>
    <cellStyle name="20 % - Markeringsfarve4" xfId="1265" xr:uid="{00000000-0005-0000-0000-000006000000}"/>
    <cellStyle name="20 % - Markeringsfarve4 10" xfId="30716" xr:uid="{10F45A80-A961-4E4C-80D3-AF70002C861D}"/>
    <cellStyle name="20 % - Markeringsfarve4 10 2" xfId="30717" xr:uid="{C2A03FE7-518D-4FB2-84AA-B3CBAB88E077}"/>
    <cellStyle name="20 % - Markeringsfarve4 11" xfId="30718" xr:uid="{AFDDBBCC-2336-44F3-9552-8D9AC8812615}"/>
    <cellStyle name="20 % - Markeringsfarve4 12" xfId="17723" xr:uid="{AA23FA41-3073-4F01-8023-1EBBB0E57176}"/>
    <cellStyle name="20 % - Markeringsfarve4 2" xfId="1266" xr:uid="{00000000-0005-0000-0000-000007000000}"/>
    <cellStyle name="20 % - Markeringsfarve4 2 10" xfId="30719" xr:uid="{A12F9272-587B-4DBA-A281-C113E880B61F}"/>
    <cellStyle name="20 % - Markeringsfarve4 2 11" xfId="17724" xr:uid="{5F54CEDA-D680-4260-AEFC-D0D4710C2877}"/>
    <cellStyle name="20 % - Markeringsfarve4 2 2" xfId="23509" xr:uid="{B44B7212-9E03-4C64-B560-D5B86494130E}"/>
    <cellStyle name="20 % - Markeringsfarve4 2 2 2" xfId="23510" xr:uid="{B6DEE020-BBFD-4DDA-BCDF-5C29ED33BF29}"/>
    <cellStyle name="20 % - Markeringsfarve4 2 2 2 2" xfId="30720" xr:uid="{944AD7A3-632D-43D8-A88A-A370BBE9FE18}"/>
    <cellStyle name="20 % - Markeringsfarve4 2 2 2 3" xfId="30721" xr:uid="{00417209-9A89-43CE-BAEE-7698A3606EBF}"/>
    <cellStyle name="20 % - Markeringsfarve4 2 2 3" xfId="30722" xr:uid="{1BBB575F-908C-4232-804E-4ACCC1CC4B56}"/>
    <cellStyle name="20 % - Markeringsfarve4 2 2 3 2" xfId="30723" xr:uid="{1BD35A05-0393-4FC8-BFC5-EA49A85D3CBF}"/>
    <cellStyle name="20 % - Markeringsfarve4 2 2 3 3" xfId="30724" xr:uid="{691FE5FE-49FB-40F3-8F0F-9CE0C3A29792}"/>
    <cellStyle name="20 % - Markeringsfarve4 2 2 4" xfId="30725" xr:uid="{7857FFAB-04C5-483E-B8AE-F3A27056E868}"/>
    <cellStyle name="20 % - Markeringsfarve4 2 2 4 2" xfId="30726" xr:uid="{8AB6E39C-9E7E-44E7-B6EA-2A755748A03F}"/>
    <cellStyle name="20 % - Markeringsfarve4 2 2 4 3" xfId="30727" xr:uid="{A0F23273-F2A6-4889-B5A1-7894504898B9}"/>
    <cellStyle name="20 % - Markeringsfarve4 2 2 5" xfId="30728" xr:uid="{3F364F5E-7DAF-43F8-9366-10ECA3AD42BC}"/>
    <cellStyle name="20 % - Markeringsfarve4 2 2 5 2" xfId="30729" xr:uid="{588A74BA-C380-4491-BDB2-F61C66B572F5}"/>
    <cellStyle name="20 % - Markeringsfarve4 2 2 5 3" xfId="30730" xr:uid="{581AFD19-F7F6-4356-BBFE-4B4980C0CB78}"/>
    <cellStyle name="20 % - Markeringsfarve4 2 2 6" xfId="30731" xr:uid="{F2494B07-4A63-486C-9722-995C61167845}"/>
    <cellStyle name="20 % - Markeringsfarve4 2 2 6 2" xfId="30732" xr:uid="{3107B9CC-4159-4247-B535-0CEFE4AECC52}"/>
    <cellStyle name="20 % - Markeringsfarve4 2 2 6 3" xfId="30733" xr:uid="{4CFCBBEA-B889-4D0C-A1C0-08DD24367417}"/>
    <cellStyle name="20 % - Markeringsfarve4 2 2 7" xfId="30734" xr:uid="{E185C125-0C81-43FD-BF9E-579627669C36}"/>
    <cellStyle name="20 % - Markeringsfarve4 2 2 7 2" xfId="30735" xr:uid="{A61750F2-0D66-4033-9195-1BD7FBB40FE8}"/>
    <cellStyle name="20 % - Markeringsfarve4 2 2 8" xfId="30736" xr:uid="{B6C88812-7C9B-4584-B936-FE2D08F4DF63}"/>
    <cellStyle name="20 % - Markeringsfarve4 2 3" xfId="23511" xr:uid="{29C0D80A-6642-4F91-97F0-245891F52D66}"/>
    <cellStyle name="20 % - Markeringsfarve4 2 3 2" xfId="23512" xr:uid="{74516851-5442-44C1-B52F-15CB99E872CE}"/>
    <cellStyle name="20 % - Markeringsfarve4 2 3 2 2" xfId="30737" xr:uid="{9DA744C1-B4CC-4902-A513-EE53AE0BB236}"/>
    <cellStyle name="20 % - Markeringsfarve4 2 3 2 3" xfId="30738" xr:uid="{9836D709-25D5-4811-BAA3-4AFCDD1AFC03}"/>
    <cellStyle name="20 % - Markeringsfarve4 2 3 3" xfId="30739" xr:uid="{E77D2EDC-CA54-4490-BA04-F0EF289DBE0E}"/>
    <cellStyle name="20 % - Markeringsfarve4 2 3 3 2" xfId="30740" xr:uid="{B47C3A8B-1224-45B7-B531-1582CDA27F50}"/>
    <cellStyle name="20 % - Markeringsfarve4 2 3 3 3" xfId="30741" xr:uid="{AE38E7DE-DEDB-4D8B-822A-5D22E31D243C}"/>
    <cellStyle name="20 % - Markeringsfarve4 2 3 4" xfId="30742" xr:uid="{77E87570-8373-4052-9B99-C8947400A245}"/>
    <cellStyle name="20 % - Markeringsfarve4 2 3 4 2" xfId="30743" xr:uid="{C0808E71-31AF-402B-961D-028C3DD4CF9C}"/>
    <cellStyle name="20 % - Markeringsfarve4 2 3 4 3" xfId="30744" xr:uid="{C1817886-BA6F-466E-BDE5-39FBE586F0EF}"/>
    <cellStyle name="20 % - Markeringsfarve4 2 3 5" xfId="30745" xr:uid="{4394856F-97BD-4E11-9A11-D7B925148F7E}"/>
    <cellStyle name="20 % - Markeringsfarve4 2 3 5 2" xfId="30746" xr:uid="{0261B2E9-68ED-45D1-8483-322DEB99F6E0}"/>
    <cellStyle name="20 % - Markeringsfarve4 2 3 5 3" xfId="30747" xr:uid="{AFB4AF16-796B-40A9-98A6-80374393A433}"/>
    <cellStyle name="20 % - Markeringsfarve4 2 3 6" xfId="30748" xr:uid="{B6C6D7A8-5A7A-42EA-BF2C-267B35C9358F}"/>
    <cellStyle name="20 % - Markeringsfarve4 2 3 6 2" xfId="30749" xr:uid="{1C65FCF6-9E3C-4462-8BB2-6529B3759254}"/>
    <cellStyle name="20 % - Markeringsfarve4 2 3 6 3" xfId="30750" xr:uid="{F2BDCFCF-68AC-4E64-91EF-1D22A7964C5C}"/>
    <cellStyle name="20 % - Markeringsfarve4 2 3 7" xfId="30751" xr:uid="{BA4F6D50-72C6-4566-A377-D8DF517EEBEA}"/>
    <cellStyle name="20 % - Markeringsfarve4 2 3 7 2" xfId="30752" xr:uid="{52EDCDF9-ABA4-4C19-9726-D5B724D13E66}"/>
    <cellStyle name="20 % - Markeringsfarve4 2 3 8" xfId="30753" xr:uid="{E53F7F9C-4363-46C8-9586-433AB4430C07}"/>
    <cellStyle name="20 % - Markeringsfarve4 2 4" xfId="23513" xr:uid="{5E71F09B-6F68-435B-B177-2839206F71FE}"/>
    <cellStyle name="20 % - Markeringsfarve4 2 4 2" xfId="30754" xr:uid="{577ABD1B-B8CD-47F0-8941-C317BEEAE4F0}"/>
    <cellStyle name="20 % - Markeringsfarve4 2 4 3" xfId="30755" xr:uid="{91609C46-4475-4A91-A66C-A760A8637100}"/>
    <cellStyle name="20 % - Markeringsfarve4 2 5" xfId="30756" xr:uid="{C01DBC8A-DEBB-4FEE-9CE3-FAB47DC11F5C}"/>
    <cellStyle name="20 % - Markeringsfarve4 2 5 2" xfId="30757" xr:uid="{06258D1B-FB47-4F6C-873A-2CDABB3398F7}"/>
    <cellStyle name="20 % - Markeringsfarve4 2 5 3" xfId="30758" xr:uid="{FAA744E8-A68D-4EF9-8972-132713FC9BCA}"/>
    <cellStyle name="20 % - Markeringsfarve4 2 6" xfId="30759" xr:uid="{5BA7CC65-53C4-46F3-AD89-858ECCACF353}"/>
    <cellStyle name="20 % - Markeringsfarve4 2 6 2" xfId="30760" xr:uid="{84991C0B-4F10-4334-870D-3E3668C348D1}"/>
    <cellStyle name="20 % - Markeringsfarve4 2 6 3" xfId="30761" xr:uid="{7C8A045E-7ADE-48F9-9EBC-D40E88588485}"/>
    <cellStyle name="20 % - Markeringsfarve4 2 7" xfId="30762" xr:uid="{2ECCAB0E-6B34-4AE4-B6C0-9DD30BAA2826}"/>
    <cellStyle name="20 % - Markeringsfarve4 2 7 2" xfId="30763" xr:uid="{0C98BFF9-160F-43BE-B64C-6A0E4CB0CA23}"/>
    <cellStyle name="20 % - Markeringsfarve4 2 7 3" xfId="30764" xr:uid="{83AAD639-04A7-4423-ABB6-7BE96A69C07D}"/>
    <cellStyle name="20 % - Markeringsfarve4 2 8" xfId="30765" xr:uid="{48B80C9E-5267-4B47-A50F-9E89F60D69D7}"/>
    <cellStyle name="20 % - Markeringsfarve4 2 8 2" xfId="30766" xr:uid="{D006B080-B765-491C-9A70-6F07C90223B8}"/>
    <cellStyle name="20 % - Markeringsfarve4 2 8 3" xfId="30767" xr:uid="{9C6FD6EE-238A-46B6-AB94-BDC65D0D8630}"/>
    <cellStyle name="20 % - Markeringsfarve4 2 9" xfId="30768" xr:uid="{6435A37A-79FA-44CF-BCBB-66CE94F534A8}"/>
    <cellStyle name="20 % - Markeringsfarve4 2 9 2" xfId="30769" xr:uid="{39878A1C-2C2B-4E24-9156-98806FCAC101}"/>
    <cellStyle name="20 % - Markeringsfarve4 3" xfId="2588" xr:uid="{FA2BC2EA-70C8-4419-A7C4-5B4C20F7E1CB}"/>
    <cellStyle name="20 % - Markeringsfarve4 3 10" xfId="30770" xr:uid="{93529D16-2F51-4ABE-92BC-BDA2C136E545}"/>
    <cellStyle name="20 % - Markeringsfarve4 3 2" xfId="23514" xr:uid="{31AC4709-C650-4F4D-BC47-3ABB9838D635}"/>
    <cellStyle name="20 % - Markeringsfarve4 3 2 2" xfId="30771" xr:uid="{2E234536-8383-4B37-935B-A52BD725AC89}"/>
    <cellStyle name="20 % - Markeringsfarve4 3 2 2 2" xfId="30772" xr:uid="{230925EC-4CF2-4C9F-9309-ECC026D9CD6D}"/>
    <cellStyle name="20 % - Markeringsfarve4 3 2 2 3" xfId="30773" xr:uid="{7E9788C9-5CD7-46B4-886E-6193067FF5CE}"/>
    <cellStyle name="20 % - Markeringsfarve4 3 2 3" xfId="30774" xr:uid="{DD43218F-8B89-4969-85E2-BF604CCA0369}"/>
    <cellStyle name="20 % - Markeringsfarve4 3 2 3 2" xfId="30775" xr:uid="{4EF8FB04-4A98-45FB-A977-F29600094371}"/>
    <cellStyle name="20 % - Markeringsfarve4 3 2 3 3" xfId="30776" xr:uid="{5E20A330-70AB-430D-B0D9-9C7E307A90C6}"/>
    <cellStyle name="20 % - Markeringsfarve4 3 2 4" xfId="30777" xr:uid="{FFD670BA-1412-4AEA-8315-69DC4E5830EB}"/>
    <cellStyle name="20 % - Markeringsfarve4 3 2 4 2" xfId="30778" xr:uid="{4347C1CE-5475-41EB-8339-15291A47AC65}"/>
    <cellStyle name="20 % - Markeringsfarve4 3 2 4 3" xfId="30779" xr:uid="{CBBBDC65-1C90-4544-BBAC-2182001576B7}"/>
    <cellStyle name="20 % - Markeringsfarve4 3 2 5" xfId="30780" xr:uid="{BAF60834-380F-4583-B99E-1740BF20D7C9}"/>
    <cellStyle name="20 % - Markeringsfarve4 3 2 5 2" xfId="30781" xr:uid="{B0FCE032-4AE1-44B3-928C-C694F4BDE581}"/>
    <cellStyle name="20 % - Markeringsfarve4 3 2 5 3" xfId="30782" xr:uid="{FDF90241-5184-4377-9DBA-0018D5797FF3}"/>
    <cellStyle name="20 % - Markeringsfarve4 3 2 6" xfId="30783" xr:uid="{1B6BB51C-E690-4308-B3D2-AED58333D966}"/>
    <cellStyle name="20 % - Markeringsfarve4 3 2 6 2" xfId="30784" xr:uid="{F223FAB7-35EE-4523-9D0A-0198754518B9}"/>
    <cellStyle name="20 % - Markeringsfarve4 3 2 6 3" xfId="30785" xr:uid="{40BC6857-32DA-4D6A-ADAB-124C0F7D09FB}"/>
    <cellStyle name="20 % - Markeringsfarve4 3 2 7" xfId="30786" xr:uid="{69B9F1DA-9720-4C1A-B003-58B29FC76B33}"/>
    <cellStyle name="20 % - Markeringsfarve4 3 2 7 2" xfId="30787" xr:uid="{F8DC72A0-0129-44DD-9EEE-C44E8C63C700}"/>
    <cellStyle name="20 % - Markeringsfarve4 3 2 8" xfId="30788" xr:uid="{A97A8CFB-DA57-4FCB-8EAC-A2E2ED32D359}"/>
    <cellStyle name="20 % - Markeringsfarve4 3 3" xfId="30789" xr:uid="{AFD8BA24-E3D5-4B2C-A06A-05749511A016}"/>
    <cellStyle name="20 % - Markeringsfarve4 3 3 2" xfId="30790" xr:uid="{CA2BFC33-C465-4E16-B84C-2E64FADB2BF1}"/>
    <cellStyle name="20 % - Markeringsfarve4 3 3 2 2" xfId="30791" xr:uid="{62330454-D4B2-4CED-8CF0-3AFD2D7A4979}"/>
    <cellStyle name="20 % - Markeringsfarve4 3 3 2 3" xfId="30792" xr:uid="{5DFA46E6-9FBD-4CD1-BBC0-EAADDB1B8E08}"/>
    <cellStyle name="20 % - Markeringsfarve4 3 3 3" xfId="30793" xr:uid="{97E69857-A03E-4E40-B44B-551400B6915B}"/>
    <cellStyle name="20 % - Markeringsfarve4 3 3 3 2" xfId="30794" xr:uid="{69A7F8CF-12FE-4481-A67C-F75C08D4A2B1}"/>
    <cellStyle name="20 % - Markeringsfarve4 3 3 3 3" xfId="30795" xr:uid="{9048D394-F25E-4041-9536-EFB44EFC4040}"/>
    <cellStyle name="20 % - Markeringsfarve4 3 3 4" xfId="30796" xr:uid="{02ADF0EA-466E-4CFF-BB8A-B7F3535EB377}"/>
    <cellStyle name="20 % - Markeringsfarve4 3 3 4 2" xfId="30797" xr:uid="{44D1D2CE-97EB-48B5-819D-6DFE568873BE}"/>
    <cellStyle name="20 % - Markeringsfarve4 3 3 4 3" xfId="30798" xr:uid="{4C832B97-452B-478D-A1BD-EA647AC3CF27}"/>
    <cellStyle name="20 % - Markeringsfarve4 3 3 5" xfId="30799" xr:uid="{C8EBEAAF-6289-4864-B575-AEDDB3CDAE26}"/>
    <cellStyle name="20 % - Markeringsfarve4 3 3 5 2" xfId="30800" xr:uid="{59101D5D-6CAA-4D98-AA1E-249E735DFA59}"/>
    <cellStyle name="20 % - Markeringsfarve4 3 3 5 3" xfId="30801" xr:uid="{4D94E36E-BF48-490E-B6AA-A87A7A90F356}"/>
    <cellStyle name="20 % - Markeringsfarve4 3 3 6" xfId="30802" xr:uid="{5504A015-67AB-46D1-BFDC-1EF90B99CE28}"/>
    <cellStyle name="20 % - Markeringsfarve4 3 3 6 2" xfId="30803" xr:uid="{DAD20A40-ED65-4194-A8C8-21DAEBC8AEDB}"/>
    <cellStyle name="20 % - Markeringsfarve4 3 3 6 3" xfId="30804" xr:uid="{8B444191-19FD-43A4-861A-198C076B93FC}"/>
    <cellStyle name="20 % - Markeringsfarve4 3 3 7" xfId="30805" xr:uid="{C932AA3D-7D00-4CD9-9D3A-9A90B3DE3AF6}"/>
    <cellStyle name="20 % - Markeringsfarve4 3 3 7 2" xfId="30806" xr:uid="{F59FDB7D-00CC-4B38-BE53-EFB4C1AF11B5}"/>
    <cellStyle name="20 % - Markeringsfarve4 3 3 8" xfId="30807" xr:uid="{03373BF9-B484-4D0E-B4DF-07DC1DCD5FA7}"/>
    <cellStyle name="20 % - Markeringsfarve4 3 4" xfId="30808" xr:uid="{7EC42613-CE36-49D2-84B4-50A4681CA8EE}"/>
    <cellStyle name="20 % - Markeringsfarve4 3 4 2" xfId="30809" xr:uid="{087A2EA2-4C52-43C9-A2AC-4E879FAAAD6D}"/>
    <cellStyle name="20 % - Markeringsfarve4 3 4 3" xfId="30810" xr:uid="{6A44BDD3-5CBB-46D8-8E66-D83067565037}"/>
    <cellStyle name="20 % - Markeringsfarve4 3 5" xfId="30811" xr:uid="{B8286952-36ED-448F-91EB-F12112DCC610}"/>
    <cellStyle name="20 % - Markeringsfarve4 3 5 2" xfId="30812" xr:uid="{A6803734-C2D7-4DC2-8CD7-731B4FC42213}"/>
    <cellStyle name="20 % - Markeringsfarve4 3 5 3" xfId="30813" xr:uid="{B2AEA8B1-459D-499F-BB61-2656D1D92293}"/>
    <cellStyle name="20 % - Markeringsfarve4 3 6" xfId="30814" xr:uid="{6F3528D6-609E-42AC-A68D-DC109AF62F1A}"/>
    <cellStyle name="20 % - Markeringsfarve4 3 6 2" xfId="30815" xr:uid="{522563C3-A37A-4FB6-AE92-A389B9EC1EC4}"/>
    <cellStyle name="20 % - Markeringsfarve4 3 6 3" xfId="30816" xr:uid="{49671B4B-947F-4E57-923E-BDF32749FD9E}"/>
    <cellStyle name="20 % - Markeringsfarve4 3 7" xfId="30817" xr:uid="{6035B7CA-CF38-4D77-9D27-1055E760FA74}"/>
    <cellStyle name="20 % - Markeringsfarve4 3 7 2" xfId="30818" xr:uid="{80E8549F-1513-4BFD-AC76-0339FF47A51D}"/>
    <cellStyle name="20 % - Markeringsfarve4 3 7 3" xfId="30819" xr:uid="{0CF7C308-D3BD-4563-90BB-77E7D791B83B}"/>
    <cellStyle name="20 % - Markeringsfarve4 3 8" xfId="30820" xr:uid="{EA8D404C-4E43-43F9-9F5D-A2B3A221E60F}"/>
    <cellStyle name="20 % - Markeringsfarve4 3 8 2" xfId="30821" xr:uid="{F561DE53-8E98-4CBB-A7EB-14A52FD5DBDF}"/>
    <cellStyle name="20 % - Markeringsfarve4 3 8 3" xfId="30822" xr:uid="{6A10928E-FCFA-428A-925D-D7F980A97AC0}"/>
    <cellStyle name="20 % - Markeringsfarve4 3 9" xfId="30823" xr:uid="{585B976B-5779-47CB-B004-D82EEF268305}"/>
    <cellStyle name="20 % - Markeringsfarve4 3 9 2" xfId="30824" xr:uid="{FA4CB637-282C-45CC-B231-446EFE7C0E15}"/>
    <cellStyle name="20 % - Markeringsfarve4 4" xfId="23515" xr:uid="{210BCE37-01EF-4184-8EB8-1B3FD6C79871}"/>
    <cellStyle name="20 % - Markeringsfarve4 4 2" xfId="23516" xr:uid="{525BE00E-E608-4908-A5A6-6623F696BD84}"/>
    <cellStyle name="20 % - Markeringsfarve4 4 2 2" xfId="30825" xr:uid="{776F431F-0B37-4382-AFAC-26CAC60931F7}"/>
    <cellStyle name="20 % - Markeringsfarve4 4 2 3" xfId="30826" xr:uid="{7FA18EF3-5FCA-43DA-A59B-F233F12CA190}"/>
    <cellStyle name="20 % - Markeringsfarve4 4 3" xfId="30827" xr:uid="{8196FD17-2B6C-48CB-B7CD-20B898C873E1}"/>
    <cellStyle name="20 % - Markeringsfarve4 4 3 2" xfId="30828" xr:uid="{1C45C061-99A0-4799-8A39-76B6DFF3C438}"/>
    <cellStyle name="20 % - Markeringsfarve4 4 3 3" xfId="30829" xr:uid="{7282CDEF-4BA0-4D77-B2CD-F99CD5F1AA09}"/>
    <cellStyle name="20 % - Markeringsfarve4 4 4" xfId="30830" xr:uid="{0F1E049F-0260-4BFA-A075-BC493D3B3D38}"/>
    <cellStyle name="20 % - Markeringsfarve4 4 4 2" xfId="30831" xr:uid="{56C521F2-C5F9-4460-9B9F-1017D7904A51}"/>
    <cellStyle name="20 % - Markeringsfarve4 4 4 3" xfId="30832" xr:uid="{8B5D0A84-44A6-45AF-B797-0CCA31DAFA83}"/>
    <cellStyle name="20 % - Markeringsfarve4 4 5" xfId="30833" xr:uid="{88B7094B-DD81-47A5-BC98-716899844B97}"/>
    <cellStyle name="20 % - Markeringsfarve4 4 5 2" xfId="30834" xr:uid="{CA19E63E-F2ED-4A6D-B0AF-EE35D99D696A}"/>
    <cellStyle name="20 % - Markeringsfarve4 4 5 3" xfId="30835" xr:uid="{2E0B2EDE-0379-4C74-BF3A-603DF208D3B6}"/>
    <cellStyle name="20 % - Markeringsfarve4 4 6" xfId="30836" xr:uid="{4B4C6DD6-5BFE-49BD-8CDA-DE35A4311CDB}"/>
    <cellStyle name="20 % - Markeringsfarve4 4 6 2" xfId="30837" xr:uid="{4EF933C2-12CD-4B84-8CA5-2E37C4A4839A}"/>
    <cellStyle name="20 % - Markeringsfarve4 4 6 3" xfId="30838" xr:uid="{8E1C3577-73EF-490C-BC99-67D5B1B97A2B}"/>
    <cellStyle name="20 % - Markeringsfarve4 4 7" xfId="30839" xr:uid="{D670E7EF-E549-4E68-A248-781287642BEE}"/>
    <cellStyle name="20 % - Markeringsfarve4 4 7 2" xfId="30840" xr:uid="{0021DB1D-3E53-4969-BEF8-3ABD682B5104}"/>
    <cellStyle name="20 % - Markeringsfarve4 4 8" xfId="30841" xr:uid="{5001619E-1836-49F3-ABD4-1BA5B63EA56F}"/>
    <cellStyle name="20 % - Markeringsfarve4 5" xfId="23517" xr:uid="{53B12592-33FA-4A66-AB94-2C15D90734A4}"/>
    <cellStyle name="20 % - Markeringsfarve4 5 2" xfId="23518" xr:uid="{0E597F01-E963-4B43-8EB3-D54627C89DB4}"/>
    <cellStyle name="20 % - Markeringsfarve4 5 2 2" xfId="30842" xr:uid="{5510A386-B817-4FFD-A935-41B28CD78EE0}"/>
    <cellStyle name="20 % - Markeringsfarve4 5 2 3" xfId="30843" xr:uid="{7299F4AC-732E-4B92-9E97-BBF9F6D76073}"/>
    <cellStyle name="20 % - Markeringsfarve4 5 3" xfId="30844" xr:uid="{A6F6FA65-B104-4197-8BF3-28D914002EE2}"/>
    <cellStyle name="20 % - Markeringsfarve4 5 3 2" xfId="30845" xr:uid="{20339B54-838A-46B8-948B-DD071E8CAFF8}"/>
    <cellStyle name="20 % - Markeringsfarve4 5 3 3" xfId="30846" xr:uid="{2FDA8933-DD5C-44B3-9CC9-01C64C4FDB87}"/>
    <cellStyle name="20 % - Markeringsfarve4 5 4" xfId="30847" xr:uid="{C2365058-2D76-405E-9ABE-E39AAF6150BC}"/>
    <cellStyle name="20 % - Markeringsfarve4 5 4 2" xfId="30848" xr:uid="{72695F80-15DD-41CA-BED2-46E3053A3CA6}"/>
    <cellStyle name="20 % - Markeringsfarve4 5 4 3" xfId="30849" xr:uid="{DF331A8A-0C91-4131-8D82-C2FB3BAA6248}"/>
    <cellStyle name="20 % - Markeringsfarve4 5 5" xfId="30850" xr:uid="{8185B991-9338-44BE-9F03-C60F1F9DDB01}"/>
    <cellStyle name="20 % - Markeringsfarve4 5 5 2" xfId="30851" xr:uid="{4806CE00-58DD-44FE-8B84-D3B837215C3E}"/>
    <cellStyle name="20 % - Markeringsfarve4 5 5 3" xfId="30852" xr:uid="{BA7A5934-7ACD-4F50-B224-ACCCDECBECCF}"/>
    <cellStyle name="20 % - Markeringsfarve4 5 6" xfId="30853" xr:uid="{9B0DA2A4-F7AF-4A5B-86D6-F2A3E0B2856A}"/>
    <cellStyle name="20 % - Markeringsfarve4 5 6 2" xfId="30854" xr:uid="{825016AC-A7D7-4A6F-BC7E-2A62DAC66B22}"/>
    <cellStyle name="20 % - Markeringsfarve4 5 6 3" xfId="30855" xr:uid="{40593D60-ED05-464F-A711-39DC3DD73CCD}"/>
    <cellStyle name="20 % - Markeringsfarve4 5 7" xfId="30856" xr:uid="{3D8847FC-CA12-4F3C-BCFA-1EBFF76A71A3}"/>
    <cellStyle name="20 % - Markeringsfarve4 5 7 2" xfId="30857" xr:uid="{D3569462-84EF-4B6A-AEDB-9EC18C6AB09F}"/>
    <cellStyle name="20 % - Markeringsfarve4 5 8" xfId="30858" xr:uid="{F41FF878-F3F7-49F3-AC62-FB83DB113757}"/>
    <cellStyle name="20 % - Markeringsfarve4 6" xfId="23519" xr:uid="{9CACDB51-0B41-4649-8FC4-A9DF022FD21E}"/>
    <cellStyle name="20 % - Markeringsfarve4 6 2" xfId="23520" xr:uid="{D080775D-7B9F-465B-ABEC-A0C97BDB9516}"/>
    <cellStyle name="20 % - Markeringsfarve4 6 2 2" xfId="30859" xr:uid="{B1CD0056-13ED-4A1B-8289-6C5E5000C1A5}"/>
    <cellStyle name="20 % - Markeringsfarve4 6 2 3" xfId="30860" xr:uid="{44A347B9-CBEB-4DD4-AE05-DE95E13F8AED}"/>
    <cellStyle name="20 % - Markeringsfarve4 6 3" xfId="30861" xr:uid="{F72EDEF5-CE12-461A-A596-4EB6855A9DB9}"/>
    <cellStyle name="20 % - Markeringsfarve4 6 4" xfId="30862" xr:uid="{0F2A51E4-7839-4A28-A7F5-1BD9CB60A45C}"/>
    <cellStyle name="20 % - Markeringsfarve4 7" xfId="23521" xr:uid="{ABCE4E8B-689F-4FB1-B3C4-C3615D211249}"/>
    <cellStyle name="20 % - Markeringsfarve4 7 2" xfId="30863" xr:uid="{2C017546-DC86-4B0C-BFD4-657642516E2E}"/>
    <cellStyle name="20 % - Markeringsfarve4 7 3" xfId="30864" xr:uid="{F2D5B4CE-AB0D-4E3A-88A5-12A402EAD36D}"/>
    <cellStyle name="20 % - Markeringsfarve4 8" xfId="30865" xr:uid="{878F3404-9F73-4766-8179-10D4303006F1}"/>
    <cellStyle name="20 % - Markeringsfarve4 8 2" xfId="30866" xr:uid="{B8ADB360-2C7E-4A2A-B51A-6404145B2954}"/>
    <cellStyle name="20 % - Markeringsfarve4 8 3" xfId="30867" xr:uid="{25A98A22-63FC-458B-9A79-E85EB146982F}"/>
    <cellStyle name="20 % - Markeringsfarve4 9" xfId="30868" xr:uid="{18A5AF08-BDB2-41A2-B69E-F583703A51DC}"/>
    <cellStyle name="20 % - Markeringsfarve4 9 2" xfId="30869" xr:uid="{6DDFEFEC-E020-48DC-89CF-72BC78D5D0A7}"/>
    <cellStyle name="20 % - Markeringsfarve4 9 3" xfId="30870" xr:uid="{94FB692E-86C4-426D-8FF0-86949C77440C}"/>
    <cellStyle name="20 % - Markeringsfarve5" xfId="1267" xr:uid="{00000000-0005-0000-0000-000008000000}"/>
    <cellStyle name="20 % - Markeringsfarve5 10" xfId="30871" xr:uid="{7F026E19-D0EA-4AC8-989C-56677445257C}"/>
    <cellStyle name="20 % - Markeringsfarve5 10 2" xfId="30872" xr:uid="{4CE4C340-5AD8-422F-97EC-CBE7416C8247}"/>
    <cellStyle name="20 % - Markeringsfarve5 10 3" xfId="30873" xr:uid="{AB046B27-915B-43D1-8BF7-94DCE64E9EA9}"/>
    <cellStyle name="20 % - Markeringsfarve5 11" xfId="30874" xr:uid="{D02CC2AC-00C4-43AB-8C8D-2ABF2388C253}"/>
    <cellStyle name="20 % - Markeringsfarve5 11 2" xfId="30875" xr:uid="{D0788480-F791-4D16-890F-E836E0A21671}"/>
    <cellStyle name="20 % - Markeringsfarve5 12" xfId="30876" xr:uid="{2AAC7A56-8869-423A-A0D9-C8A0190A9C65}"/>
    <cellStyle name="20 % - Markeringsfarve5 13" xfId="17725" xr:uid="{30AE7A6C-B36F-4381-8168-94F90BF85C3D}"/>
    <cellStyle name="20 % - Markeringsfarve5 2" xfId="1268" xr:uid="{00000000-0005-0000-0000-000009000000}"/>
    <cellStyle name="20 % - Markeringsfarve5 2 10" xfId="30877" xr:uid="{51DD74C5-D37E-445A-AC94-B8E5A49F49B2}"/>
    <cellStyle name="20 % - Markeringsfarve5 2 11" xfId="17726" xr:uid="{8EF6A82B-FB15-4167-A799-F6CE91C67A1A}"/>
    <cellStyle name="20 % - Markeringsfarve5 2 2" xfId="23522" xr:uid="{0AD83951-4E72-4DC8-9E6C-D88991FA1571}"/>
    <cellStyle name="20 % - Markeringsfarve5 2 2 2" xfId="23523" xr:uid="{9E8F0E33-3DDA-4B29-94A5-28E67ECA9C5E}"/>
    <cellStyle name="20 % - Markeringsfarve5 2 2 2 2" xfId="30878" xr:uid="{08741790-4509-46EF-8638-2EA5712BF674}"/>
    <cellStyle name="20 % - Markeringsfarve5 2 2 2 3" xfId="30879" xr:uid="{2F95A15A-381C-48B0-A678-DFC3C6BE4E39}"/>
    <cellStyle name="20 % - Markeringsfarve5 2 2 3" xfId="30880" xr:uid="{39EA546D-8908-43E0-8D14-E787F29B7060}"/>
    <cellStyle name="20 % - Markeringsfarve5 2 2 3 2" xfId="30881" xr:uid="{7120384C-B9BC-410A-86BC-116C6B9FBA02}"/>
    <cellStyle name="20 % - Markeringsfarve5 2 2 3 3" xfId="30882" xr:uid="{3C47D7B4-4E7F-42D9-A762-2EE98FBBF8E2}"/>
    <cellStyle name="20 % - Markeringsfarve5 2 2 4" xfId="30883" xr:uid="{3EA211D4-931B-4C68-A631-87D92781EB48}"/>
    <cellStyle name="20 % - Markeringsfarve5 2 2 4 2" xfId="30884" xr:uid="{AA470512-83D0-4539-9A0A-B624E3FF67BF}"/>
    <cellStyle name="20 % - Markeringsfarve5 2 2 4 3" xfId="30885" xr:uid="{9ECE4473-AD31-4A7E-B69A-5861C8053578}"/>
    <cellStyle name="20 % - Markeringsfarve5 2 2 5" xfId="30886" xr:uid="{954F4D23-06A3-4BE5-BDE6-311F27432B10}"/>
    <cellStyle name="20 % - Markeringsfarve5 2 2 5 2" xfId="30887" xr:uid="{ECAB8B72-4C46-4A35-99F9-1858724D0EC4}"/>
    <cellStyle name="20 % - Markeringsfarve5 2 2 5 3" xfId="30888" xr:uid="{0649E7F8-90DC-4182-9FAB-68AFC3788425}"/>
    <cellStyle name="20 % - Markeringsfarve5 2 2 6" xfId="30889" xr:uid="{E9D9E129-9E2E-4AA6-88D4-54A90F7938D0}"/>
    <cellStyle name="20 % - Markeringsfarve5 2 2 6 2" xfId="30890" xr:uid="{46EB555C-956B-4687-98B2-E5FD2E0DDCBF}"/>
    <cellStyle name="20 % - Markeringsfarve5 2 2 6 3" xfId="30891" xr:uid="{6121AAC8-EAB2-4A14-996C-39F36B2FCC82}"/>
    <cellStyle name="20 % - Markeringsfarve5 2 2 7" xfId="30892" xr:uid="{5320F684-A6C9-46D2-9592-B53EFD259508}"/>
    <cellStyle name="20 % - Markeringsfarve5 2 2 7 2" xfId="30893" xr:uid="{E46E18AD-4B51-4934-AC6E-28300EFF2E00}"/>
    <cellStyle name="20 % - Markeringsfarve5 2 2 8" xfId="30894" xr:uid="{84E664F9-4271-4975-8A24-BFA48634252D}"/>
    <cellStyle name="20 % - Markeringsfarve5 2 3" xfId="23524" xr:uid="{8C0D3148-8037-4A8C-8202-AB3159335932}"/>
    <cellStyle name="20 % - Markeringsfarve5 2 3 2" xfId="23525" xr:uid="{5D82D755-0356-48CE-BBBC-961D39A568F1}"/>
    <cellStyle name="20 % - Markeringsfarve5 2 3 2 2" xfId="30895" xr:uid="{866BD609-8F26-40EA-9A44-EC27A27BEA70}"/>
    <cellStyle name="20 % - Markeringsfarve5 2 3 2 3" xfId="30896" xr:uid="{55DEC528-1C1E-4EC1-B536-3F8832D47545}"/>
    <cellStyle name="20 % - Markeringsfarve5 2 3 3" xfId="30897" xr:uid="{A67A1CAC-6AF9-4E13-8A1C-8CBAAE863F34}"/>
    <cellStyle name="20 % - Markeringsfarve5 2 3 3 2" xfId="30898" xr:uid="{E9536268-69B2-44E1-8144-1FCC8C9BA1C6}"/>
    <cellStyle name="20 % - Markeringsfarve5 2 3 3 3" xfId="30899" xr:uid="{027D7739-01E2-472B-B500-DA0FC18B111E}"/>
    <cellStyle name="20 % - Markeringsfarve5 2 3 4" xfId="30900" xr:uid="{429B9C0E-58D1-42E4-83EB-9CFDB585ACBE}"/>
    <cellStyle name="20 % - Markeringsfarve5 2 3 4 2" xfId="30901" xr:uid="{FB79CA83-E375-418D-BD9C-379BCC6F0689}"/>
    <cellStyle name="20 % - Markeringsfarve5 2 3 4 3" xfId="30902" xr:uid="{702AD685-CFFC-44A5-BEE6-38383A5EBE78}"/>
    <cellStyle name="20 % - Markeringsfarve5 2 3 5" xfId="30903" xr:uid="{4D2D7FAF-2E1E-4F2C-8F27-5ABAAEF3B7B0}"/>
    <cellStyle name="20 % - Markeringsfarve5 2 3 5 2" xfId="30904" xr:uid="{9076691B-2688-4495-8B7F-BCD4E263683C}"/>
    <cellStyle name="20 % - Markeringsfarve5 2 3 5 3" xfId="30905" xr:uid="{F7C8ED78-7A30-42F3-9BDB-98EF65152D98}"/>
    <cellStyle name="20 % - Markeringsfarve5 2 3 6" xfId="30906" xr:uid="{454191B3-C711-47E8-A756-2A4A839FA4FB}"/>
    <cellStyle name="20 % - Markeringsfarve5 2 3 6 2" xfId="30907" xr:uid="{BC777AAF-1B04-4236-AF2B-3DB215637B90}"/>
    <cellStyle name="20 % - Markeringsfarve5 2 3 6 3" xfId="30908" xr:uid="{D0139AAC-FA4A-4F28-A680-CB8EFCA5E04A}"/>
    <cellStyle name="20 % - Markeringsfarve5 2 3 7" xfId="30909" xr:uid="{90F669F0-7F20-4784-83C1-96978E380FD0}"/>
    <cellStyle name="20 % - Markeringsfarve5 2 3 7 2" xfId="30910" xr:uid="{E9D08890-6CC4-47DC-AE90-8EE916DE670D}"/>
    <cellStyle name="20 % - Markeringsfarve5 2 3 8" xfId="30911" xr:uid="{223E43BC-23F0-4A74-BB17-3972593EFA56}"/>
    <cellStyle name="20 % - Markeringsfarve5 2 4" xfId="23526" xr:uid="{2672A067-0697-498E-BFC5-96D46E547D7C}"/>
    <cellStyle name="20 % - Markeringsfarve5 2 4 2" xfId="30912" xr:uid="{FBFBB97D-1462-440F-9506-88DB929D5CBA}"/>
    <cellStyle name="20 % - Markeringsfarve5 2 4 3" xfId="30913" xr:uid="{B8E061AD-A453-4840-A966-42A38B8180D6}"/>
    <cellStyle name="20 % - Markeringsfarve5 2 5" xfId="30914" xr:uid="{0F9C5FE2-8A20-43DD-8D97-4DAF91F8734D}"/>
    <cellStyle name="20 % - Markeringsfarve5 2 5 2" xfId="30915" xr:uid="{D8F68F3C-2F11-4057-B1BD-6B24557E7F35}"/>
    <cellStyle name="20 % - Markeringsfarve5 2 5 3" xfId="30916" xr:uid="{8428FDEB-3E89-4AA4-80B4-403E6F91B5D2}"/>
    <cellStyle name="20 % - Markeringsfarve5 2 6" xfId="30917" xr:uid="{B5891DDE-7B45-4A2D-B2D4-780D9806A763}"/>
    <cellStyle name="20 % - Markeringsfarve5 2 6 2" xfId="30918" xr:uid="{893DF7C9-4A9D-4352-BB45-CFBFA40E1D90}"/>
    <cellStyle name="20 % - Markeringsfarve5 2 6 3" xfId="30919" xr:uid="{0FEAB717-9C78-41AD-806C-F4369E8F87D7}"/>
    <cellStyle name="20 % - Markeringsfarve5 2 7" xfId="30920" xr:uid="{2B543CAB-41D2-4047-AB67-3CE5EDBB933E}"/>
    <cellStyle name="20 % - Markeringsfarve5 2 7 2" xfId="30921" xr:uid="{7755E689-6C65-4038-ABEE-4C54BCE9777E}"/>
    <cellStyle name="20 % - Markeringsfarve5 2 7 3" xfId="30922" xr:uid="{FDE35EC8-D960-4BB2-B624-CF3FE23D02D5}"/>
    <cellStyle name="20 % - Markeringsfarve5 2 8" xfId="30923" xr:uid="{723C2524-203A-42F0-B246-099E41FCF254}"/>
    <cellStyle name="20 % - Markeringsfarve5 2 8 2" xfId="30924" xr:uid="{C6A77272-29BE-4853-822A-160249867A16}"/>
    <cellStyle name="20 % - Markeringsfarve5 2 8 3" xfId="30925" xr:uid="{C597CBB3-EFDD-42E0-8F48-5EF3C313A334}"/>
    <cellStyle name="20 % - Markeringsfarve5 2 9" xfId="30926" xr:uid="{4BEB118F-A222-4685-9968-5DE84E725D64}"/>
    <cellStyle name="20 % - Markeringsfarve5 2 9 2" xfId="30927" xr:uid="{EDE21009-EB07-4F61-BEA9-B49E8F8E7261}"/>
    <cellStyle name="20 % - Markeringsfarve5 3" xfId="2589" xr:uid="{AE95A634-372A-4AA5-AFE6-1E2FEBDD4A25}"/>
    <cellStyle name="20 % - Markeringsfarve5 3 10" xfId="30928" xr:uid="{90E005AE-8A6C-4F70-B62D-36378BAE836D}"/>
    <cellStyle name="20 % - Markeringsfarve5 3 2" xfId="23527" xr:uid="{1E0E5DD4-E686-4C35-B9AD-2E31AFA18A96}"/>
    <cellStyle name="20 % - Markeringsfarve5 3 2 2" xfId="30929" xr:uid="{F5880C7E-BE05-4E39-9054-F94C329418D3}"/>
    <cellStyle name="20 % - Markeringsfarve5 3 2 2 2" xfId="30930" xr:uid="{313C8732-D0E5-44CA-99C3-1F8A33619B9A}"/>
    <cellStyle name="20 % - Markeringsfarve5 3 2 2 3" xfId="30931" xr:uid="{E88D96E3-0B99-4AF3-885D-22F7B061A3FE}"/>
    <cellStyle name="20 % - Markeringsfarve5 3 2 3" xfId="30932" xr:uid="{213062CA-CDBE-437D-A699-850DB78CA784}"/>
    <cellStyle name="20 % - Markeringsfarve5 3 2 3 2" xfId="30933" xr:uid="{F6989E06-B3C3-4F18-803F-7BA813868BC0}"/>
    <cellStyle name="20 % - Markeringsfarve5 3 2 3 3" xfId="30934" xr:uid="{CFC3E3FF-5DF6-4E58-B29C-E2DB6E4D3C4F}"/>
    <cellStyle name="20 % - Markeringsfarve5 3 2 4" xfId="30935" xr:uid="{9911BB6D-2BD3-4591-8083-5BB269B69FBA}"/>
    <cellStyle name="20 % - Markeringsfarve5 3 2 4 2" xfId="30936" xr:uid="{80A71289-8CF5-403E-BA82-B101D6AE53A7}"/>
    <cellStyle name="20 % - Markeringsfarve5 3 2 4 3" xfId="30937" xr:uid="{BD61A794-63B8-4993-830C-DA735946127E}"/>
    <cellStyle name="20 % - Markeringsfarve5 3 2 5" xfId="30938" xr:uid="{60EDB16C-3A31-4DB0-8BF7-11C3CDC0DD9B}"/>
    <cellStyle name="20 % - Markeringsfarve5 3 2 5 2" xfId="30939" xr:uid="{0794ADDF-1990-4D77-A9B6-70E04BE7CBEC}"/>
    <cellStyle name="20 % - Markeringsfarve5 3 2 5 3" xfId="30940" xr:uid="{E9D940C3-40C3-41C2-B379-E6069E6B2242}"/>
    <cellStyle name="20 % - Markeringsfarve5 3 2 6" xfId="30941" xr:uid="{4BCA41CB-4197-4304-91C8-9937439DE7A7}"/>
    <cellStyle name="20 % - Markeringsfarve5 3 2 6 2" xfId="30942" xr:uid="{026E9D36-F8D6-4528-A59A-862F1D4F1F30}"/>
    <cellStyle name="20 % - Markeringsfarve5 3 2 6 3" xfId="30943" xr:uid="{3302DD99-371C-4A62-9A51-56D5044AD306}"/>
    <cellStyle name="20 % - Markeringsfarve5 3 2 7" xfId="30944" xr:uid="{18A5BE33-3032-4665-914B-B1DAD571EE18}"/>
    <cellStyle name="20 % - Markeringsfarve5 3 2 7 2" xfId="30945" xr:uid="{5B4192E2-8C7C-4171-BB85-D19C3D95F17D}"/>
    <cellStyle name="20 % - Markeringsfarve5 3 2 8" xfId="30946" xr:uid="{04D62E31-1415-43C9-83A8-ACE5060EE67D}"/>
    <cellStyle name="20 % - Markeringsfarve5 3 3" xfId="30947" xr:uid="{A29C2FEA-B969-4A38-A107-330A05B5AA18}"/>
    <cellStyle name="20 % - Markeringsfarve5 3 3 2" xfId="30948" xr:uid="{E5B89572-1F0F-410E-95E1-914633A822C6}"/>
    <cellStyle name="20 % - Markeringsfarve5 3 3 2 2" xfId="30949" xr:uid="{C9700447-AB69-400D-A24C-E6EDE87A5065}"/>
    <cellStyle name="20 % - Markeringsfarve5 3 3 2 3" xfId="30950" xr:uid="{4CEBFF7A-A239-408D-BD2E-54830C2C7784}"/>
    <cellStyle name="20 % - Markeringsfarve5 3 3 3" xfId="30951" xr:uid="{E6D952A3-0C62-47A0-A9D9-E215861D8E23}"/>
    <cellStyle name="20 % - Markeringsfarve5 3 3 3 2" xfId="30952" xr:uid="{73E231A7-AC66-4574-B326-D85170608809}"/>
    <cellStyle name="20 % - Markeringsfarve5 3 3 3 3" xfId="30953" xr:uid="{7358B8E1-FDBF-4928-8E35-9F99D0423F9E}"/>
    <cellStyle name="20 % - Markeringsfarve5 3 3 4" xfId="30954" xr:uid="{365A0EB5-A41D-4A80-8677-2CE98CEE1F9C}"/>
    <cellStyle name="20 % - Markeringsfarve5 3 3 4 2" xfId="30955" xr:uid="{6C038E5F-DAA8-4B03-B5E8-51230AC66DE7}"/>
    <cellStyle name="20 % - Markeringsfarve5 3 3 4 3" xfId="30956" xr:uid="{927078F6-FC65-477E-AA9E-9B44943C2E6C}"/>
    <cellStyle name="20 % - Markeringsfarve5 3 3 5" xfId="30957" xr:uid="{B2101BCA-0695-4474-AFEF-2CC97193D31A}"/>
    <cellStyle name="20 % - Markeringsfarve5 3 3 5 2" xfId="30958" xr:uid="{3DFCDD1F-3267-4BBC-A183-3E35E490C969}"/>
    <cellStyle name="20 % - Markeringsfarve5 3 3 5 3" xfId="30959" xr:uid="{AB29C956-9386-4A14-BF41-B3CC99A2BCFE}"/>
    <cellStyle name="20 % - Markeringsfarve5 3 3 6" xfId="30960" xr:uid="{F5724AC0-49E1-4014-9847-C99E24E8F760}"/>
    <cellStyle name="20 % - Markeringsfarve5 3 3 6 2" xfId="30961" xr:uid="{B89491BF-E63E-4F6C-97F9-58C5C1351A23}"/>
    <cellStyle name="20 % - Markeringsfarve5 3 3 6 3" xfId="30962" xr:uid="{7FA7194F-A380-40AD-BFE4-156C9595348B}"/>
    <cellStyle name="20 % - Markeringsfarve5 3 3 7" xfId="30963" xr:uid="{7256594D-0BCC-47B1-A3D1-070C2236E573}"/>
    <cellStyle name="20 % - Markeringsfarve5 3 3 7 2" xfId="30964" xr:uid="{4E1E2706-CE60-43B4-A61C-373E5239AA83}"/>
    <cellStyle name="20 % - Markeringsfarve5 3 3 8" xfId="30965" xr:uid="{A3AC0DE1-9785-405C-AA9F-8C663EEA0182}"/>
    <cellStyle name="20 % - Markeringsfarve5 3 4" xfId="30966" xr:uid="{59FC358B-8BA2-4A5C-8E75-33A876234AA9}"/>
    <cellStyle name="20 % - Markeringsfarve5 3 4 2" xfId="30967" xr:uid="{F0707B5D-3BB4-409B-B3B7-CFA30694A332}"/>
    <cellStyle name="20 % - Markeringsfarve5 3 4 3" xfId="30968" xr:uid="{7565E798-C5A2-4453-AEA8-7E4DD60BE008}"/>
    <cellStyle name="20 % - Markeringsfarve5 3 5" xfId="30969" xr:uid="{6C7903DC-AC48-4AFA-AF34-D1E2059B89D3}"/>
    <cellStyle name="20 % - Markeringsfarve5 3 5 2" xfId="30970" xr:uid="{4AC6A846-E5F8-463F-9610-4EF871AE92DF}"/>
    <cellStyle name="20 % - Markeringsfarve5 3 5 3" xfId="30971" xr:uid="{D743DB52-6F5F-4B46-9744-0DB24035C3EE}"/>
    <cellStyle name="20 % - Markeringsfarve5 3 6" xfId="30972" xr:uid="{7AE47CD7-7800-4B12-B1D3-8D40358A9FE4}"/>
    <cellStyle name="20 % - Markeringsfarve5 3 6 2" xfId="30973" xr:uid="{980B4E65-ECEE-4BB2-9E72-C4B20A43CDFA}"/>
    <cellStyle name="20 % - Markeringsfarve5 3 6 3" xfId="30974" xr:uid="{740F64CC-11DE-4E6A-B3F9-CA703381464C}"/>
    <cellStyle name="20 % - Markeringsfarve5 3 7" xfId="30975" xr:uid="{3D7A6EB8-A953-44AF-BBDD-8E70014C90EA}"/>
    <cellStyle name="20 % - Markeringsfarve5 3 7 2" xfId="30976" xr:uid="{87947BFD-BCAA-421E-B9D7-91D95CB6C5D6}"/>
    <cellStyle name="20 % - Markeringsfarve5 3 7 3" xfId="30977" xr:uid="{70424544-3818-4CAD-9440-B4F3E0343D6A}"/>
    <cellStyle name="20 % - Markeringsfarve5 3 8" xfId="30978" xr:uid="{C24F9BA6-CD68-424C-A88E-D7E895E55EFA}"/>
    <cellStyle name="20 % - Markeringsfarve5 3 8 2" xfId="30979" xr:uid="{8FCF4166-0E68-4977-A676-B4D14389BD11}"/>
    <cellStyle name="20 % - Markeringsfarve5 3 8 3" xfId="30980" xr:uid="{3C5AAA66-5AB4-42C0-BC82-903A33685669}"/>
    <cellStyle name="20 % - Markeringsfarve5 3 9" xfId="30981" xr:uid="{14C4B1EE-294E-4F01-997E-4549632633B0}"/>
    <cellStyle name="20 % - Markeringsfarve5 3 9 2" xfId="30982" xr:uid="{368855DB-6C31-4DBD-A80A-C10223995A62}"/>
    <cellStyle name="20 % - Markeringsfarve5 4" xfId="23528" xr:uid="{6952584D-D674-422C-9F49-BBEF37267350}"/>
    <cellStyle name="20 % - Markeringsfarve5 4 2" xfId="23529" xr:uid="{15C86A69-807A-4848-9C36-3A7FD9D2E44F}"/>
    <cellStyle name="20 % - Markeringsfarve5 4 2 2" xfId="30983" xr:uid="{9C2ED396-AC2A-41B4-B2D7-0DCFB5F892EE}"/>
    <cellStyle name="20 % - Markeringsfarve5 4 2 3" xfId="30984" xr:uid="{34BBC247-0C3F-43D8-B945-34274D4949FE}"/>
    <cellStyle name="20 % - Markeringsfarve5 4 3" xfId="30985" xr:uid="{16FAB2A6-7F20-4A28-B8DE-8F5E00084723}"/>
    <cellStyle name="20 % - Markeringsfarve5 4 3 2" xfId="30986" xr:uid="{FB2B9953-066E-4E2E-AFA3-EB6DB11C5137}"/>
    <cellStyle name="20 % - Markeringsfarve5 4 3 3" xfId="30987" xr:uid="{43A089A5-19CE-41AB-81E3-4E3CCD7A77C9}"/>
    <cellStyle name="20 % - Markeringsfarve5 4 4" xfId="30988" xr:uid="{8C8EAF5A-9350-4387-96A4-E9ECAE6C1026}"/>
    <cellStyle name="20 % - Markeringsfarve5 4 4 2" xfId="30989" xr:uid="{865415DB-4B4C-4F1E-9463-758B23F95825}"/>
    <cellStyle name="20 % - Markeringsfarve5 4 4 3" xfId="30990" xr:uid="{2048BC1B-D7E3-4B68-BE6E-422E2E4204C4}"/>
    <cellStyle name="20 % - Markeringsfarve5 4 5" xfId="30991" xr:uid="{61CF3F2F-C24B-4ECF-9701-F5D0EC0C1EA3}"/>
    <cellStyle name="20 % - Markeringsfarve5 4 5 2" xfId="30992" xr:uid="{10CFB641-E279-4AD2-9C07-A0FFA9B8F3F7}"/>
    <cellStyle name="20 % - Markeringsfarve5 4 5 3" xfId="30993" xr:uid="{3F9301AB-71C2-4731-8235-DB285CE339BB}"/>
    <cellStyle name="20 % - Markeringsfarve5 4 6" xfId="30994" xr:uid="{9D9A569F-C041-4E51-A293-C0D9FCACEED9}"/>
    <cellStyle name="20 % - Markeringsfarve5 4 6 2" xfId="30995" xr:uid="{2DAE9638-9ACF-46EE-A482-7EA6777A49DD}"/>
    <cellStyle name="20 % - Markeringsfarve5 4 6 3" xfId="30996" xr:uid="{EA12C286-3698-47B7-A67F-FFEB7751DC1F}"/>
    <cellStyle name="20 % - Markeringsfarve5 4 7" xfId="30997" xr:uid="{34C125BC-A3B3-4AB5-A0CB-359450DC0067}"/>
    <cellStyle name="20 % - Markeringsfarve5 4 7 2" xfId="30998" xr:uid="{7A0CC4E3-A700-4BD4-AD69-25966CC73AF7}"/>
    <cellStyle name="20 % - Markeringsfarve5 4 8" xfId="30999" xr:uid="{09234CB3-2835-4737-93A7-A7C9FC81ACEE}"/>
    <cellStyle name="20 % - Markeringsfarve5 5" xfId="23530" xr:uid="{FE20E8AC-A02F-45A7-9EC9-28D6237B02D8}"/>
    <cellStyle name="20 % - Markeringsfarve5 5 2" xfId="23531" xr:uid="{363D08D6-51D1-4685-B012-DC12BB91E95E}"/>
    <cellStyle name="20 % - Markeringsfarve5 5 2 2" xfId="31000" xr:uid="{9E12AC3F-2EDA-47E5-823D-864D94470800}"/>
    <cellStyle name="20 % - Markeringsfarve5 5 2 3" xfId="31001" xr:uid="{DFED71F8-0171-4DE3-BB38-0FB149124A13}"/>
    <cellStyle name="20 % - Markeringsfarve5 5 3" xfId="31002" xr:uid="{CE629A35-1013-4918-B06C-F71DFC90EC06}"/>
    <cellStyle name="20 % - Markeringsfarve5 5 3 2" xfId="31003" xr:uid="{AB5E202E-3DC8-4B85-A5B0-A6F519B98788}"/>
    <cellStyle name="20 % - Markeringsfarve5 5 3 3" xfId="31004" xr:uid="{236A1ECA-3FF9-4BB2-9686-1B02CB07CFA3}"/>
    <cellStyle name="20 % - Markeringsfarve5 5 4" xfId="31005" xr:uid="{623160F6-FB60-4C91-AF51-657688F99E30}"/>
    <cellStyle name="20 % - Markeringsfarve5 5 4 2" xfId="31006" xr:uid="{1C68B5C1-820E-44BD-821D-6D49339C5656}"/>
    <cellStyle name="20 % - Markeringsfarve5 5 4 3" xfId="31007" xr:uid="{BD2540CB-8BE3-41F4-B52E-90AB9AAE58F0}"/>
    <cellStyle name="20 % - Markeringsfarve5 5 5" xfId="31008" xr:uid="{4EDA3397-0A56-44EF-8CF1-37ABA8AFDD23}"/>
    <cellStyle name="20 % - Markeringsfarve5 5 5 2" xfId="31009" xr:uid="{4C8CD38D-3001-4666-B454-EE4654B73F6C}"/>
    <cellStyle name="20 % - Markeringsfarve5 5 5 3" xfId="31010" xr:uid="{32030D5C-B61D-4BCB-B107-C7DA37F0D6E2}"/>
    <cellStyle name="20 % - Markeringsfarve5 5 6" xfId="31011" xr:uid="{10DD1399-C42B-41BF-9C3A-2153C6E3D71E}"/>
    <cellStyle name="20 % - Markeringsfarve5 5 6 2" xfId="31012" xr:uid="{50B16615-4813-4DB0-A191-60F8D56D573B}"/>
    <cellStyle name="20 % - Markeringsfarve5 5 6 3" xfId="31013" xr:uid="{286BD72D-E858-4885-8F7B-86D7DB2C02D4}"/>
    <cellStyle name="20 % - Markeringsfarve5 5 7" xfId="31014" xr:uid="{17288F4C-2D21-42BD-8E7A-0B1F71E10660}"/>
    <cellStyle name="20 % - Markeringsfarve5 5 7 2" xfId="31015" xr:uid="{F53094CE-5EAF-4D1C-925A-C7BAFFF4B8D2}"/>
    <cellStyle name="20 % - Markeringsfarve5 5 8" xfId="31016" xr:uid="{ECE2436A-4773-4F72-B1CB-D0F581CF3E4B}"/>
    <cellStyle name="20 % - Markeringsfarve5 6" xfId="23532" xr:uid="{D52FF4DD-4DAD-4973-BE01-24ED2D055A17}"/>
    <cellStyle name="20 % - Markeringsfarve5 6 2" xfId="23533" xr:uid="{8AFA9BE4-C8FF-423D-9B8D-C0F1D2F681E1}"/>
    <cellStyle name="20 % - Markeringsfarve5 6 3" xfId="31017" xr:uid="{B8096FA5-332A-4B85-88F0-8EC77F52623C}"/>
    <cellStyle name="20 % - Markeringsfarve5 7" xfId="23534" xr:uid="{61739860-380E-41CA-9811-2A9B82589791}"/>
    <cellStyle name="20 % - Markeringsfarve5 7 2" xfId="31018" xr:uid="{1EDEF7CB-FEF5-404D-B646-EC9453DDAA41}"/>
    <cellStyle name="20 % - Markeringsfarve5 7 3" xfId="31019" xr:uid="{3492BD6E-2D14-4F1E-B899-C1EDA5987B83}"/>
    <cellStyle name="20 % - Markeringsfarve5 8" xfId="31020" xr:uid="{BF909C62-7C6B-42ED-824B-F6229DA20A47}"/>
    <cellStyle name="20 % - Markeringsfarve5 8 2" xfId="31021" xr:uid="{D4C4503C-FFEC-4F7A-9A53-4D7405F97AB8}"/>
    <cellStyle name="20 % - Markeringsfarve5 8 3" xfId="31022" xr:uid="{F544F74D-44F3-4451-BFF2-9B92D00B9AA0}"/>
    <cellStyle name="20 % - Markeringsfarve5 9" xfId="31023" xr:uid="{9862580C-97F1-49C1-9E62-87D867553F9E}"/>
    <cellStyle name="20 % - Markeringsfarve5 9 2" xfId="31024" xr:uid="{643FEB67-0B33-4618-B206-32E85667BDED}"/>
    <cellStyle name="20 % - Markeringsfarve5 9 3" xfId="31025" xr:uid="{0080617B-A8A4-4CF0-A0FA-03C3EF019EEA}"/>
    <cellStyle name="20 % - Markeringsfarve6" xfId="1269" xr:uid="{00000000-0005-0000-0000-00000A000000}"/>
    <cellStyle name="20 % - Markeringsfarve6 10" xfId="31026" xr:uid="{64B9A4C1-3F3B-4752-ACA8-EBC00A3B24BE}"/>
    <cellStyle name="20 % - Markeringsfarve6 10 2" xfId="31027" xr:uid="{4893F16F-758C-4E5E-87D7-16E1121C6061}"/>
    <cellStyle name="20 % - Markeringsfarve6 10 3" xfId="31028" xr:uid="{5E6D2A97-D506-43F1-8B81-16423147A371}"/>
    <cellStyle name="20 % - Markeringsfarve6 11" xfId="31029" xr:uid="{B6B75A23-D645-4952-903A-06E8316A5ACD}"/>
    <cellStyle name="20 % - Markeringsfarve6 11 2" xfId="31030" xr:uid="{D847E291-5DE4-4FF8-B33A-7343C6244936}"/>
    <cellStyle name="20 % - Markeringsfarve6 12" xfId="31031" xr:uid="{8B0C5FDE-8999-4E7B-B6B7-1712C90B5F27}"/>
    <cellStyle name="20 % - Markeringsfarve6 13" xfId="17727" xr:uid="{7BC13CDE-1011-417D-9C77-51C9097BA1D0}"/>
    <cellStyle name="20 % - Markeringsfarve6 2" xfId="1270" xr:uid="{00000000-0005-0000-0000-00000B000000}"/>
    <cellStyle name="20 % - Markeringsfarve6 2 10" xfId="31032" xr:uid="{2BCF237C-5FFA-4412-A5AD-6FFD68E587C3}"/>
    <cellStyle name="20 % - Markeringsfarve6 2 11" xfId="17728" xr:uid="{C7391E4C-78E7-40AF-AD0E-76718D89D373}"/>
    <cellStyle name="20 % - Markeringsfarve6 2 2" xfId="23535" xr:uid="{71162D93-4F96-437B-A1EB-EC2156300B3E}"/>
    <cellStyle name="20 % - Markeringsfarve6 2 2 2" xfId="23536" xr:uid="{DA7492EA-3D8E-4FAF-8698-AF6E40234BD8}"/>
    <cellStyle name="20 % - Markeringsfarve6 2 2 2 2" xfId="31033" xr:uid="{F5047E13-9840-4F57-80B7-A1032C5BC66B}"/>
    <cellStyle name="20 % - Markeringsfarve6 2 2 2 3" xfId="31034" xr:uid="{FFCF6093-6D60-440A-84A9-C407D3BA3917}"/>
    <cellStyle name="20 % - Markeringsfarve6 2 2 3" xfId="31035" xr:uid="{35636129-77D0-4C90-83E9-D11535AE638E}"/>
    <cellStyle name="20 % - Markeringsfarve6 2 2 3 2" xfId="31036" xr:uid="{0D35ECDF-5857-40F9-A2D0-1B281318F589}"/>
    <cellStyle name="20 % - Markeringsfarve6 2 2 3 3" xfId="31037" xr:uid="{B8FAD5C0-E03D-467C-B871-735A4A19093F}"/>
    <cellStyle name="20 % - Markeringsfarve6 2 2 4" xfId="31038" xr:uid="{B50B24DD-E892-4133-90D9-0A0B9916D118}"/>
    <cellStyle name="20 % - Markeringsfarve6 2 2 4 2" xfId="31039" xr:uid="{6536C33B-1358-4BB5-9F13-92D7E9411CD9}"/>
    <cellStyle name="20 % - Markeringsfarve6 2 2 4 3" xfId="31040" xr:uid="{29F8BF35-9BA4-45F0-A63F-3718D96195E0}"/>
    <cellStyle name="20 % - Markeringsfarve6 2 2 5" xfId="31041" xr:uid="{F92DD6CC-30CE-4224-92A0-9EA44582B747}"/>
    <cellStyle name="20 % - Markeringsfarve6 2 2 5 2" xfId="31042" xr:uid="{2F266664-3487-48B3-84F6-B8E922EEFFBC}"/>
    <cellStyle name="20 % - Markeringsfarve6 2 2 5 3" xfId="31043" xr:uid="{44C7ED03-7E31-4A21-9120-AFA0BDE841D8}"/>
    <cellStyle name="20 % - Markeringsfarve6 2 2 6" xfId="31044" xr:uid="{272FD545-530A-4C99-AF3F-8DFE548997F5}"/>
    <cellStyle name="20 % - Markeringsfarve6 2 2 6 2" xfId="31045" xr:uid="{55700BC3-D66B-48B7-8303-EB5D01F3C832}"/>
    <cellStyle name="20 % - Markeringsfarve6 2 2 6 3" xfId="31046" xr:uid="{8C0B69E2-3E19-4F12-A57D-32199E3EF998}"/>
    <cellStyle name="20 % - Markeringsfarve6 2 2 7" xfId="31047" xr:uid="{170C731D-4173-4F99-A5A7-14ABA6097673}"/>
    <cellStyle name="20 % - Markeringsfarve6 2 2 7 2" xfId="31048" xr:uid="{EF24C74A-A6AF-46F1-9166-3AE5DCAA833F}"/>
    <cellStyle name="20 % - Markeringsfarve6 2 2 8" xfId="31049" xr:uid="{ED098C8A-DB43-4375-876B-29B177B3255C}"/>
    <cellStyle name="20 % - Markeringsfarve6 2 3" xfId="23537" xr:uid="{A874BD46-A3DF-4559-9263-CF1565790969}"/>
    <cellStyle name="20 % - Markeringsfarve6 2 3 2" xfId="23538" xr:uid="{748552C3-B8B7-4BFD-99EB-647E2A285D43}"/>
    <cellStyle name="20 % - Markeringsfarve6 2 3 2 2" xfId="31050" xr:uid="{54497B61-C46D-48B0-A8B7-F0E94F983812}"/>
    <cellStyle name="20 % - Markeringsfarve6 2 3 2 3" xfId="31051" xr:uid="{E10B42D1-13F4-4A2C-AE4C-3C08DBFFB157}"/>
    <cellStyle name="20 % - Markeringsfarve6 2 3 3" xfId="31052" xr:uid="{5DDF0D48-1BC8-410C-8F65-93A45B7A488A}"/>
    <cellStyle name="20 % - Markeringsfarve6 2 3 3 2" xfId="31053" xr:uid="{91510A3D-74E4-4FCE-A739-3393DDA0649D}"/>
    <cellStyle name="20 % - Markeringsfarve6 2 3 3 3" xfId="31054" xr:uid="{32019A80-AF25-4640-9F24-3192617E0948}"/>
    <cellStyle name="20 % - Markeringsfarve6 2 3 4" xfId="31055" xr:uid="{4783A03B-5461-4C89-A527-8DF0BA9C7C78}"/>
    <cellStyle name="20 % - Markeringsfarve6 2 3 4 2" xfId="31056" xr:uid="{F0BA927A-6BAF-45C7-92CE-EDBA61F14632}"/>
    <cellStyle name="20 % - Markeringsfarve6 2 3 4 3" xfId="31057" xr:uid="{CBB85D5D-2BCC-4518-8C65-FF966EB3721F}"/>
    <cellStyle name="20 % - Markeringsfarve6 2 3 5" xfId="31058" xr:uid="{EB195F7E-7CA4-4D0B-ABC4-37B2F997353C}"/>
    <cellStyle name="20 % - Markeringsfarve6 2 3 5 2" xfId="31059" xr:uid="{4D5463F2-597D-4070-AC89-7619BAC9C310}"/>
    <cellStyle name="20 % - Markeringsfarve6 2 3 5 3" xfId="31060" xr:uid="{A21130A3-8D84-4998-9179-3563830871EC}"/>
    <cellStyle name="20 % - Markeringsfarve6 2 3 6" xfId="31061" xr:uid="{67987420-1342-4F88-8599-57C7B8AFD3BF}"/>
    <cellStyle name="20 % - Markeringsfarve6 2 3 6 2" xfId="31062" xr:uid="{86F1A97F-DF7F-4736-A458-E26B939B347D}"/>
    <cellStyle name="20 % - Markeringsfarve6 2 3 6 3" xfId="31063" xr:uid="{B9B4EB0A-E37F-49D6-8665-B88B820D351C}"/>
    <cellStyle name="20 % - Markeringsfarve6 2 3 7" xfId="31064" xr:uid="{C2BE37FC-6436-4D53-A7A1-1B01957A3A8B}"/>
    <cellStyle name="20 % - Markeringsfarve6 2 3 7 2" xfId="31065" xr:uid="{9E40AFFE-130E-4110-8C3D-380A1CFB728C}"/>
    <cellStyle name="20 % - Markeringsfarve6 2 3 8" xfId="31066" xr:uid="{08C0B042-CE58-4CC9-B0AE-8072DD53B61A}"/>
    <cellStyle name="20 % - Markeringsfarve6 2 4" xfId="23539" xr:uid="{AB08F4EE-6E78-4B44-A8DF-6196808EA45D}"/>
    <cellStyle name="20 % - Markeringsfarve6 2 4 2" xfId="31067" xr:uid="{32A37BEE-A515-4F1F-BD92-DC27F70BDB20}"/>
    <cellStyle name="20 % - Markeringsfarve6 2 4 3" xfId="31068" xr:uid="{EA4F68DD-758B-417A-84A5-EA2B1D5F1DF9}"/>
    <cellStyle name="20 % - Markeringsfarve6 2 5" xfId="31069" xr:uid="{A43FB74E-CE05-431E-B477-3B15D4F97380}"/>
    <cellStyle name="20 % - Markeringsfarve6 2 5 2" xfId="31070" xr:uid="{BC881BBA-3ADC-435C-9F42-3395AA907E8E}"/>
    <cellStyle name="20 % - Markeringsfarve6 2 5 3" xfId="31071" xr:uid="{96CB9F7E-1083-441F-A5DF-7D0EE050BB00}"/>
    <cellStyle name="20 % - Markeringsfarve6 2 6" xfId="31072" xr:uid="{613FF43E-C62C-41AB-8CD3-95DF60805F2B}"/>
    <cellStyle name="20 % - Markeringsfarve6 2 6 2" xfId="31073" xr:uid="{B3583C5F-6634-40B6-83F8-6E1DDBA5B6D6}"/>
    <cellStyle name="20 % - Markeringsfarve6 2 6 3" xfId="31074" xr:uid="{57EED93A-DE91-42D6-A4C4-29DDD071B2B7}"/>
    <cellStyle name="20 % - Markeringsfarve6 2 7" xfId="31075" xr:uid="{5AAC8A4E-EB93-4319-AFE1-FFBEBC8AD3F4}"/>
    <cellStyle name="20 % - Markeringsfarve6 2 7 2" xfId="31076" xr:uid="{E86F2321-5E4D-4AD9-923A-9454A380A498}"/>
    <cellStyle name="20 % - Markeringsfarve6 2 7 3" xfId="31077" xr:uid="{5AABDD2A-8D5B-42AA-8903-5DC202611BF6}"/>
    <cellStyle name="20 % - Markeringsfarve6 2 8" xfId="31078" xr:uid="{4FB46617-B67F-4348-AD38-9EF672488B0E}"/>
    <cellStyle name="20 % - Markeringsfarve6 2 8 2" xfId="31079" xr:uid="{EAB24DDC-88ED-441E-A34D-F653F0569D12}"/>
    <cellStyle name="20 % - Markeringsfarve6 2 8 3" xfId="31080" xr:uid="{EDB33D06-DF78-4199-B620-598B2A6FD466}"/>
    <cellStyle name="20 % - Markeringsfarve6 2 9" xfId="31081" xr:uid="{07CEBC58-0C08-47C2-98E6-FEEEEFE4353E}"/>
    <cellStyle name="20 % - Markeringsfarve6 2 9 2" xfId="31082" xr:uid="{C4A88F5E-ACA8-478E-9E50-DE62593CA018}"/>
    <cellStyle name="20 % - Markeringsfarve6 3" xfId="2590" xr:uid="{B5B46348-71F9-4DF7-995E-D376E5D3C56D}"/>
    <cellStyle name="20 % - Markeringsfarve6 3 10" xfId="31083" xr:uid="{63D758C4-F5B9-4EE1-A6E5-1C140528B356}"/>
    <cellStyle name="20 % - Markeringsfarve6 3 2" xfId="23540" xr:uid="{12DA3580-D2CF-4A3F-BCEB-28126F223231}"/>
    <cellStyle name="20 % - Markeringsfarve6 3 2 2" xfId="31084" xr:uid="{4CCA6B6C-1D0B-4385-BD5B-2A18D0C800F9}"/>
    <cellStyle name="20 % - Markeringsfarve6 3 2 2 2" xfId="31085" xr:uid="{D9B37DA1-734B-437D-933D-55574C05DA85}"/>
    <cellStyle name="20 % - Markeringsfarve6 3 2 2 3" xfId="31086" xr:uid="{5D2A5E59-32DD-4518-B959-D194C5EF1C13}"/>
    <cellStyle name="20 % - Markeringsfarve6 3 2 3" xfId="31087" xr:uid="{FBF2E38A-5E75-4F41-8E35-DCE137E65976}"/>
    <cellStyle name="20 % - Markeringsfarve6 3 2 3 2" xfId="31088" xr:uid="{D42134CF-DCA4-470C-90AC-4AA24B65C363}"/>
    <cellStyle name="20 % - Markeringsfarve6 3 2 3 3" xfId="31089" xr:uid="{CF9C8A19-055A-40F1-8CB9-C89B8209C8DC}"/>
    <cellStyle name="20 % - Markeringsfarve6 3 2 4" xfId="31090" xr:uid="{4C46E89D-1961-4D8B-BA83-49FEAFBC9C9B}"/>
    <cellStyle name="20 % - Markeringsfarve6 3 2 4 2" xfId="31091" xr:uid="{14FF7666-3F71-4816-8B1E-5C262A4103A6}"/>
    <cellStyle name="20 % - Markeringsfarve6 3 2 4 3" xfId="31092" xr:uid="{2CF37CCF-B276-423D-8801-813286BB7760}"/>
    <cellStyle name="20 % - Markeringsfarve6 3 2 5" xfId="31093" xr:uid="{8E30706A-1EB5-4D71-BBD9-EAD6A9B46D37}"/>
    <cellStyle name="20 % - Markeringsfarve6 3 2 5 2" xfId="31094" xr:uid="{44E73774-47D0-47D4-B84A-874050CA8E14}"/>
    <cellStyle name="20 % - Markeringsfarve6 3 2 5 3" xfId="31095" xr:uid="{097BFDE8-2B1E-4B4D-84C1-6BBF145C0D46}"/>
    <cellStyle name="20 % - Markeringsfarve6 3 2 6" xfId="31096" xr:uid="{F73F670E-8720-48EF-B19C-2336294B8EBC}"/>
    <cellStyle name="20 % - Markeringsfarve6 3 2 6 2" xfId="31097" xr:uid="{9A5D49FA-8445-4A31-8C3C-DDF86FCBC313}"/>
    <cellStyle name="20 % - Markeringsfarve6 3 2 6 3" xfId="31098" xr:uid="{F5869595-F325-4B3F-A059-05F3EF254E0D}"/>
    <cellStyle name="20 % - Markeringsfarve6 3 2 7" xfId="31099" xr:uid="{EEBC78AE-E532-4232-A281-10FC37A2D75A}"/>
    <cellStyle name="20 % - Markeringsfarve6 3 2 7 2" xfId="31100" xr:uid="{889E17D9-71E4-4D17-95D5-18DDA07CD620}"/>
    <cellStyle name="20 % - Markeringsfarve6 3 2 8" xfId="31101" xr:uid="{6E5B4692-CBC8-4E8A-96AD-8A2F2A22E1FA}"/>
    <cellStyle name="20 % - Markeringsfarve6 3 3" xfId="31102" xr:uid="{7F4F648F-F2B0-4539-8DFC-F07694050221}"/>
    <cellStyle name="20 % - Markeringsfarve6 3 3 2" xfId="31103" xr:uid="{599D6FB2-2130-40F3-A1BD-8BD80369C2F1}"/>
    <cellStyle name="20 % - Markeringsfarve6 3 3 2 2" xfId="31104" xr:uid="{F723D23E-D9A9-4035-90B7-A6AE67B593B2}"/>
    <cellStyle name="20 % - Markeringsfarve6 3 3 2 3" xfId="31105" xr:uid="{F4B35A18-8BD0-4775-B947-15F320581EDA}"/>
    <cellStyle name="20 % - Markeringsfarve6 3 3 3" xfId="31106" xr:uid="{3D8E2CDF-8C36-42D0-8236-0F93505326E0}"/>
    <cellStyle name="20 % - Markeringsfarve6 3 3 3 2" xfId="31107" xr:uid="{1D7DA984-B36E-4EC8-B047-30D9D0E90849}"/>
    <cellStyle name="20 % - Markeringsfarve6 3 3 3 3" xfId="31108" xr:uid="{C2C03899-5B6C-4365-8022-C1A196080BE0}"/>
    <cellStyle name="20 % - Markeringsfarve6 3 3 4" xfId="31109" xr:uid="{ABF63AB7-11D3-4A44-A0F8-FD140CA48F8F}"/>
    <cellStyle name="20 % - Markeringsfarve6 3 3 4 2" xfId="31110" xr:uid="{D172544C-391F-4E11-9C01-9C92EAD57FD7}"/>
    <cellStyle name="20 % - Markeringsfarve6 3 3 4 3" xfId="31111" xr:uid="{77BAB1B8-2A1E-46BD-9530-629D94C8D540}"/>
    <cellStyle name="20 % - Markeringsfarve6 3 3 5" xfId="31112" xr:uid="{5C01A81B-6E31-4E56-B1A0-4393F728DFA4}"/>
    <cellStyle name="20 % - Markeringsfarve6 3 3 5 2" xfId="31113" xr:uid="{779CABDC-6512-4B8B-95BB-AB4ECAD16C5F}"/>
    <cellStyle name="20 % - Markeringsfarve6 3 3 5 3" xfId="31114" xr:uid="{A76B0691-A5F2-4EBB-8B19-67F4893F221D}"/>
    <cellStyle name="20 % - Markeringsfarve6 3 3 6" xfId="31115" xr:uid="{1BE488AD-3EF1-4A20-9EF8-170AFDF8011B}"/>
    <cellStyle name="20 % - Markeringsfarve6 3 3 6 2" xfId="31116" xr:uid="{CFAAE62C-F1D8-4977-9AF0-39BDB530CB42}"/>
    <cellStyle name="20 % - Markeringsfarve6 3 3 6 3" xfId="31117" xr:uid="{8F1CE1D3-3DD0-4226-8B25-512D93B86EAD}"/>
    <cellStyle name="20 % - Markeringsfarve6 3 3 7" xfId="31118" xr:uid="{4FDE42A9-F92B-4AE3-8475-55061E106B3C}"/>
    <cellStyle name="20 % - Markeringsfarve6 3 3 7 2" xfId="31119" xr:uid="{66249FDC-95D5-44B8-BDAE-F733F263FC26}"/>
    <cellStyle name="20 % - Markeringsfarve6 3 3 8" xfId="31120" xr:uid="{A5252C4D-D52B-440B-B89E-7E007A9A5898}"/>
    <cellStyle name="20 % - Markeringsfarve6 3 4" xfId="31121" xr:uid="{56C57F13-C8C7-49DD-845C-FBE80548E2FC}"/>
    <cellStyle name="20 % - Markeringsfarve6 3 4 2" xfId="31122" xr:uid="{C3445EFF-F01C-498C-A8DE-C2BDEB05F62D}"/>
    <cellStyle name="20 % - Markeringsfarve6 3 4 3" xfId="31123" xr:uid="{EE2F853B-5A65-43B1-AFB9-03CAB78AF55A}"/>
    <cellStyle name="20 % - Markeringsfarve6 3 5" xfId="31124" xr:uid="{80CF811C-7C5B-4A4C-9808-399ECD93BF14}"/>
    <cellStyle name="20 % - Markeringsfarve6 3 5 2" xfId="31125" xr:uid="{492E21B4-4296-4B55-922A-99EA33E7A22D}"/>
    <cellStyle name="20 % - Markeringsfarve6 3 5 3" xfId="31126" xr:uid="{8171F05A-1AFB-4D2F-AAEF-DC2EDD748579}"/>
    <cellStyle name="20 % - Markeringsfarve6 3 6" xfId="31127" xr:uid="{C18C71FA-73DB-44F0-A316-A616BECD9976}"/>
    <cellStyle name="20 % - Markeringsfarve6 3 6 2" xfId="31128" xr:uid="{8B79DFAF-3A6A-47FC-ACC2-158D8D002990}"/>
    <cellStyle name="20 % - Markeringsfarve6 3 6 3" xfId="31129" xr:uid="{68A24139-057E-4947-98BD-B9B1F426D1E2}"/>
    <cellStyle name="20 % - Markeringsfarve6 3 7" xfId="31130" xr:uid="{DCA40062-2964-4CC5-A515-4B3E56189F13}"/>
    <cellStyle name="20 % - Markeringsfarve6 3 7 2" xfId="31131" xr:uid="{F18AF363-1C6B-4751-94D2-20E28724D302}"/>
    <cellStyle name="20 % - Markeringsfarve6 3 7 3" xfId="31132" xr:uid="{76A618B5-D47F-4D93-80C6-ED9E9E648522}"/>
    <cellStyle name="20 % - Markeringsfarve6 3 8" xfId="31133" xr:uid="{606BBD86-424D-4227-973D-A44753F9CCD4}"/>
    <cellStyle name="20 % - Markeringsfarve6 3 8 2" xfId="31134" xr:uid="{C6AC60FC-A20C-4123-8F2B-6C5AC5F21060}"/>
    <cellStyle name="20 % - Markeringsfarve6 3 8 3" xfId="31135" xr:uid="{19FF31C4-D4B8-4238-9135-90B9726F1E74}"/>
    <cellStyle name="20 % - Markeringsfarve6 3 9" xfId="31136" xr:uid="{46084FCC-4E2A-43A6-9630-1F2649AA4A96}"/>
    <cellStyle name="20 % - Markeringsfarve6 3 9 2" xfId="31137" xr:uid="{1DDB66E7-983E-4C42-BDF5-1E1A0D400436}"/>
    <cellStyle name="20 % - Markeringsfarve6 4" xfId="23541" xr:uid="{CDF501CC-E88C-467E-AFAD-A3512FD85290}"/>
    <cellStyle name="20 % - Markeringsfarve6 4 2" xfId="23542" xr:uid="{7576FBA1-71EC-41A5-89F5-81A23CB705A3}"/>
    <cellStyle name="20 % - Markeringsfarve6 4 2 2" xfId="31138" xr:uid="{61276270-218F-4EEF-B3D1-28ED20B90AEC}"/>
    <cellStyle name="20 % - Markeringsfarve6 4 2 3" xfId="31139" xr:uid="{E7FAD0E6-8F77-4E6B-B7E0-24CDC7363232}"/>
    <cellStyle name="20 % - Markeringsfarve6 4 3" xfId="31140" xr:uid="{BC3AF1B0-A51C-4F37-BFAF-3D45069AA484}"/>
    <cellStyle name="20 % - Markeringsfarve6 4 3 2" xfId="31141" xr:uid="{6131BBBA-F082-4B73-9257-D45B8053F6F9}"/>
    <cellStyle name="20 % - Markeringsfarve6 4 3 3" xfId="31142" xr:uid="{D380D0F7-D243-493B-AFE7-41C5329F4D94}"/>
    <cellStyle name="20 % - Markeringsfarve6 4 4" xfId="31143" xr:uid="{50DD9D8D-6641-4426-9980-FFBA75B722DE}"/>
    <cellStyle name="20 % - Markeringsfarve6 4 4 2" xfId="31144" xr:uid="{0652E300-10D4-4F04-ACC2-12A2168555CA}"/>
    <cellStyle name="20 % - Markeringsfarve6 4 4 3" xfId="31145" xr:uid="{ECD96A45-3220-4D2C-93C1-16DEEB32A9E3}"/>
    <cellStyle name="20 % - Markeringsfarve6 4 5" xfId="31146" xr:uid="{BAE3E9CC-0D95-46A9-BBD4-B0C7B572D689}"/>
    <cellStyle name="20 % - Markeringsfarve6 4 5 2" xfId="31147" xr:uid="{FEAE5EBD-4D5D-4875-AC88-7450576EAAE6}"/>
    <cellStyle name="20 % - Markeringsfarve6 4 5 3" xfId="31148" xr:uid="{B754F951-BDCA-431D-8504-47BF51EC180B}"/>
    <cellStyle name="20 % - Markeringsfarve6 4 6" xfId="31149" xr:uid="{2F6BED99-CCE1-449C-863D-73672CCEF29A}"/>
    <cellStyle name="20 % - Markeringsfarve6 4 6 2" xfId="31150" xr:uid="{A734B4A9-D276-471D-81F5-5C5EB19BD7B7}"/>
    <cellStyle name="20 % - Markeringsfarve6 4 6 3" xfId="31151" xr:uid="{C9E152A1-53D9-481C-A3F2-3F7225C48F4B}"/>
    <cellStyle name="20 % - Markeringsfarve6 4 7" xfId="31152" xr:uid="{08000811-E42A-4764-8849-3F6B21A36D37}"/>
    <cellStyle name="20 % - Markeringsfarve6 4 7 2" xfId="31153" xr:uid="{62C943B5-220E-4729-88D4-A5F6C48F6EB9}"/>
    <cellStyle name="20 % - Markeringsfarve6 4 8" xfId="31154" xr:uid="{C490BCD0-E22A-414E-8961-B961C48C0DD0}"/>
    <cellStyle name="20 % - Markeringsfarve6 5" xfId="23543" xr:uid="{70EEDDEF-0D0F-44F5-B186-C1EB1FC23ABA}"/>
    <cellStyle name="20 % - Markeringsfarve6 5 2" xfId="23544" xr:uid="{4B5B8E4E-7C44-4BB0-8293-97C7B95D0F3C}"/>
    <cellStyle name="20 % - Markeringsfarve6 5 2 2" xfId="31155" xr:uid="{2D6863CA-1820-4D13-848E-5B5ECFE32CD7}"/>
    <cellStyle name="20 % - Markeringsfarve6 5 2 3" xfId="31156" xr:uid="{608B79E9-FC44-46BD-9C00-3D63136B0005}"/>
    <cellStyle name="20 % - Markeringsfarve6 5 3" xfId="31157" xr:uid="{84C5DF62-7F25-4D78-82E8-B2FD3C1DA352}"/>
    <cellStyle name="20 % - Markeringsfarve6 5 3 2" xfId="31158" xr:uid="{96F4B578-FCEF-4A98-BE38-0F6D84CC8B7E}"/>
    <cellStyle name="20 % - Markeringsfarve6 5 3 3" xfId="31159" xr:uid="{FC09B64D-8358-44B3-8B25-ABADCEBD29B3}"/>
    <cellStyle name="20 % - Markeringsfarve6 5 4" xfId="31160" xr:uid="{AB1BAE92-D735-4D29-99E4-99816A3AFDA2}"/>
    <cellStyle name="20 % - Markeringsfarve6 5 4 2" xfId="31161" xr:uid="{D00E0238-025D-4D9A-B9AC-0B0DF073717D}"/>
    <cellStyle name="20 % - Markeringsfarve6 5 4 3" xfId="31162" xr:uid="{F7F70B38-AAD4-4FC5-B938-9C53DFCF26CF}"/>
    <cellStyle name="20 % - Markeringsfarve6 5 5" xfId="31163" xr:uid="{B510770B-FE03-47EE-A33F-023E5AC4D941}"/>
    <cellStyle name="20 % - Markeringsfarve6 5 5 2" xfId="31164" xr:uid="{395C65DA-1BD8-4F58-98FB-2D0C365AEE4C}"/>
    <cellStyle name="20 % - Markeringsfarve6 5 5 3" xfId="31165" xr:uid="{CC8C6AA8-7A02-4B14-9FDA-B8F3074941AE}"/>
    <cellStyle name="20 % - Markeringsfarve6 5 6" xfId="31166" xr:uid="{991BC2AD-B5BA-43B9-9F51-6D63CCE92DB1}"/>
    <cellStyle name="20 % - Markeringsfarve6 5 6 2" xfId="31167" xr:uid="{7BA17932-A7A2-4E64-8587-B0AE56EFAF6E}"/>
    <cellStyle name="20 % - Markeringsfarve6 5 6 3" xfId="31168" xr:uid="{17D1CE68-E6E4-4C79-B001-02C5B27100F6}"/>
    <cellStyle name="20 % - Markeringsfarve6 5 7" xfId="31169" xr:uid="{13F370F9-7B14-4B30-B7C3-9EBC96852677}"/>
    <cellStyle name="20 % - Markeringsfarve6 5 7 2" xfId="31170" xr:uid="{FFDEE673-B054-4119-B242-621996D80112}"/>
    <cellStyle name="20 % - Markeringsfarve6 5 8" xfId="31171" xr:uid="{92324F24-D766-4F2F-AC58-E1CF16854C95}"/>
    <cellStyle name="20 % - Markeringsfarve6 6" xfId="23545" xr:uid="{B10AA89B-BDDE-4D20-B3DD-6C208DEE8029}"/>
    <cellStyle name="20 % - Markeringsfarve6 6 2" xfId="23546" xr:uid="{A2605F20-69C1-4A42-B584-D1BAA2A78849}"/>
    <cellStyle name="20 % - Markeringsfarve6 6 3" xfId="31172" xr:uid="{5C5CE64B-68AB-4269-86D8-48EFC96732C6}"/>
    <cellStyle name="20 % - Markeringsfarve6 7" xfId="23547" xr:uid="{2C4EA3CB-545E-44A7-B27E-E073330A8015}"/>
    <cellStyle name="20 % - Markeringsfarve6 7 2" xfId="31173" xr:uid="{FC233293-243C-4DFF-8064-39778D181755}"/>
    <cellStyle name="20 % - Markeringsfarve6 7 3" xfId="31174" xr:uid="{C2C6829E-64DE-42FD-AC1B-CB0694A68C0D}"/>
    <cellStyle name="20 % - Markeringsfarve6 8" xfId="31175" xr:uid="{E3841762-E7A0-4E1C-BDBE-97BB1EC983F3}"/>
    <cellStyle name="20 % - Markeringsfarve6 8 2" xfId="31176" xr:uid="{86DCD0FA-1BDE-4319-94F5-CBEFD13551A5}"/>
    <cellStyle name="20 % - Markeringsfarve6 8 3" xfId="31177" xr:uid="{7ED45D65-F3A1-4CCF-AADA-CAA51A9CE88A}"/>
    <cellStyle name="20 % - Markeringsfarve6 9" xfId="31178" xr:uid="{C3EFB7AC-8203-4E65-A04B-36450B7D8707}"/>
    <cellStyle name="20 % - Markeringsfarve6 9 2" xfId="31179" xr:uid="{A6EAADD4-C498-4B2F-AEEE-3AA64B8F6E3C}"/>
    <cellStyle name="20 % - Markeringsfarve6 9 3" xfId="31180" xr:uid="{835B799A-C1F1-4EAE-A9E0-C62157D81ADE}"/>
    <cellStyle name="20% - Accent1 2" xfId="23548" xr:uid="{DD86783D-1E7C-4654-B9D7-E87B880B5362}"/>
    <cellStyle name="20% - Accent2 2" xfId="23549" xr:uid="{1219D04F-4F36-4635-80A0-5A7A08EF8157}"/>
    <cellStyle name="20% - Accent3 2" xfId="23550" xr:uid="{CF729CE7-30AE-40E8-A4A2-189DC7E90FD2}"/>
    <cellStyle name="20% - Accent4 2" xfId="23551" xr:uid="{E9318D6A-8B70-4C09-B7F4-4EB19F4D4B4F}"/>
    <cellStyle name="20% - Accent5 2" xfId="23552" xr:uid="{9B832F5C-2748-4065-AE78-44142AECAC09}"/>
    <cellStyle name="20% - Accent6 2" xfId="23553" xr:uid="{F31645F1-75D9-4A37-BDC9-D77A0609040F}"/>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2x indented GHG Textfiels" xfId="30231" xr:uid="{18A2797C-E355-4D28-9952-9335090C98DC}"/>
    <cellStyle name="40 % - Markeringsfarve1" xfId="1271" xr:uid="{00000000-0005-0000-0000-000018000000}"/>
    <cellStyle name="40 % - Markeringsfarve1 10" xfId="31181" xr:uid="{754A9B5B-DC4D-4DE6-8531-BFBAAD1BC948}"/>
    <cellStyle name="40 % - Markeringsfarve1 10 2" xfId="31182" xr:uid="{6CE5E172-69FB-401F-B210-5A02885A086C}"/>
    <cellStyle name="40 % - Markeringsfarve1 10 3" xfId="31183" xr:uid="{958D1080-4361-4489-9194-83EFC40DCD02}"/>
    <cellStyle name="40 % - Markeringsfarve1 11" xfId="31184" xr:uid="{9C8BB0C7-3547-4AA4-B3CF-4FB5C789681B}"/>
    <cellStyle name="40 % - Markeringsfarve1 11 2" xfId="31185" xr:uid="{2D087EB0-E844-4133-8F7F-A3B263C0C448}"/>
    <cellStyle name="40 % - Markeringsfarve1 12" xfId="31186" xr:uid="{4F766CBA-7889-436B-B468-C56E87152860}"/>
    <cellStyle name="40 % - Markeringsfarve1 13" xfId="17729" xr:uid="{430B612F-FB94-4738-A46B-79F28A4446C9}"/>
    <cellStyle name="40 % - Markeringsfarve1 2" xfId="1272" xr:uid="{00000000-0005-0000-0000-000019000000}"/>
    <cellStyle name="40 % - Markeringsfarve1 2 10" xfId="31187" xr:uid="{2C3E6472-68B9-41AB-8F9B-A68CA2451FEB}"/>
    <cellStyle name="40 % - Markeringsfarve1 2 11" xfId="17730" xr:uid="{909B46D3-ECA6-407D-81A5-582DA74544BE}"/>
    <cellStyle name="40 % - Markeringsfarve1 2 2" xfId="23554" xr:uid="{E938EDD8-552E-4A8C-88F0-9D95205A9D55}"/>
    <cellStyle name="40 % - Markeringsfarve1 2 2 2" xfId="23555" xr:uid="{8CBCE1B8-D570-437D-9C99-39F95F8CE793}"/>
    <cellStyle name="40 % - Markeringsfarve1 2 2 2 2" xfId="31188" xr:uid="{8936E664-42C3-4DB8-B347-96BFC3A2C0EE}"/>
    <cellStyle name="40 % - Markeringsfarve1 2 2 2 3" xfId="31189" xr:uid="{41DC6CA6-41DE-47C2-AA12-C601CB9C9935}"/>
    <cellStyle name="40 % - Markeringsfarve1 2 2 3" xfId="31190" xr:uid="{F8A0FA14-FB6E-4460-88A7-D88F383B0D49}"/>
    <cellStyle name="40 % - Markeringsfarve1 2 2 3 2" xfId="31191" xr:uid="{39FBFE5B-AB1C-4516-ADE7-9BB10AA2B3D9}"/>
    <cellStyle name="40 % - Markeringsfarve1 2 2 3 3" xfId="31192" xr:uid="{01F46432-6F33-4A54-8B94-C3105187AEC0}"/>
    <cellStyle name="40 % - Markeringsfarve1 2 2 4" xfId="31193" xr:uid="{BEC04778-8CC0-4F1E-B1DF-07EB5C4EFFC9}"/>
    <cellStyle name="40 % - Markeringsfarve1 2 2 4 2" xfId="31194" xr:uid="{69D4B903-0DDE-4483-BE55-9D99CC67CBBF}"/>
    <cellStyle name="40 % - Markeringsfarve1 2 2 4 3" xfId="31195" xr:uid="{0B4A8A4B-C1CF-4C2B-BAF3-F9F9D822F7EE}"/>
    <cellStyle name="40 % - Markeringsfarve1 2 2 5" xfId="31196" xr:uid="{39A733E0-8DA6-4028-B4C6-2242B584DD4F}"/>
    <cellStyle name="40 % - Markeringsfarve1 2 2 5 2" xfId="31197" xr:uid="{7A8F5F1A-ADDD-4B8A-9F30-D5AE55A35463}"/>
    <cellStyle name="40 % - Markeringsfarve1 2 2 5 3" xfId="31198" xr:uid="{9DB1705B-973E-4A71-B463-6967AE3E2EE9}"/>
    <cellStyle name="40 % - Markeringsfarve1 2 2 6" xfId="31199" xr:uid="{7AE9CE08-4703-47F3-B82E-F03572E501FD}"/>
    <cellStyle name="40 % - Markeringsfarve1 2 2 6 2" xfId="31200" xr:uid="{2412BB32-5D51-4E0A-9183-4495081307D4}"/>
    <cellStyle name="40 % - Markeringsfarve1 2 2 6 3" xfId="31201" xr:uid="{4761C4B5-B420-4681-BD07-415D4078C343}"/>
    <cellStyle name="40 % - Markeringsfarve1 2 2 7" xfId="31202" xr:uid="{6ED5CEF6-21C2-4D54-9F5D-7790CAFA47ED}"/>
    <cellStyle name="40 % - Markeringsfarve1 2 2 7 2" xfId="31203" xr:uid="{D64C1101-505E-4DA8-BC58-CFB85DCA60BD}"/>
    <cellStyle name="40 % - Markeringsfarve1 2 2 8" xfId="31204" xr:uid="{B150B478-0AAE-4509-B92A-6F076E67AED0}"/>
    <cellStyle name="40 % - Markeringsfarve1 2 3" xfId="23556" xr:uid="{DCFA0D44-87DC-4298-9D3F-5CBB71A01858}"/>
    <cellStyle name="40 % - Markeringsfarve1 2 3 2" xfId="23557" xr:uid="{775C4673-EE36-4EBA-8A07-C7C6088D070E}"/>
    <cellStyle name="40 % - Markeringsfarve1 2 3 2 2" xfId="31205" xr:uid="{1C3B6476-777D-4BE8-A7A6-CD941A456523}"/>
    <cellStyle name="40 % - Markeringsfarve1 2 3 2 3" xfId="31206" xr:uid="{5427FC99-A680-468A-A9BA-9B0391E1F588}"/>
    <cellStyle name="40 % - Markeringsfarve1 2 3 3" xfId="31207" xr:uid="{181FDEBA-822C-4C9C-AF9F-DE59B8FAEF50}"/>
    <cellStyle name="40 % - Markeringsfarve1 2 3 3 2" xfId="31208" xr:uid="{8E5D7DF1-2CD9-4450-9191-D21633250043}"/>
    <cellStyle name="40 % - Markeringsfarve1 2 3 3 3" xfId="31209" xr:uid="{02F6D3A2-090E-46F3-AA02-BD3FA0E3D474}"/>
    <cellStyle name="40 % - Markeringsfarve1 2 3 4" xfId="31210" xr:uid="{3A4231B8-49EE-4C1E-9159-BA5E09D79CEA}"/>
    <cellStyle name="40 % - Markeringsfarve1 2 3 4 2" xfId="31211" xr:uid="{AF91965A-EE52-40C6-871C-D7D89E5C28A9}"/>
    <cellStyle name="40 % - Markeringsfarve1 2 3 4 3" xfId="31212" xr:uid="{7C8CE79A-B2CF-4E34-AD99-C2B5B1787E87}"/>
    <cellStyle name="40 % - Markeringsfarve1 2 3 5" xfId="31213" xr:uid="{B8185520-ED0B-4BEA-8AC5-F4B58F862EEA}"/>
    <cellStyle name="40 % - Markeringsfarve1 2 3 5 2" xfId="31214" xr:uid="{544C4FAD-34EE-4903-A2CA-5B5F57EA92F7}"/>
    <cellStyle name="40 % - Markeringsfarve1 2 3 5 3" xfId="31215" xr:uid="{2DCE0B1C-3B5B-4726-9E4F-1C945EE3F38C}"/>
    <cellStyle name="40 % - Markeringsfarve1 2 3 6" xfId="31216" xr:uid="{167D6C17-5493-4609-905A-5A397656DE4D}"/>
    <cellStyle name="40 % - Markeringsfarve1 2 3 6 2" xfId="31217" xr:uid="{50364191-7ECE-46E3-8DB1-F0CBEE8E1A64}"/>
    <cellStyle name="40 % - Markeringsfarve1 2 3 6 3" xfId="31218" xr:uid="{8B4F63E2-D878-472F-ADCC-3B64C077A233}"/>
    <cellStyle name="40 % - Markeringsfarve1 2 3 7" xfId="31219" xr:uid="{61E8E132-D74C-4D27-B961-2D48A212AC97}"/>
    <cellStyle name="40 % - Markeringsfarve1 2 3 7 2" xfId="31220" xr:uid="{7D3CD01F-3D24-4F2C-B4F0-307A10BB5DAA}"/>
    <cellStyle name="40 % - Markeringsfarve1 2 3 8" xfId="31221" xr:uid="{A279D220-1B39-4945-8255-5DBBCC6B8512}"/>
    <cellStyle name="40 % - Markeringsfarve1 2 4" xfId="23558" xr:uid="{8C8B98F1-1F32-40D4-8A09-0CF7C7B9D670}"/>
    <cellStyle name="40 % - Markeringsfarve1 2 4 2" xfId="31222" xr:uid="{FE7E65AB-E630-474C-8E84-7AD95D549E30}"/>
    <cellStyle name="40 % - Markeringsfarve1 2 4 3" xfId="31223" xr:uid="{8AB4A9FE-0775-4E96-AF97-6001F3733039}"/>
    <cellStyle name="40 % - Markeringsfarve1 2 5" xfId="31224" xr:uid="{FA063C44-050F-4284-B653-466C59EF8CF9}"/>
    <cellStyle name="40 % - Markeringsfarve1 2 5 2" xfId="31225" xr:uid="{FF082F8F-8DF3-4985-B4DD-32FE774DCA52}"/>
    <cellStyle name="40 % - Markeringsfarve1 2 5 3" xfId="31226" xr:uid="{A2B8C09E-3BEE-4ED0-9597-050283C44687}"/>
    <cellStyle name="40 % - Markeringsfarve1 2 6" xfId="31227" xr:uid="{F814B800-28D9-47BB-9017-3EEE01467925}"/>
    <cellStyle name="40 % - Markeringsfarve1 2 6 2" xfId="31228" xr:uid="{5408926E-0ED1-46B1-9B6A-BC3997F8C03C}"/>
    <cellStyle name="40 % - Markeringsfarve1 2 6 3" xfId="31229" xr:uid="{99239901-63C4-4979-AE70-5B7AD23E4B8F}"/>
    <cellStyle name="40 % - Markeringsfarve1 2 7" xfId="31230" xr:uid="{52AA5351-8B5D-41A6-9DC6-BB10427275C4}"/>
    <cellStyle name="40 % - Markeringsfarve1 2 7 2" xfId="31231" xr:uid="{AAD93BCB-1C84-45EF-A87D-D1FE6D8501FD}"/>
    <cellStyle name="40 % - Markeringsfarve1 2 7 3" xfId="31232" xr:uid="{EDF51C58-5C70-4955-AF26-EE1C3E34079F}"/>
    <cellStyle name="40 % - Markeringsfarve1 2 8" xfId="31233" xr:uid="{0640854A-6C7E-45E4-B98A-46C7BAB077B8}"/>
    <cellStyle name="40 % - Markeringsfarve1 2 8 2" xfId="31234" xr:uid="{7C53F166-A09F-45C1-A06D-BF7456BAB9BE}"/>
    <cellStyle name="40 % - Markeringsfarve1 2 8 3" xfId="31235" xr:uid="{233A68E6-FCE2-4EDD-99F3-C5FB971F6165}"/>
    <cellStyle name="40 % - Markeringsfarve1 2 9" xfId="31236" xr:uid="{9CC62FDE-A8D8-43A2-ADB8-BFCF1964F97E}"/>
    <cellStyle name="40 % - Markeringsfarve1 2 9 2" xfId="31237" xr:uid="{F1E66E8B-DD40-4875-B867-033B57E5E2D3}"/>
    <cellStyle name="40 % - Markeringsfarve1 3" xfId="2591" xr:uid="{F1D287DE-09C5-4118-AEA0-C4812786FA53}"/>
    <cellStyle name="40 % - Markeringsfarve1 3 10" xfId="31238" xr:uid="{B727EB35-34BD-4477-ABF8-A43DD0A0D8DA}"/>
    <cellStyle name="40 % - Markeringsfarve1 3 2" xfId="23559" xr:uid="{B2ACC7B2-B4E1-4827-A9D7-0856DC67CD45}"/>
    <cellStyle name="40 % - Markeringsfarve1 3 2 2" xfId="31239" xr:uid="{BBA9956B-77B7-4AB3-A613-0D969248F788}"/>
    <cellStyle name="40 % - Markeringsfarve1 3 2 2 2" xfId="31240" xr:uid="{EAD1D8DF-11AD-44B1-A673-B5FFC8A2374A}"/>
    <cellStyle name="40 % - Markeringsfarve1 3 2 2 3" xfId="31241" xr:uid="{05D2E921-2402-4086-AA1D-788F8E63D470}"/>
    <cellStyle name="40 % - Markeringsfarve1 3 2 3" xfId="31242" xr:uid="{CF29AC69-D944-4FAC-A457-E25C8A08535D}"/>
    <cellStyle name="40 % - Markeringsfarve1 3 2 3 2" xfId="31243" xr:uid="{D468BC0E-B401-45B2-BBB2-3A9BBEFA9122}"/>
    <cellStyle name="40 % - Markeringsfarve1 3 2 3 3" xfId="31244" xr:uid="{67BB5A27-9206-4C10-8A20-E331F3D9D9AE}"/>
    <cellStyle name="40 % - Markeringsfarve1 3 2 4" xfId="31245" xr:uid="{C4C57367-55C4-4928-A6A8-7A666A1B8621}"/>
    <cellStyle name="40 % - Markeringsfarve1 3 2 4 2" xfId="31246" xr:uid="{49DDE76C-9707-4F40-874E-17CA0AED762C}"/>
    <cellStyle name="40 % - Markeringsfarve1 3 2 4 3" xfId="31247" xr:uid="{9E64C787-A7D1-49DE-816E-68BDCD83D08F}"/>
    <cellStyle name="40 % - Markeringsfarve1 3 2 5" xfId="31248" xr:uid="{1814AC1A-ACD8-45E1-859D-FF17AF055854}"/>
    <cellStyle name="40 % - Markeringsfarve1 3 2 5 2" xfId="31249" xr:uid="{64ED8D6A-2EF6-46C5-91AC-11B3B17ED5B6}"/>
    <cellStyle name="40 % - Markeringsfarve1 3 2 5 3" xfId="31250" xr:uid="{F4DDD204-4D9D-47A8-9448-B8F1B5368C35}"/>
    <cellStyle name="40 % - Markeringsfarve1 3 2 6" xfId="31251" xr:uid="{30026527-E287-481F-9A01-030CD92ABD91}"/>
    <cellStyle name="40 % - Markeringsfarve1 3 2 6 2" xfId="31252" xr:uid="{BE43E6CE-6BA3-4012-BFD5-F7A5DE4EBF22}"/>
    <cellStyle name="40 % - Markeringsfarve1 3 2 6 3" xfId="31253" xr:uid="{0B120881-71CE-4603-823F-6075143E470C}"/>
    <cellStyle name="40 % - Markeringsfarve1 3 2 7" xfId="31254" xr:uid="{9B481735-3A88-407C-927A-D83815BB3716}"/>
    <cellStyle name="40 % - Markeringsfarve1 3 2 7 2" xfId="31255" xr:uid="{7E06EDE6-3361-4F5C-9841-5D69AD435D16}"/>
    <cellStyle name="40 % - Markeringsfarve1 3 2 8" xfId="31256" xr:uid="{EAB03D78-BA67-47C4-A3EB-200185ACE509}"/>
    <cellStyle name="40 % - Markeringsfarve1 3 3" xfId="31257" xr:uid="{6672053F-5089-4EE3-8061-49E9DAA73E41}"/>
    <cellStyle name="40 % - Markeringsfarve1 3 3 2" xfId="31258" xr:uid="{A94059A8-E62E-41D8-91C4-54444174CAE9}"/>
    <cellStyle name="40 % - Markeringsfarve1 3 3 2 2" xfId="31259" xr:uid="{A6307EF9-C734-4B8F-89AD-C5E94FF4DB4C}"/>
    <cellStyle name="40 % - Markeringsfarve1 3 3 2 3" xfId="31260" xr:uid="{D4224E4D-670F-4FB1-ACC7-2CDD295B439E}"/>
    <cellStyle name="40 % - Markeringsfarve1 3 3 3" xfId="31261" xr:uid="{4AD39D84-BCD5-400F-AF3E-460F54A636C8}"/>
    <cellStyle name="40 % - Markeringsfarve1 3 3 3 2" xfId="31262" xr:uid="{D2E8AA7F-84E2-4476-A92D-82968D4006E2}"/>
    <cellStyle name="40 % - Markeringsfarve1 3 3 3 3" xfId="31263" xr:uid="{0714A3C3-8C29-4A51-A979-8E64E71ADBF9}"/>
    <cellStyle name="40 % - Markeringsfarve1 3 3 4" xfId="31264" xr:uid="{BB706464-5C6B-42EC-9E44-1AC0D38E1D06}"/>
    <cellStyle name="40 % - Markeringsfarve1 3 3 4 2" xfId="31265" xr:uid="{0E59D3C9-169C-4EF4-A4A8-8AB165D9B509}"/>
    <cellStyle name="40 % - Markeringsfarve1 3 3 4 3" xfId="31266" xr:uid="{D09D64D3-AC09-4709-9409-6D66292AA0DA}"/>
    <cellStyle name="40 % - Markeringsfarve1 3 3 5" xfId="31267" xr:uid="{0D5FEC0E-3614-4970-9D09-8958802B3202}"/>
    <cellStyle name="40 % - Markeringsfarve1 3 3 5 2" xfId="31268" xr:uid="{A9611006-5746-46E9-A8FE-D22B09B46E7F}"/>
    <cellStyle name="40 % - Markeringsfarve1 3 3 5 3" xfId="31269" xr:uid="{C7221DD8-C567-45F2-B1BF-D352A6DEE1C1}"/>
    <cellStyle name="40 % - Markeringsfarve1 3 3 6" xfId="31270" xr:uid="{953DC9E1-C23B-4359-95D1-D752FFC35DC4}"/>
    <cellStyle name="40 % - Markeringsfarve1 3 3 6 2" xfId="31271" xr:uid="{72E755FA-195B-4A9A-BA1F-24E3C134561F}"/>
    <cellStyle name="40 % - Markeringsfarve1 3 3 6 3" xfId="31272" xr:uid="{DA5394D4-C76D-448F-97B5-716C95237374}"/>
    <cellStyle name="40 % - Markeringsfarve1 3 3 7" xfId="31273" xr:uid="{8C2418A0-92FD-4580-AD6B-8F32F22BDDBA}"/>
    <cellStyle name="40 % - Markeringsfarve1 3 3 7 2" xfId="31274" xr:uid="{D6142766-3810-4C52-898D-A39D94544C63}"/>
    <cellStyle name="40 % - Markeringsfarve1 3 3 8" xfId="31275" xr:uid="{344565BC-76D6-46CD-B4D5-F3A3F5B3816E}"/>
    <cellStyle name="40 % - Markeringsfarve1 3 4" xfId="31276" xr:uid="{3BB28A5C-94F3-4CA6-B4E0-183A0E3A0BF8}"/>
    <cellStyle name="40 % - Markeringsfarve1 3 4 2" xfId="31277" xr:uid="{07449BEC-2FB9-4D49-8FB1-89BEC9F7B1EE}"/>
    <cellStyle name="40 % - Markeringsfarve1 3 4 3" xfId="31278" xr:uid="{6D3A8D18-6548-4428-9C77-93C29DC1938D}"/>
    <cellStyle name="40 % - Markeringsfarve1 3 5" xfId="31279" xr:uid="{D0F92088-74BF-41F0-9636-0216E82F12A2}"/>
    <cellStyle name="40 % - Markeringsfarve1 3 5 2" xfId="31280" xr:uid="{E3BCB28B-F0BC-42A9-A4ED-8FC53E91B45E}"/>
    <cellStyle name="40 % - Markeringsfarve1 3 5 3" xfId="31281" xr:uid="{39991177-3F3F-4AED-9A5B-C6BB322929EB}"/>
    <cellStyle name="40 % - Markeringsfarve1 3 6" xfId="31282" xr:uid="{BA48508B-D940-45BC-8D34-AA20226F527C}"/>
    <cellStyle name="40 % - Markeringsfarve1 3 6 2" xfId="31283" xr:uid="{1E718622-2523-4D0A-990C-F0323700F783}"/>
    <cellStyle name="40 % - Markeringsfarve1 3 6 3" xfId="31284" xr:uid="{BF29723F-11D5-467B-B532-B64A63A9EBFA}"/>
    <cellStyle name="40 % - Markeringsfarve1 3 7" xfId="31285" xr:uid="{0D684484-53A4-4398-98D1-62CF7D4E8C14}"/>
    <cellStyle name="40 % - Markeringsfarve1 3 7 2" xfId="31286" xr:uid="{26680639-6D96-411C-9D1B-73ACA82B3AF2}"/>
    <cellStyle name="40 % - Markeringsfarve1 3 7 3" xfId="31287" xr:uid="{307C0BB8-C7D2-4A05-BACE-0A5C435CAB23}"/>
    <cellStyle name="40 % - Markeringsfarve1 3 8" xfId="31288" xr:uid="{457AB07D-B00F-40CA-B41C-23FE7CD8F632}"/>
    <cellStyle name="40 % - Markeringsfarve1 3 8 2" xfId="31289" xr:uid="{3E9380CA-6F30-429A-B5E8-414055392C26}"/>
    <cellStyle name="40 % - Markeringsfarve1 3 8 3" xfId="31290" xr:uid="{71F6C1A4-7273-489E-8A47-4104D8488DD8}"/>
    <cellStyle name="40 % - Markeringsfarve1 3 9" xfId="31291" xr:uid="{2CE17BFD-7CEA-42E3-8AF6-169BD3C9E550}"/>
    <cellStyle name="40 % - Markeringsfarve1 3 9 2" xfId="31292" xr:uid="{6C926A71-AAEA-473D-B693-704D60A328B9}"/>
    <cellStyle name="40 % - Markeringsfarve1 4" xfId="23560" xr:uid="{2173E19B-936C-4058-A3F1-4A40AC489D86}"/>
    <cellStyle name="40 % - Markeringsfarve1 4 2" xfId="23561" xr:uid="{89C9F172-8089-46C9-8BE6-33A518089120}"/>
    <cellStyle name="40 % - Markeringsfarve1 4 2 2" xfId="31293" xr:uid="{42910B5C-C7A1-472F-B12D-EA921B7FB29E}"/>
    <cellStyle name="40 % - Markeringsfarve1 4 2 3" xfId="31294" xr:uid="{9E4916C4-20DC-44C4-869A-71623B0DA798}"/>
    <cellStyle name="40 % - Markeringsfarve1 4 3" xfId="31295" xr:uid="{2EFAC741-4077-479F-B52C-4977C9A57FE2}"/>
    <cellStyle name="40 % - Markeringsfarve1 4 3 2" xfId="31296" xr:uid="{5D6545F1-E8A1-40B6-8991-A7296A837FAD}"/>
    <cellStyle name="40 % - Markeringsfarve1 4 3 3" xfId="31297" xr:uid="{4B7FE20C-9A3F-4169-BD44-F0DFD0BB619A}"/>
    <cellStyle name="40 % - Markeringsfarve1 4 4" xfId="31298" xr:uid="{250298AB-6898-48D3-B898-8A3FF06BF2F4}"/>
    <cellStyle name="40 % - Markeringsfarve1 4 4 2" xfId="31299" xr:uid="{2AAFABC3-1BC6-4695-AE38-A908FF4121A1}"/>
    <cellStyle name="40 % - Markeringsfarve1 4 4 3" xfId="31300" xr:uid="{D79815C3-A96A-4AD8-9D63-B978FEF5E506}"/>
    <cellStyle name="40 % - Markeringsfarve1 4 5" xfId="31301" xr:uid="{D1D0386A-5321-416E-831B-1BC8CE945AFA}"/>
    <cellStyle name="40 % - Markeringsfarve1 4 5 2" xfId="31302" xr:uid="{89E6D132-3A17-4D34-9FEE-5B7D33C38B5C}"/>
    <cellStyle name="40 % - Markeringsfarve1 4 5 3" xfId="31303" xr:uid="{6AC1557C-95C6-40FA-9CDE-2BBCEC188322}"/>
    <cellStyle name="40 % - Markeringsfarve1 4 6" xfId="31304" xr:uid="{D067BF8F-2CA2-4851-AB72-D6802FAF17F0}"/>
    <cellStyle name="40 % - Markeringsfarve1 4 6 2" xfId="31305" xr:uid="{8197B634-905E-4E42-A89C-18ADE104E70A}"/>
    <cellStyle name="40 % - Markeringsfarve1 4 6 3" xfId="31306" xr:uid="{412C7245-8CF6-43DC-B176-FE9C4A18FF1C}"/>
    <cellStyle name="40 % - Markeringsfarve1 4 7" xfId="31307" xr:uid="{6840B232-535A-4F1E-A24C-972D7D5F04AD}"/>
    <cellStyle name="40 % - Markeringsfarve1 4 7 2" xfId="31308" xr:uid="{25953460-81A5-4E99-8BF6-ABF77833F6F0}"/>
    <cellStyle name="40 % - Markeringsfarve1 4 8" xfId="31309" xr:uid="{44B620ED-E94F-4A7E-90FC-642853FF1CA3}"/>
    <cellStyle name="40 % - Markeringsfarve1 5" xfId="23562" xr:uid="{10B2D19E-ABA2-4906-AB51-A4D5A23918A6}"/>
    <cellStyle name="40 % - Markeringsfarve1 5 2" xfId="23563" xr:uid="{C8996C41-2251-4F82-AA2D-154FA5CE5A41}"/>
    <cellStyle name="40 % - Markeringsfarve1 5 2 2" xfId="31310" xr:uid="{6D3E5041-15D8-4B77-B954-087C768A9A0E}"/>
    <cellStyle name="40 % - Markeringsfarve1 5 2 3" xfId="31311" xr:uid="{DD2EF52C-8D13-4C05-884D-2016336AAC2D}"/>
    <cellStyle name="40 % - Markeringsfarve1 5 3" xfId="31312" xr:uid="{16589480-32EB-47F9-AF75-643747B63180}"/>
    <cellStyle name="40 % - Markeringsfarve1 5 3 2" xfId="31313" xr:uid="{E2EA57D7-1926-4787-9D58-3C6BF055CFD6}"/>
    <cellStyle name="40 % - Markeringsfarve1 5 3 3" xfId="31314" xr:uid="{4E32FF56-4082-4951-8749-6EDF26CBAF36}"/>
    <cellStyle name="40 % - Markeringsfarve1 5 4" xfId="31315" xr:uid="{6B006EF8-C8FD-4EB8-A898-A9EEDEE1FACA}"/>
    <cellStyle name="40 % - Markeringsfarve1 5 4 2" xfId="31316" xr:uid="{A6F591C2-8474-4AB5-8855-13D832D7CF40}"/>
    <cellStyle name="40 % - Markeringsfarve1 5 4 3" xfId="31317" xr:uid="{4A830092-BCC9-4DD7-9FB8-78DA12F7DC67}"/>
    <cellStyle name="40 % - Markeringsfarve1 5 5" xfId="31318" xr:uid="{F60F8A7B-B0D5-4F4D-AC1D-0D698A1EFAD2}"/>
    <cellStyle name="40 % - Markeringsfarve1 5 5 2" xfId="31319" xr:uid="{8C9DC8D5-0F7B-4EF2-8BEC-F8E8A527B104}"/>
    <cellStyle name="40 % - Markeringsfarve1 5 5 3" xfId="31320" xr:uid="{F2F252D3-4B48-49B0-B8E0-B05D47AC887D}"/>
    <cellStyle name="40 % - Markeringsfarve1 5 6" xfId="31321" xr:uid="{4126B669-CF82-43EF-BC0B-5E9A3C0A96D1}"/>
    <cellStyle name="40 % - Markeringsfarve1 5 6 2" xfId="31322" xr:uid="{DB19BDDC-5556-4A1D-8B49-6E60F12AABF3}"/>
    <cellStyle name="40 % - Markeringsfarve1 5 6 3" xfId="31323" xr:uid="{61FE6E7B-CF5B-4608-9040-51DE3A657E2A}"/>
    <cellStyle name="40 % - Markeringsfarve1 5 7" xfId="31324" xr:uid="{967A44FB-ED1F-4B65-8335-FEB18A362C68}"/>
    <cellStyle name="40 % - Markeringsfarve1 5 7 2" xfId="31325" xr:uid="{0BCB15D6-BC4B-4FC2-9B78-439806B15E50}"/>
    <cellStyle name="40 % - Markeringsfarve1 5 8" xfId="31326" xr:uid="{81965027-3EFC-42FB-BF8C-E3526F45D43B}"/>
    <cellStyle name="40 % - Markeringsfarve1 6" xfId="23564" xr:uid="{6D2ABF1F-5552-4478-AF0B-C3C124E58037}"/>
    <cellStyle name="40 % - Markeringsfarve1 6 2" xfId="23565" xr:uid="{E332AB53-1BB4-4059-99D7-532A2EFA1B30}"/>
    <cellStyle name="40 % - Markeringsfarve1 6 3" xfId="31327" xr:uid="{E1C4E005-3706-47A9-B8C5-8BBA0E4BA836}"/>
    <cellStyle name="40 % - Markeringsfarve1 7" xfId="23566" xr:uid="{F2178E5E-2FB9-446E-86B1-D6AFB055BEC2}"/>
    <cellStyle name="40 % - Markeringsfarve1 7 2" xfId="31328" xr:uid="{3892E2F9-BAB3-4D91-A73D-69D876C44BD3}"/>
    <cellStyle name="40 % - Markeringsfarve1 7 3" xfId="31329" xr:uid="{E12BC252-3EEC-4764-8744-49DF5ACCC37D}"/>
    <cellStyle name="40 % - Markeringsfarve1 8" xfId="31330" xr:uid="{E504C238-99E3-4412-B844-E261887C185E}"/>
    <cellStyle name="40 % - Markeringsfarve1 8 2" xfId="31331" xr:uid="{4F5D58E5-C50A-4933-B06C-5F2499E3036B}"/>
    <cellStyle name="40 % - Markeringsfarve1 8 3" xfId="31332" xr:uid="{C6C73769-DCB4-49FB-9C9B-1F3629464FBF}"/>
    <cellStyle name="40 % - Markeringsfarve1 9" xfId="31333" xr:uid="{F8F74EBA-2374-46DA-BA9D-0A6C7EEB0791}"/>
    <cellStyle name="40 % - Markeringsfarve1 9 2" xfId="31334" xr:uid="{6DDBBB6F-EDC6-46E8-B3EA-4FDF387E5267}"/>
    <cellStyle name="40 % - Markeringsfarve1 9 3" xfId="31335" xr:uid="{8BC0FD0C-6762-4CA1-A7C4-102E1E313817}"/>
    <cellStyle name="40 % - Markeringsfarve2" xfId="1273" xr:uid="{00000000-0005-0000-0000-00001A000000}"/>
    <cellStyle name="40 % - Markeringsfarve2 10" xfId="31336" xr:uid="{4DED7AFA-D610-48AF-B07F-7915EE190ABE}"/>
    <cellStyle name="40 % - Markeringsfarve2 10 2" xfId="31337" xr:uid="{660B71C8-2EB9-4C8A-A928-B9298EBD3E67}"/>
    <cellStyle name="40 % - Markeringsfarve2 10 3" xfId="31338" xr:uid="{929CC669-C37D-4FC0-82D3-ED9CF9BD3FD2}"/>
    <cellStyle name="40 % - Markeringsfarve2 11" xfId="31339" xr:uid="{D565961F-FED2-41C5-BC77-0DC9C4291056}"/>
    <cellStyle name="40 % - Markeringsfarve2 11 2" xfId="31340" xr:uid="{5BE68803-2E45-4501-BBD3-DCEE9D03B6A4}"/>
    <cellStyle name="40 % - Markeringsfarve2 12" xfId="31341" xr:uid="{CBCA8456-989C-4681-BBC8-B50702BD7E0C}"/>
    <cellStyle name="40 % - Markeringsfarve2 13" xfId="17731" xr:uid="{8D5B3B87-2FD9-456A-B8CB-1848FC2472D4}"/>
    <cellStyle name="40 % - Markeringsfarve2 2" xfId="1274" xr:uid="{00000000-0005-0000-0000-00001B000000}"/>
    <cellStyle name="40 % - Markeringsfarve2 2 10" xfId="31342" xr:uid="{68FFC557-93E8-4FBA-98F0-A5FF913ECAC4}"/>
    <cellStyle name="40 % - Markeringsfarve2 2 11" xfId="17732" xr:uid="{D164C4B4-34CE-4B5C-B75E-474948711B14}"/>
    <cellStyle name="40 % - Markeringsfarve2 2 2" xfId="23567" xr:uid="{42C07D6F-176B-4AA7-9F79-89AE33BD6E81}"/>
    <cellStyle name="40 % - Markeringsfarve2 2 2 2" xfId="23568" xr:uid="{18441E0D-CD22-488D-B807-31D582BC193C}"/>
    <cellStyle name="40 % - Markeringsfarve2 2 2 2 2" xfId="31343" xr:uid="{2F040F8A-9E8B-4AC3-A366-DBB7939AC070}"/>
    <cellStyle name="40 % - Markeringsfarve2 2 2 2 3" xfId="31344" xr:uid="{F950EAA8-B8C1-4331-9483-8B73068A8EDC}"/>
    <cellStyle name="40 % - Markeringsfarve2 2 2 3" xfId="31345" xr:uid="{1F473F59-0BBD-4CAF-A69D-1EAA8BC37161}"/>
    <cellStyle name="40 % - Markeringsfarve2 2 2 3 2" xfId="31346" xr:uid="{D49152F8-CB8C-4104-A8D4-75125E87071C}"/>
    <cellStyle name="40 % - Markeringsfarve2 2 2 3 3" xfId="31347" xr:uid="{954B7B35-6C8C-41AC-B259-CB0CA6C0368C}"/>
    <cellStyle name="40 % - Markeringsfarve2 2 2 4" xfId="31348" xr:uid="{93262038-B52D-40E2-BC3B-315EDC75CC21}"/>
    <cellStyle name="40 % - Markeringsfarve2 2 2 4 2" xfId="31349" xr:uid="{C2415E53-2383-43FC-878C-1301436D2521}"/>
    <cellStyle name="40 % - Markeringsfarve2 2 2 4 3" xfId="31350" xr:uid="{C5B01F66-9577-413C-A6C6-11E602C144D1}"/>
    <cellStyle name="40 % - Markeringsfarve2 2 2 5" xfId="31351" xr:uid="{B2CC60B6-8A35-447B-9735-4D4BDEC6661A}"/>
    <cellStyle name="40 % - Markeringsfarve2 2 2 5 2" xfId="31352" xr:uid="{DF1496C1-266B-4749-B18F-A1C0FBD17DAA}"/>
    <cellStyle name="40 % - Markeringsfarve2 2 2 5 3" xfId="31353" xr:uid="{D03EDE31-5943-42D8-9162-7FE0C9062C57}"/>
    <cellStyle name="40 % - Markeringsfarve2 2 2 6" xfId="31354" xr:uid="{3093355E-2A01-442C-8AC9-F29C45CDDC52}"/>
    <cellStyle name="40 % - Markeringsfarve2 2 2 6 2" xfId="31355" xr:uid="{251CEE27-B703-4584-9A84-B189A912C2B7}"/>
    <cellStyle name="40 % - Markeringsfarve2 2 2 6 3" xfId="31356" xr:uid="{297EFF1A-59C9-4511-9754-F45A7F42616C}"/>
    <cellStyle name="40 % - Markeringsfarve2 2 2 7" xfId="31357" xr:uid="{23EEFBFE-F7F8-4657-8EA5-7CC9F6601B5E}"/>
    <cellStyle name="40 % - Markeringsfarve2 2 2 7 2" xfId="31358" xr:uid="{6B6C595B-39EE-4808-8296-7C00E9A5893C}"/>
    <cellStyle name="40 % - Markeringsfarve2 2 2 8" xfId="31359" xr:uid="{618A1C44-AD82-46FD-8DCF-0E0D50EE8028}"/>
    <cellStyle name="40 % - Markeringsfarve2 2 3" xfId="23569" xr:uid="{A55D2A89-42FD-4E68-8A77-A826AAFB5EF8}"/>
    <cellStyle name="40 % - Markeringsfarve2 2 3 2" xfId="23570" xr:uid="{C4E57587-7917-48D8-8A99-206C3C91B467}"/>
    <cellStyle name="40 % - Markeringsfarve2 2 3 2 2" xfId="31360" xr:uid="{74BE3748-EA8E-4F5A-9FBC-85AAFC7EE9EF}"/>
    <cellStyle name="40 % - Markeringsfarve2 2 3 2 3" xfId="31361" xr:uid="{0B6446D0-7D77-4F5A-A824-36E6CDA2D181}"/>
    <cellStyle name="40 % - Markeringsfarve2 2 3 3" xfId="31362" xr:uid="{9FA2119E-9943-4DE6-8B5D-3D5C157DA9BE}"/>
    <cellStyle name="40 % - Markeringsfarve2 2 3 3 2" xfId="31363" xr:uid="{A598CE34-E017-483C-A275-520430C7CDC1}"/>
    <cellStyle name="40 % - Markeringsfarve2 2 3 3 3" xfId="31364" xr:uid="{2428A835-5B3A-487B-9940-FA21B9D504A8}"/>
    <cellStyle name="40 % - Markeringsfarve2 2 3 4" xfId="31365" xr:uid="{FB23E754-A7F6-4D2C-9870-A931F50DC6FB}"/>
    <cellStyle name="40 % - Markeringsfarve2 2 3 4 2" xfId="31366" xr:uid="{FAE1577E-009E-40B0-A2F3-7BB6A8E562D9}"/>
    <cellStyle name="40 % - Markeringsfarve2 2 3 4 3" xfId="31367" xr:uid="{C3F64F9C-9411-4D2E-9229-EBEA06FE9AAA}"/>
    <cellStyle name="40 % - Markeringsfarve2 2 3 5" xfId="31368" xr:uid="{A770E128-FACE-4CA9-90DD-5147D89F682A}"/>
    <cellStyle name="40 % - Markeringsfarve2 2 3 5 2" xfId="31369" xr:uid="{77B1A02D-4997-45C9-B225-66A89DF74B73}"/>
    <cellStyle name="40 % - Markeringsfarve2 2 3 5 3" xfId="31370" xr:uid="{3176ECA7-31FB-4A8A-954C-2A27BD53F717}"/>
    <cellStyle name="40 % - Markeringsfarve2 2 3 6" xfId="31371" xr:uid="{75CD085E-DDC2-4D1D-A407-8F5349F084AA}"/>
    <cellStyle name="40 % - Markeringsfarve2 2 3 6 2" xfId="31372" xr:uid="{A72DFB5D-9C36-4CCA-B6FA-154A7D27EF02}"/>
    <cellStyle name="40 % - Markeringsfarve2 2 3 6 3" xfId="31373" xr:uid="{466113D1-A546-463B-8A7A-9351E891B498}"/>
    <cellStyle name="40 % - Markeringsfarve2 2 3 7" xfId="31374" xr:uid="{7B329BB0-D781-4E43-A322-80CDBA14B4A0}"/>
    <cellStyle name="40 % - Markeringsfarve2 2 3 7 2" xfId="31375" xr:uid="{33C3779A-6E9D-4937-8DBB-A44125A9AB5D}"/>
    <cellStyle name="40 % - Markeringsfarve2 2 3 8" xfId="31376" xr:uid="{2BCA0647-EB7C-4F67-A646-00B6B62B5625}"/>
    <cellStyle name="40 % - Markeringsfarve2 2 4" xfId="23571" xr:uid="{5400E6FA-F143-4D3B-900A-E2574859712A}"/>
    <cellStyle name="40 % - Markeringsfarve2 2 4 2" xfId="31377" xr:uid="{FEDBCE1C-EFCE-4500-A551-4D1D4698B78B}"/>
    <cellStyle name="40 % - Markeringsfarve2 2 4 3" xfId="31378" xr:uid="{BA76E42A-79EE-4127-B279-696B63222179}"/>
    <cellStyle name="40 % - Markeringsfarve2 2 5" xfId="31379" xr:uid="{B8D8BE9A-4250-4AF4-B797-C3E3685D0AEB}"/>
    <cellStyle name="40 % - Markeringsfarve2 2 5 2" xfId="31380" xr:uid="{3AE0B5D4-141A-4C57-9A07-59A065B47F66}"/>
    <cellStyle name="40 % - Markeringsfarve2 2 5 3" xfId="31381" xr:uid="{9492A1B9-D5B6-418A-A2DB-733B9C665684}"/>
    <cellStyle name="40 % - Markeringsfarve2 2 6" xfId="31382" xr:uid="{6265EE46-8E2B-4A4F-940B-1EC5CBAE3AB8}"/>
    <cellStyle name="40 % - Markeringsfarve2 2 6 2" xfId="31383" xr:uid="{BB5F4EE9-5ED8-4F66-B7E2-F8EA32F50D7D}"/>
    <cellStyle name="40 % - Markeringsfarve2 2 6 3" xfId="31384" xr:uid="{DD979DDE-E194-462D-A729-1DF8840AA6C9}"/>
    <cellStyle name="40 % - Markeringsfarve2 2 7" xfId="31385" xr:uid="{96E3CB3C-368D-4AA6-B1FD-998ED57602CE}"/>
    <cellStyle name="40 % - Markeringsfarve2 2 7 2" xfId="31386" xr:uid="{7ECAF6AF-C72A-4210-88FE-C9874B4CE1EA}"/>
    <cellStyle name="40 % - Markeringsfarve2 2 7 3" xfId="31387" xr:uid="{FCDED0CE-4AB3-466A-A8D3-76E7DED83C0C}"/>
    <cellStyle name="40 % - Markeringsfarve2 2 8" xfId="31388" xr:uid="{23846CD6-C602-41A8-96B8-BC6A4BE8A755}"/>
    <cellStyle name="40 % - Markeringsfarve2 2 8 2" xfId="31389" xr:uid="{2F4892ED-7880-459B-A43C-BDF3229D46E9}"/>
    <cellStyle name="40 % - Markeringsfarve2 2 8 3" xfId="31390" xr:uid="{E15603DB-FFD0-45C8-B7F1-61F1E80BF12D}"/>
    <cellStyle name="40 % - Markeringsfarve2 2 9" xfId="31391" xr:uid="{C9F07979-5900-47D8-A48C-72C3F872261E}"/>
    <cellStyle name="40 % - Markeringsfarve2 2 9 2" xfId="31392" xr:uid="{94D3F74D-CED6-42FC-88D3-4A2D731CDA1D}"/>
    <cellStyle name="40 % - Markeringsfarve2 3" xfId="2592" xr:uid="{CB06E381-6186-464D-BFF6-591602C798FB}"/>
    <cellStyle name="40 % - Markeringsfarve2 3 10" xfId="31393" xr:uid="{FE3CD0EC-D6FC-4FE1-B9B8-23CA475D7D3D}"/>
    <cellStyle name="40 % - Markeringsfarve2 3 2" xfId="23572" xr:uid="{C2C132AD-65E3-4866-A098-82B2784DFF2D}"/>
    <cellStyle name="40 % - Markeringsfarve2 3 2 2" xfId="31394" xr:uid="{10FDFF0B-73F9-4647-AA46-D732E2C4FCA5}"/>
    <cellStyle name="40 % - Markeringsfarve2 3 2 2 2" xfId="31395" xr:uid="{D0C6BFFA-0C0A-40E4-95E8-8016F6CBC81A}"/>
    <cellStyle name="40 % - Markeringsfarve2 3 2 2 3" xfId="31396" xr:uid="{CFFA175D-760B-4036-8154-70A2109545C5}"/>
    <cellStyle name="40 % - Markeringsfarve2 3 2 3" xfId="31397" xr:uid="{F2A89D4A-F17E-4797-858C-DEB2223AF287}"/>
    <cellStyle name="40 % - Markeringsfarve2 3 2 3 2" xfId="31398" xr:uid="{A00106EE-18E7-4AFF-BA9C-9BDBFD55E6D7}"/>
    <cellStyle name="40 % - Markeringsfarve2 3 2 3 3" xfId="31399" xr:uid="{7C02A6E7-69E7-437E-BA3C-043CDC5B4036}"/>
    <cellStyle name="40 % - Markeringsfarve2 3 2 4" xfId="31400" xr:uid="{95E8D49A-1D33-4F26-9D74-5180D9BB8034}"/>
    <cellStyle name="40 % - Markeringsfarve2 3 2 4 2" xfId="31401" xr:uid="{C4E386C0-9FA9-4CC1-9980-8DE0F897E72A}"/>
    <cellStyle name="40 % - Markeringsfarve2 3 2 4 3" xfId="31402" xr:uid="{41247D88-C644-4863-8431-084A694CDDB4}"/>
    <cellStyle name="40 % - Markeringsfarve2 3 2 5" xfId="31403" xr:uid="{A715E420-91DE-4EB7-B8A0-050302DB3FCB}"/>
    <cellStyle name="40 % - Markeringsfarve2 3 2 5 2" xfId="31404" xr:uid="{69A23B63-14C9-440A-AC1C-473D3CC30B43}"/>
    <cellStyle name="40 % - Markeringsfarve2 3 2 5 3" xfId="31405" xr:uid="{00BDF2C8-FB80-4754-9D3B-8FFD98B9A205}"/>
    <cellStyle name="40 % - Markeringsfarve2 3 2 6" xfId="31406" xr:uid="{ED9C6843-2272-4B24-A615-E4CF8A9D2677}"/>
    <cellStyle name="40 % - Markeringsfarve2 3 2 6 2" xfId="31407" xr:uid="{5F007FBD-0153-4E81-92DB-4A96713A257A}"/>
    <cellStyle name="40 % - Markeringsfarve2 3 2 6 3" xfId="31408" xr:uid="{8DAA9B7B-B63D-4A20-9F7D-79E246D1D4BC}"/>
    <cellStyle name="40 % - Markeringsfarve2 3 2 7" xfId="31409" xr:uid="{DDFC3ADA-1565-42B9-AF08-C3F07F9F8D19}"/>
    <cellStyle name="40 % - Markeringsfarve2 3 2 7 2" xfId="31410" xr:uid="{6A8917E8-BEF9-49BB-B42E-4CD71D74AC21}"/>
    <cellStyle name="40 % - Markeringsfarve2 3 2 8" xfId="31411" xr:uid="{6FC6C96D-0C5E-4A3D-BC4F-5FB211A85D80}"/>
    <cellStyle name="40 % - Markeringsfarve2 3 3" xfId="31412" xr:uid="{30D59D08-355E-4679-80F6-998724A6AB39}"/>
    <cellStyle name="40 % - Markeringsfarve2 3 3 2" xfId="31413" xr:uid="{D98F6708-7D7D-4337-A7D0-F5B66E440683}"/>
    <cellStyle name="40 % - Markeringsfarve2 3 3 2 2" xfId="31414" xr:uid="{EC314F44-B9E3-4023-B6CC-32AE9309EDA4}"/>
    <cellStyle name="40 % - Markeringsfarve2 3 3 2 3" xfId="31415" xr:uid="{86D39835-353D-41ED-821A-3DCE4785951D}"/>
    <cellStyle name="40 % - Markeringsfarve2 3 3 3" xfId="31416" xr:uid="{5FB52202-9A21-4BA8-B171-C9FF21327DE8}"/>
    <cellStyle name="40 % - Markeringsfarve2 3 3 3 2" xfId="31417" xr:uid="{F299B295-E993-425B-84A1-F8534DD80B01}"/>
    <cellStyle name="40 % - Markeringsfarve2 3 3 3 3" xfId="31418" xr:uid="{B762BDCC-C8E8-423D-8B04-D32126920AE0}"/>
    <cellStyle name="40 % - Markeringsfarve2 3 3 4" xfId="31419" xr:uid="{3BC3A8F8-0E51-4784-89A8-EE4251869DBF}"/>
    <cellStyle name="40 % - Markeringsfarve2 3 3 4 2" xfId="31420" xr:uid="{8993577E-DF96-4639-AA46-A03974614A67}"/>
    <cellStyle name="40 % - Markeringsfarve2 3 3 4 3" xfId="31421" xr:uid="{E37A9F83-7341-4FCB-ADC7-55CB5970845C}"/>
    <cellStyle name="40 % - Markeringsfarve2 3 3 5" xfId="31422" xr:uid="{37DB1229-7F77-457B-82EF-4065C9ECA3ED}"/>
    <cellStyle name="40 % - Markeringsfarve2 3 3 5 2" xfId="31423" xr:uid="{1BB06576-AD3A-4560-9325-3112FE54FE86}"/>
    <cellStyle name="40 % - Markeringsfarve2 3 3 5 3" xfId="31424" xr:uid="{968B6649-DDCC-47D2-B38E-1C34DD1382BA}"/>
    <cellStyle name="40 % - Markeringsfarve2 3 3 6" xfId="31425" xr:uid="{45514989-6FF1-452F-9141-C8F409BAB7A9}"/>
    <cellStyle name="40 % - Markeringsfarve2 3 3 6 2" xfId="31426" xr:uid="{0B1700D4-373A-4601-931F-218B296FB69A}"/>
    <cellStyle name="40 % - Markeringsfarve2 3 3 6 3" xfId="31427" xr:uid="{57A45972-C9E0-4C95-B2AC-BA3CD388893B}"/>
    <cellStyle name="40 % - Markeringsfarve2 3 3 7" xfId="31428" xr:uid="{92430AB1-E65A-4D7E-973B-4DA3D76C7EC9}"/>
    <cellStyle name="40 % - Markeringsfarve2 3 3 7 2" xfId="31429" xr:uid="{15FD15F3-43DE-475E-B426-05A494D274F7}"/>
    <cellStyle name="40 % - Markeringsfarve2 3 3 8" xfId="31430" xr:uid="{85ECB636-0A80-418C-B40C-9E9B57ACFADE}"/>
    <cellStyle name="40 % - Markeringsfarve2 3 4" xfId="31431" xr:uid="{F6992595-A117-456A-83C5-4C8032B0795B}"/>
    <cellStyle name="40 % - Markeringsfarve2 3 4 2" xfId="31432" xr:uid="{B9D28ED5-41C3-4182-A953-E5F840ADACC3}"/>
    <cellStyle name="40 % - Markeringsfarve2 3 4 3" xfId="31433" xr:uid="{8295AD96-DF38-413E-B0EB-E122D97E5DE9}"/>
    <cellStyle name="40 % - Markeringsfarve2 3 5" xfId="31434" xr:uid="{4543D5FD-3551-4BDF-A694-1AD3CD18CD68}"/>
    <cellStyle name="40 % - Markeringsfarve2 3 5 2" xfId="31435" xr:uid="{BA90D456-E160-4244-A644-F63F8A9EE4BC}"/>
    <cellStyle name="40 % - Markeringsfarve2 3 5 3" xfId="31436" xr:uid="{352BD718-8748-451E-8303-B4B2B87FF303}"/>
    <cellStyle name="40 % - Markeringsfarve2 3 6" xfId="31437" xr:uid="{1AAFBC35-96BA-455B-AD4A-87EA7055DFE6}"/>
    <cellStyle name="40 % - Markeringsfarve2 3 6 2" xfId="31438" xr:uid="{D975F4F7-8EC5-4412-BA8D-2868E87574FD}"/>
    <cellStyle name="40 % - Markeringsfarve2 3 6 3" xfId="31439" xr:uid="{7D8B96E4-1AED-477D-A0BD-17D83BE9B1BC}"/>
    <cellStyle name="40 % - Markeringsfarve2 3 7" xfId="31440" xr:uid="{86D25207-4E9A-47AD-870F-2DC0818CD34C}"/>
    <cellStyle name="40 % - Markeringsfarve2 3 7 2" xfId="31441" xr:uid="{3E186B0B-536B-4957-AC78-0A31BC8400CE}"/>
    <cellStyle name="40 % - Markeringsfarve2 3 7 3" xfId="31442" xr:uid="{F8CAD827-DE00-4537-999E-229F4A1230B2}"/>
    <cellStyle name="40 % - Markeringsfarve2 3 8" xfId="31443" xr:uid="{671B1406-802C-4B29-A3CF-1D5A9A0A4C08}"/>
    <cellStyle name="40 % - Markeringsfarve2 3 8 2" xfId="31444" xr:uid="{521CB500-5967-4279-A134-C0271D5C9C3B}"/>
    <cellStyle name="40 % - Markeringsfarve2 3 8 3" xfId="31445" xr:uid="{83EC2FAD-A8C6-4433-B045-E5E1CF419F30}"/>
    <cellStyle name="40 % - Markeringsfarve2 3 9" xfId="31446" xr:uid="{E138ACF7-BA09-49AC-8298-6FB7A34DDD77}"/>
    <cellStyle name="40 % - Markeringsfarve2 3 9 2" xfId="31447" xr:uid="{86516FD3-15D8-452E-A2BB-8273B7649F2A}"/>
    <cellStyle name="40 % - Markeringsfarve2 4" xfId="23573" xr:uid="{26BA2AF4-A904-45A4-88AF-EE8BE3CF73D4}"/>
    <cellStyle name="40 % - Markeringsfarve2 4 2" xfId="23574" xr:uid="{F0CE72D3-1ACB-4CB0-9241-1AE77281C159}"/>
    <cellStyle name="40 % - Markeringsfarve2 4 2 2" xfId="31448" xr:uid="{140FA812-87FB-4CB8-A5B4-F00A4B9F331D}"/>
    <cellStyle name="40 % - Markeringsfarve2 4 2 3" xfId="31449" xr:uid="{D76451CF-05A8-42E3-A34B-5436FB10EF13}"/>
    <cellStyle name="40 % - Markeringsfarve2 4 3" xfId="31450" xr:uid="{D82570FA-85D8-4717-8729-5A7D69C1584E}"/>
    <cellStyle name="40 % - Markeringsfarve2 4 3 2" xfId="31451" xr:uid="{47BB702C-16D1-4BB0-8232-E76E1541B764}"/>
    <cellStyle name="40 % - Markeringsfarve2 4 3 3" xfId="31452" xr:uid="{6C34C8DD-543F-4D14-AFC6-E99909562559}"/>
    <cellStyle name="40 % - Markeringsfarve2 4 4" xfId="31453" xr:uid="{342F5549-2166-49CD-AA02-639238033379}"/>
    <cellStyle name="40 % - Markeringsfarve2 4 4 2" xfId="31454" xr:uid="{3E2CA7FD-8F61-4172-B83A-2F5FAD675585}"/>
    <cellStyle name="40 % - Markeringsfarve2 4 4 3" xfId="31455" xr:uid="{8DFEC899-6D05-4D37-91A9-AC4FA9645179}"/>
    <cellStyle name="40 % - Markeringsfarve2 4 5" xfId="31456" xr:uid="{0B6D28A4-01CC-4513-85AF-1CE71CCF332E}"/>
    <cellStyle name="40 % - Markeringsfarve2 4 5 2" xfId="31457" xr:uid="{AC3E73CD-DDBF-40BF-A340-6B0163E0D1C4}"/>
    <cellStyle name="40 % - Markeringsfarve2 4 5 3" xfId="31458" xr:uid="{5D38EA77-C4F4-48A0-9421-E012CA9B06F8}"/>
    <cellStyle name="40 % - Markeringsfarve2 4 6" xfId="31459" xr:uid="{5F09DF1D-F663-40E5-867D-FE28A1EB18B7}"/>
    <cellStyle name="40 % - Markeringsfarve2 4 6 2" xfId="31460" xr:uid="{5652B94F-C21C-4799-B22E-D6D8D42BE77B}"/>
    <cellStyle name="40 % - Markeringsfarve2 4 6 3" xfId="31461" xr:uid="{AD56B10A-781A-4F1C-8D93-4E67825DDF49}"/>
    <cellStyle name="40 % - Markeringsfarve2 4 7" xfId="31462" xr:uid="{771E4A45-6CE8-4933-9764-3EE00BE539E6}"/>
    <cellStyle name="40 % - Markeringsfarve2 4 7 2" xfId="31463" xr:uid="{8FF9FF1E-F449-4E0C-9444-606F82C107BC}"/>
    <cellStyle name="40 % - Markeringsfarve2 4 8" xfId="31464" xr:uid="{500DD62A-CD8C-41FC-B86F-554FB3A71642}"/>
    <cellStyle name="40 % - Markeringsfarve2 5" xfId="23575" xr:uid="{B850BB25-C4AC-499F-A079-5194B9AFF75C}"/>
    <cellStyle name="40 % - Markeringsfarve2 5 2" xfId="23576" xr:uid="{3C939DED-4FA1-4734-9021-F2B52774515B}"/>
    <cellStyle name="40 % - Markeringsfarve2 5 2 2" xfId="31465" xr:uid="{3DC6EEFB-44E7-4327-8BE2-AE6D34DB0BD2}"/>
    <cellStyle name="40 % - Markeringsfarve2 5 2 3" xfId="31466" xr:uid="{474A8C52-8433-41E2-A5C9-BFE4C32E1E41}"/>
    <cellStyle name="40 % - Markeringsfarve2 5 3" xfId="31467" xr:uid="{27600280-C2A9-4838-BEE5-AAC6B2AD8FDE}"/>
    <cellStyle name="40 % - Markeringsfarve2 5 3 2" xfId="31468" xr:uid="{1F397DC7-6E5C-41C7-A076-45CFE14DB155}"/>
    <cellStyle name="40 % - Markeringsfarve2 5 3 3" xfId="31469" xr:uid="{9126C0EC-1A26-42FF-9B97-8405E3494034}"/>
    <cellStyle name="40 % - Markeringsfarve2 5 4" xfId="31470" xr:uid="{CD0A5759-13FD-4838-B96A-CEF8CCF21EFE}"/>
    <cellStyle name="40 % - Markeringsfarve2 5 4 2" xfId="31471" xr:uid="{58E609A8-AE9F-4E09-89BB-06C8D263B1D5}"/>
    <cellStyle name="40 % - Markeringsfarve2 5 4 3" xfId="31472" xr:uid="{9EF093B6-C6AE-4493-80D8-6BCB48BF1730}"/>
    <cellStyle name="40 % - Markeringsfarve2 5 5" xfId="31473" xr:uid="{5E1BC8D6-E613-4B8C-8FF2-54A0A5C616DC}"/>
    <cellStyle name="40 % - Markeringsfarve2 5 5 2" xfId="31474" xr:uid="{3D461708-D09F-44C8-822F-7E46E39319E0}"/>
    <cellStyle name="40 % - Markeringsfarve2 5 5 3" xfId="31475" xr:uid="{62279C92-6A74-45AD-8079-37ED90EA5B3F}"/>
    <cellStyle name="40 % - Markeringsfarve2 5 6" xfId="31476" xr:uid="{160FD8F2-E423-4FD6-B088-BBB5DD5B99B5}"/>
    <cellStyle name="40 % - Markeringsfarve2 5 6 2" xfId="31477" xr:uid="{FB1F6905-D859-452C-86CA-DA4974B28EBF}"/>
    <cellStyle name="40 % - Markeringsfarve2 5 6 3" xfId="31478" xr:uid="{1546547A-2014-4935-B81C-2D186C3B50F8}"/>
    <cellStyle name="40 % - Markeringsfarve2 5 7" xfId="31479" xr:uid="{4D64DDAA-5536-4F73-ACDE-9F79D38F1EAD}"/>
    <cellStyle name="40 % - Markeringsfarve2 5 7 2" xfId="31480" xr:uid="{CD07ABDD-E030-4475-ADE9-038595016A75}"/>
    <cellStyle name="40 % - Markeringsfarve2 5 8" xfId="31481" xr:uid="{09EDB3FD-7566-4751-BD18-ED7DB9DC9EA8}"/>
    <cellStyle name="40 % - Markeringsfarve2 6" xfId="23577" xr:uid="{12C8C011-DBBD-4CF9-B714-6F69BF9466B4}"/>
    <cellStyle name="40 % - Markeringsfarve2 6 2" xfId="23578" xr:uid="{D5CC744C-DA8F-4A57-9DB5-9E61DA2123ED}"/>
    <cellStyle name="40 % - Markeringsfarve2 6 3" xfId="31482" xr:uid="{05555FA4-C17F-4E91-AA9E-58E89A95B81C}"/>
    <cellStyle name="40 % - Markeringsfarve2 7" xfId="23579" xr:uid="{871FF48B-7102-4999-9CF1-8AE63D0C982C}"/>
    <cellStyle name="40 % - Markeringsfarve2 7 2" xfId="31483" xr:uid="{3A3CCD33-D3EF-4EA9-A69B-6A21AA24612E}"/>
    <cellStyle name="40 % - Markeringsfarve2 7 3" xfId="31484" xr:uid="{07867C4B-5844-4C7D-8BA8-6296A903ACCD}"/>
    <cellStyle name="40 % - Markeringsfarve2 8" xfId="31485" xr:uid="{D4C29018-6603-4DBB-B48C-753907060968}"/>
    <cellStyle name="40 % - Markeringsfarve2 8 2" xfId="31486" xr:uid="{610788F1-33F9-4E15-9B5F-F163ABAE94C3}"/>
    <cellStyle name="40 % - Markeringsfarve2 8 3" xfId="31487" xr:uid="{27A6216C-9041-4D4B-A8F1-76C0A00BB012}"/>
    <cellStyle name="40 % - Markeringsfarve2 9" xfId="31488" xr:uid="{86A8C153-D282-4682-AC46-97B8B839D056}"/>
    <cellStyle name="40 % - Markeringsfarve2 9 2" xfId="31489" xr:uid="{DDF3EC79-4778-4485-924D-B5832297B402}"/>
    <cellStyle name="40 % - Markeringsfarve2 9 3" xfId="31490" xr:uid="{A58856FD-1737-4A76-8826-80B3D08499EB}"/>
    <cellStyle name="40 % - Markeringsfarve3" xfId="1275" xr:uid="{00000000-0005-0000-0000-00001C000000}"/>
    <cellStyle name="40 % - Markeringsfarve3 10" xfId="31491" xr:uid="{3B5BFDE9-87BC-4F68-A184-87A2A1A66266}"/>
    <cellStyle name="40 % - Markeringsfarve3 10 2" xfId="31492" xr:uid="{12E936E4-18BB-4207-8F34-4625A0D40BE0}"/>
    <cellStyle name="40 % - Markeringsfarve3 11" xfId="31493" xr:uid="{A7960F74-4546-42FF-B64B-4B314CCFE3B7}"/>
    <cellStyle name="40 % - Markeringsfarve3 12" xfId="17733" xr:uid="{C41C59E3-2DD6-4DFA-B9D1-559CA0788B80}"/>
    <cellStyle name="40 % - Markeringsfarve3 2" xfId="1276" xr:uid="{00000000-0005-0000-0000-00001D000000}"/>
    <cellStyle name="40 % - Markeringsfarve3 2 10" xfId="31494" xr:uid="{66B26A0A-3AE6-4111-ADC4-4D49820FE3AB}"/>
    <cellStyle name="40 % - Markeringsfarve3 2 11" xfId="17734" xr:uid="{1EB8EDF9-8514-4295-B77A-C657772ABFCB}"/>
    <cellStyle name="40 % - Markeringsfarve3 2 2" xfId="23580" xr:uid="{0DB45BE1-48AC-4790-AEE4-24F6461EC84B}"/>
    <cellStyle name="40 % - Markeringsfarve3 2 2 2" xfId="23581" xr:uid="{2BD8327B-92FC-4F87-A1FB-B8228409AB8B}"/>
    <cellStyle name="40 % - Markeringsfarve3 2 2 2 2" xfId="31495" xr:uid="{0E97581C-2642-4843-B178-677F73A89383}"/>
    <cellStyle name="40 % - Markeringsfarve3 2 2 2 3" xfId="31496" xr:uid="{A029EB41-7A20-4C36-B29E-41CBDCE31855}"/>
    <cellStyle name="40 % - Markeringsfarve3 2 2 3" xfId="31497" xr:uid="{FB90316F-77E4-41BF-B47A-A7E3A1C2D18A}"/>
    <cellStyle name="40 % - Markeringsfarve3 2 2 3 2" xfId="31498" xr:uid="{591AE13C-8D8B-4A30-88DA-E6D9FA1BE49A}"/>
    <cellStyle name="40 % - Markeringsfarve3 2 2 3 3" xfId="31499" xr:uid="{A5EE6B6C-C3F2-43B2-8393-220401FA7872}"/>
    <cellStyle name="40 % - Markeringsfarve3 2 2 4" xfId="31500" xr:uid="{42565CC0-1EA6-41C1-9486-6C42B5E44EFB}"/>
    <cellStyle name="40 % - Markeringsfarve3 2 2 4 2" xfId="31501" xr:uid="{2E5CD19D-FFB8-45F4-9D83-F7526A92DE2B}"/>
    <cellStyle name="40 % - Markeringsfarve3 2 2 4 3" xfId="31502" xr:uid="{6404DDA0-B787-4830-BAC1-4AB16130141A}"/>
    <cellStyle name="40 % - Markeringsfarve3 2 2 5" xfId="31503" xr:uid="{B3EDC425-D1D1-4FBD-8DD1-FE9EF54D535F}"/>
    <cellStyle name="40 % - Markeringsfarve3 2 2 5 2" xfId="31504" xr:uid="{20CB9FC0-9CF1-4920-87E7-3C1C9EBFFAB7}"/>
    <cellStyle name="40 % - Markeringsfarve3 2 2 5 3" xfId="31505" xr:uid="{96F7E950-6D65-41D1-9985-F8761CB85E31}"/>
    <cellStyle name="40 % - Markeringsfarve3 2 2 6" xfId="31506" xr:uid="{35F77BB4-99CA-4850-85C5-BF31B88546DD}"/>
    <cellStyle name="40 % - Markeringsfarve3 2 2 6 2" xfId="31507" xr:uid="{5B88E60A-0DC0-4371-BF40-9C2DD6F2ECC2}"/>
    <cellStyle name="40 % - Markeringsfarve3 2 2 6 3" xfId="31508" xr:uid="{DAA6A91A-2510-4863-B74C-98645A060A68}"/>
    <cellStyle name="40 % - Markeringsfarve3 2 2 7" xfId="31509" xr:uid="{E1F81C12-7E0B-4AF2-958B-8DFE7970ECF9}"/>
    <cellStyle name="40 % - Markeringsfarve3 2 2 7 2" xfId="31510" xr:uid="{DEBA881F-AFB9-4701-9D63-A2FDD7CA3719}"/>
    <cellStyle name="40 % - Markeringsfarve3 2 2 8" xfId="31511" xr:uid="{8003DDB1-353F-48E3-A9BE-B401B568152F}"/>
    <cellStyle name="40 % - Markeringsfarve3 2 3" xfId="23582" xr:uid="{25079CE7-097F-4FC8-B858-AFB44A0AC413}"/>
    <cellStyle name="40 % - Markeringsfarve3 2 3 2" xfId="23583" xr:uid="{1083FDB0-D976-4E74-9E20-FE91679372DB}"/>
    <cellStyle name="40 % - Markeringsfarve3 2 3 2 2" xfId="31512" xr:uid="{17EE4FE7-77DB-4AF3-8765-2FE0F6579079}"/>
    <cellStyle name="40 % - Markeringsfarve3 2 3 2 3" xfId="31513" xr:uid="{A59511D6-8C9B-4816-BC21-93619908CEB6}"/>
    <cellStyle name="40 % - Markeringsfarve3 2 3 3" xfId="31514" xr:uid="{C5504548-FB1C-4C8C-B3B8-94B9E7687C28}"/>
    <cellStyle name="40 % - Markeringsfarve3 2 3 3 2" xfId="31515" xr:uid="{55E8C7E5-377C-4435-AAA2-442FCA1D94E9}"/>
    <cellStyle name="40 % - Markeringsfarve3 2 3 3 3" xfId="31516" xr:uid="{A8AC71CE-EA6C-4C8B-ACBE-1B1AE2304D37}"/>
    <cellStyle name="40 % - Markeringsfarve3 2 3 4" xfId="31517" xr:uid="{088F9F34-EE16-4DE2-8FAF-4B7B26C7EB8D}"/>
    <cellStyle name="40 % - Markeringsfarve3 2 3 4 2" xfId="31518" xr:uid="{3D128780-429D-4727-8AB8-2CAEB1FF8438}"/>
    <cellStyle name="40 % - Markeringsfarve3 2 3 4 3" xfId="31519" xr:uid="{BBEA81B6-A4B1-454F-8E56-3B4217370BDB}"/>
    <cellStyle name="40 % - Markeringsfarve3 2 3 5" xfId="31520" xr:uid="{1003C24F-F68C-47D5-B7C8-61259E9B7D0E}"/>
    <cellStyle name="40 % - Markeringsfarve3 2 3 5 2" xfId="31521" xr:uid="{2DE9F5F8-3029-4B93-AACA-74DE9257373A}"/>
    <cellStyle name="40 % - Markeringsfarve3 2 3 5 3" xfId="31522" xr:uid="{B2CB60F2-E1DD-48AB-AE95-862B71C90D0D}"/>
    <cellStyle name="40 % - Markeringsfarve3 2 3 6" xfId="31523" xr:uid="{79F39A80-9397-46CD-8398-6705CD4B7979}"/>
    <cellStyle name="40 % - Markeringsfarve3 2 3 6 2" xfId="31524" xr:uid="{CE035F89-776A-4C4A-AB8D-6E4B5206B484}"/>
    <cellStyle name="40 % - Markeringsfarve3 2 3 6 3" xfId="31525" xr:uid="{D3D2A8DB-4949-4EB0-94CC-AC06FB6AB270}"/>
    <cellStyle name="40 % - Markeringsfarve3 2 3 7" xfId="31526" xr:uid="{5EC44992-60D6-420C-9D0C-BA0ED7910BD3}"/>
    <cellStyle name="40 % - Markeringsfarve3 2 3 7 2" xfId="31527" xr:uid="{F97CCD00-BA10-45C0-9A51-541670D28790}"/>
    <cellStyle name="40 % - Markeringsfarve3 2 3 8" xfId="31528" xr:uid="{8BE05532-C1A9-402E-A6DC-893CE1ED4C91}"/>
    <cellStyle name="40 % - Markeringsfarve3 2 4" xfId="23584" xr:uid="{7F78B118-01FB-4D73-AA72-BED10173F4D4}"/>
    <cellStyle name="40 % - Markeringsfarve3 2 4 2" xfId="31529" xr:uid="{2CC8727B-B511-40E5-AEB3-EFE1AFFD6B5C}"/>
    <cellStyle name="40 % - Markeringsfarve3 2 4 3" xfId="31530" xr:uid="{7E3F01E4-5CEA-4714-B40B-EBC413F3FDFA}"/>
    <cellStyle name="40 % - Markeringsfarve3 2 5" xfId="31531" xr:uid="{3EC2EED3-0DC7-4CD2-A865-57C9DFC7D1F1}"/>
    <cellStyle name="40 % - Markeringsfarve3 2 5 2" xfId="31532" xr:uid="{5C216097-D45C-4524-892E-9B87695F4103}"/>
    <cellStyle name="40 % - Markeringsfarve3 2 5 3" xfId="31533" xr:uid="{A60E3930-7A05-4BC1-8977-8D5D2704A735}"/>
    <cellStyle name="40 % - Markeringsfarve3 2 6" xfId="31534" xr:uid="{EDBC5C46-8857-4A28-BF73-D8442F95CBDD}"/>
    <cellStyle name="40 % - Markeringsfarve3 2 6 2" xfId="31535" xr:uid="{3559A701-AFB8-49F6-8575-CCDA8F5F8222}"/>
    <cellStyle name="40 % - Markeringsfarve3 2 6 3" xfId="31536" xr:uid="{77FC19C4-8076-47F4-B95B-54A3806371CD}"/>
    <cellStyle name="40 % - Markeringsfarve3 2 7" xfId="31537" xr:uid="{E455C92C-1E55-4523-97C1-7D187C0E188D}"/>
    <cellStyle name="40 % - Markeringsfarve3 2 7 2" xfId="31538" xr:uid="{BDC1F23B-A9CC-4B60-BC8F-CC1E9C61F820}"/>
    <cellStyle name="40 % - Markeringsfarve3 2 7 3" xfId="31539" xr:uid="{CAA48C83-4B50-4638-8A1A-DA95741B8400}"/>
    <cellStyle name="40 % - Markeringsfarve3 2 8" xfId="31540" xr:uid="{5DA8B5D7-6395-4F0A-B7D7-7459DAF43E7A}"/>
    <cellStyle name="40 % - Markeringsfarve3 2 8 2" xfId="31541" xr:uid="{6BF4D697-3E82-4191-AE65-71914DFD7CBF}"/>
    <cellStyle name="40 % - Markeringsfarve3 2 8 3" xfId="31542" xr:uid="{50350A23-2F45-4D49-A519-1E9A4D84461D}"/>
    <cellStyle name="40 % - Markeringsfarve3 2 9" xfId="31543" xr:uid="{764CB302-C196-41CC-9B4A-029FF3187F2A}"/>
    <cellStyle name="40 % - Markeringsfarve3 2 9 2" xfId="31544" xr:uid="{F71781D5-EC52-48A1-9783-141E2761FD90}"/>
    <cellStyle name="40 % - Markeringsfarve3 3" xfId="2593" xr:uid="{9F89632D-0223-44FB-BEFB-F194ED332DA0}"/>
    <cellStyle name="40 % - Markeringsfarve3 3 10" xfId="31545" xr:uid="{F9E7E916-0CF4-4780-83EC-EBF709B35586}"/>
    <cellStyle name="40 % - Markeringsfarve3 3 2" xfId="23585" xr:uid="{DB07E96F-5326-4B92-9516-6539FAE121BB}"/>
    <cellStyle name="40 % - Markeringsfarve3 3 2 2" xfId="31546" xr:uid="{919B8F5B-CCDD-4D8B-AFD0-DF4DCA18F788}"/>
    <cellStyle name="40 % - Markeringsfarve3 3 2 2 2" xfId="31547" xr:uid="{F8155201-9090-4A04-ACC8-D1E33C4CB86E}"/>
    <cellStyle name="40 % - Markeringsfarve3 3 2 2 3" xfId="31548" xr:uid="{B7489D2B-B0E1-4119-8E3F-5888AD6D308B}"/>
    <cellStyle name="40 % - Markeringsfarve3 3 2 3" xfId="31549" xr:uid="{736DB73E-1812-4785-B0B1-53F23248FF71}"/>
    <cellStyle name="40 % - Markeringsfarve3 3 2 3 2" xfId="31550" xr:uid="{B2071758-0258-43CD-9FD1-359CFE6ED16D}"/>
    <cellStyle name="40 % - Markeringsfarve3 3 2 3 3" xfId="31551" xr:uid="{2A57465D-B492-4D9C-9119-34B2DD416E40}"/>
    <cellStyle name="40 % - Markeringsfarve3 3 2 4" xfId="31552" xr:uid="{1E3F5C9B-80EC-486E-926D-EA2CFE785D1B}"/>
    <cellStyle name="40 % - Markeringsfarve3 3 2 4 2" xfId="31553" xr:uid="{960AC69F-4BE2-4ED7-9172-A37DFFFE5E59}"/>
    <cellStyle name="40 % - Markeringsfarve3 3 2 4 3" xfId="31554" xr:uid="{6AB83AA8-6A09-4AB0-9821-8091B8FDEA8D}"/>
    <cellStyle name="40 % - Markeringsfarve3 3 2 5" xfId="31555" xr:uid="{3EC47751-B567-4714-96E2-AE6D0CF6DA90}"/>
    <cellStyle name="40 % - Markeringsfarve3 3 2 5 2" xfId="31556" xr:uid="{7847831D-0603-4773-9901-C435BD0C3A18}"/>
    <cellStyle name="40 % - Markeringsfarve3 3 2 5 3" xfId="31557" xr:uid="{0536C868-1475-485A-B217-08426A4B9655}"/>
    <cellStyle name="40 % - Markeringsfarve3 3 2 6" xfId="31558" xr:uid="{D0B312A8-8B13-4349-9618-42EBC5712E9D}"/>
    <cellStyle name="40 % - Markeringsfarve3 3 2 6 2" xfId="31559" xr:uid="{468F9B18-F4DB-4235-8E3A-5E428B9F90F8}"/>
    <cellStyle name="40 % - Markeringsfarve3 3 2 6 3" xfId="31560" xr:uid="{56D2AFFB-5F63-42E1-A49D-8792EEB40197}"/>
    <cellStyle name="40 % - Markeringsfarve3 3 2 7" xfId="31561" xr:uid="{6981486D-2C75-4557-A0A4-E39830FB7AFE}"/>
    <cellStyle name="40 % - Markeringsfarve3 3 2 7 2" xfId="31562" xr:uid="{DFC7A259-A552-44B2-AA81-2F2AB388E2BC}"/>
    <cellStyle name="40 % - Markeringsfarve3 3 2 8" xfId="31563" xr:uid="{7B16FF3E-E241-483C-BCCC-17BD53F45BCE}"/>
    <cellStyle name="40 % - Markeringsfarve3 3 3" xfId="31564" xr:uid="{6E64A3DA-7D17-4AA9-B52C-02BD397B2E64}"/>
    <cellStyle name="40 % - Markeringsfarve3 3 3 2" xfId="31565" xr:uid="{00ADC3FB-68C4-44CB-876D-58C3367D9EB2}"/>
    <cellStyle name="40 % - Markeringsfarve3 3 3 2 2" xfId="31566" xr:uid="{49106429-9C9E-4D5A-A180-2D2588FD8AC6}"/>
    <cellStyle name="40 % - Markeringsfarve3 3 3 2 3" xfId="31567" xr:uid="{E8CFA7B3-A1D9-4B0B-A455-2212F50798EE}"/>
    <cellStyle name="40 % - Markeringsfarve3 3 3 3" xfId="31568" xr:uid="{2433D2E7-2F9B-4E07-8678-D9F09B4E7000}"/>
    <cellStyle name="40 % - Markeringsfarve3 3 3 3 2" xfId="31569" xr:uid="{93541A2A-7651-4607-BE9A-DBFACD1DCC0B}"/>
    <cellStyle name="40 % - Markeringsfarve3 3 3 3 3" xfId="31570" xr:uid="{5E7BB51A-8121-4A36-94BD-B68CAA93B8E4}"/>
    <cellStyle name="40 % - Markeringsfarve3 3 3 4" xfId="31571" xr:uid="{15198328-7F30-4A95-905C-B1C1F01FB204}"/>
    <cellStyle name="40 % - Markeringsfarve3 3 3 4 2" xfId="31572" xr:uid="{E8C5F9CE-C110-4C4F-BF2E-F1C554CF53D4}"/>
    <cellStyle name="40 % - Markeringsfarve3 3 3 4 3" xfId="31573" xr:uid="{3C2FE18B-6C9C-4A4E-A7E9-D936C75D789E}"/>
    <cellStyle name="40 % - Markeringsfarve3 3 3 5" xfId="31574" xr:uid="{3BF161D6-D242-4B53-A4D5-91657C675636}"/>
    <cellStyle name="40 % - Markeringsfarve3 3 3 5 2" xfId="31575" xr:uid="{5B0257E6-9D0D-416B-B927-B7F3A5796CB8}"/>
    <cellStyle name="40 % - Markeringsfarve3 3 3 5 3" xfId="31576" xr:uid="{DEBAF938-BB29-45BE-84D5-9252017B3F9B}"/>
    <cellStyle name="40 % - Markeringsfarve3 3 3 6" xfId="31577" xr:uid="{DC87291F-819C-43C1-B626-A39F0735F496}"/>
    <cellStyle name="40 % - Markeringsfarve3 3 3 6 2" xfId="31578" xr:uid="{D8192D05-DD7D-435D-B0C4-F483C4FAC174}"/>
    <cellStyle name="40 % - Markeringsfarve3 3 3 6 3" xfId="31579" xr:uid="{0A2D4A6A-7AC6-4B79-8531-5EC21C261BC4}"/>
    <cellStyle name="40 % - Markeringsfarve3 3 3 7" xfId="31580" xr:uid="{EBA65332-FB87-4CD8-B112-F0D809385B68}"/>
    <cellStyle name="40 % - Markeringsfarve3 3 3 7 2" xfId="31581" xr:uid="{196AB7A1-2319-42B8-9ADC-D42849EAA239}"/>
    <cellStyle name="40 % - Markeringsfarve3 3 3 8" xfId="31582" xr:uid="{DF7A66FC-DAE5-4DA7-A0D7-F0C0ED21220B}"/>
    <cellStyle name="40 % - Markeringsfarve3 3 4" xfId="31583" xr:uid="{F5AC744E-4D0F-4241-86E5-C8E5B8EB49F2}"/>
    <cellStyle name="40 % - Markeringsfarve3 3 4 2" xfId="31584" xr:uid="{A821429B-F69F-4811-BDD4-E3682A39B0DC}"/>
    <cellStyle name="40 % - Markeringsfarve3 3 4 3" xfId="31585" xr:uid="{0FCB1B69-2D9B-42D4-A871-653533FE0485}"/>
    <cellStyle name="40 % - Markeringsfarve3 3 5" xfId="31586" xr:uid="{0214B028-51A9-4C96-B015-E888891B9F43}"/>
    <cellStyle name="40 % - Markeringsfarve3 3 5 2" xfId="31587" xr:uid="{B633A31A-C14C-44DB-9B9B-558F4A40CE36}"/>
    <cellStyle name="40 % - Markeringsfarve3 3 5 3" xfId="31588" xr:uid="{A77C25DC-781C-4381-99A4-FB589529FF0C}"/>
    <cellStyle name="40 % - Markeringsfarve3 3 6" xfId="31589" xr:uid="{17CEC948-23AB-4AA7-B2AD-52649144D2ED}"/>
    <cellStyle name="40 % - Markeringsfarve3 3 6 2" xfId="31590" xr:uid="{D55351D0-F27D-4792-BCC4-0399D002E555}"/>
    <cellStyle name="40 % - Markeringsfarve3 3 6 3" xfId="31591" xr:uid="{2E72C698-6F01-462D-ADF2-C65308B870BD}"/>
    <cellStyle name="40 % - Markeringsfarve3 3 7" xfId="31592" xr:uid="{57469B23-025C-4444-8407-6FFA1C6FC8D2}"/>
    <cellStyle name="40 % - Markeringsfarve3 3 7 2" xfId="31593" xr:uid="{564BEBCE-4DA2-4F59-97B5-B35E695F6101}"/>
    <cellStyle name="40 % - Markeringsfarve3 3 7 3" xfId="31594" xr:uid="{429F2312-DF81-4A50-AA1D-3A142F30E61A}"/>
    <cellStyle name="40 % - Markeringsfarve3 3 8" xfId="31595" xr:uid="{683A6DB4-D48D-483E-BDC7-C8B93220FA86}"/>
    <cellStyle name="40 % - Markeringsfarve3 3 8 2" xfId="31596" xr:uid="{1B57BAB4-3E5B-49B2-84B5-E5742181CC0D}"/>
    <cellStyle name="40 % - Markeringsfarve3 3 8 3" xfId="31597" xr:uid="{39A4652B-D407-44D5-ACF8-78E5C0EED72F}"/>
    <cellStyle name="40 % - Markeringsfarve3 3 9" xfId="31598" xr:uid="{30A81022-2F40-400C-89B5-7275164D7F8D}"/>
    <cellStyle name="40 % - Markeringsfarve3 3 9 2" xfId="31599" xr:uid="{7E2587CD-79D6-427C-A974-E10BF9CB24DE}"/>
    <cellStyle name="40 % - Markeringsfarve3 4" xfId="23586" xr:uid="{8B9AAE0E-1C2D-4EF0-A641-7F7848456DED}"/>
    <cellStyle name="40 % - Markeringsfarve3 4 2" xfId="23587" xr:uid="{F931D371-7C67-48E8-A3F0-653AB1139D8F}"/>
    <cellStyle name="40 % - Markeringsfarve3 4 2 2" xfId="31600" xr:uid="{7BB78C2F-A309-43DD-9878-703DDA710947}"/>
    <cellStyle name="40 % - Markeringsfarve3 4 2 3" xfId="31601" xr:uid="{654555DD-6186-46D2-B8C7-8D7846803C7E}"/>
    <cellStyle name="40 % - Markeringsfarve3 4 3" xfId="31602" xr:uid="{56955656-FA15-402D-9F77-26B70C403C63}"/>
    <cellStyle name="40 % - Markeringsfarve3 4 3 2" xfId="31603" xr:uid="{C587BFE2-64EC-46EC-959E-732CB48B4DEB}"/>
    <cellStyle name="40 % - Markeringsfarve3 4 3 3" xfId="31604" xr:uid="{7FC89EA7-1943-42FC-BB92-F492D7DA2D4B}"/>
    <cellStyle name="40 % - Markeringsfarve3 4 4" xfId="31605" xr:uid="{A1A3CA8E-5318-4C99-B6CD-A448237C8FD0}"/>
    <cellStyle name="40 % - Markeringsfarve3 4 4 2" xfId="31606" xr:uid="{B7E4F8F6-B353-4A57-8815-4D088E3DCBF7}"/>
    <cellStyle name="40 % - Markeringsfarve3 4 4 3" xfId="31607" xr:uid="{D2183994-8E54-461F-A2C6-CB91D62435D6}"/>
    <cellStyle name="40 % - Markeringsfarve3 4 5" xfId="31608" xr:uid="{654714C2-6A7A-4650-8D88-CDB57E5D2279}"/>
    <cellStyle name="40 % - Markeringsfarve3 4 5 2" xfId="31609" xr:uid="{933ECCF5-B199-4788-AFFE-C4389CAA8FE7}"/>
    <cellStyle name="40 % - Markeringsfarve3 4 5 3" xfId="31610" xr:uid="{5B2432DB-E8F4-452B-8576-192EA1CFEE4E}"/>
    <cellStyle name="40 % - Markeringsfarve3 4 6" xfId="31611" xr:uid="{E5257365-C61C-432E-8CBC-9E0A4BC7A81B}"/>
    <cellStyle name="40 % - Markeringsfarve3 4 6 2" xfId="31612" xr:uid="{19A62D03-719F-49A2-A56B-D51D41DDF36B}"/>
    <cellStyle name="40 % - Markeringsfarve3 4 6 3" xfId="31613" xr:uid="{EDE60570-B29E-4B7A-90B5-6187627AC3B2}"/>
    <cellStyle name="40 % - Markeringsfarve3 4 7" xfId="31614" xr:uid="{2277A63E-F715-4882-985F-C8E679E0DFD5}"/>
    <cellStyle name="40 % - Markeringsfarve3 4 7 2" xfId="31615" xr:uid="{5AB5507D-E569-4E1C-AC06-165850407CA7}"/>
    <cellStyle name="40 % - Markeringsfarve3 4 8" xfId="31616" xr:uid="{1C77ABA4-FDD4-4715-B3CA-CD1B9BA23CF7}"/>
    <cellStyle name="40 % - Markeringsfarve3 5" xfId="23588" xr:uid="{0C6EED2B-65FB-46C7-ABCD-6C1306F028DD}"/>
    <cellStyle name="40 % - Markeringsfarve3 5 2" xfId="23589" xr:uid="{9DAB96F8-D767-490E-8602-84B42B5E9D1B}"/>
    <cellStyle name="40 % - Markeringsfarve3 5 2 2" xfId="31617" xr:uid="{99C4628A-1482-4173-A3D3-4ED152EB1A15}"/>
    <cellStyle name="40 % - Markeringsfarve3 5 2 3" xfId="31618" xr:uid="{DC70B12E-4595-4162-AA7F-4005F1121D07}"/>
    <cellStyle name="40 % - Markeringsfarve3 5 3" xfId="31619" xr:uid="{AE54E5FB-C2FE-4149-99EA-D75F3D19449B}"/>
    <cellStyle name="40 % - Markeringsfarve3 5 3 2" xfId="31620" xr:uid="{17D93C02-219D-4369-8CCB-2B7D95CFC830}"/>
    <cellStyle name="40 % - Markeringsfarve3 5 3 3" xfId="31621" xr:uid="{8D7CB4D4-5CB2-4651-9833-498ABBB28BB4}"/>
    <cellStyle name="40 % - Markeringsfarve3 5 4" xfId="31622" xr:uid="{A71FD295-64C6-440F-AD35-C8F83676B404}"/>
    <cellStyle name="40 % - Markeringsfarve3 5 4 2" xfId="31623" xr:uid="{9D28D147-0B5F-4E5E-8903-8321763842A4}"/>
    <cellStyle name="40 % - Markeringsfarve3 5 4 3" xfId="31624" xr:uid="{11A97D17-E3DE-4776-A2EE-874489FDDB0D}"/>
    <cellStyle name="40 % - Markeringsfarve3 5 5" xfId="31625" xr:uid="{BFF4CDC4-86F7-4BB6-8E46-EA926AE71512}"/>
    <cellStyle name="40 % - Markeringsfarve3 5 5 2" xfId="31626" xr:uid="{7B05A7D7-2FA2-4323-ACEC-9808F0E0DD75}"/>
    <cellStyle name="40 % - Markeringsfarve3 5 5 3" xfId="31627" xr:uid="{8C5A50E1-B69F-494B-A2F8-754FD0F480F3}"/>
    <cellStyle name="40 % - Markeringsfarve3 5 6" xfId="31628" xr:uid="{7A02F2CA-3E95-4CD1-ADE2-2E2C496644C5}"/>
    <cellStyle name="40 % - Markeringsfarve3 5 6 2" xfId="31629" xr:uid="{44420E22-AD51-445A-8A40-D5BDEBC3BB09}"/>
    <cellStyle name="40 % - Markeringsfarve3 5 6 3" xfId="31630" xr:uid="{3A8F6EC5-6BBB-44A0-8E03-50A033922B1D}"/>
    <cellStyle name="40 % - Markeringsfarve3 5 7" xfId="31631" xr:uid="{5C9B46B0-6D3B-4074-848F-1411E9F3D00F}"/>
    <cellStyle name="40 % - Markeringsfarve3 5 7 2" xfId="31632" xr:uid="{07472225-1A8B-47E3-B7E3-FB61107F3F32}"/>
    <cellStyle name="40 % - Markeringsfarve3 5 8" xfId="31633" xr:uid="{F1908B39-BCD9-4957-B678-28AC9ECA69D4}"/>
    <cellStyle name="40 % - Markeringsfarve3 6" xfId="23590" xr:uid="{03178BB1-4C40-4E82-AD0A-D6626B4F45CB}"/>
    <cellStyle name="40 % - Markeringsfarve3 6 2" xfId="23591" xr:uid="{BAC4A3DB-9253-4493-B49B-D29BE3591121}"/>
    <cellStyle name="40 % - Markeringsfarve3 6 2 2" xfId="31634" xr:uid="{423572D2-973D-48C6-9D69-5CD8D66D6C35}"/>
    <cellStyle name="40 % - Markeringsfarve3 6 2 3" xfId="31635" xr:uid="{D473EC47-7D58-4FDD-A152-FBF9C3CBC943}"/>
    <cellStyle name="40 % - Markeringsfarve3 6 3" xfId="31636" xr:uid="{C91C252C-5C26-4296-B0F0-CAE4FEF6C279}"/>
    <cellStyle name="40 % - Markeringsfarve3 6 4" xfId="31637" xr:uid="{BD0A3FBB-87FD-406A-82C0-3220FB196D99}"/>
    <cellStyle name="40 % - Markeringsfarve3 7" xfId="23592" xr:uid="{832EFF4E-390B-4D20-9C2A-A637A136DC46}"/>
    <cellStyle name="40 % - Markeringsfarve3 7 2" xfId="31638" xr:uid="{D0D2BF2C-C301-47CC-BCDE-BDFBB1941888}"/>
    <cellStyle name="40 % - Markeringsfarve3 7 3" xfId="31639" xr:uid="{B15699D3-DA2A-42BA-A764-2B647F65BD70}"/>
    <cellStyle name="40 % - Markeringsfarve3 8" xfId="31640" xr:uid="{22D8F4AA-E3B3-47BD-AA8C-2121D2702DFB}"/>
    <cellStyle name="40 % - Markeringsfarve3 8 2" xfId="31641" xr:uid="{A783B227-B3FB-4B28-9F2A-D7A8FE8EEE50}"/>
    <cellStyle name="40 % - Markeringsfarve3 8 3" xfId="31642" xr:uid="{85D293C6-AEBF-495A-A3A9-B9388B9BA990}"/>
    <cellStyle name="40 % - Markeringsfarve3 9" xfId="31643" xr:uid="{81D2F152-F6A7-4367-986C-E20BD795D972}"/>
    <cellStyle name="40 % - Markeringsfarve3 9 2" xfId="31644" xr:uid="{7A2DD291-DCD6-41D3-9268-4E564F9E1CC9}"/>
    <cellStyle name="40 % - Markeringsfarve3 9 3" xfId="31645" xr:uid="{7AAEE393-37C0-423B-A412-1501A4A484A5}"/>
    <cellStyle name="40 % - Markeringsfarve4" xfId="1277" xr:uid="{00000000-0005-0000-0000-00001E000000}"/>
    <cellStyle name="40 % - Markeringsfarve4 10" xfId="31646" xr:uid="{7EF53806-9F8F-4D48-8BC8-0A543359D61C}"/>
    <cellStyle name="40 % - Markeringsfarve4 10 2" xfId="31647" xr:uid="{0359C418-31FD-408A-879F-462DD4A733E4}"/>
    <cellStyle name="40 % - Markeringsfarve4 10 3" xfId="31648" xr:uid="{7A1D4978-251F-41CE-98DD-9F30F4783EB0}"/>
    <cellStyle name="40 % - Markeringsfarve4 11" xfId="31649" xr:uid="{47373802-67ED-4B06-8B23-8C86995390A2}"/>
    <cellStyle name="40 % - Markeringsfarve4 11 2" xfId="31650" xr:uid="{3D4B7A64-DD58-436C-BEEB-EFC91C4F514A}"/>
    <cellStyle name="40 % - Markeringsfarve4 12" xfId="31651" xr:uid="{1D74DC19-9625-4729-9B33-77F2A25BB2E4}"/>
    <cellStyle name="40 % - Markeringsfarve4 13" xfId="17735" xr:uid="{51E71722-15D4-458E-B7C7-BFE81C47F7E7}"/>
    <cellStyle name="40 % - Markeringsfarve4 2" xfId="1278" xr:uid="{00000000-0005-0000-0000-00001F000000}"/>
    <cellStyle name="40 % - Markeringsfarve4 2 10" xfId="31652" xr:uid="{E84B310C-83C8-4178-9C91-09BBEE00CA57}"/>
    <cellStyle name="40 % - Markeringsfarve4 2 11" xfId="17736" xr:uid="{67ABDB2C-C1E5-4C9F-B2DA-8509CF5CE3D3}"/>
    <cellStyle name="40 % - Markeringsfarve4 2 2" xfId="23593" xr:uid="{3B5BA8DE-4AE2-4A9B-BDBA-DAB02BAB2105}"/>
    <cellStyle name="40 % - Markeringsfarve4 2 2 2" xfId="23594" xr:uid="{31F9A5DF-F544-4F56-B1D2-DA39A8A77B54}"/>
    <cellStyle name="40 % - Markeringsfarve4 2 2 2 2" xfId="31653" xr:uid="{23858516-B1C9-40E7-AD9A-1734BDCD75EB}"/>
    <cellStyle name="40 % - Markeringsfarve4 2 2 2 3" xfId="31654" xr:uid="{C40F2903-D7BB-4690-B16B-99C734AF16A3}"/>
    <cellStyle name="40 % - Markeringsfarve4 2 2 3" xfId="31655" xr:uid="{1F1C2841-9421-432B-B2D8-FD0FDC6F300B}"/>
    <cellStyle name="40 % - Markeringsfarve4 2 2 3 2" xfId="31656" xr:uid="{292B6D4D-8ED0-46BF-91FA-5A80C4E7B1AD}"/>
    <cellStyle name="40 % - Markeringsfarve4 2 2 3 3" xfId="31657" xr:uid="{1FEE0DC2-9215-44EE-BB41-AE6AE32C122F}"/>
    <cellStyle name="40 % - Markeringsfarve4 2 2 4" xfId="31658" xr:uid="{20B8AFD1-57C6-4D39-BF9B-E54CFAA84464}"/>
    <cellStyle name="40 % - Markeringsfarve4 2 2 4 2" xfId="31659" xr:uid="{47665F02-3F63-438B-94DA-2A34C7673F28}"/>
    <cellStyle name="40 % - Markeringsfarve4 2 2 4 3" xfId="31660" xr:uid="{7117A783-8A93-4D3B-9398-94C2D00677D4}"/>
    <cellStyle name="40 % - Markeringsfarve4 2 2 5" xfId="31661" xr:uid="{8179B18D-640C-4863-AFF4-75BE726B5250}"/>
    <cellStyle name="40 % - Markeringsfarve4 2 2 5 2" xfId="31662" xr:uid="{3CEB8E30-00B2-4720-A271-DBDAB13B871B}"/>
    <cellStyle name="40 % - Markeringsfarve4 2 2 5 3" xfId="31663" xr:uid="{012B031E-D47A-4229-987F-B19159D582A2}"/>
    <cellStyle name="40 % - Markeringsfarve4 2 2 6" xfId="31664" xr:uid="{D36F267A-1297-4DDE-89E3-9E40A884E586}"/>
    <cellStyle name="40 % - Markeringsfarve4 2 2 6 2" xfId="31665" xr:uid="{F6221EFA-A345-4114-9303-D3781CA92E39}"/>
    <cellStyle name="40 % - Markeringsfarve4 2 2 6 3" xfId="31666" xr:uid="{05A264B2-30B7-490F-B40F-F3D0758F6781}"/>
    <cellStyle name="40 % - Markeringsfarve4 2 2 7" xfId="31667" xr:uid="{D2AE48A2-E3E9-4BB3-9EE2-AC7B4AD5041A}"/>
    <cellStyle name="40 % - Markeringsfarve4 2 2 7 2" xfId="31668" xr:uid="{385B64B2-3386-43DA-83B6-D17915213046}"/>
    <cellStyle name="40 % - Markeringsfarve4 2 2 8" xfId="31669" xr:uid="{09643633-90E1-4979-93AD-DA887D279758}"/>
    <cellStyle name="40 % - Markeringsfarve4 2 3" xfId="23595" xr:uid="{E0ECC885-E476-4AB3-9AB5-BA7B55C850DC}"/>
    <cellStyle name="40 % - Markeringsfarve4 2 3 2" xfId="23596" xr:uid="{020605B7-2B37-463E-AABA-4C3C7D5E14C2}"/>
    <cellStyle name="40 % - Markeringsfarve4 2 3 2 2" xfId="31670" xr:uid="{09711237-2AE0-494B-A212-B4C8A8D2A62E}"/>
    <cellStyle name="40 % - Markeringsfarve4 2 3 2 3" xfId="31671" xr:uid="{EC67ECE5-90AC-4202-BFC4-EF286491D20D}"/>
    <cellStyle name="40 % - Markeringsfarve4 2 3 3" xfId="31672" xr:uid="{067130BC-8ECD-4259-B035-5B402CF0FD11}"/>
    <cellStyle name="40 % - Markeringsfarve4 2 3 3 2" xfId="31673" xr:uid="{676CE507-5672-4C0D-ADBF-BF64E543CE12}"/>
    <cellStyle name="40 % - Markeringsfarve4 2 3 3 3" xfId="31674" xr:uid="{ADC0670C-62D2-436C-8900-DE136C81171A}"/>
    <cellStyle name="40 % - Markeringsfarve4 2 3 4" xfId="31675" xr:uid="{DBD944C8-CB0E-4B62-B292-56E926F0954D}"/>
    <cellStyle name="40 % - Markeringsfarve4 2 3 4 2" xfId="31676" xr:uid="{4F2A2992-F451-4EA9-974F-A768B068C720}"/>
    <cellStyle name="40 % - Markeringsfarve4 2 3 4 3" xfId="31677" xr:uid="{4C9FC24E-C2DD-4702-B4A0-2DCC5394C315}"/>
    <cellStyle name="40 % - Markeringsfarve4 2 3 5" xfId="31678" xr:uid="{28DE9F73-C60D-45E2-95D9-C8618A7FDAB7}"/>
    <cellStyle name="40 % - Markeringsfarve4 2 3 5 2" xfId="31679" xr:uid="{2958E1C7-6E9A-4F76-8287-D1C6B9C8333E}"/>
    <cellStyle name="40 % - Markeringsfarve4 2 3 5 3" xfId="31680" xr:uid="{C78871E2-68FA-43DA-ACCF-98033EAD0597}"/>
    <cellStyle name="40 % - Markeringsfarve4 2 3 6" xfId="31681" xr:uid="{9B445A06-EB0A-42F1-AE8D-5E4D787EFC90}"/>
    <cellStyle name="40 % - Markeringsfarve4 2 3 6 2" xfId="31682" xr:uid="{16AD59EF-2EC8-4AA4-8DAA-4D42426383A2}"/>
    <cellStyle name="40 % - Markeringsfarve4 2 3 6 3" xfId="31683" xr:uid="{91D022A0-0555-41F9-BA26-C8AF60906861}"/>
    <cellStyle name="40 % - Markeringsfarve4 2 3 7" xfId="31684" xr:uid="{0E20F933-2ED3-4C15-AE53-26A049D12DE0}"/>
    <cellStyle name="40 % - Markeringsfarve4 2 3 7 2" xfId="31685" xr:uid="{DA3395C4-155E-404F-AD9A-564618DC1AC6}"/>
    <cellStyle name="40 % - Markeringsfarve4 2 3 8" xfId="31686" xr:uid="{728ACC72-88A4-48C4-9CCC-07F4E46784CA}"/>
    <cellStyle name="40 % - Markeringsfarve4 2 4" xfId="23597" xr:uid="{31E97C1A-1F0C-4F59-8197-FE5E81F6D6AB}"/>
    <cellStyle name="40 % - Markeringsfarve4 2 4 2" xfId="31687" xr:uid="{28A7A3F2-E1D1-436B-9C66-6584EC61FC23}"/>
    <cellStyle name="40 % - Markeringsfarve4 2 4 3" xfId="31688" xr:uid="{EC0A0284-6528-4B84-AF3B-808E8BBEBF3F}"/>
    <cellStyle name="40 % - Markeringsfarve4 2 5" xfId="31689" xr:uid="{C92A7DDE-94AB-48C4-8012-310AF701AEE0}"/>
    <cellStyle name="40 % - Markeringsfarve4 2 5 2" xfId="31690" xr:uid="{1A67B102-B273-43EA-98DE-90F910E64463}"/>
    <cellStyle name="40 % - Markeringsfarve4 2 5 3" xfId="31691" xr:uid="{927718D5-4127-4278-8871-A879CEAD47BD}"/>
    <cellStyle name="40 % - Markeringsfarve4 2 6" xfId="31692" xr:uid="{6EC2091D-AD59-4D2A-9453-D59E950FBE58}"/>
    <cellStyle name="40 % - Markeringsfarve4 2 6 2" xfId="31693" xr:uid="{467A3A50-D035-4910-AA77-33963511F576}"/>
    <cellStyle name="40 % - Markeringsfarve4 2 6 3" xfId="31694" xr:uid="{DD88A6F4-10ED-4B7B-B8D1-7F93F8933966}"/>
    <cellStyle name="40 % - Markeringsfarve4 2 7" xfId="31695" xr:uid="{B57865FB-2328-4527-9690-F1000A03F315}"/>
    <cellStyle name="40 % - Markeringsfarve4 2 7 2" xfId="31696" xr:uid="{36A463F3-BAB5-41F5-952E-AC0F2D0CD99E}"/>
    <cellStyle name="40 % - Markeringsfarve4 2 7 3" xfId="31697" xr:uid="{D99E3B4D-1360-4C50-957B-734CE9430CBF}"/>
    <cellStyle name="40 % - Markeringsfarve4 2 8" xfId="31698" xr:uid="{1205C3C9-5FC9-4F82-BFE4-74BE44454EAB}"/>
    <cellStyle name="40 % - Markeringsfarve4 2 8 2" xfId="31699" xr:uid="{96604D63-827E-462A-833A-B54D47AD9D36}"/>
    <cellStyle name="40 % - Markeringsfarve4 2 8 3" xfId="31700" xr:uid="{5D774DC9-F446-44D1-A65C-B515648AEA51}"/>
    <cellStyle name="40 % - Markeringsfarve4 2 9" xfId="31701" xr:uid="{491E4A00-BCC5-4FA8-BCED-DC33ECE4B65F}"/>
    <cellStyle name="40 % - Markeringsfarve4 2 9 2" xfId="31702" xr:uid="{5A733909-BAFC-4473-A131-A1A0D8F47FF0}"/>
    <cellStyle name="40 % - Markeringsfarve4 3" xfId="2594" xr:uid="{6B6FA26D-D7D9-49D8-9C74-7977749D407E}"/>
    <cellStyle name="40 % - Markeringsfarve4 3 10" xfId="31703" xr:uid="{A24CA5AF-0A5C-47C7-A8F0-72B885FAE6D0}"/>
    <cellStyle name="40 % - Markeringsfarve4 3 2" xfId="23598" xr:uid="{57F79A36-A4CF-4B46-A9D5-19B52CB175C5}"/>
    <cellStyle name="40 % - Markeringsfarve4 3 2 2" xfId="31704" xr:uid="{0B38F272-A4F3-4C3C-B8B6-020E6BEE70C6}"/>
    <cellStyle name="40 % - Markeringsfarve4 3 2 2 2" xfId="31705" xr:uid="{D0CD2C7B-1358-412D-B242-D5F7B714D006}"/>
    <cellStyle name="40 % - Markeringsfarve4 3 2 2 3" xfId="31706" xr:uid="{98F5413B-3A39-498E-9EAF-EAE35000C0B1}"/>
    <cellStyle name="40 % - Markeringsfarve4 3 2 3" xfId="31707" xr:uid="{0BFB5AA1-7E88-4CE0-80BC-2326AB1F6C3F}"/>
    <cellStyle name="40 % - Markeringsfarve4 3 2 3 2" xfId="31708" xr:uid="{B731E6C1-C13B-47E0-AAA8-1D586A08F6AA}"/>
    <cellStyle name="40 % - Markeringsfarve4 3 2 3 3" xfId="31709" xr:uid="{530C9E46-8AB9-4562-9DCE-FCAF0960916E}"/>
    <cellStyle name="40 % - Markeringsfarve4 3 2 4" xfId="31710" xr:uid="{C33AA668-37EB-4283-8690-BC252D013741}"/>
    <cellStyle name="40 % - Markeringsfarve4 3 2 4 2" xfId="31711" xr:uid="{350AF5AD-22B6-4971-B671-763F18548EB4}"/>
    <cellStyle name="40 % - Markeringsfarve4 3 2 4 3" xfId="31712" xr:uid="{41CE3A97-483D-45E2-9C27-413F1C89AC98}"/>
    <cellStyle name="40 % - Markeringsfarve4 3 2 5" xfId="31713" xr:uid="{136B0B69-7F42-4379-9C08-B1A730A515BA}"/>
    <cellStyle name="40 % - Markeringsfarve4 3 2 5 2" xfId="31714" xr:uid="{0D2FAD8C-2D3B-4A2D-BFE0-D5B5F2FCF835}"/>
    <cellStyle name="40 % - Markeringsfarve4 3 2 5 3" xfId="31715" xr:uid="{7445E274-95F3-4748-85E8-BC275006D252}"/>
    <cellStyle name="40 % - Markeringsfarve4 3 2 6" xfId="31716" xr:uid="{7C0BC8B2-DCF2-40C6-AC75-FAC72813F5B9}"/>
    <cellStyle name="40 % - Markeringsfarve4 3 2 6 2" xfId="31717" xr:uid="{B43EC0C9-D58D-415B-952A-D35F6DCAEAE4}"/>
    <cellStyle name="40 % - Markeringsfarve4 3 2 6 3" xfId="31718" xr:uid="{5AFC34E4-487B-4713-8125-4825BDF4E6AA}"/>
    <cellStyle name="40 % - Markeringsfarve4 3 2 7" xfId="31719" xr:uid="{1543514E-9EA1-4CBA-8C4C-1E9D6C19D959}"/>
    <cellStyle name="40 % - Markeringsfarve4 3 2 7 2" xfId="31720" xr:uid="{D14EA5B5-FAB8-4841-8174-7FEDAC35A11B}"/>
    <cellStyle name="40 % - Markeringsfarve4 3 2 8" xfId="31721" xr:uid="{0581E140-0BFF-44D3-8E6A-3D1F87C241D1}"/>
    <cellStyle name="40 % - Markeringsfarve4 3 3" xfId="31722" xr:uid="{AC89C4A7-AB7C-4E50-9612-E22C1EC8BCD5}"/>
    <cellStyle name="40 % - Markeringsfarve4 3 3 2" xfId="31723" xr:uid="{D8BDBEDD-444D-44B7-A902-3945C4F3A921}"/>
    <cellStyle name="40 % - Markeringsfarve4 3 3 2 2" xfId="31724" xr:uid="{75365845-B89B-4E40-BCB3-34B90D944534}"/>
    <cellStyle name="40 % - Markeringsfarve4 3 3 2 3" xfId="31725" xr:uid="{404C30FE-68C6-4114-8A6C-C6C796AA10A1}"/>
    <cellStyle name="40 % - Markeringsfarve4 3 3 3" xfId="31726" xr:uid="{56644C08-87FE-4880-A4A1-90007188F36A}"/>
    <cellStyle name="40 % - Markeringsfarve4 3 3 3 2" xfId="31727" xr:uid="{D35B23FC-A862-4D9A-87E0-E26F5A3AF241}"/>
    <cellStyle name="40 % - Markeringsfarve4 3 3 3 3" xfId="31728" xr:uid="{70CAFB66-0FE9-4CAF-83A8-049866CE3403}"/>
    <cellStyle name="40 % - Markeringsfarve4 3 3 4" xfId="31729" xr:uid="{BDEFA79C-E275-4D6A-A174-FC5FEC4CFD10}"/>
    <cellStyle name="40 % - Markeringsfarve4 3 3 4 2" xfId="31730" xr:uid="{E535E366-5529-4A21-896D-AD6471C112D8}"/>
    <cellStyle name="40 % - Markeringsfarve4 3 3 4 3" xfId="31731" xr:uid="{5F7B2C0F-642D-4DD3-940C-FEB5A979915A}"/>
    <cellStyle name="40 % - Markeringsfarve4 3 3 5" xfId="31732" xr:uid="{69F5E8F1-811E-4D91-A02C-1A00C23406E0}"/>
    <cellStyle name="40 % - Markeringsfarve4 3 3 5 2" xfId="31733" xr:uid="{E073D31A-F8AD-48C7-902E-D2B5F4AF6821}"/>
    <cellStyle name="40 % - Markeringsfarve4 3 3 5 3" xfId="31734" xr:uid="{2050EEF2-EDAC-4F85-B9C1-3E33D218A559}"/>
    <cellStyle name="40 % - Markeringsfarve4 3 3 6" xfId="31735" xr:uid="{85E00A2A-4FA7-423B-AAF1-AAF10240AED8}"/>
    <cellStyle name="40 % - Markeringsfarve4 3 3 6 2" xfId="31736" xr:uid="{6CC6D744-BAC2-464B-A586-17F0BDB45D0F}"/>
    <cellStyle name="40 % - Markeringsfarve4 3 3 6 3" xfId="31737" xr:uid="{DE903C0F-D4C0-4B7D-8B7B-1027910CBFA8}"/>
    <cellStyle name="40 % - Markeringsfarve4 3 3 7" xfId="31738" xr:uid="{AF2F1970-3106-480E-A735-CD20D4378C13}"/>
    <cellStyle name="40 % - Markeringsfarve4 3 3 7 2" xfId="31739" xr:uid="{EA461999-0C93-4879-987A-14912880182D}"/>
    <cellStyle name="40 % - Markeringsfarve4 3 3 8" xfId="31740" xr:uid="{F3122871-FBF2-48F7-8484-45A6E1DD6477}"/>
    <cellStyle name="40 % - Markeringsfarve4 3 4" xfId="31741" xr:uid="{D9CEF9BC-2FCD-4EF0-9306-F5C2F5E892B0}"/>
    <cellStyle name="40 % - Markeringsfarve4 3 4 2" xfId="31742" xr:uid="{727A612E-7075-4E9D-8B89-DF84A3854953}"/>
    <cellStyle name="40 % - Markeringsfarve4 3 4 3" xfId="31743" xr:uid="{09143E3A-E196-497B-B336-26229F38AE93}"/>
    <cellStyle name="40 % - Markeringsfarve4 3 5" xfId="31744" xr:uid="{37FEB273-281A-484E-BFBF-FE9DC77D653E}"/>
    <cellStyle name="40 % - Markeringsfarve4 3 5 2" xfId="31745" xr:uid="{E0282D7F-9043-41ED-9ED2-1E32B531F5CE}"/>
    <cellStyle name="40 % - Markeringsfarve4 3 5 3" xfId="31746" xr:uid="{DBCE11C1-DBA7-44E0-89B8-1DA32444EE06}"/>
    <cellStyle name="40 % - Markeringsfarve4 3 6" xfId="31747" xr:uid="{D931C9A8-ACCD-46FF-86CF-2BB8E5167F2C}"/>
    <cellStyle name="40 % - Markeringsfarve4 3 6 2" xfId="31748" xr:uid="{3B27C919-1F9C-4C40-B471-95C1C7F8EB1D}"/>
    <cellStyle name="40 % - Markeringsfarve4 3 6 3" xfId="31749" xr:uid="{450324A0-E8E4-48CA-9007-C4CFE5FAF2EA}"/>
    <cellStyle name="40 % - Markeringsfarve4 3 7" xfId="31750" xr:uid="{52C85B57-48FB-4590-84F7-998ED4BA6BAD}"/>
    <cellStyle name="40 % - Markeringsfarve4 3 7 2" xfId="31751" xr:uid="{347FCB41-E0C9-453A-91F6-09AE363DB7C4}"/>
    <cellStyle name="40 % - Markeringsfarve4 3 7 3" xfId="31752" xr:uid="{E650A1E7-4B84-4551-9CC0-300348308181}"/>
    <cellStyle name="40 % - Markeringsfarve4 3 8" xfId="31753" xr:uid="{2C07C8A3-7674-421A-AC58-68E38FB6FE55}"/>
    <cellStyle name="40 % - Markeringsfarve4 3 8 2" xfId="31754" xr:uid="{3DEC3B57-92DA-470C-8632-05DE7731F4EE}"/>
    <cellStyle name="40 % - Markeringsfarve4 3 8 3" xfId="31755" xr:uid="{892E5B21-0F6B-4D05-B96E-24082483E0D5}"/>
    <cellStyle name="40 % - Markeringsfarve4 3 9" xfId="31756" xr:uid="{C343CD5C-32FE-4E49-80D8-DB6452123BD7}"/>
    <cellStyle name="40 % - Markeringsfarve4 3 9 2" xfId="31757" xr:uid="{290C5198-8650-4163-870E-3D5BC6357813}"/>
    <cellStyle name="40 % - Markeringsfarve4 4" xfId="23599" xr:uid="{65D2686E-06B3-49B1-81A1-8BD43D1221AD}"/>
    <cellStyle name="40 % - Markeringsfarve4 4 2" xfId="23600" xr:uid="{0261A3ED-5293-442B-8248-81F13AAC20CF}"/>
    <cellStyle name="40 % - Markeringsfarve4 4 2 2" xfId="31758" xr:uid="{C27AFCAE-C08F-4FFF-A2BB-01EC2F28533F}"/>
    <cellStyle name="40 % - Markeringsfarve4 4 2 3" xfId="31759" xr:uid="{B11F1EFB-837D-4F29-B0C5-9D374FFC0F6B}"/>
    <cellStyle name="40 % - Markeringsfarve4 4 3" xfId="31760" xr:uid="{66FF0703-6A0B-4DB8-84FE-C9FB33AC7C3D}"/>
    <cellStyle name="40 % - Markeringsfarve4 4 3 2" xfId="31761" xr:uid="{49787788-9CFF-494D-A255-190564840952}"/>
    <cellStyle name="40 % - Markeringsfarve4 4 3 3" xfId="31762" xr:uid="{8D4177A8-567B-4232-BF16-3D765CE252EE}"/>
    <cellStyle name="40 % - Markeringsfarve4 4 4" xfId="31763" xr:uid="{27EA0D10-CABB-4D17-81BA-754CF98490A9}"/>
    <cellStyle name="40 % - Markeringsfarve4 4 4 2" xfId="31764" xr:uid="{7B562395-E76C-4816-B86F-9D4E96872AD1}"/>
    <cellStyle name="40 % - Markeringsfarve4 4 4 3" xfId="31765" xr:uid="{73B3CA51-783E-4792-B932-BB33D19BC9D5}"/>
    <cellStyle name="40 % - Markeringsfarve4 4 5" xfId="31766" xr:uid="{1A10FE00-BF54-44F1-A566-CB7592E9C020}"/>
    <cellStyle name="40 % - Markeringsfarve4 4 5 2" xfId="31767" xr:uid="{B2CFB740-8075-4BF0-83C9-527217EA6FE7}"/>
    <cellStyle name="40 % - Markeringsfarve4 4 5 3" xfId="31768" xr:uid="{6CC696DC-99B5-42E4-8E64-D093D6A35D15}"/>
    <cellStyle name="40 % - Markeringsfarve4 4 6" xfId="31769" xr:uid="{5FF2B6DD-2B26-4343-B7EF-997776C9335C}"/>
    <cellStyle name="40 % - Markeringsfarve4 4 6 2" xfId="31770" xr:uid="{F53E191E-347C-451D-B0D4-52BC4FBC8D0E}"/>
    <cellStyle name="40 % - Markeringsfarve4 4 6 3" xfId="31771" xr:uid="{F068CAB2-95BB-4097-886B-BAE419AAADD3}"/>
    <cellStyle name="40 % - Markeringsfarve4 4 7" xfId="31772" xr:uid="{AC4DBD26-3E3B-430F-828C-4D329617F3B8}"/>
    <cellStyle name="40 % - Markeringsfarve4 4 7 2" xfId="31773" xr:uid="{952823B4-0F99-4EB7-BB0A-8F4F25CFEA62}"/>
    <cellStyle name="40 % - Markeringsfarve4 4 8" xfId="31774" xr:uid="{3C19B8FD-E5F0-46DD-8B31-CC48572B5F91}"/>
    <cellStyle name="40 % - Markeringsfarve4 5" xfId="23601" xr:uid="{FAA08A51-E376-45ED-9101-67FB764BA201}"/>
    <cellStyle name="40 % - Markeringsfarve4 5 2" xfId="23602" xr:uid="{5B95315F-8581-4690-80FD-25D1A5EA249A}"/>
    <cellStyle name="40 % - Markeringsfarve4 5 2 2" xfId="31775" xr:uid="{3F0170D5-0F14-4849-9AD3-22C460EF40CF}"/>
    <cellStyle name="40 % - Markeringsfarve4 5 2 3" xfId="31776" xr:uid="{126DCA5A-0563-4437-85F3-C506797C5508}"/>
    <cellStyle name="40 % - Markeringsfarve4 5 3" xfId="31777" xr:uid="{6D55DA98-AF0E-4808-B0DB-0746A489B74F}"/>
    <cellStyle name="40 % - Markeringsfarve4 5 3 2" xfId="31778" xr:uid="{126C7AAB-54D7-4B7F-BB9D-C403347845F3}"/>
    <cellStyle name="40 % - Markeringsfarve4 5 3 3" xfId="31779" xr:uid="{C75EA6AB-930F-40FE-A488-E9EA316D9808}"/>
    <cellStyle name="40 % - Markeringsfarve4 5 4" xfId="31780" xr:uid="{F47F0A10-5C9F-4F45-8AE9-3669DD42CBDB}"/>
    <cellStyle name="40 % - Markeringsfarve4 5 4 2" xfId="31781" xr:uid="{DA7D9B5E-7C32-4E84-BDAE-7064D40BF50F}"/>
    <cellStyle name="40 % - Markeringsfarve4 5 4 3" xfId="31782" xr:uid="{A0E02CF5-FFF1-47E6-9231-460487BBC139}"/>
    <cellStyle name="40 % - Markeringsfarve4 5 5" xfId="31783" xr:uid="{00C8D691-AE58-40B2-9A6F-AC43E8649FD0}"/>
    <cellStyle name="40 % - Markeringsfarve4 5 5 2" xfId="31784" xr:uid="{21DA8EDC-DA7E-4164-A9A5-C8101E38DB65}"/>
    <cellStyle name="40 % - Markeringsfarve4 5 5 3" xfId="31785" xr:uid="{016E98AC-064C-4776-A5E2-5A63501E5151}"/>
    <cellStyle name="40 % - Markeringsfarve4 5 6" xfId="31786" xr:uid="{94ECE25D-0363-4A5A-86EA-6BFAA9114BCE}"/>
    <cellStyle name="40 % - Markeringsfarve4 5 6 2" xfId="31787" xr:uid="{56C0429D-3206-41A3-A22B-EBB0C62302AF}"/>
    <cellStyle name="40 % - Markeringsfarve4 5 6 3" xfId="31788" xr:uid="{F1F1BD71-1F22-4926-AFF9-4029E89A8D74}"/>
    <cellStyle name="40 % - Markeringsfarve4 5 7" xfId="31789" xr:uid="{79511C73-FAD7-43A4-82C7-5339D329A78A}"/>
    <cellStyle name="40 % - Markeringsfarve4 5 7 2" xfId="31790" xr:uid="{E4AC8180-D8FB-4FE0-9CE0-8DAB60A42CB1}"/>
    <cellStyle name="40 % - Markeringsfarve4 5 8" xfId="31791" xr:uid="{0DA72083-3097-44A9-A3BF-D91BAD38654C}"/>
    <cellStyle name="40 % - Markeringsfarve4 6" xfId="23603" xr:uid="{9A5E3BFC-C310-488B-A7F9-7813D158FFF1}"/>
    <cellStyle name="40 % - Markeringsfarve4 6 2" xfId="23604" xr:uid="{45ADDF8B-2D8D-44DC-940C-A106DBCFF905}"/>
    <cellStyle name="40 % - Markeringsfarve4 6 3" xfId="31792" xr:uid="{F4044E54-30BA-4021-A51F-2CF4B64D1ECE}"/>
    <cellStyle name="40 % - Markeringsfarve4 7" xfId="23605" xr:uid="{BD87218B-E060-4D1B-9957-452925653E0B}"/>
    <cellStyle name="40 % - Markeringsfarve4 7 2" xfId="31793" xr:uid="{0FBB17F9-DF5A-4D21-8904-C56644D2F110}"/>
    <cellStyle name="40 % - Markeringsfarve4 7 3" xfId="31794" xr:uid="{4CE64C2D-FF40-4D33-94E2-5113C4BE316B}"/>
    <cellStyle name="40 % - Markeringsfarve4 8" xfId="31795" xr:uid="{381626C9-D08A-4A33-B5B1-4369D4B0C031}"/>
    <cellStyle name="40 % - Markeringsfarve4 8 2" xfId="31796" xr:uid="{44F80F46-5A84-4D65-9C88-FFA14C9D20D9}"/>
    <cellStyle name="40 % - Markeringsfarve4 8 3" xfId="31797" xr:uid="{5B4D36B9-5F6E-4094-8F19-CEF232D6185F}"/>
    <cellStyle name="40 % - Markeringsfarve4 9" xfId="31798" xr:uid="{CEC73817-3CCA-4AA4-B17B-5FC23223C923}"/>
    <cellStyle name="40 % - Markeringsfarve4 9 2" xfId="31799" xr:uid="{BA86EEA2-5882-45FE-9556-A6E20C70E5AE}"/>
    <cellStyle name="40 % - Markeringsfarve4 9 3" xfId="31800" xr:uid="{D6D0C9E2-F1B5-4A5C-B683-1A51B1C76C54}"/>
    <cellStyle name="40 % - Markeringsfarve5" xfId="1279" xr:uid="{00000000-0005-0000-0000-000020000000}"/>
    <cellStyle name="40 % - Markeringsfarve5 10" xfId="31801" xr:uid="{29D9C160-9327-4BCA-BA0C-44D43C1B8F30}"/>
    <cellStyle name="40 % - Markeringsfarve5 10 2" xfId="31802" xr:uid="{4570428D-1FE9-4174-BA60-5681D07DA691}"/>
    <cellStyle name="40 % - Markeringsfarve5 10 3" xfId="31803" xr:uid="{2D1B73F1-4277-44FD-8610-DC80F85A0DE8}"/>
    <cellStyle name="40 % - Markeringsfarve5 11" xfId="31804" xr:uid="{988A3624-1ECB-4944-AF09-81C3AF3684FF}"/>
    <cellStyle name="40 % - Markeringsfarve5 11 2" xfId="31805" xr:uid="{7831BF20-88E1-4F0C-BEA9-692902903F64}"/>
    <cellStyle name="40 % - Markeringsfarve5 12" xfId="31806" xr:uid="{3D3A026F-62EF-4375-87C5-D08698D1185E}"/>
    <cellStyle name="40 % - Markeringsfarve5 13" xfId="17737" xr:uid="{B4AEFC90-F02D-480E-8FF5-4AE964192F87}"/>
    <cellStyle name="40 % - Markeringsfarve5 2" xfId="1280" xr:uid="{00000000-0005-0000-0000-000021000000}"/>
    <cellStyle name="40 % - Markeringsfarve5 2 10" xfId="31807" xr:uid="{0A2A87CB-4B34-48F9-8837-B09DD06E558F}"/>
    <cellStyle name="40 % - Markeringsfarve5 2 11" xfId="17738" xr:uid="{DBE9A9FD-F91F-44AE-B155-FC3A273479E8}"/>
    <cellStyle name="40 % - Markeringsfarve5 2 2" xfId="23606" xr:uid="{3E8D5AC5-12C9-4595-97B2-A60100FB33EA}"/>
    <cellStyle name="40 % - Markeringsfarve5 2 2 2" xfId="23607" xr:uid="{B1CD5133-94AD-4302-A86C-81182420DDEB}"/>
    <cellStyle name="40 % - Markeringsfarve5 2 2 2 2" xfId="31808" xr:uid="{6383760D-B570-4AC3-AD1E-4C74D7911EE4}"/>
    <cellStyle name="40 % - Markeringsfarve5 2 2 2 3" xfId="31809" xr:uid="{464B9D19-E457-49B3-A3DF-4B77CC0AEB4F}"/>
    <cellStyle name="40 % - Markeringsfarve5 2 2 3" xfId="31810" xr:uid="{309C46C9-4F51-4F82-A5FC-EDFB2AD58D5B}"/>
    <cellStyle name="40 % - Markeringsfarve5 2 2 3 2" xfId="31811" xr:uid="{7493D54D-617F-41ED-B27C-0405A0E52B25}"/>
    <cellStyle name="40 % - Markeringsfarve5 2 2 3 3" xfId="31812" xr:uid="{5C414FF2-4D73-4717-877A-41E7F31983DC}"/>
    <cellStyle name="40 % - Markeringsfarve5 2 2 4" xfId="31813" xr:uid="{A1DDBCC5-8407-448F-8D38-D514E12028A9}"/>
    <cellStyle name="40 % - Markeringsfarve5 2 2 4 2" xfId="31814" xr:uid="{F01A3DDB-B51D-4F66-9727-BCDFE4E138B6}"/>
    <cellStyle name="40 % - Markeringsfarve5 2 2 4 3" xfId="31815" xr:uid="{A4CAECA1-8506-48B8-A099-4E5B41118783}"/>
    <cellStyle name="40 % - Markeringsfarve5 2 2 5" xfId="31816" xr:uid="{FD879C7C-506F-4408-B718-A67D0674B13F}"/>
    <cellStyle name="40 % - Markeringsfarve5 2 2 5 2" xfId="31817" xr:uid="{7F930B7B-E76F-4EFB-907C-E569D2B95A13}"/>
    <cellStyle name="40 % - Markeringsfarve5 2 2 5 3" xfId="31818" xr:uid="{A6E5D123-382B-4142-9ED8-9FB4B43DF274}"/>
    <cellStyle name="40 % - Markeringsfarve5 2 2 6" xfId="31819" xr:uid="{A5F0CE21-37A6-4CBA-B1AD-13183DE611E5}"/>
    <cellStyle name="40 % - Markeringsfarve5 2 2 6 2" xfId="31820" xr:uid="{2D461269-BBBF-4D39-85A0-8BFCE7CE026D}"/>
    <cellStyle name="40 % - Markeringsfarve5 2 2 6 3" xfId="31821" xr:uid="{83E8BF6D-CA73-4AF5-8F63-2B9B00068995}"/>
    <cellStyle name="40 % - Markeringsfarve5 2 2 7" xfId="31822" xr:uid="{0B0211F5-D787-4B73-8746-147143EFD789}"/>
    <cellStyle name="40 % - Markeringsfarve5 2 2 7 2" xfId="31823" xr:uid="{E8B417CD-5027-40DC-BFC1-399E78AEE196}"/>
    <cellStyle name="40 % - Markeringsfarve5 2 2 8" xfId="31824" xr:uid="{676478AD-E601-4CB6-B93A-44DA37930587}"/>
    <cellStyle name="40 % - Markeringsfarve5 2 3" xfId="23608" xr:uid="{22EDCD09-98ED-45B7-B2B8-7DD36B72E2FB}"/>
    <cellStyle name="40 % - Markeringsfarve5 2 3 2" xfId="23609" xr:uid="{FABD1368-3EA9-4D31-8EA1-95C840402F26}"/>
    <cellStyle name="40 % - Markeringsfarve5 2 3 2 2" xfId="31825" xr:uid="{2C28FDFF-AA9F-447F-A7B4-2F7BF617C14C}"/>
    <cellStyle name="40 % - Markeringsfarve5 2 3 2 3" xfId="31826" xr:uid="{3D1E7B3C-D77C-4442-BD1E-2D2C9B36D00E}"/>
    <cellStyle name="40 % - Markeringsfarve5 2 3 3" xfId="31827" xr:uid="{48B0D09F-878F-46E3-9791-8BFAE6C40BA4}"/>
    <cellStyle name="40 % - Markeringsfarve5 2 3 3 2" xfId="31828" xr:uid="{7C59D820-65F9-4188-BD77-FF8F236D2E10}"/>
    <cellStyle name="40 % - Markeringsfarve5 2 3 3 3" xfId="31829" xr:uid="{201C73DC-0668-4935-A59D-66607C5B6B39}"/>
    <cellStyle name="40 % - Markeringsfarve5 2 3 4" xfId="31830" xr:uid="{F9111929-C137-49B0-BB99-886C36563D33}"/>
    <cellStyle name="40 % - Markeringsfarve5 2 3 4 2" xfId="31831" xr:uid="{CD4CE431-28AC-4AA3-AABE-17EB87F4A7C1}"/>
    <cellStyle name="40 % - Markeringsfarve5 2 3 4 3" xfId="31832" xr:uid="{E897E88B-B9F8-40CB-BD24-1104072D4544}"/>
    <cellStyle name="40 % - Markeringsfarve5 2 3 5" xfId="31833" xr:uid="{E707136D-2516-4511-A0EF-19B38E2A7E17}"/>
    <cellStyle name="40 % - Markeringsfarve5 2 3 5 2" xfId="31834" xr:uid="{FF45DC89-862D-41C9-8C48-A7807F52486E}"/>
    <cellStyle name="40 % - Markeringsfarve5 2 3 5 3" xfId="31835" xr:uid="{36E118FB-8502-4639-97AF-DE0E5C084989}"/>
    <cellStyle name="40 % - Markeringsfarve5 2 3 6" xfId="31836" xr:uid="{5CD7944A-08F8-40A5-ACDC-5C76FC38FFDE}"/>
    <cellStyle name="40 % - Markeringsfarve5 2 3 6 2" xfId="31837" xr:uid="{676E4561-D50F-450C-B282-90831E3235E0}"/>
    <cellStyle name="40 % - Markeringsfarve5 2 3 6 3" xfId="31838" xr:uid="{EF7CAA4D-3769-40E0-98C6-9781F1EA674E}"/>
    <cellStyle name="40 % - Markeringsfarve5 2 3 7" xfId="31839" xr:uid="{511FF2DB-BFE3-43B5-B62E-FFFFA06B3A3C}"/>
    <cellStyle name="40 % - Markeringsfarve5 2 3 7 2" xfId="31840" xr:uid="{0C8ADF69-6BB3-42F0-AA6A-99163B17EC1C}"/>
    <cellStyle name="40 % - Markeringsfarve5 2 3 8" xfId="31841" xr:uid="{E2A5B185-40D5-41CF-B1D9-772898021CA2}"/>
    <cellStyle name="40 % - Markeringsfarve5 2 4" xfId="23610" xr:uid="{E4086B6D-BF9C-495D-831D-2432E211E634}"/>
    <cellStyle name="40 % - Markeringsfarve5 2 4 2" xfId="31842" xr:uid="{888462B9-65F9-422E-8918-E62DCEE9B955}"/>
    <cellStyle name="40 % - Markeringsfarve5 2 4 3" xfId="31843" xr:uid="{BD2FE467-C0F0-41AE-8B20-BA42DE290F58}"/>
    <cellStyle name="40 % - Markeringsfarve5 2 5" xfId="31844" xr:uid="{6F91B52A-EE13-48C7-AA3E-1036335910F5}"/>
    <cellStyle name="40 % - Markeringsfarve5 2 5 2" xfId="31845" xr:uid="{94EC29F5-3626-48FE-82CC-22EE9D800CE1}"/>
    <cellStyle name="40 % - Markeringsfarve5 2 5 3" xfId="31846" xr:uid="{BF39A8DF-0E34-495D-8893-DAA7BC55157E}"/>
    <cellStyle name="40 % - Markeringsfarve5 2 6" xfId="31847" xr:uid="{7245EEE9-EF3F-4546-99AD-3E982013F99D}"/>
    <cellStyle name="40 % - Markeringsfarve5 2 6 2" xfId="31848" xr:uid="{EEA4B3A3-C9E9-412B-90D4-198A255EDDA8}"/>
    <cellStyle name="40 % - Markeringsfarve5 2 6 3" xfId="31849" xr:uid="{F6C3BA28-B452-4CB9-A1CE-B6D4C60A550D}"/>
    <cellStyle name="40 % - Markeringsfarve5 2 7" xfId="31850" xr:uid="{2ABDAEA1-40D8-4883-A91F-D024C75ABAD6}"/>
    <cellStyle name="40 % - Markeringsfarve5 2 7 2" xfId="31851" xr:uid="{E1A1BC12-94B3-4FFF-9781-99AC5D2886C1}"/>
    <cellStyle name="40 % - Markeringsfarve5 2 7 3" xfId="31852" xr:uid="{E292CA6E-2D43-4859-8A9A-013CAED5CA0C}"/>
    <cellStyle name="40 % - Markeringsfarve5 2 8" xfId="31853" xr:uid="{7126FE6B-10B9-46D6-9A8A-84A3A57D9AF6}"/>
    <cellStyle name="40 % - Markeringsfarve5 2 8 2" xfId="31854" xr:uid="{FA63A2FD-5BD5-47D6-8D27-991A4259D238}"/>
    <cellStyle name="40 % - Markeringsfarve5 2 8 3" xfId="31855" xr:uid="{336D1F01-66CF-458C-AB1E-143682999656}"/>
    <cellStyle name="40 % - Markeringsfarve5 2 9" xfId="31856" xr:uid="{97AD421E-62F8-47F8-A043-246005876A70}"/>
    <cellStyle name="40 % - Markeringsfarve5 2 9 2" xfId="31857" xr:uid="{D14EAD69-D1FA-423F-A157-F72FBB97077E}"/>
    <cellStyle name="40 % - Markeringsfarve5 3" xfId="2595" xr:uid="{6BEDEBE0-9333-4464-909A-6646045222C4}"/>
    <cellStyle name="40 % - Markeringsfarve5 3 10" xfId="31858" xr:uid="{B73A3AD5-8C87-4C22-9D85-E476F8BABEAF}"/>
    <cellStyle name="40 % - Markeringsfarve5 3 2" xfId="23611" xr:uid="{748F3534-1A92-4EFB-998E-A1909BF29871}"/>
    <cellStyle name="40 % - Markeringsfarve5 3 2 2" xfId="31859" xr:uid="{A50D0E6A-5F9E-4B43-9469-663F78B92870}"/>
    <cellStyle name="40 % - Markeringsfarve5 3 2 2 2" xfId="31860" xr:uid="{A02965D6-D14B-4283-8E87-55698638F689}"/>
    <cellStyle name="40 % - Markeringsfarve5 3 2 2 3" xfId="31861" xr:uid="{4F3DC080-3392-47E9-ABEE-35F7DEE70C6A}"/>
    <cellStyle name="40 % - Markeringsfarve5 3 2 3" xfId="31862" xr:uid="{DED4741C-14FE-4E2A-855C-1DE8D750E298}"/>
    <cellStyle name="40 % - Markeringsfarve5 3 2 3 2" xfId="31863" xr:uid="{1D532E8B-1CCD-4F5A-BB4C-0A4B18230A57}"/>
    <cellStyle name="40 % - Markeringsfarve5 3 2 3 3" xfId="31864" xr:uid="{2F9785CB-1647-4C9F-A577-7B8A1F12FC5E}"/>
    <cellStyle name="40 % - Markeringsfarve5 3 2 4" xfId="31865" xr:uid="{C2EF0179-F9D9-4705-9807-58CB70CA7D2B}"/>
    <cellStyle name="40 % - Markeringsfarve5 3 2 4 2" xfId="31866" xr:uid="{4333A3DA-EE23-4E1C-9A98-4A040BB61039}"/>
    <cellStyle name="40 % - Markeringsfarve5 3 2 4 3" xfId="31867" xr:uid="{3E83F244-83E2-4E45-9C50-4B5D2EBF6E6E}"/>
    <cellStyle name="40 % - Markeringsfarve5 3 2 5" xfId="31868" xr:uid="{C58F4B31-B3DC-499C-B5B8-C2F617F1A573}"/>
    <cellStyle name="40 % - Markeringsfarve5 3 2 5 2" xfId="31869" xr:uid="{9D80C8D3-F988-40DE-8B70-4B678CFA748F}"/>
    <cellStyle name="40 % - Markeringsfarve5 3 2 5 3" xfId="31870" xr:uid="{C2E867C2-0AAC-4587-9E8A-39160809F047}"/>
    <cellStyle name="40 % - Markeringsfarve5 3 2 6" xfId="31871" xr:uid="{176650D9-DCF9-4487-911C-09E07070FAEE}"/>
    <cellStyle name="40 % - Markeringsfarve5 3 2 6 2" xfId="31872" xr:uid="{EA3B2B47-994A-43A6-B7C3-BFF424AE6EF0}"/>
    <cellStyle name="40 % - Markeringsfarve5 3 2 6 3" xfId="31873" xr:uid="{FD87B69F-D570-457D-8733-52BD754C85A6}"/>
    <cellStyle name="40 % - Markeringsfarve5 3 2 7" xfId="31874" xr:uid="{8122F399-BB86-4DA9-9249-C368435BEE79}"/>
    <cellStyle name="40 % - Markeringsfarve5 3 2 7 2" xfId="31875" xr:uid="{0CDB1ABC-676D-4D9A-988B-7611C0007E10}"/>
    <cellStyle name="40 % - Markeringsfarve5 3 2 8" xfId="31876" xr:uid="{8B4A6133-7400-4A35-941E-03BC29853CD6}"/>
    <cellStyle name="40 % - Markeringsfarve5 3 3" xfId="31877" xr:uid="{EA2CBAE1-4079-494C-9404-AB332C5F2A79}"/>
    <cellStyle name="40 % - Markeringsfarve5 3 3 2" xfId="31878" xr:uid="{3AB73830-A0BD-4D49-AEDF-70FFAC09066E}"/>
    <cellStyle name="40 % - Markeringsfarve5 3 3 2 2" xfId="31879" xr:uid="{374D29F7-0B95-4A01-AD42-A2CB9F4575D9}"/>
    <cellStyle name="40 % - Markeringsfarve5 3 3 2 3" xfId="31880" xr:uid="{C62EAFD9-9096-4D73-B089-1ED6FB5BA65C}"/>
    <cellStyle name="40 % - Markeringsfarve5 3 3 3" xfId="31881" xr:uid="{891FDF5F-A512-484D-8BB5-DBA475413389}"/>
    <cellStyle name="40 % - Markeringsfarve5 3 3 3 2" xfId="31882" xr:uid="{641C0D33-8AF9-45B3-AACC-D9E710460158}"/>
    <cellStyle name="40 % - Markeringsfarve5 3 3 3 3" xfId="31883" xr:uid="{8CFA081D-36BF-4C02-94CF-43F601A5396B}"/>
    <cellStyle name="40 % - Markeringsfarve5 3 3 4" xfId="31884" xr:uid="{74C4C348-5353-434A-A3EE-4695472723CC}"/>
    <cellStyle name="40 % - Markeringsfarve5 3 3 4 2" xfId="31885" xr:uid="{7D9E7522-23B0-44C7-92C5-E0AE257DCCA9}"/>
    <cellStyle name="40 % - Markeringsfarve5 3 3 4 3" xfId="31886" xr:uid="{F6572C32-788A-400B-9F95-31F3FA0CF95B}"/>
    <cellStyle name="40 % - Markeringsfarve5 3 3 5" xfId="31887" xr:uid="{DACE5517-3FC0-435A-97DF-F9D3AC80BA42}"/>
    <cellStyle name="40 % - Markeringsfarve5 3 3 5 2" xfId="31888" xr:uid="{77697459-60DD-468C-BCAD-1EB128343798}"/>
    <cellStyle name="40 % - Markeringsfarve5 3 3 5 3" xfId="31889" xr:uid="{65EAEBE1-C554-4535-A6BF-952862029498}"/>
    <cellStyle name="40 % - Markeringsfarve5 3 3 6" xfId="31890" xr:uid="{062EFE93-1103-45AB-BA66-F9DA03093A8F}"/>
    <cellStyle name="40 % - Markeringsfarve5 3 3 6 2" xfId="31891" xr:uid="{725EB24E-9A3B-4056-82C9-8A3C5C61FF7E}"/>
    <cellStyle name="40 % - Markeringsfarve5 3 3 6 3" xfId="31892" xr:uid="{AC7D07EE-A0E0-47D9-9847-D02F842099A3}"/>
    <cellStyle name="40 % - Markeringsfarve5 3 3 7" xfId="31893" xr:uid="{A1460A30-0BC1-4AEA-A93D-2B97745285DB}"/>
    <cellStyle name="40 % - Markeringsfarve5 3 3 7 2" xfId="31894" xr:uid="{91F7AD2B-0008-43CD-9539-5653AABDE5D5}"/>
    <cellStyle name="40 % - Markeringsfarve5 3 3 8" xfId="31895" xr:uid="{20A7405C-58FF-4FC3-BF25-3F1D7149E576}"/>
    <cellStyle name="40 % - Markeringsfarve5 3 4" xfId="31896" xr:uid="{FD814917-81DF-4C01-BB27-9A0B108C3299}"/>
    <cellStyle name="40 % - Markeringsfarve5 3 4 2" xfId="31897" xr:uid="{52E94C91-CE04-4153-A9F0-91A740F0CA9E}"/>
    <cellStyle name="40 % - Markeringsfarve5 3 4 3" xfId="31898" xr:uid="{D9E1BA70-63EC-42CE-B140-A585DB2CDC54}"/>
    <cellStyle name="40 % - Markeringsfarve5 3 5" xfId="31899" xr:uid="{DB5F7C81-558F-404F-96E1-233B9BB60EF2}"/>
    <cellStyle name="40 % - Markeringsfarve5 3 5 2" xfId="31900" xr:uid="{427B9040-3F22-4561-AC32-37678D2AA303}"/>
    <cellStyle name="40 % - Markeringsfarve5 3 5 3" xfId="31901" xr:uid="{4131DB03-D30B-4107-9CC3-895C330A6B19}"/>
    <cellStyle name="40 % - Markeringsfarve5 3 6" xfId="31902" xr:uid="{29398C6A-C263-4CDC-8D08-D36DF2A475C2}"/>
    <cellStyle name="40 % - Markeringsfarve5 3 6 2" xfId="31903" xr:uid="{C455D4AF-DF65-411C-999F-E81EF2761DEA}"/>
    <cellStyle name="40 % - Markeringsfarve5 3 6 3" xfId="31904" xr:uid="{759971A0-0EAE-4D3B-89D0-F8ED5B5FC1AD}"/>
    <cellStyle name="40 % - Markeringsfarve5 3 7" xfId="31905" xr:uid="{DCF13669-A82D-460D-ABA7-85E56B5E0AD1}"/>
    <cellStyle name="40 % - Markeringsfarve5 3 7 2" xfId="31906" xr:uid="{CBD889EA-7FCC-422A-A0EE-5C44DFACED18}"/>
    <cellStyle name="40 % - Markeringsfarve5 3 7 3" xfId="31907" xr:uid="{5F0FDFAD-D0B5-47F5-8A02-0EC4175271DF}"/>
    <cellStyle name="40 % - Markeringsfarve5 3 8" xfId="31908" xr:uid="{66A0B4FD-6DA2-4D66-8F4E-0C368D6EE3CF}"/>
    <cellStyle name="40 % - Markeringsfarve5 3 8 2" xfId="31909" xr:uid="{E71270D9-13CE-4D74-AF3F-72CD68E676B6}"/>
    <cellStyle name="40 % - Markeringsfarve5 3 8 3" xfId="31910" xr:uid="{12A317A5-ADED-46B5-AC4A-6F611A18877D}"/>
    <cellStyle name="40 % - Markeringsfarve5 3 9" xfId="31911" xr:uid="{9F6DEC67-5150-47F0-9691-4732129965EE}"/>
    <cellStyle name="40 % - Markeringsfarve5 3 9 2" xfId="31912" xr:uid="{84808B93-63BF-41DF-A6DB-9199263E00F9}"/>
    <cellStyle name="40 % - Markeringsfarve5 4" xfId="23612" xr:uid="{63F869E4-23EA-4E1F-A049-4C43F92446C5}"/>
    <cellStyle name="40 % - Markeringsfarve5 4 2" xfId="23613" xr:uid="{44566414-B6EC-4C30-96E4-91AC240635BE}"/>
    <cellStyle name="40 % - Markeringsfarve5 4 2 2" xfId="31913" xr:uid="{A02E2831-2A12-4FB3-8CF3-282263148AB3}"/>
    <cellStyle name="40 % - Markeringsfarve5 4 2 3" xfId="31914" xr:uid="{EB48EDE7-E67E-440C-84F0-43A5623526F9}"/>
    <cellStyle name="40 % - Markeringsfarve5 4 3" xfId="31915" xr:uid="{76B210EC-C3BD-47F0-96A9-C4F42E3A1FC8}"/>
    <cellStyle name="40 % - Markeringsfarve5 4 3 2" xfId="31916" xr:uid="{061290B3-DFEE-4A27-96A6-69948ECE561F}"/>
    <cellStyle name="40 % - Markeringsfarve5 4 3 3" xfId="31917" xr:uid="{16DF8AAB-AB76-4839-A40E-105FC76BBF15}"/>
    <cellStyle name="40 % - Markeringsfarve5 4 4" xfId="31918" xr:uid="{2F8A9D6A-7913-43AF-BABE-2DE95BAF8297}"/>
    <cellStyle name="40 % - Markeringsfarve5 4 4 2" xfId="31919" xr:uid="{7A8CDD14-3FA7-48C8-8381-416F6D151025}"/>
    <cellStyle name="40 % - Markeringsfarve5 4 4 3" xfId="31920" xr:uid="{C2B4EBA1-1735-497E-BABF-42F088F130DB}"/>
    <cellStyle name="40 % - Markeringsfarve5 4 5" xfId="31921" xr:uid="{A9A80B17-E933-43C7-8B7F-D5DBD162AFDB}"/>
    <cellStyle name="40 % - Markeringsfarve5 4 5 2" xfId="31922" xr:uid="{CE0C9813-D61E-4430-9304-A6AC1FD49931}"/>
    <cellStyle name="40 % - Markeringsfarve5 4 5 3" xfId="31923" xr:uid="{271FA1A7-5A87-474D-861D-7B6A62848C5D}"/>
    <cellStyle name="40 % - Markeringsfarve5 4 6" xfId="31924" xr:uid="{695D979F-5551-494B-9269-F3D7F124A331}"/>
    <cellStyle name="40 % - Markeringsfarve5 4 6 2" xfId="31925" xr:uid="{9F4CE42D-7D11-43A8-8DC7-C8684C15B515}"/>
    <cellStyle name="40 % - Markeringsfarve5 4 6 3" xfId="31926" xr:uid="{96583D10-FA95-42B1-93D9-80A3F2E9CED7}"/>
    <cellStyle name="40 % - Markeringsfarve5 4 7" xfId="31927" xr:uid="{3B8A4C4C-178B-4C7C-A6F7-3260A4742020}"/>
    <cellStyle name="40 % - Markeringsfarve5 4 7 2" xfId="31928" xr:uid="{C2943E51-3E8B-47D7-A79F-0F0634A6F294}"/>
    <cellStyle name="40 % - Markeringsfarve5 4 8" xfId="31929" xr:uid="{71B704F5-8F9A-4D15-8A9A-C5791AB87940}"/>
    <cellStyle name="40 % - Markeringsfarve5 5" xfId="23614" xr:uid="{83BDF34E-B842-4529-B05A-C7E7CFD724F1}"/>
    <cellStyle name="40 % - Markeringsfarve5 5 2" xfId="23615" xr:uid="{3C2E5713-0A57-4E01-B8F0-150B5CAEA634}"/>
    <cellStyle name="40 % - Markeringsfarve5 5 2 2" xfId="31930" xr:uid="{BFB54B7B-0DC2-4AD4-BF75-62E997DF428B}"/>
    <cellStyle name="40 % - Markeringsfarve5 5 2 3" xfId="31931" xr:uid="{280E98F4-E16D-456A-88A8-16C175A74F0C}"/>
    <cellStyle name="40 % - Markeringsfarve5 5 3" xfId="31932" xr:uid="{C6FDC8CB-4D81-450E-B7B5-3CCA546E20D7}"/>
    <cellStyle name="40 % - Markeringsfarve5 5 3 2" xfId="31933" xr:uid="{06D2E730-2D95-407D-B564-1C4B91FA8E71}"/>
    <cellStyle name="40 % - Markeringsfarve5 5 3 3" xfId="31934" xr:uid="{7ECEBAA8-99B0-44EE-BE3D-BE5ABF2683E2}"/>
    <cellStyle name="40 % - Markeringsfarve5 5 4" xfId="31935" xr:uid="{A66A4CE1-5907-4A77-AD38-E201ADC35725}"/>
    <cellStyle name="40 % - Markeringsfarve5 5 4 2" xfId="31936" xr:uid="{09537570-6099-4854-A734-F64D04F2366D}"/>
    <cellStyle name="40 % - Markeringsfarve5 5 4 3" xfId="31937" xr:uid="{58B25154-6973-4DD1-9F1C-DC91DBDD759E}"/>
    <cellStyle name="40 % - Markeringsfarve5 5 5" xfId="31938" xr:uid="{0424BA80-FCD7-4037-AEC1-53E1EFCC1859}"/>
    <cellStyle name="40 % - Markeringsfarve5 5 5 2" xfId="31939" xr:uid="{F77B1801-62AE-47EB-AA12-866AA064841A}"/>
    <cellStyle name="40 % - Markeringsfarve5 5 5 3" xfId="31940" xr:uid="{DF53B6FD-CDA1-4BB4-93D0-F6984B78CFE3}"/>
    <cellStyle name="40 % - Markeringsfarve5 5 6" xfId="31941" xr:uid="{3E1275A1-FCC4-4180-A7B7-EE17607254BB}"/>
    <cellStyle name="40 % - Markeringsfarve5 5 6 2" xfId="31942" xr:uid="{E26660B4-547B-44D4-A734-7E5F1B7BDF5B}"/>
    <cellStyle name="40 % - Markeringsfarve5 5 6 3" xfId="31943" xr:uid="{C1BE81D4-B652-4540-A66A-F571A5F75FB3}"/>
    <cellStyle name="40 % - Markeringsfarve5 5 7" xfId="31944" xr:uid="{510FC001-1367-4DF1-9C72-5C7185E5FDED}"/>
    <cellStyle name="40 % - Markeringsfarve5 5 7 2" xfId="31945" xr:uid="{03324C39-E9FB-4A60-859F-AAC0DDA1D5E1}"/>
    <cellStyle name="40 % - Markeringsfarve5 5 8" xfId="31946" xr:uid="{0DD7455A-2296-4BB8-8705-F14B002B0568}"/>
    <cellStyle name="40 % - Markeringsfarve5 6" xfId="23616" xr:uid="{56BB0587-E464-4DD4-8CA1-3E7A0B4238E4}"/>
    <cellStyle name="40 % - Markeringsfarve5 6 2" xfId="23617" xr:uid="{273B1F06-D4F6-4EED-8975-C7DE0796FA09}"/>
    <cellStyle name="40 % - Markeringsfarve5 6 3" xfId="31947" xr:uid="{F5A3D9E2-F0E5-4756-A75F-F3B180D4D436}"/>
    <cellStyle name="40 % - Markeringsfarve5 7" xfId="23618" xr:uid="{4BA96272-AD16-4CB2-9AAD-3AA6C55DAF94}"/>
    <cellStyle name="40 % - Markeringsfarve5 7 2" xfId="31948" xr:uid="{942AE209-79A0-4524-91F6-F1ECAC9734B4}"/>
    <cellStyle name="40 % - Markeringsfarve5 7 3" xfId="31949" xr:uid="{CECAAB17-172E-4A0A-A222-2BC0E5B750D2}"/>
    <cellStyle name="40 % - Markeringsfarve5 8" xfId="31950" xr:uid="{D9BDEDBA-3298-4CD8-8662-885DD1E39FCC}"/>
    <cellStyle name="40 % - Markeringsfarve5 8 2" xfId="31951" xr:uid="{61BDB8C1-4EB4-46AC-89F9-F4DF67E72B67}"/>
    <cellStyle name="40 % - Markeringsfarve5 8 3" xfId="31952" xr:uid="{A72AC75D-77C9-4E97-A34D-226C2963CC5C}"/>
    <cellStyle name="40 % - Markeringsfarve5 9" xfId="31953" xr:uid="{7CF2E59C-64E6-4538-A69B-F6AC97BF3EAE}"/>
    <cellStyle name="40 % - Markeringsfarve5 9 2" xfId="31954" xr:uid="{80A93F8B-088C-46EE-83CB-C26CC3E30016}"/>
    <cellStyle name="40 % - Markeringsfarve5 9 3" xfId="31955" xr:uid="{C29BEADE-D498-455A-A53E-99943BE70B9D}"/>
    <cellStyle name="40 % - Markeringsfarve6" xfId="1281" xr:uid="{00000000-0005-0000-0000-000022000000}"/>
    <cellStyle name="40 % - Markeringsfarve6 10" xfId="31956" xr:uid="{EC5AAE7B-0F76-4A4A-B7B3-C20260F1312C}"/>
    <cellStyle name="40 % - Markeringsfarve6 10 2" xfId="31957" xr:uid="{98F2D6C6-7539-448B-81B5-BBF10742C831}"/>
    <cellStyle name="40 % - Markeringsfarve6 10 3" xfId="31958" xr:uid="{91057D61-72EC-426E-8D0E-FA63B58781A5}"/>
    <cellStyle name="40 % - Markeringsfarve6 11" xfId="31959" xr:uid="{9DEEEA39-BAA5-40F3-83B7-8B810675CC1E}"/>
    <cellStyle name="40 % - Markeringsfarve6 11 2" xfId="31960" xr:uid="{E491FFFF-DD6A-4811-B3BD-9B4C27033A62}"/>
    <cellStyle name="40 % - Markeringsfarve6 12" xfId="31961" xr:uid="{7AEB2CC0-DCFA-4E8B-BA58-0A79970EA1AD}"/>
    <cellStyle name="40 % - Markeringsfarve6 13" xfId="17739" xr:uid="{C87B72B5-541C-4DCD-B72D-00376F1ADDEE}"/>
    <cellStyle name="40 % - Markeringsfarve6 2" xfId="1282" xr:uid="{00000000-0005-0000-0000-000023000000}"/>
    <cellStyle name="40 % - Markeringsfarve6 2 10" xfId="31962" xr:uid="{148D4243-947E-4A7F-A278-C7C0DA298D59}"/>
    <cellStyle name="40 % - Markeringsfarve6 2 11" xfId="17740" xr:uid="{7EDB3965-2365-439C-BB2C-02738990AFBA}"/>
    <cellStyle name="40 % - Markeringsfarve6 2 2" xfId="23619" xr:uid="{128F2C9D-CBBC-41C5-B1C1-217F97DD5B13}"/>
    <cellStyle name="40 % - Markeringsfarve6 2 2 2" xfId="23620" xr:uid="{C0BC3B00-5223-4EC2-A12E-AFB6E26C9226}"/>
    <cellStyle name="40 % - Markeringsfarve6 2 2 2 2" xfId="31963" xr:uid="{590DB729-ABDB-4EF9-A9D8-4E0793202211}"/>
    <cellStyle name="40 % - Markeringsfarve6 2 2 2 3" xfId="31964" xr:uid="{92E54B89-7671-4CA0-95E9-7E50CDCAC225}"/>
    <cellStyle name="40 % - Markeringsfarve6 2 2 3" xfId="31965" xr:uid="{40D2C87D-BB33-481B-8751-CEEDEFBBCEA4}"/>
    <cellStyle name="40 % - Markeringsfarve6 2 2 3 2" xfId="31966" xr:uid="{C31CD303-B205-4B2E-AB42-2EED0B3F1D82}"/>
    <cellStyle name="40 % - Markeringsfarve6 2 2 3 3" xfId="31967" xr:uid="{89D7AABB-26DB-4690-A8A2-6788AA97A0B8}"/>
    <cellStyle name="40 % - Markeringsfarve6 2 2 4" xfId="31968" xr:uid="{2CE919DC-DF51-4BAC-A703-0ADB7A1A6D81}"/>
    <cellStyle name="40 % - Markeringsfarve6 2 2 4 2" xfId="31969" xr:uid="{B93327D5-0084-4D39-96A6-FAC54612D62D}"/>
    <cellStyle name="40 % - Markeringsfarve6 2 2 4 3" xfId="31970" xr:uid="{BEA2B190-384C-4908-BB02-B3440CFC6A32}"/>
    <cellStyle name="40 % - Markeringsfarve6 2 2 5" xfId="31971" xr:uid="{3D47101A-1E2C-4921-8E03-80733991EE53}"/>
    <cellStyle name="40 % - Markeringsfarve6 2 2 5 2" xfId="31972" xr:uid="{D7732CE8-2FFC-46A7-9B6D-CE05D52F990F}"/>
    <cellStyle name="40 % - Markeringsfarve6 2 2 5 3" xfId="31973" xr:uid="{A375FC63-A4EA-4892-82B8-9F3ECA20DF04}"/>
    <cellStyle name="40 % - Markeringsfarve6 2 2 6" xfId="31974" xr:uid="{D5B880BF-805C-470C-83A3-4115C1A4B2E5}"/>
    <cellStyle name="40 % - Markeringsfarve6 2 2 6 2" xfId="31975" xr:uid="{E63BFA38-FAF5-4ABD-BD01-72E2CD8B768B}"/>
    <cellStyle name="40 % - Markeringsfarve6 2 2 6 3" xfId="31976" xr:uid="{7AFDC77B-1376-4EAD-9DAE-92E3D691EC9D}"/>
    <cellStyle name="40 % - Markeringsfarve6 2 2 7" xfId="31977" xr:uid="{235DBEB9-C6ED-4E8B-A858-F5C4BCB1F864}"/>
    <cellStyle name="40 % - Markeringsfarve6 2 2 7 2" xfId="31978" xr:uid="{552000B7-9713-4B58-B813-C3C6F93AF39C}"/>
    <cellStyle name="40 % - Markeringsfarve6 2 2 8" xfId="31979" xr:uid="{8C754C1A-39ED-459A-AB00-9568B016DEE6}"/>
    <cellStyle name="40 % - Markeringsfarve6 2 3" xfId="23621" xr:uid="{F4D57D28-41AD-476A-A855-B8C1B5C927DB}"/>
    <cellStyle name="40 % - Markeringsfarve6 2 3 2" xfId="23622" xr:uid="{D4FCE1F5-016D-471C-897B-9BEA3F6E1B4C}"/>
    <cellStyle name="40 % - Markeringsfarve6 2 3 2 2" xfId="31980" xr:uid="{8C8C01D3-00BF-443F-8002-99218F7BED7F}"/>
    <cellStyle name="40 % - Markeringsfarve6 2 3 2 3" xfId="31981" xr:uid="{CE13D54B-E3DD-4E21-BAD9-38089CFEE2EA}"/>
    <cellStyle name="40 % - Markeringsfarve6 2 3 3" xfId="31982" xr:uid="{0F9AF3F1-1574-438D-B5CF-F46891503082}"/>
    <cellStyle name="40 % - Markeringsfarve6 2 3 3 2" xfId="31983" xr:uid="{90EFB016-E4A8-4B51-ACC1-5F41192C2913}"/>
    <cellStyle name="40 % - Markeringsfarve6 2 3 3 3" xfId="31984" xr:uid="{ED8CE86D-AE17-481A-AEA9-7E3021455717}"/>
    <cellStyle name="40 % - Markeringsfarve6 2 3 4" xfId="31985" xr:uid="{F431A925-9F81-4E3E-8786-007B0ECECD90}"/>
    <cellStyle name="40 % - Markeringsfarve6 2 3 4 2" xfId="31986" xr:uid="{0C73FAD4-97AA-4E3B-81B7-D24D35AD7D0A}"/>
    <cellStyle name="40 % - Markeringsfarve6 2 3 4 3" xfId="31987" xr:uid="{B3E29245-17B8-42ED-84E3-916A746D12F1}"/>
    <cellStyle name="40 % - Markeringsfarve6 2 3 5" xfId="31988" xr:uid="{46183080-0B90-448D-8501-BAAC70C1DFF3}"/>
    <cellStyle name="40 % - Markeringsfarve6 2 3 5 2" xfId="31989" xr:uid="{9D225A50-13D1-4F8A-9125-97CCEC47A8B0}"/>
    <cellStyle name="40 % - Markeringsfarve6 2 3 5 3" xfId="31990" xr:uid="{9D068593-3CCB-4248-8A14-8BB4EBFA95ED}"/>
    <cellStyle name="40 % - Markeringsfarve6 2 3 6" xfId="31991" xr:uid="{B65C4E88-D9EF-451E-88D7-699A810EA313}"/>
    <cellStyle name="40 % - Markeringsfarve6 2 3 6 2" xfId="31992" xr:uid="{0E4BDEA3-1EE2-47CC-A2F8-BD8C6ECFD8BA}"/>
    <cellStyle name="40 % - Markeringsfarve6 2 3 6 3" xfId="31993" xr:uid="{88591462-1D59-470A-8804-C885D2EAC3A2}"/>
    <cellStyle name="40 % - Markeringsfarve6 2 3 7" xfId="31994" xr:uid="{0C485E4D-B425-4F5E-AD87-7C75D8F25A15}"/>
    <cellStyle name="40 % - Markeringsfarve6 2 3 7 2" xfId="31995" xr:uid="{60132DF5-9ED1-464D-83F6-2B07D9CCC486}"/>
    <cellStyle name="40 % - Markeringsfarve6 2 3 8" xfId="31996" xr:uid="{9BC46B2E-8F95-4430-A823-46BD0397BC76}"/>
    <cellStyle name="40 % - Markeringsfarve6 2 4" xfId="23623" xr:uid="{429B215E-41F3-434D-A54C-C3203BE4AE3C}"/>
    <cellStyle name="40 % - Markeringsfarve6 2 4 2" xfId="31997" xr:uid="{A97FD553-6AD1-4EF4-B4DE-A325613B2130}"/>
    <cellStyle name="40 % - Markeringsfarve6 2 4 3" xfId="31998" xr:uid="{EFADC3A4-057A-4B59-B043-1C0C2FD31C96}"/>
    <cellStyle name="40 % - Markeringsfarve6 2 5" xfId="31999" xr:uid="{86C56A49-0BE0-4DC9-A548-A96953DADEE8}"/>
    <cellStyle name="40 % - Markeringsfarve6 2 5 2" xfId="32000" xr:uid="{8412EF1E-A5B1-4684-8F7D-923E4329EB4E}"/>
    <cellStyle name="40 % - Markeringsfarve6 2 5 3" xfId="32001" xr:uid="{6D2F4697-3BF1-4507-9540-F5A83A08ED51}"/>
    <cellStyle name="40 % - Markeringsfarve6 2 6" xfId="32002" xr:uid="{C9F4ACAE-E2C8-457E-A6A4-2FE329637942}"/>
    <cellStyle name="40 % - Markeringsfarve6 2 6 2" xfId="32003" xr:uid="{7C292225-7595-48F5-ABB0-07FA69104133}"/>
    <cellStyle name="40 % - Markeringsfarve6 2 6 3" xfId="32004" xr:uid="{A5650298-7A0F-44C9-B9E5-FF356A08A047}"/>
    <cellStyle name="40 % - Markeringsfarve6 2 7" xfId="32005" xr:uid="{684C5E67-F399-4244-814C-7B1B2422B4EB}"/>
    <cellStyle name="40 % - Markeringsfarve6 2 7 2" xfId="32006" xr:uid="{C8E1DE88-E5CE-4AD0-A429-FF7F991BB09F}"/>
    <cellStyle name="40 % - Markeringsfarve6 2 7 3" xfId="32007" xr:uid="{CB0FD41F-6255-4C97-8D87-5C8BDDB36A0D}"/>
    <cellStyle name="40 % - Markeringsfarve6 2 8" xfId="32008" xr:uid="{16B552E7-2490-4D79-BFA6-01FCE895A977}"/>
    <cellStyle name="40 % - Markeringsfarve6 2 8 2" xfId="32009" xr:uid="{172BF27D-1089-4074-83E7-75703DDA721C}"/>
    <cellStyle name="40 % - Markeringsfarve6 2 8 3" xfId="32010" xr:uid="{5B4F2686-A31A-4387-A8CC-94F09231AA66}"/>
    <cellStyle name="40 % - Markeringsfarve6 2 9" xfId="32011" xr:uid="{C870165E-D4E2-47A8-8CEE-B149FB8AB307}"/>
    <cellStyle name="40 % - Markeringsfarve6 2 9 2" xfId="32012" xr:uid="{4B4BEE55-9215-4A59-BA17-D467810C2783}"/>
    <cellStyle name="40 % - Markeringsfarve6 3" xfId="2596" xr:uid="{6FBBB8E0-3B6E-43BD-80D9-D7AAD483C000}"/>
    <cellStyle name="40 % - Markeringsfarve6 3 10" xfId="32013" xr:uid="{82B72161-D74E-4DD9-96EB-D1BE64F2FEFE}"/>
    <cellStyle name="40 % - Markeringsfarve6 3 2" xfId="23624" xr:uid="{22B7C103-371F-44A1-AAD1-3068EE4F917B}"/>
    <cellStyle name="40 % - Markeringsfarve6 3 2 2" xfId="32014" xr:uid="{786F043D-CDB3-48E8-A367-72B0A50BA88B}"/>
    <cellStyle name="40 % - Markeringsfarve6 3 2 2 2" xfId="32015" xr:uid="{EDCB024E-9E42-4CCD-A518-8172B94A0292}"/>
    <cellStyle name="40 % - Markeringsfarve6 3 2 2 3" xfId="32016" xr:uid="{9BC17F36-7B3F-4D3D-82B0-14FE9DBCCD84}"/>
    <cellStyle name="40 % - Markeringsfarve6 3 2 3" xfId="32017" xr:uid="{EDFF1535-DBF0-4B86-B4CC-EBCA697F9E9A}"/>
    <cellStyle name="40 % - Markeringsfarve6 3 2 3 2" xfId="32018" xr:uid="{C95C8301-CBC2-40CF-A948-291D2E42A16B}"/>
    <cellStyle name="40 % - Markeringsfarve6 3 2 3 3" xfId="32019" xr:uid="{6C903CF0-8363-4BBD-BFCD-31ED200B87BA}"/>
    <cellStyle name="40 % - Markeringsfarve6 3 2 4" xfId="32020" xr:uid="{0E5868E0-561E-4916-BD38-E6AD2CE5FE12}"/>
    <cellStyle name="40 % - Markeringsfarve6 3 2 4 2" xfId="32021" xr:uid="{7FDD3ADA-BA38-4E7D-86F7-E780D84977EE}"/>
    <cellStyle name="40 % - Markeringsfarve6 3 2 4 3" xfId="32022" xr:uid="{6D030073-5F44-4A8D-BCB0-69EAA7652B45}"/>
    <cellStyle name="40 % - Markeringsfarve6 3 2 5" xfId="32023" xr:uid="{11AA8930-D372-41FF-93BB-35ED474C278C}"/>
    <cellStyle name="40 % - Markeringsfarve6 3 2 5 2" xfId="32024" xr:uid="{97FF1D60-FB7F-4441-91B8-324E70233384}"/>
    <cellStyle name="40 % - Markeringsfarve6 3 2 5 3" xfId="32025" xr:uid="{EC0416C7-7218-4ADB-A8BA-67DB5298C322}"/>
    <cellStyle name="40 % - Markeringsfarve6 3 2 6" xfId="32026" xr:uid="{EE0AB542-5333-40A6-A6F7-EE6AB0FAF20E}"/>
    <cellStyle name="40 % - Markeringsfarve6 3 2 6 2" xfId="32027" xr:uid="{629B03DC-E66C-4325-9295-030DAD99B058}"/>
    <cellStyle name="40 % - Markeringsfarve6 3 2 6 3" xfId="32028" xr:uid="{CE1AA16C-0AD9-4BCC-B839-88C32DEE7947}"/>
    <cellStyle name="40 % - Markeringsfarve6 3 2 7" xfId="32029" xr:uid="{0ED76318-E899-4483-93ED-BFD88D5B856D}"/>
    <cellStyle name="40 % - Markeringsfarve6 3 2 7 2" xfId="32030" xr:uid="{0BF9132D-FC50-461A-A77C-39F76F419429}"/>
    <cellStyle name="40 % - Markeringsfarve6 3 2 8" xfId="32031" xr:uid="{14B6F125-C55D-4E3B-BF49-34A3443615A5}"/>
    <cellStyle name="40 % - Markeringsfarve6 3 3" xfId="32032" xr:uid="{22CC63A7-97D8-48BB-9BC6-5623204EC1B2}"/>
    <cellStyle name="40 % - Markeringsfarve6 3 3 2" xfId="32033" xr:uid="{EEAD151D-2465-45E5-95DB-E18319616632}"/>
    <cellStyle name="40 % - Markeringsfarve6 3 3 2 2" xfId="32034" xr:uid="{A994C82A-F8F0-4687-8D7B-66F3E2152BEC}"/>
    <cellStyle name="40 % - Markeringsfarve6 3 3 2 3" xfId="32035" xr:uid="{9303702E-E841-4DCF-B8A0-766CB90863E7}"/>
    <cellStyle name="40 % - Markeringsfarve6 3 3 3" xfId="32036" xr:uid="{120B48E2-4E53-4A91-A537-B2FAC4BCB4F5}"/>
    <cellStyle name="40 % - Markeringsfarve6 3 3 3 2" xfId="32037" xr:uid="{8F1963A0-4741-427A-99F9-A10755FE4CF8}"/>
    <cellStyle name="40 % - Markeringsfarve6 3 3 3 3" xfId="32038" xr:uid="{296A7086-AD10-4678-9592-CC954DC0FEFC}"/>
    <cellStyle name="40 % - Markeringsfarve6 3 3 4" xfId="32039" xr:uid="{B408A020-F392-480B-9F3B-74BFCABC0B84}"/>
    <cellStyle name="40 % - Markeringsfarve6 3 3 4 2" xfId="32040" xr:uid="{2D764744-B478-401A-8BAA-4B359E956EAA}"/>
    <cellStyle name="40 % - Markeringsfarve6 3 3 4 3" xfId="32041" xr:uid="{9C4D4359-8BBC-42F2-96B3-F7B3B514B3B8}"/>
    <cellStyle name="40 % - Markeringsfarve6 3 3 5" xfId="32042" xr:uid="{CA6DE8A8-D3D6-46CE-BE2B-2DD55E12FF46}"/>
    <cellStyle name="40 % - Markeringsfarve6 3 3 5 2" xfId="32043" xr:uid="{95E42FD3-2243-441E-854D-7D2F567079F8}"/>
    <cellStyle name="40 % - Markeringsfarve6 3 3 5 3" xfId="32044" xr:uid="{829E8179-B35D-4E6D-B25F-4791CC1A7444}"/>
    <cellStyle name="40 % - Markeringsfarve6 3 3 6" xfId="32045" xr:uid="{E587E1D7-9976-45A1-A83B-722067746A03}"/>
    <cellStyle name="40 % - Markeringsfarve6 3 3 6 2" xfId="32046" xr:uid="{500C6C5F-3765-478D-9333-A53C5921C001}"/>
    <cellStyle name="40 % - Markeringsfarve6 3 3 6 3" xfId="32047" xr:uid="{DE8AB853-EEF6-45FD-B6D6-93DDC451C9DD}"/>
    <cellStyle name="40 % - Markeringsfarve6 3 3 7" xfId="32048" xr:uid="{FD58D339-FB96-4E69-AC14-6AB762035AFC}"/>
    <cellStyle name="40 % - Markeringsfarve6 3 3 7 2" xfId="32049" xr:uid="{E3AC4E95-0DEF-490C-AD2C-780E3A910D9F}"/>
    <cellStyle name="40 % - Markeringsfarve6 3 3 8" xfId="32050" xr:uid="{49DD4818-6C5E-462B-9A68-BAD45591E630}"/>
    <cellStyle name="40 % - Markeringsfarve6 3 4" xfId="32051" xr:uid="{FA7E45C0-6E05-4F92-89C6-BED517622127}"/>
    <cellStyle name="40 % - Markeringsfarve6 3 4 2" xfId="32052" xr:uid="{7906519E-DBBD-41CD-BE42-F82CD75C5979}"/>
    <cellStyle name="40 % - Markeringsfarve6 3 4 3" xfId="32053" xr:uid="{E0ED768C-EADF-46E0-A3A3-40186D6BC51B}"/>
    <cellStyle name="40 % - Markeringsfarve6 3 5" xfId="32054" xr:uid="{AB93E065-44B8-4831-9844-C56A16823924}"/>
    <cellStyle name="40 % - Markeringsfarve6 3 5 2" xfId="32055" xr:uid="{D0EBF93D-04DE-4C96-A495-B7A9F8ED17D7}"/>
    <cellStyle name="40 % - Markeringsfarve6 3 5 3" xfId="32056" xr:uid="{D396BD59-85B2-4C35-9FAB-1A000221F034}"/>
    <cellStyle name="40 % - Markeringsfarve6 3 6" xfId="32057" xr:uid="{1D8DE9CB-531E-4A03-9C16-B00BF011F2F8}"/>
    <cellStyle name="40 % - Markeringsfarve6 3 6 2" xfId="32058" xr:uid="{DFE5C0A4-1533-4C16-A426-EF345916D678}"/>
    <cellStyle name="40 % - Markeringsfarve6 3 6 3" xfId="32059" xr:uid="{F013284F-E7DA-47F4-A54D-6C7DBDB4C0C5}"/>
    <cellStyle name="40 % - Markeringsfarve6 3 7" xfId="32060" xr:uid="{2346979D-D5AA-4AB6-95E9-DB5EDFF073B8}"/>
    <cellStyle name="40 % - Markeringsfarve6 3 7 2" xfId="32061" xr:uid="{23D4AD17-996D-4895-80C0-6FB34F66B452}"/>
    <cellStyle name="40 % - Markeringsfarve6 3 7 3" xfId="32062" xr:uid="{A212928A-A4AE-48A2-B128-D2355E6C6609}"/>
    <cellStyle name="40 % - Markeringsfarve6 3 8" xfId="32063" xr:uid="{0FA6A509-0F62-46A9-B708-540A7371900D}"/>
    <cellStyle name="40 % - Markeringsfarve6 3 8 2" xfId="32064" xr:uid="{4634F908-98BD-429F-8FD1-DF8C78B4B7EA}"/>
    <cellStyle name="40 % - Markeringsfarve6 3 8 3" xfId="32065" xr:uid="{942E4D4F-AF46-48CC-8F67-5D9DCE1F437A}"/>
    <cellStyle name="40 % - Markeringsfarve6 3 9" xfId="32066" xr:uid="{2951B334-4BAA-4F85-A095-8FE9085E031C}"/>
    <cellStyle name="40 % - Markeringsfarve6 3 9 2" xfId="32067" xr:uid="{49993DB7-C19E-4931-ADC4-D72F7FB0140D}"/>
    <cellStyle name="40 % - Markeringsfarve6 4" xfId="23625" xr:uid="{8B669A73-835F-4A26-AD87-C1150B24EB92}"/>
    <cellStyle name="40 % - Markeringsfarve6 4 2" xfId="23626" xr:uid="{85289CDB-C002-4FEF-9C9F-B86043E8BEF5}"/>
    <cellStyle name="40 % - Markeringsfarve6 4 2 2" xfId="32068" xr:uid="{35FAFEC7-93ED-4F00-B210-9898AC4C9185}"/>
    <cellStyle name="40 % - Markeringsfarve6 4 2 3" xfId="32069" xr:uid="{7DC82E38-0579-47F2-ADEC-5F3D1E31E596}"/>
    <cellStyle name="40 % - Markeringsfarve6 4 3" xfId="32070" xr:uid="{7DEECB36-63AA-476E-AEFF-9AEA355C54F0}"/>
    <cellStyle name="40 % - Markeringsfarve6 4 3 2" xfId="32071" xr:uid="{CF49037A-FBB9-4606-8DC1-0CC5B4A812A0}"/>
    <cellStyle name="40 % - Markeringsfarve6 4 3 3" xfId="32072" xr:uid="{7642EF24-794F-4361-B0C4-B3A0CA0F271F}"/>
    <cellStyle name="40 % - Markeringsfarve6 4 4" xfId="32073" xr:uid="{79DB3D27-2ED3-41DB-9606-305D6367B281}"/>
    <cellStyle name="40 % - Markeringsfarve6 4 4 2" xfId="32074" xr:uid="{98662FFA-744D-49B6-BD64-8FDCAE5B78D7}"/>
    <cellStyle name="40 % - Markeringsfarve6 4 4 3" xfId="32075" xr:uid="{D12F6088-4E90-4D2D-9436-227D174B5F7E}"/>
    <cellStyle name="40 % - Markeringsfarve6 4 5" xfId="32076" xr:uid="{F3D5FD55-9F8C-4827-8D16-FD582FA34F3E}"/>
    <cellStyle name="40 % - Markeringsfarve6 4 5 2" xfId="32077" xr:uid="{3D486588-169D-4556-BE17-984D7F36B81E}"/>
    <cellStyle name="40 % - Markeringsfarve6 4 5 3" xfId="32078" xr:uid="{0EDCADAA-5046-495D-935A-4451FBE03386}"/>
    <cellStyle name="40 % - Markeringsfarve6 4 6" xfId="32079" xr:uid="{74E8D3FA-08E7-4F41-B503-BAAA52A91030}"/>
    <cellStyle name="40 % - Markeringsfarve6 4 6 2" xfId="32080" xr:uid="{9F49047D-A249-4047-B2FB-F58911D36522}"/>
    <cellStyle name="40 % - Markeringsfarve6 4 6 3" xfId="32081" xr:uid="{C88B1833-9B5B-4FED-B6DF-8F1317749F93}"/>
    <cellStyle name="40 % - Markeringsfarve6 4 7" xfId="32082" xr:uid="{59D15DC1-3E8A-45F3-B606-7CAA4DD9FFA2}"/>
    <cellStyle name="40 % - Markeringsfarve6 4 7 2" xfId="32083" xr:uid="{8B830FCD-D55C-4C13-8286-6B384F0C09DA}"/>
    <cellStyle name="40 % - Markeringsfarve6 4 8" xfId="32084" xr:uid="{DA75186C-A091-4720-A527-4F299C070228}"/>
    <cellStyle name="40 % - Markeringsfarve6 5" xfId="23627" xr:uid="{DFF24C8F-0645-4F3F-8ECB-B1CB753C6D86}"/>
    <cellStyle name="40 % - Markeringsfarve6 5 2" xfId="23628" xr:uid="{F8F32FF3-4F96-4E78-ABB9-3070F6427F22}"/>
    <cellStyle name="40 % - Markeringsfarve6 5 2 2" xfId="32085" xr:uid="{3E665619-D13F-4CA6-A7CB-456F6080F0A4}"/>
    <cellStyle name="40 % - Markeringsfarve6 5 2 3" xfId="32086" xr:uid="{00DA536F-D285-4AFC-90B7-D3FC885F6AB3}"/>
    <cellStyle name="40 % - Markeringsfarve6 5 3" xfId="32087" xr:uid="{F280E1D8-C782-4BB8-A271-47470E636828}"/>
    <cellStyle name="40 % - Markeringsfarve6 5 3 2" xfId="32088" xr:uid="{BDF7A9EE-0D31-46D6-9EFE-293259E54742}"/>
    <cellStyle name="40 % - Markeringsfarve6 5 3 3" xfId="32089" xr:uid="{E6F98FEC-412B-451C-82D3-EE87117C3FDD}"/>
    <cellStyle name="40 % - Markeringsfarve6 5 4" xfId="32090" xr:uid="{F2C80958-484D-4742-A4D2-32E70ED80031}"/>
    <cellStyle name="40 % - Markeringsfarve6 5 4 2" xfId="32091" xr:uid="{BBAE0DEB-D70D-42E2-A119-BEDEDF9C9A7A}"/>
    <cellStyle name="40 % - Markeringsfarve6 5 4 3" xfId="32092" xr:uid="{E673ECAB-C5CE-4467-908A-5811553413F6}"/>
    <cellStyle name="40 % - Markeringsfarve6 5 5" xfId="32093" xr:uid="{E99A8961-079D-482C-9066-841F00CC7111}"/>
    <cellStyle name="40 % - Markeringsfarve6 5 5 2" xfId="32094" xr:uid="{86E9B85B-B1F3-4956-9520-014399AB57B7}"/>
    <cellStyle name="40 % - Markeringsfarve6 5 5 3" xfId="32095" xr:uid="{FF6F1CF4-FB4C-4099-B0CA-FF654D17AA9F}"/>
    <cellStyle name="40 % - Markeringsfarve6 5 6" xfId="32096" xr:uid="{EE608A0C-FACA-45FE-9D8B-3688A323BD2C}"/>
    <cellStyle name="40 % - Markeringsfarve6 5 6 2" xfId="32097" xr:uid="{47FA2A2B-5A27-4569-BCBE-1A06F6E5D1DF}"/>
    <cellStyle name="40 % - Markeringsfarve6 5 6 3" xfId="32098" xr:uid="{81BBD36E-0B76-4E2B-A7F8-32815328CB2D}"/>
    <cellStyle name="40 % - Markeringsfarve6 5 7" xfId="32099" xr:uid="{F1C46960-9699-46AB-90EC-E666ED2807F4}"/>
    <cellStyle name="40 % - Markeringsfarve6 5 7 2" xfId="32100" xr:uid="{317525FD-2ED1-4A21-B3F5-52138B4A5B38}"/>
    <cellStyle name="40 % - Markeringsfarve6 5 8" xfId="32101" xr:uid="{0F1E9AFD-C5B7-43AD-BA7A-2980A650AA8A}"/>
    <cellStyle name="40 % - Markeringsfarve6 6" xfId="23629" xr:uid="{61FF83E9-43D1-4F6E-BDDF-D9059E1C7ACE}"/>
    <cellStyle name="40 % - Markeringsfarve6 6 2" xfId="23630" xr:uid="{124F9F70-08BE-4680-AC49-725640823113}"/>
    <cellStyle name="40 % - Markeringsfarve6 6 3" xfId="32102" xr:uid="{9FD7885A-8EF7-414B-BCA4-8D082BE8575A}"/>
    <cellStyle name="40 % - Markeringsfarve6 7" xfId="23631" xr:uid="{F375B9C4-C4C1-467F-9DAC-A38E862F7160}"/>
    <cellStyle name="40 % - Markeringsfarve6 7 2" xfId="32103" xr:uid="{2EB3EAB9-09CE-4137-9A52-041E7C790EB1}"/>
    <cellStyle name="40 % - Markeringsfarve6 7 3" xfId="32104" xr:uid="{3442B480-24C9-4840-80C9-58447415CCE6}"/>
    <cellStyle name="40 % - Markeringsfarve6 8" xfId="32105" xr:uid="{9383DB0B-7110-4D38-92E3-A418165B7D46}"/>
    <cellStyle name="40 % - Markeringsfarve6 8 2" xfId="32106" xr:uid="{06C990DE-7837-4877-818D-E10C4F392140}"/>
    <cellStyle name="40 % - Markeringsfarve6 8 3" xfId="32107" xr:uid="{639E9F8B-3776-4EEF-B79F-6A078EC47BB4}"/>
    <cellStyle name="40 % - Markeringsfarve6 9" xfId="32108" xr:uid="{FD7C7D1B-CE31-47A0-ACC7-2FD9CA49A8C7}"/>
    <cellStyle name="40 % - Markeringsfarve6 9 2" xfId="32109" xr:uid="{C6963BAD-7375-4911-B2C5-9E2560EBF025}"/>
    <cellStyle name="40 % - Markeringsfarve6 9 3" xfId="32110" xr:uid="{CFDBFEF0-5BB3-4130-8128-33F27D483223}"/>
    <cellStyle name="40% - Accent1 2" xfId="23632" xr:uid="{6418353F-4D5B-4974-B10D-F356A2EC0461}"/>
    <cellStyle name="40% - Accent2 2" xfId="23633" xr:uid="{91D0976E-C358-41FE-BF01-08754447FCF7}"/>
    <cellStyle name="40% - Accent3 2" xfId="23634" xr:uid="{5805ECBF-3415-4C73-BD59-36715F2A5FC6}"/>
    <cellStyle name="40% - Accent4 2" xfId="23635" xr:uid="{53BD2906-FF9D-4228-9875-0BDB6F4922C1}"/>
    <cellStyle name="40% - Accent5 2" xfId="23636" xr:uid="{189E0385-4264-401E-B5C2-5642F02D970D}"/>
    <cellStyle name="40% - Accent6 2" xfId="23637" xr:uid="{733EF9E3-C673-4D27-97EA-F82148D6E7A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5x indented GHG Textfiels 2" xfId="2597" xr:uid="{157CEF8C-1040-4470-AB58-985C8ACB82FC}"/>
    <cellStyle name="5x indented GHG Textfiels 2 2" xfId="13371" xr:uid="{1CDE7098-E6CE-47B7-A730-386AFC88299D}"/>
    <cellStyle name="5x indented GHG Textfiels 3" xfId="13054" xr:uid="{576B58E4-0AA3-4411-9023-7384A1682630}"/>
    <cellStyle name="60 % - Markeringsfarve1" xfId="1283" xr:uid="{00000000-0005-0000-0000-000031000000}"/>
    <cellStyle name="60 % - Markeringsfarve1 2" xfId="2598" xr:uid="{1B8F605D-9069-431D-87E1-008003429B0D}"/>
    <cellStyle name="60 % - Markeringsfarve2" xfId="1284" xr:uid="{00000000-0005-0000-0000-000032000000}"/>
    <cellStyle name="60 % - Markeringsfarve2 2" xfId="2599" xr:uid="{C344133D-C7FB-4DAA-9C9F-28FCE077B531}"/>
    <cellStyle name="60 % - Markeringsfarve3" xfId="1285" xr:uid="{00000000-0005-0000-0000-000033000000}"/>
    <cellStyle name="60 % - Markeringsfarve3 2" xfId="2600" xr:uid="{5423C402-57E4-4496-85B8-A2C87C957B0B}"/>
    <cellStyle name="60 % - Markeringsfarve4" xfId="1286" xr:uid="{00000000-0005-0000-0000-000034000000}"/>
    <cellStyle name="60 % - Markeringsfarve4 2" xfId="2601" xr:uid="{B907310D-3C65-4E0A-B4C6-EDE5FC4476CF}"/>
    <cellStyle name="60 % - Markeringsfarve5" xfId="1287" xr:uid="{00000000-0005-0000-0000-000035000000}"/>
    <cellStyle name="60 % - Markeringsfarve5 2" xfId="2602" xr:uid="{30D1AE32-EBAF-4A07-9CAC-C6C384153BD8}"/>
    <cellStyle name="60 % - Markeringsfarve6" xfId="1288" xr:uid="{00000000-0005-0000-0000-000036000000}"/>
    <cellStyle name="60 % - Markeringsfarve6 2" xfId="2603" xr:uid="{117988F5-4355-4526-8A7F-7B02821EF8BC}"/>
    <cellStyle name="60% - Accent1 2" xfId="23638" xr:uid="{C60610E2-15A7-4EF7-896B-ADE826D4AFF2}"/>
    <cellStyle name="60% - Accent2 2" xfId="23639" xr:uid="{47F3B249-8692-488B-A725-BDC1122C41EE}"/>
    <cellStyle name="60% - Accent3 2" xfId="23640" xr:uid="{45C01F27-4883-4049-8855-69E100136CDE}"/>
    <cellStyle name="60% - Accent4 2" xfId="23641" xr:uid="{60F23594-890D-4BEA-AF8C-45A0EE03E25B}"/>
    <cellStyle name="60% - Accent5 2" xfId="23642" xr:uid="{3CBD943A-06B6-491C-847D-C509308CA74F}"/>
    <cellStyle name="60% - Accent6 2" xfId="23643" xr:uid="{A6237FED-C582-4C69-BC1A-39F472D429DB}"/>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ccent1 2" xfId="23644" xr:uid="{BF52DB7E-C933-4524-8563-4F016F3D0436}"/>
    <cellStyle name="Accent2 2" xfId="23645" xr:uid="{6F38CD80-A80D-42C2-AA31-A3C59BBD5D69}"/>
    <cellStyle name="Accent3 2" xfId="23646" xr:uid="{4DDDC3A0-3417-41C3-9CEB-E978406F78C8}"/>
    <cellStyle name="Accent4 2" xfId="23647" xr:uid="{24D70446-8433-43FC-9A1D-F7FAF3103FF6}"/>
    <cellStyle name="Accent5 2" xfId="23648" xr:uid="{528DB808-7F67-431C-8329-8C11930ADDFC}"/>
    <cellStyle name="Accent6 2" xfId="23649" xr:uid="{C1220620-4508-4ABE-B486-A522AF791977}"/>
    <cellStyle name="AggblueCels_1x" xfId="30232" xr:uid="{0060BB5F-2BFF-4ADE-A73F-9E42C3B49485}"/>
    <cellStyle name="AggOrange_CRFReport-template" xfId="32" xr:uid="{00000000-0005-0000-0000-00003D000000}"/>
    <cellStyle name="AggOrange9_CRFReport-template" xfId="33" xr:uid="{00000000-0005-0000-0000-00003E000000}"/>
    <cellStyle name="Bad 2" xfId="34" xr:uid="{00000000-0005-0000-0000-00003F000000}"/>
    <cellStyle name="Bad 2 2" xfId="23650" xr:uid="{3425F975-D6FB-4985-8344-EF95503322E6}"/>
    <cellStyle name="Bad 3" xfId="35" xr:uid="{00000000-0005-0000-0000-000040000000}"/>
    <cellStyle name="Bad 4" xfId="11691" xr:uid="{3FACBD33-5963-497D-9C4F-5CD278FD285B}"/>
    <cellStyle name="Bad 5" xfId="32604" xr:uid="{746EB2D7-1581-4C91-8ABE-69082A10C16B}"/>
    <cellStyle name="Bemærk! 2" xfId="23651" xr:uid="{9373BE6E-2A29-42EF-BD0F-7406C4A017D0}"/>
    <cellStyle name="Bemærk! 2 10" xfId="32111" xr:uid="{D5AC8EFC-E589-400A-B26F-D2BB9BF1C837}"/>
    <cellStyle name="Bemærk! 2 10 2" xfId="32112" xr:uid="{84DC33B0-F1D1-44A7-BBE4-35E514EF4764}"/>
    <cellStyle name="Bemærk! 2 11" xfId="32113" xr:uid="{6F956C17-EFC8-41C7-B9BC-108AFE4DF890}"/>
    <cellStyle name="Bemærk! 2 2" xfId="23652" xr:uid="{BAA52B5B-9EB5-4581-BD8E-97F36BBDBAB4}"/>
    <cellStyle name="Bemærk! 2 2 10" xfId="32114" xr:uid="{821F02A5-6DC0-46C3-A16B-2EB424FAB241}"/>
    <cellStyle name="Bemærk! 2 2 2" xfId="23653" xr:uid="{241E8B99-FEBD-4373-8C32-00F2EA78E308}"/>
    <cellStyle name="Bemærk! 2 2 2 2" xfId="23654" xr:uid="{4A87E84F-BD1B-4718-A6A1-D7649D3D45FF}"/>
    <cellStyle name="Bemærk! 2 2 2 2 2" xfId="32115" xr:uid="{16D36176-82DD-4027-9D37-F1324AD2334D}"/>
    <cellStyle name="Bemærk! 2 2 2 2 3" xfId="32116" xr:uid="{667073C9-EFEE-4490-B7C6-5C225495CF52}"/>
    <cellStyle name="Bemærk! 2 2 2 3" xfId="32117" xr:uid="{D2FFD611-2391-49B9-BCEB-89CB5A2512B7}"/>
    <cellStyle name="Bemærk! 2 2 2 3 2" xfId="32118" xr:uid="{009CE85E-87CB-4D6C-9675-6202B1B9F086}"/>
    <cellStyle name="Bemærk! 2 2 2 3 3" xfId="32119" xr:uid="{B775F0A9-01DE-41E8-8BAC-EF7A1B278749}"/>
    <cellStyle name="Bemærk! 2 2 2 4" xfId="32120" xr:uid="{09B00C6E-8672-4BA5-BF14-FE13F409A602}"/>
    <cellStyle name="Bemærk! 2 2 2 4 2" xfId="32121" xr:uid="{4C11AF43-27E9-494D-9351-1E81B8ABAC97}"/>
    <cellStyle name="Bemærk! 2 2 2 4 3" xfId="32122" xr:uid="{8F0F8E7F-2BE7-45AE-88EA-F1E1340C963E}"/>
    <cellStyle name="Bemærk! 2 2 2 5" xfId="32123" xr:uid="{E94315C9-1AE9-4060-A008-3336AF95E170}"/>
    <cellStyle name="Bemærk! 2 2 2 5 2" xfId="32124" xr:uid="{73E16088-1B90-4D89-9F6C-B9903E46ABDB}"/>
    <cellStyle name="Bemærk! 2 2 2 5 3" xfId="32125" xr:uid="{1E146DDD-60BF-40CD-B245-A9BCE80E51DE}"/>
    <cellStyle name="Bemærk! 2 2 2 6" xfId="32126" xr:uid="{75B8C2EB-9374-4457-9C1E-BB7148A68E39}"/>
    <cellStyle name="Bemærk! 2 2 2 6 2" xfId="32127" xr:uid="{CDD40E75-4ECD-4AEE-BCB8-CCADCF27A457}"/>
    <cellStyle name="Bemærk! 2 2 2 6 3" xfId="32128" xr:uid="{3613587B-BFAD-404F-8C1F-D2511A05B7EC}"/>
    <cellStyle name="Bemærk! 2 2 2 7" xfId="32129" xr:uid="{C69B8693-980D-48E1-A7DE-6797E7A9BF43}"/>
    <cellStyle name="Bemærk! 2 2 2 7 2" xfId="32130" xr:uid="{3BA17DE0-3ACD-4948-95C7-18C198BC34F7}"/>
    <cellStyle name="Bemærk! 2 2 2 8" xfId="32131" xr:uid="{CE5D96F5-BDBB-4DB0-A9E0-B008FB486E37}"/>
    <cellStyle name="Bemærk! 2 2 3" xfId="23655" xr:uid="{51C9A40B-4AE6-47D9-9C93-28079F518509}"/>
    <cellStyle name="Bemærk! 2 2 3 2" xfId="23656" xr:uid="{D1B9E8EB-57BC-4373-85EA-1C033A17DAEE}"/>
    <cellStyle name="Bemærk! 2 2 3 2 2" xfId="32132" xr:uid="{39C525D6-D734-44B9-8D9D-B80131B37C1D}"/>
    <cellStyle name="Bemærk! 2 2 3 2 3" xfId="32133" xr:uid="{E40DCC2C-F19D-4175-A0DA-45B802B75D78}"/>
    <cellStyle name="Bemærk! 2 2 3 3" xfId="32134" xr:uid="{391F1EFC-E17D-4FB9-A178-A7CCCFDD53CF}"/>
    <cellStyle name="Bemærk! 2 2 3 3 2" xfId="32135" xr:uid="{3E726B34-DDF2-427F-BCA3-7F956341C64D}"/>
    <cellStyle name="Bemærk! 2 2 3 3 3" xfId="32136" xr:uid="{9F4B61C8-5B3B-4F6A-A463-194C89E58139}"/>
    <cellStyle name="Bemærk! 2 2 3 4" xfId="32137" xr:uid="{16B8CE36-6FB3-42AC-81ED-CEEE198AB99F}"/>
    <cellStyle name="Bemærk! 2 2 3 4 2" xfId="32138" xr:uid="{9FCDA293-3AE9-41F2-A8F9-164721FA9204}"/>
    <cellStyle name="Bemærk! 2 2 3 4 3" xfId="32139" xr:uid="{FEF5D38B-C00F-41C4-A38C-7E8FCCF6BA01}"/>
    <cellStyle name="Bemærk! 2 2 3 5" xfId="32140" xr:uid="{487E6CD6-2960-43E2-9D24-E46CD94D673A}"/>
    <cellStyle name="Bemærk! 2 2 3 5 2" xfId="32141" xr:uid="{8741D509-532E-4862-9F59-3B24F0FA5A45}"/>
    <cellStyle name="Bemærk! 2 2 3 5 3" xfId="32142" xr:uid="{D53BE8C4-8E13-48D6-87A6-BE4B18D4B589}"/>
    <cellStyle name="Bemærk! 2 2 3 6" xfId="32143" xr:uid="{72E7C6A1-FAC0-4806-9EA5-E026E0E4C121}"/>
    <cellStyle name="Bemærk! 2 2 3 6 2" xfId="32144" xr:uid="{6174E723-08CE-490F-9289-A1182806772A}"/>
    <cellStyle name="Bemærk! 2 2 3 6 3" xfId="32145" xr:uid="{F3752584-D129-45D9-91D4-0522D13AFD49}"/>
    <cellStyle name="Bemærk! 2 2 3 7" xfId="32146" xr:uid="{B44D26AE-EAEF-4587-BE71-11E9340FB9A9}"/>
    <cellStyle name="Bemærk! 2 2 3 7 2" xfId="32147" xr:uid="{64298D16-15FB-4ED4-9F9C-38E1D57A4C67}"/>
    <cellStyle name="Bemærk! 2 2 3 8" xfId="32148" xr:uid="{44703A25-0E8B-4DD4-B312-666447E2F9A5}"/>
    <cellStyle name="Bemærk! 2 2 4" xfId="23657" xr:uid="{1FBADDEE-71C6-4E90-85D9-6EA56DFFAB44}"/>
    <cellStyle name="Bemærk! 2 2 4 2" xfId="32149" xr:uid="{E5907336-B529-4B38-B37C-01AB86FD0218}"/>
    <cellStyle name="Bemærk! 2 2 4 3" xfId="32150" xr:uid="{62D330E7-C025-4258-8C8B-F8CFFD41EA45}"/>
    <cellStyle name="Bemærk! 2 2 5" xfId="32151" xr:uid="{95E1DE6D-8072-4692-9B3C-29CAC23D4ED6}"/>
    <cellStyle name="Bemærk! 2 2 5 2" xfId="32152" xr:uid="{13672071-284F-48B5-9BBC-2A67E8B4F49C}"/>
    <cellStyle name="Bemærk! 2 2 5 3" xfId="32153" xr:uid="{B0104D63-C42E-48F5-B427-5CCE2F2B7B04}"/>
    <cellStyle name="Bemærk! 2 2 6" xfId="32154" xr:uid="{AE8FA86E-43AF-4D9B-B83C-03234205934C}"/>
    <cellStyle name="Bemærk! 2 2 6 2" xfId="32155" xr:uid="{9BE2DC3E-CD21-4840-9C91-7A2D1288912D}"/>
    <cellStyle name="Bemærk! 2 2 6 3" xfId="32156" xr:uid="{1E31B04B-0009-4F45-8C1B-3CAE193C43AD}"/>
    <cellStyle name="Bemærk! 2 2 7" xfId="32157" xr:uid="{157C475D-294B-4C8A-9C2D-C19645EE3D85}"/>
    <cellStyle name="Bemærk! 2 2 7 2" xfId="32158" xr:uid="{97F29DA9-5367-4DEC-9810-6075C302ABB5}"/>
    <cellStyle name="Bemærk! 2 2 7 3" xfId="32159" xr:uid="{5D8E0BC8-FE04-4719-AAC0-2BC2E6656720}"/>
    <cellStyle name="Bemærk! 2 2 8" xfId="32160" xr:uid="{8F7F9DC7-D15B-48DE-9B48-1D08CDDA0756}"/>
    <cellStyle name="Bemærk! 2 2 8 2" xfId="32161" xr:uid="{65917F22-162D-44FC-9975-92AC0CF8634C}"/>
    <cellStyle name="Bemærk! 2 2 8 3" xfId="32162" xr:uid="{73B3EFF5-8AF5-4D72-8B3E-6F1D5B8BB781}"/>
    <cellStyle name="Bemærk! 2 2 9" xfId="32163" xr:uid="{D8C68C16-3194-4357-8ACA-C6F74933B5FD}"/>
    <cellStyle name="Bemærk! 2 2 9 2" xfId="32164" xr:uid="{ED83D84C-0ED0-4195-A2E9-533F7D03598C}"/>
    <cellStyle name="Bemærk! 2 3" xfId="23658" xr:uid="{BB798888-60E6-4583-BD05-C70AA10B4E15}"/>
    <cellStyle name="Bemærk! 2 3 2" xfId="23659" xr:uid="{F69B055C-3206-4BB3-A8E7-18DBE3B15C69}"/>
    <cellStyle name="Bemærk! 2 3 2 2" xfId="32165" xr:uid="{5E5FEF19-DD04-4505-960E-0561552931FF}"/>
    <cellStyle name="Bemærk! 2 3 2 3" xfId="32166" xr:uid="{A9FBCC9E-87FB-4A71-A966-76E0F22C59DC}"/>
    <cellStyle name="Bemærk! 2 3 3" xfId="32167" xr:uid="{AB7A0A12-0917-4D60-B264-1C1631613E9F}"/>
    <cellStyle name="Bemærk! 2 3 3 2" xfId="32168" xr:uid="{956A6DCB-B725-464A-9B4E-9D8D1418F2C2}"/>
    <cellStyle name="Bemærk! 2 3 3 3" xfId="32169" xr:uid="{ED6DF28E-5D7C-4606-B0D3-56B77ED4A880}"/>
    <cellStyle name="Bemærk! 2 3 4" xfId="32170" xr:uid="{82FC0555-3A30-4CEC-9282-0B9DCAFDC02A}"/>
    <cellStyle name="Bemærk! 2 3 4 2" xfId="32171" xr:uid="{534FA03D-B08D-43B2-9336-ED83CB92F500}"/>
    <cellStyle name="Bemærk! 2 3 4 3" xfId="32172" xr:uid="{94A496EA-D922-4DAE-B081-13263A6EDF2D}"/>
    <cellStyle name="Bemærk! 2 3 5" xfId="32173" xr:uid="{30300AEF-9DCB-4853-B386-050FAE4E67DD}"/>
    <cellStyle name="Bemærk! 2 3 5 2" xfId="32174" xr:uid="{12FB387D-0E38-4EC6-ACC1-C8895FD01A03}"/>
    <cellStyle name="Bemærk! 2 3 5 3" xfId="32175" xr:uid="{C357A56E-4524-4932-A02A-4EA0C5281A3A}"/>
    <cellStyle name="Bemærk! 2 3 6" xfId="32176" xr:uid="{F151A788-6443-4847-A4DB-F364703E34CC}"/>
    <cellStyle name="Bemærk! 2 3 6 2" xfId="32177" xr:uid="{B236B3CF-EC60-4593-8E3E-22558A84A040}"/>
    <cellStyle name="Bemærk! 2 3 6 3" xfId="32178" xr:uid="{4308D5AF-4156-4CA9-92A3-7DE8887D04BB}"/>
    <cellStyle name="Bemærk! 2 3 7" xfId="32179" xr:uid="{1FA27D3F-952A-4BAB-B9AA-17203F377BC0}"/>
    <cellStyle name="Bemærk! 2 3 7 2" xfId="32180" xr:uid="{C2C662CC-94EA-43AD-ADBE-874CD0CB3625}"/>
    <cellStyle name="Bemærk! 2 3 8" xfId="32181" xr:uid="{544D831A-DAB3-4A4E-B147-B61AB68A4B73}"/>
    <cellStyle name="Bemærk! 2 4" xfId="23660" xr:uid="{353858F9-B6CF-4FA4-9F26-BBE42A6AE029}"/>
    <cellStyle name="Bemærk! 2 4 2" xfId="23661" xr:uid="{8540102A-7B43-4513-B1B2-E0FD3F3C4F0F}"/>
    <cellStyle name="Bemærk! 2 4 2 2" xfId="32182" xr:uid="{206A998D-383A-4145-B058-C96D303A111E}"/>
    <cellStyle name="Bemærk! 2 4 2 3" xfId="32183" xr:uid="{4669F828-4A07-4388-89DE-7C07C2EBF949}"/>
    <cellStyle name="Bemærk! 2 4 3" xfId="32184" xr:uid="{B3E5C603-0537-41BA-8B90-8E0C04E5B6B8}"/>
    <cellStyle name="Bemærk! 2 4 3 2" xfId="32185" xr:uid="{04CE8552-D5F5-41AD-8659-4B62407FDB0D}"/>
    <cellStyle name="Bemærk! 2 4 3 3" xfId="32186" xr:uid="{0FB6B356-5774-4C98-BA25-5C2E37173D54}"/>
    <cellStyle name="Bemærk! 2 4 4" xfId="32187" xr:uid="{577A2A27-DF3F-4661-BF4E-ACF919705C5D}"/>
    <cellStyle name="Bemærk! 2 4 4 2" xfId="32188" xr:uid="{04158F11-DCC2-419B-9FA9-C373B79B12CF}"/>
    <cellStyle name="Bemærk! 2 4 4 3" xfId="32189" xr:uid="{4FD1BFA3-252F-4D9B-B3FE-DD9609DD3B55}"/>
    <cellStyle name="Bemærk! 2 4 5" xfId="32190" xr:uid="{E2D021F8-9C72-4333-85BE-14E28E9217AD}"/>
    <cellStyle name="Bemærk! 2 4 5 2" xfId="32191" xr:uid="{F96B879D-A96D-474B-B79F-8DAFD607CF00}"/>
    <cellStyle name="Bemærk! 2 4 5 3" xfId="32192" xr:uid="{204010CE-5A4F-4502-9C0E-52F6996BA965}"/>
    <cellStyle name="Bemærk! 2 4 6" xfId="32193" xr:uid="{D8A95BC3-D050-4DB6-9785-A7A119ACD6DC}"/>
    <cellStyle name="Bemærk! 2 4 6 2" xfId="32194" xr:uid="{D9CAE6CE-36D2-4835-BA37-BA41F0CB2157}"/>
    <cellStyle name="Bemærk! 2 4 6 3" xfId="32195" xr:uid="{1964F598-1E7B-46A1-8CCB-5977D9E8CDF4}"/>
    <cellStyle name="Bemærk! 2 4 7" xfId="32196" xr:uid="{18864F8D-D6AC-41BD-8C5B-F60B3DFC674F}"/>
    <cellStyle name="Bemærk! 2 4 7 2" xfId="32197" xr:uid="{45CB0B17-D0B7-41BE-997A-5CA8A977E716}"/>
    <cellStyle name="Bemærk! 2 4 8" xfId="32198" xr:uid="{7B85F6E9-34B6-42E8-957D-560649B0C4DB}"/>
    <cellStyle name="Bemærk! 2 5" xfId="23662" xr:uid="{B3D43376-5593-401B-A005-6B63BFE5625F}"/>
    <cellStyle name="Bemærk! 2 5 2" xfId="23663" xr:uid="{1B59DA08-37E7-4AB7-AEC4-62752A1E7F4A}"/>
    <cellStyle name="Bemærk! 2 5 3" xfId="32199" xr:uid="{4C1962C6-5258-475A-B0E4-4EB9EFB8F424}"/>
    <cellStyle name="Bemærk! 2 6" xfId="23664" xr:uid="{4C161280-FA25-49D9-B7D6-6242062D4491}"/>
    <cellStyle name="Bemærk! 2 6 2" xfId="32200" xr:uid="{551EE91B-ABF2-4599-A584-E23C16DB6464}"/>
    <cellStyle name="Bemærk! 2 6 3" xfId="32201" xr:uid="{BEC2C808-9616-43A9-BB83-45B06FC70063}"/>
    <cellStyle name="Bemærk! 2 7" xfId="23665" xr:uid="{F58A2777-A252-4AA4-817D-565554A0EB75}"/>
    <cellStyle name="Bemærk! 2 7 2" xfId="23666" xr:uid="{B6E09C6C-6BDB-4320-9642-46D20DE40B07}"/>
    <cellStyle name="Bemærk! 2 7 3" xfId="32202" xr:uid="{E05CE911-10ED-4845-8D64-4EC1F5D69C18}"/>
    <cellStyle name="Bemærk! 2 8" xfId="23667" xr:uid="{977A57F4-B207-420C-8477-07C36C5AA819}"/>
    <cellStyle name="Bemærk! 2 8 2" xfId="32203" xr:uid="{6C97BB3C-3CF7-4172-A575-653DEA0EA651}"/>
    <cellStyle name="Bemærk! 2 8 3" xfId="32204" xr:uid="{B50A274E-1FA5-4D93-A99B-C604A7832F7C}"/>
    <cellStyle name="Bemærk! 2 9" xfId="32205" xr:uid="{D6C6FC33-03B3-484D-AD58-3CAD66A9E5D7}"/>
    <cellStyle name="Bemærk! 2 9 2" xfId="32206" xr:uid="{E950A389-4E0E-44FD-9B85-038ACD765FF7}"/>
    <cellStyle name="Bemærk! 2 9 3" xfId="32207" xr:uid="{D4FEFA5C-EA53-44E3-A4CF-797E36032787}"/>
    <cellStyle name="Bemærk! 3" xfId="23668" xr:uid="{096AA7AC-4A8B-4A96-9567-5E09EAFD60B3}"/>
    <cellStyle name="Bemærk! 3 10" xfId="32208" xr:uid="{6941CA3B-8B21-4515-A72D-CB26E606C85D}"/>
    <cellStyle name="Bemærk! 3 2" xfId="30241" xr:uid="{2BC5965A-7B8A-4604-8FAB-77921E59B430}"/>
    <cellStyle name="Bemærk! 3 2 2" xfId="32209" xr:uid="{CFCB5BFD-5C47-4D9E-806C-075F1C0E6A48}"/>
    <cellStyle name="Bemærk! 3 2 2 2" xfId="32210" xr:uid="{D13708B7-D779-4145-BAAB-F80DC7BBEE35}"/>
    <cellStyle name="Bemærk! 3 2 2 3" xfId="32211" xr:uid="{7958ADE0-A42F-4252-B468-B4E458A12B06}"/>
    <cellStyle name="Bemærk! 3 2 3" xfId="32212" xr:uid="{E12850D1-5490-4483-99BE-BB6AEC626A81}"/>
    <cellStyle name="Bemærk! 3 2 3 2" xfId="32213" xr:uid="{D9547874-02BB-4CE8-A2E0-BEE9AD7165CF}"/>
    <cellStyle name="Bemærk! 3 2 3 3" xfId="32214" xr:uid="{791F691B-7C1E-4C9C-8D37-01D5D97E62F6}"/>
    <cellStyle name="Bemærk! 3 2 4" xfId="32215" xr:uid="{B09C661F-CADD-4D16-86A2-53B51BB9FD07}"/>
    <cellStyle name="Bemærk! 3 2 4 2" xfId="32216" xr:uid="{40FDEAF1-1EB0-4344-8D93-32BAFC034894}"/>
    <cellStyle name="Bemærk! 3 2 4 3" xfId="32217" xr:uid="{37B4F4EB-D431-4398-88A4-4520C74FDBF3}"/>
    <cellStyle name="Bemærk! 3 2 5" xfId="32218" xr:uid="{5F75D2B4-FC6D-43FA-B456-862D8BEC3E8D}"/>
    <cellStyle name="Bemærk! 3 2 5 2" xfId="32219" xr:uid="{06EE941D-7262-41A2-B2D9-0B4BA20A6EA3}"/>
    <cellStyle name="Bemærk! 3 2 5 3" xfId="32220" xr:uid="{BD92392B-53C5-43D5-843E-33C7D8CE5D1A}"/>
    <cellStyle name="Bemærk! 3 2 6" xfId="32221" xr:uid="{10A9BA7F-F06A-48FC-A3AE-061566A99583}"/>
    <cellStyle name="Bemærk! 3 2 6 2" xfId="32222" xr:uid="{00449C5D-7DE8-419E-9C9F-3A725E2CCD25}"/>
    <cellStyle name="Bemærk! 3 2 6 3" xfId="32223" xr:uid="{D9F04010-1F82-4A1E-8742-B7C21062BC8E}"/>
    <cellStyle name="Bemærk! 3 2 7" xfId="32224" xr:uid="{3F02C871-37C0-4A74-A38C-D5CBFC06215D}"/>
    <cellStyle name="Bemærk! 3 2 7 2" xfId="32225" xr:uid="{B24A5F66-D1AA-46DF-8159-21D9957566CC}"/>
    <cellStyle name="Bemærk! 3 2 8" xfId="32226" xr:uid="{34D2C64E-F7BD-4084-A5B5-0C5F40A5D845}"/>
    <cellStyle name="Bemærk! 3 3" xfId="32227" xr:uid="{F65A2F66-9E5A-4230-9D05-411298248526}"/>
    <cellStyle name="Bemærk! 3 3 2" xfId="32228" xr:uid="{2D2B8C1A-D52A-4562-8F9E-2D5F980207C6}"/>
    <cellStyle name="Bemærk! 3 3 2 2" xfId="32229" xr:uid="{18395612-0036-412F-BF5C-2DC112F358B1}"/>
    <cellStyle name="Bemærk! 3 3 2 3" xfId="32230" xr:uid="{24C6A305-A6DE-454D-8036-347749997263}"/>
    <cellStyle name="Bemærk! 3 3 3" xfId="32231" xr:uid="{CA087CA6-9142-4437-B29C-486C93CDFC1B}"/>
    <cellStyle name="Bemærk! 3 3 3 2" xfId="32232" xr:uid="{E58C7B28-CDEC-404F-A6E3-3226FD433A11}"/>
    <cellStyle name="Bemærk! 3 3 3 3" xfId="32233" xr:uid="{0EAF0F51-198D-4FD9-804C-1DD9C381FA87}"/>
    <cellStyle name="Bemærk! 3 3 4" xfId="32234" xr:uid="{ABDCE1E2-AADD-4C5C-A6A8-E44421E6497A}"/>
    <cellStyle name="Bemærk! 3 3 4 2" xfId="32235" xr:uid="{C3F40BB0-06C1-4AC4-9EA3-7CD27B814A08}"/>
    <cellStyle name="Bemærk! 3 3 4 3" xfId="32236" xr:uid="{72336176-852A-4D47-9FE3-D845339DFAFB}"/>
    <cellStyle name="Bemærk! 3 3 5" xfId="32237" xr:uid="{94521ABA-1AB2-4D4A-AA91-F9539D31DD19}"/>
    <cellStyle name="Bemærk! 3 3 5 2" xfId="32238" xr:uid="{1B4A1A3B-8B8B-436F-9813-B25D86D48391}"/>
    <cellStyle name="Bemærk! 3 3 5 3" xfId="32239" xr:uid="{E3487D6F-0C0A-4C29-9277-7880F12B0EE0}"/>
    <cellStyle name="Bemærk! 3 3 6" xfId="32240" xr:uid="{BA28B80A-BD88-4A37-8830-B42AA122FAE2}"/>
    <cellStyle name="Bemærk! 3 3 6 2" xfId="32241" xr:uid="{6763118E-78D5-485B-BFB2-083E09AFBE40}"/>
    <cellStyle name="Bemærk! 3 3 6 3" xfId="32242" xr:uid="{3CE0DBE0-1A2F-45A8-A9E5-D4083FD82D9B}"/>
    <cellStyle name="Bemærk! 3 3 7" xfId="32243" xr:uid="{0C508413-EA9E-4547-9BED-80ACAB5B870C}"/>
    <cellStyle name="Bemærk! 3 3 7 2" xfId="32244" xr:uid="{7A69D936-FBF4-49E8-8615-C8FD6D026B0D}"/>
    <cellStyle name="Bemærk! 3 3 8" xfId="32245" xr:uid="{86399F2D-697F-49F2-8829-F57F6B59A57F}"/>
    <cellStyle name="Bemærk! 3 4" xfId="32246" xr:uid="{2A10A7AF-B410-467B-ABC4-067DE2496E02}"/>
    <cellStyle name="Bemærk! 3 4 2" xfId="32247" xr:uid="{F5BBAAD8-5F2A-4812-9974-01FEF492EA06}"/>
    <cellStyle name="Bemærk! 3 4 3" xfId="32248" xr:uid="{E40EC000-B289-4341-A9F1-7420DB0703D4}"/>
    <cellStyle name="Bemærk! 3 5" xfId="32249" xr:uid="{0BF8C58B-FDF2-478A-9159-11402D1D9650}"/>
    <cellStyle name="Bemærk! 3 5 2" xfId="32250" xr:uid="{F59A8A4E-9912-4EF1-92AD-4834FE61C066}"/>
    <cellStyle name="Bemærk! 3 5 3" xfId="32251" xr:uid="{EEF4A43E-E70E-46A5-BAE7-F2C237B8CCA4}"/>
    <cellStyle name="Bemærk! 3 6" xfId="32252" xr:uid="{BB57616A-A766-4C32-89D8-BF972D5ADA86}"/>
    <cellStyle name="Bemærk! 3 6 2" xfId="32253" xr:uid="{357F80F0-4645-4E24-BB19-803158240F27}"/>
    <cellStyle name="Bemærk! 3 6 3" xfId="32254" xr:uid="{536619DD-5415-4BC1-AE88-237E22C74D31}"/>
    <cellStyle name="Bemærk! 3 7" xfId="32255" xr:uid="{7F543918-3317-4D58-8FAF-40C934A06E55}"/>
    <cellStyle name="Bemærk! 3 7 2" xfId="32256" xr:uid="{23AA626F-59BC-4E00-9767-3744DEC8ABB8}"/>
    <cellStyle name="Bemærk! 3 7 3" xfId="32257" xr:uid="{9008F13C-298C-46EA-BFA1-31AE6B83A2B8}"/>
    <cellStyle name="Bemærk! 3 8" xfId="32258" xr:uid="{CC097227-2521-4827-B894-BBE5BF263BB6}"/>
    <cellStyle name="Bemærk! 3 8 2" xfId="32259" xr:uid="{0AD2229A-BEEE-45B5-8992-E1ACA91154F0}"/>
    <cellStyle name="Bemærk! 3 8 3" xfId="32260" xr:uid="{2D270FB3-4669-4E39-8B88-03A3D85782AD}"/>
    <cellStyle name="Bemærk! 3 9" xfId="32261" xr:uid="{8579FBF9-8621-451C-B4FB-CF96D05A01CA}"/>
    <cellStyle name="Bemærk! 3 9 2" xfId="32262" xr:uid="{3908DCD4-0DA3-4858-9BA8-D8207D798F02}"/>
    <cellStyle name="Bemærk! 4" xfId="23669" xr:uid="{05967FC9-1B9D-413B-8CC3-3A13B4FED043}"/>
    <cellStyle name="Bemærk! 4 2" xfId="23670" xr:uid="{71477C25-5586-4D84-A55F-AAD6687049F3}"/>
    <cellStyle name="Bemærk! 4 2 2" xfId="23671" xr:uid="{2F466FB9-D821-43CB-9019-AF896C31A6C5}"/>
    <cellStyle name="Bemærk! 5" xfId="23672" xr:uid="{DDA4CC00-1A79-49E7-AA7E-5E6BE2E9D9B2}"/>
    <cellStyle name="Bemærk! 6" xfId="23673" xr:uid="{D4C899B0-5DAF-4BFC-8F66-51F97FFC0AAF}"/>
    <cellStyle name="Bemærk! 6 2" xfId="23674" xr:uid="{D5FD9BC6-5CA6-4055-AE62-74A10C435C44}"/>
    <cellStyle name="Bruger data" xfId="1252" xr:uid="{00000000-0005-0000-0000-000041000000}"/>
    <cellStyle name="Bruger data 2" xfId="11180" xr:uid="{AA6211FD-E3A6-4980-A31E-1D9961236792}"/>
    <cellStyle name="Bruger data 2 2" xfId="35553" xr:uid="{636E144F-223D-4B1A-98A2-6CC01E386B70}"/>
    <cellStyle name="Bruger data 2 3" xfId="32605" xr:uid="{14870784-EC10-4BA7-B9EA-82E259937C80}"/>
    <cellStyle name="Bruger data 3" xfId="10614" xr:uid="{F54873D6-FF5E-4707-940C-ABFECAA5487D}"/>
    <cellStyle name="Bruger data 3 2" xfId="46160" xr:uid="{6B86526D-0FD0-47C8-B220-8C63BCB99015}"/>
    <cellStyle name="Bruger data 3 3" xfId="32672" xr:uid="{6A0D491F-B90D-44E0-ADB8-BBC6C7B83A3A}"/>
    <cellStyle name="Bruger data 4" xfId="23675" xr:uid="{FF46509F-0D6E-4B9E-B89F-1430096DE960}"/>
    <cellStyle name="Bruger data 5" xfId="8913" xr:uid="{2600EE64-30B2-4BAD-A3E5-3763188A75C1}"/>
    <cellStyle name="C01_Main head" xfId="23676" xr:uid="{6588FF2C-182A-472D-909C-4D55764415F7}"/>
    <cellStyle name="C02_Column heads" xfId="23677" xr:uid="{C0648930-AF9E-4E38-8521-93E58EFB7397}"/>
    <cellStyle name="C03_Sub head bold" xfId="23678" xr:uid="{2818F8A4-726D-4507-A778-E339B2AE735A}"/>
    <cellStyle name="C03a_Sub head" xfId="23679" xr:uid="{8D818374-198D-4C43-8FE8-0F4B4D75C5BF}"/>
    <cellStyle name="C04_Total text white bold" xfId="23680" xr:uid="{D8FC01BB-3413-46AE-A5D6-0828587CC0FF}"/>
    <cellStyle name="C04a_Total text black with rule" xfId="23681" xr:uid="{0A57416A-AFDE-4B7A-8248-6E33EFEC82F6}"/>
    <cellStyle name="C05_Main text" xfId="23682" xr:uid="{5ABE3232-AEB2-4BC7-A59E-B24667E02740}"/>
    <cellStyle name="C06_Figs" xfId="23683" xr:uid="{55CB9D6B-87D5-4422-A1E8-41857260D471}"/>
    <cellStyle name="C07_Figs 1 dec percent" xfId="23684" xr:uid="{925351D2-7284-4CDF-9968-9C0A0EC29AAC}"/>
    <cellStyle name="C08_Figs 1 decimal" xfId="23685" xr:uid="{E841B24E-87F4-4C7C-AD79-5F174B117CD1}"/>
    <cellStyle name="C09_Notes" xfId="23686" xr:uid="{F902C3F2-CE6B-4FC3-BEFF-F636D451F084}"/>
    <cellStyle name="Calcolo" xfId="36" xr:uid="{00000000-0005-0000-0000-000042000000}"/>
    <cellStyle name="Calcolo 2" xfId="37" xr:uid="{00000000-0005-0000-0000-000043000000}"/>
    <cellStyle name="Calcolo 2 2" xfId="1289" xr:uid="{00000000-0005-0000-0000-000044000000}"/>
    <cellStyle name="Calcolo 2 2 2" xfId="17741" xr:uid="{124121E2-FBD2-4F73-82DA-53794C277F53}"/>
    <cellStyle name="Calcolo 2 2 2 2" xfId="35554" xr:uid="{0BA870E7-BAD0-4E5D-B8CD-24DB6860CB82}"/>
    <cellStyle name="Calcolo 2 2 3" xfId="32675" xr:uid="{F7A2E818-AD7F-45D5-865F-033CE2B0E8F8}"/>
    <cellStyle name="Calcolo 2 3" xfId="17703" xr:uid="{C6B35C0C-113D-4ED5-B4DF-34B4F5F7248C}"/>
    <cellStyle name="Calcolo 2 3 2" xfId="35054" xr:uid="{8DDB848F-2464-43BE-9B2E-0342E00229AF}"/>
    <cellStyle name="Calcolo 2 4" xfId="30242" xr:uid="{92E214D9-A962-41A1-B761-3B45EA25F18A}"/>
    <cellStyle name="Calcolo 2 4 2" xfId="35055" xr:uid="{60647F3B-200A-4BB3-B290-1826EE8F49D8}"/>
    <cellStyle name="Calcolo 2 5" xfId="30243" xr:uid="{090CA611-32BF-4FC4-8791-5362DF0BC0AB}"/>
    <cellStyle name="Calcolo 2 5 2" xfId="35056" xr:uid="{E60C48C7-0A37-4646-8158-D0E345F92E23}"/>
    <cellStyle name="Calcolo 2 6" xfId="32674" xr:uid="{5EBC7040-7A00-48AE-8D68-2CBCFE9BE885}"/>
    <cellStyle name="Calcolo 3" xfId="1290" xr:uid="{00000000-0005-0000-0000-000045000000}"/>
    <cellStyle name="Calcolo 3 2" xfId="17704" xr:uid="{1CA09E77-AB06-41F4-A318-722F10201A51}"/>
    <cellStyle name="Calcolo 3 2 2" xfId="35063" xr:uid="{20FC001F-FC79-42BD-87E0-055199A0E158}"/>
    <cellStyle name="Calcolo 3 3" xfId="32676" xr:uid="{A2D12F59-8F60-4042-8F24-B2B9FD300ACF}"/>
    <cellStyle name="Calcolo 4" xfId="8914" xr:uid="{95F318DA-1978-4390-BECB-400C20A6DE51}"/>
    <cellStyle name="Calcolo 4 2" xfId="32606" xr:uid="{33B9381E-4CA2-41CD-B1A5-0C0126357A32}"/>
    <cellStyle name="Calcolo 4 2 2" xfId="35555" xr:uid="{DE822BAD-DB7B-4E96-9AC6-9D3FFF9CECD6}"/>
    <cellStyle name="Calcolo 4 3" xfId="32607" xr:uid="{6C900488-D358-43AA-BE9B-CC99D47821D0}"/>
    <cellStyle name="Calcolo 4 3 2" xfId="35556" xr:uid="{AE598EF9-6E74-4BC5-9D0C-E04E491D008A}"/>
    <cellStyle name="Calcolo 4 4" xfId="32677" xr:uid="{4C0DEF7C-9C39-4377-89F9-D0AB650CE46D}"/>
    <cellStyle name="Calcolo 5" xfId="8915" xr:uid="{D51325E7-78BD-4F6E-9F91-501B5D6C6F42}"/>
    <cellStyle name="Calcolo 5 2" xfId="32608" xr:uid="{3D1618D7-F1E6-459A-BFFA-8B468F93F103}"/>
    <cellStyle name="Calcolo 5 2 2" xfId="35557" xr:uid="{ED588944-300E-4EF7-BFD5-91078B7663FB}"/>
    <cellStyle name="Calcolo 5 3" xfId="32609" xr:uid="{03CBC32C-A7D8-4CDB-922F-275A21D02EE6}"/>
    <cellStyle name="Calcolo 5 3 2" xfId="35558" xr:uid="{B309480E-019B-4AE4-A90E-C0F348E614CB}"/>
    <cellStyle name="Calcolo 5 4" xfId="32678" xr:uid="{9A63F37A-5100-457D-A5CF-BC71EA39D02A}"/>
    <cellStyle name="Calcolo 6" xfId="8916" xr:uid="{922C1E50-262C-412F-93DC-D8028592AB60}"/>
    <cellStyle name="Calcolo 6 2" xfId="32610" xr:uid="{D9457282-7983-4F10-97E1-F9E89AA1B716}"/>
    <cellStyle name="Calcolo 6 2 2" xfId="35559" xr:uid="{6F15812E-6BCF-482F-BE0F-42AF348E90A8}"/>
    <cellStyle name="Calcolo 6 3" xfId="32611" xr:uid="{9B33B142-B894-466B-A8F0-7BBA57165D85}"/>
    <cellStyle name="Calcolo 6 3 2" xfId="35560" xr:uid="{BBE85846-E107-4300-9A0A-9616577E7F5C}"/>
    <cellStyle name="Calcolo 6 4" xfId="32679" xr:uid="{8CBFB15F-428B-4F26-A631-C569F4206723}"/>
    <cellStyle name="Calcolo 7" xfId="8917" xr:uid="{4A9DDAC5-C0CE-47D7-A107-AD7A3DE1C404}"/>
    <cellStyle name="Calcolo 7 2" xfId="32612" xr:uid="{0932CA2C-7684-4171-818C-49E9CBFB3D91}"/>
    <cellStyle name="Calcolo 7 2 2" xfId="35561" xr:uid="{EEB837BB-230C-462B-BD2C-8D729DF1D27E}"/>
    <cellStyle name="Calcolo 7 3" xfId="32613" xr:uid="{B4987D60-259E-480B-92D7-060F0B8A418C}"/>
    <cellStyle name="Calcolo 7 3 2" xfId="35562" xr:uid="{8E8D5DD0-A58E-4A7F-9813-195BFF22F1A6}"/>
    <cellStyle name="Calcolo 7 4" xfId="32680" xr:uid="{BFF2191A-3EDB-4C52-994E-983019BB14B3}"/>
    <cellStyle name="Calcolo 8" xfId="32673" xr:uid="{DEE06948-2ACB-4E39-A4F0-8B7D9BCBD31E}"/>
    <cellStyle name="Calculation 2" xfId="38" xr:uid="{00000000-0005-0000-0000-000046000000}"/>
    <cellStyle name="Calculation 2 2" xfId="23687" xr:uid="{CBC4D063-C28C-466C-8661-7BD62CD6C263}"/>
    <cellStyle name="Calculation 2 2 2" xfId="32614" xr:uid="{89FEA145-8E46-41D3-B383-873D80FF9B41}"/>
    <cellStyle name="Calculation 2 2 2 2" xfId="35563" xr:uid="{112D25D1-B9CA-40A7-A428-5919ADAC3EF6}"/>
    <cellStyle name="Calculation 2 2 3" xfId="32615" xr:uid="{A50A6C8A-15C7-4E07-8106-A1AF35D220CD}"/>
    <cellStyle name="Calculation 2 2 3 2" xfId="35564" xr:uid="{03355C58-0043-4B33-88EA-1F6BC4B4A9B6}"/>
    <cellStyle name="Calculation 2 2 4" xfId="32681" xr:uid="{7C8BD276-716D-4017-AFE6-83FB5626D9C0}"/>
    <cellStyle name="Calculation 2 3" xfId="23688" xr:uid="{45BD1BC8-A8F7-4AC7-898D-3AF2D7530123}"/>
    <cellStyle name="Calculation 2 3 2" xfId="32616" xr:uid="{A7F4D76B-2F27-4DAF-AAA1-AFFC5B1DB2F5}"/>
    <cellStyle name="Calculation 2 3 2 2" xfId="35565" xr:uid="{BE8FF6C0-925C-464B-AF0B-B2ABAADFF45F}"/>
    <cellStyle name="Calculation 2 3 3" xfId="32617" xr:uid="{0452467F-8BF1-464E-A4AD-7048C8956A08}"/>
    <cellStyle name="Calculation 2 3 3 2" xfId="35566" xr:uid="{70288ABE-9266-4E8B-A3EC-DC04B85AA2B8}"/>
    <cellStyle name="Calculation 2 3 4" xfId="32682" xr:uid="{EF0B24F0-EEF7-4897-9884-AA994755B4BE}"/>
    <cellStyle name="Calculation 2 4" xfId="23689" xr:uid="{48549DCA-53B9-428C-91FA-D0F7C2EAB32A}"/>
    <cellStyle name="Calculations" xfId="8918" xr:uid="{AFA0CBB1-B95A-492B-9E6B-431160E8883D}"/>
    <cellStyle name="Calculations 2" xfId="32618" xr:uid="{4115DC77-D2D0-429A-9C6D-EAC8A0C2BA5B}"/>
    <cellStyle name="Calculations 2 2" xfId="35567" xr:uid="{89DF7B0C-4D42-4758-88BD-F22840AC9FD6}"/>
    <cellStyle name="Calculations 3" xfId="32683" xr:uid="{8BFE074A-82D1-49DE-BEB5-77FFCE7DA523}"/>
    <cellStyle name="Calculations 4" xfId="23690" xr:uid="{0684EA46-883C-44D2-A647-A6E15D6C36FD}"/>
    <cellStyle name="Cella collegata" xfId="39" xr:uid="{00000000-0005-0000-0000-000047000000}"/>
    <cellStyle name="Cella da controllare" xfId="40" xr:uid="{00000000-0005-0000-0000-000048000000}"/>
    <cellStyle name="Check Cell 2" xfId="23691" xr:uid="{CBAC0792-33FA-445F-AF6A-2D61E1EDD376}"/>
    <cellStyle name="Colore 1" xfId="41" xr:uid="{00000000-0005-0000-0000-000049000000}"/>
    <cellStyle name="Colore 2" xfId="42" xr:uid="{00000000-0005-0000-0000-00004A000000}"/>
    <cellStyle name="Colore 3" xfId="43" xr:uid="{00000000-0005-0000-0000-00004B000000}"/>
    <cellStyle name="Colore 4" xfId="44" xr:uid="{00000000-0005-0000-0000-00004C000000}"/>
    <cellStyle name="Colore 5" xfId="45" xr:uid="{00000000-0005-0000-0000-00004D000000}"/>
    <cellStyle name="Colore 6" xfId="46" xr:uid="{00000000-0005-0000-0000-00004E000000}"/>
    <cellStyle name="Comma" xfId="47" builtinId="3"/>
    <cellStyle name="Comma 10" xfId="10602" xr:uid="{B2495AA6-265C-41AE-81E6-B3A49B556931}"/>
    <cellStyle name="Comma 10 2" xfId="21247" xr:uid="{29C3F1C1-18BE-4CE6-A244-1FA2F494EA3E}"/>
    <cellStyle name="Comma 10 3" xfId="23692" xr:uid="{2F8BFBD6-D167-4B4B-8474-5363033E029D}"/>
    <cellStyle name="Comma 10 4" xfId="47855" xr:uid="{FCF5D1D8-4FDA-4B10-940D-3EBD6C3DB044}"/>
    <cellStyle name="Comma 10 5" xfId="48585" xr:uid="{590155D4-BF90-403E-A3CF-C969865CE7E9}"/>
    <cellStyle name="Comma 10 6" xfId="49495" xr:uid="{9B7D1D02-AB33-4BB1-87EB-C8F07F62C282}"/>
    <cellStyle name="Comma 10 7" xfId="50265" xr:uid="{C79AFDAD-A6D3-45D4-BDDC-4EAA5EFF2C65}"/>
    <cellStyle name="Comma 10 8" xfId="53281" xr:uid="{8DFB44D3-4E11-4A10-8C53-619C7677268A}"/>
    <cellStyle name="Comma 10 9" xfId="17715" xr:uid="{16529C12-FF40-4A4B-8E0D-AD4875F6E72F}"/>
    <cellStyle name="Comma 11" xfId="23693" xr:uid="{BC26AA5A-DFA6-4B4E-9782-39E048680D64}"/>
    <cellStyle name="Comma 11 2" xfId="48586" xr:uid="{599AA06F-A351-40F1-915F-ED9F32AB5885}"/>
    <cellStyle name="Comma 11 3" xfId="49496" xr:uid="{B6D3DA87-87B9-4125-A315-3F55BE5F5A81}"/>
    <cellStyle name="Comma 12" xfId="23694" xr:uid="{77E2CAA8-FDAD-44F5-91B4-77567048DFF5}"/>
    <cellStyle name="Comma 12 2" xfId="48587" xr:uid="{425A5421-BCFB-4771-B370-1183F06A410F}"/>
    <cellStyle name="Comma 12 3" xfId="49497" xr:uid="{39D53C45-AA6C-43CF-A23F-B0722F07083D}"/>
    <cellStyle name="Comma 13" xfId="23695" xr:uid="{BE5FC36E-88E3-466F-A964-6AEEDB038C31}"/>
    <cellStyle name="Comma 13 2" xfId="32684" xr:uid="{196D2C47-39F8-4177-816C-B62E64ED694C}"/>
    <cellStyle name="Comma 13 3" xfId="48588" xr:uid="{E7C9C900-95DC-4FD2-9AA0-3A02031FC3D8}"/>
    <cellStyle name="Comma 13 4" xfId="49498" xr:uid="{699DD753-E8A2-4275-875B-D79D8604807B}"/>
    <cellStyle name="Comma 14" xfId="55819" xr:uid="{27E49B0A-2530-4D8D-A2A3-E121A8EAA585}"/>
    <cellStyle name="Comma 15" xfId="6981" xr:uid="{0E51ADE3-AE6F-4EF4-9E84-0ACDB4CC6201}"/>
    <cellStyle name="Comma 2" xfId="48" xr:uid="{00000000-0005-0000-0000-000050000000}"/>
    <cellStyle name="Comma 2 10" xfId="2604" xr:uid="{07072C41-71DE-4EF3-A4AC-0329D0C5C78E}"/>
    <cellStyle name="Comma 2 10 2" xfId="23696" xr:uid="{6A11E770-453C-4462-9437-2CFD97B53C4C}"/>
    <cellStyle name="Comma 2 10 3" xfId="48590" xr:uid="{0C3AE32F-A71B-490A-8167-88F127BFF6F6}"/>
    <cellStyle name="Comma 2 10 4" xfId="49500" xr:uid="{DB19570D-EDD5-49DC-A9F7-B24698F8DEFB}"/>
    <cellStyle name="Comma 2 10 5" xfId="19466" xr:uid="{F1C2F289-B466-4DD8-BBFF-8D51DAD5593F}"/>
    <cellStyle name="Comma 2 11" xfId="23697" xr:uid="{A234C552-AF97-4211-B958-2851B2351C08}"/>
    <cellStyle name="Comma 2 12" xfId="32685" xr:uid="{77D5B730-09C7-4EED-8190-B0D1A646EAEF}"/>
    <cellStyle name="Comma 2 12 2" xfId="38059" xr:uid="{D7090DC4-AF7E-4118-9327-A008D0D6910E}"/>
    <cellStyle name="Comma 2 12 3" xfId="43361" xr:uid="{D829579E-A8DF-4F98-A1C5-88C02D51FE58}"/>
    <cellStyle name="Comma 2 13" xfId="35594" xr:uid="{A9528D90-0284-43A6-8FE7-409CF2E85620}"/>
    <cellStyle name="Comma 2 14" xfId="40710" xr:uid="{D2A5D7A7-BFE9-4038-9310-7C19438299F2}"/>
    <cellStyle name="Comma 2 15" xfId="48589" xr:uid="{6B20BAF4-B212-4AE8-AACF-919642295793}"/>
    <cellStyle name="Comma 2 16" xfId="49499" xr:uid="{9A7C8100-C653-43F4-BBDF-9B9E65888906}"/>
    <cellStyle name="Comma 2 17" xfId="6982" xr:uid="{D9EA276E-938A-4F83-AFD1-4A374F0F80CD}"/>
    <cellStyle name="Comma 2 2" xfId="49" xr:uid="{00000000-0005-0000-0000-000051000000}"/>
    <cellStyle name="Comma 2 2 10" xfId="6983" xr:uid="{4FAA9659-A276-40C1-BE52-C4BFB6F14CEE}"/>
    <cellStyle name="Comma 2 2 2" xfId="2606" xr:uid="{8E5D7C90-9CB3-45D5-8CF3-5DBFA3CCB7B7}"/>
    <cellStyle name="Comma 2 2 2 10" xfId="15939" xr:uid="{5B7213FD-B013-45D7-9C3E-BA87FD3A569F}"/>
    <cellStyle name="Comma 2 2 2 11" xfId="7230" xr:uid="{C99BC8A3-30E5-4F2C-B43C-2AD489F0DA46}"/>
    <cellStyle name="Comma 2 2 2 2" xfId="2607" xr:uid="{2130FD32-2C64-4223-B287-6CA4A9FCF640}"/>
    <cellStyle name="Comma 2 2 2 2 10" xfId="15455" xr:uid="{3A72FF15-C6BC-461B-BF80-DC50D6B5B396}"/>
    <cellStyle name="Comma 2 2 2 2 10 2" xfId="22990" xr:uid="{52D349F8-5F86-4268-8A36-A7D346BE90D7}"/>
    <cellStyle name="Comma 2 2 2 2 10 3" xfId="47495" xr:uid="{C882876C-D6FC-4328-93B8-DB05BC1C30F7}"/>
    <cellStyle name="Comma 2 2 2 2 10 4" xfId="52328" xr:uid="{CA88D0A8-4824-46B6-B8B2-81B7BFDB5CC9}"/>
    <cellStyle name="Comma 2 2 2 2 10 5" xfId="55344" xr:uid="{F9F041A4-F157-484A-8E76-2C4DA2A2EE52}"/>
    <cellStyle name="Comma 2 2 2 2 11" xfId="11580" xr:uid="{5B8AC5B7-3550-4B90-A408-D6B53BDD26D6}"/>
    <cellStyle name="Comma 2 2 2 2 11 2" xfId="21704" xr:uid="{EEC4AE3C-7C96-46DB-950C-A72D06B9B683}"/>
    <cellStyle name="Comma 2 2 2 2 11 3" xfId="37214" xr:uid="{09498DFB-D205-4831-A229-FE13D3ACF59B}"/>
    <cellStyle name="Comma 2 2 2 2 11 4" xfId="50727" xr:uid="{CF1437E8-2DE6-4B9C-A147-6AEB65665660}"/>
    <cellStyle name="Comma 2 2 2 2 11 5" xfId="53743" xr:uid="{94A65E27-5798-4311-8B00-D6BCFFE15E6D}"/>
    <cellStyle name="Comma 2 2 2 2 12" xfId="19469" xr:uid="{A2FE0AA6-9E27-4F74-86B5-CBCCE3E9CF5F}"/>
    <cellStyle name="Comma 2 2 2 2 13" xfId="23700" xr:uid="{0B352EE0-A643-4783-8955-14B87A680AE0}"/>
    <cellStyle name="Comma 2 2 2 2 14" xfId="48593" xr:uid="{0EDC620B-DCD2-4CD7-93C8-4806890A4EFC}"/>
    <cellStyle name="Comma 2 2 2 2 15" xfId="49503" xr:uid="{E0CF1DA3-4605-4826-88EA-F84C2F573BD5}"/>
    <cellStyle name="Comma 2 2 2 2 16" xfId="49791" xr:uid="{BCA0DE54-187A-4F7F-9AAD-0293FD66365B}"/>
    <cellStyle name="Comma 2 2 2 2 17" xfId="52806" xr:uid="{C76A3272-042D-4846-8D89-652323A703CE}"/>
    <cellStyle name="Comma 2 2 2 2 2" xfId="8919" xr:uid="{B4F07312-EE6B-4E91-BB2D-8925E69360F9}"/>
    <cellStyle name="Comma 2 2 2 2 2 10" xfId="12316" xr:uid="{505BDF99-C44C-4CD4-A2E3-DA6E74E36C36}"/>
    <cellStyle name="Comma 2 2 2 2 2 10 2" xfId="47662" xr:uid="{BE3485BE-7E21-4135-86F3-BE7108EA7F69}"/>
    <cellStyle name="Comma 2 2 2 2 2 10 3" xfId="50945" xr:uid="{D2F95A2D-5E48-4D9C-8C1C-D148E045F6B5}"/>
    <cellStyle name="Comma 2 2 2 2 2 10 4" xfId="53961" xr:uid="{30B6E461-79CA-42E4-8745-77A03D6F34EF}"/>
    <cellStyle name="Comma 2 2 2 2 2 11" xfId="23701" xr:uid="{DF2EEB08-D18E-44E4-B4C1-71DA638151B9}"/>
    <cellStyle name="Comma 2 2 2 2 2 12" xfId="48594" xr:uid="{21EB4CB9-6517-4E49-B9AC-435D75E07F33}"/>
    <cellStyle name="Comma 2 2 2 2 2 13" xfId="49504" xr:uid="{C179FCCE-CF9B-4877-9794-F3A384F85B2A}"/>
    <cellStyle name="Comma 2 2 2 2 2 14" xfId="49796" xr:uid="{3396E409-2E62-42F8-BA9D-964A538D0BD8}"/>
    <cellStyle name="Comma 2 2 2 2 2 15" xfId="52811" xr:uid="{60B0C435-0062-492B-B903-F0E972D36E92}"/>
    <cellStyle name="Comma 2 2 2 2 2 2" xfId="10006" xr:uid="{2E4663C2-EE9B-4023-94E0-086F74B3B7C0}"/>
    <cellStyle name="Comma 2 2 2 2 2 2 2" xfId="10314" xr:uid="{9FCE9BC6-DE1C-4A4D-9B0D-F2B511ABA869}"/>
    <cellStyle name="Comma 2 2 2 2 2 2 2 2" xfId="14759" xr:uid="{CFEB6229-5F39-437D-8D97-04D62DEBA073}"/>
    <cellStyle name="Comma 2 2 2 2 2 2 2 2 2" xfId="22306" xr:uid="{8D06D761-8E61-45F6-A447-E9E5DDE6A1A4}"/>
    <cellStyle name="Comma 2 2 2 2 2 2 2 2 3" xfId="46431" xr:uid="{2AA5E9F0-97BD-4F4D-868A-FBB388F1CB75}"/>
    <cellStyle name="Comma 2 2 2 2 2 2 2 2 4" xfId="51644" xr:uid="{8A3464D1-D7C4-4012-A7D3-F81CF7B7A8BA}"/>
    <cellStyle name="Comma 2 2 2 2 2 2 2 2 5" xfId="54660" xr:uid="{A1DD82F1-CFBB-4CF5-80A4-BA8863B768C1}"/>
    <cellStyle name="Comma 2 2 2 2 2 2 2 3" xfId="15244" xr:uid="{AE5A68D4-E4CA-4ECE-A2FD-0BC22A5E5094}"/>
    <cellStyle name="Comma 2 2 2 2 2 2 2 3 2" xfId="22783" xr:uid="{C6B26DA0-A2F3-433F-83C7-C7F82916EF5B}"/>
    <cellStyle name="Comma 2 2 2 2 2 2 2 3 3" xfId="46501" xr:uid="{A0A8AF6A-7EDC-479B-9C08-EF3F51F613BB}"/>
    <cellStyle name="Comma 2 2 2 2 2 2 2 3 4" xfId="52121" xr:uid="{F6DF0E6A-4DC6-4026-8024-CB1C0DC43C3A}"/>
    <cellStyle name="Comma 2 2 2 2 2 2 2 3 5" xfId="55137" xr:uid="{3AAFF37A-69AD-46F6-BE21-FD7CD826643E}"/>
    <cellStyle name="Comma 2 2 2 2 2 2 2 4" xfId="15731" xr:uid="{A3E7E8A4-AD54-4BA5-8FBC-D0B46500E092}"/>
    <cellStyle name="Comma 2 2 2 2 2 2 2 4 2" xfId="23260" xr:uid="{1FA81DBE-6620-4818-B161-1CF5BA3F1AE5}"/>
    <cellStyle name="Comma 2 2 2 2 2 2 2 4 3" xfId="25284" xr:uid="{960355A4-3F47-42EC-917A-BD78258A6848}"/>
    <cellStyle name="Comma 2 2 2 2 2 2 2 4 4" xfId="52598" xr:uid="{26BD4CF0-2460-44F8-9482-CEF24287FB8D}"/>
    <cellStyle name="Comma 2 2 2 2 2 2 2 4 5" xfId="55614" xr:uid="{7F0A4995-D171-450A-BD99-390C73A18D40}"/>
    <cellStyle name="Comma 2 2 2 2 2 2 2 5" xfId="12767" xr:uid="{81FB8099-5E58-4484-A30A-19FC559C9722}"/>
    <cellStyle name="Comma 2 2 2 2 2 2 2 5 2" xfId="34159" xr:uid="{3693B33A-9DB1-45FF-A967-20EC5190A5F4}"/>
    <cellStyle name="Comma 2 2 2 2 2 2 2 5 3" xfId="51167" xr:uid="{225C9A37-BE33-42F9-B1A9-441EFE3A5230}"/>
    <cellStyle name="Comma 2 2 2 2 2 2 2 5 4" xfId="54183" xr:uid="{7E882375-CB32-4A3B-B4DD-E1A9EAC72251}"/>
    <cellStyle name="Comma 2 2 2 2 2 2 2 6" xfId="48453" xr:uid="{A95F68C4-26B7-4D5F-9C9E-A44353A2F0EB}"/>
    <cellStyle name="Comma 2 2 2 2 2 2 2 7" xfId="50061" xr:uid="{7C6BF1C6-1376-40C3-8C83-363076C3EF3B}"/>
    <cellStyle name="Comma 2 2 2 2 2 2 2 8" xfId="53077" xr:uid="{A1789CD0-CBCD-4CE1-ABC4-23598921BFAE}"/>
    <cellStyle name="Comma 2 2 2 2 2 2 3" xfId="14547" xr:uid="{8658C64B-6469-4A6B-B0B1-BCF8437B4937}"/>
    <cellStyle name="Comma 2 2 2 2 2 2 3 2" xfId="22094" xr:uid="{E357FAFA-1553-44AB-B8DE-E193D8F6AD84}"/>
    <cellStyle name="Comma 2 2 2 2 2 2 3 3" xfId="34064" xr:uid="{5764C349-7CF0-4D8E-BDC8-AC15D2876064}"/>
    <cellStyle name="Comma 2 2 2 2 2 2 3 4" xfId="51432" xr:uid="{23EA88CA-CEDB-4596-B0F7-D3AACC66F157}"/>
    <cellStyle name="Comma 2 2 2 2 2 2 3 5" xfId="54448" xr:uid="{289BABBA-7264-4031-9DAD-D0DF56E443FE}"/>
    <cellStyle name="Comma 2 2 2 2 2 2 4" xfId="15031" xr:uid="{783B96A2-BB2A-467D-9F17-1D16C9CF19DA}"/>
    <cellStyle name="Comma 2 2 2 2 2 2 4 2" xfId="22571" xr:uid="{67B9256D-2DD9-4ACB-A2E8-914759D073EB}"/>
    <cellStyle name="Comma 2 2 2 2 2 2 4 3" xfId="47484" xr:uid="{12DAC970-375A-4CC9-A7F4-3ACDD0E1357D}"/>
    <cellStyle name="Comma 2 2 2 2 2 2 4 4" xfId="51909" xr:uid="{23725452-5364-4B42-9DAD-39851135EBFD}"/>
    <cellStyle name="Comma 2 2 2 2 2 2 4 5" xfId="54925" xr:uid="{B197A2E8-1721-4A7A-96A4-6CD961E015FD}"/>
    <cellStyle name="Comma 2 2 2 2 2 2 5" xfId="15518" xr:uid="{AF6FEBEC-BE82-424A-BDCD-16500AFB273F}"/>
    <cellStyle name="Comma 2 2 2 2 2 2 5 2" xfId="23048" xr:uid="{000BC2A9-836F-4213-8041-B8461235A421}"/>
    <cellStyle name="Comma 2 2 2 2 2 2 5 3" xfId="46544" xr:uid="{48B7AE38-8FD3-47EC-AE86-6B9ABC4C9853}"/>
    <cellStyle name="Comma 2 2 2 2 2 2 5 4" xfId="52386" xr:uid="{FE4DD2A8-3AF1-414B-9C90-301F75C6A7BE}"/>
    <cellStyle name="Comma 2 2 2 2 2 2 5 5" xfId="55402" xr:uid="{DEEDB44E-1420-45E8-8036-0E96736ABD50}"/>
    <cellStyle name="Comma 2 2 2 2 2 2 6" xfId="12466" xr:uid="{869BCB60-85E6-430E-8912-645CC3355A55}"/>
    <cellStyle name="Comma 2 2 2 2 2 2 6 2" xfId="47612" xr:uid="{119A369E-39C3-42CF-980C-CB672C810DCE}"/>
    <cellStyle name="Comma 2 2 2 2 2 2 6 3" xfId="50955" xr:uid="{27A55F2A-DC32-4404-8169-B2124B6ADFDC}"/>
    <cellStyle name="Comma 2 2 2 2 2 2 6 4" xfId="53971" xr:uid="{86BEB2C1-4DC2-41D0-B70F-70F65CD4C270}"/>
    <cellStyle name="Comma 2 2 2 2 2 2 7" xfId="47571" xr:uid="{E2AA023B-5B1E-407B-B229-F2E4C5DF300B}"/>
    <cellStyle name="Comma 2 2 2 2 2 2 8" xfId="49849" xr:uid="{D0430B2D-D7CE-4728-AF37-8DCEE02D7C6D}"/>
    <cellStyle name="Comma 2 2 2 2 2 2 9" xfId="52865" xr:uid="{AA733D7F-7234-46EF-8974-44469D57BBA2}"/>
    <cellStyle name="Comma 2 2 2 2 2 3" xfId="10080" xr:uid="{970F714D-CB1C-477C-8A88-3048DFFD1C72}"/>
    <cellStyle name="Comma 2 2 2 2 2 3 2" xfId="10393" xr:uid="{C142E82A-5F2F-4776-8138-B4C6038B4006}"/>
    <cellStyle name="Comma 2 2 2 2 2 3 2 2" xfId="14812" xr:uid="{55C5121F-8B72-4238-9408-ED3F2AA22108}"/>
    <cellStyle name="Comma 2 2 2 2 2 3 2 2 2" xfId="22359" xr:uid="{A6DFC0A6-DCEF-415D-822C-8E0C6D043197}"/>
    <cellStyle name="Comma 2 2 2 2 2 3 2 2 3" xfId="47335" xr:uid="{9E6D4D50-4CB5-4E21-A9DD-61DCB0332764}"/>
    <cellStyle name="Comma 2 2 2 2 2 3 2 2 4" xfId="51697" xr:uid="{49CF1385-AC72-440C-AF4D-ADF9668D6FF3}"/>
    <cellStyle name="Comma 2 2 2 2 2 3 2 2 5" xfId="54713" xr:uid="{3DA96183-08CF-45B6-88E2-664BE5500066}"/>
    <cellStyle name="Comma 2 2 2 2 2 3 2 3" xfId="15297" xr:uid="{93E1C2FA-7135-4E6A-96E4-C21AECBD0BFD}"/>
    <cellStyle name="Comma 2 2 2 2 2 3 2 3 2" xfId="22836" xr:uid="{756DA5D5-8AFE-4EDE-86F2-4647DEA5C806}"/>
    <cellStyle name="Comma 2 2 2 2 2 3 2 3 3" xfId="24448" xr:uid="{C8C75282-563A-404E-ADAC-809CAEAF0700}"/>
    <cellStyle name="Comma 2 2 2 2 2 3 2 3 4" xfId="52174" xr:uid="{925BD59B-2F3A-4428-8401-75550C5CB675}"/>
    <cellStyle name="Comma 2 2 2 2 2 3 2 3 5" xfId="55190" xr:uid="{1C980DFC-6654-4114-B1AD-240C506557DC}"/>
    <cellStyle name="Comma 2 2 2 2 2 3 2 4" xfId="15784" xr:uid="{77723292-3D9B-413B-9EB7-64AABDB92DBF}"/>
    <cellStyle name="Comma 2 2 2 2 2 3 2 4 2" xfId="23313" xr:uid="{A362F127-8A89-42BE-B9F1-0733F34CFCD7}"/>
    <cellStyle name="Comma 2 2 2 2 2 3 2 4 3" xfId="47502" xr:uid="{DB76F9AD-9166-4DA4-9DA0-63AA452BD6C5}"/>
    <cellStyle name="Comma 2 2 2 2 2 3 2 4 4" xfId="52651" xr:uid="{19BEE77E-09FE-45AD-BB6D-6558A4541692}"/>
    <cellStyle name="Comma 2 2 2 2 2 3 2 4 5" xfId="55667" xr:uid="{7C8AC423-0F70-4898-8582-5B24803937FD}"/>
    <cellStyle name="Comma 2 2 2 2 2 3 2 5" xfId="12846" xr:uid="{5B07B445-9DBD-49B8-ADB7-FF80CB5C7E78}"/>
    <cellStyle name="Comma 2 2 2 2 2 3 2 5 2" xfId="48202" xr:uid="{29731AAE-BF57-49A6-AE26-F6463016A967}"/>
    <cellStyle name="Comma 2 2 2 2 2 3 2 5 3" xfId="51220" xr:uid="{6E82D698-96B4-4D2B-A981-33C63325FA42}"/>
    <cellStyle name="Comma 2 2 2 2 2 3 2 5 4" xfId="54236" xr:uid="{DE262B3E-F0FD-4A67-B1E2-C471B406BA9B}"/>
    <cellStyle name="Comma 2 2 2 2 2 3 2 6" xfId="24265" xr:uid="{3785C0F0-39C6-4EC0-A1A8-3272A865FA32}"/>
    <cellStyle name="Comma 2 2 2 2 2 3 2 7" xfId="50114" xr:uid="{E9BF7258-5987-4EB0-9C11-07832AFC6ED0}"/>
    <cellStyle name="Comma 2 2 2 2 2 3 2 8" xfId="53130" xr:uid="{5F16275A-5277-4E75-BF76-F4C097A1F6E9}"/>
    <cellStyle name="Comma 2 2 2 2 2 3 3" xfId="14600" xr:uid="{0B76994E-89DD-48DE-B587-8B88460CC15D}"/>
    <cellStyle name="Comma 2 2 2 2 2 3 3 2" xfId="22147" xr:uid="{EE0BA41D-F67D-4E0D-AEDE-83B909A16399}"/>
    <cellStyle name="Comma 2 2 2 2 2 3 3 3" xfId="32378" xr:uid="{459AA75B-8BA7-438F-9C45-7DCE02591519}"/>
    <cellStyle name="Comma 2 2 2 2 2 3 3 4" xfId="51485" xr:uid="{A849E47D-B3AF-4975-AB97-F07DA27346A4}"/>
    <cellStyle name="Comma 2 2 2 2 2 3 3 5" xfId="54501" xr:uid="{9C15F928-15EE-4E5B-81A9-71C3075F2E45}"/>
    <cellStyle name="Comma 2 2 2 2 2 3 4" xfId="15085" xr:uid="{B2BCDD78-80BA-469C-BB15-C893BFE3565D}"/>
    <cellStyle name="Comma 2 2 2 2 2 3 4 2" xfId="22624" xr:uid="{0E89A623-FA31-46D1-9BE5-D953784501C7}"/>
    <cellStyle name="Comma 2 2 2 2 2 3 4 3" xfId="47979" xr:uid="{E425703B-BD91-4C39-AB8F-FAF91E0A15A1}"/>
    <cellStyle name="Comma 2 2 2 2 2 3 4 4" xfId="51962" xr:uid="{34D3BE25-5719-499A-A4EF-680346D7CDF0}"/>
    <cellStyle name="Comma 2 2 2 2 2 3 4 5" xfId="54978" xr:uid="{820A08E2-066D-41A3-8FA4-0053E7021F49}"/>
    <cellStyle name="Comma 2 2 2 2 2 3 5" xfId="15572" xr:uid="{CAA3C18F-824B-4839-B54C-1B60D0D5D15C}"/>
    <cellStyle name="Comma 2 2 2 2 2 3 5 2" xfId="23101" xr:uid="{E2B3A1D2-257A-42A2-82EE-8B8DC0431C0D}"/>
    <cellStyle name="Comma 2 2 2 2 2 3 5 3" xfId="46937" xr:uid="{3555D337-5A3C-4115-A595-CF49F9581390}"/>
    <cellStyle name="Comma 2 2 2 2 2 3 5 4" xfId="52439" xr:uid="{84CCAF27-CB5A-4C6A-A30E-60B7C2C2D241}"/>
    <cellStyle name="Comma 2 2 2 2 2 3 5 5" xfId="55455" xr:uid="{344E05F5-421B-4234-BA4F-10BD711C976A}"/>
    <cellStyle name="Comma 2 2 2 2 2 3 6" xfId="12537" xr:uid="{7AD45FF8-B690-4EA0-9FD7-074150ED9B9C}"/>
    <cellStyle name="Comma 2 2 2 2 2 3 6 2" xfId="47049" xr:uid="{54499611-F365-49F5-818D-8CAF7C88C0E7}"/>
    <cellStyle name="Comma 2 2 2 2 2 3 6 3" xfId="51008" xr:uid="{266D4795-A9A8-48A3-B2F7-1CC430E62F28}"/>
    <cellStyle name="Comma 2 2 2 2 2 3 6 4" xfId="54024" xr:uid="{3D978921-DAFC-4F4B-8FB9-C92789C38EF0}"/>
    <cellStyle name="Comma 2 2 2 2 2 3 7" xfId="47868" xr:uid="{34651C98-D292-4401-8341-1F0E46E39B5B}"/>
    <cellStyle name="Comma 2 2 2 2 2 3 8" xfId="49902" xr:uid="{25E4BC19-6E8F-423D-82A1-BBEA4A3880A4}"/>
    <cellStyle name="Comma 2 2 2 2 2 3 9" xfId="52918" xr:uid="{49EE71A9-ED4E-461E-99D1-881A1486DE58}"/>
    <cellStyle name="Comma 2 2 2 2 2 4" xfId="10159" xr:uid="{FACD275E-614A-44B1-BA26-C424803A2CF9}"/>
    <cellStyle name="Comma 2 2 2 2 2 4 2" xfId="10473" xr:uid="{FE84EF5C-7DB3-4C4E-A30C-FCA1E0D318A2}"/>
    <cellStyle name="Comma 2 2 2 2 2 4 2 2" xfId="14865" xr:uid="{80389E93-90B1-4AA3-9748-0361EF8DB92D}"/>
    <cellStyle name="Comma 2 2 2 2 2 4 2 2 2" xfId="22412" xr:uid="{199CE776-CC1B-4A96-A781-3F4948CDC636}"/>
    <cellStyle name="Comma 2 2 2 2 2 4 2 2 3" xfId="46448" xr:uid="{0B5D240B-BE6A-42B9-ADEB-A7965FA53434}"/>
    <cellStyle name="Comma 2 2 2 2 2 4 2 2 4" xfId="51750" xr:uid="{5BB876BC-D519-44C2-8D95-DF41F936273D}"/>
    <cellStyle name="Comma 2 2 2 2 2 4 2 2 5" xfId="54766" xr:uid="{D78F6095-2F09-4880-8940-5E8A892C87CA}"/>
    <cellStyle name="Comma 2 2 2 2 2 4 2 3" xfId="15350" xr:uid="{7E544995-A8F5-49D0-8D7C-3B35B59E17D1}"/>
    <cellStyle name="Comma 2 2 2 2 2 4 2 3 2" xfId="22889" xr:uid="{3DDBFA63-2E0E-4425-81C9-B654243AF80F}"/>
    <cellStyle name="Comma 2 2 2 2 2 4 2 3 3" xfId="48015" xr:uid="{D4F286EF-87FC-4925-B331-54AE32CF22BB}"/>
    <cellStyle name="Comma 2 2 2 2 2 4 2 3 4" xfId="52227" xr:uid="{9011DF74-8583-4934-B6DC-0A54B695D27B}"/>
    <cellStyle name="Comma 2 2 2 2 2 4 2 3 5" xfId="55243" xr:uid="{FC90E913-32A0-44F4-8ABA-A3C2F7BC70A1}"/>
    <cellStyle name="Comma 2 2 2 2 2 4 2 4" xfId="15837" xr:uid="{2E9958A5-F78C-48D0-9679-C2F7839C14DC}"/>
    <cellStyle name="Comma 2 2 2 2 2 4 2 4 2" xfId="23366" xr:uid="{3B16856C-DD71-4760-9A8C-15EB5DE0B75F}"/>
    <cellStyle name="Comma 2 2 2 2 2 4 2 4 3" xfId="47113" xr:uid="{50346FA3-B773-4FAB-B9C1-E9BDB6D15F18}"/>
    <cellStyle name="Comma 2 2 2 2 2 4 2 4 4" xfId="52704" xr:uid="{B7041E99-4155-4055-82F1-6159023EEA43}"/>
    <cellStyle name="Comma 2 2 2 2 2 4 2 4 5" xfId="55720" xr:uid="{DABAF87A-2F8D-4113-8957-FBCECBEFA192}"/>
    <cellStyle name="Comma 2 2 2 2 2 4 2 5" xfId="12926" xr:uid="{41FBEDC9-4215-44C3-90B6-64762A99D4FB}"/>
    <cellStyle name="Comma 2 2 2 2 2 4 2 5 2" xfId="47101" xr:uid="{FF7D8520-1A00-4138-A9B3-3D3F2DCDDF29}"/>
    <cellStyle name="Comma 2 2 2 2 2 4 2 5 3" xfId="51273" xr:uid="{F736CFAB-E736-43E1-9928-78615B9418D8}"/>
    <cellStyle name="Comma 2 2 2 2 2 4 2 5 4" xfId="54289" xr:uid="{0F8ADD53-4E17-4AAC-8E9F-190EB2C79D75}"/>
    <cellStyle name="Comma 2 2 2 2 2 4 2 6" xfId="47290" xr:uid="{4ED697B8-D494-4AC1-9BA8-636415DD957B}"/>
    <cellStyle name="Comma 2 2 2 2 2 4 2 7" xfId="50167" xr:uid="{69DBC064-78D7-415C-85E7-CF86F9CF48C2}"/>
    <cellStyle name="Comma 2 2 2 2 2 4 2 8" xfId="53183" xr:uid="{50B5A3E1-07E2-409F-80FC-69C97307A3ED}"/>
    <cellStyle name="Comma 2 2 2 2 2 4 3" xfId="14653" xr:uid="{1712DFA7-A8D9-48BF-B481-4413633BB52B}"/>
    <cellStyle name="Comma 2 2 2 2 2 4 3 2" xfId="22200" xr:uid="{73232129-6351-4C2C-BD98-F31997541C9E}"/>
    <cellStyle name="Comma 2 2 2 2 2 4 3 3" xfId="46413" xr:uid="{775FBD3C-D702-49C3-B207-39D60413FAA5}"/>
    <cellStyle name="Comma 2 2 2 2 2 4 3 4" xfId="51538" xr:uid="{7EB4CC36-55BB-410B-BE44-97519CBDB8F9}"/>
    <cellStyle name="Comma 2 2 2 2 2 4 3 5" xfId="54554" xr:uid="{52FD9CE8-B92E-4374-ADF2-45B1A41F73F7}"/>
    <cellStyle name="Comma 2 2 2 2 2 4 4" xfId="15138" xr:uid="{1B318126-B47C-4A5F-9C01-26484F470D91}"/>
    <cellStyle name="Comma 2 2 2 2 2 4 4 2" xfId="22677" xr:uid="{2DCF1E6B-7544-4BA2-8964-687CA2B223D7}"/>
    <cellStyle name="Comma 2 2 2 2 2 4 4 3" xfId="47713" xr:uid="{4BF4C5FA-B661-453F-8172-57307E89A9E6}"/>
    <cellStyle name="Comma 2 2 2 2 2 4 4 4" xfId="52015" xr:uid="{7214B823-058D-4ABC-9E1B-8543035DADEB}"/>
    <cellStyle name="Comma 2 2 2 2 2 4 4 5" xfId="55031" xr:uid="{DD66F60E-45F1-43DD-9E4D-C3CB134FCD10}"/>
    <cellStyle name="Comma 2 2 2 2 2 4 5" xfId="15625" xr:uid="{24849170-54BB-4972-A444-01393A6F2A55}"/>
    <cellStyle name="Comma 2 2 2 2 2 4 5 2" xfId="23154" xr:uid="{2660B9D5-766D-45FD-B2BD-815F87D23C54}"/>
    <cellStyle name="Comma 2 2 2 2 2 4 5 3" xfId="47550" xr:uid="{A07E5C24-B3AF-4C56-AC69-2202C5601745}"/>
    <cellStyle name="Comma 2 2 2 2 2 4 5 4" xfId="52492" xr:uid="{0F2A8386-01D8-4EB3-8DD0-A99666FB4D20}"/>
    <cellStyle name="Comma 2 2 2 2 2 4 5 5" xfId="55508" xr:uid="{6371B645-5257-4E55-AAC6-0590E64D9A23}"/>
    <cellStyle name="Comma 2 2 2 2 2 4 6" xfId="12613" xr:uid="{5D524775-CE51-4E74-A57E-C86440AD48E1}"/>
    <cellStyle name="Comma 2 2 2 2 2 4 6 2" xfId="47467" xr:uid="{4119900A-9E36-4E6D-BBA1-2678D27DB230}"/>
    <cellStyle name="Comma 2 2 2 2 2 4 6 3" xfId="51061" xr:uid="{3F22E74F-4CEB-4187-82DA-51194791A4E3}"/>
    <cellStyle name="Comma 2 2 2 2 2 4 6 4" xfId="54077" xr:uid="{287B5A27-B0EB-4363-9B69-5B2B0C9C26EE}"/>
    <cellStyle name="Comma 2 2 2 2 2 4 7" xfId="46056" xr:uid="{AADFDC8F-DBB9-4C2C-985D-E8145959D0F3}"/>
    <cellStyle name="Comma 2 2 2 2 2 4 8" xfId="49955" xr:uid="{8DE904A2-BA71-4CD7-AAE9-C4CA6D541B3A}"/>
    <cellStyle name="Comma 2 2 2 2 2 4 9" xfId="52971" xr:uid="{E37520D0-41AE-479B-A7C4-397917D9CD3C}"/>
    <cellStyle name="Comma 2 2 2 2 2 5" xfId="10239" xr:uid="{C3CFC777-3000-49DB-880E-25A43B39F62E}"/>
    <cellStyle name="Comma 2 2 2 2 2 5 2" xfId="14706" xr:uid="{747F9DA6-8F0C-48CB-BB6B-9D3D35EC393A}"/>
    <cellStyle name="Comma 2 2 2 2 2 5 2 2" xfId="22253" xr:uid="{4D42047A-BBDB-4999-BF85-BEF2628175AA}"/>
    <cellStyle name="Comma 2 2 2 2 2 5 2 3" xfId="46851" xr:uid="{6D8C8677-A18F-4C39-984D-7D653A8C3C1D}"/>
    <cellStyle name="Comma 2 2 2 2 2 5 2 4" xfId="51591" xr:uid="{DE9DC742-64E8-4D3E-8965-9DE7463EF210}"/>
    <cellStyle name="Comma 2 2 2 2 2 5 2 5" xfId="54607" xr:uid="{4EE2E687-29CD-4F1C-94B2-17417340D73A}"/>
    <cellStyle name="Comma 2 2 2 2 2 5 3" xfId="15191" xr:uid="{BB37FEA1-2494-420C-B533-268F32CEDB94}"/>
    <cellStyle name="Comma 2 2 2 2 2 5 3 2" xfId="22730" xr:uid="{5AE08140-A2A2-4088-84D2-0350A0AAD0E2}"/>
    <cellStyle name="Comma 2 2 2 2 2 5 3 3" xfId="48415" xr:uid="{CA49C0F7-3559-4873-B299-D5F683048A11}"/>
    <cellStyle name="Comma 2 2 2 2 2 5 3 4" xfId="52068" xr:uid="{419B18FD-FA8A-4E0D-9F96-B92624620A3C}"/>
    <cellStyle name="Comma 2 2 2 2 2 5 3 5" xfId="55084" xr:uid="{10B7AE44-B114-4355-858C-C225AAD19040}"/>
    <cellStyle name="Comma 2 2 2 2 2 5 4" xfId="15678" xr:uid="{2F0C533D-3258-4137-BF0E-81AFC32C505B}"/>
    <cellStyle name="Comma 2 2 2 2 2 5 4 2" xfId="23207" xr:uid="{6463E8A3-0ADB-480C-A987-B1746B220575}"/>
    <cellStyle name="Comma 2 2 2 2 2 5 4 3" xfId="46952" xr:uid="{73026AC1-06A1-4A7D-9952-1000E8A006E5}"/>
    <cellStyle name="Comma 2 2 2 2 2 5 4 4" xfId="52545" xr:uid="{64C15F0B-187F-4A60-83E2-D0941A51033D}"/>
    <cellStyle name="Comma 2 2 2 2 2 5 4 5" xfId="55561" xr:uid="{5BF937AA-A852-4B2E-A8DC-496105A53DF6}"/>
    <cellStyle name="Comma 2 2 2 2 2 5 5" xfId="12692" xr:uid="{B1DA0687-0720-436B-9B08-BABC7693DD43}"/>
    <cellStyle name="Comma 2 2 2 2 2 5 5 2" xfId="25064" xr:uid="{B5D26DF6-EDD3-4E02-8E4D-70AD5486F1C0}"/>
    <cellStyle name="Comma 2 2 2 2 2 5 5 3" xfId="51114" xr:uid="{7A7D35B5-4BE9-4BEA-A55D-FB727AD78B2E}"/>
    <cellStyle name="Comma 2 2 2 2 2 5 5 4" xfId="54130" xr:uid="{38AA09ED-79B4-4A8D-9B2F-81564C1E7211}"/>
    <cellStyle name="Comma 2 2 2 2 2 5 6" xfId="46070" xr:uid="{2254B413-0082-4CAA-8DC6-E42A687A00AF}"/>
    <cellStyle name="Comma 2 2 2 2 2 5 7" xfId="50008" xr:uid="{30DDCDEC-BB9B-45FD-99E4-111FCD00F212}"/>
    <cellStyle name="Comma 2 2 2 2 2 5 8" xfId="53024" xr:uid="{68414BA0-877F-4D58-B508-67BE282D9338}"/>
    <cellStyle name="Comma 2 2 2 2 2 6" xfId="10553" xr:uid="{66A51568-4155-4286-A218-F40F30F0D640}"/>
    <cellStyle name="Comma 2 2 2 2 2 6 2" xfId="14918" xr:uid="{929CC629-AA4A-44D1-B0F5-31C60618E5CE}"/>
    <cellStyle name="Comma 2 2 2 2 2 6 2 2" xfId="22465" xr:uid="{5DBE17C5-70FD-476C-941E-8A0E2C7767F8}"/>
    <cellStyle name="Comma 2 2 2 2 2 6 2 3" xfId="32522" xr:uid="{D14D000A-D07E-4E49-B26D-9293F3740068}"/>
    <cellStyle name="Comma 2 2 2 2 2 6 2 4" xfId="51803" xr:uid="{DC71A1C9-E69E-407F-B682-F8407D0AA95F}"/>
    <cellStyle name="Comma 2 2 2 2 2 6 2 5" xfId="54819" xr:uid="{D5D3F881-B19F-463C-AD91-16564B592310}"/>
    <cellStyle name="Comma 2 2 2 2 2 6 3" xfId="15403" xr:uid="{359D6F52-6DB2-4B2E-85E9-F80D21A4C8A6}"/>
    <cellStyle name="Comma 2 2 2 2 2 6 3 2" xfId="22942" xr:uid="{078D9B2C-B87A-484A-9235-14EEBB1B3BF0}"/>
    <cellStyle name="Comma 2 2 2 2 2 6 3 3" xfId="47058" xr:uid="{79C13ED4-30FB-4982-B4D6-F04E75E1C2A8}"/>
    <cellStyle name="Comma 2 2 2 2 2 6 3 4" xfId="52280" xr:uid="{4424CCC5-2B84-455C-A70C-DFEB409A5F1D}"/>
    <cellStyle name="Comma 2 2 2 2 2 6 3 5" xfId="55296" xr:uid="{03228C61-1E13-412A-BFE7-88A2685EFE30}"/>
    <cellStyle name="Comma 2 2 2 2 2 6 4" xfId="15891" xr:uid="{90185DC8-2A25-4974-959E-4611EBFB1ABF}"/>
    <cellStyle name="Comma 2 2 2 2 2 6 4 2" xfId="23419" xr:uid="{7DF16008-0AAA-468C-B757-01E9267C4CCD}"/>
    <cellStyle name="Comma 2 2 2 2 2 6 4 3" xfId="46601" xr:uid="{8C870BAF-90DD-4B33-8BE3-682B0D016328}"/>
    <cellStyle name="Comma 2 2 2 2 2 6 4 4" xfId="52757" xr:uid="{A5AABFFF-A322-4B5A-AE46-D106D3AE40CD}"/>
    <cellStyle name="Comma 2 2 2 2 2 6 4 5" xfId="55773" xr:uid="{9B6FB96C-57AF-484A-B8B2-4607D8380087}"/>
    <cellStyle name="Comma 2 2 2 2 2 6 5" xfId="13006" xr:uid="{6E81CCE5-B2B4-47AC-AED4-C6D53854875C}"/>
    <cellStyle name="Comma 2 2 2 2 2 6 5 2" xfId="32379" xr:uid="{4581F1F6-4D98-4260-9C37-753969E545FE}"/>
    <cellStyle name="Comma 2 2 2 2 2 6 5 3" xfId="51326" xr:uid="{C8627537-7545-48EC-8A96-76D0B3FCE033}"/>
    <cellStyle name="Comma 2 2 2 2 2 6 5 4" xfId="54342" xr:uid="{C0574B5D-088D-422F-97DF-33C34D9A42CE}"/>
    <cellStyle name="Comma 2 2 2 2 2 6 6" xfId="46147" xr:uid="{99BEAFB2-F8F4-4620-9998-97E2A0644AFF}"/>
    <cellStyle name="Comma 2 2 2 2 2 6 7" xfId="50220" xr:uid="{A4375C25-CCA4-43DC-AB6C-FB57FF7512E0}"/>
    <cellStyle name="Comma 2 2 2 2 2 6 8" xfId="53236" xr:uid="{0191B212-5F72-4944-8545-F488BC610865}"/>
    <cellStyle name="Comma 2 2 2 2 2 7" xfId="14494" xr:uid="{65CD0272-747F-4367-89AA-40082BEC0540}"/>
    <cellStyle name="Comma 2 2 2 2 2 7 2" xfId="22041" xr:uid="{662EDD2C-7CC6-4F6D-B00C-81F9195B5E0E}"/>
    <cellStyle name="Comma 2 2 2 2 2 7 3" xfId="24751" xr:uid="{68D3AF3C-9E5C-4D91-B40C-52BA69C2A28B}"/>
    <cellStyle name="Comma 2 2 2 2 2 7 4" xfId="51379" xr:uid="{AED98160-77B6-4CE0-9F32-F42252B60219}"/>
    <cellStyle name="Comma 2 2 2 2 2 7 5" xfId="54395" xr:uid="{157D5F30-681F-4101-AAC8-042E8EC37616}"/>
    <cellStyle name="Comma 2 2 2 2 2 8" xfId="14978" xr:uid="{5BD4A070-67FE-40E5-8F0E-FCD8B1F03A8A}"/>
    <cellStyle name="Comma 2 2 2 2 2 8 2" xfId="22518" xr:uid="{782EB7C7-3EFD-4EFC-96D2-3CCEF6C28B87}"/>
    <cellStyle name="Comma 2 2 2 2 2 8 3" xfId="24926" xr:uid="{D4849487-099D-41D4-9433-CC6869DBB64D}"/>
    <cellStyle name="Comma 2 2 2 2 2 8 4" xfId="51856" xr:uid="{A896F8EE-ACC6-4D55-A9E8-EE6B376EF199}"/>
    <cellStyle name="Comma 2 2 2 2 2 8 5" xfId="54872" xr:uid="{1D74A3DC-13BD-44B9-A389-617DAE6C24E3}"/>
    <cellStyle name="Comma 2 2 2 2 2 9" xfId="15465" xr:uid="{B64A9C67-09C6-4CF2-ADC8-E21A922F3387}"/>
    <cellStyle name="Comma 2 2 2 2 2 9 2" xfId="22995" xr:uid="{1341AB1B-8E3F-4BC6-A1E5-6EDE5859FF93}"/>
    <cellStyle name="Comma 2 2 2 2 2 9 3" xfId="47059" xr:uid="{6ED7F16C-208A-415F-BC02-EA1524F30C8F}"/>
    <cellStyle name="Comma 2 2 2 2 2 9 4" xfId="52333" xr:uid="{B2B468DF-DFA7-4433-BBCF-5E72110AE028}"/>
    <cellStyle name="Comma 2 2 2 2 2 9 5" xfId="55349" xr:uid="{4A92AB21-B618-44A2-B393-3F8C98702382}"/>
    <cellStyle name="Comma 2 2 2 2 3" xfId="9601" xr:uid="{BA9B6541-2BCE-4A54-9E9F-5BB14F5CE57A}"/>
    <cellStyle name="Comma 2 2 2 2 3 2" xfId="10293" xr:uid="{292C86D0-F0EE-4740-AD9E-D43B0D2EC3D7}"/>
    <cellStyle name="Comma 2 2 2 2 3 2 2" xfId="14754" xr:uid="{85F9CC31-B45B-4F1B-A0C7-9ACC715940DA}"/>
    <cellStyle name="Comma 2 2 2 2 3 2 2 2" xfId="22301" xr:uid="{586CD4D2-A5F9-4DF4-903A-3945D5C74CDC}"/>
    <cellStyle name="Comma 2 2 2 2 3 2 2 3" xfId="34042" xr:uid="{67894323-CED1-4D5C-AB94-6A4B84A1A168}"/>
    <cellStyle name="Comma 2 2 2 2 3 2 2 4" xfId="51639" xr:uid="{8B45D972-376A-4371-B3EF-1891332C824A}"/>
    <cellStyle name="Comma 2 2 2 2 3 2 2 5" xfId="54655" xr:uid="{4840EBE2-D63C-43E8-B376-A1E28B4FE8CC}"/>
    <cellStyle name="Comma 2 2 2 2 3 2 3" xfId="15239" xr:uid="{0F7DCC39-910A-4C04-BA25-76F05A004480}"/>
    <cellStyle name="Comma 2 2 2 2 3 2 3 2" xfId="22778" xr:uid="{21636499-C5A2-47DC-A644-3F612A26F450}"/>
    <cellStyle name="Comma 2 2 2 2 3 2 3 3" xfId="47128" xr:uid="{5D2345A4-580C-4976-99B5-DC8F572D52B5}"/>
    <cellStyle name="Comma 2 2 2 2 3 2 3 4" xfId="52116" xr:uid="{34E0336D-F97E-4049-AB05-8E2A079F7339}"/>
    <cellStyle name="Comma 2 2 2 2 3 2 3 5" xfId="55132" xr:uid="{791D61D8-872E-4CF4-8B1C-9C085EE9B51A}"/>
    <cellStyle name="Comma 2 2 2 2 3 2 4" xfId="15726" xr:uid="{794F5601-F486-4916-9CF2-06B632190F9F}"/>
    <cellStyle name="Comma 2 2 2 2 3 2 4 2" xfId="23255" xr:uid="{2F3CCE61-0693-4C7A-B451-2EACB44FD903}"/>
    <cellStyle name="Comma 2 2 2 2 3 2 4 3" xfId="47729" xr:uid="{1F88A7C6-50A2-453E-9AAB-0F5184143511}"/>
    <cellStyle name="Comma 2 2 2 2 3 2 4 4" xfId="52593" xr:uid="{FDE490D1-E9D6-4013-A787-30033C0F6807}"/>
    <cellStyle name="Comma 2 2 2 2 3 2 4 5" xfId="55609" xr:uid="{2515A06F-E40F-4B2A-B96C-51B8690B24CA}"/>
    <cellStyle name="Comma 2 2 2 2 3 2 5" xfId="12746" xr:uid="{FB9DBDA0-1BF8-4B6A-96C1-5571030131EC}"/>
    <cellStyle name="Comma 2 2 2 2 3 2 5 2" xfId="47367" xr:uid="{783D8C14-2C4D-415A-A1F5-E52E926F766F}"/>
    <cellStyle name="Comma 2 2 2 2 3 2 5 3" xfId="51162" xr:uid="{BBF974F6-09BC-46A5-AC06-CF59E912939C}"/>
    <cellStyle name="Comma 2 2 2 2 3 2 5 4" xfId="54178" xr:uid="{06A48745-AF1C-454F-A67F-9979F58CB21C}"/>
    <cellStyle name="Comma 2 2 2 2 3 2 6" xfId="46086" xr:uid="{DFC1BC07-B789-4808-B63E-3B7BF90C2FC6}"/>
    <cellStyle name="Comma 2 2 2 2 3 2 7" xfId="50056" xr:uid="{125ED242-B8F2-480A-9F1A-464056DAB4B6}"/>
    <cellStyle name="Comma 2 2 2 2 3 2 8" xfId="53072" xr:uid="{9141C87A-AF40-4F75-A454-E42CD14ADDA7}"/>
    <cellStyle name="Comma 2 2 2 2 3 3" xfId="14542" xr:uid="{9928C43E-4F8F-43B9-8A1E-AB14D60F262E}"/>
    <cellStyle name="Comma 2 2 2 2 3 3 2" xfId="22089" xr:uid="{6718C1A9-888A-46F7-80BF-387912A36FCE}"/>
    <cellStyle name="Comma 2 2 2 2 3 3 3" xfId="47827" xr:uid="{6ECF838B-85C0-49FC-B780-4F2E27950356}"/>
    <cellStyle name="Comma 2 2 2 2 3 3 4" xfId="51427" xr:uid="{606BAF1E-5706-4119-BF7C-5E2EC8C6A22C}"/>
    <cellStyle name="Comma 2 2 2 2 3 3 5" xfId="54443" xr:uid="{52DD6964-5203-4983-B976-D664B6D341FF}"/>
    <cellStyle name="Comma 2 2 2 2 3 4" xfId="15026" xr:uid="{4ABE2224-D3B5-4B61-9DBF-1D407E22FE40}"/>
    <cellStyle name="Comma 2 2 2 2 3 4 2" xfId="22566" xr:uid="{F23D9F18-8F98-4C5C-9589-56EDE83D369A}"/>
    <cellStyle name="Comma 2 2 2 2 3 4 3" xfId="47081" xr:uid="{3A8759D7-E4F4-4780-9152-33FB7C24BB0C}"/>
    <cellStyle name="Comma 2 2 2 2 3 4 4" xfId="51904" xr:uid="{FEEFEF69-4F61-482F-8C3E-B14910ED3248}"/>
    <cellStyle name="Comma 2 2 2 2 3 4 5" xfId="54920" xr:uid="{7329EB66-4F0A-42E2-A941-BDDEFF2555BA}"/>
    <cellStyle name="Comma 2 2 2 2 3 5" xfId="15513" xr:uid="{856C8EF2-D396-4FC8-B6E3-AD140AB3B153}"/>
    <cellStyle name="Comma 2 2 2 2 3 5 2" xfId="23043" xr:uid="{FD8F2115-40DE-47BA-BB98-7901D8C8A519}"/>
    <cellStyle name="Comma 2 2 2 2 3 5 3" xfId="47674" xr:uid="{138DA8A1-F3D3-4A08-9BFC-B048C6FE810D}"/>
    <cellStyle name="Comma 2 2 2 2 3 5 4" xfId="52381" xr:uid="{FE0CA76E-28AA-488E-BF80-CD4DD6D07037}"/>
    <cellStyle name="Comma 2 2 2 2 3 5 5" xfId="55397" xr:uid="{26BAED6D-3526-4FE5-8A69-4ADDD778E689}"/>
    <cellStyle name="Comma 2 2 2 2 3 6" xfId="12451" xr:uid="{B803E4D8-4A20-448F-8890-647C09EA74EE}"/>
    <cellStyle name="Comma 2 2 2 2 3 6 2" xfId="47818" xr:uid="{087A2A27-1A14-4006-8A1F-5A14F3BF382B}"/>
    <cellStyle name="Comma 2 2 2 2 3 6 3" xfId="50950" xr:uid="{952DDA13-B94B-4A89-B0EE-CC3DD5326C8B}"/>
    <cellStyle name="Comma 2 2 2 2 3 6 4" xfId="53966" xr:uid="{CA0D24F7-037F-4A0C-BC27-9B13EA58BD35}"/>
    <cellStyle name="Comma 2 2 2 2 3 7" xfId="46017" xr:uid="{212106EF-B201-4178-88B4-F6ED9A290968}"/>
    <cellStyle name="Comma 2 2 2 2 3 8" xfId="49844" xr:uid="{4FB9A4D4-131D-4F55-B141-D463AE5BA582}"/>
    <cellStyle name="Comma 2 2 2 2 3 9" xfId="52860" xr:uid="{E0C10286-7245-43CF-887F-5C0E09B6D39A}"/>
    <cellStyle name="Comma 2 2 2 2 4" xfId="10059" xr:uid="{63D3C008-48CC-47FE-9082-D64069A161C9}"/>
    <cellStyle name="Comma 2 2 2 2 4 2" xfId="10367" xr:uid="{C9CE8F7E-4EE9-4E24-919C-474E5B0BE6CE}"/>
    <cellStyle name="Comma 2 2 2 2 4 2 2" xfId="14807" xr:uid="{23D63635-6F5A-4943-8F7B-76BF2AEFD13F}"/>
    <cellStyle name="Comma 2 2 2 2 4 2 2 2" xfId="22354" xr:uid="{D1843139-784A-4C68-A0CF-A776C054C5E6}"/>
    <cellStyle name="Comma 2 2 2 2 4 2 2 3" xfId="46436" xr:uid="{8F133844-666B-4E85-A4A5-2358C8BC740A}"/>
    <cellStyle name="Comma 2 2 2 2 4 2 2 4" xfId="51692" xr:uid="{7DE3EB44-7CB4-4FAD-B0CF-67DDB8792EDC}"/>
    <cellStyle name="Comma 2 2 2 2 4 2 2 5" xfId="54708" xr:uid="{48546721-3B23-4CF1-9B8F-5481491C835F}"/>
    <cellStyle name="Comma 2 2 2 2 4 2 3" xfId="15292" xr:uid="{97BC0375-B5AD-4C93-91C0-9D4EDF8C54E7}"/>
    <cellStyle name="Comma 2 2 2 2 4 2 3 2" xfId="22831" xr:uid="{53FEC6B4-638F-4202-AA20-7FBE684B4C03}"/>
    <cellStyle name="Comma 2 2 2 2 4 2 3 3" xfId="46903" xr:uid="{475D8629-A450-4F36-AE1A-D19D510CBDB5}"/>
    <cellStyle name="Comma 2 2 2 2 4 2 3 4" xfId="52169" xr:uid="{BFB1C454-6CB0-407A-B11E-1A22A92AB197}"/>
    <cellStyle name="Comma 2 2 2 2 4 2 3 5" xfId="55185" xr:uid="{C6D0D33A-225F-4156-9AA6-35DCEB4B6DCF}"/>
    <cellStyle name="Comma 2 2 2 2 4 2 4" xfId="15779" xr:uid="{B076243D-DF65-4C8E-A36E-DB496D545FC3}"/>
    <cellStyle name="Comma 2 2 2 2 4 2 4 2" xfId="23308" xr:uid="{028AC26F-0D8C-4FC0-82F7-037325073073}"/>
    <cellStyle name="Comma 2 2 2 2 4 2 4 3" xfId="47948" xr:uid="{DCDE9C95-BCD6-4FC2-830E-2CEDD96A8246}"/>
    <cellStyle name="Comma 2 2 2 2 4 2 4 4" xfId="52646" xr:uid="{BBDBBE3B-BD5A-4ACC-959A-562548307AE9}"/>
    <cellStyle name="Comma 2 2 2 2 4 2 4 5" xfId="55662" xr:uid="{4C75A125-9A1B-4C3E-B831-D97F8138F356}"/>
    <cellStyle name="Comma 2 2 2 2 4 2 5" xfId="12820" xr:uid="{5F9FA642-489A-4237-88D8-D35DDD409F9C}"/>
    <cellStyle name="Comma 2 2 2 2 4 2 5 2" xfId="47324" xr:uid="{0FD8B71E-9A33-4BE5-B357-E32900DB4148}"/>
    <cellStyle name="Comma 2 2 2 2 4 2 5 3" xfId="51215" xr:uid="{807D928B-D780-4D30-A238-9E3592BDB012}"/>
    <cellStyle name="Comma 2 2 2 2 4 2 5 4" xfId="54231" xr:uid="{F663063E-9A4B-4877-B3B8-362863DF7E9A}"/>
    <cellStyle name="Comma 2 2 2 2 4 2 6" xfId="46102" xr:uid="{F454BFC1-89A8-42E3-88DA-9EF12D92EA75}"/>
    <cellStyle name="Comma 2 2 2 2 4 2 7" xfId="50109" xr:uid="{4B6AEC62-9DAD-4DFD-B0DA-5F9684519C8A}"/>
    <cellStyle name="Comma 2 2 2 2 4 2 8" xfId="53125" xr:uid="{FFF9C82C-D586-4DCB-80F3-DCEB43136446}"/>
    <cellStyle name="Comma 2 2 2 2 4 3" xfId="14595" xr:uid="{53CA5702-72B9-4F02-AA1E-3759B6163A79}"/>
    <cellStyle name="Comma 2 2 2 2 4 3 2" xfId="22142" xr:uid="{3337169A-B4D7-4DC6-A6B5-52BFC7621090}"/>
    <cellStyle name="Comma 2 2 2 2 4 3 3" xfId="32363" xr:uid="{2B4BA464-AEB8-42AF-A035-32796B4393DD}"/>
    <cellStyle name="Comma 2 2 2 2 4 3 4" xfId="51480" xr:uid="{BD5686ED-5DD5-47B0-B5A6-51F751126683}"/>
    <cellStyle name="Comma 2 2 2 2 4 3 5" xfId="54496" xr:uid="{D5740BEE-CAF5-4162-99FD-7E93A70D8CDE}"/>
    <cellStyle name="Comma 2 2 2 2 4 4" xfId="15080" xr:uid="{600E357B-42D0-48FA-B6AC-8621BE7D9615}"/>
    <cellStyle name="Comma 2 2 2 2 4 4 2" xfId="22619" xr:uid="{00EE5129-0827-408D-9453-C1F2A6015BCC}"/>
    <cellStyle name="Comma 2 2 2 2 4 4 3" xfId="47339" xr:uid="{E41CEC3B-60DA-4620-9E99-B106F62C51CC}"/>
    <cellStyle name="Comma 2 2 2 2 4 4 4" xfId="51957" xr:uid="{DBFD5C63-15D6-478C-B0D8-ED988C08FB99}"/>
    <cellStyle name="Comma 2 2 2 2 4 4 5" xfId="54973" xr:uid="{A3235CD2-E0D9-498C-ABAB-2A890BA3DE53}"/>
    <cellStyle name="Comma 2 2 2 2 4 5" xfId="15567" xr:uid="{70F1F37D-0333-4BFA-BE59-E5AE9EDD1349}"/>
    <cellStyle name="Comma 2 2 2 2 4 5 2" xfId="23096" xr:uid="{F4A2F9C5-79FE-48FD-B9D7-1F01F16A8D8D}"/>
    <cellStyle name="Comma 2 2 2 2 4 5 3" xfId="47196" xr:uid="{FF9B9EBB-DCA2-4617-9C50-2C726EE94008}"/>
    <cellStyle name="Comma 2 2 2 2 4 5 4" xfId="52434" xr:uid="{C379FB4D-7401-4A94-AB8A-813925B90C00}"/>
    <cellStyle name="Comma 2 2 2 2 4 5 5" xfId="55450" xr:uid="{F092273B-0A78-460B-B6D3-B12E29231CE5}"/>
    <cellStyle name="Comma 2 2 2 2 4 6" xfId="12518" xr:uid="{320DEE86-255C-48A0-A60A-FAAC4991248B}"/>
    <cellStyle name="Comma 2 2 2 2 4 6 2" xfId="32429" xr:uid="{0DB79412-9A39-45EC-A92C-89C44E658102}"/>
    <cellStyle name="Comma 2 2 2 2 4 6 3" xfId="51003" xr:uid="{5485D810-BA26-47C6-919B-31169F6EECB5}"/>
    <cellStyle name="Comma 2 2 2 2 4 6 4" xfId="54019" xr:uid="{9F74F681-BB4A-40A4-BE46-89FE6026021E}"/>
    <cellStyle name="Comma 2 2 2 2 4 7" xfId="32345" xr:uid="{449AC7E5-7A0D-49CA-B407-B55887D497E2}"/>
    <cellStyle name="Comma 2 2 2 2 4 8" xfId="49897" xr:uid="{7C58323E-3DEF-435C-9BFF-E0A3ADC32247}"/>
    <cellStyle name="Comma 2 2 2 2 4 9" xfId="52913" xr:uid="{AFAA12DC-30FA-42CB-832C-387C79EA96C7}"/>
    <cellStyle name="Comma 2 2 2 2 5" xfId="10133" xr:uid="{BCA0F7CE-9151-4EEA-92DC-E716A5A62523}"/>
    <cellStyle name="Comma 2 2 2 2 5 2" xfId="10447" xr:uid="{92238A4E-B31D-483A-803D-C8B925210587}"/>
    <cellStyle name="Comma 2 2 2 2 5 2 2" xfId="14860" xr:uid="{ECA7A2D5-EC87-4921-B907-A51C1DD16119}"/>
    <cellStyle name="Comma 2 2 2 2 5 2 2 2" xfId="22407" xr:uid="{03AE1F57-2F6B-4FE6-8185-E9DF5C0F4F51}"/>
    <cellStyle name="Comma 2 2 2 2 5 2 2 3" xfId="24938" xr:uid="{0CEBB27A-CA61-4077-86EB-E60E40AB1CCC}"/>
    <cellStyle name="Comma 2 2 2 2 5 2 2 4" xfId="51745" xr:uid="{38F82D44-F5CB-4E5A-87C2-BC040601F289}"/>
    <cellStyle name="Comma 2 2 2 2 5 2 2 5" xfId="54761" xr:uid="{8375CBB9-8529-44C6-8D3D-0D6382CE5A32}"/>
    <cellStyle name="Comma 2 2 2 2 5 2 3" xfId="15345" xr:uid="{FC9E2BA7-E7A6-461C-8098-A6F9350CC499}"/>
    <cellStyle name="Comma 2 2 2 2 5 2 3 2" xfId="22884" xr:uid="{A5E981A1-E91C-488E-ACC8-1C054307B2A3}"/>
    <cellStyle name="Comma 2 2 2 2 5 2 3 3" xfId="47546" xr:uid="{977AD06C-E5F6-4695-AA4B-2F62E63E2412}"/>
    <cellStyle name="Comma 2 2 2 2 5 2 3 4" xfId="52222" xr:uid="{09969718-FD70-4C74-BC8D-42268C3DB6C8}"/>
    <cellStyle name="Comma 2 2 2 2 5 2 3 5" xfId="55238" xr:uid="{0DFE0237-3A2D-4B17-9471-3FAFDD3CF6EA}"/>
    <cellStyle name="Comma 2 2 2 2 5 2 4" xfId="15832" xr:uid="{46542907-16FC-46A8-9724-5B0906731A0F}"/>
    <cellStyle name="Comma 2 2 2 2 5 2 4 2" xfId="23361" xr:uid="{29EC63D7-8274-417D-877D-9633549E9FEA}"/>
    <cellStyle name="Comma 2 2 2 2 5 2 4 3" xfId="46972" xr:uid="{2E4F6ABA-A392-42D3-B167-B26984642764}"/>
    <cellStyle name="Comma 2 2 2 2 5 2 4 4" xfId="52699" xr:uid="{A5B43C82-7931-4A11-B887-80E282FAF2C6}"/>
    <cellStyle name="Comma 2 2 2 2 5 2 4 5" xfId="55715" xr:uid="{4F6ECF82-80AD-4DA0-9957-FDEB4AB7EC22}"/>
    <cellStyle name="Comma 2 2 2 2 5 2 5" xfId="12900" xr:uid="{55E873BF-ACA8-4424-B41E-A90398E64FA2}"/>
    <cellStyle name="Comma 2 2 2 2 5 2 5 2" xfId="47173" xr:uid="{A616198E-209F-4285-AB55-569C30B46B59}"/>
    <cellStyle name="Comma 2 2 2 2 5 2 5 3" xfId="51268" xr:uid="{E2ABC7D3-86A9-4D41-A383-4F2E1BAE7F08}"/>
    <cellStyle name="Comma 2 2 2 2 5 2 5 4" xfId="54284" xr:uid="{0EA6610A-A198-4366-8D7F-9911FD898B54}"/>
    <cellStyle name="Comma 2 2 2 2 5 2 6" xfId="47586" xr:uid="{2F6882B2-0B25-4DA4-8A50-6B4B86EA2BAD}"/>
    <cellStyle name="Comma 2 2 2 2 5 2 7" xfId="50162" xr:uid="{63917856-D76A-4866-A168-492F49F65354}"/>
    <cellStyle name="Comma 2 2 2 2 5 2 8" xfId="53178" xr:uid="{CA3F191B-EE97-4881-9053-CC015425C081}"/>
    <cellStyle name="Comma 2 2 2 2 5 3" xfId="14648" xr:uid="{9B7FC070-1163-4500-98B3-BFC07F2A926C}"/>
    <cellStyle name="Comma 2 2 2 2 5 3 2" xfId="22195" xr:uid="{5DCEFD0D-8EE1-48BC-93C3-661413D6D49B}"/>
    <cellStyle name="Comma 2 2 2 2 5 3 3" xfId="47043" xr:uid="{BC96DF40-5162-41F0-8C20-86B455AEC7C3}"/>
    <cellStyle name="Comma 2 2 2 2 5 3 4" xfId="51533" xr:uid="{38E2D2C8-A1BF-4F63-B3D1-709CD800F5E0}"/>
    <cellStyle name="Comma 2 2 2 2 5 3 5" xfId="54549" xr:uid="{C69BB68E-A3AA-49B2-9390-8227AF6E0A78}"/>
    <cellStyle name="Comma 2 2 2 2 5 4" xfId="15133" xr:uid="{1C3F436F-8659-4A4B-97F0-9190A972844C}"/>
    <cellStyle name="Comma 2 2 2 2 5 4 2" xfId="22672" xr:uid="{064543FB-D34B-423E-92DC-CAD0BCE00094}"/>
    <cellStyle name="Comma 2 2 2 2 5 4 3" xfId="46487" xr:uid="{94B8EF02-F1B7-4ABC-BD8D-366CED555346}"/>
    <cellStyle name="Comma 2 2 2 2 5 4 4" xfId="52010" xr:uid="{A0BA3AD7-7ECE-45F5-8804-70C2D237DBE1}"/>
    <cellStyle name="Comma 2 2 2 2 5 4 5" xfId="55026" xr:uid="{6B2CFD9E-D227-4AFF-BDFA-35598DB20CCE}"/>
    <cellStyle name="Comma 2 2 2 2 5 5" xfId="15620" xr:uid="{42F85706-1F5C-4C84-AAB0-773914172B1F}"/>
    <cellStyle name="Comma 2 2 2 2 5 5 2" xfId="23149" xr:uid="{EB48E82F-E851-4E4E-AA2C-A3F67F1EA5FF}"/>
    <cellStyle name="Comma 2 2 2 2 5 5 3" xfId="46942" xr:uid="{DAB898D8-C1C7-4E5D-BB39-9F34C4E369D2}"/>
    <cellStyle name="Comma 2 2 2 2 5 5 4" xfId="52487" xr:uid="{026C0A70-2C60-44C1-BEED-B4B78D3D6E7E}"/>
    <cellStyle name="Comma 2 2 2 2 5 5 5" xfId="55503" xr:uid="{6817E224-EF67-4E56-82BE-86A47801AB7D}"/>
    <cellStyle name="Comma 2 2 2 2 5 6" xfId="12590" xr:uid="{50DDCA4E-491A-42AC-945E-CA77349C13E5}"/>
    <cellStyle name="Comma 2 2 2 2 5 6 2" xfId="47366" xr:uid="{E138A3D5-28F4-4B08-9B0A-69F529A71F17}"/>
    <cellStyle name="Comma 2 2 2 2 5 6 3" xfId="51056" xr:uid="{00A9EC46-5959-4EB2-9A1A-05B788FF0E2B}"/>
    <cellStyle name="Comma 2 2 2 2 5 6 4" xfId="54072" xr:uid="{178D40CF-5F18-4BD6-B139-C816B6147036}"/>
    <cellStyle name="Comma 2 2 2 2 5 7" xfId="47577" xr:uid="{B7B0F3FA-2DCE-408B-A714-C1BA55C6ECDA}"/>
    <cellStyle name="Comma 2 2 2 2 5 8" xfId="49950" xr:uid="{BEFDA9C6-6E4F-4B08-B930-45775C15AB51}"/>
    <cellStyle name="Comma 2 2 2 2 5 9" xfId="52966" xr:uid="{55470721-CB7A-421B-B767-46D8A95F345D}"/>
    <cellStyle name="Comma 2 2 2 2 6" xfId="10213" xr:uid="{E531A319-590F-4759-A4A6-50C33422283E}"/>
    <cellStyle name="Comma 2 2 2 2 6 2" xfId="14701" xr:uid="{3CF50FE4-7DCA-4278-8BE3-3A21A3BBE4B8}"/>
    <cellStyle name="Comma 2 2 2 2 6 2 2" xfId="22248" xr:uid="{9671F261-93D3-42AA-B64D-B72E24D076C3}"/>
    <cellStyle name="Comma 2 2 2 2 6 2 3" xfId="32362" xr:uid="{60A6E74A-AF70-4A38-BA9B-9EFF2B546E38}"/>
    <cellStyle name="Comma 2 2 2 2 6 2 4" xfId="51586" xr:uid="{03C5E1B9-B708-4AE7-BF1A-0A9C1B4C8562}"/>
    <cellStyle name="Comma 2 2 2 2 6 2 5" xfId="54602" xr:uid="{05B7D12A-350B-4B4B-A1BB-C698D164F9DD}"/>
    <cellStyle name="Comma 2 2 2 2 6 3" xfId="15186" xr:uid="{B4B260B3-2797-45B6-8616-2F611DBB2CA3}"/>
    <cellStyle name="Comma 2 2 2 2 6 3 2" xfId="22725" xr:uid="{9DA9AC2F-5040-452C-B8A3-72F7292DCCD1}"/>
    <cellStyle name="Comma 2 2 2 2 6 3 3" xfId="47977" xr:uid="{8B5BF4D5-0241-4AE2-BF39-963A12EE7023}"/>
    <cellStyle name="Comma 2 2 2 2 6 3 4" xfId="52063" xr:uid="{252017F1-6AA8-4FF3-A294-EA8720E60122}"/>
    <cellStyle name="Comma 2 2 2 2 6 3 5" xfId="55079" xr:uid="{7F5FE750-1A4C-4D05-BE89-01F2850B2327}"/>
    <cellStyle name="Comma 2 2 2 2 6 4" xfId="15673" xr:uid="{CC314527-4679-4C20-B1A3-FEABA78ED4DB}"/>
    <cellStyle name="Comma 2 2 2 2 6 4 2" xfId="23202" xr:uid="{A85D4818-68A2-4DE8-A8DD-EB5DF0857F40}"/>
    <cellStyle name="Comma 2 2 2 2 6 4 3" xfId="47500" xr:uid="{9B9567B4-9B35-4FCF-BB89-E70529F6A729}"/>
    <cellStyle name="Comma 2 2 2 2 6 4 4" xfId="52540" xr:uid="{26FFC0FB-195F-4F5E-B070-E561A089C576}"/>
    <cellStyle name="Comma 2 2 2 2 6 4 5" xfId="55556" xr:uid="{20AA1ACE-0AE5-4B09-B012-F7DD14BECB47}"/>
    <cellStyle name="Comma 2 2 2 2 6 5" xfId="12666" xr:uid="{AA76E586-57EE-4568-9C5A-791F5A55A189}"/>
    <cellStyle name="Comma 2 2 2 2 6 5 2" xfId="24215" xr:uid="{7E4925A7-AB49-44D9-9C22-3865AB7289A0}"/>
    <cellStyle name="Comma 2 2 2 2 6 5 3" xfId="51109" xr:uid="{FD3E979B-93E0-484E-8213-E48E7B435259}"/>
    <cellStyle name="Comma 2 2 2 2 6 5 4" xfId="54125" xr:uid="{53FB6E4A-61A0-41D6-9DFF-F28AF2C55B15}"/>
    <cellStyle name="Comma 2 2 2 2 6 6" xfId="47579" xr:uid="{54C3D5EF-04D6-46B5-A501-AE438CE11243}"/>
    <cellStyle name="Comma 2 2 2 2 6 7" xfId="50003" xr:uid="{070FF394-3C3E-46BC-9E95-059C74FA1A40}"/>
    <cellStyle name="Comma 2 2 2 2 6 8" xfId="53019" xr:uid="{3D5EE21F-C381-4511-9E2D-75E9C62D4F5C}"/>
    <cellStyle name="Comma 2 2 2 2 7" xfId="10527" xr:uid="{5382FF9B-52E4-4F62-9E37-D54D1D8D4F45}"/>
    <cellStyle name="Comma 2 2 2 2 7 2" xfId="14913" xr:uid="{0B225380-A7C3-4409-9FBB-67E4EEE9D46A}"/>
    <cellStyle name="Comma 2 2 2 2 7 2 2" xfId="22460" xr:uid="{B7B09CE1-556B-4E3A-B975-BCC0F14B50B4}"/>
    <cellStyle name="Comma 2 2 2 2 7 2 3" xfId="47861" xr:uid="{1653051E-4928-4223-AA77-F54239ED70B3}"/>
    <cellStyle name="Comma 2 2 2 2 7 2 4" xfId="51798" xr:uid="{9A555018-4BE1-4956-B1A5-C4645F48AD68}"/>
    <cellStyle name="Comma 2 2 2 2 7 2 5" xfId="54814" xr:uid="{09803405-1F5C-47B8-8093-89C231DB1A2D}"/>
    <cellStyle name="Comma 2 2 2 2 7 3" xfId="15398" xr:uid="{7FF2AEC8-5DAC-44B1-894C-3999FC0FCACC}"/>
    <cellStyle name="Comma 2 2 2 2 7 3 2" xfId="22937" xr:uid="{D802B28A-6788-488A-BB6B-41E75E1D536B}"/>
    <cellStyle name="Comma 2 2 2 2 7 3 3" xfId="46917" xr:uid="{13FB987F-B9B2-4741-9EF5-4358040715EA}"/>
    <cellStyle name="Comma 2 2 2 2 7 3 4" xfId="52275" xr:uid="{13F810D2-DFE0-42CD-BCBA-4EEE507D50B8}"/>
    <cellStyle name="Comma 2 2 2 2 7 3 5" xfId="55291" xr:uid="{52ACFBE7-3416-4AD0-8DE3-62FCB7409874}"/>
    <cellStyle name="Comma 2 2 2 2 7 4" xfId="15885" xr:uid="{194DC933-96A0-4C7B-A1AE-3743EF1770C1}"/>
    <cellStyle name="Comma 2 2 2 2 7 4 2" xfId="23414" xr:uid="{F72B1899-16E6-4970-86EC-65DEE2311002}"/>
    <cellStyle name="Comma 2 2 2 2 7 4 3" xfId="47419" xr:uid="{BC6C86DC-26CD-44B9-8D0C-EDB3FDBFDCDA}"/>
    <cellStyle name="Comma 2 2 2 2 7 4 4" xfId="52752" xr:uid="{B0C94EBE-6620-450F-B981-90E2417961F8}"/>
    <cellStyle name="Comma 2 2 2 2 7 4 5" xfId="55768" xr:uid="{DC4A04EB-5378-4F9D-A68B-8077F9485C1E}"/>
    <cellStyle name="Comma 2 2 2 2 7 5" xfId="12980" xr:uid="{4646C968-3280-4EC7-88E0-6F162B74AB0F}"/>
    <cellStyle name="Comma 2 2 2 2 7 5 2" xfId="34143" xr:uid="{069DD924-6F40-4237-812E-14FBDBD6D41F}"/>
    <cellStyle name="Comma 2 2 2 2 7 5 3" xfId="51321" xr:uid="{012236C0-1EBE-455E-9647-7BF84249BB01}"/>
    <cellStyle name="Comma 2 2 2 2 7 5 4" xfId="54337" xr:uid="{E5F8E963-A17C-46E6-B72B-23FBF2AB60FA}"/>
    <cellStyle name="Comma 2 2 2 2 7 6" xfId="47886" xr:uid="{9F903D32-DA9B-4ACC-95E7-B13E9B2FD7D6}"/>
    <cellStyle name="Comma 2 2 2 2 7 7" xfId="50215" xr:uid="{5B524DE3-7F5C-4062-BDEB-297BF90F53F8}"/>
    <cellStyle name="Comma 2 2 2 2 7 8" xfId="53231" xr:uid="{DE02C82D-B1BD-4B01-A4A6-E7ED4D92C398}"/>
    <cellStyle name="Comma 2 2 2 2 8" xfId="14489" xr:uid="{D12D6E51-25E6-4A14-8FF9-505279C39686}"/>
    <cellStyle name="Comma 2 2 2 2 8 2" xfId="22036" xr:uid="{62143C16-72EF-47F0-AFED-95E83D16357E}"/>
    <cellStyle name="Comma 2 2 2 2 8 3" xfId="24674" xr:uid="{C2135C45-4BC9-4E47-A733-D04DDB82270C}"/>
    <cellStyle name="Comma 2 2 2 2 8 4" xfId="51374" xr:uid="{3B15D0CF-B4A3-4EC3-89E5-7A801980AC2A}"/>
    <cellStyle name="Comma 2 2 2 2 8 5" xfId="54390" xr:uid="{FB40C4EB-6172-4DC5-A31C-6967ADF871A6}"/>
    <cellStyle name="Comma 2 2 2 2 9" xfId="14969" xr:uid="{670A6D72-AF6B-4AB0-85A3-21DE02C8CC6A}"/>
    <cellStyle name="Comma 2 2 2 2 9 2" xfId="22513" xr:uid="{EE4B1962-7451-474A-A321-43927B21B84D}"/>
    <cellStyle name="Comma 2 2 2 2 9 3" xfId="47633" xr:uid="{E6ADC56F-AE44-443E-AA90-18763D9CCB3B}"/>
    <cellStyle name="Comma 2 2 2 2 9 4" xfId="51851" xr:uid="{1F829EB8-4CD5-4BAD-BEA0-ADAC2833AC4E}"/>
    <cellStyle name="Comma 2 2 2 2 9 5" xfId="54867" xr:uid="{2C235E22-BFD7-457D-8A65-5F35270A505E}"/>
    <cellStyle name="Comma 2 2 2 3" xfId="4526" xr:uid="{F03A6F21-E65C-4FBC-89D5-98AB9DAFB4C2}"/>
    <cellStyle name="Comma 2 2 2 3 10" xfId="11494" xr:uid="{CDA3880D-923C-4E33-9763-33C163E8E2D7}"/>
    <cellStyle name="Comma 2 2 2 3 10 2" xfId="21698" xr:uid="{134B3B92-55CC-45F7-BA11-52CF84B54236}"/>
    <cellStyle name="Comma 2 2 2 3 10 3" xfId="46654" xr:uid="{AB77F849-9A3D-4DEE-94B3-FF6C3C4F0AEA}"/>
    <cellStyle name="Comma 2 2 2 3 10 4" xfId="50718" xr:uid="{02B7CC67-7684-4C86-8027-8AC699B078E8}"/>
    <cellStyle name="Comma 2 2 2 3 10 5" xfId="53734" xr:uid="{24624FB2-435C-43B7-BD50-0049FD347BA0}"/>
    <cellStyle name="Comma 2 2 2 3 11" xfId="23702" xr:uid="{68CF3884-8928-4934-84D9-43A8DF50E41C}"/>
    <cellStyle name="Comma 2 2 2 3 12" xfId="48595" xr:uid="{F0ED69A0-AC65-42A1-B56F-A207DCEB03B7}"/>
    <cellStyle name="Comma 2 2 2 3 13" xfId="49505" xr:uid="{9D034DF5-1275-432A-97EF-B24EDBC916F4}"/>
    <cellStyle name="Comma 2 2 2 3 14" xfId="49797" xr:uid="{442C3608-6BE0-4100-B66A-D612C5479AAD}"/>
    <cellStyle name="Comma 2 2 2 3 15" xfId="52812" xr:uid="{55BE50BA-FC75-4D03-AA2F-3D77A8972BEB}"/>
    <cellStyle name="Comma 2 2 2 3 16" xfId="17638" xr:uid="{069A48AF-A909-41CF-AC79-D1F5BA972F5F}"/>
    <cellStyle name="Comma 2 2 2 3 17" xfId="8920" xr:uid="{569FA342-ADB0-4568-A738-B45BF3B05155}"/>
    <cellStyle name="Comma 2 2 2 3 2" xfId="10007" xr:uid="{143CA32F-053E-4AC8-8819-066CDC10FFD6}"/>
    <cellStyle name="Comma 2 2 2 3 2 2" xfId="10315" xr:uid="{BE221390-0148-4659-92DC-5A08FB75DF5E}"/>
    <cellStyle name="Comma 2 2 2 3 2 2 2" xfId="14760" xr:uid="{48D90780-FF0B-47EC-BDC0-DC51585F0A38}"/>
    <cellStyle name="Comma 2 2 2 3 2 2 2 2" xfId="22307" xr:uid="{2275C2F1-A05D-4CAF-BC8F-BB71ED80273A}"/>
    <cellStyle name="Comma 2 2 2 3 2 2 2 3" xfId="24951" xr:uid="{6D3AC3B2-3466-41F6-8D36-AAC9B269EE2C}"/>
    <cellStyle name="Comma 2 2 2 3 2 2 2 4" xfId="51645" xr:uid="{0D2B718E-3ABE-4D74-99F5-D64C274FC44C}"/>
    <cellStyle name="Comma 2 2 2 3 2 2 2 5" xfId="54661" xr:uid="{10EBC20C-B88B-4F89-9878-2F59FFB6278D}"/>
    <cellStyle name="Comma 2 2 2 3 2 2 3" xfId="15245" xr:uid="{8845F029-FFD8-4C31-850B-17A030A799C9}"/>
    <cellStyle name="Comma 2 2 2 3 2 2 3 2" xfId="22784" xr:uid="{F9FF6EFC-4DAE-455B-9B6A-DECD151CF075}"/>
    <cellStyle name="Comma 2 2 2 3 2 2 3 3" xfId="46502" xr:uid="{5F163680-DD0C-4741-B283-BF391B479EEE}"/>
    <cellStyle name="Comma 2 2 2 3 2 2 3 4" xfId="52122" xr:uid="{3725FDEC-6AD1-44CE-AD5D-BFC7B9E0C3A9}"/>
    <cellStyle name="Comma 2 2 2 3 2 2 3 5" xfId="55138" xr:uid="{EAE567D0-4EBF-4DA6-A290-438BEA35F81D}"/>
    <cellStyle name="Comma 2 2 2 3 2 2 4" xfId="15732" xr:uid="{979AF9CD-6710-4BC8-B444-2B426DAD3021}"/>
    <cellStyle name="Comma 2 2 2 3 2 2 4 2" xfId="23261" xr:uid="{EF363C67-056E-4C9C-9AB2-4DD9A75780B0}"/>
    <cellStyle name="Comma 2 2 2 3 2 2 4 3" xfId="47985" xr:uid="{713DF0F8-F725-44FA-A61D-736F2382CEB1}"/>
    <cellStyle name="Comma 2 2 2 3 2 2 4 4" xfId="52599" xr:uid="{3D75D818-AAF5-4FD8-B7F4-978CF9318246}"/>
    <cellStyle name="Comma 2 2 2 3 2 2 4 5" xfId="55615" xr:uid="{302DCA13-1BFF-47DE-88E3-5A30BDAF273D}"/>
    <cellStyle name="Comma 2 2 2 3 2 2 5" xfId="12768" xr:uid="{B862210B-43E0-4C8E-A505-E3597E4BB8BF}"/>
    <cellStyle name="Comma 2 2 2 3 2 2 5 2" xfId="47229" xr:uid="{67DFF9C3-AD51-4A4F-8FC7-A35287DD23C5}"/>
    <cellStyle name="Comma 2 2 2 3 2 2 5 3" xfId="51168" xr:uid="{F0C48CEA-B61E-4EB0-BC0E-46653D58F05A}"/>
    <cellStyle name="Comma 2 2 2 3 2 2 5 4" xfId="54184" xr:uid="{244A0BA1-A42F-4E09-9B1F-3E1A9EE300B4}"/>
    <cellStyle name="Comma 2 2 2 3 2 2 6" xfId="25372" xr:uid="{D6CDB3BA-91FA-4811-8A61-A460E096251B}"/>
    <cellStyle name="Comma 2 2 2 3 2 2 7" xfId="50062" xr:uid="{4D009826-1722-4BCE-840A-0528927D213F}"/>
    <cellStyle name="Comma 2 2 2 3 2 2 8" xfId="53078" xr:uid="{005F6E13-C168-4478-8D56-66C273D2CD76}"/>
    <cellStyle name="Comma 2 2 2 3 2 3" xfId="14548" xr:uid="{35CD7512-FF84-45E9-8919-93FC0929158C}"/>
    <cellStyle name="Comma 2 2 2 3 2 3 2" xfId="22095" xr:uid="{83DF0469-1D57-47F0-8047-E910BDC52487}"/>
    <cellStyle name="Comma 2 2 2 3 2 3 3" xfId="48403" xr:uid="{DF2EE60C-19AE-4D6A-A544-6CFF95444F29}"/>
    <cellStyle name="Comma 2 2 2 3 2 3 4" xfId="51433" xr:uid="{6C00241A-87AD-4711-BD70-345679C44B5D}"/>
    <cellStyle name="Comma 2 2 2 3 2 3 5" xfId="54449" xr:uid="{CCEE6032-CB20-4078-B29E-307A30EA9343}"/>
    <cellStyle name="Comma 2 2 2 3 2 4" xfId="15032" xr:uid="{4E58589B-862F-4052-B723-8BDC639445C4}"/>
    <cellStyle name="Comma 2 2 2 3 2 4 2" xfId="22572" xr:uid="{57877491-37D5-490C-B9CF-F22AFD5A74FD}"/>
    <cellStyle name="Comma 2 2 2 3 2 4 3" xfId="47417" xr:uid="{E27BAF1F-9923-4149-874D-9018733B25B1}"/>
    <cellStyle name="Comma 2 2 2 3 2 4 4" xfId="51910" xr:uid="{692130AA-E861-45FC-821A-DDD06C75EFAA}"/>
    <cellStyle name="Comma 2 2 2 3 2 4 5" xfId="54926" xr:uid="{DBDBFDA0-F8A1-4391-86D2-2399DAFC344C}"/>
    <cellStyle name="Comma 2 2 2 3 2 5" xfId="15519" xr:uid="{56181DDA-F88D-4FB5-95AE-712B5C86E84F}"/>
    <cellStyle name="Comma 2 2 2 3 2 5 2" xfId="23049" xr:uid="{EA61A2CD-1780-4149-A9D3-C266AC8032AC}"/>
    <cellStyle name="Comma 2 2 2 3 2 5 3" xfId="47111" xr:uid="{AB657D7A-ED81-4A0B-859A-EED4C12248E9}"/>
    <cellStyle name="Comma 2 2 2 3 2 5 4" xfId="52387" xr:uid="{7B693DBF-C0DD-43D6-9171-8D1E1240CAE0}"/>
    <cellStyle name="Comma 2 2 2 3 2 5 5" xfId="55403" xr:uid="{52F0E1D5-7C83-48D4-9EA3-7A36B5A2A8E8}"/>
    <cellStyle name="Comma 2 2 2 3 2 6" xfId="12467" xr:uid="{90DE33EB-C59F-46DE-A8C4-F20C8B9EC871}"/>
    <cellStyle name="Comma 2 2 2 3 2 6 2" xfId="34519" xr:uid="{6A678F25-23F4-450F-BDCA-9C36903B0280}"/>
    <cellStyle name="Comma 2 2 2 3 2 6 3" xfId="50956" xr:uid="{E69B3BE8-7A2A-4108-894D-F84FD30E72FD}"/>
    <cellStyle name="Comma 2 2 2 3 2 6 4" xfId="53972" xr:uid="{6408C400-2B6F-4680-B97D-2A2DC85BDAA4}"/>
    <cellStyle name="Comma 2 2 2 3 2 7" xfId="46019" xr:uid="{EA6CB972-BF6F-48E5-8F2A-9A3FEBE95B48}"/>
    <cellStyle name="Comma 2 2 2 3 2 8" xfId="49850" xr:uid="{B0929AB3-64FC-4DCF-BE57-98FCD65F4A4D}"/>
    <cellStyle name="Comma 2 2 2 3 2 9" xfId="52866" xr:uid="{11F52959-7BAA-4151-853D-EBF1A7D428EB}"/>
    <cellStyle name="Comma 2 2 2 3 3" xfId="10081" xr:uid="{4DDC0DCE-6484-4D57-A5ED-617D315CA6ED}"/>
    <cellStyle name="Comma 2 2 2 3 3 2" xfId="10394" xr:uid="{2661B35B-8EA9-4FF8-A90E-F262E32DD8EA}"/>
    <cellStyle name="Comma 2 2 2 3 3 2 2" xfId="14813" xr:uid="{46C78F71-968E-4D1F-B2F1-BB1890B16F94}"/>
    <cellStyle name="Comma 2 2 2 3 3 2 2 2" xfId="22360" xr:uid="{90701CB0-C5FA-4D94-8F74-F5706A3B584D}"/>
    <cellStyle name="Comma 2 2 2 3 3 2 2 3" xfId="46437" xr:uid="{75B0D286-EEEF-4CE6-968B-89A1BB8A5185}"/>
    <cellStyle name="Comma 2 2 2 3 3 2 2 4" xfId="51698" xr:uid="{878BC221-C715-4218-AE11-A2EB9DB14C73}"/>
    <cellStyle name="Comma 2 2 2 3 3 2 2 5" xfId="54714" xr:uid="{879E2A98-404F-45C4-ACFF-A3AA0C29E5EB}"/>
    <cellStyle name="Comma 2 2 2 3 3 2 3" xfId="15298" xr:uid="{1D51749E-8005-4B75-BFA1-5C268B9AF8DE}"/>
    <cellStyle name="Comma 2 2 2 3 3 2 3 2" xfId="22837" xr:uid="{1A30E3A4-01B9-478A-808F-9379E891B681}"/>
    <cellStyle name="Comma 2 2 2 3 3 2 3 3" xfId="46904" xr:uid="{65A87EC1-083B-4B23-9048-381CDB6AEB6A}"/>
    <cellStyle name="Comma 2 2 2 3 3 2 3 4" xfId="52175" xr:uid="{086A5FE1-36E8-4C5C-B9C8-C61382B90660}"/>
    <cellStyle name="Comma 2 2 2 3 3 2 3 5" xfId="55191" xr:uid="{AC3F3B6C-D86C-4C33-9A04-61CB73EEA76D}"/>
    <cellStyle name="Comma 2 2 2 3 3 2 4" xfId="15785" xr:uid="{20D32EE1-A07D-4DA4-8834-6E38860EBE2E}"/>
    <cellStyle name="Comma 2 2 2 3 3 2 4 2" xfId="23314" xr:uid="{E2E2BE6B-7CF3-4ECD-B71D-9E28F453DA5E}"/>
    <cellStyle name="Comma 2 2 2 3 3 2 4 3" xfId="48522" xr:uid="{9593F96B-8186-4C5D-85C8-C9C2742CA156}"/>
    <cellStyle name="Comma 2 2 2 3 3 2 4 4" xfId="52652" xr:uid="{2366DF62-89D1-46BC-B8D6-5C8775CF12E5}"/>
    <cellStyle name="Comma 2 2 2 3 3 2 4 5" xfId="55668" xr:uid="{429D47E9-5F7A-4C81-BE21-E7A3C447D085}"/>
    <cellStyle name="Comma 2 2 2 3 3 2 5" xfId="12847" xr:uid="{D252DBFD-18E5-46BD-A838-1A493304A044}"/>
    <cellStyle name="Comma 2 2 2 3 3 2 5 2" xfId="46995" xr:uid="{CA4CD0FF-41BD-489F-A9FE-7624480BF945}"/>
    <cellStyle name="Comma 2 2 2 3 3 2 5 3" xfId="51221" xr:uid="{5C3ACCDC-D630-4435-9608-31B3FDD885B9}"/>
    <cellStyle name="Comma 2 2 2 3 3 2 5 4" xfId="54237" xr:uid="{AB780261-52F5-44C0-9E25-C752F7E349F4}"/>
    <cellStyle name="Comma 2 2 2 3 3 2 6" xfId="46105" xr:uid="{08299C50-B4A6-4302-ADF1-2E22EBDA3BA6}"/>
    <cellStyle name="Comma 2 2 2 3 3 2 7" xfId="50115" xr:uid="{64651A7A-39FF-4CCC-A67D-F4F16310A2B0}"/>
    <cellStyle name="Comma 2 2 2 3 3 2 8" xfId="53131" xr:uid="{E5EF0392-C441-421B-A1F6-33BE4E2C0970}"/>
    <cellStyle name="Comma 2 2 2 3 3 3" xfId="14601" xr:uid="{2EDE0DFF-6112-4428-BE84-F0F2E796E46A}"/>
    <cellStyle name="Comma 2 2 2 3 3 3 2" xfId="22148" xr:uid="{98E54E0B-ADA1-4478-9BB2-FE81FBE4879E}"/>
    <cellStyle name="Comma 2 2 2 3 3 3 3" xfId="48143" xr:uid="{6A517BC3-7062-472A-B5BC-42B18C86E32B}"/>
    <cellStyle name="Comma 2 2 2 3 3 3 4" xfId="51486" xr:uid="{5D8E144F-83DF-43EC-8F1E-E19F91616AB6}"/>
    <cellStyle name="Comma 2 2 2 3 3 3 5" xfId="54502" xr:uid="{4B3CCFB1-A82D-4123-9B1A-CD40A4ABF976}"/>
    <cellStyle name="Comma 2 2 2 3 3 4" xfId="15086" xr:uid="{91D5E2A7-1071-4AFA-BCE8-32F315C85632}"/>
    <cellStyle name="Comma 2 2 2 3 3 4 2" xfId="22625" xr:uid="{8C0B504E-E828-4262-A4AD-164E6FF7DA61}"/>
    <cellStyle name="Comma 2 2 2 3 3 4 3" xfId="47935" xr:uid="{FEEE5855-C953-4049-83B8-6EDCE820C338}"/>
    <cellStyle name="Comma 2 2 2 3 3 4 4" xfId="51963" xr:uid="{3A8E3800-EDB6-4E49-9F30-F17750DCD680}"/>
    <cellStyle name="Comma 2 2 2 3 3 4 5" xfId="54979" xr:uid="{87FF68A8-D41D-4A60-9F40-031FAA42B740}"/>
    <cellStyle name="Comma 2 2 2 3 3 5" xfId="15573" xr:uid="{11AF99CC-B5AE-4281-975F-F4CD332D8189}"/>
    <cellStyle name="Comma 2 2 2 3 3 5 2" xfId="23102" xr:uid="{CEB5AEDE-2355-45DF-9229-06C955630FAE}"/>
    <cellStyle name="Comma 2 2 2 3 3 5 3" xfId="47789" xr:uid="{5793B20F-5BD2-479A-BFEF-F2026B75237B}"/>
    <cellStyle name="Comma 2 2 2 3 3 5 4" xfId="52440" xr:uid="{D10A1085-0ED0-4F36-BA3F-71D6543A72DA}"/>
    <cellStyle name="Comma 2 2 2 3 3 5 5" xfId="55456" xr:uid="{DF32561A-A071-4A3D-9935-31C43E28E1E1}"/>
    <cellStyle name="Comma 2 2 2 3 3 6" xfId="12538" xr:uid="{F61C55D9-AE43-410A-9B14-82196454336B}"/>
    <cellStyle name="Comma 2 2 2 3 3 6 2" xfId="46766" xr:uid="{96E497FE-3848-47C9-AAFD-D4AC85515956}"/>
    <cellStyle name="Comma 2 2 2 3 3 6 3" xfId="51009" xr:uid="{1206E84F-FB38-4AB5-8747-2CBD34CF8D76}"/>
    <cellStyle name="Comma 2 2 2 3 3 6 4" xfId="54025" xr:uid="{52C5E97D-5DAD-4CE4-BD71-0B0241C61D32}"/>
    <cellStyle name="Comma 2 2 2 3 3 7" xfId="46036" xr:uid="{9FB5111E-8E25-42B6-AF99-31EF18733949}"/>
    <cellStyle name="Comma 2 2 2 3 3 8" xfId="49903" xr:uid="{39649D07-925E-4BDC-AF18-8AFB2C3D6253}"/>
    <cellStyle name="Comma 2 2 2 3 3 9" xfId="52919" xr:uid="{1E66F56D-9920-47E7-88A7-CCCDB18529D8}"/>
    <cellStyle name="Comma 2 2 2 3 4" xfId="10160" xr:uid="{956F4867-0C23-4713-969E-E342309E47DF}"/>
    <cellStyle name="Comma 2 2 2 3 4 2" xfId="10474" xr:uid="{E0A39435-C8DF-4172-9B33-39DE84CB4A7B}"/>
    <cellStyle name="Comma 2 2 2 3 4 2 2" xfId="14866" xr:uid="{0A674214-F7C3-464B-82E3-1A7141ECFE39}"/>
    <cellStyle name="Comma 2 2 2 3 4 2 2 2" xfId="22413" xr:uid="{F0ED6C1F-1828-4A3B-BDD7-9E6811D864D9}"/>
    <cellStyle name="Comma 2 2 2 3 4 2 2 3" xfId="24937" xr:uid="{CD315C5B-58A2-4A47-B15C-CA632D7639D6}"/>
    <cellStyle name="Comma 2 2 2 3 4 2 2 4" xfId="51751" xr:uid="{8ECB2BA6-D5F4-4846-813F-8CA72E1FA97E}"/>
    <cellStyle name="Comma 2 2 2 3 4 2 2 5" xfId="54767" xr:uid="{0C241A63-7DF0-4CB3-9739-83CB8FFD941C}"/>
    <cellStyle name="Comma 2 2 2 3 4 2 3" xfId="15351" xr:uid="{2F8AD938-9528-4C51-A87D-3EC54B8D0692}"/>
    <cellStyle name="Comma 2 2 2 3 4 2 3 2" xfId="22890" xr:uid="{BBED0C13-241D-4AC1-93D4-67B732175CDB}"/>
    <cellStyle name="Comma 2 2 2 3 4 2 3 3" xfId="48127" xr:uid="{75AED857-ED17-4D61-9905-C18361B86443}"/>
    <cellStyle name="Comma 2 2 2 3 4 2 3 4" xfId="52228" xr:uid="{1DFC658A-CF09-4F9F-8599-A5FF19C8A2EC}"/>
    <cellStyle name="Comma 2 2 2 3 4 2 3 5" xfId="55244" xr:uid="{16BCA587-E95D-41BD-B363-FD6346664752}"/>
    <cellStyle name="Comma 2 2 2 3 4 2 4" xfId="15838" xr:uid="{3AB39F75-0B66-4E34-A7A5-2896C509C105}"/>
    <cellStyle name="Comma 2 2 2 3 4 2 4 2" xfId="23367" xr:uid="{0866B2E1-2E3D-4DB8-B5AA-DCE15481DBE0}"/>
    <cellStyle name="Comma 2 2 2 3 4 2 4 3" xfId="48027" xr:uid="{413D6943-D76E-44D2-B873-9937526D1303}"/>
    <cellStyle name="Comma 2 2 2 3 4 2 4 4" xfId="52705" xr:uid="{2C1019D8-71A0-4F07-B1FA-65F5F7C8E2D1}"/>
    <cellStyle name="Comma 2 2 2 3 4 2 4 5" xfId="55721" xr:uid="{6071986A-4576-47F9-B7AA-A12048C35C69}"/>
    <cellStyle name="Comma 2 2 2 3 4 2 5" xfId="12927" xr:uid="{326CD07B-8C07-4AB0-8113-3BB46B30B13F}"/>
    <cellStyle name="Comma 2 2 2 3 4 2 5 2" xfId="46371" xr:uid="{F61AB77A-DB38-485F-8792-8CC1EC7E411D}"/>
    <cellStyle name="Comma 2 2 2 3 4 2 5 3" xfId="51274" xr:uid="{832FD27C-7979-4F0A-A1F1-929E695A0B56}"/>
    <cellStyle name="Comma 2 2 2 3 4 2 5 4" xfId="54290" xr:uid="{68B047DF-4ECE-401E-B7CD-0C648220A5B6}"/>
    <cellStyle name="Comma 2 2 2 3 4 2 6" xfId="46125" xr:uid="{5FDABE47-F038-45DF-A6A5-9C7419D0D650}"/>
    <cellStyle name="Comma 2 2 2 3 4 2 7" xfId="50168" xr:uid="{179B2D62-2CAD-4189-B86B-D1980116E4D6}"/>
    <cellStyle name="Comma 2 2 2 3 4 2 8" xfId="53184" xr:uid="{287E9CD7-E0E4-4A76-8C75-3443E9A14B89}"/>
    <cellStyle name="Comma 2 2 2 3 4 3" xfId="14654" xr:uid="{78EB5EDE-CA01-4423-8061-B7F7D26D1671}"/>
    <cellStyle name="Comma 2 2 2 3 4 3 2" xfId="22201" xr:uid="{A53889AB-2E0C-4F5E-AC35-9DFE89A3AE65}"/>
    <cellStyle name="Comma 2 2 2 3 4 3 3" xfId="34057" xr:uid="{BD816400-B4E5-46AF-867E-2E4668587328}"/>
    <cellStyle name="Comma 2 2 2 3 4 3 4" xfId="51539" xr:uid="{74487912-B742-481C-9EE9-71C64D089261}"/>
    <cellStyle name="Comma 2 2 2 3 4 3 5" xfId="54555" xr:uid="{7B00C472-68AF-41D2-8346-E5E7053D94A0}"/>
    <cellStyle name="Comma 2 2 2 3 4 4" xfId="15139" xr:uid="{F466BE79-B562-4A3B-9B2F-B82DA9A16FBD}"/>
    <cellStyle name="Comma 2 2 2 3 4 4 2" xfId="22678" xr:uid="{28A48FF2-0E7C-4A38-B689-23F63F989CF6}"/>
    <cellStyle name="Comma 2 2 2 3 4 4 3" xfId="46488" xr:uid="{7B6A5A95-ABBB-4309-AD8A-3C17389FCBA1}"/>
    <cellStyle name="Comma 2 2 2 3 4 4 4" xfId="52016" xr:uid="{217ABCA0-7CD1-418E-A83F-1117FE0434A0}"/>
    <cellStyle name="Comma 2 2 2 3 4 4 5" xfId="55032" xr:uid="{87BE3DE1-8C31-4105-A175-93E2ED63DE04}"/>
    <cellStyle name="Comma 2 2 2 3 4 5" xfId="15626" xr:uid="{4755EC8D-4B28-4398-B62A-12503029420A}"/>
    <cellStyle name="Comma 2 2 2 3 4 5 2" xfId="23155" xr:uid="{915520AE-5159-4E15-A448-2AE5B351E045}"/>
    <cellStyle name="Comma 2 2 2 3 4 5 3" xfId="46943" xr:uid="{9E1073E4-B5A8-4180-9555-5BCD484ED886}"/>
    <cellStyle name="Comma 2 2 2 3 4 5 4" xfId="52493" xr:uid="{86F63475-3252-4D8E-9BC8-C3443A4ACA32}"/>
    <cellStyle name="Comma 2 2 2 3 4 5 5" xfId="55509" xr:uid="{B56A3FB6-A695-45AB-83F7-87439689C56E}"/>
    <cellStyle name="Comma 2 2 2 3 4 6" xfId="12614" xr:uid="{32FCFDD6-9044-4625-AD7B-45AC1F0CA6BA}"/>
    <cellStyle name="Comma 2 2 2 3 4 6 2" xfId="48490" xr:uid="{A02275F7-4D34-41F2-A96E-260C00207D92}"/>
    <cellStyle name="Comma 2 2 2 3 4 6 3" xfId="51062" xr:uid="{27DC7ABD-9E92-4C79-97A9-20C49C436384}"/>
    <cellStyle name="Comma 2 2 2 3 4 6 4" xfId="54078" xr:uid="{784E3B9F-0241-42C4-9F5B-550D7C5009DE}"/>
    <cellStyle name="Comma 2 2 2 3 4 7" xfId="48153" xr:uid="{3720DB96-6B04-4185-BDBA-61B82AD7276E}"/>
    <cellStyle name="Comma 2 2 2 3 4 8" xfId="49956" xr:uid="{CC3618B1-84EB-4A63-866D-8137777305FE}"/>
    <cellStyle name="Comma 2 2 2 3 4 9" xfId="52972" xr:uid="{D7209B9E-6BD1-416A-8FF5-839CEF02EC02}"/>
    <cellStyle name="Comma 2 2 2 3 5" xfId="10240" xr:uid="{AFB18D2B-8206-462E-BD01-7CA9C3A5C59C}"/>
    <cellStyle name="Comma 2 2 2 3 5 2" xfId="14707" xr:uid="{6E00E698-027E-4BBA-974A-3B091210E177}"/>
    <cellStyle name="Comma 2 2 2 3 5 2 2" xfId="22254" xr:uid="{DB7CD565-F551-4C45-8DA0-C688AF62B4A0}"/>
    <cellStyle name="Comma 2 2 2 3 5 2 3" xfId="47179" xr:uid="{6823427A-3418-4653-B881-B47FF900A468}"/>
    <cellStyle name="Comma 2 2 2 3 5 2 4" xfId="51592" xr:uid="{765B2801-41B7-4216-BC58-5985BBB6C3EC}"/>
    <cellStyle name="Comma 2 2 2 3 5 2 5" xfId="54608" xr:uid="{F0F34F5C-C6DB-4E33-9C11-64911FE3B5E4}"/>
    <cellStyle name="Comma 2 2 2 3 5 3" xfId="15192" xr:uid="{ACAC82D9-6BB8-4BAE-B1E5-D4F928096FAE}"/>
    <cellStyle name="Comma 2 2 2 3 5 3 2" xfId="22731" xr:uid="{B9EC384A-A093-4773-A7F8-8F7F0A3CEE40}"/>
    <cellStyle name="Comma 2 2 2 3 5 3 3" xfId="46891" xr:uid="{6F9FAFBE-DA95-42AF-84DD-C72BE2A67A49}"/>
    <cellStyle name="Comma 2 2 2 3 5 3 4" xfId="52069" xr:uid="{6B51926B-7BB4-4E47-B6A1-75B54DC90FA9}"/>
    <cellStyle name="Comma 2 2 2 3 5 3 5" xfId="55085" xr:uid="{AA9563D4-0B89-4DC6-AF5D-6C27F284286F}"/>
    <cellStyle name="Comma 2 2 2 3 5 4" xfId="15679" xr:uid="{C3B68CC7-86D9-42F2-B650-A6E247A6B1A0}"/>
    <cellStyle name="Comma 2 2 2 3 5 4 2" xfId="23208" xr:uid="{E6B713C6-13AA-4FE5-8CB9-2E52522087AC}"/>
    <cellStyle name="Comma 2 2 2 3 5 4 3" xfId="48081" xr:uid="{73D1BC13-1BC4-44CA-8786-38597827651B}"/>
    <cellStyle name="Comma 2 2 2 3 5 4 4" xfId="52546" xr:uid="{92868F59-5809-4A03-AC73-DBB341DD28BA}"/>
    <cellStyle name="Comma 2 2 2 3 5 4 5" xfId="55562" xr:uid="{6EA51E40-9E77-41DC-AB55-6C93327C1BDF}"/>
    <cellStyle name="Comma 2 2 2 3 5 5" xfId="12693" xr:uid="{7380E796-72F0-4B4A-9419-5888EF66E38E}"/>
    <cellStyle name="Comma 2 2 2 3 5 5 2" xfId="47525" xr:uid="{59F436D2-E61D-4497-AC82-E0DE7C8949F0}"/>
    <cellStyle name="Comma 2 2 2 3 5 5 3" xfId="51115" xr:uid="{A52A3020-9385-4967-9C3A-197DA225D30E}"/>
    <cellStyle name="Comma 2 2 2 3 5 5 4" xfId="54131" xr:uid="{06BD4809-8B8B-4DDF-AEAA-088567119B95}"/>
    <cellStyle name="Comma 2 2 2 3 5 6" xfId="47705" xr:uid="{A9BDD55F-2A08-41A7-B6E6-C9952A405722}"/>
    <cellStyle name="Comma 2 2 2 3 5 7" xfId="50009" xr:uid="{AD6B4287-E81E-4905-85B7-E304531CB6B2}"/>
    <cellStyle name="Comma 2 2 2 3 5 8" xfId="53025" xr:uid="{7D103BA2-A17B-4E4D-A320-6F411B8378E5}"/>
    <cellStyle name="Comma 2 2 2 3 6" xfId="10554" xr:uid="{4F3D004A-931B-4DCD-A04D-18308F56F6BE}"/>
    <cellStyle name="Comma 2 2 2 3 6 2" xfId="14919" xr:uid="{6BB716E5-C656-46FF-AEE5-ACB701A118B4}"/>
    <cellStyle name="Comma 2 2 2 3 6 2 2" xfId="22466" xr:uid="{7DAAF684-F260-43EE-9969-5C3AF6BA9DAA}"/>
    <cellStyle name="Comma 2 2 2 3 6 2 3" xfId="48067" xr:uid="{B02561A9-B394-44FB-A455-F94CB7CAFABE}"/>
    <cellStyle name="Comma 2 2 2 3 6 2 4" xfId="51804" xr:uid="{123A4742-7EC5-4A8B-9B9E-D9EF32F80EE4}"/>
    <cellStyle name="Comma 2 2 2 3 6 2 5" xfId="54820" xr:uid="{F95A93ED-55A0-44D4-A190-30AA97016974}"/>
    <cellStyle name="Comma 2 2 2 3 6 3" xfId="15404" xr:uid="{CD388197-B637-41C0-BECF-68443CB459B9}"/>
    <cellStyle name="Comma 2 2 2 3 6 3 2" xfId="22943" xr:uid="{BF8D78EA-CDD1-474E-9E82-313AA7233C59}"/>
    <cellStyle name="Comma 2 2 2 3 6 3 3" xfId="46918" xr:uid="{8DBAE5BE-0B75-4F1A-B33D-E0B57A8B4613}"/>
    <cellStyle name="Comma 2 2 2 3 6 3 4" xfId="52281" xr:uid="{64516FDA-F394-4591-A7FD-FA758003F8FD}"/>
    <cellStyle name="Comma 2 2 2 3 6 3 5" xfId="55297" xr:uid="{8D7CBA09-B415-4623-9759-FCB973FCB2D8}"/>
    <cellStyle name="Comma 2 2 2 3 6 4" xfId="15892" xr:uid="{E68D858F-BFC6-47A8-9A7B-D540447EB7C0}"/>
    <cellStyle name="Comma 2 2 2 3 6 4 2" xfId="23420" xr:uid="{D0117341-97A6-4683-8834-434BBEBB4743}"/>
    <cellStyle name="Comma 2 2 2 3 6 4 3" xfId="48028" xr:uid="{E1BED2FD-F1D6-44E0-ACC7-2A1D369CDE2A}"/>
    <cellStyle name="Comma 2 2 2 3 6 4 4" xfId="52758" xr:uid="{1BA2131A-9AF3-4424-99F1-3C95ABFC59A1}"/>
    <cellStyle name="Comma 2 2 2 3 6 4 5" xfId="55774" xr:uid="{0ACBB54C-FF3C-46F6-9B6F-6C509BC7A454}"/>
    <cellStyle name="Comma 2 2 2 3 6 5" xfId="13007" xr:uid="{2F3E130D-1D37-48AF-BAF3-614CAB27D3B7}"/>
    <cellStyle name="Comma 2 2 2 3 6 5 2" xfId="47860" xr:uid="{534BB568-B35E-46A8-A2C2-48C765A19B96}"/>
    <cellStyle name="Comma 2 2 2 3 6 5 3" xfId="51327" xr:uid="{EB579BE5-967B-4663-B466-D09A64CC6C43}"/>
    <cellStyle name="Comma 2 2 2 3 6 5 4" xfId="54343" xr:uid="{ED960FB1-1A8D-4171-9463-C7049AA0C01E}"/>
    <cellStyle name="Comma 2 2 2 3 6 6" xfId="47590" xr:uid="{2A2E0254-41AD-4298-AF84-1609CE443422}"/>
    <cellStyle name="Comma 2 2 2 3 6 7" xfId="50221" xr:uid="{A697F473-DF76-4F60-9730-DC88555DF874}"/>
    <cellStyle name="Comma 2 2 2 3 6 8" xfId="53237" xr:uid="{912C0BD3-18DC-493D-AF9C-18E1A6D74018}"/>
    <cellStyle name="Comma 2 2 2 3 7" xfId="14495" xr:uid="{5A8765C9-704C-4EB6-BEC1-4482C8F14F64}"/>
    <cellStyle name="Comma 2 2 2 3 7 2" xfId="22042" xr:uid="{44907127-9202-4D64-9D19-C1DC6BC9E582}"/>
    <cellStyle name="Comma 2 2 2 3 7 3" xfId="48440" xr:uid="{C718ADF8-38CC-4301-9166-A1CA8E0C6222}"/>
    <cellStyle name="Comma 2 2 2 3 7 4" xfId="51380" xr:uid="{ADEEFD41-195E-4EB8-B014-82C0DE05D8EA}"/>
    <cellStyle name="Comma 2 2 2 3 7 5" xfId="54396" xr:uid="{64F3D8A0-DEAF-4C84-8542-2FCFFAB0D681}"/>
    <cellStyle name="Comma 2 2 2 3 8" xfId="14979" xr:uid="{6BFE1B7B-D8EE-4221-9866-1B6CBFE33FA9}"/>
    <cellStyle name="Comma 2 2 2 3 8 2" xfId="22519" xr:uid="{490FB2B0-ED3D-4865-BB6E-D33BBC3EDB73}"/>
    <cellStyle name="Comma 2 2 2 3 8 3" xfId="48122" xr:uid="{AA96E2EC-08BF-425F-B43C-C0D49594C514}"/>
    <cellStyle name="Comma 2 2 2 3 8 4" xfId="51857" xr:uid="{E450C6D3-C589-4E91-8BD7-98E79B37CA3F}"/>
    <cellStyle name="Comma 2 2 2 3 8 5" xfId="54873" xr:uid="{A95CFCAF-FA22-426C-9278-E5024CFBB1E1}"/>
    <cellStyle name="Comma 2 2 2 3 9" xfId="15466" xr:uid="{45C7F282-C082-4841-818B-AE84A3922482}"/>
    <cellStyle name="Comma 2 2 2 3 9 2" xfId="22996" xr:uid="{53DED7D0-F5E7-4F23-8EA5-302F4CB8EE26}"/>
    <cellStyle name="Comma 2 2 2 3 9 3" xfId="46924" xr:uid="{A00FD034-18E1-4FD1-AE70-FB89761BD409}"/>
    <cellStyle name="Comma 2 2 2 3 9 4" xfId="52334" xr:uid="{A3E65B41-B129-44E0-B617-33F6DB7F3F88}"/>
    <cellStyle name="Comma 2 2 2 3 9 5" xfId="55350" xr:uid="{DD39A7D1-21B1-46AD-8002-661D4D7CE0A6}"/>
    <cellStyle name="Comma 2 2 2 4" xfId="5808" xr:uid="{51A6860B-AC18-48F9-B8BE-80BA6AE39BA2}"/>
    <cellStyle name="Comma 2 2 2 4 2" xfId="23703" xr:uid="{74EAC097-F92F-4045-9BD7-8C36710157B6}"/>
    <cellStyle name="Comma 2 2 2 4 3" xfId="48596" xr:uid="{651ACCC7-887D-4600-BD40-272FA755B9D4}"/>
    <cellStyle name="Comma 2 2 2 4 4" xfId="49506" xr:uid="{EA44B682-7982-46F4-BF9A-4E7FACE54195}"/>
    <cellStyle name="Comma 2 2 2 4 5" xfId="11097" xr:uid="{9E53871A-7ADC-46A4-A46A-B50C07A29658}"/>
    <cellStyle name="Comma 2 2 2 5" xfId="11183" xr:uid="{958BBA74-ED11-4845-AF17-E82353C14E2F}"/>
    <cellStyle name="Comma 2 2 2 5 2" xfId="21680" xr:uid="{7A93F93B-D240-44F0-AD51-4A5D409E2B92}"/>
    <cellStyle name="Comma 2 2 2 5 3" xfId="34284" xr:uid="{3EC51282-1892-42DD-8C3F-CDB136A02CDD}"/>
    <cellStyle name="Comma 2 2 2 5 4" xfId="50696" xr:uid="{AE4907A7-416D-4361-9A9D-EEF0FD83543E}"/>
    <cellStyle name="Comma 2 2 2 5 5" xfId="53712" xr:uid="{1ADDE85B-5D64-494B-904A-B37D4D6C40A1}"/>
    <cellStyle name="Comma 2 2 2 6" xfId="19468" xr:uid="{B852CDB4-2543-4999-8334-6492F101E168}"/>
    <cellStyle name="Comma 2 2 2 7" xfId="23699" xr:uid="{39A954A3-1195-471F-9D60-18F258ADF1B7}"/>
    <cellStyle name="Comma 2 2 2 8" xfId="48592" xr:uid="{BF6074D8-C857-44DD-923E-C68D2E1A3CBD}"/>
    <cellStyle name="Comma 2 2 2 9" xfId="49502" xr:uid="{7C0EABE3-310A-47B0-AC8D-D816B7098F9D}"/>
    <cellStyle name="Comma 2 2 3" xfId="2608" xr:uid="{762A1755-CD26-4A49-AB15-EE181F3B462B}"/>
    <cellStyle name="Comma 2 2 3 2" xfId="4527" xr:uid="{476826B3-936B-482E-9D57-564FD3FF8302}"/>
    <cellStyle name="Comma 2 2 3 2 2" xfId="23705" xr:uid="{9A9CD6E9-77BF-4ECE-AD93-49FC34E5750A}"/>
    <cellStyle name="Comma 2 2 3 2 3" xfId="48598" xr:uid="{10CBE904-2E74-4826-9A50-3BC5F6386A57}"/>
    <cellStyle name="Comma 2 2 3 2 4" xfId="49508" xr:uid="{66817341-5743-489B-AAB6-D99F0507AC3C}"/>
    <cellStyle name="Comma 2 2 3 2 5" xfId="12216" xr:uid="{8AC9BD21-9C05-4A19-94CA-3BE2F9B0AC7C}"/>
    <cellStyle name="Comma 2 2 3 3" xfId="5809" xr:uid="{284B1233-7F77-4692-9FFC-CF3A840C0868}"/>
    <cellStyle name="Comma 2 2 3 3 2" xfId="21715" xr:uid="{E06D1891-1262-46BA-BC45-CFF468C4BFD1}"/>
    <cellStyle name="Comma 2 2 3 3 3" xfId="48556" xr:uid="{7D954A40-A2AB-4F4F-AB7B-AEE914F81E5F}"/>
    <cellStyle name="Comma 2 2 3 3 4" xfId="50740" xr:uid="{D2B84113-6701-4169-AD88-1324E12E1B56}"/>
    <cellStyle name="Comma 2 2 3 3 5" xfId="53756" xr:uid="{A0A33306-F30E-4F64-885E-3769953E5707}"/>
    <cellStyle name="Comma 2 2 3 3 6" xfId="11692" xr:uid="{A0E93526-92E3-4716-8164-06B81E133CB2}"/>
    <cellStyle name="Comma 2 2 3 4" xfId="19470" xr:uid="{6184FA53-594D-4966-AB11-45B80D3D22BF}"/>
    <cellStyle name="Comma 2 2 3 5" xfId="23704" xr:uid="{C2F5A523-1CDC-4C42-9623-844D0425443C}"/>
    <cellStyle name="Comma 2 2 3 6" xfId="48597" xr:uid="{8A78084C-FC5B-4D57-AC04-306A9802FF80}"/>
    <cellStyle name="Comma 2 2 3 7" xfId="49507" xr:uid="{45AB3AED-448E-4E72-A084-F5A7D825AB8D}"/>
    <cellStyle name="Comma 2 2 3 8" xfId="8182" xr:uid="{CA3F99E9-98E7-410D-9A16-95E1ED14B95C}"/>
    <cellStyle name="Comma 2 2 4" xfId="4525" xr:uid="{51DF797C-6936-41D0-AC40-F7052E6C0D35}"/>
    <cellStyle name="Comma 2 2 4 10" xfId="11182" xr:uid="{5440D016-AEC9-41ED-9C5C-38BE83FBFF15}"/>
    <cellStyle name="Comma 2 2 4 2" xfId="11227" xr:uid="{78F98B57-EC42-4844-9521-2C52503D67CC}"/>
    <cellStyle name="Comma 2 2 4 3" xfId="18049" xr:uid="{CC7B65B4-4092-4183-931D-DE7D56323D37}"/>
    <cellStyle name="Comma 2 2 4 3 2" xfId="21679" xr:uid="{8927A93D-7C99-4894-89D8-5A59F2CA52AF}"/>
    <cellStyle name="Comma 2 2 4 4" xfId="23706" xr:uid="{08D5C8B7-EACD-485F-A2C5-1A80A9492B77}"/>
    <cellStyle name="Comma 2 2 4 5" xfId="46276" xr:uid="{8E6D809B-A51E-4BF0-BB89-F636BF693A1D}"/>
    <cellStyle name="Comma 2 2 4 6" xfId="48599" xr:uid="{1BBD619B-98AE-4E0C-A25F-7A2E0F2C4E78}"/>
    <cellStyle name="Comma 2 2 4 7" xfId="49509" xr:uid="{829065A0-909F-4D31-B559-544DFB523854}"/>
    <cellStyle name="Comma 2 2 4 8" xfId="50695" xr:uid="{8279618A-F19A-4040-A0AB-CC36807F163E}"/>
    <cellStyle name="Comma 2 2 4 9" xfId="53711" xr:uid="{499BB0D5-878D-4B4F-85BF-6DDA38BDD25B}"/>
    <cellStyle name="Comma 2 2 5" xfId="5807" xr:uid="{F52E9258-EE5D-425B-A7BF-F6F8D8A245EC}"/>
    <cellStyle name="Comma 2 2 5 2" xfId="23707" xr:uid="{7C7FCB72-78C1-42D5-B08E-CA5762E4DD3E}"/>
    <cellStyle name="Comma 2 2 5 3" xfId="48600" xr:uid="{DF742C37-A855-4AD6-9BA6-C27A7D17E0CD}"/>
    <cellStyle name="Comma 2 2 5 4" xfId="49510" xr:uid="{660955D9-7F52-46A6-86D1-56BB1F167A60}"/>
    <cellStyle name="Comma 2 2 5 5" xfId="19467" xr:uid="{A474FBF8-29C5-4C79-8A04-CD65E3BC3CF0}"/>
    <cellStyle name="Comma 2 2 6" xfId="2605" xr:uid="{23EAAC6A-E518-4A9C-959F-AE5270BDD31F}"/>
    <cellStyle name="Comma 2 2 6 2" xfId="23708" xr:uid="{13C92877-8F2E-4CD7-9E2D-6BE2F2589691}"/>
    <cellStyle name="Comma 2 2 7" xfId="23698" xr:uid="{E9C5394C-100F-4A37-80DD-E8C3010D0ECE}"/>
    <cellStyle name="Comma 2 2 8" xfId="48591" xr:uid="{F0F43FA4-8165-4258-9467-515828FF2250}"/>
    <cellStyle name="Comma 2 2 9" xfId="49501" xr:uid="{DDB2CB50-1153-44F6-8D3C-9BC389559AFE}"/>
    <cellStyle name="Comma 2 3" xfId="50" xr:uid="{00000000-0005-0000-0000-000052000000}"/>
    <cellStyle name="Comma 2 3 10" xfId="48601" xr:uid="{C852367C-1EAD-424C-B380-6205F5DD5CED}"/>
    <cellStyle name="Comma 2 3 11" xfId="49511" xr:uid="{72787197-6517-4B4C-806E-CA386552C8D5}"/>
    <cellStyle name="Comma 2 3 12" xfId="6984" xr:uid="{46C2EC60-96AC-49EA-8A6F-A9FCE4988771}"/>
    <cellStyle name="Comma 2 3 2" xfId="1291" xr:uid="{00000000-0005-0000-0000-000053000000}"/>
    <cellStyle name="Comma 2 3 2 10" xfId="49512" xr:uid="{BC01E01F-F59A-4713-A74B-26E4E5E335A2}"/>
    <cellStyle name="Comma 2 3 2 11" xfId="7232" xr:uid="{D5321128-32F4-479C-B897-AFA64F0CB3C3}"/>
    <cellStyle name="Comma 2 3 2 2" xfId="1292" xr:uid="{00000000-0005-0000-0000-000054000000}"/>
    <cellStyle name="Comma 2 3 2 2 10" xfId="14980" xr:uid="{903A0EC0-5488-4DCB-8721-B20034451450}"/>
    <cellStyle name="Comma 2 3 2 2 10 2" xfId="22520" xr:uid="{C7FF0B9F-3EDB-4C28-A4EC-49978A17575C}"/>
    <cellStyle name="Comma 2 3 2 2 10 3" xfId="32514" xr:uid="{3BA61A52-225C-4AE7-B897-97E434A650D7}"/>
    <cellStyle name="Comma 2 3 2 2 10 4" xfId="51858" xr:uid="{BBB98D8A-4D56-4807-AF0E-80017A9069F2}"/>
    <cellStyle name="Comma 2 3 2 2 10 5" xfId="54874" xr:uid="{D6D15CB2-19CD-415E-AF16-184C226DAF6A}"/>
    <cellStyle name="Comma 2 3 2 2 11" xfId="15467" xr:uid="{416AB14A-E007-4B4A-A639-3C63562B4B5E}"/>
    <cellStyle name="Comma 2 3 2 2 11 2" xfId="22997" xr:uid="{772CD3E0-3A44-4DF5-AC9E-595C880BE9AA}"/>
    <cellStyle name="Comma 2 3 2 2 11 3" xfId="48076" xr:uid="{78A92F05-6AEE-45A8-BBF1-24F6D35E715A}"/>
    <cellStyle name="Comma 2 3 2 2 11 4" xfId="52335" xr:uid="{EE8AD611-26DA-436A-AD00-0FE1A4C1E750}"/>
    <cellStyle name="Comma 2 3 2 2 11 5" xfId="55351" xr:uid="{7E5685B1-B5DD-47A6-9EA5-E6A8BFD38133}"/>
    <cellStyle name="Comma 2 3 2 2 12" xfId="17742" xr:uid="{5C2305A0-CB65-4B71-94A7-21EC6C1F218F}"/>
    <cellStyle name="Comma 2 3 2 2 12 2" xfId="21250" xr:uid="{C706E131-8752-4A91-80A9-674CF81131FF}"/>
    <cellStyle name="Comma 2 3 2 2 13" xfId="23711" xr:uid="{FE4ABE9C-94A4-4ADC-ADDF-22A2E3588ABD}"/>
    <cellStyle name="Comma 2 3 2 2 14" xfId="48603" xr:uid="{B22AC725-4282-4D0E-89CA-D06F1887CAB3}"/>
    <cellStyle name="Comma 2 3 2 2 15" xfId="49513" xr:uid="{2D46D74F-F54E-4312-94EF-8B5A3A9B34E2}"/>
    <cellStyle name="Comma 2 3 2 2 16" xfId="49798" xr:uid="{60EC447D-35E2-46D5-B44B-3B9BD658C6A1}"/>
    <cellStyle name="Comma 2 3 2 2 17" xfId="52813" xr:uid="{64E9F705-2701-4BF9-B945-EC86165D57A3}"/>
    <cellStyle name="Comma 2 3 2 2 18" xfId="8921" xr:uid="{0ADCC419-33A5-4011-96FC-BB09ADC95809}"/>
    <cellStyle name="Comma 2 3 2 2 2" xfId="4530" xr:uid="{7213A233-0B90-4107-8438-DCD4807E6D56}"/>
    <cellStyle name="Comma 2 3 2 2 2 10" xfId="52867" xr:uid="{408EF00B-129A-43D6-B11A-1075CFFC14F8}"/>
    <cellStyle name="Comma 2 3 2 2 2 11" xfId="10008" xr:uid="{63DA0ABE-27FC-485D-8C1C-E135C40031DA}"/>
    <cellStyle name="Comma 2 3 2 2 2 2" xfId="10316" xr:uid="{A02C5F1B-EDB3-42AF-ACF5-BE7FB397CB6B}"/>
    <cellStyle name="Comma 2 3 2 2 2 2 2" xfId="14761" xr:uid="{959CAD0D-A43F-4B7E-A704-85A59DBAEDB5}"/>
    <cellStyle name="Comma 2 3 2 2 2 2 2 2" xfId="22308" xr:uid="{FAFC2C04-6C6A-4A74-9764-A73730E63C39}"/>
    <cellStyle name="Comma 2 3 2 2 2 2 2 3" xfId="47832" xr:uid="{7ED3C404-E8B5-46D8-B933-4633E7B764DB}"/>
    <cellStyle name="Comma 2 3 2 2 2 2 2 4" xfId="51646" xr:uid="{DC36A1D0-B6BE-4DC2-A551-503BFAD84183}"/>
    <cellStyle name="Comma 2 3 2 2 2 2 2 5" xfId="54662" xr:uid="{EBE79AB6-3D3E-4486-AA66-63D7B3180E01}"/>
    <cellStyle name="Comma 2 3 2 2 2 2 3" xfId="15246" xr:uid="{E93C2DCC-A88D-4E2C-8716-299E82002908}"/>
    <cellStyle name="Comma 2 3 2 2 2 2 3 2" xfId="22785" xr:uid="{8E873991-D112-42ED-A704-404C0CD53913}"/>
    <cellStyle name="Comma 2 3 2 2 2 2 3 3" xfId="47720" xr:uid="{7D4B075E-F7B4-4950-ABDA-360059A71A74}"/>
    <cellStyle name="Comma 2 3 2 2 2 2 3 4" xfId="52123" xr:uid="{3D9DCAE9-0FC6-4466-87B0-36185168D194}"/>
    <cellStyle name="Comma 2 3 2 2 2 2 3 5" xfId="55139" xr:uid="{BE340F5F-AECF-44D0-9CBA-AB81B63F52A2}"/>
    <cellStyle name="Comma 2 3 2 2 2 2 4" xfId="15733" xr:uid="{6DCD6FF5-77D7-4177-997B-8BEF1070E992}"/>
    <cellStyle name="Comma 2 3 2 2 2 2 4 2" xfId="23262" xr:uid="{8810460B-7B06-4F88-B3D3-27BD4929DE63}"/>
    <cellStyle name="Comma 2 3 2 2 2 2 4 3" xfId="46700" xr:uid="{04F308B7-1857-4FC6-BC40-B049000E9551}"/>
    <cellStyle name="Comma 2 3 2 2 2 2 4 4" xfId="52600" xr:uid="{4FAC267F-F49D-455A-B00C-C8D39B48A47E}"/>
    <cellStyle name="Comma 2 3 2 2 2 2 4 5" xfId="55616" xr:uid="{B31E64A9-ACDA-4B4F-ABB5-84AF3FCFF3DC}"/>
    <cellStyle name="Comma 2 3 2 2 2 2 5" xfId="12769" xr:uid="{44B68935-E015-4897-BAD8-9F94EF57C0D6}"/>
    <cellStyle name="Comma 2 3 2 2 2 2 5 2" xfId="46791" xr:uid="{09A24BC7-6F88-4074-805A-D43F749E4CCC}"/>
    <cellStyle name="Comma 2 3 2 2 2 2 5 3" xfId="51169" xr:uid="{C51A3CB8-A870-4AD3-B28E-75059C66EF03}"/>
    <cellStyle name="Comma 2 3 2 2 2 2 5 4" xfId="54185" xr:uid="{83666CAF-BC64-4E64-824E-BE84127AB20E}"/>
    <cellStyle name="Comma 2 3 2 2 2 2 6" xfId="47798" xr:uid="{01AB64BA-314C-4289-9D26-E0CD9112AAF5}"/>
    <cellStyle name="Comma 2 3 2 2 2 2 7" xfId="50063" xr:uid="{57CFAC31-33BE-4702-9736-D51985EEA1CB}"/>
    <cellStyle name="Comma 2 3 2 2 2 2 8" xfId="53079" xr:uid="{3BD25BAB-4B1B-4A39-AF26-B032F579DAF2}"/>
    <cellStyle name="Comma 2 3 2 2 2 3" xfId="12468" xr:uid="{E7A0D0AE-99E7-43BC-BBD1-425E00A452D1}"/>
    <cellStyle name="Comma 2 3 2 2 2 3 2" xfId="21913" xr:uid="{DEC2945D-4760-499B-B92F-252F6703BBF3}"/>
    <cellStyle name="Comma 2 3 2 2 2 3 3" xfId="47213" xr:uid="{6D372531-49CF-4C32-86E6-CF1DBD59A1EA}"/>
    <cellStyle name="Comma 2 3 2 2 2 3 4" xfId="50957" xr:uid="{E23667E0-45CC-4DF7-8F5F-CDC8BA12F1CA}"/>
    <cellStyle name="Comma 2 3 2 2 2 3 5" xfId="53973" xr:uid="{5C64E9D5-CA2D-437B-9BCF-591081EE654F}"/>
    <cellStyle name="Comma 2 3 2 2 2 4" xfId="14549" xr:uid="{27A975A5-DA53-47CB-AA46-E59C7B77409F}"/>
    <cellStyle name="Comma 2 3 2 2 2 4 2" xfId="22096" xr:uid="{85557804-B38A-4838-B8B9-B238418818E1}"/>
    <cellStyle name="Comma 2 3 2 2 2 4 3" xfId="46833" xr:uid="{1E0811A3-8009-41F6-A436-D771FDC1121C}"/>
    <cellStyle name="Comma 2 3 2 2 2 4 4" xfId="51434" xr:uid="{3E6576A9-48D7-4C4E-A121-2747C322766F}"/>
    <cellStyle name="Comma 2 3 2 2 2 4 5" xfId="54450" xr:uid="{C823FB99-BBD1-49FF-9582-6F37FE27D408}"/>
    <cellStyle name="Comma 2 3 2 2 2 5" xfId="15033" xr:uid="{56F0543F-E196-4423-9560-AB22FF2A5296}"/>
    <cellStyle name="Comma 2 3 2 2 2 5 2" xfId="22573" xr:uid="{698AAB81-F71E-4DFA-AEB2-11A1694892E1}"/>
    <cellStyle name="Comma 2 3 2 2 2 5 3" xfId="46470" xr:uid="{E2C5C05C-FAED-41D1-84E9-94F373826078}"/>
    <cellStyle name="Comma 2 3 2 2 2 5 4" xfId="51911" xr:uid="{5B413FEC-3E7A-4396-91A0-1D9F0B53C68A}"/>
    <cellStyle name="Comma 2 3 2 2 2 5 5" xfId="54927" xr:uid="{B480A7C8-6C01-4A15-BC5A-97A0A93EDAAD}"/>
    <cellStyle name="Comma 2 3 2 2 2 6" xfId="15520" xr:uid="{E5FEDF81-50AA-4CBC-8006-476AF9413CEF}"/>
    <cellStyle name="Comma 2 3 2 2 2 6 2" xfId="23050" xr:uid="{13F1A26D-1087-47C7-80A9-6E11D865C7BD}"/>
    <cellStyle name="Comma 2 3 2 2 2 6 3" xfId="48254" xr:uid="{E2084E84-C35C-40F9-AB0A-4A2235CDC631}"/>
    <cellStyle name="Comma 2 3 2 2 2 6 4" xfId="52388" xr:uid="{19401D57-B31F-49F8-B154-13B731070D5F}"/>
    <cellStyle name="Comma 2 3 2 2 2 6 5" xfId="55404" xr:uid="{0978E4CE-95FD-418D-95E6-8053B62D3054}"/>
    <cellStyle name="Comma 2 3 2 2 2 7" xfId="11693" xr:uid="{2819927F-5632-496C-A58A-850FC68B2C6F}"/>
    <cellStyle name="Comma 2 3 2 2 2 7 2" xfId="46732" xr:uid="{5AC057AB-A21C-42CF-AE4D-28BD94D20125}"/>
    <cellStyle name="Comma 2 3 2 2 2 7 3" xfId="50741" xr:uid="{9BD65C1C-3361-437C-89BB-55D8F21DC1EA}"/>
    <cellStyle name="Comma 2 3 2 2 2 7 4" xfId="53757" xr:uid="{BE3AED0F-BCD2-4C5B-A376-F7565E13879E}"/>
    <cellStyle name="Comma 2 3 2 2 2 8" xfId="23712" xr:uid="{27D84BF7-6D72-440E-BD2D-F63D7F4382FA}"/>
    <cellStyle name="Comma 2 3 2 2 2 9" xfId="49851" xr:uid="{69284817-176F-40FE-9665-B2BB7FB19BD1}"/>
    <cellStyle name="Comma 2 3 2 2 3" xfId="2611" xr:uid="{11FFFB8E-1ACE-44F4-BB0E-54CDF7E287DF}"/>
    <cellStyle name="Comma 2 3 2 2 3 10" xfId="10082" xr:uid="{AC3C1994-C4CF-489D-AD7C-EEA6E04C68FA}"/>
    <cellStyle name="Comma 2 3 2 2 3 2" xfId="10395" xr:uid="{3ABB86C3-88B3-47B8-A145-B30A43D3E76B}"/>
    <cellStyle name="Comma 2 3 2 2 3 2 2" xfId="14814" xr:uid="{2A675DF2-272A-4353-B648-4A3CF80DEC71}"/>
    <cellStyle name="Comma 2 3 2 2 3 2 2 2" xfId="22361" xr:uid="{20CEB529-2649-435B-A4EF-DD6AECFD3239}"/>
    <cellStyle name="Comma 2 3 2 2 3 2 2 3" xfId="46438" xr:uid="{BFE1D256-73E4-45D5-A584-ECEECB0F136A}"/>
    <cellStyle name="Comma 2 3 2 2 3 2 2 4" xfId="51699" xr:uid="{390082D3-7715-43FE-93D7-ECF3A3337378}"/>
    <cellStyle name="Comma 2 3 2 2 3 2 2 5" xfId="54715" xr:uid="{D5FF8E22-C760-4E08-9133-B5D95F303982}"/>
    <cellStyle name="Comma 2 3 2 2 3 2 3" xfId="15299" xr:uid="{5A217326-A828-4B81-9A33-FFCE2C630BF8}"/>
    <cellStyle name="Comma 2 3 2 2 3 2 3 2" xfId="22838" xr:uid="{F7CDC67D-E0EE-47DB-860D-9B7FF240AA21}"/>
    <cellStyle name="Comma 2 3 2 2 3 2 3 3" xfId="48361" xr:uid="{1546A004-ABD4-45FC-929F-AACB589E6F54}"/>
    <cellStyle name="Comma 2 3 2 2 3 2 3 4" xfId="52176" xr:uid="{3A0BD322-2481-422A-9FC0-D348F3DFE3CC}"/>
    <cellStyle name="Comma 2 3 2 2 3 2 3 5" xfId="55192" xr:uid="{3918C03F-9C72-405B-8F79-B0919E44F183}"/>
    <cellStyle name="Comma 2 3 2 2 3 2 4" xfId="15786" xr:uid="{C282B9D9-08B8-4CE7-9B2B-DED8077219E3}"/>
    <cellStyle name="Comma 2 3 2 2 3 2 4 2" xfId="23315" xr:uid="{271A0838-EB70-4121-B908-F672B16CAB24}"/>
    <cellStyle name="Comma 2 3 2 2 3 2 4 3" xfId="46585" xr:uid="{EE467738-A621-4F4E-84D6-33384ACCCB2B}"/>
    <cellStyle name="Comma 2 3 2 2 3 2 4 4" xfId="52653" xr:uid="{4AFC2307-1998-4F7F-A2ED-2428D1ECFCB5}"/>
    <cellStyle name="Comma 2 3 2 2 3 2 4 5" xfId="55669" xr:uid="{606567A5-264B-43FB-904A-4B0903920A1A}"/>
    <cellStyle name="Comma 2 3 2 2 3 2 5" xfId="12848" xr:uid="{2F295206-6364-4E14-A377-1DEB098D3FD1}"/>
    <cellStyle name="Comma 2 3 2 2 3 2 5 2" xfId="48381" xr:uid="{58BA4E72-1E99-4341-97E2-171183DF65EF}"/>
    <cellStyle name="Comma 2 3 2 2 3 2 5 3" xfId="51222" xr:uid="{B8DFC350-DF6E-4CC9-B2E8-303F88F90DA4}"/>
    <cellStyle name="Comma 2 3 2 2 3 2 5 4" xfId="54238" xr:uid="{C971BFF0-E1B3-4FEE-945F-A53BE4C47E16}"/>
    <cellStyle name="Comma 2 3 2 2 3 2 6" xfId="47286" xr:uid="{83F910CB-83F6-48C2-97DD-697E4CBF2D7B}"/>
    <cellStyle name="Comma 2 3 2 2 3 2 7" xfId="50116" xr:uid="{BA5D57AA-9808-4D0B-95D3-AA6C58C33ADB}"/>
    <cellStyle name="Comma 2 3 2 2 3 2 8" xfId="53132" xr:uid="{8220DF12-D688-4E56-B7D8-C757A971CBC7}"/>
    <cellStyle name="Comma 2 3 2 2 3 3" xfId="14602" xr:uid="{6E328643-0F75-457B-8C44-D1C82EADCCAF}"/>
    <cellStyle name="Comma 2 3 2 2 3 3 2" xfId="22149" xr:uid="{DB801428-361D-4F25-81E6-987FA9518E53}"/>
    <cellStyle name="Comma 2 3 2 2 3 3 3" xfId="47369" xr:uid="{E1C4A89A-241E-4880-8D8E-1266778C9B76}"/>
    <cellStyle name="Comma 2 3 2 2 3 3 4" xfId="51487" xr:uid="{A123A020-9151-4609-A72F-8E61503B9B8F}"/>
    <cellStyle name="Comma 2 3 2 2 3 3 5" xfId="54503" xr:uid="{3F0E0EFA-C411-45E8-88EA-8823FC0E082A}"/>
    <cellStyle name="Comma 2 3 2 2 3 4" xfId="15087" xr:uid="{265FF9A5-9247-4432-B2A1-71AD6DFFB1D2}"/>
    <cellStyle name="Comma 2 3 2 2 3 4 2" xfId="22626" xr:uid="{6D9EC13C-F98E-4FBB-B5B6-3728FCA2E244}"/>
    <cellStyle name="Comma 2 3 2 2 3 4 3" xfId="46476" xr:uid="{7BCEF593-CC64-44E3-814C-E62B2360A3D7}"/>
    <cellStyle name="Comma 2 3 2 2 3 4 4" xfId="51964" xr:uid="{D2DAE5C4-D16E-44D6-9D4D-7EF05AB86596}"/>
    <cellStyle name="Comma 2 3 2 2 3 4 5" xfId="54980" xr:uid="{8865B410-B00D-427C-86EC-933BAD200EA1}"/>
    <cellStyle name="Comma 2 3 2 2 3 5" xfId="15574" xr:uid="{CD39F5F9-DEEB-4684-AFCF-B2007AA6A5D6}"/>
    <cellStyle name="Comma 2 3 2 2 3 5 2" xfId="23103" xr:uid="{A560A81A-D7F6-45F7-9DD6-D687A9C73F69}"/>
    <cellStyle name="Comma 2 3 2 2 3 5 3" xfId="47349" xr:uid="{3531F0CD-8653-4C7A-A406-04D39B891560}"/>
    <cellStyle name="Comma 2 3 2 2 3 5 4" xfId="52441" xr:uid="{8BCBC552-7CEA-4E37-9BBF-78B6BC270B28}"/>
    <cellStyle name="Comma 2 3 2 2 3 5 5" xfId="55457" xr:uid="{F94730FF-54D1-484D-9426-BF9A97EC07D2}"/>
    <cellStyle name="Comma 2 3 2 2 3 6" xfId="12539" xr:uid="{7841B187-1008-49F0-8EF6-F95C2D74C3C7}"/>
    <cellStyle name="Comma 2 3 2 2 3 6 2" xfId="47466" xr:uid="{D09BA315-ADE3-492F-AA3C-81E3B0D3077D}"/>
    <cellStyle name="Comma 2 3 2 2 3 6 3" xfId="51010" xr:uid="{4D6D22C4-0A50-45FA-A839-BEBEED0BE413}"/>
    <cellStyle name="Comma 2 3 2 2 3 6 4" xfId="54026" xr:uid="{AFD2F015-D821-4289-84EC-D0364409AF1D}"/>
    <cellStyle name="Comma 2 3 2 2 3 7" xfId="48447" xr:uid="{20A08395-B566-4820-B3A9-530AC55A79D9}"/>
    <cellStyle name="Comma 2 3 2 2 3 8" xfId="49904" xr:uid="{90833ED4-C1FA-48A1-B875-EDEC667FECB2}"/>
    <cellStyle name="Comma 2 3 2 2 3 9" xfId="52920" xr:uid="{9A7A3AE1-6DE1-4B1C-A158-492445BEBF04}"/>
    <cellStyle name="Comma 2 3 2 2 4" xfId="10161" xr:uid="{CD7B2A4A-DA9B-4125-867B-913B7F6EED8A}"/>
    <cellStyle name="Comma 2 3 2 2 4 2" xfId="10475" xr:uid="{C43F6456-EB69-49E4-A03B-6452CC64D653}"/>
    <cellStyle name="Comma 2 3 2 2 4 2 2" xfId="14867" xr:uid="{8028EFE2-7A34-4F9D-8119-7031C2A0375A}"/>
    <cellStyle name="Comma 2 3 2 2 4 2 2 2" xfId="22414" xr:uid="{47BD27C2-D7DB-4D10-95AA-870B2C69F989}"/>
    <cellStyle name="Comma 2 3 2 2 4 2 2 3" xfId="47539" xr:uid="{D0465578-0653-4630-8E6F-E3DEE8FFF998}"/>
    <cellStyle name="Comma 2 3 2 2 4 2 2 4" xfId="51752" xr:uid="{26C64B37-3FD2-4D6E-A66F-18C575805B02}"/>
    <cellStyle name="Comma 2 3 2 2 4 2 2 5" xfId="54768" xr:uid="{7E1F53E8-E5D0-410B-AEDA-4D3A831D0BA0}"/>
    <cellStyle name="Comma 2 3 2 2 4 2 3" xfId="15352" xr:uid="{4AB35C76-06D6-46CD-9DF5-757CD3406761}"/>
    <cellStyle name="Comma 2 3 2 2 4 2 3 2" xfId="22891" xr:uid="{0AA5EC37-2A79-42F4-9164-D2A65C930FAD}"/>
    <cellStyle name="Comma 2 3 2 2 4 2 3 3" xfId="46910" xr:uid="{D48D3B32-A146-43F1-B582-2B68199EA9ED}"/>
    <cellStyle name="Comma 2 3 2 2 4 2 3 4" xfId="52229" xr:uid="{40BFB071-03F8-46FE-B9B0-6DD7F6181BAA}"/>
    <cellStyle name="Comma 2 3 2 2 4 2 3 5" xfId="55245" xr:uid="{CC78B78A-17B7-44A2-B1E1-64F8678C35EF}"/>
    <cellStyle name="Comma 2 3 2 2 4 2 4" xfId="15839" xr:uid="{EDE270A4-A51D-42BE-856A-8B85BE4A8247}"/>
    <cellStyle name="Comma 2 3 2 2 4 2 4 2" xfId="23368" xr:uid="{77596663-9342-4E59-B24A-725A28D2FEA3}"/>
    <cellStyle name="Comma 2 3 2 2 4 2 4 3" xfId="47258" xr:uid="{2336151A-CEDF-4251-9D1B-5E263642987E}"/>
    <cellStyle name="Comma 2 3 2 2 4 2 4 4" xfId="52706" xr:uid="{A0CC4543-9D51-4C08-9C74-02AABC45521B}"/>
    <cellStyle name="Comma 2 3 2 2 4 2 4 5" xfId="55722" xr:uid="{3028A140-A066-4FE6-A6C3-C43D43104AA9}"/>
    <cellStyle name="Comma 2 3 2 2 4 2 5" xfId="12928" xr:uid="{D8AF83F3-0B85-4A23-B8C5-CCF71B80D313}"/>
    <cellStyle name="Comma 2 3 2 2 4 2 5 2" xfId="46372" xr:uid="{7E6D03F6-F876-4340-9C71-E8AEFC933ED6}"/>
    <cellStyle name="Comma 2 3 2 2 4 2 5 3" xfId="51275" xr:uid="{4242B3A3-6D92-4D01-9E4F-9BE2D1190602}"/>
    <cellStyle name="Comma 2 3 2 2 4 2 5 4" xfId="54291" xr:uid="{B2BFEB1F-D5E2-41E9-A69B-8A0FD45467A8}"/>
    <cellStyle name="Comma 2 3 2 2 4 2 6" xfId="47883" xr:uid="{DCB62397-EBC3-4ABD-B9F3-68E5E48301F2}"/>
    <cellStyle name="Comma 2 3 2 2 4 2 7" xfId="50169" xr:uid="{27CD276F-01A6-4D66-85D0-F9C015AA6819}"/>
    <cellStyle name="Comma 2 3 2 2 4 2 8" xfId="53185" xr:uid="{D84A5376-1E6E-4A38-961F-443760F4D526}"/>
    <cellStyle name="Comma 2 3 2 2 4 3" xfId="14655" xr:uid="{84B5DA62-2330-4129-B157-BCD9F42FE066}"/>
    <cellStyle name="Comma 2 3 2 2 4 3 2" xfId="22202" xr:uid="{7E2FA8F2-B524-4F40-94C9-790CC44AFBCF}"/>
    <cellStyle name="Comma 2 3 2 2 4 3 3" xfId="47534" xr:uid="{60963161-D76E-4E5F-8353-1A50DF0B6CCE}"/>
    <cellStyle name="Comma 2 3 2 2 4 3 4" xfId="51540" xr:uid="{8905B78B-D9E7-4B98-BC05-477AF6668335}"/>
    <cellStyle name="Comma 2 3 2 2 4 3 5" xfId="54556" xr:uid="{31A29E14-9CA9-459C-B190-54F8C3895FE3}"/>
    <cellStyle name="Comma 2 3 2 2 4 4" xfId="15140" xr:uid="{7390BF0A-8CEF-41CD-A560-3484A1E39F47}"/>
    <cellStyle name="Comma 2 3 2 2 4 4 2" xfId="22679" xr:uid="{D732CB98-759C-44F3-9588-5770935473F1}"/>
    <cellStyle name="Comma 2 3 2 2 4 4 3" xfId="47719" xr:uid="{BD7F2B0D-7F6C-4AED-82FA-063D81F7F370}"/>
    <cellStyle name="Comma 2 3 2 2 4 4 4" xfId="52017" xr:uid="{253623B3-414E-4E92-8357-47733ABCBA39}"/>
    <cellStyle name="Comma 2 3 2 2 4 4 5" xfId="55033" xr:uid="{2D7DE462-B76F-4700-B724-5E2DCC84A84E}"/>
    <cellStyle name="Comma 2 3 2 2 4 5" xfId="15627" xr:uid="{084D94C7-78FE-449E-BC38-69035DF038BD}"/>
    <cellStyle name="Comma 2 3 2 2 4 5 2" xfId="23156" xr:uid="{CB6D6614-75A5-4CA2-841B-D71869EA329A}"/>
    <cellStyle name="Comma 2 3 2 2 4 5 3" xfId="47790" xr:uid="{16853FAF-435B-4E44-9B43-ECD23C634817}"/>
    <cellStyle name="Comma 2 3 2 2 4 5 4" xfId="52494" xr:uid="{CF5FD152-4295-4632-8C26-C859232CA963}"/>
    <cellStyle name="Comma 2 3 2 2 4 5 5" xfId="55510" xr:uid="{9D83C704-9C89-4CF5-A209-887D32445983}"/>
    <cellStyle name="Comma 2 3 2 2 4 6" xfId="12615" xr:uid="{078008B6-8F77-44B4-9F2D-829681009395}"/>
    <cellStyle name="Comma 2 3 2 2 4 6 2" xfId="46330" xr:uid="{540052B8-F1CE-40BA-9C9F-3AD05ECDB9FC}"/>
    <cellStyle name="Comma 2 3 2 2 4 6 3" xfId="51063" xr:uid="{6916FDC5-61B9-48F0-BCA6-0395C0D7BC30}"/>
    <cellStyle name="Comma 2 3 2 2 4 6 4" xfId="54079" xr:uid="{3CFC1612-3072-4F38-AEB2-8F83414A9E3D}"/>
    <cellStyle name="Comma 2 3 2 2 4 7" xfId="46057" xr:uid="{239796BB-D49C-4FD8-8A68-F245AE85B671}"/>
    <cellStyle name="Comma 2 3 2 2 4 8" xfId="49957" xr:uid="{B7E0E0CB-0419-4BAA-975C-93D4DCF2BF63}"/>
    <cellStyle name="Comma 2 3 2 2 4 9" xfId="52973" xr:uid="{99390D04-2F91-4A11-A5E9-F49A03CF57A4}"/>
    <cellStyle name="Comma 2 3 2 2 5" xfId="10241" xr:uid="{34E282BF-3774-469D-84C7-87219F1BD2B9}"/>
    <cellStyle name="Comma 2 3 2 2 5 2" xfId="14708" xr:uid="{2BEDB347-7438-4EDF-8D3D-6E6CB65C8BA7}"/>
    <cellStyle name="Comma 2 3 2 2 5 2 2" xfId="22255" xr:uid="{AC0B6C29-4A56-460C-8D98-480E18208F35}"/>
    <cellStyle name="Comma 2 3 2 2 5 2 3" xfId="24192" xr:uid="{D276435E-DF55-4B69-8BC3-1619E7ECA2A2}"/>
    <cellStyle name="Comma 2 3 2 2 5 2 4" xfId="51593" xr:uid="{C852BADA-D751-48B8-B78B-06F7DEE6915C}"/>
    <cellStyle name="Comma 2 3 2 2 5 2 5" xfId="54609" xr:uid="{E9BC575D-BBF0-4B90-A4C9-48C9DBF5C6CD}"/>
    <cellStyle name="Comma 2 3 2 2 5 3" xfId="15193" xr:uid="{B4B3970B-EC7C-42A2-8868-CC199D43DC6E}"/>
    <cellStyle name="Comma 2 3 2 2 5 3 2" xfId="22732" xr:uid="{3F711FB6-7673-4AE9-BB95-07BC9BBB9FD5}"/>
    <cellStyle name="Comma 2 3 2 2 5 3 3" xfId="48263" xr:uid="{062E630C-BF6E-4634-8EA1-7016F28E0F41}"/>
    <cellStyle name="Comma 2 3 2 2 5 3 4" xfId="52070" xr:uid="{FCC2F2E8-C349-4E54-8CA3-7ED512C75AC6}"/>
    <cellStyle name="Comma 2 3 2 2 5 3 5" xfId="55086" xr:uid="{9D566D94-1254-436A-B492-595DB258EC35}"/>
    <cellStyle name="Comma 2 3 2 2 5 4" xfId="15680" xr:uid="{015CE1E4-D585-4665-9F7C-B31FB673BBD6}"/>
    <cellStyle name="Comma 2 3 2 2 5 4 2" xfId="23209" xr:uid="{6A3B391A-D91C-4434-88B7-9DAD83502D38}"/>
    <cellStyle name="Comma 2 3 2 2 5 4 3" xfId="48520" xr:uid="{D395E98C-495B-4227-A67D-4F7A454B608C}"/>
    <cellStyle name="Comma 2 3 2 2 5 4 4" xfId="52547" xr:uid="{6ADE9D52-2F98-4C60-9572-11FEC9171C46}"/>
    <cellStyle name="Comma 2 3 2 2 5 4 5" xfId="55563" xr:uid="{5196A128-BCFA-44FB-8E24-873608B8A225}"/>
    <cellStyle name="Comma 2 3 2 2 5 5" xfId="12694" xr:uid="{C4B648AF-0EC9-4271-8130-64FD4436E4B1}"/>
    <cellStyle name="Comma 2 3 2 2 5 5 2" xfId="46783" xr:uid="{44F9A946-C1FB-4312-A077-217FD43A2BB8}"/>
    <cellStyle name="Comma 2 3 2 2 5 5 3" xfId="51116" xr:uid="{F404C3CF-DDBD-4F38-B5C3-B0F62F03F319}"/>
    <cellStyle name="Comma 2 3 2 2 5 5 4" xfId="54132" xr:uid="{B5B0ADFB-31D5-4438-A49F-36868EE5FC36}"/>
    <cellStyle name="Comma 2 3 2 2 5 6" xfId="47065" xr:uid="{9E5294AC-F0A4-454F-A77B-4952533084D0}"/>
    <cellStyle name="Comma 2 3 2 2 5 7" xfId="50010" xr:uid="{610C28C0-557C-4715-9DF7-B27967A7FA22}"/>
    <cellStyle name="Comma 2 3 2 2 5 8" xfId="53026" xr:uid="{CD60FDC1-7F53-489F-84C7-9BF4AFFC58BB}"/>
    <cellStyle name="Comma 2 3 2 2 6" xfId="10555" xr:uid="{1D619F59-1B4F-47A1-BEA4-3872C4DEBC44}"/>
    <cellStyle name="Comma 2 3 2 2 6 2" xfId="14920" xr:uid="{85BD085D-6E9B-4ED9-8846-BF11991FBA63}"/>
    <cellStyle name="Comma 2 3 2 2 6 2 2" xfId="22467" xr:uid="{9E44E96A-8E9B-4480-BADE-E9631360E98A}"/>
    <cellStyle name="Comma 2 3 2 2 6 2 3" xfId="47632" xr:uid="{0C7B8459-665A-4333-8A88-4C627D6D1CFB}"/>
    <cellStyle name="Comma 2 3 2 2 6 2 4" xfId="51805" xr:uid="{52F2556B-6432-4CC0-BFE3-23B1ABA26269}"/>
    <cellStyle name="Comma 2 3 2 2 6 2 5" xfId="54821" xr:uid="{493FAC5A-1DA8-45B1-87FB-66942A84333E}"/>
    <cellStyle name="Comma 2 3 2 2 6 3" xfId="15405" xr:uid="{225469CC-E072-4BA5-ACF7-2B628BE36EB6}"/>
    <cellStyle name="Comma 2 3 2 2 6 3 2" xfId="22944" xr:uid="{E269A07B-88F6-4804-BA2A-361EBCD57976}"/>
    <cellStyle name="Comma 2 3 2 2 6 3 3" xfId="47494" xr:uid="{ACDAF7C6-01B7-4DA6-80F2-DCCF397B7783}"/>
    <cellStyle name="Comma 2 3 2 2 6 3 4" xfId="52282" xr:uid="{F9C8ACBC-3183-403B-B208-CC1AEF372E16}"/>
    <cellStyle name="Comma 2 3 2 2 6 3 5" xfId="55298" xr:uid="{EC8D68D1-981D-4A45-A6EE-1C17A6D8BD36}"/>
    <cellStyle name="Comma 2 3 2 2 6 4" xfId="15893" xr:uid="{429961F2-F1B8-41D6-AD1C-48F7D3A74AC0}"/>
    <cellStyle name="Comma 2 3 2 2 6 4 2" xfId="23421" xr:uid="{4B59EFB9-E40B-44D6-AC5D-806F7AA41040}"/>
    <cellStyle name="Comma 2 3 2 2 6 4 3" xfId="47259" xr:uid="{98A7F0B4-B057-4FC1-8337-229E5E1D8D3F}"/>
    <cellStyle name="Comma 2 3 2 2 6 4 4" xfId="52759" xr:uid="{FD80F61B-3A63-455D-B8A0-287DEA2F03E5}"/>
    <cellStyle name="Comma 2 3 2 2 6 4 5" xfId="55775" xr:uid="{8CAF1096-3716-41B2-8B11-429704DCEBE3}"/>
    <cellStyle name="Comma 2 3 2 2 6 5" xfId="13008" xr:uid="{31D32552-A39F-4498-89BB-6900B8C06071}"/>
    <cellStyle name="Comma 2 3 2 2 6 5 2" xfId="48534" xr:uid="{B7E23389-4DD9-4F8D-8741-61BBC150CB7C}"/>
    <cellStyle name="Comma 2 3 2 2 6 5 3" xfId="51328" xr:uid="{D1346554-F627-4C89-90E6-3B0204495B30}"/>
    <cellStyle name="Comma 2 3 2 2 6 5 4" xfId="54344" xr:uid="{01DB7310-3CE4-4E73-B09C-D0227C30B9AF}"/>
    <cellStyle name="Comma 2 3 2 2 6 6" xfId="46148" xr:uid="{F5B72D3A-9F0E-4C9A-9C6E-9FE493612359}"/>
    <cellStyle name="Comma 2 3 2 2 6 7" xfId="50222" xr:uid="{20240709-0D8E-4300-8CC3-4A47B73E1309}"/>
    <cellStyle name="Comma 2 3 2 2 6 8" xfId="53238" xr:uid="{7EF2D2B8-EA29-48E4-8BB5-33EB38F5EDB4}"/>
    <cellStyle name="Comma 2 3 2 2 7" xfId="11122" xr:uid="{B3E6B635-2643-4006-BCA1-FA194549362A}"/>
    <cellStyle name="Comma 2 3 2 2 7 2" xfId="21674" xr:uid="{5DAF8C21-AE9C-40D9-BE0E-1C4FBE8FA729}"/>
    <cellStyle name="Comma 2 3 2 2 7 3" xfId="46725" xr:uid="{6E61455D-7EB3-4D03-BF85-01935D956726}"/>
    <cellStyle name="Comma 2 3 2 2 7 4" xfId="50689" xr:uid="{7BE36A4C-A66D-4B1C-8603-2719C810AFD0}"/>
    <cellStyle name="Comma 2 3 2 2 7 5" xfId="53705" xr:uid="{687189D2-D207-4371-933A-DCB4F30E4DAD}"/>
    <cellStyle name="Comma 2 3 2 2 8" xfId="12311" xr:uid="{2A4B8CD0-D57B-4B6B-ABEA-3E8569B6F2AC}"/>
    <cellStyle name="Comma 2 3 2 2 9" xfId="14496" xr:uid="{C050B31A-2CFD-4263-A641-5122C49BB61B}"/>
    <cellStyle name="Comma 2 3 2 2 9 2" xfId="22043" xr:uid="{3357FF0C-2D75-40CA-8B19-609C27D27989}"/>
    <cellStyle name="Comma 2 3 2 2 9 3" xfId="23983" xr:uid="{10BB6176-E51B-4715-9FA3-DF9ECEF7DFA3}"/>
    <cellStyle name="Comma 2 3 2 2 9 4" xfId="51381" xr:uid="{42EE97CD-A9E8-47CD-912D-2AB8328E3997}"/>
    <cellStyle name="Comma 2 3 2 2 9 5" xfId="54397" xr:uid="{563BD351-B5B2-4A93-8513-428463E258DA}"/>
    <cellStyle name="Comma 2 3 2 3" xfId="4529" xr:uid="{493F0920-1550-45DA-85B3-CDB7AA338E6B}"/>
    <cellStyle name="Comma 2 3 2 3 2" xfId="21716" xr:uid="{B49E0C13-3719-4B41-A4B8-DB03CDDBD846}"/>
    <cellStyle name="Comma 2 3 2 3 3" xfId="23713" xr:uid="{A0170B78-8522-4D32-A727-90D6ACC9EA5C}"/>
    <cellStyle name="Comma 2 3 2 3 4" xfId="50742" xr:uid="{1E7B3250-A20A-4991-B3E1-A7C465C95007}"/>
    <cellStyle name="Comma 2 3 2 3 5" xfId="53758" xr:uid="{082C403F-C876-48A9-9E27-D877800CBE68}"/>
    <cellStyle name="Comma 2 3 2 3 6" xfId="11694" xr:uid="{098E537A-E47F-4A06-AA8E-6FCA327D5068}"/>
    <cellStyle name="Comma 2 3 2 4" xfId="5811" xr:uid="{CC19D272-5B8D-4595-8509-7E3E23D36B66}"/>
    <cellStyle name="Comma 2 3 2 4 2" xfId="21682" xr:uid="{BD26BCE2-2701-467C-B149-EA8D1E770D3E}"/>
    <cellStyle name="Comma 2 3 2 4 3" xfId="46726" xr:uid="{7A9A975A-0A12-4B1E-ABFE-181D9F114B0C}"/>
    <cellStyle name="Comma 2 3 2 4 4" xfId="50698" xr:uid="{0817EAA9-AB46-4E5B-821F-4C289F7C7DBA}"/>
    <cellStyle name="Comma 2 3 2 4 5" xfId="53714" xr:uid="{58EEE596-3727-40CB-944B-96CA993CD4A2}"/>
    <cellStyle name="Comma 2 3 2 4 6" xfId="11185" xr:uid="{33D517A5-B922-4A2A-A40D-B136B944428A}"/>
    <cellStyle name="Comma 2 3 2 5" xfId="2610" xr:uid="{10789FBE-91FF-46F3-A589-E2E54D327238}"/>
    <cellStyle name="Comma 2 3 2 5 2" xfId="12269" xr:uid="{BA7B05E1-60A8-4A02-9280-3228D4EDFABD}"/>
    <cellStyle name="Comma 2 3 2 6" xfId="10615" xr:uid="{EF893778-A32A-4A00-A411-F9B4B6D6020D}"/>
    <cellStyle name="Comma 2 3 2 6 2" xfId="21249" xr:uid="{415F0277-F3EE-43B9-BAA0-7C113CB7960C}"/>
    <cellStyle name="Comma 2 3 2 6 3" xfId="48463" xr:uid="{8D242996-DBF5-4792-A6A4-1DB98DDC38E2}"/>
    <cellStyle name="Comma 2 3 2 6 4" xfId="50267" xr:uid="{2751CE10-A565-44C9-B00E-9647CAE07792}"/>
    <cellStyle name="Comma 2 3 2 6 5" xfId="53283" xr:uid="{3FD5148E-2F18-49C3-80BC-7B80BB7DEB3C}"/>
    <cellStyle name="Comma 2 3 2 7" xfId="19472" xr:uid="{DEBB2457-2723-40D6-995B-301AD4F56059}"/>
    <cellStyle name="Comma 2 3 2 8" xfId="23710" xr:uid="{FF5CA31E-C717-497F-985D-A0A703D97CDF}"/>
    <cellStyle name="Comma 2 3 2 9" xfId="48602" xr:uid="{3BA1CA65-EB90-45DF-B2FF-D4BBC07791FF}"/>
    <cellStyle name="Comma 2 3 3" xfId="2612" xr:uid="{35500606-BD11-43FF-A04E-4CFAB9AB4FEE}"/>
    <cellStyle name="Comma 2 3 3 10" xfId="49514" xr:uid="{9A724045-E256-4A53-A978-E20D74DB40C2}"/>
    <cellStyle name="Comma 2 3 3 11" xfId="7231" xr:uid="{B6EEB2F8-17AC-4EAC-ABFA-72379096343A}"/>
    <cellStyle name="Comma 2 3 3 2" xfId="4531" xr:uid="{ADB9BCDB-CCC2-47E0-B081-D408D2462514}"/>
    <cellStyle name="Comma 2 3 3 2 10" xfId="14981" xr:uid="{562B44BF-B022-445B-8BE5-7A7DA1469D7E}"/>
    <cellStyle name="Comma 2 3 3 2 10 2" xfId="22521" xr:uid="{C152A64C-17E9-42A6-BBFB-B43A3EA7395B}"/>
    <cellStyle name="Comma 2 3 3 2 10 3" xfId="47186" xr:uid="{D083A669-C520-4D35-B8BD-AE555FEC43D7}"/>
    <cellStyle name="Comma 2 3 3 2 10 4" xfId="51859" xr:uid="{578341D6-A9DE-4C92-8EAD-45B0D287BACD}"/>
    <cellStyle name="Comma 2 3 3 2 10 5" xfId="54875" xr:uid="{6BF11EBB-86F6-4FA6-B345-4F1FC26BF27F}"/>
    <cellStyle name="Comma 2 3 3 2 11" xfId="15468" xr:uid="{9B62C31B-3741-4528-B32E-ED3AD2FDDB59}"/>
    <cellStyle name="Comma 2 3 3 2 11 2" xfId="22998" xr:uid="{4ADE233E-BDCA-446C-86B2-B7B42C8B9328}"/>
    <cellStyle name="Comma 2 3 3 2 11 3" xfId="47641" xr:uid="{EEDBA100-76BC-4CCE-A149-6989EDB32C8F}"/>
    <cellStyle name="Comma 2 3 3 2 11 4" xfId="52336" xr:uid="{005DC9B1-7011-490A-A2E1-F94F8700F777}"/>
    <cellStyle name="Comma 2 3 3 2 11 5" xfId="55352" xr:uid="{59CB1526-335C-43FE-B3D9-7BFE0C877C36}"/>
    <cellStyle name="Comma 2 3 3 2 12" xfId="11582" xr:uid="{7E74BE7B-9B17-4967-AB52-DF93C0779EF4}"/>
    <cellStyle name="Comma 2 3 3 2 12 2" xfId="21706" xr:uid="{9B46831B-8FB9-4684-A782-4FA3C93C718D}"/>
    <cellStyle name="Comma 2 3 3 2 12 3" xfId="46730" xr:uid="{3BC7E94F-9216-41F8-8518-0B46A1AF1890}"/>
    <cellStyle name="Comma 2 3 3 2 12 4" xfId="50729" xr:uid="{5DCF5BB9-4031-4BC4-BA2A-A1053069F8DD}"/>
    <cellStyle name="Comma 2 3 3 2 12 5" xfId="53745" xr:uid="{E7215E71-6CCD-474C-BD84-B858CB095097}"/>
    <cellStyle name="Comma 2 3 3 2 13" xfId="23715" xr:uid="{7CCB8D40-203B-4208-9320-B525AE293FB6}"/>
    <cellStyle name="Comma 2 3 3 2 14" xfId="48605" xr:uid="{44FF0D3C-81B0-4A0A-9D3E-EDB78A8EB395}"/>
    <cellStyle name="Comma 2 3 3 2 15" xfId="49515" xr:uid="{CF554274-D85E-4CD3-8285-C1E6265C7EAE}"/>
    <cellStyle name="Comma 2 3 3 2 16" xfId="49799" xr:uid="{21D1C680-E72A-4A8E-AC32-E643184D36A6}"/>
    <cellStyle name="Comma 2 3 3 2 17" xfId="52814" xr:uid="{593A9DFC-63F8-4B25-8EDC-259204A11F54}"/>
    <cellStyle name="Comma 2 3 3 2 18" xfId="8922" xr:uid="{839081CE-7388-4740-A0F1-62F461438EEF}"/>
    <cellStyle name="Comma 2 3 3 2 2" xfId="8923" xr:uid="{9AEA7300-493B-48F4-98D8-C62EE68DBE80}"/>
    <cellStyle name="Comma 2 3 3 2 2 10" xfId="12163" xr:uid="{3DB2886A-2FD7-4B82-95BE-63CCE69C41D3}"/>
    <cellStyle name="Comma 2 3 3 2 2 10 2" xfId="47913" xr:uid="{0238C066-A38B-4B77-960B-11B99A23B220}"/>
    <cellStyle name="Comma 2 3 3 2 2 10 3" xfId="50932" xr:uid="{2C8A6751-9B7D-4DC6-B249-3268E74D2AB9}"/>
    <cellStyle name="Comma 2 3 3 2 2 10 4" xfId="53948" xr:uid="{B7D9D4FB-58D4-4864-BAEB-62E6F7C878FF}"/>
    <cellStyle name="Comma 2 3 3 2 2 11" xfId="23716" xr:uid="{14166768-0383-4AE8-8CEC-20DAE490F871}"/>
    <cellStyle name="Comma 2 3 3 2 2 12" xfId="48606" xr:uid="{13D3CBD7-EC16-4393-9082-29846C4A450F}"/>
    <cellStyle name="Comma 2 3 3 2 2 13" xfId="49516" xr:uid="{9F87A458-DE35-4FAE-B3F6-7F48DF475C42}"/>
    <cellStyle name="Comma 2 3 3 2 2 14" xfId="49800" xr:uid="{C30DD9B7-FD1D-4A60-9DC5-2F5E6B6C8636}"/>
    <cellStyle name="Comma 2 3 3 2 2 15" xfId="52815" xr:uid="{5914E20D-9A23-4EBC-8A2E-93D99C1251A4}"/>
    <cellStyle name="Comma 2 3 3 2 2 2" xfId="10010" xr:uid="{81D7DE8A-A586-4370-B685-D0A0E83E2D3D}"/>
    <cellStyle name="Comma 2 3 3 2 2 2 2" xfId="10318" xr:uid="{C9901270-A9E1-4D0A-BE4A-13E6ECF979B7}"/>
    <cellStyle name="Comma 2 3 3 2 2 2 2 2" xfId="14763" xr:uid="{6380216F-EB34-486D-892B-640937363C35}"/>
    <cellStyle name="Comma 2 3 3 2 2 2 2 2 2" xfId="22310" xr:uid="{A71D6395-2217-4B37-98B1-98949EB923DC}"/>
    <cellStyle name="Comma 2 3 3 2 2 2 2 2 3" xfId="47482" xr:uid="{CC347AEF-7DBB-4D8B-8A8C-BED38257B085}"/>
    <cellStyle name="Comma 2 3 3 2 2 2 2 2 4" xfId="51648" xr:uid="{46690CEA-F3BB-4AC8-8778-64D1EBFDC241}"/>
    <cellStyle name="Comma 2 3 3 2 2 2 2 2 5" xfId="54664" xr:uid="{698849CB-44B5-442A-9C45-E9B6DB71620C}"/>
    <cellStyle name="Comma 2 3 3 2 2 2 2 3" xfId="15248" xr:uid="{0E3EAEEF-4431-4682-B9F4-E9DDD358A2F5}"/>
    <cellStyle name="Comma 2 3 3 2 2 2 2 3 2" xfId="22787" xr:uid="{F0757066-0C0C-41E9-BAC6-71F50CF3E863}"/>
    <cellStyle name="Comma 2 3 3 2 2 2 2 3 3" xfId="32503" xr:uid="{BCEAD07F-7392-49AC-8732-E52FAB8D14CB}"/>
    <cellStyle name="Comma 2 3 3 2 2 2 2 3 4" xfId="52125" xr:uid="{B337458A-506E-46FB-AB70-E1C358D3A166}"/>
    <cellStyle name="Comma 2 3 3 2 2 2 2 3 5" xfId="55141" xr:uid="{EEBF4E12-4B91-4121-97D3-0000D76A38B8}"/>
    <cellStyle name="Comma 2 3 3 2 2 2 2 4" xfId="15735" xr:uid="{6777FA06-7326-4AE3-996D-D21B6AFBD20C}"/>
    <cellStyle name="Comma 2 3 3 2 2 2 2 4 2" xfId="23264" xr:uid="{3CD9D1E3-5474-4A3A-BDBC-E09C6448732E}"/>
    <cellStyle name="Comma 2 3 3 2 2 2 2 4 3" xfId="48147" xr:uid="{4C080507-189E-48B0-A598-D3529FD4F2E4}"/>
    <cellStyle name="Comma 2 3 3 2 2 2 2 4 4" xfId="52602" xr:uid="{EEB82CFB-3ED0-458C-AB6F-8015CE2A3AC4}"/>
    <cellStyle name="Comma 2 3 3 2 2 2 2 4 5" xfId="55618" xr:uid="{BDC065A7-74CE-4F4B-A173-032167B585ED}"/>
    <cellStyle name="Comma 2 3 3 2 2 2 2 5" xfId="12771" xr:uid="{4BE36D60-AA4A-4D04-923E-80D2C81FA136}"/>
    <cellStyle name="Comma 2 3 3 2 2 2 2 5 2" xfId="32290" xr:uid="{491DA435-EF2C-4B63-8463-15436F516362}"/>
    <cellStyle name="Comma 2 3 3 2 2 2 2 5 3" xfId="51171" xr:uid="{80E6891A-9D17-41DF-B54A-C3B9FB044326}"/>
    <cellStyle name="Comma 2 3 3 2 2 2 2 5 4" xfId="54187" xr:uid="{75E33824-8EF5-4871-8AB8-50DCFF7A8A50}"/>
    <cellStyle name="Comma 2 3 3 2 2 2 2 6" xfId="24767" xr:uid="{96C08D6B-920B-4FC2-976E-FF4009562835}"/>
    <cellStyle name="Comma 2 3 3 2 2 2 2 7" xfId="50065" xr:uid="{3143380A-9FCA-4B49-9559-6EBB773F820F}"/>
    <cellStyle name="Comma 2 3 3 2 2 2 2 8" xfId="53081" xr:uid="{EE4E6D69-C339-4CB3-BE37-E8EE301DE50C}"/>
    <cellStyle name="Comma 2 3 3 2 2 2 3" xfId="14551" xr:uid="{634818F9-6026-4274-9BFF-E461EE018545}"/>
    <cellStyle name="Comma 2 3 3 2 2 2 3 2" xfId="22098" xr:uid="{33F36FE2-1FF3-43BE-B62B-CA50029C6400}"/>
    <cellStyle name="Comma 2 3 3 2 2 2 3 3" xfId="32286" xr:uid="{A1BD8C33-FA27-4704-93BD-BC1C134BF0D5}"/>
    <cellStyle name="Comma 2 3 3 2 2 2 3 4" xfId="51436" xr:uid="{AFE0FA84-D37D-4450-961E-40062980A3FC}"/>
    <cellStyle name="Comma 2 3 3 2 2 2 3 5" xfId="54452" xr:uid="{20765DF2-6BBE-488A-98F2-016954FB5105}"/>
    <cellStyle name="Comma 2 3 3 2 2 2 4" xfId="15035" xr:uid="{F92A3C6D-A559-41EA-90AF-4D4E318F6382}"/>
    <cellStyle name="Comma 2 3 3 2 2 2 4 2" xfId="22575" xr:uid="{EAE6AFE0-8C56-4349-A81E-EE6E722E73FE}"/>
    <cellStyle name="Comma 2 3 3 2 2 2 4 3" xfId="47055" xr:uid="{F4B6E4B4-A93C-463A-9616-788BC1B90FE4}"/>
    <cellStyle name="Comma 2 3 3 2 2 2 4 4" xfId="51913" xr:uid="{D61DA29A-49A4-48CB-A324-486424AB35FE}"/>
    <cellStyle name="Comma 2 3 3 2 2 2 4 5" xfId="54929" xr:uid="{FFB8FF1D-AE3A-49BA-BEB3-06D0DB962AB4}"/>
    <cellStyle name="Comma 2 3 3 2 2 2 5" xfId="15522" xr:uid="{7F91B782-E650-409D-8F07-1E91D279A253}"/>
    <cellStyle name="Comma 2 3 3 2 2 2 5 2" xfId="23052" xr:uid="{58271FC9-8401-411D-AA5C-D8AD294EA41F}"/>
    <cellStyle name="Comma 2 3 3 2 2 2 5 3" xfId="32500" xr:uid="{22606DFB-173B-4721-986E-4782441FEA91}"/>
    <cellStyle name="Comma 2 3 3 2 2 2 5 4" xfId="52390" xr:uid="{236997D6-D482-45F5-A3F4-007138511349}"/>
    <cellStyle name="Comma 2 3 3 2 2 2 5 5" xfId="55406" xr:uid="{F4DF83BA-4308-4105-8BB9-586C385EA8D6}"/>
    <cellStyle name="Comma 2 3 3 2 2 2 6" xfId="12470" xr:uid="{EAC8620C-B7D3-438C-AB3E-4A507A4089F9}"/>
    <cellStyle name="Comma 2 3 3 2 2 2 6 2" xfId="47148" xr:uid="{084ABE5D-FC3D-4C4B-9A06-346752CF7969}"/>
    <cellStyle name="Comma 2 3 3 2 2 2 6 3" xfId="50959" xr:uid="{28AFCB86-CDD0-4ACF-BE44-A032860DA834}"/>
    <cellStyle name="Comma 2 3 3 2 2 2 6 4" xfId="53975" xr:uid="{ED95C7B1-01EA-41B4-ABC6-77D2E1BE2ADC}"/>
    <cellStyle name="Comma 2 3 3 2 2 2 7" xfId="24283" xr:uid="{302BE3D2-5A72-491D-AA1F-8C65A89B0C40}"/>
    <cellStyle name="Comma 2 3 3 2 2 2 8" xfId="49853" xr:uid="{D5134812-2946-4B86-98F3-C4CAE961E59A}"/>
    <cellStyle name="Comma 2 3 3 2 2 2 9" xfId="52869" xr:uid="{05F9DBF3-FB26-4109-AE51-3420A3ECBDBB}"/>
    <cellStyle name="Comma 2 3 3 2 2 3" xfId="10084" xr:uid="{3DDF6CCC-95FC-4217-875B-86D8D59B625D}"/>
    <cellStyle name="Comma 2 3 3 2 2 3 2" xfId="10397" xr:uid="{F327FD35-5F63-40A8-BFF9-0B1F9342CB8F}"/>
    <cellStyle name="Comma 2 3 3 2 2 3 2 2" xfId="14816" xr:uid="{88D3B751-9245-4432-993E-B86D8E2E3764}"/>
    <cellStyle name="Comma 2 3 3 2 2 3 2 2 2" xfId="22363" xr:uid="{D009B561-F0F6-4F97-AE37-8ED7841D5089}"/>
    <cellStyle name="Comma 2 3 3 2 2 3 2 2 3" xfId="47833" xr:uid="{4E61C217-312D-4172-9D6F-BEEEA9799E27}"/>
    <cellStyle name="Comma 2 3 3 2 2 3 2 2 4" xfId="51701" xr:uid="{6E3A6567-E406-4C06-BC36-69437C75180D}"/>
    <cellStyle name="Comma 2 3 3 2 2 3 2 2 5" xfId="54717" xr:uid="{A0D76394-B054-4B51-A66E-8CA3518B168B}"/>
    <cellStyle name="Comma 2 3 3 2 2 3 2 3" xfId="15301" xr:uid="{FEDCBEA9-F5B0-4E48-9139-CA82F373B178}"/>
    <cellStyle name="Comma 2 3 3 2 2 3 2 3 2" xfId="22840" xr:uid="{03132B17-FBDC-4402-AAB6-BD0F60246768}"/>
    <cellStyle name="Comma 2 3 3 2 2 3 2 3 3" xfId="46513" xr:uid="{612B8823-77C1-4149-8941-41423BA1D4DE}"/>
    <cellStyle name="Comma 2 3 3 2 2 3 2 3 4" xfId="52178" xr:uid="{CC4A7E16-688A-4504-AD8A-3779A4BB4C16}"/>
    <cellStyle name="Comma 2 3 3 2 2 3 2 3 5" xfId="55194" xr:uid="{0C156BC6-44C8-4B83-B638-2C34A95E7B69}"/>
    <cellStyle name="Comma 2 3 3 2 2 3 2 4" xfId="15788" xr:uid="{E527D0FC-D9B4-4634-B114-F4A7874ADCDF}"/>
    <cellStyle name="Comma 2 3 3 2 2 3 2 4 2" xfId="23317" xr:uid="{17E391A2-A348-49C5-AEAA-144058E07378}"/>
    <cellStyle name="Comma 2 3 3 2 2 3 2 4 3" xfId="48134" xr:uid="{CE490C57-4F08-408D-8F5E-CB05E9BDC62B}"/>
    <cellStyle name="Comma 2 3 3 2 2 3 2 4 4" xfId="52655" xr:uid="{3FC421B0-5298-4FA2-A196-9A6A026618E1}"/>
    <cellStyle name="Comma 2 3 3 2 2 3 2 4 5" xfId="55671" xr:uid="{B0E0ADA2-D489-4697-AAA5-4FF2FBE5664A}"/>
    <cellStyle name="Comma 2 3 3 2 2 3 2 5" xfId="12850" xr:uid="{F02A9E2F-3C96-40D1-AB83-A3DC2D641ED4}"/>
    <cellStyle name="Comma 2 3 3 2 2 3 2 5 2" xfId="47449" xr:uid="{551A6DAC-3CE8-4220-9907-7609AAA74BD9}"/>
    <cellStyle name="Comma 2 3 3 2 2 3 2 5 3" xfId="51224" xr:uid="{F5DA4536-E7C5-4E12-B552-04B5BB8ED2AB}"/>
    <cellStyle name="Comma 2 3 3 2 2 3 2 5 4" xfId="54240" xr:uid="{28697651-E5D9-43A7-8E11-A25139D74C84}"/>
    <cellStyle name="Comma 2 3 3 2 2 3 2 6" xfId="47880" xr:uid="{C880A799-911F-4B63-BF31-D28D3914124F}"/>
    <cellStyle name="Comma 2 3 3 2 2 3 2 7" xfId="50118" xr:uid="{7A83D633-EB12-43EA-9DD0-D6569E8CBCBB}"/>
    <cellStyle name="Comma 2 3 3 2 2 3 2 8" xfId="53134" xr:uid="{13E1A844-308F-48A3-A7E4-0F788F51C76D}"/>
    <cellStyle name="Comma 2 3 3 2 2 3 3" xfId="14604" xr:uid="{D613A7A4-2151-47FE-B52B-0AC7155C0794}"/>
    <cellStyle name="Comma 2 3 3 2 2 3 3 2" xfId="22151" xr:uid="{5FD6806E-727F-4225-BA71-1E3F6E627C9C}"/>
    <cellStyle name="Comma 2 3 3 2 2 3 3 3" xfId="25304" xr:uid="{12C0E995-F3FD-4622-A9F6-09A0F229C4A0}"/>
    <cellStyle name="Comma 2 3 3 2 2 3 3 4" xfId="51489" xr:uid="{279E5EBF-2CE8-4875-821C-757823174AB2}"/>
    <cellStyle name="Comma 2 3 3 2 2 3 3 5" xfId="54505" xr:uid="{C3CF9289-CF76-49AD-9891-B6035A94CB03}"/>
    <cellStyle name="Comma 2 3 3 2 2 3 4" xfId="15089" xr:uid="{9CDF5FC9-4D21-476E-9268-4F6EEAAA7D34}"/>
    <cellStyle name="Comma 2 3 3 2 2 3 4 2" xfId="22628" xr:uid="{D2272AFA-EDF4-4082-871C-7C521E68F8BD}"/>
    <cellStyle name="Comma 2 3 3 2 2 3 4 3" xfId="47126" xr:uid="{66644AA2-FCE6-4699-AE11-620482B316FB}"/>
    <cellStyle name="Comma 2 3 3 2 2 3 4 4" xfId="51966" xr:uid="{F8F41B77-E29F-4B90-8CCE-F30E1274B869}"/>
    <cellStyle name="Comma 2 3 3 2 2 3 4 5" xfId="54982" xr:uid="{A2521340-861F-403E-B1BB-1674CE9D2C4F}"/>
    <cellStyle name="Comma 2 3 3 2 2 3 5" xfId="15576" xr:uid="{9635ECC7-7C15-4138-9C90-EF955C4BEFB7}"/>
    <cellStyle name="Comma 2 3 3 2 2 3 5 2" xfId="23105" xr:uid="{6B9CD819-5734-4A60-BA18-FFE23A01C13B}"/>
    <cellStyle name="Comma 2 3 3 2 2 3 5 3" xfId="48307" xr:uid="{467439F8-EF41-4FBA-A00C-E26CFDC83A06}"/>
    <cellStyle name="Comma 2 3 3 2 2 3 5 4" xfId="52443" xr:uid="{16D38A50-D63D-41C5-BB50-0C7BA72C4815}"/>
    <cellStyle name="Comma 2 3 3 2 2 3 5 5" xfId="55459" xr:uid="{EE725219-C4AD-445D-A29A-3BDACE3B21D6}"/>
    <cellStyle name="Comma 2 3 3 2 2 3 6" xfId="12541" xr:uid="{30C6DAE7-EE60-4C07-8A11-7CABC3FBC9C0}"/>
    <cellStyle name="Comma 2 3 3 2 2 3 6 2" xfId="46321" xr:uid="{209DBD0A-A89A-4E56-86BD-9CD479A7CCFB}"/>
    <cellStyle name="Comma 2 3 3 2 2 3 6 3" xfId="51012" xr:uid="{44701997-BD55-4720-9AB5-9DD4B31D0A31}"/>
    <cellStyle name="Comma 2 3 3 2 2 3 6 4" xfId="54028" xr:uid="{F45856DA-ADE5-43E8-9981-DC8A922643E0}"/>
    <cellStyle name="Comma 2 3 3 2 2 3 7" xfId="47575" xr:uid="{C1C0392D-C286-449A-A01D-FE38F0969377}"/>
    <cellStyle name="Comma 2 3 3 2 2 3 8" xfId="49906" xr:uid="{DB6C0079-84A4-40F4-9586-571B0509EB81}"/>
    <cellStyle name="Comma 2 3 3 2 2 3 9" xfId="52922" xr:uid="{9384B0DF-F466-4835-B9CD-053A203023BF}"/>
    <cellStyle name="Comma 2 3 3 2 2 4" xfId="10163" xr:uid="{B04E7CCF-B7C1-415F-BB8E-544B1623EC40}"/>
    <cellStyle name="Comma 2 3 3 2 2 4 2" xfId="10477" xr:uid="{634D9298-CD82-4347-961F-7107AD66779B}"/>
    <cellStyle name="Comma 2 3 3 2 2 4 2 2" xfId="14869" xr:uid="{B5F65823-6A19-426B-8600-431C181EAD10}"/>
    <cellStyle name="Comma 2 3 3 2 2 4 2 2 2" xfId="22416" xr:uid="{28FBD4DE-8ECB-4953-87E9-43BFCF095D18}"/>
    <cellStyle name="Comma 2 3 3 2 2 4 2 2 3" xfId="24663" xr:uid="{4ACA0F8C-88D0-4E96-A57F-FA4EB4FAA3BD}"/>
    <cellStyle name="Comma 2 3 3 2 2 4 2 2 4" xfId="51754" xr:uid="{64704F0A-197E-42A5-A3A6-3940EBAA2FC3}"/>
    <cellStyle name="Comma 2 3 3 2 2 4 2 2 5" xfId="54770" xr:uid="{0449EDBD-FB6B-4535-ABA6-40A6203BC46C}"/>
    <cellStyle name="Comma 2 3 3 2 2 4 2 3" xfId="15354" xr:uid="{DC3FE315-8E4E-4A20-8943-27B7EC640E87}"/>
    <cellStyle name="Comma 2 3 3 2 2 4 2 3 2" xfId="22893" xr:uid="{2C5F59BA-A079-4490-BA29-0B17EBF56483}"/>
    <cellStyle name="Comma 2 3 3 2 2 4 2 3 3" xfId="24172" xr:uid="{CC64EF9F-6377-4C40-B215-65C238DDD62D}"/>
    <cellStyle name="Comma 2 3 3 2 2 4 2 3 4" xfId="52231" xr:uid="{74A5077B-E4A8-4F22-8175-E4BFD90267EC}"/>
    <cellStyle name="Comma 2 3 3 2 2 4 2 3 5" xfId="55247" xr:uid="{D686F579-40AF-4055-A505-0881561068A5}"/>
    <cellStyle name="Comma 2 3 3 2 2 4 2 4" xfId="15841" xr:uid="{8698290C-7EE2-4A04-BA00-3EC86F704A42}"/>
    <cellStyle name="Comma 2 3 3 2 2 4 2 4 2" xfId="23370" xr:uid="{EBAEB50D-8A3D-4556-8E1F-2F12181AEED9}"/>
    <cellStyle name="Comma 2 3 3 2 2 4 2 4 3" xfId="47202" xr:uid="{473318F6-6C2E-42F7-998B-22E7CAEC5110}"/>
    <cellStyle name="Comma 2 3 3 2 2 4 2 4 4" xfId="52708" xr:uid="{CD3D6EF2-33C5-4C9E-AE0B-8F23AD8C5186}"/>
    <cellStyle name="Comma 2 3 3 2 2 4 2 4 5" xfId="55724" xr:uid="{FF7D31D6-A4B0-400E-984E-53233D607287}"/>
    <cellStyle name="Comma 2 3 3 2 2 4 2 5" xfId="12930" xr:uid="{597246DD-2EF0-49E7-A42A-59F2538DFE83}"/>
    <cellStyle name="Comma 2 3 3 2 2 4 2 5 2" xfId="25040" xr:uid="{1B92E4ED-9B1D-447E-8880-D8A4933C89D5}"/>
    <cellStyle name="Comma 2 3 3 2 2 4 2 5 3" xfId="51277" xr:uid="{11274D5A-AF52-45A1-B1C5-027FC2FE710D}"/>
    <cellStyle name="Comma 2 3 3 2 2 4 2 5 4" xfId="54293" xr:uid="{1AA17386-68F9-4D6E-B2D9-BC1D8AFF3AE3}"/>
    <cellStyle name="Comma 2 3 3 2 2 4 2 6" xfId="48460" xr:uid="{AA75026D-1267-4816-9270-296CAA45F2CA}"/>
    <cellStyle name="Comma 2 3 3 2 2 4 2 7" xfId="50171" xr:uid="{35687136-A10C-4F44-8299-3FFF4D41D326}"/>
    <cellStyle name="Comma 2 3 3 2 2 4 2 8" xfId="53187" xr:uid="{3D72BCB1-0140-49BB-8EE6-4DC9A3686AD8}"/>
    <cellStyle name="Comma 2 3 3 2 2 4 3" xfId="14657" xr:uid="{140666AB-F31C-4C80-B489-1CED8B06FFC8}"/>
    <cellStyle name="Comma 2 3 3 2 2 4 3 2" xfId="22204" xr:uid="{2D5073D0-2AD3-4772-ABDD-C332E6F7B0D8}"/>
    <cellStyle name="Comma 2 3 3 2 2 4 3 3" xfId="24668" xr:uid="{90A4B1B7-9C2A-47D5-BFDC-00365EF83A81}"/>
    <cellStyle name="Comma 2 3 3 2 2 4 3 4" xfId="51542" xr:uid="{17B80620-401D-4099-93DF-F6B585214272}"/>
    <cellStyle name="Comma 2 3 3 2 2 4 3 5" xfId="54558" xr:uid="{9AA6AA5B-4856-4877-9C08-F40D25A5FFD3}"/>
    <cellStyle name="Comma 2 3 3 2 2 4 4" xfId="15142" xr:uid="{49E682B6-F4DD-4850-B3E0-5BB8DE2CCC74}"/>
    <cellStyle name="Comma 2 3 3 2 2 4 4 2" xfId="22681" xr:uid="{191456E4-5803-4D43-8BBB-B1FEA159F539}"/>
    <cellStyle name="Comma 2 3 3 2 2 4 4 3" xfId="46886" xr:uid="{FA35787F-83C2-4257-84F8-3DA415558891}"/>
    <cellStyle name="Comma 2 3 3 2 2 4 4 4" xfId="52019" xr:uid="{81E48D3E-8A6A-4287-AB2D-71EF93DBE51C}"/>
    <cellStyle name="Comma 2 3 3 2 2 4 4 5" xfId="55035" xr:uid="{9945936D-7235-401A-B8B5-9A627AC17D74}"/>
    <cellStyle name="Comma 2 3 3 2 2 4 5" xfId="15629" xr:uid="{209B5AF4-6963-4CA3-8089-7FFA58BEB8ED}"/>
    <cellStyle name="Comma 2 3 3 2 2 4 5 2" xfId="23158" xr:uid="{445799C3-9728-4D1D-AC9D-69AC5C0983C6}"/>
    <cellStyle name="Comma 2 3 3 2 2 4 5 3" xfId="46560" xr:uid="{E0DBD783-334B-4962-A4CA-1AB91DF52878}"/>
    <cellStyle name="Comma 2 3 3 2 2 4 5 4" xfId="52496" xr:uid="{50DE72DC-5B17-45E1-A722-C48C19BA3D92}"/>
    <cellStyle name="Comma 2 3 3 2 2 4 5 5" xfId="55512" xr:uid="{06EE886B-25C4-4872-B31A-DAADAB083FBA}"/>
    <cellStyle name="Comma 2 3 3 2 2 4 6" xfId="12617" xr:uid="{70E781F8-BB35-4F8D-B87D-5D57ADF1C8DE}"/>
    <cellStyle name="Comma 2 3 3 2 2 4 6 2" xfId="48105" xr:uid="{30F71BCC-B179-4F83-8821-CBE3C69DC981}"/>
    <cellStyle name="Comma 2 3 3 2 2 4 6 3" xfId="51065" xr:uid="{40C3B186-8008-46C4-BF1D-115B93BADC31}"/>
    <cellStyle name="Comma 2 3 3 2 2 4 6 4" xfId="54081" xr:uid="{CDDDEF76-BFBA-41AF-95D6-3EFA561C40E7}"/>
    <cellStyle name="Comma 2 3 3 2 2 4 7" xfId="37549" xr:uid="{6EA288DE-F4B9-4807-A555-7C39D0B72D1C}"/>
    <cellStyle name="Comma 2 3 3 2 2 4 8" xfId="49959" xr:uid="{75C94E26-BDD7-4071-9E20-50B8B6241F70}"/>
    <cellStyle name="Comma 2 3 3 2 2 4 9" xfId="52975" xr:uid="{9352FA9F-73B6-447F-A4FC-C60222185F71}"/>
    <cellStyle name="Comma 2 3 3 2 2 5" xfId="10243" xr:uid="{04948784-9473-4C0E-9EF9-7D10D2EED147}"/>
    <cellStyle name="Comma 2 3 3 2 2 5 2" xfId="14710" xr:uid="{04790763-19D9-4232-8274-A6FFE837B242}"/>
    <cellStyle name="Comma 2 3 3 2 2 5 2 2" xfId="22257" xr:uid="{10F0F58B-ABE7-44E0-8621-1EF271DBFDF4}"/>
    <cellStyle name="Comma 2 3 3 2 2 5 2 3" xfId="32408" xr:uid="{72565A0D-7E01-4730-9790-CE98AE1C6027}"/>
    <cellStyle name="Comma 2 3 3 2 2 5 2 4" xfId="51595" xr:uid="{DD2C4D15-C404-4B58-9374-AE3C9A0E7537}"/>
    <cellStyle name="Comma 2 3 3 2 2 5 2 5" xfId="54611" xr:uid="{E5D418A9-739C-4DE0-A6CE-86DA2C41CA79}"/>
    <cellStyle name="Comma 2 3 3 2 2 5 3" xfId="15195" xr:uid="{561D71AA-BF53-42D8-A418-F03A56FBB955}"/>
    <cellStyle name="Comma 2 3 3 2 2 5 3 2" xfId="22734" xr:uid="{8D32DD5B-9BB5-44E8-9D2A-B786ABCA31E5}"/>
    <cellStyle name="Comma 2 3 3 2 2 5 3 3" xfId="25293" xr:uid="{1E3F4908-BCF1-49BA-AEBC-DC95B06D3515}"/>
    <cellStyle name="Comma 2 3 3 2 2 5 3 4" xfId="52072" xr:uid="{D13E17F8-8006-4F21-82C3-351CC2C9F1B0}"/>
    <cellStyle name="Comma 2 3 3 2 2 5 3 5" xfId="55088" xr:uid="{A9A7432B-FB81-451D-9C3C-3BF423CD25B5}"/>
    <cellStyle name="Comma 2 3 3 2 2 5 4" xfId="15682" xr:uid="{65316279-DD5F-4E6E-BCAE-C1B2A6F474F5}"/>
    <cellStyle name="Comma 2 3 3 2 2 5 4 2" xfId="23211" xr:uid="{7BCCA78E-C64F-4C42-892C-8BBF3067C1A1}"/>
    <cellStyle name="Comma 2 3 3 2 2 5 4 3" xfId="47443" xr:uid="{6BAE5DAF-3E43-4807-9165-38B28437A281}"/>
    <cellStyle name="Comma 2 3 3 2 2 5 4 4" xfId="52549" xr:uid="{D04785B6-8989-42E4-A8C1-F52A97B128AD}"/>
    <cellStyle name="Comma 2 3 3 2 2 5 4 5" xfId="55565" xr:uid="{56DB0038-DACA-4101-8E4E-4ACD00DFB951}"/>
    <cellStyle name="Comma 2 3 3 2 2 5 5" xfId="12696" xr:uid="{D018CF7A-5CF2-4314-A5AA-66349A200C4B}"/>
    <cellStyle name="Comma 2 3 3 2 2 5 5 2" xfId="48492" xr:uid="{AC6D66D0-1AAC-451E-B31B-D3D51D25D539}"/>
    <cellStyle name="Comma 2 3 3 2 2 5 5 3" xfId="51118" xr:uid="{63A82555-6ECF-4C24-A3AB-8E51D85D12CC}"/>
    <cellStyle name="Comma 2 3 3 2 2 5 5 4" xfId="54134" xr:uid="{425F0BC5-8D40-4739-94DF-EF370D66802D}"/>
    <cellStyle name="Comma 2 3 3 2 2 5 6" xfId="47066" xr:uid="{F72097DF-9FBC-4161-BCBA-63036345E53E}"/>
    <cellStyle name="Comma 2 3 3 2 2 5 7" xfId="50012" xr:uid="{D1AC5D3F-9256-43D0-A06C-15166C31C55D}"/>
    <cellStyle name="Comma 2 3 3 2 2 5 8" xfId="53028" xr:uid="{2B734D23-3A83-4C99-B0DA-2BEE4953DAA7}"/>
    <cellStyle name="Comma 2 3 3 2 2 6" xfId="10557" xr:uid="{0F2EDD79-8D78-40E3-A5D5-A7B8D9505597}"/>
    <cellStyle name="Comma 2 3 3 2 2 6 2" xfId="14922" xr:uid="{D2E6BDBA-41FC-4358-AD04-6E2BC6E6DEBB}"/>
    <cellStyle name="Comma 2 3 3 2 2 6 2 2" xfId="22469" xr:uid="{45A6045B-11BA-42A1-A740-73CAC7F598CE}"/>
    <cellStyle name="Comma 2 3 3 2 2 6 2 3" xfId="47216" xr:uid="{7F323C29-BA99-402F-821D-26CE09DCA92E}"/>
    <cellStyle name="Comma 2 3 3 2 2 6 2 4" xfId="51807" xr:uid="{870BC3A5-84B4-4893-AE70-02B2F73FBA4E}"/>
    <cellStyle name="Comma 2 3 3 2 2 6 2 5" xfId="54823" xr:uid="{43F0D32A-5D8E-407F-8215-6B56B2C34211}"/>
    <cellStyle name="Comma 2 3 3 2 2 6 3" xfId="15407" xr:uid="{537C3F3A-2FA2-4EF7-8944-90AC74EF0BF3}"/>
    <cellStyle name="Comma 2 3 3 2 2 6 3 2" xfId="22946" xr:uid="{83757C3A-9B11-498B-B661-1935D37CA84C}"/>
    <cellStyle name="Comma 2 3 3 2 2 6 3 3" xfId="46530" xr:uid="{00AB1A0E-9C5A-4F7B-A1E4-FE39CE187293}"/>
    <cellStyle name="Comma 2 3 3 2 2 6 3 4" xfId="52284" xr:uid="{8E8E0ECE-1CEE-4BC7-9FC9-4D7297764136}"/>
    <cellStyle name="Comma 2 3 3 2 2 6 3 5" xfId="55300" xr:uid="{077E2F33-E6C6-4B34-ACC2-B6275E84F2C2}"/>
    <cellStyle name="Comma 2 3 3 2 2 6 4" xfId="15895" xr:uid="{1E0723AF-6660-4ECB-9F9A-7EF66B6EC262}"/>
    <cellStyle name="Comma 2 3 3 2 2 6 4 2" xfId="23423" xr:uid="{EBFBC522-A0F5-480A-AFB0-DEB50BB9EB0D}"/>
    <cellStyle name="Comma 2 3 3 2 2 6 4 3" xfId="47203" xr:uid="{287D6B84-EF37-45C7-884F-A10E14BAB107}"/>
    <cellStyle name="Comma 2 3 3 2 2 6 4 4" xfId="52761" xr:uid="{EAA5214C-594A-423C-BA65-0B473B8119F5}"/>
    <cellStyle name="Comma 2 3 3 2 2 6 4 5" xfId="55777" xr:uid="{2F663129-7E3D-4D5C-B632-F5174AC18C3D}"/>
    <cellStyle name="Comma 2 3 3 2 2 6 5" xfId="13010" xr:uid="{57D6A7D9-6152-4E98-9E9A-80A2431DA986}"/>
    <cellStyle name="Comma 2 3 3 2 2 6 5 2" xfId="25030" xr:uid="{4FFA8E65-719B-4C1B-9117-C4E8DB443861}"/>
    <cellStyle name="Comma 2 3 3 2 2 6 5 3" xfId="51330" xr:uid="{06FF790C-0EEF-4A5D-A032-4FC572258DF1}"/>
    <cellStyle name="Comma 2 3 3 2 2 6 5 4" xfId="54346" xr:uid="{A3077C8C-71A9-4DBB-B1E0-8C8D55FCBBBA}"/>
    <cellStyle name="Comma 2 3 3 2 2 6 6" xfId="46149" xr:uid="{6701E823-D573-4352-8B05-53F335E63EBC}"/>
    <cellStyle name="Comma 2 3 3 2 2 6 7" xfId="50224" xr:uid="{826E46B8-136D-453F-87C6-C010ABEF4B5E}"/>
    <cellStyle name="Comma 2 3 3 2 2 6 8" xfId="53240" xr:uid="{D5366F76-B593-4BEC-85E6-12335C575869}"/>
    <cellStyle name="Comma 2 3 3 2 2 7" xfId="14498" xr:uid="{A61F8E3B-3D87-4952-A1F1-2AD195AA481E}"/>
    <cellStyle name="Comma 2 3 3 2 2 7 2" xfId="22045" xr:uid="{3B95EBA4-B2BE-4F69-97DE-7F8259459B63}"/>
    <cellStyle name="Comma 2 3 3 2 2 7 3" xfId="24987" xr:uid="{E4355425-C184-4C78-A68C-F5C0633A82B0}"/>
    <cellStyle name="Comma 2 3 3 2 2 7 4" xfId="51383" xr:uid="{7D3ABDE0-CA00-4FB9-89F9-A559AACF77C1}"/>
    <cellStyle name="Comma 2 3 3 2 2 7 5" xfId="54399" xr:uid="{2FD48C33-A294-4951-BEFE-7DA0CFB91FB2}"/>
    <cellStyle name="Comma 2 3 3 2 2 8" xfId="14982" xr:uid="{1FEFD389-A114-4F8A-8F93-1AD77E47CAB9}"/>
    <cellStyle name="Comma 2 3 3 2 2 8 2" xfId="22522" xr:uid="{3DDF08D1-53AB-4ED2-A4B6-B76A6D74EF28}"/>
    <cellStyle name="Comma 2 3 3 2 2 8 3" xfId="47334" xr:uid="{DC4799D3-624B-41CD-8A6A-9939AB488189}"/>
    <cellStyle name="Comma 2 3 3 2 2 8 4" xfId="51860" xr:uid="{B8D3AB0F-0072-45BE-B76E-31227BB43BD8}"/>
    <cellStyle name="Comma 2 3 3 2 2 8 5" xfId="54876" xr:uid="{2F449CD7-37D8-4DE9-87B3-0778DB8890CC}"/>
    <cellStyle name="Comma 2 3 3 2 2 9" xfId="15469" xr:uid="{CC41493E-1ED9-4843-85E1-CD4F94B514D1}"/>
    <cellStyle name="Comma 2 3 3 2 2 9 2" xfId="22999" xr:uid="{771B201C-2A66-4B24-A7D7-4E133BFE85FF}"/>
    <cellStyle name="Comma 2 3 3 2 2 9 3" xfId="47001" xr:uid="{0775FE58-01A6-4B92-A37E-DC39FB9AD7B6}"/>
    <cellStyle name="Comma 2 3 3 2 2 9 4" xfId="52337" xr:uid="{D41F65A8-8A10-47C5-A7BF-C96B17D9F4E9}"/>
    <cellStyle name="Comma 2 3 3 2 2 9 5" xfId="55353" xr:uid="{162BB384-DE09-431D-A5A7-1B4C8D54A7C4}"/>
    <cellStyle name="Comma 2 3 3 2 3" xfId="10009" xr:uid="{8E4EB684-8056-4E51-9E0A-45DCFC96D217}"/>
    <cellStyle name="Comma 2 3 3 2 3 2" xfId="10317" xr:uid="{D564A100-381F-43C1-9A1E-7CA5C4D8101B}"/>
    <cellStyle name="Comma 2 3 3 2 3 2 2" xfId="14762" xr:uid="{272C46AA-4058-40B3-8201-AD80E6AEBEF8}"/>
    <cellStyle name="Comma 2 3 3 2 3 2 2 2" xfId="22309" xr:uid="{C302F4F1-5E4D-46A5-8192-DF9BEB5D4805}"/>
    <cellStyle name="Comma 2 3 3 2 3 2 2 3" xfId="46860" xr:uid="{981DA0AA-DB31-4009-9056-4C4878A2126D}"/>
    <cellStyle name="Comma 2 3 3 2 3 2 2 4" xfId="51647" xr:uid="{7FB11E94-91A4-409F-8902-615488925A85}"/>
    <cellStyle name="Comma 2 3 3 2 3 2 2 5" xfId="54663" xr:uid="{CF664BE6-F968-4ACC-A7AF-3490732379F7}"/>
    <cellStyle name="Comma 2 3 3 2 3 2 3" xfId="15247" xr:uid="{9DD605CB-A988-4368-BDE1-18E778C01FC7}"/>
    <cellStyle name="Comma 2 3 3 2 3 2 3 2" xfId="22786" xr:uid="{86E1AB43-9F78-48F0-A22D-EBF15D9EBF85}"/>
    <cellStyle name="Comma 2 3 3 2 3 2 3 3" xfId="48564" xr:uid="{39BEB515-BF5C-4D5E-A79E-68E51E5F2656}"/>
    <cellStyle name="Comma 2 3 3 2 3 2 3 4" xfId="52124" xr:uid="{4B6EC1B1-8019-445C-86B4-EC8EA9CBA3EF}"/>
    <cellStyle name="Comma 2 3 3 2 3 2 3 5" xfId="55140" xr:uid="{03628BC7-392A-4180-A012-4B7FA172442A}"/>
    <cellStyle name="Comma 2 3 3 2 3 2 4" xfId="15734" xr:uid="{712FB333-A1F1-421E-9201-F4905DFC60EE}"/>
    <cellStyle name="Comma 2 3 3 2 3 2 4 2" xfId="23263" xr:uid="{94AFB809-6CFA-48F1-B4EE-C6D75E77BCAA}"/>
    <cellStyle name="Comma 2 3 3 2 3 2 4 3" xfId="48038" xr:uid="{3BEE630A-3BBD-4ED0-BADE-494ACB9F4438}"/>
    <cellStyle name="Comma 2 3 3 2 3 2 4 4" xfId="52601" xr:uid="{B6DA7D62-2D29-4162-9B9A-C112A54B5F51}"/>
    <cellStyle name="Comma 2 3 3 2 3 2 4 5" xfId="55617" xr:uid="{FA96D515-0777-4C2C-B29A-E0946A29D0BD}"/>
    <cellStyle name="Comma 2 3 3 2 3 2 5" xfId="12770" xr:uid="{26ABC75D-79FD-4E54-B9F9-5C5679E6C93B}"/>
    <cellStyle name="Comma 2 3 3 2 3 2 5 2" xfId="47169" xr:uid="{664135F1-0BA6-4657-8030-97BFB462CEA7}"/>
    <cellStyle name="Comma 2 3 3 2 3 2 5 3" xfId="51170" xr:uid="{F3665133-E79E-49DB-9D25-AA9EB9405AF5}"/>
    <cellStyle name="Comma 2 3 3 2 3 2 5 4" xfId="54186" xr:uid="{20DBCEE5-F009-4241-9D35-971B4E4A2A3E}"/>
    <cellStyle name="Comma 2 3 3 2 3 2 6" xfId="32554" xr:uid="{C3422A0D-6BEE-4C5D-ACC6-F8411FE5450F}"/>
    <cellStyle name="Comma 2 3 3 2 3 2 7" xfId="50064" xr:uid="{711669B7-BE12-4372-95D7-00FCA358763A}"/>
    <cellStyle name="Comma 2 3 3 2 3 2 8" xfId="53080" xr:uid="{F19EEDBB-EA5D-47B2-8F36-1CFAC4D16289}"/>
    <cellStyle name="Comma 2 3 3 2 3 3" xfId="14550" xr:uid="{D3733CDD-CBBD-453D-9A95-1ABEE74BC0A4}"/>
    <cellStyle name="Comma 2 3 3 2 3 3 2" xfId="22097" xr:uid="{0D6CF712-2C0E-4760-A0BD-3037660503BB}"/>
    <cellStyle name="Comma 2 3 3 2 3 3 3" xfId="47769" xr:uid="{AD5EEAB9-1D5B-453E-8E9D-3B49283CE9B6}"/>
    <cellStyle name="Comma 2 3 3 2 3 3 4" xfId="51435" xr:uid="{8A6C24D3-AC07-450E-A305-019329A02BE4}"/>
    <cellStyle name="Comma 2 3 3 2 3 3 5" xfId="54451" xr:uid="{BBC76D7B-16C3-467F-B3F2-8FCCE4705071}"/>
    <cellStyle name="Comma 2 3 3 2 3 4" xfId="15034" xr:uid="{30D400E4-2792-4B3B-86EB-58D8E0AD7F74}"/>
    <cellStyle name="Comma 2 3 3 2 3 4 2" xfId="22574" xr:uid="{BCF8C267-4D8E-4138-AA63-20F198BFFF0E}"/>
    <cellStyle name="Comma 2 3 3 2 3 4 3" xfId="32400" xr:uid="{767984B2-D1F0-40FE-A55C-520D8E27D800}"/>
    <cellStyle name="Comma 2 3 3 2 3 4 4" xfId="51912" xr:uid="{2F914409-83FA-46DB-9DED-B4DC1D699849}"/>
    <cellStyle name="Comma 2 3 3 2 3 4 5" xfId="54928" xr:uid="{9477A096-EB5E-4328-8E65-096C682EAC48}"/>
    <cellStyle name="Comma 2 3 3 2 3 5" xfId="15521" xr:uid="{9F14716B-DC6C-4E93-9479-634E82E480DA}"/>
    <cellStyle name="Comma 2 3 3 2 3 5 2" xfId="23051" xr:uid="{B807D395-8002-437C-B942-3E039FFD0B6F}"/>
    <cellStyle name="Comma 2 3 3 2 3 5 3" xfId="47843" xr:uid="{444067A8-D3F1-4F18-9968-EB0A9EB8E647}"/>
    <cellStyle name="Comma 2 3 3 2 3 5 4" xfId="52389" xr:uid="{1AA476FC-913C-469D-8302-B27CE2EB8DEE}"/>
    <cellStyle name="Comma 2 3 3 2 3 5 5" xfId="55405" xr:uid="{28C2F937-45A1-4CF6-9267-6F77DD2FCD64}"/>
    <cellStyle name="Comma 2 3 3 2 3 6" xfId="12469" xr:uid="{92D33652-E6CB-4148-AC7D-404A27C7D833}"/>
    <cellStyle name="Comma 2 3 3 2 3 6 2" xfId="46663" xr:uid="{46A846F0-CA08-4643-8E59-51125EEE276B}"/>
    <cellStyle name="Comma 2 3 3 2 3 6 3" xfId="50958" xr:uid="{165C28D9-0CEC-486F-BBA4-0F94ED91EABC}"/>
    <cellStyle name="Comma 2 3 3 2 3 6 4" xfId="53974" xr:uid="{64204EC0-42B6-47BE-9E43-2F5D8D106091}"/>
    <cellStyle name="Comma 2 3 3 2 3 7" xfId="46020" xr:uid="{9936546C-A75B-43AA-8A20-7E6657D30290}"/>
    <cellStyle name="Comma 2 3 3 2 3 8" xfId="49852" xr:uid="{6CA19C92-0241-4B98-8720-100C38E530C9}"/>
    <cellStyle name="Comma 2 3 3 2 3 9" xfId="52868" xr:uid="{EE22E379-C0CB-4B19-B982-FE0FA53B0102}"/>
    <cellStyle name="Comma 2 3 3 2 4" xfId="10083" xr:uid="{AB059C79-A1F9-4FE3-8209-C84910994116}"/>
    <cellStyle name="Comma 2 3 3 2 4 2" xfId="10396" xr:uid="{7ECA2633-2AE5-4D8F-9D62-429D7B9B4C98}"/>
    <cellStyle name="Comma 2 3 3 2 4 2 2" xfId="14815" xr:uid="{876884F4-EE5D-4F3C-8FB9-C32A08D6FD0A}"/>
    <cellStyle name="Comma 2 3 3 2 4 2 2 2" xfId="22362" xr:uid="{6A3146B5-AF4C-44CC-B0FC-7099F2A9D795}"/>
    <cellStyle name="Comma 2 3 3 2 4 2 2 3" xfId="32406" xr:uid="{14C7C815-8600-4A3C-9466-C452C9FBB47F}"/>
    <cellStyle name="Comma 2 3 3 2 4 2 2 4" xfId="51700" xr:uid="{D32B8427-6A6F-4E10-8386-77876769ECBF}"/>
    <cellStyle name="Comma 2 3 3 2 4 2 2 5" xfId="54716" xr:uid="{CB268E21-C5A5-471B-A97D-66D7DE4CADEA}"/>
    <cellStyle name="Comma 2 3 3 2 4 2 3" xfId="15300" xr:uid="{0C4FC0BA-093B-4F25-B35E-798FCE21B2DB}"/>
    <cellStyle name="Comma 2 3 3 2 4 2 3 2" xfId="22839" xr:uid="{7E1934C2-16ED-45B4-9B13-1AB38F052336}"/>
    <cellStyle name="Comma 2 3 3 2 4 2 3 3" xfId="47939" xr:uid="{03D42EC7-47FD-4873-B6E3-022A2A642E82}"/>
    <cellStyle name="Comma 2 3 3 2 4 2 3 4" xfId="52177" xr:uid="{E2E9AC15-01B0-422D-AAD6-DD8FEFF81D2D}"/>
    <cellStyle name="Comma 2 3 3 2 4 2 3 5" xfId="55193" xr:uid="{6CFA4FD3-4478-4A1A-BED1-D96DE52A7601}"/>
    <cellStyle name="Comma 2 3 3 2 4 2 4" xfId="15787" xr:uid="{6C4E4E07-2941-4E43-B56B-B6E9ED4BA193}"/>
    <cellStyle name="Comma 2 3 3 2 4 2 4 2" xfId="23316" xr:uid="{B311BF27-D167-4474-9263-EA2156476301}"/>
    <cellStyle name="Comma 2 3 3 2 4 2 4 3" xfId="47974" xr:uid="{D35154FB-819A-4803-B349-F5E53A3AE04C}"/>
    <cellStyle name="Comma 2 3 3 2 4 2 4 4" xfId="52654" xr:uid="{0EF7D395-0DC1-4D83-AF1F-43C4B6007ECD}"/>
    <cellStyle name="Comma 2 3 3 2 4 2 4 5" xfId="55670" xr:uid="{658269CC-E1DA-44F8-8A3D-9B8D0A0C2F7A}"/>
    <cellStyle name="Comma 2 3 3 2 4 2 5" xfId="12849" xr:uid="{94B068EF-3CB2-40D1-8A60-844BA8A24F92}"/>
    <cellStyle name="Comma 2 3 3 2 4 2 5 2" xfId="46670" xr:uid="{FBC93FE9-7907-40B0-9BBA-B450FFA5E87A}"/>
    <cellStyle name="Comma 2 3 3 2 4 2 5 3" xfId="51223" xr:uid="{B23A1D4B-7C48-4779-A378-F320CC3F7CC1}"/>
    <cellStyle name="Comma 2 3 3 2 4 2 5 4" xfId="54239" xr:uid="{A101766B-DD74-4024-92A3-BB5033062D45}"/>
    <cellStyle name="Comma 2 3 3 2 4 2 6" xfId="46106" xr:uid="{130E3B3B-7B80-435A-82FE-E55298443A5A}"/>
    <cellStyle name="Comma 2 3 3 2 4 2 7" xfId="50117" xr:uid="{8A253A62-277A-485A-8B0F-0FC2858B7984}"/>
    <cellStyle name="Comma 2 3 3 2 4 2 8" xfId="53133" xr:uid="{62B89682-458B-437E-A5B8-EC2A9FE2F210}"/>
    <cellStyle name="Comma 2 3 3 2 4 3" xfId="14603" xr:uid="{1C27FE4B-CFC8-409A-8948-6288C1C1530D}"/>
    <cellStyle name="Comma 2 3 3 2 4 3 2" xfId="22150" xr:uid="{EA97E7B8-295E-4963-94E9-F434CF35AE04}"/>
    <cellStyle name="Comma 2 3 3 2 4 3 3" xfId="46406" xr:uid="{22079576-4423-4B80-AE0F-C534DE3BB644}"/>
    <cellStyle name="Comma 2 3 3 2 4 3 4" xfId="51488" xr:uid="{AA0BFD6E-073E-4098-BBDA-C4EF3919021F}"/>
    <cellStyle name="Comma 2 3 3 2 4 3 5" xfId="54504" xr:uid="{0B7B157E-EBD1-4FCA-97B5-CA7F2628E252}"/>
    <cellStyle name="Comma 2 3 3 2 4 4" xfId="15088" xr:uid="{99DDC7B6-D9FE-48C2-8937-46E52D8FCBBC}"/>
    <cellStyle name="Comma 2 3 3 2 4 4 2" xfId="22627" xr:uid="{C8F8A66C-8A15-4C7E-9C69-0387D15832F6}"/>
    <cellStyle name="Comma 2 3 3 2 4 4 3" xfId="46477" xr:uid="{9D3B84FD-3AB7-44DB-9D3C-81270C09B018}"/>
    <cellStyle name="Comma 2 3 3 2 4 4 4" xfId="51965" xr:uid="{2B974291-0194-4CB7-82E8-7FB94C930EEB}"/>
    <cellStyle name="Comma 2 3 3 2 4 4 5" xfId="54981" xr:uid="{E1D02D94-4F95-455D-9778-337928A0012F}"/>
    <cellStyle name="Comma 2 3 3 2 4 5" xfId="15575" xr:uid="{843D7F53-CE84-4631-B382-F719627A8E94}"/>
    <cellStyle name="Comma 2 3 3 2 4 5 2" xfId="23104" xr:uid="{3C079F4E-9497-4047-AA61-BC83212AAF81}"/>
    <cellStyle name="Comma 2 3 3 2 4 5 3" xfId="46554" xr:uid="{9DD3DED6-028D-44A2-9B7C-6CA03BF9E9E2}"/>
    <cellStyle name="Comma 2 3 3 2 4 5 4" xfId="52442" xr:uid="{236243E6-D4FA-4F5A-A37F-BA57BD25AF48}"/>
    <cellStyle name="Comma 2 3 3 2 4 5 5" xfId="55458" xr:uid="{51359E5F-1A74-41FA-95A4-4A13E892477E}"/>
    <cellStyle name="Comma 2 3 3 2 4 6" xfId="12540" xr:uid="{1E67CA12-1FF6-4704-B0A0-4DCC922278E3}"/>
    <cellStyle name="Comma 2 3 3 2 4 6 2" xfId="35942" xr:uid="{22353791-0157-4BD1-A6EB-1D3996794312}"/>
    <cellStyle name="Comma 2 3 3 2 4 6 3" xfId="51011" xr:uid="{CA16BB5C-61AE-4E29-B717-FCE1288C76AA}"/>
    <cellStyle name="Comma 2 3 3 2 4 6 4" xfId="54027" xr:uid="{1BFD6DF7-D6FD-4C17-BEE9-E16CD21DB7B1}"/>
    <cellStyle name="Comma 2 3 3 2 4 7" xfId="46037" xr:uid="{8824AF6D-8B64-4614-896D-25CBB80D6985}"/>
    <cellStyle name="Comma 2 3 3 2 4 8" xfId="49905" xr:uid="{6FB4937C-E10D-4117-A696-1CD91CBBE058}"/>
    <cellStyle name="Comma 2 3 3 2 4 9" xfId="52921" xr:uid="{290B9B4B-1244-4BA1-91E6-173274B485BF}"/>
    <cellStyle name="Comma 2 3 3 2 5" xfId="10162" xr:uid="{E7024F87-8E6F-48B0-B561-BA3E462DC4B0}"/>
    <cellStyle name="Comma 2 3 3 2 5 2" xfId="10476" xr:uid="{3468BB46-4BE8-4A0F-8F75-D9D655DAE68D}"/>
    <cellStyle name="Comma 2 3 3 2 5 2 2" xfId="14868" xr:uid="{3DB62473-DF9C-4065-9E37-8B66A5C452B8}"/>
    <cellStyle name="Comma 2 3 3 2 5 2 2 2" xfId="22415" xr:uid="{E3BE7BD0-F22D-4487-A5B9-BBBE62B3C69B}"/>
    <cellStyle name="Comma 2 3 3 2 5 2 2 3" xfId="46872" xr:uid="{3F1E8EC1-642D-4FA1-B288-D3E782E329F5}"/>
    <cellStyle name="Comma 2 3 3 2 5 2 2 4" xfId="51753" xr:uid="{344536D4-9687-4D10-86BB-773E77D3DF7B}"/>
    <cellStyle name="Comma 2 3 3 2 5 2 2 5" xfId="54769" xr:uid="{23B318C3-D3E5-41D4-BDAF-1452D6B40A7A}"/>
    <cellStyle name="Comma 2 3 3 2 5 2 3" xfId="15353" xr:uid="{3F9C672C-30B5-4461-9FA9-6DDD77B742E7}"/>
    <cellStyle name="Comma 2 3 3 2 5 2 3 2" xfId="22892" xr:uid="{3FF38C40-C3B0-4155-BE95-30375ADD4AA7}"/>
    <cellStyle name="Comma 2 3 3 2 5 2 3 3" xfId="48362" xr:uid="{C5AA1C75-9F0C-4836-B69B-97A741DD8890}"/>
    <cellStyle name="Comma 2 3 3 2 5 2 3 4" xfId="52230" xr:uid="{93DC914A-D6E5-4F53-B4BA-046403B3D877}"/>
    <cellStyle name="Comma 2 3 3 2 5 2 3 5" xfId="55246" xr:uid="{AE2514D7-8835-4FF7-A4BA-288BF74E215A}"/>
    <cellStyle name="Comma 2 3 3 2 5 2 4" xfId="15840" xr:uid="{DBE64DE4-A0DE-4840-9336-2E7042896752}"/>
    <cellStyle name="Comma 2 3 3 2 5 2 4 2" xfId="23369" xr:uid="{A502E1FF-63CC-4AC7-AA65-7DDFDC927F3B}"/>
    <cellStyle name="Comma 2 3 3 2 5 2 4 3" xfId="46973" xr:uid="{974D39B1-1867-4E21-BAAA-67169546A77C}"/>
    <cellStyle name="Comma 2 3 3 2 5 2 4 4" xfId="52707" xr:uid="{AAA213DC-B704-435D-83A7-B6ED74BF8C79}"/>
    <cellStyle name="Comma 2 3 3 2 5 2 4 5" xfId="55723" xr:uid="{6436BDEB-9051-4CD4-A4B8-105221D45077}"/>
    <cellStyle name="Comma 2 3 3 2 5 2 5" xfId="12929" xr:uid="{BF782DE1-3C54-4BF3-AF29-B9888A1398A1}"/>
    <cellStyle name="Comma 2 3 3 2 5 2 5 2" xfId="46373" xr:uid="{B05F62D2-D483-44C5-91F3-16890E713B3B}"/>
    <cellStyle name="Comma 2 3 3 2 5 2 5 3" xfId="51276" xr:uid="{D9EA5F7B-615A-4E7F-8B9E-29BCAB531C96}"/>
    <cellStyle name="Comma 2 3 3 2 5 2 5 4" xfId="54292" xr:uid="{7682C313-19A1-4432-AB1E-B8208CD0B16C}"/>
    <cellStyle name="Comma 2 3 3 2 5 2 6" xfId="46126" xr:uid="{6F9275D4-E21E-4A85-8DC2-E9454E719129}"/>
    <cellStyle name="Comma 2 3 3 2 5 2 7" xfId="50170" xr:uid="{443A7F27-1223-45A2-9BC2-A20DC695289B}"/>
    <cellStyle name="Comma 2 3 3 2 5 2 8" xfId="53186" xr:uid="{5239FEA7-46CD-4616-8550-074F9CE297AF}"/>
    <cellStyle name="Comma 2 3 3 2 5 3" xfId="14656" xr:uid="{5E9C0DE6-EE2C-47B0-B592-638D7B8CC1F0}"/>
    <cellStyle name="Comma 2 3 3 2 5 3 2" xfId="22203" xr:uid="{D2242160-2F6A-492D-9E76-2DAE20F79B68}"/>
    <cellStyle name="Comma 2 3 3 2 5 3 3" xfId="46846" xr:uid="{0CEDAD65-6618-4747-ABAA-4724B6891BB4}"/>
    <cellStyle name="Comma 2 3 3 2 5 3 4" xfId="51541" xr:uid="{6DFB898B-3BEB-4B99-9A1E-6831A48AE25E}"/>
    <cellStyle name="Comma 2 3 3 2 5 3 5" xfId="54557" xr:uid="{473FFDF3-561C-40CB-BC44-F5FA39F10ED8}"/>
    <cellStyle name="Comma 2 3 3 2 5 4" xfId="15141" xr:uid="{2A38BE7D-EA49-4A40-B47B-33009EEFFF34}"/>
    <cellStyle name="Comma 2 3 3 2 5 4 2" xfId="22680" xr:uid="{8A008A0F-9D0D-40E6-A546-E6CA92F4C238}"/>
    <cellStyle name="Comma 2 3 3 2 5 4 3" xfId="48563" xr:uid="{215C975F-7170-4A6F-B2DB-A4C76AA9B104}"/>
    <cellStyle name="Comma 2 3 3 2 5 4 4" xfId="52018" xr:uid="{D3B7B443-FC66-4958-B304-BFD22E172F31}"/>
    <cellStyle name="Comma 2 3 3 2 5 4 5" xfId="55034" xr:uid="{926DF2B1-46CA-493C-BF07-01704BCE3272}"/>
    <cellStyle name="Comma 2 3 3 2 5 5" xfId="15628" xr:uid="{B0BF72A4-E770-4B16-AFC0-D54613E8EFB1}"/>
    <cellStyle name="Comma 2 3 3 2 5 5 2" xfId="23157" xr:uid="{6F519448-0C8F-4ACE-B48B-54E0D943246C}"/>
    <cellStyle name="Comma 2 3 3 2 5 5 3" xfId="47350" xr:uid="{06A3EBFB-4ACA-4962-8C73-4ABC13FD612D}"/>
    <cellStyle name="Comma 2 3 3 2 5 5 4" xfId="52495" xr:uid="{C2653AF9-ACAD-4AAB-BFCE-088927463474}"/>
    <cellStyle name="Comma 2 3 3 2 5 5 5" xfId="55511" xr:uid="{D00601C4-3E62-418B-83B1-B2CFDEE9CB4A}"/>
    <cellStyle name="Comma 2 3 3 2 5 6" xfId="12616" xr:uid="{E4E74932-088D-4C09-863B-38845BB961D2}"/>
    <cellStyle name="Comma 2 3 3 2 5 6 2" xfId="25073" xr:uid="{408A8E70-2AAF-4C68-A960-236B2DC26451}"/>
    <cellStyle name="Comma 2 3 3 2 5 6 3" xfId="51064" xr:uid="{6B8D51C3-D6CE-44F7-AADE-294422B8987F}"/>
    <cellStyle name="Comma 2 3 3 2 5 6 4" xfId="54080" xr:uid="{16121314-6DF3-4998-8CA7-6A0E9253C6E7}"/>
    <cellStyle name="Comma 2 3 3 2 5 7" xfId="32303" xr:uid="{98FF7AC0-E8CC-405F-B6DF-5535174B8C08}"/>
    <cellStyle name="Comma 2 3 3 2 5 8" xfId="49958" xr:uid="{C5B86F78-E939-42B0-9014-9107A4939934}"/>
    <cellStyle name="Comma 2 3 3 2 5 9" xfId="52974" xr:uid="{CD2085D2-3A05-441B-8A24-AF60D0F12783}"/>
    <cellStyle name="Comma 2 3 3 2 6" xfId="10242" xr:uid="{57E14E19-7BC6-4413-8C2A-6F81021873FE}"/>
    <cellStyle name="Comma 2 3 3 2 6 2" xfId="14709" xr:uid="{A9C127BD-10BA-46D5-826F-E7141B21E610}"/>
    <cellStyle name="Comma 2 3 3 2 6 2 2" xfId="22256" xr:uid="{CA4C345D-7EC1-49B8-BE1A-F5D7A4E05D46}"/>
    <cellStyle name="Comma 2 3 3 2 6 2 3" xfId="46421" xr:uid="{ECFD3D92-23BB-4BF9-ADA6-6A66B42352BA}"/>
    <cellStyle name="Comma 2 3 3 2 6 2 4" xfId="51594" xr:uid="{F2859A5E-60F1-4661-90B0-94724436DF14}"/>
    <cellStyle name="Comma 2 3 3 2 6 2 5" xfId="54610" xr:uid="{CB8B3F2B-46B3-4063-9758-7EC3D85F0BDB}"/>
    <cellStyle name="Comma 2 3 3 2 6 3" xfId="15194" xr:uid="{546E23BA-3695-418D-A4C4-6B84E5945725}"/>
    <cellStyle name="Comma 2 3 3 2 6 3 2" xfId="22733" xr:uid="{CB8C0B74-C274-4A87-A5AD-EAB9D61AD0DA}"/>
    <cellStyle name="Comma 2 3 3 2 6 3 3" xfId="48217" xr:uid="{41504EC4-1DBB-47CE-889F-6EEF6632E066}"/>
    <cellStyle name="Comma 2 3 3 2 6 3 4" xfId="52071" xr:uid="{31B5824A-7BB5-456F-9B2F-C816C96EF8D9}"/>
    <cellStyle name="Comma 2 3 3 2 6 3 5" xfId="55087" xr:uid="{4378B8D1-4CD0-48DA-9F1F-31E9223C48EC}"/>
    <cellStyle name="Comma 2 3 3 2 6 4" xfId="15681" xr:uid="{9B781461-9B36-49A0-A2D7-D0EBCCCC6C73}"/>
    <cellStyle name="Comma 2 3 3 2 6 4 2" xfId="23210" xr:uid="{E405A530-C197-4294-A33C-97B377583096}"/>
    <cellStyle name="Comma 2 3 3 2 6 4 3" xfId="46571" xr:uid="{A02FF497-AFAD-4C4C-8C52-86B22D61759A}"/>
    <cellStyle name="Comma 2 3 3 2 6 4 4" xfId="52548" xr:uid="{436FC0DC-9C40-47FB-9014-51F71592B54E}"/>
    <cellStyle name="Comma 2 3 3 2 6 4 5" xfId="55564" xr:uid="{AD97ED55-7AF2-4AC3-BD49-0820043058C1}"/>
    <cellStyle name="Comma 2 3 3 2 6 5" xfId="12695" xr:uid="{C09D8128-191F-4098-9086-0616465DFDFD}"/>
    <cellStyle name="Comma 2 3 3 2 6 5 2" xfId="47469" xr:uid="{C017EFAB-F9EA-4E8C-84C0-95EEA24D8110}"/>
    <cellStyle name="Comma 2 3 3 2 6 5 3" xfId="51117" xr:uid="{8E83F78C-66F9-439E-A33C-7F22807B2652}"/>
    <cellStyle name="Comma 2 3 3 2 6 5 4" xfId="54133" xr:uid="{E7817242-E788-44B0-A534-98A6733E36EC}"/>
    <cellStyle name="Comma 2 3 3 2 6 6" xfId="46071" xr:uid="{7FCDCCA1-C18B-407A-9485-FF67EC187F58}"/>
    <cellStyle name="Comma 2 3 3 2 6 7" xfId="50011" xr:uid="{F0EAD72A-9ED6-480F-BD0F-ADB64BB1F427}"/>
    <cellStyle name="Comma 2 3 3 2 6 8" xfId="53027" xr:uid="{DFA3DD29-B9D9-4AFF-9680-1FF533F17AEC}"/>
    <cellStyle name="Comma 2 3 3 2 7" xfId="10556" xr:uid="{F75C6B7C-92B8-4C9B-9A90-9592787C7E1F}"/>
    <cellStyle name="Comma 2 3 3 2 7 2" xfId="14921" xr:uid="{2703B21D-79ED-4636-A6B0-96674A30A3D7}"/>
    <cellStyle name="Comma 2 3 3 2 7 2 2" xfId="22468" xr:uid="{9736B68B-D5D2-49CD-AE46-0E0AC79FA7D1}"/>
    <cellStyle name="Comma 2 3 3 2 7 2 3" xfId="37456" xr:uid="{EDE33139-D983-4657-9563-3D3270856D58}"/>
    <cellStyle name="Comma 2 3 3 2 7 2 4" xfId="51806" xr:uid="{A9BBFDE0-7793-4725-8F68-35A0168AF8DF}"/>
    <cellStyle name="Comma 2 3 3 2 7 2 5" xfId="54822" xr:uid="{003F6935-6326-4E7E-A833-96614885394E}"/>
    <cellStyle name="Comma 2 3 3 2 7 3" xfId="15406" xr:uid="{926594E9-E662-4827-A5D9-0C4155438539}"/>
    <cellStyle name="Comma 2 3 3 2 7 3 2" xfId="22945" xr:uid="{E51E2856-9633-4C59-9E9F-550D33FFBF6A}"/>
    <cellStyle name="Comma 2 3 3 2 7 3 3" xfId="48515" xr:uid="{19E99B51-D79D-4678-B91B-A028D51364B9}"/>
    <cellStyle name="Comma 2 3 3 2 7 3 4" xfId="52283" xr:uid="{5816AEEF-3DD2-4298-A529-24B1238F0239}"/>
    <cellStyle name="Comma 2 3 3 2 7 3 5" xfId="55299" xr:uid="{8E39EAD8-C299-4562-B959-E2C3F51107AF}"/>
    <cellStyle name="Comma 2 3 3 2 7 4" xfId="15894" xr:uid="{B36B3C02-D451-4E1B-86F2-1E939FBEB63D}"/>
    <cellStyle name="Comma 2 3 3 2 7 4 2" xfId="23422" xr:uid="{061074A7-3097-452A-AB82-1B2B450E4671}"/>
    <cellStyle name="Comma 2 3 3 2 7 4 3" xfId="46979" xr:uid="{6F40AA5D-7C92-4AD6-A064-A4C348F2358A}"/>
    <cellStyle name="Comma 2 3 3 2 7 4 4" xfId="52760" xr:uid="{A9313B15-83DC-4BFA-A122-F66CC69F8CDC}"/>
    <cellStyle name="Comma 2 3 3 2 7 4 5" xfId="55776" xr:uid="{5297460E-E679-49A2-AB67-D9ED75F903A9}"/>
    <cellStyle name="Comma 2 3 3 2 7 5" xfId="13009" xr:uid="{8F25AB89-1E9C-40EC-A80D-522983E92B86}"/>
    <cellStyle name="Comma 2 3 3 2 7 5 2" xfId="46382" xr:uid="{4D02F96F-FF09-4FF6-994B-5D2E1F2CECDA}"/>
    <cellStyle name="Comma 2 3 3 2 7 5 3" xfId="51329" xr:uid="{53754099-FE64-40FB-9D14-F7C3F809174F}"/>
    <cellStyle name="Comma 2 3 3 2 7 5 4" xfId="54345" xr:uid="{7A738E34-054D-4D54-B9E9-F5D4D066307E}"/>
    <cellStyle name="Comma 2 3 3 2 7 6" xfId="48165" xr:uid="{6C1BCD39-A5D7-451E-A298-C0603C0AA214}"/>
    <cellStyle name="Comma 2 3 3 2 7 7" xfId="50223" xr:uid="{8B11B3B5-96E6-4764-9B0E-DF7E549FA7B3}"/>
    <cellStyle name="Comma 2 3 3 2 7 8" xfId="53239" xr:uid="{B73F50E4-7868-474C-9973-AC609FE2A44C}"/>
    <cellStyle name="Comma 2 3 3 2 8" xfId="13374" xr:uid="{3D071428-4660-47B3-A037-1CC912794E58}"/>
    <cellStyle name="Comma 2 3 3 2 9" xfId="14497" xr:uid="{ACFEEE99-C32D-4E38-8601-0F0DD88F2DD8}"/>
    <cellStyle name="Comma 2 3 3 2 9 2" xfId="22044" xr:uid="{359FA72D-ECE5-466C-B807-9D7412ED007E}"/>
    <cellStyle name="Comma 2 3 3 2 9 3" xfId="46389" xr:uid="{6F5002DF-9129-4031-96A6-8A3351861EFB}"/>
    <cellStyle name="Comma 2 3 3 2 9 4" xfId="51382" xr:uid="{55F6D1DB-DEA7-481B-A676-21D0F50A4E23}"/>
    <cellStyle name="Comma 2 3 3 2 9 5" xfId="54398" xr:uid="{4DE8A2B1-04DF-41EE-876D-E9DF76E92B03}"/>
    <cellStyle name="Comma 2 3 3 3" xfId="5812" xr:uid="{DBD09C03-6BC1-4C1A-AA8A-1B0B2DE06A38}"/>
    <cellStyle name="Comma 2 3 3 3 10" xfId="12177" xr:uid="{FA611106-D1D5-497A-B63C-53E491FCD06F}"/>
    <cellStyle name="Comma 2 3 3 3 10 2" xfId="47817" xr:uid="{F460E6C1-1AA8-4929-909B-028D883C78CB}"/>
    <cellStyle name="Comma 2 3 3 3 10 3" xfId="50934" xr:uid="{B6562F41-CEC5-414E-9181-16A49534921D}"/>
    <cellStyle name="Comma 2 3 3 3 10 4" xfId="53950" xr:uid="{547FA2F4-485C-48F0-AF66-551FDDB02D65}"/>
    <cellStyle name="Comma 2 3 3 3 11" xfId="23717" xr:uid="{7AB58172-8E1D-4419-AED2-92228FC40AC7}"/>
    <cellStyle name="Comma 2 3 3 3 12" xfId="48607" xr:uid="{026FA99C-9486-4ACA-AF7C-230AFC04519C}"/>
    <cellStyle name="Comma 2 3 3 3 13" xfId="49517" xr:uid="{DA302695-0576-4E55-89A7-BB7FC276EF9F}"/>
    <cellStyle name="Comma 2 3 3 3 14" xfId="49801" xr:uid="{C70A8D38-2596-4DA2-9F5F-DB2CA6F9A8A4}"/>
    <cellStyle name="Comma 2 3 3 3 15" xfId="52816" xr:uid="{8F1F976A-48A6-4C72-B1B9-EA55FBEFD88E}"/>
    <cellStyle name="Comma 2 3 3 3 16" xfId="8924" xr:uid="{F42D2224-A3BE-4FAC-9E3B-30E8271EAC18}"/>
    <cellStyle name="Comma 2 3 3 3 2" xfId="10011" xr:uid="{607FD3FD-7E44-4749-A943-9379F6D1F759}"/>
    <cellStyle name="Comma 2 3 3 3 2 2" xfId="10319" xr:uid="{00ED828B-11FC-4604-B37C-6BA64252DC94}"/>
    <cellStyle name="Comma 2 3 3 3 2 2 2" xfId="14764" xr:uid="{2B89DFAC-E9BB-4471-AA80-7457355B2FDB}"/>
    <cellStyle name="Comma 2 3 3 3 2 2 2 2" xfId="22311" xr:uid="{CBB6F2D0-6F31-4627-BFC2-5C1ECD13055A}"/>
    <cellStyle name="Comma 2 3 3 3 2 2 2 3" xfId="48504" xr:uid="{0DD38E2E-5CF4-46D2-9E2E-574A47107FB4}"/>
    <cellStyle name="Comma 2 3 3 3 2 2 2 4" xfId="51649" xr:uid="{73420C2C-2DD0-4578-810B-45680CBD0487}"/>
    <cellStyle name="Comma 2 3 3 3 2 2 2 5" xfId="54665" xr:uid="{206A23A2-D5FA-4041-B3E9-038A1F9A24CE}"/>
    <cellStyle name="Comma 2 3 3 3 2 2 3" xfId="15249" xr:uid="{4A6816C3-FCD2-49AE-9D39-62E918A5F24F}"/>
    <cellStyle name="Comma 2 3 3 3 2 2 3 2" xfId="22788" xr:uid="{C09C36D6-75FD-4AF9-96F5-52B0E55823A5}"/>
    <cellStyle name="Comma 2 3 3 3 2 2 3 3" xfId="47189" xr:uid="{F5B6686C-864E-48CF-A953-EAF55EF4EFDB}"/>
    <cellStyle name="Comma 2 3 3 3 2 2 3 4" xfId="52126" xr:uid="{4B6FAB7F-17AA-49F3-A9FF-199F40CD24E4}"/>
    <cellStyle name="Comma 2 3 3 3 2 2 3 5" xfId="55142" xr:uid="{5FA7C494-87E1-43AB-8539-F558B691BCD4}"/>
    <cellStyle name="Comma 2 3 3 3 2 2 4" xfId="15736" xr:uid="{99254E5D-5ABB-456D-A867-936A6E416DB4}"/>
    <cellStyle name="Comma 2 3 3 3 2 2 4 2" xfId="23265" xr:uid="{2C49CD95-6400-4E5A-B572-3CDB9390ADFB}"/>
    <cellStyle name="Comma 2 3 3 3 2 2 4 3" xfId="47970" xr:uid="{21BD8016-1A24-489F-BB81-3488C77FA3E7}"/>
    <cellStyle name="Comma 2 3 3 3 2 2 4 4" xfId="52603" xr:uid="{2D0D6500-3718-4FB1-B193-7E299CB87D15}"/>
    <cellStyle name="Comma 2 3 3 3 2 2 4 5" xfId="55619" xr:uid="{CBF7D2CA-8D82-41AE-8641-5BC0324779A1}"/>
    <cellStyle name="Comma 2 3 3 3 2 2 5" xfId="12772" xr:uid="{0ABA650F-F908-4835-87EB-711F59A670F0}"/>
    <cellStyle name="Comma 2 3 3 3 2 2 5 2" xfId="46351" xr:uid="{0FAA2A9D-87CC-4F37-BB8E-9BA76D811630}"/>
    <cellStyle name="Comma 2 3 3 3 2 2 5 3" xfId="51172" xr:uid="{C784874B-B1F2-48F9-A825-4FAE2CAF504D}"/>
    <cellStyle name="Comma 2 3 3 3 2 2 5 4" xfId="54188" xr:uid="{568AB2E6-3CFE-41A5-BAB8-9357731FB9A9}"/>
    <cellStyle name="Comma 2 3 3 3 2 2 6" xfId="24333" xr:uid="{28A494A3-FBB2-4F6E-8822-375F97AD9A38}"/>
    <cellStyle name="Comma 2 3 3 3 2 2 7" xfId="50066" xr:uid="{5F5692D2-2DBC-406E-9B3F-CC5052B1AC6D}"/>
    <cellStyle name="Comma 2 3 3 3 2 2 8" xfId="53082" xr:uid="{9042DE8F-1823-4867-8DB3-D1A2707A9C78}"/>
    <cellStyle name="Comma 2 3 3 3 2 3" xfId="14552" xr:uid="{4E3C0CD4-149A-4D6E-B2DB-C60124078D1C}"/>
    <cellStyle name="Comma 2 3 3 3 2 3 2" xfId="22099" xr:uid="{C685BED7-80E1-4293-8F97-BCFDA21A7D59}"/>
    <cellStyle name="Comma 2 3 3 3 2 3 3" xfId="46396" xr:uid="{36AA9864-31F1-420F-AE55-A1CDAE627C2B}"/>
    <cellStyle name="Comma 2 3 3 3 2 3 4" xfId="51437" xr:uid="{F11F25E3-39DC-4FD7-AA59-BA4C09DDD15A}"/>
    <cellStyle name="Comma 2 3 3 3 2 3 5" xfId="54453" xr:uid="{0A064592-D949-4724-9B20-BEF475C16734}"/>
    <cellStyle name="Comma 2 3 3 3 2 4" xfId="15036" xr:uid="{D3346C67-CEC7-478F-8378-A2E8DEA63094}"/>
    <cellStyle name="Comma 2 3 3 3 2 4 2" xfId="22576" xr:uid="{2D208AD5-06DB-4FD3-BC44-5C567BBC244F}"/>
    <cellStyle name="Comma 2 3 3 3 2 4 3" xfId="46874" xr:uid="{97DC1208-FBA6-4C4A-A8BD-98E5287063F1}"/>
    <cellStyle name="Comma 2 3 3 3 2 4 4" xfId="51914" xr:uid="{83A88AF5-3DED-4885-80DE-A826F78EA660}"/>
    <cellStyle name="Comma 2 3 3 3 2 4 5" xfId="54930" xr:uid="{09D60681-C193-487C-9BDB-D49E4EE4F09F}"/>
    <cellStyle name="Comma 2 3 3 3 2 5" xfId="15523" xr:uid="{2809D93E-5010-482B-A703-3D056A4F6803}"/>
    <cellStyle name="Comma 2 3 3 3 2 5 2" xfId="23053" xr:uid="{820F21B7-488E-4A2B-9F9B-424BD30E062A}"/>
    <cellStyle name="Comma 2 3 3 3 2 5 3" xfId="24651" xr:uid="{1E81F203-44AB-4401-A501-9096E75CE2C1}"/>
    <cellStyle name="Comma 2 3 3 3 2 5 4" xfId="52391" xr:uid="{CC3D0EDD-6AEB-4981-80E8-6A069E9E03C3}"/>
    <cellStyle name="Comma 2 3 3 3 2 5 5" xfId="55407" xr:uid="{232375CD-76D2-4AA8-8C2E-81EF1C91C2FF}"/>
    <cellStyle name="Comma 2 3 3 3 2 6" xfId="12471" xr:uid="{8C4280C6-C09F-4EC0-8A06-063E329164E3}"/>
    <cellStyle name="Comma 2 3 3 3 2 6 2" xfId="47858" xr:uid="{FB48FD94-285E-4ACA-8DEC-C087D9EB553B}"/>
    <cellStyle name="Comma 2 3 3 3 2 6 3" xfId="50960" xr:uid="{6DB3C008-FC38-41A6-990F-554845C127BF}"/>
    <cellStyle name="Comma 2 3 3 3 2 6 4" xfId="53976" xr:uid="{0A855877-258F-4DCB-AF98-553F6C24BEF5}"/>
    <cellStyle name="Comma 2 3 3 3 2 7" xfId="46021" xr:uid="{B8B756BC-90C4-4D9A-B159-4CB8526236C7}"/>
    <cellStyle name="Comma 2 3 3 3 2 8" xfId="49854" xr:uid="{A1FD478E-2C36-402F-BE69-F421CBF40D8F}"/>
    <cellStyle name="Comma 2 3 3 3 2 9" xfId="52870" xr:uid="{CABCD0B0-2D0E-40D4-BA63-F28F0C0FEA86}"/>
    <cellStyle name="Comma 2 3 3 3 3" xfId="10085" xr:uid="{3B2AB6DA-8641-4AEC-8E7A-7CC1D97EB31B}"/>
    <cellStyle name="Comma 2 3 3 3 3 2" xfId="10398" xr:uid="{C251B392-A011-43D2-9DEB-CA1223890AE8}"/>
    <cellStyle name="Comma 2 3 3 3 3 2 2" xfId="14817" xr:uid="{08991D33-48DA-44BC-A1E8-880C90272515}"/>
    <cellStyle name="Comma 2 3 3 3 3 2 2 2" xfId="22364" xr:uid="{3DF53ED3-5F59-48F1-A20F-E99B89A334F6}"/>
    <cellStyle name="Comma 2 3 3 3 3 2 2 3" xfId="32527" xr:uid="{0F43B9C8-EA9A-4C88-BC9C-101CF4FC2677}"/>
    <cellStyle name="Comma 2 3 3 3 3 2 2 4" xfId="51702" xr:uid="{D1A4D807-C1C1-42F1-9B3B-354536C3A69B}"/>
    <cellStyle name="Comma 2 3 3 3 3 2 2 5" xfId="54718" xr:uid="{5E20933D-8229-4C11-A88D-B6F894119D7B}"/>
    <cellStyle name="Comma 2 3 3 3 3 2 3" xfId="15302" xr:uid="{7E99657C-6307-4A75-BCF7-724C10A1C447}"/>
    <cellStyle name="Comma 2 3 3 3 3 2 3 2" xfId="22841" xr:uid="{11C75D43-673B-43D6-890B-48BFD970C0DE}"/>
    <cellStyle name="Comma 2 3 3 3 3 2 3 3" xfId="48019" xr:uid="{F2EC4816-0A4B-4597-96F8-0794BAF486D8}"/>
    <cellStyle name="Comma 2 3 3 3 3 2 3 4" xfId="52179" xr:uid="{27CE4F7C-0F54-4E72-B935-30E479FA04FC}"/>
    <cellStyle name="Comma 2 3 3 3 3 2 3 5" xfId="55195" xr:uid="{FC0AB2C8-A343-4068-9B4F-A1965FFA2EAB}"/>
    <cellStyle name="Comma 2 3 3 3 3 2 4" xfId="15789" xr:uid="{1861D49C-CBB4-49CC-BED1-269F1A987830}"/>
    <cellStyle name="Comma 2 3 3 3 3 2 4 2" xfId="23318" xr:uid="{F3A14F93-08F3-4FFB-B641-05580D5DFDB6}"/>
    <cellStyle name="Comma 2 3 3 3 3 2 4 3" xfId="46965" xr:uid="{82CC6C89-DF0A-4ED5-B1A5-EA2520576C22}"/>
    <cellStyle name="Comma 2 3 3 3 3 2 4 4" xfId="52656" xr:uid="{D0B27469-7449-469B-AB6E-643A5AEA70DE}"/>
    <cellStyle name="Comma 2 3 3 3 3 2 4 5" xfId="55672" xr:uid="{55524865-59F0-424F-9DA1-B38BA32034E3}"/>
    <cellStyle name="Comma 2 3 3 3 3 2 5" xfId="12851" xr:uid="{BA648AA0-42C9-4A75-B7FA-DA2564879AC1}"/>
    <cellStyle name="Comma 2 3 3 3 3 2 5 2" xfId="47565" xr:uid="{E698D502-6183-444C-9258-61988794A5A8}"/>
    <cellStyle name="Comma 2 3 3 3 3 2 5 3" xfId="51225" xr:uid="{1738B1D8-6975-48AF-9D59-7B823CB4EC6E}"/>
    <cellStyle name="Comma 2 3 3 3 3 2 5 4" xfId="54241" xr:uid="{244CD865-A533-4034-AA90-3550675BAACA}"/>
    <cellStyle name="Comma 2 3 3 3 3 2 6" xfId="46107" xr:uid="{F30B7A80-299A-4C9F-9B92-B7156FF3E852}"/>
    <cellStyle name="Comma 2 3 3 3 3 2 7" xfId="50119" xr:uid="{E00DE7A4-0666-48A4-9B3A-C90E6499EAFE}"/>
    <cellStyle name="Comma 2 3 3 3 3 2 8" xfId="53135" xr:uid="{A543840C-344A-4FB5-8E2E-AB059CA259F4}"/>
    <cellStyle name="Comma 2 3 3 3 3 3" xfId="14605" xr:uid="{5D435CD7-EEBD-4C35-AF2C-BBEDF73A80E4}"/>
    <cellStyle name="Comma 2 3 3 3 3 3 2" xfId="22152" xr:uid="{98572BD2-88D2-4DD5-A1DF-74D1200FC3D1}"/>
    <cellStyle name="Comma 2 3 3 3 3 3 3" xfId="48095" xr:uid="{8C10D0C1-EC2D-44BB-9EED-5E7053B592F5}"/>
    <cellStyle name="Comma 2 3 3 3 3 3 4" xfId="51490" xr:uid="{BFC7D369-EEE3-455D-9403-B047684BD36E}"/>
    <cellStyle name="Comma 2 3 3 3 3 3 5" xfId="54506" xr:uid="{096E0FEC-C774-4C9C-ADA3-94C5EEA997B3}"/>
    <cellStyle name="Comma 2 3 3 3 3 4" xfId="15090" xr:uid="{EB1B0DFB-85F0-4885-BB24-23B8D67B2C2B}"/>
    <cellStyle name="Comma 2 3 3 3 3 4 2" xfId="22629" xr:uid="{CF8986C8-D4F1-4D0A-8E54-A14318A8AE7D}"/>
    <cellStyle name="Comma 2 3 3 3 3 4 3" xfId="47838" xr:uid="{E5855D2A-26E1-47F5-925F-A97CB7D2BA28}"/>
    <cellStyle name="Comma 2 3 3 3 3 4 4" xfId="51967" xr:uid="{313BC715-C0CE-41F8-8237-778E7AC65BF7}"/>
    <cellStyle name="Comma 2 3 3 3 3 4 5" xfId="54983" xr:uid="{3F811ABA-68DA-42A2-9F2F-8C7E5739F979}"/>
    <cellStyle name="Comma 2 3 3 3 3 5" xfId="15577" xr:uid="{EE01A174-8582-4BB2-81BD-08422A58C1C6}"/>
    <cellStyle name="Comma 2 3 3 3 3 5 2" xfId="23106" xr:uid="{C66619C6-ABA0-43BC-ACDB-D58500841509}"/>
    <cellStyle name="Comma 2 3 3 3 3 5 3" xfId="48130" xr:uid="{1296428F-A651-4A52-AC35-EBCB9E79E5D0}"/>
    <cellStyle name="Comma 2 3 3 3 3 5 4" xfId="52444" xr:uid="{75DC60FD-4E2E-4E9F-A522-FE9E6F0EA6F3}"/>
    <cellStyle name="Comma 2 3 3 3 3 5 5" xfId="55460" xr:uid="{22170D4B-EE2B-4F13-8341-FFF0CB5828A4}"/>
    <cellStyle name="Comma 2 3 3 3 3 6" xfId="12542" xr:uid="{E24F3DD1-3E4C-4004-93FC-F8FB84536A2F}"/>
    <cellStyle name="Comma 2 3 3 3 3 6 2" xfId="25084" xr:uid="{A5B416E5-F475-424A-BD80-DB189DC19D6E}"/>
    <cellStyle name="Comma 2 3 3 3 3 6 3" xfId="51013" xr:uid="{B614EFB3-A457-42F1-A749-86D6415F0532}"/>
    <cellStyle name="Comma 2 3 3 3 3 6 4" xfId="54029" xr:uid="{4147A14F-AFFF-43B2-B3B7-C21996CD768A}"/>
    <cellStyle name="Comma 2 3 3 3 3 7" xfId="46038" xr:uid="{3607210C-A2EF-416A-8F34-17AF3B425A88}"/>
    <cellStyle name="Comma 2 3 3 3 3 8" xfId="49907" xr:uid="{A4618C85-B6EC-4198-84B3-7B250D6A90F5}"/>
    <cellStyle name="Comma 2 3 3 3 3 9" xfId="52923" xr:uid="{AFFCE54D-6C62-4A8E-B43E-9F9A302D128E}"/>
    <cellStyle name="Comma 2 3 3 3 4" xfId="10164" xr:uid="{4A2DFEB4-9345-453E-BA88-E3CDC7CC9D73}"/>
    <cellStyle name="Comma 2 3 3 3 4 2" xfId="10478" xr:uid="{68DFA0D4-0D9D-4AED-8D74-1DC1754941A5}"/>
    <cellStyle name="Comma 2 3 3 3 4 2 2" xfId="14870" xr:uid="{58F427DE-E82F-4F69-BA3F-697E035513F6}"/>
    <cellStyle name="Comma 2 3 3 3 4 2 2 2" xfId="22417" xr:uid="{4514008B-01AD-4F52-8284-FCCDDAEFB996}"/>
    <cellStyle name="Comma 2 3 3 3 4 2 2 3" xfId="48213" xr:uid="{29B6FCD9-1D07-41EF-9D51-5D608597D106}"/>
    <cellStyle name="Comma 2 3 3 3 4 2 2 4" xfId="51755" xr:uid="{658C0DEA-8F8C-4EE3-8321-FA7F4219F568}"/>
    <cellStyle name="Comma 2 3 3 3 4 2 2 5" xfId="54771" xr:uid="{A8DF7C98-9C1C-4F7C-89CA-7D6601F15B07}"/>
    <cellStyle name="Comma 2 3 3 3 4 2 3" xfId="15355" xr:uid="{6945C260-61DB-4D1F-8D35-91E638184B34}"/>
    <cellStyle name="Comma 2 3 3 3 4 2 3 2" xfId="22894" xr:uid="{8AF19A33-ACC7-4151-9A7A-600E347F014D}"/>
    <cellStyle name="Comma 2 3 3 3 4 2 3 3" xfId="46519" xr:uid="{79A1D580-F388-4B9B-9E06-F034CBAF4179}"/>
    <cellStyle name="Comma 2 3 3 3 4 2 3 4" xfId="52232" xr:uid="{DFD68A4B-91C8-45DC-BB83-5A380F3A9D21}"/>
    <cellStyle name="Comma 2 3 3 3 4 2 3 5" xfId="55248" xr:uid="{3F438BB8-A776-4972-AAC2-F64FC852052C}"/>
    <cellStyle name="Comma 2 3 3 3 4 2 4" xfId="15842" xr:uid="{7973227E-15B3-46C9-AB9D-5FFFFC0470F8}"/>
    <cellStyle name="Comma 2 3 3 3 4 2 4 2" xfId="23371" xr:uid="{91053B6C-1A21-49D0-9539-27E0BDCB36AC}"/>
    <cellStyle name="Comma 2 3 3 3 4 2 4 3" xfId="24156" xr:uid="{24FE9C03-9F6B-4F89-A85C-9E662E93FC1D}"/>
    <cellStyle name="Comma 2 3 3 3 4 2 4 4" xfId="52709" xr:uid="{76A48E35-9493-45B2-91B1-2CDD16023E6B}"/>
    <cellStyle name="Comma 2 3 3 3 4 2 4 5" xfId="55725" xr:uid="{4D393EAB-ABA8-4B29-B359-A280B27B24BD}"/>
    <cellStyle name="Comma 2 3 3 3 4 2 5" xfId="12931" xr:uid="{B5C264E7-C88F-4B1C-BEE2-F9196333B240}"/>
    <cellStyle name="Comma 2 3 3 3 4 2 5 2" xfId="32334" xr:uid="{56E92569-5CF1-4FFD-8EEB-9F74BD624329}"/>
    <cellStyle name="Comma 2 3 3 3 4 2 5 3" xfId="51278" xr:uid="{B4DB83B8-1094-42BE-A72E-FD8A729FC01B}"/>
    <cellStyle name="Comma 2 3 3 3 4 2 5 4" xfId="54294" xr:uid="{001AC309-5E41-4097-A0B9-0C0FC1EEEF75}"/>
    <cellStyle name="Comma 2 3 3 3 4 2 6" xfId="46127" xr:uid="{796FE1BA-C1A7-44D4-A7DC-A66D8F2D3F66}"/>
    <cellStyle name="Comma 2 3 3 3 4 2 7" xfId="50172" xr:uid="{98C91434-C011-48AE-94C5-C1DBFCBFF53A}"/>
    <cellStyle name="Comma 2 3 3 3 4 2 8" xfId="53188" xr:uid="{7028AD34-AB8C-438C-A8E5-F03D47FC1554}"/>
    <cellStyle name="Comma 2 3 3 3 4 3" xfId="14658" xr:uid="{7F2E80A0-E23A-4472-A6D6-C543BF359978}"/>
    <cellStyle name="Comma 2 3 3 3 4 3 2" xfId="22205" xr:uid="{605E97E0-7155-4A68-8930-4A84F5E21C3B}"/>
    <cellStyle name="Comma 2 3 3 3 4 3 3" xfId="48207" xr:uid="{1DD00369-26F2-429E-B8F8-B89AB3BAB976}"/>
    <cellStyle name="Comma 2 3 3 3 4 3 4" xfId="51543" xr:uid="{2DA81128-DDC0-4A23-A6CB-5BA4538B182B}"/>
    <cellStyle name="Comma 2 3 3 3 4 3 5" xfId="54559" xr:uid="{18D95584-1CF4-4F7B-B8A5-4DCC013D21CD}"/>
    <cellStyle name="Comma 2 3 3 3 4 4" xfId="15143" xr:uid="{1E0074AA-F52C-4210-A818-AC2F315613F1}"/>
    <cellStyle name="Comma 2 3 3 3 4 4 2" xfId="22682" xr:uid="{1CBE9C5E-F935-4AFA-A46B-ED0EF4C6D26F}"/>
    <cellStyle name="Comma 2 3 3 3 4 4 3" xfId="47039" xr:uid="{9A4A1156-1DF4-4F4E-B9F3-5E97308EAE5E}"/>
    <cellStyle name="Comma 2 3 3 3 4 4 4" xfId="52020" xr:uid="{81A42077-A0A7-42BB-80EE-3B98A6D06F7F}"/>
    <cellStyle name="Comma 2 3 3 3 4 4 5" xfId="55036" xr:uid="{C439BD23-40DE-4B80-82DA-3D1961C83F8C}"/>
    <cellStyle name="Comma 2 3 3 3 4 5" xfId="15630" xr:uid="{2C50A1F7-A445-442F-B993-0DB8E5082519}"/>
    <cellStyle name="Comma 2 3 3 3 4 5 2" xfId="23159" xr:uid="{AF65749C-6583-49A3-9D07-E8396399195E}"/>
    <cellStyle name="Comma 2 3 3 3 4 5 3" xfId="47437" xr:uid="{A7D97F41-60C7-4FD2-9051-3AAE9650587D}"/>
    <cellStyle name="Comma 2 3 3 3 4 5 4" xfId="52497" xr:uid="{11406608-C878-48E7-8A35-32BA7A96C255}"/>
    <cellStyle name="Comma 2 3 3 3 4 5 5" xfId="55513" xr:uid="{85706C9D-3B3D-4A06-980D-B055321FB457}"/>
    <cellStyle name="Comma 2 3 3 3 4 6" xfId="12618" xr:uid="{DC7D37D0-5405-4067-9684-9B2F5E396E4E}"/>
    <cellStyle name="Comma 2 3 3 3 4 6 2" xfId="46774" xr:uid="{54C2A6C3-CCE6-4067-B459-BA1A8EB1D1E4}"/>
    <cellStyle name="Comma 2 3 3 3 4 6 3" xfId="51066" xr:uid="{9A74E8CC-3E02-4857-A3AA-24F4840DA0FF}"/>
    <cellStyle name="Comma 2 3 3 3 4 6 4" xfId="54082" xr:uid="{BBFF2DAF-65E8-41AA-9535-D97890AA2A4C}"/>
    <cellStyle name="Comma 2 3 3 3 4 7" xfId="48089" xr:uid="{85AEF028-36F4-41F2-8590-D3505D576BA0}"/>
    <cellStyle name="Comma 2 3 3 3 4 8" xfId="49960" xr:uid="{2CA91E0D-C0A5-4472-80C0-54099D61A9AA}"/>
    <cellStyle name="Comma 2 3 3 3 4 9" xfId="52976" xr:uid="{39F103DE-AA92-4DEB-93A6-D56D073C8BBB}"/>
    <cellStyle name="Comma 2 3 3 3 5" xfId="10244" xr:uid="{4BADF85C-3A5A-46B5-81B5-8260580C4267}"/>
    <cellStyle name="Comma 2 3 3 3 5 2" xfId="14711" xr:uid="{C62FFDE6-F977-40FB-8389-41CBED2BD349}"/>
    <cellStyle name="Comma 2 3 3 3 5 2 2" xfId="22258" xr:uid="{FE2E7A0F-EA9A-459D-86B8-97A5FFF837CE}"/>
    <cellStyle name="Comma 2 3 3 3 5 2 3" xfId="33370" xr:uid="{BA666AAC-AABE-4604-939D-42829399E828}"/>
    <cellStyle name="Comma 2 3 3 3 5 2 4" xfId="51596" xr:uid="{4A403994-322E-4ABF-92AA-27ACC6D37A93}"/>
    <cellStyle name="Comma 2 3 3 3 5 2 5" xfId="54612" xr:uid="{AF7F6D18-6F7A-4AF8-8D2D-44378CDBF349}"/>
    <cellStyle name="Comma 2 3 3 3 5 3" xfId="15196" xr:uid="{EC539C67-D9FF-4145-A650-25353F786EBB}"/>
    <cellStyle name="Comma 2 3 3 3 5 3 2" xfId="22735" xr:uid="{88DDC486-E054-40AA-8F6F-4B70DF63FB89}"/>
    <cellStyle name="Comma 2 3 3 3 5 3 3" xfId="47394" xr:uid="{AB81FAEF-D198-42C9-850B-709CDF463DFA}"/>
    <cellStyle name="Comma 2 3 3 3 5 3 4" xfId="52073" xr:uid="{72C1907D-0DE7-4E6E-B578-C057BF9A757A}"/>
    <cellStyle name="Comma 2 3 3 3 5 3 5" xfId="55089" xr:uid="{9B978BA1-8133-4F38-AC32-25911D42C212}"/>
    <cellStyle name="Comma 2 3 3 3 5 4" xfId="15683" xr:uid="{0D5A5EC9-DAC4-4F84-A193-A4A0D97290D3}"/>
    <cellStyle name="Comma 2 3 3 3 5 4 2" xfId="23212" xr:uid="{0247D9F3-B34A-4085-8CE7-14BD87E4A0AB}"/>
    <cellStyle name="Comma 2 3 3 3 5 4 3" xfId="32324" xr:uid="{C8BBDB71-4175-4B9B-8EF9-08148388446F}"/>
    <cellStyle name="Comma 2 3 3 3 5 4 4" xfId="52550" xr:uid="{6F5A67C8-FB56-41F2-902D-6B698674D64C}"/>
    <cellStyle name="Comma 2 3 3 3 5 4 5" xfId="55566" xr:uid="{2C9C95D5-9876-4121-9C49-2A4AA1AA31F2}"/>
    <cellStyle name="Comma 2 3 3 3 5 5" xfId="12697" xr:uid="{B0C7F417-2582-4E45-8499-6613145FC030}"/>
    <cellStyle name="Comma 2 3 3 3 5 5 2" xfId="46342" xr:uid="{829FF7BE-0B92-4F27-99A5-BF3F2D4B8A7B}"/>
    <cellStyle name="Comma 2 3 3 3 5 5 3" xfId="51119" xr:uid="{1446A87C-E1B4-4850-AA69-CA5FF05260FA}"/>
    <cellStyle name="Comma 2 3 3 3 5 5 4" xfId="54135" xr:uid="{768E342D-F3B9-45A7-B2F2-9A4557D2DD9B}"/>
    <cellStyle name="Comma 2 3 3 3 5 6" xfId="46072" xr:uid="{0623919D-886F-4877-A559-FE0E0696C5EE}"/>
    <cellStyle name="Comma 2 3 3 3 5 7" xfId="50013" xr:uid="{53B00AC4-F885-4A83-BEC6-B8F6288BBE49}"/>
    <cellStyle name="Comma 2 3 3 3 5 8" xfId="53029" xr:uid="{302CDD85-F8AD-4429-B0B1-63BF8627C12F}"/>
    <cellStyle name="Comma 2 3 3 3 6" xfId="10558" xr:uid="{F94897A4-04F1-492E-B521-ECD5650CAF4D}"/>
    <cellStyle name="Comma 2 3 3 3 6 2" xfId="14923" xr:uid="{CA7CCA9A-5A4E-4197-94E2-6D5E2A5CE804}"/>
    <cellStyle name="Comma 2 3 3 3 6 2 2" xfId="22470" xr:uid="{E1D03C3F-04BB-45A3-806A-46976EACBCDE}"/>
    <cellStyle name="Comma 2 3 3 3 6 2 3" xfId="46684" xr:uid="{255E4A4E-BF2F-41E2-9302-29ABC453EF1B}"/>
    <cellStyle name="Comma 2 3 3 3 6 2 4" xfId="51808" xr:uid="{8F21B56E-C33C-4866-8761-CD5BF70BE2F9}"/>
    <cellStyle name="Comma 2 3 3 3 6 2 5" xfId="54824" xr:uid="{A89A1EB9-9691-4CF2-AC23-73965132E303}"/>
    <cellStyle name="Comma 2 3 3 3 6 3" xfId="15408" xr:uid="{19865513-10F9-4892-9364-E4E8B24AD88F}"/>
    <cellStyle name="Comma 2 3 3 3 6 3 2" xfId="22947" xr:uid="{EBD334CC-F03C-4F18-9770-2F5112484FDC}"/>
    <cellStyle name="Comma 2 3 3 3 6 3 3" xfId="34000" xr:uid="{617B09F4-6B9B-4E51-99BC-09CD7FA51AF9}"/>
    <cellStyle name="Comma 2 3 3 3 6 3 4" xfId="52285" xr:uid="{2B0DBE85-5807-47FA-98CA-73D28DAFB432}"/>
    <cellStyle name="Comma 2 3 3 3 6 3 5" xfId="55301" xr:uid="{0C5BE557-0343-48A6-AF40-DEB30832283B}"/>
    <cellStyle name="Comma 2 3 3 3 6 4" xfId="15896" xr:uid="{9F6AF2E7-BF6C-4FA6-80F3-8DB24978A366}"/>
    <cellStyle name="Comma 2 3 3 3 6 4 2" xfId="23424" xr:uid="{526083A9-B26B-44D0-9CF3-340BB0660579}"/>
    <cellStyle name="Comma 2 3 3 3 6 4 3" xfId="32280" xr:uid="{D834844D-DD9D-4083-8372-D99763AD0445}"/>
    <cellStyle name="Comma 2 3 3 3 6 4 4" xfId="52762" xr:uid="{9D72D5BE-701C-40D9-A09F-A86286EFB70F}"/>
    <cellStyle name="Comma 2 3 3 3 6 4 5" xfId="55778" xr:uid="{EA9B4EDF-7B61-441C-8CD4-20225CCD24CD}"/>
    <cellStyle name="Comma 2 3 3 3 6 5" xfId="13011" xr:uid="{8BA5BF54-71FC-4E98-AB98-ED48D9940A87}"/>
    <cellStyle name="Comma 2 3 3 3 6 5 2" xfId="47233" xr:uid="{A1F8ABE9-F15C-4D78-B137-405F7BBC8FAC}"/>
    <cellStyle name="Comma 2 3 3 3 6 5 3" xfId="51331" xr:uid="{4406E0ED-A3F9-478D-9E4C-8DF4B1FBEB1C}"/>
    <cellStyle name="Comma 2 3 3 3 6 5 4" xfId="54347" xr:uid="{AAFDF0FB-0EC6-4403-A7E3-0368B5A8C56F}"/>
    <cellStyle name="Comma 2 3 3 3 6 6" xfId="24259" xr:uid="{ABFF2311-9CED-4C89-8F04-AFE7B3FCBD61}"/>
    <cellStyle name="Comma 2 3 3 3 6 7" xfId="50225" xr:uid="{9A2D1815-6ED3-4927-82E6-C65C894EDF4E}"/>
    <cellStyle name="Comma 2 3 3 3 6 8" xfId="53241" xr:uid="{34649781-27C2-4769-9351-707329D3F1F8}"/>
    <cellStyle name="Comma 2 3 3 3 7" xfId="14499" xr:uid="{3134330D-82FA-45B3-93B1-024EC09EF4DD}"/>
    <cellStyle name="Comma 2 3 3 3 7 2" xfId="22046" xr:uid="{B13036FA-0D76-4AAE-BC3C-5F9F77720B50}"/>
    <cellStyle name="Comma 2 3 3 3 7 3" xfId="47826" xr:uid="{7D8FC8E7-8F4B-4DA7-8038-FD129CAD70D4}"/>
    <cellStyle name="Comma 2 3 3 3 7 4" xfId="51384" xr:uid="{8DE65D16-B619-49EA-9241-7F399F8F3F2A}"/>
    <cellStyle name="Comma 2 3 3 3 7 5" xfId="54400" xr:uid="{E7C0089A-2EA9-4BD9-9742-0F82BD2E440F}"/>
    <cellStyle name="Comma 2 3 3 3 8" xfId="14983" xr:uid="{51689C52-6B1D-4601-88C8-9F4D25DF9000}"/>
    <cellStyle name="Comma 2 3 3 3 8 2" xfId="22523" xr:uid="{FD30D35C-2306-42AF-9FE7-30873ACEC126}"/>
    <cellStyle name="Comma 2 3 3 3 8 3" xfId="46461" xr:uid="{47DE919F-F1AD-4924-BCBF-44DBADF9142D}"/>
    <cellStyle name="Comma 2 3 3 3 8 4" xfId="51861" xr:uid="{E573E620-FBA3-42D0-B1A8-B742BAC0CED7}"/>
    <cellStyle name="Comma 2 3 3 3 8 5" xfId="54877" xr:uid="{CF77DD6E-84B0-4258-A79B-AC68FB6E1644}"/>
    <cellStyle name="Comma 2 3 3 3 9" xfId="15470" xr:uid="{6F14ABA7-2EE0-4EC2-88C6-56B1334494C1}"/>
    <cellStyle name="Comma 2 3 3 3 9 2" xfId="23000" xr:uid="{4DB1EA38-8758-4699-B65E-4E114179135C}"/>
    <cellStyle name="Comma 2 3 3 3 9 3" xfId="48385" xr:uid="{90DB06A0-3F8D-4EA2-AFE3-3ED4BC8B043F}"/>
    <cellStyle name="Comma 2 3 3 3 9 4" xfId="52338" xr:uid="{B67D98C3-2CEE-4FAF-8810-4B2852288A92}"/>
    <cellStyle name="Comma 2 3 3 3 9 5" xfId="55354" xr:uid="{A1F37E8D-AB34-42D6-9679-776CEFCDD68F}"/>
    <cellStyle name="Comma 2 3 3 4" xfId="9600" xr:uid="{E2B60A01-B2D5-4A09-9233-5CDAEA742089}"/>
    <cellStyle name="Comma 2 3 3 5" xfId="11155" xr:uid="{C6ED8799-30B0-4A5D-A980-72BA5A6B5F1D}"/>
    <cellStyle name="Comma 2 3 3 6" xfId="11186" xr:uid="{14997A01-1840-4CBC-A7EF-946D8E8C2A3E}"/>
    <cellStyle name="Comma 2 3 3 6 2" xfId="21683" xr:uid="{970D0524-7356-461F-8698-1EBE349593D4}"/>
    <cellStyle name="Comma 2 3 3 6 3" xfId="47680" xr:uid="{0488DE54-7F81-4C32-81DC-637813DBFD5E}"/>
    <cellStyle name="Comma 2 3 3 6 4" xfId="50699" xr:uid="{B87441D8-A244-4450-A2EF-807FEBF7346D}"/>
    <cellStyle name="Comma 2 3 3 6 5" xfId="53715" xr:uid="{AE283084-088E-453D-B4AC-A288633A10C7}"/>
    <cellStyle name="Comma 2 3 3 7" xfId="19473" xr:uid="{0D7984B0-D934-410A-B899-155727F469DE}"/>
    <cellStyle name="Comma 2 3 3 8" xfId="23714" xr:uid="{BA6AF5FF-366B-4974-AE3B-492DA705C450}"/>
    <cellStyle name="Comma 2 3 3 9" xfId="48604" xr:uid="{503FBF52-515C-4FB7-9D1A-EBDC0F065E58}"/>
    <cellStyle name="Comma 2 3 4" xfId="2613" xr:uid="{41019E59-81DB-4908-B0D9-F616798FF7AD}"/>
    <cellStyle name="Comma 2 3 4 2" xfId="4532" xr:uid="{4B789FC1-6E81-4394-82CA-DEEF6D57BF65}"/>
    <cellStyle name="Comma 2 3 4 2 10" xfId="15471" xr:uid="{973C67D9-9F47-4001-8EAA-EE7A76C3B895}"/>
    <cellStyle name="Comma 2 3 4 2 10 2" xfId="23001" xr:uid="{D8FD3E7D-6272-447D-A1F0-A74391A9FCFA}"/>
    <cellStyle name="Comma 2 3 4 2 10 3" xfId="46694" xr:uid="{F11E7710-C58F-4311-825A-04A624020610}"/>
    <cellStyle name="Comma 2 3 4 2 10 4" xfId="52339" xr:uid="{C975CAE0-213D-4C0E-A605-C528AA6810EA}"/>
    <cellStyle name="Comma 2 3 4 2 10 5" xfId="55355" xr:uid="{A671DA2F-CAE9-4C08-A7B1-38015AB9374F}"/>
    <cellStyle name="Comma 2 3 4 2 11" xfId="11162" xr:uid="{64B6F6FF-0FCB-4452-997D-63D34257025C}"/>
    <cellStyle name="Comma 2 3 4 2 11 2" xfId="21677" xr:uid="{31B3D145-FF1A-48C5-A68F-1D78E3D05B4F}"/>
    <cellStyle name="Comma 2 3 4 2 11 3" xfId="46274" xr:uid="{37EB7811-3038-4722-BCDB-5041A13AE136}"/>
    <cellStyle name="Comma 2 3 4 2 11 4" xfId="50693" xr:uid="{C12A9902-94E5-4248-A51D-1760FEBE167D}"/>
    <cellStyle name="Comma 2 3 4 2 11 5" xfId="53709" xr:uid="{FB484BA0-1B38-4CBD-A585-576CD2BBA716}"/>
    <cellStyle name="Comma 2 3 4 2 12" xfId="23719" xr:uid="{A34DFF9F-7532-4EE8-829D-4D959C68022B}"/>
    <cellStyle name="Comma 2 3 4 2 13" xfId="48609" xr:uid="{1C644DD5-9B6E-4A1B-980B-40341EA770E2}"/>
    <cellStyle name="Comma 2 3 4 2 14" xfId="49519" xr:uid="{97C1874C-481A-478B-8F02-518536DD2148}"/>
    <cellStyle name="Comma 2 3 4 2 15" xfId="49802" xr:uid="{22D55E92-C958-467F-8852-F0D8B58D7519}"/>
    <cellStyle name="Comma 2 3 4 2 16" xfId="52817" xr:uid="{FE69728A-D18B-4A8A-9779-6CFDF63DB2AD}"/>
    <cellStyle name="Comma 2 3 4 2 17" xfId="8925" xr:uid="{2D65130C-4FE7-4F60-A7AD-4ACD7B9DF9F4}"/>
    <cellStyle name="Comma 2 3 4 2 2" xfId="10012" xr:uid="{9CEF64B3-7B0C-4D8D-AB0F-A02D9DD31350}"/>
    <cellStyle name="Comma 2 3 4 2 2 2" xfId="10320" xr:uid="{2839EF62-7D8B-4ED3-A4AB-22679D310824}"/>
    <cellStyle name="Comma 2 3 4 2 2 2 2" xfId="14765" xr:uid="{4EA23EF0-E642-484E-B03A-556BE975606B}"/>
    <cellStyle name="Comma 2 3 4 2 2 2 2 2" xfId="22312" xr:uid="{53E8C14F-51E3-46CF-A768-4B35D9FB445C}"/>
    <cellStyle name="Comma 2 3 4 2 2 2 2 3" xfId="25301" xr:uid="{5ABBEC66-62D5-4DBE-A876-CDCC91B432F5}"/>
    <cellStyle name="Comma 2 3 4 2 2 2 2 4" xfId="51650" xr:uid="{8ED4AEC9-AC0A-44B8-822B-CBA5685B1784}"/>
    <cellStyle name="Comma 2 3 4 2 2 2 2 5" xfId="54666" xr:uid="{3C256CC0-514B-4082-BB60-68AD6BF6413B}"/>
    <cellStyle name="Comma 2 3 4 2 2 2 3" xfId="15250" xr:uid="{30FE6953-40E8-4E77-9556-63A475A6FEB5}"/>
    <cellStyle name="Comma 2 3 4 2 2 2 3 2" xfId="22789" xr:uid="{5ECD68CA-5344-4224-B8CE-E68D1A09F6F6}"/>
    <cellStyle name="Comma 2 3 4 2 2 2 3 3" xfId="24179" xr:uid="{A42A616A-F7DB-4C60-A69B-EFE92196AB9B}"/>
    <cellStyle name="Comma 2 3 4 2 2 2 3 4" xfId="52127" xr:uid="{1C355221-4CF2-4730-8285-63824BD0D009}"/>
    <cellStyle name="Comma 2 3 4 2 2 2 3 5" xfId="55143" xr:uid="{F4B40977-1F0E-4323-9B6C-B1945D9EBDE5}"/>
    <cellStyle name="Comma 2 3 4 2 2 2 4" xfId="15737" xr:uid="{98ED245C-F942-4381-84E7-9619A4E9BBF4}"/>
    <cellStyle name="Comma 2 3 4 2 2 2 4 2" xfId="23266" xr:uid="{A2581EAE-5CE5-410F-BCA1-BC154C3358CD}"/>
    <cellStyle name="Comma 2 3 4 2 2 2 4 3" xfId="46579" xr:uid="{12F7E386-C873-4406-A397-CE25FCF43293}"/>
    <cellStyle name="Comma 2 3 4 2 2 2 4 4" xfId="52604" xr:uid="{AA58ACA2-2513-4CF1-870E-FD884349F477}"/>
    <cellStyle name="Comma 2 3 4 2 2 2 4 5" xfId="55620" xr:uid="{71D097C3-6E88-4656-8BB3-AE18DC1D2BB0}"/>
    <cellStyle name="Comma 2 3 4 2 2 2 5" xfId="12773" xr:uid="{E2B619D6-1455-48DC-A64E-09B08E1C95A7}"/>
    <cellStyle name="Comma 2 3 4 2 2 2 5 2" xfId="25056" xr:uid="{7592CA7C-627E-47E1-8A07-647792C179A7}"/>
    <cellStyle name="Comma 2 3 4 2 2 2 5 3" xfId="51173" xr:uid="{320A5600-E7C2-49C7-B2E8-8E6E7129BF1F}"/>
    <cellStyle name="Comma 2 3 4 2 2 2 5 4" xfId="54189" xr:uid="{58030C92-D073-4EFA-BBCE-ACB426115685}"/>
    <cellStyle name="Comma 2 3 4 2 2 2 6" xfId="47360" xr:uid="{B34CDA71-5E39-411C-9D3E-63316FB06E1E}"/>
    <cellStyle name="Comma 2 3 4 2 2 2 7" xfId="50067" xr:uid="{2D2634B4-3584-4F7A-8919-E33D1ADBA62C}"/>
    <cellStyle name="Comma 2 3 4 2 2 2 8" xfId="53083" xr:uid="{CF3510EC-564C-45AE-9208-EA5071AE8338}"/>
    <cellStyle name="Comma 2 3 4 2 2 3" xfId="14553" xr:uid="{8AB7FF64-D754-4FCD-8033-9E8F468E5587}"/>
    <cellStyle name="Comma 2 3 4 2 2 3 2" xfId="22100" xr:uid="{5B42144F-BDBD-4CB1-ADBA-88DF8141EEB8}"/>
    <cellStyle name="Comma 2 3 4 2 2 3 3" xfId="24979" xr:uid="{49EBC87E-53F5-48D2-ACD3-9FBB4F4EC443}"/>
    <cellStyle name="Comma 2 3 4 2 2 3 4" xfId="51438" xr:uid="{04677D73-7E77-447A-81C1-547E3737BFE2}"/>
    <cellStyle name="Comma 2 3 4 2 2 3 5" xfId="54454" xr:uid="{958995A2-A2A5-451D-A528-234C6F08E158}"/>
    <cellStyle name="Comma 2 3 4 2 2 4" xfId="15037" xr:uid="{2BAFC2B6-8F52-422D-9484-D400512657E5}"/>
    <cellStyle name="Comma 2 3 4 2 2 4 2" xfId="22577" xr:uid="{44266408-9924-47C0-A561-E91011CAD392}"/>
    <cellStyle name="Comma 2 3 4 2 2 4 3" xfId="48065" xr:uid="{3533BC2C-E27E-463A-A7F0-AAD6EC7177FD}"/>
    <cellStyle name="Comma 2 3 4 2 2 4 4" xfId="51915" xr:uid="{F14ED952-C681-4D1F-84E8-BD70E77DC9E3}"/>
    <cellStyle name="Comma 2 3 4 2 2 4 5" xfId="54931" xr:uid="{01616061-BC97-4319-8C15-2AD920B19E0B}"/>
    <cellStyle name="Comma 2 3 4 2 2 5" xfId="15524" xr:uid="{397F5BA1-8E87-478F-8850-DCD9A30ECBAA}"/>
    <cellStyle name="Comma 2 3 4 2 2 5 2" xfId="23054" xr:uid="{F0CAACBF-C31D-4A11-AADE-7B8161CDB87E}"/>
    <cellStyle name="Comma 2 3 4 2 2 5 3" xfId="48224" xr:uid="{7D11330A-07D3-4E83-9C0C-8FED23503418}"/>
    <cellStyle name="Comma 2 3 4 2 2 5 4" xfId="52392" xr:uid="{3C11777A-071D-45BB-B825-132D63BF0946}"/>
    <cellStyle name="Comma 2 3 4 2 2 5 5" xfId="55408" xr:uid="{63665518-EE44-41F7-A741-6B8000AF1887}"/>
    <cellStyle name="Comma 2 3 4 2 2 6" xfId="12472" xr:uid="{D798500C-DA41-42A0-960F-C6899B2CFAE2}"/>
    <cellStyle name="Comma 2 3 4 2 2 6 2" xfId="48584" xr:uid="{C90875FD-450D-472E-9661-B6C40B6C9A04}"/>
    <cellStyle name="Comma 2 3 4 2 2 6 3" xfId="50961" xr:uid="{B14F59A8-685C-4379-B096-95254222EFD8}"/>
    <cellStyle name="Comma 2 3 4 2 2 6 4" xfId="53977" xr:uid="{FED7D60A-4E95-435F-98F0-970CA17CABC7}"/>
    <cellStyle name="Comma 2 3 4 2 2 7" xfId="46022" xr:uid="{2FA1C153-97D7-436F-99D2-060091D3D806}"/>
    <cellStyle name="Comma 2 3 4 2 2 8" xfId="49855" xr:uid="{DF19D266-C541-4D65-BDC6-DC7C18F7A6CD}"/>
    <cellStyle name="Comma 2 3 4 2 2 9" xfId="52871" xr:uid="{2007564D-E020-4BC7-A054-53A092F69542}"/>
    <cellStyle name="Comma 2 3 4 2 3" xfId="10086" xr:uid="{B0D5279D-25D5-45DC-800D-20BF3441B5AC}"/>
    <cellStyle name="Comma 2 3 4 2 3 2" xfId="10399" xr:uid="{BED88A0B-3C2B-402F-9BEA-E769D54F32E6}"/>
    <cellStyle name="Comma 2 3 4 2 3 2 2" xfId="14818" xr:uid="{4C839779-92E5-456A-99E9-E8325646BF54}"/>
    <cellStyle name="Comma 2 3 4 2 3 2 2 2" xfId="22365" xr:uid="{C24D95C0-3539-4C0F-BECA-577954A76066}"/>
    <cellStyle name="Comma 2 3 4 2 3 2 2 3" xfId="48064" xr:uid="{B3E49431-B201-46FA-A6F3-1784832705A1}"/>
    <cellStyle name="Comma 2 3 4 2 3 2 2 4" xfId="51703" xr:uid="{80653393-5A4E-46CA-97D9-5A9A987B2259}"/>
    <cellStyle name="Comma 2 3 4 2 3 2 2 5" xfId="54719" xr:uid="{19932575-C0D1-4CAA-9CB1-9F3C41B11598}"/>
    <cellStyle name="Comma 2 3 4 2 3 2 3" xfId="15303" xr:uid="{4DEF75F7-DE44-4F89-A5B6-EEB194D9ED22}"/>
    <cellStyle name="Comma 2 3 4 2 3 2 3 2" xfId="22842" xr:uid="{BCCC6EFE-8EFC-477B-AE17-322BC5E92054}"/>
    <cellStyle name="Comma 2 3 4 2 3 2 3 3" xfId="24444" xr:uid="{9671A0B8-B532-455B-AC28-CC32059FB733}"/>
    <cellStyle name="Comma 2 3 4 2 3 2 3 4" xfId="52180" xr:uid="{4C1CD2C8-A352-443E-805D-B78CFA1E53C4}"/>
    <cellStyle name="Comma 2 3 4 2 3 2 3 5" xfId="55196" xr:uid="{2997971F-012C-4696-9E9A-694BF0E4681C}"/>
    <cellStyle name="Comma 2 3 4 2 3 2 4" xfId="15790" xr:uid="{533F5FF7-4E76-4231-AC8E-DC6978465F39}"/>
    <cellStyle name="Comma 2 3 4 2 3 2 4 2" xfId="23319" xr:uid="{AB3522C1-0C52-4D40-95D4-0D5024F6ABB5}"/>
    <cellStyle name="Comma 2 3 4 2 3 2 4 3" xfId="48083" xr:uid="{C89C2ADB-6A47-4CB5-8FAF-1BA4ED841C04}"/>
    <cellStyle name="Comma 2 3 4 2 3 2 4 4" xfId="52657" xr:uid="{062F3C55-09DB-439E-95A4-C33A765870A0}"/>
    <cellStyle name="Comma 2 3 4 2 3 2 4 5" xfId="55673" xr:uid="{C11A4F64-FC75-4F3C-A4C0-484A86540FCA}"/>
    <cellStyle name="Comma 2 3 4 2 3 2 5" xfId="12852" xr:uid="{381F75B4-087F-428B-8DEE-2F98C17F09AA}"/>
    <cellStyle name="Comma 2 3 4 2 3 2 5 2" xfId="48533" xr:uid="{9C0DB007-0269-47AC-AA28-6DE4505B8D18}"/>
    <cellStyle name="Comma 2 3 4 2 3 2 5 3" xfId="51226" xr:uid="{E6DD873E-A539-4672-96F7-FC47037BA29D}"/>
    <cellStyle name="Comma 2 3 4 2 3 2 5 4" xfId="54242" xr:uid="{3DEB45B9-4BFD-43FC-B250-D3A9E9ED4F56}"/>
    <cellStyle name="Comma 2 3 4 2 3 2 6" xfId="48456" xr:uid="{864A6F75-D148-472F-8318-96269D19D621}"/>
    <cellStyle name="Comma 2 3 4 2 3 2 7" xfId="50120" xr:uid="{8D49CE4C-36CA-4D7E-8255-8B481AF1EE3D}"/>
    <cellStyle name="Comma 2 3 4 2 3 2 8" xfId="53136" xr:uid="{0191505F-DBD4-4FD2-B007-0F571128AB9F}"/>
    <cellStyle name="Comma 2 3 4 2 3 3" xfId="14606" xr:uid="{C7403158-6A13-4F63-A65D-2B7223657587}"/>
    <cellStyle name="Comma 2 3 4 2 3 3 2" xfId="22153" xr:uid="{FDD46C1D-14D2-4D28-81BB-BEF4E8119B29}"/>
    <cellStyle name="Comma 2 3 4 2 3 3 3" xfId="46676" xr:uid="{E5A1AF95-EFAC-45BF-BA7D-29BA1E69BFD8}"/>
    <cellStyle name="Comma 2 3 4 2 3 3 4" xfId="51491" xr:uid="{9BE8C2F4-BE6E-4D23-85F2-4F21420FFCDB}"/>
    <cellStyle name="Comma 2 3 4 2 3 3 5" xfId="54507" xr:uid="{383EA049-0DF2-4D75-8BCA-57AAB93D3BCD}"/>
    <cellStyle name="Comma 2 3 4 2 3 4" xfId="15091" xr:uid="{3125982A-8F10-478E-A06D-E353337DE2AF}"/>
    <cellStyle name="Comma 2 3 4 2 3 4 2" xfId="22630" xr:uid="{C1382C9C-9613-4D8E-9633-8886DD777ED3}"/>
    <cellStyle name="Comma 2 3 4 2 3 4 3" xfId="32506" xr:uid="{F3CD20EF-2452-4155-81BA-0150C77415D5}"/>
    <cellStyle name="Comma 2 3 4 2 3 4 4" xfId="51968" xr:uid="{52E080C3-875B-47DE-AE98-8EAA33B00C35}"/>
    <cellStyle name="Comma 2 3 4 2 3 4 5" xfId="54984" xr:uid="{F7E6AD3E-B37E-46FD-BCF0-F58476ED096F}"/>
    <cellStyle name="Comma 2 3 4 2 3 5" xfId="15578" xr:uid="{7D8623F6-238F-4B0C-BBEE-1DA441214A5D}"/>
    <cellStyle name="Comma 2 3 4 2 3 5 2" xfId="23107" xr:uid="{7DE1E102-4EA1-4B7B-A134-AF0F94485735}"/>
    <cellStyle name="Comma 2 3 4 2 3 5 3" xfId="46938" xr:uid="{06650FC6-8785-4880-BB46-51C7BF2ECED5}"/>
    <cellStyle name="Comma 2 3 4 2 3 5 4" xfId="52445" xr:uid="{8A86BE3C-D43B-4123-ADE5-303772B13796}"/>
    <cellStyle name="Comma 2 3 4 2 3 5 5" xfId="55461" xr:uid="{7DF77C6C-3842-4225-90E6-02068EB39CBB}"/>
    <cellStyle name="Comma 2 3 4 2 3 6" xfId="12543" xr:uid="{9CFCEDE8-7E96-4EA4-ADD0-63F6DA48218B}"/>
    <cellStyle name="Comma 2 3 4 2 3 6 2" xfId="47397" xr:uid="{3E6ACB98-8A0D-4A5A-BA9F-B151DE5E4226}"/>
    <cellStyle name="Comma 2 3 4 2 3 6 3" xfId="51014" xr:uid="{41753606-2DD4-4300-8D8E-70A447B4E267}"/>
    <cellStyle name="Comma 2 3 4 2 3 6 4" xfId="54030" xr:uid="{D8DFA6D0-5276-42DB-AF91-AAA3D744C370}"/>
    <cellStyle name="Comma 2 3 4 2 3 7" xfId="48150" xr:uid="{8B91F4F2-53F5-4E12-9577-DD9B2D1EF6EC}"/>
    <cellStyle name="Comma 2 3 4 2 3 8" xfId="49908" xr:uid="{97E13A50-D7D7-42E0-A27A-D2E1DD0E59B2}"/>
    <cellStyle name="Comma 2 3 4 2 3 9" xfId="52924" xr:uid="{2C6F6614-F126-4619-9B29-35D1C908B2F5}"/>
    <cellStyle name="Comma 2 3 4 2 4" xfId="10165" xr:uid="{5D246DCE-6C39-4027-BAA1-12B7E11D6E22}"/>
    <cellStyle name="Comma 2 3 4 2 4 2" xfId="10479" xr:uid="{8F7A1FE6-9A29-4A18-AE3B-6D4D6C6EA3C4}"/>
    <cellStyle name="Comma 2 3 4 2 4 2 2" xfId="14871" xr:uid="{3901DDF8-BA7D-419B-956A-8DB82D575896}"/>
    <cellStyle name="Comma 2 3 4 2 4 2 2 2" xfId="22418" xr:uid="{1EE95974-01A0-4331-A943-481E8E6BB71A}"/>
    <cellStyle name="Comma 2 3 4 2 4 2 2 3" xfId="46998" xr:uid="{77854747-44AA-48DC-BB29-1321503077DE}"/>
    <cellStyle name="Comma 2 3 4 2 4 2 2 4" xfId="51756" xr:uid="{31B5E6DA-11B4-421F-8023-55A4467BF121}"/>
    <cellStyle name="Comma 2 3 4 2 4 2 2 5" xfId="54772" xr:uid="{1202CC1F-87C8-4A2E-B732-1221082102F9}"/>
    <cellStyle name="Comma 2 3 4 2 4 2 3" xfId="15356" xr:uid="{35677AEF-1843-4D22-9C2F-A81DADBB6B68}"/>
    <cellStyle name="Comma 2 3 4 2 4 2 3 2" xfId="22895" xr:uid="{4D667B85-D19F-4C11-94CF-378C15A99776}"/>
    <cellStyle name="Comma 2 3 4 2 4 2 3 3" xfId="24907" xr:uid="{9DE31FC2-FDD9-4AFB-B9B2-6B22502D6BB6}"/>
    <cellStyle name="Comma 2 3 4 2 4 2 3 4" xfId="52233" xr:uid="{DD456199-39E6-45C1-9C77-DE809565183E}"/>
    <cellStyle name="Comma 2 3 4 2 4 2 3 5" xfId="55249" xr:uid="{EDFAF2A1-FBD6-4764-9F7D-2EC25C7B62F4}"/>
    <cellStyle name="Comma 2 3 4 2 4 2 4" xfId="15843" xr:uid="{599BA92C-CD7D-4A02-B01C-FB3890F5CCE3}"/>
    <cellStyle name="Comma 2 3 4 2 4 2 4 2" xfId="23372" xr:uid="{9C1B69F8-DDB9-4004-8A65-62A184D2BBFE}"/>
    <cellStyle name="Comma 2 3 4 2 4 2 4 3" xfId="46596" xr:uid="{D03F3063-3208-4A89-956B-DAF929D61F17}"/>
    <cellStyle name="Comma 2 3 4 2 4 2 4 4" xfId="52710" xr:uid="{59F68CCE-9745-4940-9F22-D6E588B05B58}"/>
    <cellStyle name="Comma 2 3 4 2 4 2 4 5" xfId="55726" xr:uid="{2069E285-890E-42FE-ACCB-E4E2BAC32351}"/>
    <cellStyle name="Comma 2 3 4 2 4 2 5" xfId="12932" xr:uid="{F2FBE7F2-AC98-4666-BF7D-518FCE7B76F2}"/>
    <cellStyle name="Comma 2 3 4 2 4 2 5 2" xfId="46813" xr:uid="{0C08B37A-04A7-4BBE-8DA8-D59949B73D23}"/>
    <cellStyle name="Comma 2 3 4 2 4 2 5 3" xfId="51279" xr:uid="{02878AC1-F6C6-4854-86A3-6059E67DDDD5}"/>
    <cellStyle name="Comma 2 3 4 2 4 2 5 4" xfId="54295" xr:uid="{E876AA62-5C1C-4989-8CCE-20AF275B9FE8}"/>
    <cellStyle name="Comma 2 3 4 2 4 2 6" xfId="47587" xr:uid="{7409D4E5-F6E8-4FDD-8966-DBE6C8236EDE}"/>
    <cellStyle name="Comma 2 3 4 2 4 2 7" xfId="50173" xr:uid="{93A3E029-A279-40C6-A6A9-503FD3CA82C6}"/>
    <cellStyle name="Comma 2 3 4 2 4 2 8" xfId="53189" xr:uid="{D339AC9A-AC65-45FE-8EA1-CCA6F2E4CAF8}"/>
    <cellStyle name="Comma 2 3 4 2 4 3" xfId="14659" xr:uid="{8F95E271-788C-4ACB-93D7-0C6404036915}"/>
    <cellStyle name="Comma 2 3 4 2 4 3 2" xfId="22206" xr:uid="{A68CD093-70EB-490C-8E4D-6A6C82B7C945}"/>
    <cellStyle name="Comma 2 3 4 2 4 3 3" xfId="25302" xr:uid="{46F31577-B50B-4616-9597-FDBCBB63BA6B}"/>
    <cellStyle name="Comma 2 3 4 2 4 3 4" xfId="51544" xr:uid="{AF3722FC-AC7C-47A6-A13B-14C30984EE3F}"/>
    <cellStyle name="Comma 2 3 4 2 4 3 5" xfId="54560" xr:uid="{4EB77FFF-B6E5-4CC9-A8AC-C970147178B3}"/>
    <cellStyle name="Comma 2 3 4 2 4 4" xfId="15144" xr:uid="{CA103B5A-EB9A-46A5-936E-99BD1F0DE250}"/>
    <cellStyle name="Comma 2 3 4 2 4 4 2" xfId="22683" xr:uid="{F9EA030C-4820-4071-8D9D-893769131B00}"/>
    <cellStyle name="Comma 2 3 4 2 4 4 3" xfId="48294" xr:uid="{BAC5D89C-57D5-4482-893C-78F1719A4B1A}"/>
    <cellStyle name="Comma 2 3 4 2 4 4 4" xfId="52021" xr:uid="{1FB17AC0-28DD-401C-85BE-9C51D97B6A02}"/>
    <cellStyle name="Comma 2 3 4 2 4 4 5" xfId="55037" xr:uid="{11FAB90D-11B7-4D54-9E79-FE659802C50A}"/>
    <cellStyle name="Comma 2 3 4 2 4 5" xfId="15631" xr:uid="{0AC4B005-A27A-41D0-83CE-E2D8B8619370}"/>
    <cellStyle name="Comma 2 3 4 2 4 5 2" xfId="23160" xr:uid="{CB06C5B5-4932-4A9B-AF18-951FC5DE8DA2}"/>
    <cellStyle name="Comma 2 3 4 2 4 5 3" xfId="48131" xr:uid="{5FE63104-AFE8-44C8-8507-EF7868D9816C}"/>
    <cellStyle name="Comma 2 3 4 2 4 5 4" xfId="52498" xr:uid="{5EB1CBE6-C61D-4EFF-9D1F-CDF40CE84F74}"/>
    <cellStyle name="Comma 2 3 4 2 4 5 5" xfId="55514" xr:uid="{4A6381A0-3A8C-4981-A46B-0A568DB90270}"/>
    <cellStyle name="Comma 2 3 4 2 4 6" xfId="12619" xr:uid="{7E25A57F-39C6-4ED4-A997-C234680615B0}"/>
    <cellStyle name="Comma 2 3 4 2 4 6 2" xfId="48048" xr:uid="{B6774B78-B954-4EBD-80EB-80A8220F05E5}"/>
    <cellStyle name="Comma 2 3 4 2 4 6 3" xfId="51067" xr:uid="{9145F18E-40A6-4A32-A45D-B355067A4265}"/>
    <cellStyle name="Comma 2 3 4 2 4 6 4" xfId="54083" xr:uid="{2B6728AB-E8A2-42BE-9A8E-C0A016F925F1}"/>
    <cellStyle name="Comma 2 3 4 2 4 7" xfId="46617" xr:uid="{6C25B415-C1D0-4139-87AA-9BC3E43B9B6F}"/>
    <cellStyle name="Comma 2 3 4 2 4 8" xfId="49961" xr:uid="{BC2EB103-A81D-4BF9-8DA1-4A866700288B}"/>
    <cellStyle name="Comma 2 3 4 2 4 9" xfId="52977" xr:uid="{E1C7403A-EE33-472A-B3A5-85244D370A18}"/>
    <cellStyle name="Comma 2 3 4 2 5" xfId="10245" xr:uid="{C0000E45-76F0-4712-8205-D063C5431C84}"/>
    <cellStyle name="Comma 2 3 4 2 5 2" xfId="14712" xr:uid="{40615CEA-9602-4542-9831-45C7E65D3785}"/>
    <cellStyle name="Comma 2 3 4 2 5 2 2" xfId="22259" xr:uid="{23CABDE4-7FAA-4372-831B-DB4DB54C544F}"/>
    <cellStyle name="Comma 2 3 4 2 5 2 3" xfId="46852" xr:uid="{27F25384-B772-4E31-861A-B6B35C6A32F9}"/>
    <cellStyle name="Comma 2 3 4 2 5 2 4" xfId="51597" xr:uid="{30D72B1A-6EAE-42C0-B39F-17872BBA587D}"/>
    <cellStyle name="Comma 2 3 4 2 5 2 5" xfId="54613" xr:uid="{A5F70F48-9C0B-47B7-B130-80BD09A3C265}"/>
    <cellStyle name="Comma 2 3 4 2 5 3" xfId="15197" xr:uid="{2E2BCE27-193B-4D22-9549-5305834F44E0}"/>
    <cellStyle name="Comma 2 3 4 2 5 3 2" xfId="22736" xr:uid="{83C2E063-9269-43C9-B17A-F5E57C93BFD8}"/>
    <cellStyle name="Comma 2 3 4 2 5 3 3" xfId="46690" xr:uid="{9EF0F097-924A-4BE0-9BEB-9D26D9466673}"/>
    <cellStyle name="Comma 2 3 4 2 5 3 4" xfId="52074" xr:uid="{DB674279-F0AF-477D-B959-7F74396D4134}"/>
    <cellStyle name="Comma 2 3 4 2 5 3 5" xfId="55090" xr:uid="{3A9317D2-4D79-433E-8E86-E1A8AAD0527E}"/>
    <cellStyle name="Comma 2 3 4 2 5 4" xfId="15684" xr:uid="{A2377EBD-3960-4FC8-B630-17A5B5F570B2}"/>
    <cellStyle name="Comma 2 3 4 2 5 4 2" xfId="23213" xr:uid="{CCC77F15-CE3F-4943-8BD2-E1EEF7030D89}"/>
    <cellStyle name="Comma 2 3 4 2 5 4 3" xfId="46953" xr:uid="{6BFD8B11-BF33-4882-AF77-92EE4E233D11}"/>
    <cellStyle name="Comma 2 3 4 2 5 4 4" xfId="52551" xr:uid="{279F7F5B-00D0-4C5E-A1AB-1C395776D7F6}"/>
    <cellStyle name="Comma 2 3 4 2 5 4 5" xfId="55567" xr:uid="{461037AC-42EE-4E74-A45B-A8EE57378CE5}"/>
    <cellStyle name="Comma 2 3 4 2 5 5" xfId="12698" xr:uid="{DF21CEBD-46CE-439C-90C5-D8621FC14EE2}"/>
    <cellStyle name="Comma 2 3 4 2 5 5 2" xfId="46343" xr:uid="{4C5D5999-B08F-4E62-B279-1F6CE69D3F60}"/>
    <cellStyle name="Comma 2 3 4 2 5 5 3" xfId="51120" xr:uid="{D3E46E5F-1F85-4C39-9DB6-D45CA17A42CB}"/>
    <cellStyle name="Comma 2 3 4 2 5 5 4" xfId="54136" xr:uid="{44A08D2F-9AA4-403C-9758-FAA4341D396E}"/>
    <cellStyle name="Comma 2 3 4 2 5 6" xfId="47409" xr:uid="{E6D4B0DC-4D89-4C31-A45A-A5AA24F4C2D9}"/>
    <cellStyle name="Comma 2 3 4 2 5 7" xfId="50014" xr:uid="{6C95E196-C4FD-438E-8D24-FD78A69FF3EB}"/>
    <cellStyle name="Comma 2 3 4 2 5 8" xfId="53030" xr:uid="{401D6554-CF2D-4DCE-A5B2-468BA175A613}"/>
    <cellStyle name="Comma 2 3 4 2 6" xfId="10559" xr:uid="{55477357-EACE-4FA9-A4C9-B66704D34DD1}"/>
    <cellStyle name="Comma 2 3 4 2 6 2" xfId="14924" xr:uid="{1C6DB4A4-AF49-4530-A44D-5E678D09E0C8}"/>
    <cellStyle name="Comma 2 3 4 2 6 2 2" xfId="22471" xr:uid="{5D335B7F-765E-4F54-9CA5-ABE4CB82D009}"/>
    <cellStyle name="Comma 2 3 4 2 6 2 3" xfId="48323" xr:uid="{2F359B3E-8A16-43C9-B4C8-99BB43F422C9}"/>
    <cellStyle name="Comma 2 3 4 2 6 2 4" xfId="51809" xr:uid="{579754E7-D3D6-493C-80B3-A3E65F9FBB86}"/>
    <cellStyle name="Comma 2 3 4 2 6 2 5" xfId="54825" xr:uid="{A989450B-1F2A-493B-B2D6-B5654ADD6B16}"/>
    <cellStyle name="Comma 2 3 4 2 6 3" xfId="15409" xr:uid="{044C2E20-E9F0-4AF9-BADA-D6FD4E8B2BB2}"/>
    <cellStyle name="Comma 2 3 4 2 6 3 2" xfId="22948" xr:uid="{4C5B6181-33B6-43A8-879E-890B27192675}"/>
    <cellStyle name="Comma 2 3 4 2 6 3 3" xfId="47404" xr:uid="{20E855E8-963D-4239-94D4-1D57AF67453B}"/>
    <cellStyle name="Comma 2 3 4 2 6 3 4" xfId="52286" xr:uid="{D81009AB-434F-49B9-B30B-3D73A450B56E}"/>
    <cellStyle name="Comma 2 3 4 2 6 3 5" xfId="55302" xr:uid="{9D235538-A5AF-411D-B0C5-BA5CA6673B17}"/>
    <cellStyle name="Comma 2 3 4 2 6 4" xfId="15897" xr:uid="{0DBF7D2E-0D9B-4630-95E8-47EA28EBEDE5}"/>
    <cellStyle name="Comma 2 3 4 2 6 4 2" xfId="23425" xr:uid="{4FA83FED-6431-49FB-A593-C64601D14893}"/>
    <cellStyle name="Comma 2 3 4 2 6 4 3" xfId="46602" xr:uid="{65A14DDC-5046-408B-8C4B-D43356703A57}"/>
    <cellStyle name="Comma 2 3 4 2 6 4 4" xfId="52763" xr:uid="{0138A6F1-65E9-4B60-A3A4-6ADF0CC1A407}"/>
    <cellStyle name="Comma 2 3 4 2 6 4 5" xfId="55779" xr:uid="{60003B52-ADDF-4FC4-90BE-1CA77C96ECA4}"/>
    <cellStyle name="Comma 2 3 4 2 6 5" xfId="13012" xr:uid="{2A89C149-134A-4326-B2D2-DFA8E38BE0D5}"/>
    <cellStyle name="Comma 2 3 4 2 6 5 2" xfId="46821" xr:uid="{245F2F40-8135-47DA-A42F-8F6D40DC66F6}"/>
    <cellStyle name="Comma 2 3 4 2 6 5 3" xfId="51332" xr:uid="{A7868FE0-541D-4F50-8998-38A76DD8798C}"/>
    <cellStyle name="Comma 2 3 4 2 6 5 4" xfId="54348" xr:uid="{054661EB-6831-4818-97E0-CE23C37C157C}"/>
    <cellStyle name="Comma 2 3 4 2 6 6" xfId="32473" xr:uid="{18487AE0-58B6-4257-8085-5FA286BBCAC6}"/>
    <cellStyle name="Comma 2 3 4 2 6 7" xfId="50226" xr:uid="{8BBA7CE6-1E40-42D1-A37B-97AE0DA0D331}"/>
    <cellStyle name="Comma 2 3 4 2 6 8" xfId="53242" xr:uid="{04C3DDA2-644C-414D-A572-A98169EAD76F}"/>
    <cellStyle name="Comma 2 3 4 2 7" xfId="13373" xr:uid="{B8CFA68C-54EC-4406-A3CB-9C7312B72AF0}"/>
    <cellStyle name="Comma 2 3 4 2 8" xfId="14500" xr:uid="{25CFCF9B-5E7C-40B4-AE34-B29C29455218}"/>
    <cellStyle name="Comma 2 3 4 2 8 2" xfId="22047" xr:uid="{6A4C69F8-9556-4FE8-A4A2-916C3DB15AEA}"/>
    <cellStyle name="Comma 2 3 4 2 8 3" xfId="46828" xr:uid="{D84C003C-BD3C-4DEA-9180-3489B94AF63E}"/>
    <cellStyle name="Comma 2 3 4 2 8 4" xfId="51385" xr:uid="{8E8713A4-ED20-426A-B46F-FDF57A2550F4}"/>
    <cellStyle name="Comma 2 3 4 2 8 5" xfId="54401" xr:uid="{D59EDA3E-4137-442D-8410-C1A3130B21A9}"/>
    <cellStyle name="Comma 2 3 4 2 9" xfId="14984" xr:uid="{7DC9D707-1F72-435A-BED6-0BF5F4267ADE}"/>
    <cellStyle name="Comma 2 3 4 2 9 2" xfId="22524" xr:uid="{6764BA9F-52DE-4D35-AE55-23AE1FB174F2}"/>
    <cellStyle name="Comma 2 3 4 2 9 3" xfId="32402" xr:uid="{7DA90685-D286-4016-82A3-1EB96E88B059}"/>
    <cellStyle name="Comma 2 3 4 2 9 4" xfId="51862" xr:uid="{0552AD6B-564F-40B2-8E16-156DD1938044}"/>
    <cellStyle name="Comma 2 3 4 2 9 5" xfId="54878" xr:uid="{544FD741-E049-45C4-AC2C-C1302E47B433}"/>
    <cellStyle name="Comma 2 3 4 3" xfId="5813" xr:uid="{71311E5F-8844-4C6D-B2A7-3F9E1F338858}"/>
    <cellStyle name="Comma 2 3 4 3 2" xfId="12270" xr:uid="{59A692F0-4649-48AF-93DE-87A8EE2C0DE5}"/>
    <cellStyle name="Comma 2 3 4 4" xfId="11581" xr:uid="{761DBB6F-17E2-4EC5-8136-0AD151B8744F}"/>
    <cellStyle name="Comma 2 3 4 4 2" xfId="21705" xr:uid="{81E55082-0311-49B4-8E33-36D8FE31928E}"/>
    <cellStyle name="Comma 2 3 4 4 3" xfId="48390" xr:uid="{F7E1564A-C4BB-4F8E-B6D2-7EB39D2B06C3}"/>
    <cellStyle name="Comma 2 3 4 4 4" xfId="50728" xr:uid="{4293E585-CA9A-4F3D-A8C9-31DC89BE8EE2}"/>
    <cellStyle name="Comma 2 3 4 4 5" xfId="53744" xr:uid="{959C9C27-4996-4F57-AE52-FEAB552B6E84}"/>
    <cellStyle name="Comma 2 3 4 5" xfId="19474" xr:uid="{DC63F786-1A2A-4909-B065-92D05DB07035}"/>
    <cellStyle name="Comma 2 3 4 6" xfId="23718" xr:uid="{C366195C-9496-4627-B938-CFC7C4097D97}"/>
    <cellStyle name="Comma 2 3 4 7" xfId="48608" xr:uid="{36AB1D3D-2D01-4A66-99EA-F46BE923321F}"/>
    <cellStyle name="Comma 2 3 4 8" xfId="49518" xr:uid="{456699C7-E092-4954-A822-A7C65A39349F}"/>
    <cellStyle name="Comma 2 3 4 9" xfId="7227" xr:uid="{E94B720B-CFFF-4031-9FD0-70DDB37E4FF8}"/>
    <cellStyle name="Comma 2 3 5" xfId="2614" xr:uid="{80CB021D-4E8D-49A0-B08C-7ACB84E33FFB}"/>
    <cellStyle name="Comma 2 3 5 2" xfId="4533" xr:uid="{61410ED2-BE81-418B-AB28-BCC6AC907C05}"/>
    <cellStyle name="Comma 2 3 5 2 2" xfId="35064" xr:uid="{E5303C72-7508-4557-9217-3DA9C22B11F5}"/>
    <cellStyle name="Comma 2 3 5 2 2 2" xfId="40225" xr:uid="{21B99591-E13C-4E64-8EF1-D9C1E61B9B3C}"/>
    <cellStyle name="Comma 2 3 5 2 2 3" xfId="45527" xr:uid="{77412F70-D141-4945-B6EF-D9F5F3C79587}"/>
    <cellStyle name="Comma 2 3 5 2 3" xfId="37574" xr:uid="{9EA42155-A56E-41B2-8954-9563BE113DF3}"/>
    <cellStyle name="Comma 2 3 5 2 4" xfId="42876" xr:uid="{007FACC0-60BC-4AB2-991E-5AF053BD8E83}"/>
    <cellStyle name="Comma 2 3 5 2 5" xfId="12217" xr:uid="{148D5C60-D492-4753-A3C7-35631121B08F}"/>
    <cellStyle name="Comma 2 3 5 3" xfId="5814" xr:uid="{CCE30DD6-D117-4FE5-81F5-D9085349F850}"/>
    <cellStyle name="Comma 2 3 5 3 2" xfId="21717" xr:uid="{A5EFA49C-4C07-471C-9F01-1A6B56340A0A}"/>
    <cellStyle name="Comma 2 3 5 3 3" xfId="48188" xr:uid="{047496C1-43B7-4088-BCF9-8DDEE6265477}"/>
    <cellStyle name="Comma 2 3 5 3 4" xfId="50743" xr:uid="{56AEEA75-2134-491E-A7AD-24CA8F985438}"/>
    <cellStyle name="Comma 2 3 5 3 5" xfId="53759" xr:uid="{F6BA89DF-B6E7-4D04-90EE-D0346964BD46}"/>
    <cellStyle name="Comma 2 3 5 3 6" xfId="11695" xr:uid="{002F357A-E0B9-46C4-91FA-A67BF3735A1F}"/>
    <cellStyle name="Comma 2 3 5 4" xfId="19475" xr:uid="{69C28A44-EAAE-4A6B-93E0-A4E2A2B5584B}"/>
    <cellStyle name="Comma 2 3 5 5" xfId="23720" xr:uid="{3CA9308A-79EC-4C87-82B3-2344F8E29D15}"/>
    <cellStyle name="Comma 2 3 5 6" xfId="48610" xr:uid="{293D50F8-4B89-4D36-A5DD-3B1C0735C387}"/>
    <cellStyle name="Comma 2 3 5 7" xfId="49520" xr:uid="{E52C8E33-5321-4ECE-8374-50CC37A6EE0E}"/>
    <cellStyle name="Comma 2 3 5 8" xfId="8183" xr:uid="{21C81C4E-5F14-48A5-8E77-E76D5A72DC12}"/>
    <cellStyle name="Comma 2 3 6" xfId="4528" xr:uid="{7E56354E-4C7E-4689-AF31-B607BC12E24A}"/>
    <cellStyle name="Comma 2 3 6 2" xfId="11542" xr:uid="{2BE4F284-9FCF-4E4D-AF6C-E1B405688C22}"/>
    <cellStyle name="Comma 2 3 6 3" xfId="18050" xr:uid="{17BF0ADC-2825-4CE5-894B-64A485169D96}"/>
    <cellStyle name="Comma 2 3 6 3 2" xfId="21681" xr:uid="{06D266F9-9A18-47D8-907C-6A583BAB3238}"/>
    <cellStyle name="Comma 2 3 6 4" xfId="23721" xr:uid="{D420FA9A-911D-44E8-BCD0-E7FE44393567}"/>
    <cellStyle name="Comma 2 3 6 5" xfId="50697" xr:uid="{42E7E866-994A-4CE9-A3C0-816E15FF63A9}"/>
    <cellStyle name="Comma 2 3 6 6" xfId="53713" xr:uid="{B06C3A7C-C214-4E3C-97D7-C6DD40C8F5E6}"/>
    <cellStyle name="Comma 2 3 6 7" xfId="11184" xr:uid="{AECF0BD4-1318-463C-B393-4A78E9FAB334}"/>
    <cellStyle name="Comma 2 3 7" xfId="5810" xr:uid="{6D07E8E1-4FD3-4B24-98FC-825E1B37A4A0}"/>
    <cellStyle name="Comma 2 3 7 2" xfId="13056" xr:uid="{6AC41B87-FE14-4BF2-A1DF-2AB6209D3A8C}"/>
    <cellStyle name="Comma 2 3 8" xfId="2609" xr:uid="{5963EEB3-6336-485C-B87E-65C099A806BF}"/>
    <cellStyle name="Comma 2 3 8 2" xfId="19471" xr:uid="{0C28B240-2510-43C0-9A95-5233EDD28740}"/>
    <cellStyle name="Comma 2 3 9" xfId="23709" xr:uid="{3E299553-8E00-4615-BDE6-F32438CBA509}"/>
    <cellStyle name="Comma 2 4" xfId="1293" xr:uid="{00000000-0005-0000-0000-000055000000}"/>
    <cellStyle name="Comma 2 4 10" xfId="7233" xr:uid="{3F558B89-F574-4956-BDC9-A1488BD4E42D}"/>
    <cellStyle name="Comma 2 4 2" xfId="4534" xr:uid="{856E831D-F07A-4A53-994F-2E1204E7FA63}"/>
    <cellStyle name="Comma 2 4 2 10" xfId="15472" xr:uid="{337CE5CD-45CC-4C4C-9C75-EE0A5549F20C}"/>
    <cellStyle name="Comma 2 4 2 10 2" xfId="23002" xr:uid="{7FFA72FF-7415-4450-84EB-75E0FF7EAA66}"/>
    <cellStyle name="Comma 2 4 2 10 3" xfId="48037" xr:uid="{5D44AD8B-D4E2-440E-80ED-DC654ED8A771}"/>
    <cellStyle name="Comma 2 4 2 10 4" xfId="52340" xr:uid="{A180428C-B58E-48FF-A8A9-2DBB1FAB1D62}"/>
    <cellStyle name="Comma 2 4 2 10 5" xfId="55356" xr:uid="{27A7D9F1-EB1D-4820-B506-A51B5686F105}"/>
    <cellStyle name="Comma 2 4 2 11" xfId="11696" xr:uid="{1D35AB61-2B12-4D81-AB06-AB45AADB9AA4}"/>
    <cellStyle name="Comma 2 4 2 11 2" xfId="21718" xr:uid="{2800C085-0883-4C3B-A21A-D8FD904C3A13}"/>
    <cellStyle name="Comma 2 4 2 11 3" xfId="46282" xr:uid="{4CD57A30-49CA-425A-BC2B-B0DEB1A4B488}"/>
    <cellStyle name="Comma 2 4 2 11 4" xfId="50744" xr:uid="{E1EF063A-5B48-4700-A04A-8CAA71C6B2DC}"/>
    <cellStyle name="Comma 2 4 2 11 5" xfId="53760" xr:uid="{598C7F24-9A09-47CA-B372-1EDA95D1F7CD}"/>
    <cellStyle name="Comma 2 4 2 12" xfId="23723" xr:uid="{6D3164DB-076C-469D-AC39-777571A3F1CE}"/>
    <cellStyle name="Comma 2 4 2 13" xfId="48612" xr:uid="{6A217085-E5B3-4C0D-9652-018CBA483A3C}"/>
    <cellStyle name="Comma 2 4 2 14" xfId="49522" xr:uid="{7159213E-EFCF-4A23-A2B1-CAA306B8DDB0}"/>
    <cellStyle name="Comma 2 4 2 15" xfId="49803" xr:uid="{263A6E4C-75E3-4678-A3F2-9A9DC5E68744}"/>
    <cellStyle name="Comma 2 4 2 16" xfId="52818" xr:uid="{056F3268-018B-4ADD-A272-215FC486CC07}"/>
    <cellStyle name="Comma 2 4 2 17" xfId="8926" xr:uid="{CC0C97E8-8668-43D9-9804-10264AE4426D}"/>
    <cellStyle name="Comma 2 4 2 2" xfId="10013" xr:uid="{95F67B37-AA24-4E93-9906-5B76CB624148}"/>
    <cellStyle name="Comma 2 4 2 2 2" xfId="10321" xr:uid="{96C1C876-499B-4173-BB46-B24C18026FBE}"/>
    <cellStyle name="Comma 2 4 2 2 2 2" xfId="14766" xr:uid="{CFCD6282-352E-4222-8EB9-1F8851E237F0}"/>
    <cellStyle name="Comma 2 4 2 2 2 2 2" xfId="22313" xr:uid="{595D285E-2C15-4119-9DEF-30533A716335}"/>
    <cellStyle name="Comma 2 4 2 2 2 2 3" xfId="47393" xr:uid="{63498283-0E94-4BB4-983B-BB34C8468AFF}"/>
    <cellStyle name="Comma 2 4 2 2 2 2 4" xfId="51651" xr:uid="{C9C23899-4038-48C1-8957-2B3303E6CCD1}"/>
    <cellStyle name="Comma 2 4 2 2 2 2 5" xfId="54667" xr:uid="{E16D0831-02B7-448E-820C-D29B32751E10}"/>
    <cellStyle name="Comma 2 4 2 2 2 3" xfId="15251" xr:uid="{BE33BF0F-421A-408D-9374-178C9460C56D}"/>
    <cellStyle name="Comma 2 4 2 2 2 3 2" xfId="22790" xr:uid="{597E7650-D860-4728-9380-5F114205215A}"/>
    <cellStyle name="Comma 2 4 2 2 2 3 3" xfId="46503" xr:uid="{A6F85228-45BA-4F30-A2D4-4D2DDEDAECC1}"/>
    <cellStyle name="Comma 2 4 2 2 2 3 4" xfId="52128" xr:uid="{3A3A61D4-BEE4-4BBF-BDBB-CCFFA09BF3C0}"/>
    <cellStyle name="Comma 2 4 2 2 2 3 5" xfId="55144" xr:uid="{D2D5480F-858B-46BB-9B30-43C62C5857A8}"/>
    <cellStyle name="Comma 2 4 2 2 2 4" xfId="15738" xr:uid="{52D95BC7-0DFD-495D-929D-AC5DC2947889}"/>
    <cellStyle name="Comma 2 4 2 2 2 4 2" xfId="23267" xr:uid="{A858B2ED-AB99-45A4-B64F-FC69EDF5BD34}"/>
    <cellStyle name="Comma 2 4 2 2 2 4 3" xfId="48310" xr:uid="{10690667-3BA5-4215-9D55-8CD8CC1649EE}"/>
    <cellStyle name="Comma 2 4 2 2 2 4 4" xfId="52605" xr:uid="{F2EA3445-1FFA-498B-81CF-F22DA240538E}"/>
    <cellStyle name="Comma 2 4 2 2 2 4 5" xfId="55621" xr:uid="{1FAF8687-2D85-4DF5-B763-21B208D7EB67}"/>
    <cellStyle name="Comma 2 4 2 2 2 5" xfId="12774" xr:uid="{2B6DB337-5476-4EFD-A778-27241F947191}"/>
    <cellStyle name="Comma 2 4 2 2 2 5 2" xfId="47821" xr:uid="{1142D422-D1D2-4D76-9273-588C95A13E3F}"/>
    <cellStyle name="Comma 2 4 2 2 2 5 3" xfId="51174" xr:uid="{6F189493-4371-4A83-8B1F-23763073C580}"/>
    <cellStyle name="Comma 2 4 2 2 2 5 4" xfId="54190" xr:uid="{6B3EE06E-7872-4136-AABC-3D0E1EDD1D85}"/>
    <cellStyle name="Comma 2 4 2 2 2 6" xfId="46088" xr:uid="{2DBE433D-44D9-45C1-AFBE-83C484A43D35}"/>
    <cellStyle name="Comma 2 4 2 2 2 7" xfId="50068" xr:uid="{4256C48C-A91C-4285-A03C-55FE39551DA8}"/>
    <cellStyle name="Comma 2 4 2 2 2 8" xfId="53084" xr:uid="{5919BC02-4B07-4EE7-95A1-B87FA85CB967}"/>
    <cellStyle name="Comma 2 4 2 2 3" xfId="14554" xr:uid="{60FB29DB-3CC5-4DE1-9D01-5F9AF50B1433}"/>
    <cellStyle name="Comma 2 4 2 2 3 2" xfId="22101" xr:uid="{6BE345CE-9A82-45FC-9E69-DCF3C0C230C9}"/>
    <cellStyle name="Comma 2 4 2 2 3 3" xfId="47532" xr:uid="{288E7326-AF53-4166-8A02-71E1F8D26812}"/>
    <cellStyle name="Comma 2 4 2 2 3 4" xfId="51439" xr:uid="{3A5D21D3-8135-416F-B680-1602F97011D3}"/>
    <cellStyle name="Comma 2 4 2 2 3 5" xfId="54455" xr:uid="{B1EC2738-D1C6-4903-9395-02A938DB7052}"/>
    <cellStyle name="Comma 2 4 2 2 4" xfId="15038" xr:uid="{09D04F18-FA45-4765-86B0-4E167EBB440D}"/>
    <cellStyle name="Comma 2 4 2 2 4 2" xfId="22578" xr:uid="{063054EC-9F17-47EE-97A5-BB106ACC6DE7}"/>
    <cellStyle name="Comma 2 4 2 2 4 3" xfId="48008" xr:uid="{C61A9A3B-5483-4B3C-8A22-2BAD0C027EBF}"/>
    <cellStyle name="Comma 2 4 2 2 4 4" xfId="51916" xr:uid="{C251BF31-03C1-47DF-AE04-90EF85C81FBD}"/>
    <cellStyle name="Comma 2 4 2 2 4 5" xfId="54932" xr:uid="{BB1D83D0-36C5-43B8-B3C8-7D762AD094C6}"/>
    <cellStyle name="Comma 2 4 2 2 5" xfId="15525" xr:uid="{7272F2CB-7879-4939-AD88-F8C468B4E74F}"/>
    <cellStyle name="Comma 2 4 2 2 5 2" xfId="23055" xr:uid="{6120FA6B-2C1C-41CA-8D43-FEDF6E36341B}"/>
    <cellStyle name="Comma 2 4 2 2 5 3" xfId="46545" xr:uid="{EC28DAE8-90F1-4796-936E-ED9B8D0EF09D}"/>
    <cellStyle name="Comma 2 4 2 2 5 4" xfId="52393" xr:uid="{E724E70F-6DDA-4470-83F8-A89AE9DCB713}"/>
    <cellStyle name="Comma 2 4 2 2 5 5" xfId="55409" xr:uid="{72706A6A-5AFB-41D3-9B39-407D713BCD73}"/>
    <cellStyle name="Comma 2 4 2 2 6" xfId="12473" xr:uid="{B19F4004-3A70-4289-A26D-97790D6A6B52}"/>
    <cellStyle name="Comma 2 4 2 2 6 2" xfId="47716" xr:uid="{33314D03-DF6D-496D-B201-F0BE7843EC40}"/>
    <cellStyle name="Comma 2 4 2 2 6 3" xfId="50962" xr:uid="{FD1D093E-8F01-44C6-A70A-50E9842390E3}"/>
    <cellStyle name="Comma 2 4 2 2 6 4" xfId="53978" xr:uid="{09BC4457-4C64-4231-887F-1E64076B0177}"/>
    <cellStyle name="Comma 2 4 2 2 7" xfId="47866" xr:uid="{A91338B8-A502-4732-BF1A-7B551924221E}"/>
    <cellStyle name="Comma 2 4 2 2 8" xfId="49856" xr:uid="{4B449CAF-1E2A-4477-A3F4-FB21B49CB6B7}"/>
    <cellStyle name="Comma 2 4 2 2 9" xfId="52872" xr:uid="{BFE18F86-6D43-4215-AE24-5E975AF566E4}"/>
    <cellStyle name="Comma 2 4 2 3" xfId="10087" xr:uid="{220DDDC9-B054-478C-B8E4-013CE854E41C}"/>
    <cellStyle name="Comma 2 4 2 3 2" xfId="10400" xr:uid="{D9303CD9-49E9-40FE-BFBF-38625CEA02DD}"/>
    <cellStyle name="Comma 2 4 2 3 2 2" xfId="14819" xr:uid="{80A3CC5F-0DDB-4DCE-98E0-85901967793B}"/>
    <cellStyle name="Comma 2 4 2 3 2 2 2" xfId="22366" xr:uid="{EEC6A05B-6A73-4AB8-9AC7-477975084B1A}"/>
    <cellStyle name="Comma 2 4 2 3 2 2 3" xfId="48506" xr:uid="{0344DFD1-14DB-4EE3-9A8D-16DE4AC49D9C}"/>
    <cellStyle name="Comma 2 4 2 3 2 2 4" xfId="51704" xr:uid="{EF3114E7-E338-4F91-A9AA-4A0C8F5AFBF1}"/>
    <cellStyle name="Comma 2 4 2 3 2 2 5" xfId="54720" xr:uid="{A7701EAF-E6B7-4B63-88C9-5B7A77342B63}"/>
    <cellStyle name="Comma 2 4 2 3 2 3" xfId="15304" xr:uid="{D9828A40-2F41-4EB7-8AD7-BBEECA1EC5D0}"/>
    <cellStyle name="Comma 2 4 2 3 2 3 2" xfId="22843" xr:uid="{1D70E220-D1F0-4052-8A23-C17721C72FB5}"/>
    <cellStyle name="Comma 2 4 2 3 2 3 3" xfId="46905" xr:uid="{5EDE7533-09BB-40D0-8E26-AAB5668E0BCA}"/>
    <cellStyle name="Comma 2 4 2 3 2 3 4" xfId="52181" xr:uid="{9D445BAE-4B74-46B7-99CB-8E752525B5F0}"/>
    <cellStyle name="Comma 2 4 2 3 2 3 5" xfId="55197" xr:uid="{AF7F324C-3585-4727-833A-147FEF4283D6}"/>
    <cellStyle name="Comma 2 4 2 3 2 4" xfId="15791" xr:uid="{041CC5A0-AAC6-4BB2-A234-8D168018220E}"/>
    <cellStyle name="Comma 2 4 2 3 2 4 2" xfId="23320" xr:uid="{7F51EA4B-42F0-4BF1-A364-B995888F2934}"/>
    <cellStyle name="Comma 2 4 2 3 2 4 3" xfId="47648" xr:uid="{7E6F2D00-5782-4036-A670-45B76EEE65D3}"/>
    <cellStyle name="Comma 2 4 2 3 2 4 4" xfId="52658" xr:uid="{7EC2F652-D4F3-4681-A889-96C9DB044A03}"/>
    <cellStyle name="Comma 2 4 2 3 2 4 5" xfId="55674" xr:uid="{18BF4625-317A-4AF8-838E-CB7DE025194E}"/>
    <cellStyle name="Comma 2 4 2 3 2 5" xfId="12853" xr:uid="{B5D1AD6C-88F5-4BA6-91F3-8F5D902AB57A}"/>
    <cellStyle name="Comma 2 4 2 3 2 5 2" xfId="46363" xr:uid="{1F9EC336-D7AB-43DF-B4C8-97EB2F8F78F0}"/>
    <cellStyle name="Comma 2 4 2 3 2 5 3" xfId="51227" xr:uid="{762EC6D1-93AE-4768-9E25-9489A858D146}"/>
    <cellStyle name="Comma 2 4 2 3 2 5 4" xfId="54243" xr:uid="{B69B7E75-189C-454F-8050-2315340D0458}"/>
    <cellStyle name="Comma 2 4 2 3 2 6" xfId="46108" xr:uid="{951566C0-E250-447F-9213-C9E3D54934A6}"/>
    <cellStyle name="Comma 2 4 2 3 2 7" xfId="50121" xr:uid="{1B57CE2E-B025-4059-9EF0-D37D98354A7B}"/>
    <cellStyle name="Comma 2 4 2 3 2 8" xfId="53137" xr:uid="{6420BE9B-7C76-471C-8625-6028008118B1}"/>
    <cellStyle name="Comma 2 4 2 3 3" xfId="14607" xr:uid="{B11B45C3-C60B-43E3-852B-915189403297}"/>
    <cellStyle name="Comma 2 4 2 3 3 2" xfId="22154" xr:uid="{EF4DCDFD-5F29-4792-8F10-F30930A110A1}"/>
    <cellStyle name="Comma 2 4 2 3 3 3" xfId="47151" xr:uid="{0CED81BA-B146-43E3-809B-FAC7FBCDE9FB}"/>
    <cellStyle name="Comma 2 4 2 3 3 4" xfId="51492" xr:uid="{B960BBCB-2C0A-4C7A-8226-16F4E0ECC7B0}"/>
    <cellStyle name="Comma 2 4 2 3 3 5" xfId="54508" xr:uid="{FC9B8E97-D412-43FD-AA84-60B180740999}"/>
    <cellStyle name="Comma 2 4 2 3 4" xfId="15092" xr:uid="{006DEACA-0657-414F-974B-86702AD6C6E9}"/>
    <cellStyle name="Comma 2 4 2 3 4 2" xfId="22631" xr:uid="{407A70E7-A2E8-4D1D-B8BA-906D4BCC455A}"/>
    <cellStyle name="Comma 2 4 2 3 4 3" xfId="47681" xr:uid="{55C3814E-DCC5-4F03-A1D2-1D7B2F474185}"/>
    <cellStyle name="Comma 2 4 2 3 4 4" xfId="51969" xr:uid="{CB45D0FE-1C89-4FD2-95E7-BD5FFF7BD665}"/>
    <cellStyle name="Comma 2 4 2 3 4 5" xfId="54985" xr:uid="{018650D8-501F-47E6-B078-9A1050EA752D}"/>
    <cellStyle name="Comma 2 4 2 3 5" xfId="15579" xr:uid="{3CA12EFC-0D92-482D-84B1-806332DF92F7}"/>
    <cellStyle name="Comma 2 4 2 3 5 2" xfId="23108" xr:uid="{C360B4EF-A333-4426-87B3-1712F188D15D}"/>
    <cellStyle name="Comma 2 4 2 3 5 3" xfId="48366" xr:uid="{E3C97DD9-C3E3-45DA-A43C-2E1A5C8F1B3C}"/>
    <cellStyle name="Comma 2 4 2 3 5 4" xfId="52446" xr:uid="{4D1A4745-5396-43C3-9EF3-55C039525136}"/>
    <cellStyle name="Comma 2 4 2 3 5 5" xfId="55462" xr:uid="{79D7BC43-69F1-4A18-94BC-4A7EC9D568F8}"/>
    <cellStyle name="Comma 2 4 2 3 6" xfId="12544" xr:uid="{009D6A39-5003-41D4-96DE-CEC22A1792A9}"/>
    <cellStyle name="Comma 2 4 2 3 6 2" xfId="46767" xr:uid="{99E82C29-D5DC-4AB0-A959-BB51101B4199}"/>
    <cellStyle name="Comma 2 4 2 3 6 3" xfId="51015" xr:uid="{729A1172-4A1C-45CD-B0FB-650799522718}"/>
    <cellStyle name="Comma 2 4 2 3 6 4" xfId="54031" xr:uid="{AE1F530C-D736-4E1E-BB0E-96C33918FBCE}"/>
    <cellStyle name="Comma 2 4 2 3 7" xfId="46039" xr:uid="{E793EF50-6ED4-49C0-82F6-522DE2C0E839}"/>
    <cellStyle name="Comma 2 4 2 3 8" xfId="49909" xr:uid="{312E9CF2-2C9F-489E-9A51-AD0081A5F0C9}"/>
    <cellStyle name="Comma 2 4 2 3 9" xfId="52925" xr:uid="{E2C05F86-1615-4CD8-A1A4-F6387081A7FA}"/>
    <cellStyle name="Comma 2 4 2 4" xfId="10166" xr:uid="{4BD8A67B-B4EA-4E65-9E7D-767AC5739C53}"/>
    <cellStyle name="Comma 2 4 2 4 2" xfId="10480" xr:uid="{EFA9A8CE-F058-4CDD-A268-94046CAE591C}"/>
    <cellStyle name="Comma 2 4 2 4 2 2" xfId="14872" xr:uid="{85EDC283-872F-4654-BD24-664BA03AF5A5}"/>
    <cellStyle name="Comma 2 4 2 4 2 2 2" xfId="22419" xr:uid="{0A04517D-803A-4B3E-9446-B0F9FD09CE2B}"/>
    <cellStyle name="Comma 2 4 2 4 2 2 3" xfId="48553" xr:uid="{14B7C776-A202-47F3-A691-C5882D16EEBF}"/>
    <cellStyle name="Comma 2 4 2 4 2 2 4" xfId="51757" xr:uid="{9EC0599A-B812-4447-A4FF-8F325138C870}"/>
    <cellStyle name="Comma 2 4 2 4 2 2 5" xfId="54773" xr:uid="{BA1F417C-7D26-4FA5-B08D-05146613C276}"/>
    <cellStyle name="Comma 2 4 2 4 2 3" xfId="15357" xr:uid="{71C8366F-E694-4D25-9335-6D129230AE89}"/>
    <cellStyle name="Comma 2 4 2 4 2 3 2" xfId="22896" xr:uid="{0EC7BDE9-B58E-4144-91F8-89F60F8E1A73}"/>
    <cellStyle name="Comma 2 4 2 4 2 3 3" xfId="24443" xr:uid="{D137A10D-7135-4D79-A315-59ED6314920F}"/>
    <cellStyle name="Comma 2 4 2 4 2 3 4" xfId="52234" xr:uid="{8E415A8A-87D5-4ABA-AAB5-CFB558D64228}"/>
    <cellStyle name="Comma 2 4 2 4 2 3 5" xfId="55250" xr:uid="{D7421756-26AE-4FC7-931B-D5BE3906EE2C}"/>
    <cellStyle name="Comma 2 4 2 4 2 4" xfId="15844" xr:uid="{E59AC59C-5C02-4E23-8669-C8E0CB9DA95C}"/>
    <cellStyle name="Comma 2 4 2 4 2 4 2" xfId="23373" xr:uid="{42F59088-E99B-4599-AF12-E8A76FCD95B8}"/>
    <cellStyle name="Comma 2 4 2 4 2 4 3" xfId="24892" xr:uid="{0A28A9D5-D6F4-4EAE-8191-9FA4FEC79154}"/>
    <cellStyle name="Comma 2 4 2 4 2 4 4" xfId="52711" xr:uid="{1E5BC623-8AB0-4FE1-B4A7-C7A91DFC77C8}"/>
    <cellStyle name="Comma 2 4 2 4 2 4 5" xfId="55727" xr:uid="{4BC1ABAE-7553-4F3B-82ED-A46819670FCB}"/>
    <cellStyle name="Comma 2 4 2 4 2 5" xfId="12933" xr:uid="{27933EAF-168C-4314-AFD0-A47B214E0CC9}"/>
    <cellStyle name="Comma 2 4 2 4 2 5 2" xfId="33684" xr:uid="{491A8D4A-3E92-40E5-80BA-EC5C46FDCCFA}"/>
    <cellStyle name="Comma 2 4 2 4 2 5 3" xfId="51280" xr:uid="{34AD46EA-9E98-435E-8521-BCA841D8E942}"/>
    <cellStyle name="Comma 2 4 2 4 2 5 4" xfId="54296" xr:uid="{C408A5FC-E8D9-4953-9E95-5F3C7F4B15C8}"/>
    <cellStyle name="Comma 2 4 2 4 2 6" xfId="46128" xr:uid="{ABA42040-DA32-4D1F-AB80-C7517CB0EAD3}"/>
    <cellStyle name="Comma 2 4 2 4 2 7" xfId="50174" xr:uid="{B8156AEA-5A93-49FD-97C8-B12C91ACD532}"/>
    <cellStyle name="Comma 2 4 2 4 2 8" xfId="53190" xr:uid="{70C58317-F4ED-4073-9A98-9D5C1C01A129}"/>
    <cellStyle name="Comma 2 4 2 4 3" xfId="14660" xr:uid="{07A53D3E-FAF0-4EA8-AE36-FF314878CF31}"/>
    <cellStyle name="Comma 2 4 2 4 3 2" xfId="22207" xr:uid="{07D4B53A-1149-4E8C-B8A4-C3D7CD9E3130}"/>
    <cellStyle name="Comma 2 4 2 4 3 3" xfId="47044" xr:uid="{98E31DEB-F9A0-4169-B8CC-9E781B07E920}"/>
    <cellStyle name="Comma 2 4 2 4 3 4" xfId="51545" xr:uid="{DE6537BE-5F75-4B1E-8C45-F75FE36440E6}"/>
    <cellStyle name="Comma 2 4 2 4 3 5" xfId="54561" xr:uid="{BA3C666B-4CB6-45A3-ADFF-81DACCCE8B65}"/>
    <cellStyle name="Comma 2 4 2 4 4" xfId="15145" xr:uid="{4168D4AF-C659-4B75-B2AF-79DB267DA36A}"/>
    <cellStyle name="Comma 2 4 2 4 4 2" xfId="22684" xr:uid="{1733B92C-E0C4-41D4-A543-FD0AFDE318A5}"/>
    <cellStyle name="Comma 2 4 2 4 4 3" xfId="25294" xr:uid="{D6D107F8-D1FE-499B-915E-6F089E61268B}"/>
    <cellStyle name="Comma 2 4 2 4 4 4" xfId="52022" xr:uid="{C513A153-6C32-4228-A362-242602B41D17}"/>
    <cellStyle name="Comma 2 4 2 4 4 5" xfId="55038" xr:uid="{8B2EBED7-7AD8-4449-B9FB-B73DFAF7B4E7}"/>
    <cellStyle name="Comma 2 4 2 4 5" xfId="15632" xr:uid="{3787668D-4A1C-463C-AF61-AEFC1F4B47CE}"/>
    <cellStyle name="Comma 2 4 2 4 5 2" xfId="23161" xr:uid="{12A00C7C-0134-41AE-9DF7-0D801FEE0C7F}"/>
    <cellStyle name="Comma 2 4 2 4 5 3" xfId="46944" xr:uid="{10D9FF16-1325-472A-9797-E23A13D8F35C}"/>
    <cellStyle name="Comma 2 4 2 4 5 4" xfId="52499" xr:uid="{23AEF0BA-F7D3-4496-98C1-6631BEEDC1F5}"/>
    <cellStyle name="Comma 2 4 2 4 5 5" xfId="55515" xr:uid="{3350EA83-693D-4412-AC60-4DB1D9E189B3}"/>
    <cellStyle name="Comma 2 4 2 4 6" xfId="12620" xr:uid="{FE41386F-C61E-4BA9-9F4D-8163940D5049}"/>
    <cellStyle name="Comma 2 4 2 4 6 2" xfId="47615" xr:uid="{B5CBC765-772C-4360-A484-3EE95F1EEE17}"/>
    <cellStyle name="Comma 2 4 2 4 6 3" xfId="51068" xr:uid="{BC2070A5-45AC-49FE-9F62-4DFC3C9724BF}"/>
    <cellStyle name="Comma 2 4 2 4 6 4" xfId="54084" xr:uid="{C3E30A39-3F3A-47A8-B7A3-785F5CE613CA}"/>
    <cellStyle name="Comma 2 4 2 4 7" xfId="47975" xr:uid="{D87611B1-E071-444B-AAB6-0D75281802BC}"/>
    <cellStyle name="Comma 2 4 2 4 8" xfId="49962" xr:uid="{8115D37A-8147-490F-9E67-34EA3E36C44F}"/>
    <cellStyle name="Comma 2 4 2 4 9" xfId="52978" xr:uid="{5F7F86FC-2312-47EC-8BEF-AB31221EFCA4}"/>
    <cellStyle name="Comma 2 4 2 5" xfId="10246" xr:uid="{36EB3856-B0B5-4361-8E45-C77E00791B0D}"/>
    <cellStyle name="Comma 2 4 2 5 2" xfId="14713" xr:uid="{446B4EAC-A82B-4018-A6DE-0139ACBC617E}"/>
    <cellStyle name="Comma 2 4 2 5 2 2" xfId="22260" xr:uid="{3D54CCDA-1B6F-40EB-863D-1824809B17E4}"/>
    <cellStyle name="Comma 2 4 2 5 2 3" xfId="47772" xr:uid="{F7F1A659-D9A0-4438-9C79-0702159C128B}"/>
    <cellStyle name="Comma 2 4 2 5 2 4" xfId="51598" xr:uid="{A258C2AB-9660-4BFC-8684-2D7F095F23CD}"/>
    <cellStyle name="Comma 2 4 2 5 2 5" xfId="54614" xr:uid="{74C5A695-4507-46B1-AED4-DF46BC9F1FC4}"/>
    <cellStyle name="Comma 2 4 2 5 3" xfId="15198" xr:uid="{46D823BD-E62D-4BF3-ABC1-12BB11C47B2E}"/>
    <cellStyle name="Comma 2 4 2 5 3 2" xfId="22737" xr:uid="{01A5590C-2B7E-4669-B06C-BC8E88D27F6D}"/>
    <cellStyle name="Comma 2 4 2 5 3 3" xfId="48547" xr:uid="{44C9E8AD-B558-47F6-93C9-00C6E69BA4BC}"/>
    <cellStyle name="Comma 2 4 2 5 3 4" xfId="52075" xr:uid="{513FF6CA-62A2-4B3C-9D8F-6C5FE40CAF54}"/>
    <cellStyle name="Comma 2 4 2 5 3 5" xfId="55091" xr:uid="{D38A05F1-432F-4B8A-A959-A3B96BE7AF04}"/>
    <cellStyle name="Comma 2 4 2 5 4" xfId="15685" xr:uid="{C818A561-1E71-4D5E-85FC-C8B2E0E7D25F}"/>
    <cellStyle name="Comma 2 4 2 5 4 2" xfId="23214" xr:uid="{D5EB7296-6E50-4753-B069-BB9BDCDC558F}"/>
    <cellStyle name="Comma 2 4 2 5 4 3" xfId="24650" xr:uid="{4D9F53B5-8105-4CED-9FD7-BFDFBD5EE624}"/>
    <cellStyle name="Comma 2 4 2 5 4 4" xfId="52552" xr:uid="{379EE709-130B-4920-8EAD-1C746640370E}"/>
    <cellStyle name="Comma 2 4 2 5 4 5" xfId="55568" xr:uid="{B0AF4A1F-CDCA-4F06-BB87-33773EF32F23}"/>
    <cellStyle name="Comma 2 4 2 5 5" xfId="12699" xr:uid="{5D3544B5-2025-409E-BBB3-14BFA5CE9CD6}"/>
    <cellStyle name="Comma 2 4 2 5 5 2" xfId="46344" xr:uid="{84D8B59F-2BBF-41D0-A2DF-2CB48984184E}"/>
    <cellStyle name="Comma 2 4 2 5 5 3" xfId="51121" xr:uid="{CD2AEB15-E233-44CE-B27C-C1B6B611CB8E}"/>
    <cellStyle name="Comma 2 4 2 5 5 4" xfId="54137" xr:uid="{B099E87B-D427-4030-AEBA-D0DBC75A211F}"/>
    <cellStyle name="Comma 2 4 2 5 6" xfId="46073" xr:uid="{B6B77C97-CDBE-4B93-B123-A8363CAAD5CC}"/>
    <cellStyle name="Comma 2 4 2 5 7" xfId="50015" xr:uid="{C38404D9-C137-4EC6-8E4E-EF2B47E4F1FA}"/>
    <cellStyle name="Comma 2 4 2 5 8" xfId="53031" xr:uid="{C344E8A4-7771-4440-BD01-159C363570F5}"/>
    <cellStyle name="Comma 2 4 2 6" xfId="10560" xr:uid="{1400F6AD-1656-496F-A9AA-82A07E59BDEC}"/>
    <cellStyle name="Comma 2 4 2 6 2" xfId="14925" xr:uid="{17D593FB-70AE-4E82-942F-357870DEFC17}"/>
    <cellStyle name="Comma 2 4 2 6 2 2" xfId="22472" xr:uid="{AA25924D-84D9-40CD-B70A-263BA59CCCB3}"/>
    <cellStyle name="Comma 2 4 2 6 2 3" xfId="48441" xr:uid="{29FC0810-FFFC-4C50-A688-47181E1E6CCD}"/>
    <cellStyle name="Comma 2 4 2 6 2 4" xfId="51810" xr:uid="{AB1C8A68-83AE-4DA1-891B-27B0913E6D4A}"/>
    <cellStyle name="Comma 2 4 2 6 2 5" xfId="54826" xr:uid="{2180F39A-0EFC-4789-B9A4-4CA9E6A7BAF3}"/>
    <cellStyle name="Comma 2 4 2 6 3" xfId="15410" xr:uid="{055B5823-A343-44C3-8107-6C9B67DD62B4}"/>
    <cellStyle name="Comma 2 4 2 6 3 2" xfId="22949" xr:uid="{2D6ED1A6-8E0C-454B-8099-88890F8E459F}"/>
    <cellStyle name="Comma 2 4 2 6 3 3" xfId="46919" xr:uid="{A7966DC2-8891-46B5-B682-3625D8A50F8A}"/>
    <cellStyle name="Comma 2 4 2 6 3 4" xfId="52287" xr:uid="{A7C66DAF-7A0A-4308-B403-D675B3943B6C}"/>
    <cellStyle name="Comma 2 4 2 6 3 5" xfId="55303" xr:uid="{E1D9B01B-167C-467A-8405-6699119988ED}"/>
    <cellStyle name="Comma 2 4 2 6 4" xfId="15898" xr:uid="{F7A63C54-D84C-49A2-82E9-AAC624528C2E}"/>
    <cellStyle name="Comma 2 4 2 6 4 2" xfId="23426" xr:uid="{40B1A1A1-FB30-4623-A4D2-D8BFB731E374}"/>
    <cellStyle name="Comma 2 4 2 6 4 3" xfId="47135" xr:uid="{843CAF7E-93A9-4E4F-AFBF-5AECF5790BE1}"/>
    <cellStyle name="Comma 2 4 2 6 4 4" xfId="52764" xr:uid="{D0773B1E-7341-49BA-872E-72D0FDFA40C9}"/>
    <cellStyle name="Comma 2 4 2 6 4 5" xfId="55780" xr:uid="{69DD7260-4B9C-4BF8-8DE4-F58AEFFE4F76}"/>
    <cellStyle name="Comma 2 4 2 6 5" xfId="13013" xr:uid="{2CD91B77-3A25-41BD-94A3-9B0D30814E93}"/>
    <cellStyle name="Comma 2 4 2 6 5 2" xfId="47472" xr:uid="{E9F62553-4A81-4B06-82A9-0237136586D0}"/>
    <cellStyle name="Comma 2 4 2 6 5 3" xfId="51333" xr:uid="{56D1964E-DD2A-4659-858B-3A74255EE5BB}"/>
    <cellStyle name="Comma 2 4 2 6 5 4" xfId="54349" xr:uid="{0E620746-52AD-4B93-ACBB-55CB5E53A278}"/>
    <cellStyle name="Comma 2 4 2 6 6" xfId="48374" xr:uid="{171593F4-85D5-42E8-8C5E-32FB73D3CF14}"/>
    <cellStyle name="Comma 2 4 2 6 7" xfId="50227" xr:uid="{8DA5D08A-5DA5-472F-BE73-BDA69CA27FB4}"/>
    <cellStyle name="Comma 2 4 2 6 8" xfId="53243" xr:uid="{41EE6CAA-57B1-4AE4-9BDA-69BF27FA53F0}"/>
    <cellStyle name="Comma 2 4 2 7" xfId="11098" xr:uid="{FFB23523-ECB3-4821-9F07-DF63CDC7C5B1}"/>
    <cellStyle name="Comma 2 4 2 8" xfId="14501" xr:uid="{E0269445-C1C8-4C1F-BDB8-728F2FD4F068}"/>
    <cellStyle name="Comma 2 4 2 8 2" xfId="22048" xr:uid="{1E005939-AA3C-4FF5-81B8-367FFC5870AB}"/>
    <cellStyle name="Comma 2 4 2 8 3" xfId="47175" xr:uid="{7DB37FEA-51EC-46BD-B1FC-80151F3D47EE}"/>
    <cellStyle name="Comma 2 4 2 8 4" xfId="51386" xr:uid="{EA5C13D3-5767-4EC2-AD67-132AA6E0B4F7}"/>
    <cellStyle name="Comma 2 4 2 8 5" xfId="54402" xr:uid="{42C35175-1BF0-4716-9357-A8F51F4C43F9}"/>
    <cellStyle name="Comma 2 4 2 9" xfId="14985" xr:uid="{4ACDEB0D-7501-4C1D-BC0E-C3094A0A7105}"/>
    <cellStyle name="Comma 2 4 2 9 2" xfId="22525" xr:uid="{B96B551A-FAD4-4769-BA61-A473CD97CBC4}"/>
    <cellStyle name="Comma 2 4 2 9 3" xfId="32326" xr:uid="{77626ADF-D610-4DE0-B5F3-00E63FAFB2D0}"/>
    <cellStyle name="Comma 2 4 2 9 4" xfId="51863" xr:uid="{32C0DA9C-E3E5-4505-87E1-80F9AB975E42}"/>
    <cellStyle name="Comma 2 4 2 9 5" xfId="54879" xr:uid="{BF9B87A8-AF9C-4277-B2E6-0A64A3D57D64}"/>
    <cellStyle name="Comma 2 4 3" xfId="5815" xr:uid="{74C3612D-150B-4A3C-A2AA-26FF0A8E2327}"/>
    <cellStyle name="Comma 2 4 3 2" xfId="21684" xr:uid="{1D8762A4-696D-423F-83F1-3BB5FEC86D09}"/>
    <cellStyle name="Comma 2 4 3 3" xfId="23724" xr:uid="{9D0C228D-ADAF-42B0-BF57-B6511CE0B083}"/>
    <cellStyle name="Comma 2 4 3 4" xfId="50700" xr:uid="{F0B7D922-18AE-44A7-B69B-FE47A0F1EBE0}"/>
    <cellStyle name="Comma 2 4 3 5" xfId="53716" xr:uid="{6E85CEFA-A1DA-4E29-AE38-A10B43F73376}"/>
    <cellStyle name="Comma 2 4 3 6" xfId="11187" xr:uid="{850F489F-DD6D-4B62-BA1D-876AADD0D856}"/>
    <cellStyle name="Comma 2 4 4" xfId="2615" xr:uid="{4105B42B-595D-4114-8525-0D1A1D3222D0}"/>
    <cellStyle name="Comma 2 4 4 2" xfId="11090" xr:uid="{CE2BF550-4B04-429C-B80D-18317EF06409}"/>
    <cellStyle name="Comma 2 4 5" xfId="17743" xr:uid="{9970E3AB-38F5-4A9F-9379-BC072F7A55AD}"/>
    <cellStyle name="Comma 2 4 5 2" xfId="21251" xr:uid="{E2F5C460-22C9-4E06-8F90-969467571CC6}"/>
    <cellStyle name="Comma 2 4 6" xfId="19476" xr:uid="{9B7F2BFC-E491-46FC-9FE4-65FE668A771E}"/>
    <cellStyle name="Comma 2 4 7" xfId="23722" xr:uid="{5C6077D6-CAFB-4E23-9547-FC20AAC7FA8B}"/>
    <cellStyle name="Comma 2 4 8" xfId="48611" xr:uid="{D6D9FD66-6C05-4E49-90E6-61FDEE6BFA9E}"/>
    <cellStyle name="Comma 2 4 9" xfId="49521" xr:uid="{AB22CBB7-393B-48FF-BF40-E0D2151F78F6}"/>
    <cellStyle name="Comma 2 5" xfId="2616" xr:uid="{5689246B-C520-414D-A68D-3AC6BE34D6B4}"/>
    <cellStyle name="Comma 2 5 10" xfId="23725" xr:uid="{E19413B0-08AD-490E-8F48-797A901A96F6}"/>
    <cellStyle name="Comma 2 5 11" xfId="7229" xr:uid="{089D8BB1-1D47-4BB5-ACD4-B191EC77A876}"/>
    <cellStyle name="Comma 2 5 2" xfId="2617" xr:uid="{AAAE9B4A-AEF0-4CB4-8060-DC1C842F2470}"/>
    <cellStyle name="Comma 2 5 2 2" xfId="4536" xr:uid="{73B667F8-CEC9-444B-8F0C-6081965467CF}"/>
    <cellStyle name="Comma 2 5 2 2 2" xfId="23727" xr:uid="{687B7A26-95BA-4CC6-9AD4-9AF4177C9EDA}"/>
    <cellStyle name="Comma 2 5 2 2 3" xfId="48613" xr:uid="{1D5EA4E1-3182-4101-B94C-8410EB534689}"/>
    <cellStyle name="Comma 2 5 2 2 4" xfId="49523" xr:uid="{083AE715-DA75-4F09-95E1-713E9BB25450}"/>
    <cellStyle name="Comma 2 5 2 2 5" xfId="17637" xr:uid="{4440873F-AF7E-46E1-A426-2899A0F4CE66}"/>
    <cellStyle name="Comma 2 5 2 3" xfId="5817" xr:uid="{CCEAF00F-DF31-4D5F-B5D9-D6944E21B2D0}"/>
    <cellStyle name="Comma 2 5 2 3 2" xfId="38061" xr:uid="{236D4C20-4F32-45DF-8895-405FA6EE4E73}"/>
    <cellStyle name="Comma 2 5 2 3 3" xfId="43363" xr:uid="{38D881F4-9E8D-49E0-8585-E020D6690C01}"/>
    <cellStyle name="Comma 2 5 2 3 4" xfId="32687" xr:uid="{AE232031-1642-4F44-B601-D5AB429CEFA9}"/>
    <cellStyle name="Comma 2 5 2 3 5" xfId="19478" xr:uid="{F1F3EC3F-4A31-47FD-ACF2-DB19343BD6AD}"/>
    <cellStyle name="Comma 2 5 2 4" xfId="35596" xr:uid="{A513AFB8-355A-4D8E-A601-1EC2F1D5DDA3}"/>
    <cellStyle name="Comma 2 5 2 5" xfId="40712" xr:uid="{F02DB13C-687D-4F21-A543-993A21AEDAEC}"/>
    <cellStyle name="Comma 2 5 2 6" xfId="23726" xr:uid="{4F75FC89-EDD1-41BF-8D50-417E8CA07E95}"/>
    <cellStyle name="Comma 2 5 2 7" xfId="15940" xr:uid="{999598C5-9EDD-45AB-B046-B785170D3F0C}"/>
    <cellStyle name="Comma 2 5 2 8" xfId="7226" xr:uid="{986D9E34-E59C-42BB-9423-CFB1D6F28DB8}"/>
    <cellStyle name="Comma 2 5 3" xfId="4535" xr:uid="{470E6876-E4FE-4C13-98A9-E8FC185A7E1D}"/>
    <cellStyle name="Comma 2 5 3 2" xfId="23728" xr:uid="{F11D2D2F-FD01-409C-B833-711835845060}"/>
    <cellStyle name="Comma 2 5 3 3" xfId="48614" xr:uid="{3CA0E583-B207-4BA8-B58F-6E20726B780E}"/>
    <cellStyle name="Comma 2 5 3 4" xfId="49524" xr:uid="{F7FA28DF-9E6F-492C-9253-6960A5A801AF}"/>
    <cellStyle name="Comma 2 5 3 5" xfId="12436" xr:uid="{04DA9337-6C89-4FFA-90DB-260F117642C0}"/>
    <cellStyle name="Comma 2 5 4" xfId="5816" xr:uid="{F2EACDBC-3A74-435B-AEF8-294371D4A8DF}"/>
    <cellStyle name="Comma 2 5 4 2" xfId="21902" xr:uid="{151B0167-F40E-4CA8-8E78-D46C38CEFBE6}"/>
    <cellStyle name="Comma 2 5 4 2 2" xfId="38062" xr:uid="{BAE0797C-55F8-4895-B35C-6491FF7982CA}"/>
    <cellStyle name="Comma 2 5 4 2 3" xfId="43364" xr:uid="{9CEEB68C-BF4F-4461-AF82-91C521189CEB}"/>
    <cellStyle name="Comma 2 5 4 2 4" xfId="32688" xr:uid="{30E35FEA-6AC7-4C4E-9F1A-13333A824BF8}"/>
    <cellStyle name="Comma 2 5 4 3" xfId="35597" xr:uid="{404BAB69-09E1-4848-AF6B-4BD649100E73}"/>
    <cellStyle name="Comma 2 5 4 4" xfId="40713" xr:uid="{CB004F45-A1AF-49F4-A11E-621222B07475}"/>
    <cellStyle name="Comma 2 5 4 5" xfId="23729" xr:uid="{D433AE08-F3F2-49D4-9367-2755C1A05DCD}"/>
    <cellStyle name="Comma 2 5 4 6" xfId="48380" xr:uid="{FBCC0151-09A5-4D71-AB50-8B523D593F06}"/>
    <cellStyle name="Comma 2 5 4 7" xfId="50930" xr:uid="{007C05F7-FE4A-468C-B156-5A8B4915E583}"/>
    <cellStyle name="Comma 2 5 4 8" xfId="53946" xr:uid="{2925D5E2-890E-4853-AA6F-1FB2CF4176CA}"/>
    <cellStyle name="Comma 2 5 4 9" xfId="12140" xr:uid="{081D191D-BE5C-4462-B952-6605A29E87CB}"/>
    <cellStyle name="Comma 2 5 5" xfId="11188" xr:uid="{4EE1E12C-9403-4794-84A0-4DB243FA8ED3}"/>
    <cellStyle name="Comma 2 5 5 2" xfId="21685" xr:uid="{3E272959-9A3F-4DF4-A20B-1FDBE75BF91B}"/>
    <cellStyle name="Comma 2 5 5 2 2" xfId="38063" xr:uid="{23163768-C9BD-4F9D-8B66-5AC934796822}"/>
    <cellStyle name="Comma 2 5 5 2 3" xfId="43365" xr:uid="{DC956AE5-E896-4350-BFF1-32D99F1A15F3}"/>
    <cellStyle name="Comma 2 5 5 2 4" xfId="32689" xr:uid="{67BBB109-138E-4F23-9579-1C8D3AFC90F9}"/>
    <cellStyle name="Comma 2 5 5 3" xfId="35598" xr:uid="{8E9E09E8-B903-4757-9053-8A0C03896DF6}"/>
    <cellStyle name="Comma 2 5 5 4" xfId="40714" xr:uid="{AC8ABD2B-86B1-4CB8-9CB7-B933E5473CFF}"/>
    <cellStyle name="Comma 2 5 5 5" xfId="23730" xr:uid="{F46AAC8C-6E65-46F1-A305-F9B4ECC21C63}"/>
    <cellStyle name="Comma 2 5 5 6" xfId="46277" xr:uid="{8D673E28-2574-4BF0-B31E-536A2A514B4D}"/>
    <cellStyle name="Comma 2 5 5 7" xfId="48615" xr:uid="{2A380DCB-6F72-4D50-83C9-466C4624FA8E}"/>
    <cellStyle name="Comma 2 5 5 8" xfId="50701" xr:uid="{07B019E0-1B0A-4C29-B50E-8EBD4FF3BF38}"/>
    <cellStyle name="Comma 2 5 5 9" xfId="53717" xr:uid="{809AC7BF-247C-4877-B185-2F0B17A920C8}"/>
    <cellStyle name="Comma 2 5 6" xfId="19477" xr:uid="{BE8DC3C2-0EDA-4F5D-B9C6-A433629A6B88}"/>
    <cellStyle name="Comma 2 5 6 2" xfId="32690" xr:uid="{3B5B2637-A017-4675-A046-C0697DF90AB1}"/>
    <cellStyle name="Comma 2 5 6 2 2" xfId="38064" xr:uid="{99E0C977-C200-48D7-947B-229F333565F0}"/>
    <cellStyle name="Comma 2 5 6 2 3" xfId="43366" xr:uid="{28666524-714C-4A00-9232-C87B41C0DFAD}"/>
    <cellStyle name="Comma 2 5 6 3" xfId="35599" xr:uid="{087DB0E1-DEC8-4C1F-8B29-305072BA8D71}"/>
    <cellStyle name="Comma 2 5 6 4" xfId="40715" xr:uid="{587D4256-7FF6-46B9-AA31-D8456E99033B}"/>
    <cellStyle name="Comma 2 5 6 5" xfId="23731" xr:uid="{CE0694A8-07FA-4E92-9E6D-B97D68FE547F}"/>
    <cellStyle name="Comma 2 5 6 6" xfId="48616" xr:uid="{94D95250-4F29-492F-868E-5E06BD1C57D8}"/>
    <cellStyle name="Comma 2 5 7" xfId="32686" xr:uid="{541DD640-4CA2-42E5-AC94-DB4EDFBA9D51}"/>
    <cellStyle name="Comma 2 5 7 2" xfId="38060" xr:uid="{154F8C9A-DD16-497B-B350-2EA91ED79385}"/>
    <cellStyle name="Comma 2 5 7 3" xfId="43362" xr:uid="{C9C2E745-79AA-44C2-9916-4BF9B5D9AF6D}"/>
    <cellStyle name="Comma 2 5 8" xfId="35595" xr:uid="{0E47B72F-6E72-44B8-8CD7-622F8D269C31}"/>
    <cellStyle name="Comma 2 5 9" xfId="40711" xr:uid="{F6045744-9EE4-4A8C-A13B-9AD7BBE1618B}"/>
    <cellStyle name="Comma 2 6" xfId="2618" xr:uid="{501B6C15-5F98-45F8-8882-9FB8820FE96F}"/>
    <cellStyle name="Comma 2 6 2" xfId="4537" xr:uid="{3E0ED0F9-F6D5-414D-A473-9E6F426A9190}"/>
    <cellStyle name="Comma 2 6 2 2" xfId="18051" xr:uid="{B9CBB962-9D23-4295-9ADE-14FB42A9B6E2}"/>
    <cellStyle name="Comma 2 6 2 2 2" xfId="38066" xr:uid="{10733DF2-B20B-4956-8F4B-81726110BAF6}"/>
    <cellStyle name="Comma 2 6 2 2 3" xfId="43368" xr:uid="{B81FA9D6-EAD6-4B56-B116-B09B699EB369}"/>
    <cellStyle name="Comma 2 6 2 3" xfId="19480" xr:uid="{F247FB0C-87AB-4C0B-AA6F-F37163A6CB4A}"/>
    <cellStyle name="Comma 2 6 2 3 2" xfId="35601" xr:uid="{CA083AAD-E2F0-4170-AA3A-71FDFFD86C83}"/>
    <cellStyle name="Comma 2 6 2 4" xfId="40717" xr:uid="{0ED8D236-4B9E-4778-A0BE-351F3CB2495E}"/>
    <cellStyle name="Comma 2 6 2 5" xfId="15942" xr:uid="{4DE01613-B28E-4F2C-B53A-08C4C9DF1363}"/>
    <cellStyle name="Comma 2 6 2 6" xfId="8424" xr:uid="{E4DF80F3-C85E-4DAD-834C-F0A7293A51B6}"/>
    <cellStyle name="Comma 2 6 3" xfId="5818" xr:uid="{C8077B81-EC2B-4027-BDED-CB5520B38AB0}"/>
    <cellStyle name="Comma 2 6 3 2" xfId="32692" xr:uid="{517E1B4C-D8F8-401A-BD17-6D4CF31B375A}"/>
    <cellStyle name="Comma 2 6 3 2 2" xfId="38067" xr:uid="{43AD1B57-2ADA-4CD4-8FC6-9C6C444BEE99}"/>
    <cellStyle name="Comma 2 6 3 2 3" xfId="43369" xr:uid="{8653D554-CD57-4410-B7E0-A6D64639B1DF}"/>
    <cellStyle name="Comma 2 6 3 3" xfId="35602" xr:uid="{B98388C5-620B-4C39-8B95-D9BC31D7B856}"/>
    <cellStyle name="Comma 2 6 3 4" xfId="40718" xr:uid="{DB1BEA7C-9877-4C70-9069-B56B7C5184B6}"/>
    <cellStyle name="Comma 2 6 3 5" xfId="17636" xr:uid="{79D466BE-076C-4147-9012-A17DBA9D35A0}"/>
    <cellStyle name="Comma 2 6 4" xfId="19479" xr:uid="{2751E83A-DB0B-4270-AA32-145C9127AACB}"/>
    <cellStyle name="Comma 2 6 4 2" xfId="38065" xr:uid="{F99111C7-9705-47D6-B388-B07940FCD706}"/>
    <cellStyle name="Comma 2 6 4 3" xfId="43367" xr:uid="{29C3CD83-04DC-45EB-9EDB-113C985E356C}"/>
    <cellStyle name="Comma 2 6 4 4" xfId="32691" xr:uid="{FA268116-63B3-4328-973F-89563C0AB309}"/>
    <cellStyle name="Comma 2 6 5" xfId="35600" xr:uid="{ECE416BA-2C3B-452A-A733-A54F4879006D}"/>
    <cellStyle name="Comma 2 6 6" xfId="40716" xr:uid="{F4B5D2D1-EE19-4AEE-9D68-ECD4711A3970}"/>
    <cellStyle name="Comma 2 6 7" xfId="23732" xr:uid="{58C9B369-112E-4C76-AF5F-0237DEF41404}"/>
    <cellStyle name="Comma 2 6 8" xfId="15941" xr:uid="{B79E11FD-7629-4AFF-BAAD-1861188B84F2}"/>
    <cellStyle name="Comma 2 6 9" xfId="7225" xr:uid="{445F20AE-E44E-4C2D-BE53-F119B4CF430D}"/>
    <cellStyle name="Comma 2 7" xfId="2619" xr:uid="{5A4E0375-9F2A-4607-A8E8-54606C3A37A6}"/>
    <cellStyle name="Comma 2 7 2" xfId="4538" xr:uid="{576E4192-EE01-4C9A-A85D-EB20EA1D8DF7}"/>
    <cellStyle name="Comma 2 7 2 2" xfId="35065" xr:uid="{7700BE8A-A116-4A71-828E-143AB4353175}"/>
    <cellStyle name="Comma 2 7 2 2 2" xfId="40226" xr:uid="{0D2C8D0B-3852-4C3C-83D3-4DE7AAD8E2B2}"/>
    <cellStyle name="Comma 2 7 2 2 3" xfId="45528" xr:uid="{91114260-4BDA-4337-99A1-F5FAF7FF0811}"/>
    <cellStyle name="Comma 2 7 2 3" xfId="37575" xr:uid="{22E603B4-E64E-4D44-86DD-7ED2F2479F62}"/>
    <cellStyle name="Comma 2 7 2 4" xfId="42877" xr:uid="{9C7875D5-77B5-4F15-9FC2-379E4B29EE72}"/>
    <cellStyle name="Comma 2 7 2 5" xfId="12389" xr:uid="{24CF4180-9D27-4B8E-A3D2-F699649FCD39}"/>
    <cellStyle name="Comma 2 7 3" xfId="5819" xr:uid="{5CB109AD-8D4D-4AE2-9424-2240FD7348D7}"/>
    <cellStyle name="Comma 2 7 3 2" xfId="21678" xr:uid="{FECE9EA0-960F-4643-9518-DC45590A7B11}"/>
    <cellStyle name="Comma 2 7 3 2 2" xfId="38068" xr:uid="{2AB0D40A-1FF0-4E77-AF24-0CA5598B41D5}"/>
    <cellStyle name="Comma 2 7 3 3" xfId="43370" xr:uid="{E5D050ED-4474-433E-A597-62F43687DC8A}"/>
    <cellStyle name="Comma 2 7 3 4" xfId="32693" xr:uid="{B203C05C-30CC-4D3A-B957-285D2C7CCE36}"/>
    <cellStyle name="Comma 2 7 3 5" xfId="46275" xr:uid="{A587E871-D087-40EB-A461-F113AD9023D6}"/>
    <cellStyle name="Comma 2 7 3 6" xfId="50694" xr:uid="{64DF7D83-20D7-4CA1-BB02-F625AFBDDCC4}"/>
    <cellStyle name="Comma 2 7 3 7" xfId="53710" xr:uid="{BA3AE7A2-CFDF-46E3-BA9B-0336882DC45A}"/>
    <cellStyle name="Comma 2 7 3 8" xfId="11181" xr:uid="{11385883-863A-48FB-8DE8-0F08F191E8DF}"/>
    <cellStyle name="Comma 2 7 4" xfId="19481" xr:uid="{97EC4717-B026-4383-B01C-99EC761DD9CF}"/>
    <cellStyle name="Comma 2 7 4 2" xfId="35603" xr:uid="{5C3D10EF-FD67-4E53-8C85-1E35A9D6AA23}"/>
    <cellStyle name="Comma 2 7 5" xfId="40719" xr:uid="{BBE06C31-2F13-4510-9535-F359ABC4CBE9}"/>
    <cellStyle name="Comma 2 7 6" xfId="23733" xr:uid="{5F236F3E-A33E-4384-93FC-318C357F5E25}"/>
    <cellStyle name="Comma 2 7 7" xfId="8181" xr:uid="{97ACA371-2160-4DE1-B651-229AB2780A4C}"/>
    <cellStyle name="Comma 2 8" xfId="4524" xr:uid="{0D3DD6AD-F146-47DE-873E-0B55E9068F23}"/>
    <cellStyle name="Comma 2 8 2" xfId="12437" xr:uid="{B66C4490-8281-4114-8752-31128E591CE3}"/>
    <cellStyle name="Comma 2 8 3" xfId="18299" xr:uid="{CFCB3147-CB06-49FA-9399-B0A3FBEA9686}"/>
    <cellStyle name="Comma 2 8 4" xfId="23734" xr:uid="{A0A8D89A-643A-4A75-A4DD-010AAE856E49}"/>
    <cellStyle name="Comma 2 8 5" xfId="48617" xr:uid="{269C4EC3-C1F7-43AE-B56F-7AF0C2F78443}"/>
    <cellStyle name="Comma 2 8 6" xfId="49525" xr:uid="{F2C258E7-8980-4A07-9262-20B1507F6FFB}"/>
    <cellStyle name="Comma 2 8 7" xfId="17001" xr:uid="{12B66691-188B-4607-AB02-4920ECABEBE0}"/>
    <cellStyle name="Comma 2 8 8" xfId="11697" xr:uid="{6EAFC332-3DBB-40D5-A2A7-A60E3658C245}"/>
    <cellStyle name="Comma 2 9" xfId="5806" xr:uid="{DFA9DCA4-B0CE-4A21-BA24-A2958DE4C237}"/>
    <cellStyle name="Comma 2 9 2" xfId="23735" xr:uid="{31906545-09AE-42D0-BA88-B09F17937298}"/>
    <cellStyle name="Comma 2 9 3" xfId="48618" xr:uid="{5477A4FC-8488-46C1-83F6-C1BD2ED3ADAD}"/>
    <cellStyle name="Comma 2 9 4" xfId="49526" xr:uid="{E0C43F4A-1C2E-4EB1-91F6-B737F4EF43C1}"/>
    <cellStyle name="Comma 2 9 5" xfId="18041" xr:uid="{E01D0902-A9D9-4780-9DD8-616D974C380F}"/>
    <cellStyle name="Comma 2 9 6" xfId="11142" xr:uid="{13AC344B-E83A-461F-A5A7-9F7C9EF091EC}"/>
    <cellStyle name="Comma 3" xfId="51" xr:uid="{00000000-0005-0000-0000-000056000000}"/>
    <cellStyle name="Comma 3 10" xfId="23736" xr:uid="{D6A44CA0-6B23-4B66-BE51-2C810A1CF7D0}"/>
    <cellStyle name="Comma 3 11" xfId="48619" xr:uid="{9809AF90-B796-45F5-A17E-65A3A12CF11E}"/>
    <cellStyle name="Comma 3 12" xfId="49527" xr:uid="{1BE29EE5-D650-4EEC-8E46-CCB9D16CCD88}"/>
    <cellStyle name="Comma 3 13" xfId="6985" xr:uid="{570D7C33-49E7-482D-8AFA-0CBE7EC83FA2}"/>
    <cellStyle name="Comma 3 2" xfId="2621" xr:uid="{ED3A89DF-F18E-4928-A1A4-13D0CAFDF48C}"/>
    <cellStyle name="Comma 3 2 10" xfId="49528" xr:uid="{45373BD6-A14B-41E5-B4C0-27905F960BCC}"/>
    <cellStyle name="Comma 3 2 11" xfId="7234" xr:uid="{BD112E32-8A3F-49DA-AFC5-7A8198103696}"/>
    <cellStyle name="Comma 3 2 2" xfId="2622" xr:uid="{9A40CF28-859B-4133-87AA-FD64F35B9407}"/>
    <cellStyle name="Comma 3 2 2 10" xfId="15454" xr:uid="{1B109E06-AAF6-4D13-A153-303BCA51F34D}"/>
    <cellStyle name="Comma 3 2 2 10 2" xfId="22989" xr:uid="{DBDBE973-3298-4410-895C-7CBC5EB3D735}"/>
    <cellStyle name="Comma 3 2 2 10 3" xfId="46923" xr:uid="{D2850EA0-C7B4-4E32-AB34-F8A8A49DCDDB}"/>
    <cellStyle name="Comma 3 2 2 10 4" xfId="52327" xr:uid="{C7FAD2A8-5AB6-4A79-AFA0-A987A1B2943B}"/>
    <cellStyle name="Comma 3 2 2 10 5" xfId="55343" xr:uid="{F38BF1CC-C954-41FD-AB9D-517A4351455E}"/>
    <cellStyle name="Comma 3 2 2 11" xfId="11191" xr:uid="{CD1A02C1-95F9-49AE-9E0E-C7C05F9178A4}"/>
    <cellStyle name="Comma 3 2 2 11 2" xfId="21687" xr:uid="{75874064-90B9-4187-B6BC-7267503CB6B1}"/>
    <cellStyle name="Comma 3 2 2 11 3" xfId="46727" xr:uid="{FBD659C1-B4B3-47B4-9886-65CADC529CC0}"/>
    <cellStyle name="Comma 3 2 2 11 4" xfId="50704" xr:uid="{B7DBA9FC-45E2-4504-A23D-271EAAEC3A0E}"/>
    <cellStyle name="Comma 3 2 2 11 5" xfId="53720" xr:uid="{7343A92D-866A-4533-B561-672EF9A70B44}"/>
    <cellStyle name="Comma 3 2 2 12" xfId="19484" xr:uid="{9EB9FF23-9781-452D-985A-7BDC75139171}"/>
    <cellStyle name="Comma 3 2 2 13" xfId="23738" xr:uid="{5D6B2C3D-E3FD-4909-9A98-3C403489FE14}"/>
    <cellStyle name="Comma 3 2 2 14" xfId="48621" xr:uid="{954F3A3E-DD81-4B80-BC27-0FAA5CAE447B}"/>
    <cellStyle name="Comma 3 2 2 15" xfId="49529" xr:uid="{856E8312-268C-4E5E-9550-2DBB54F18A9F}"/>
    <cellStyle name="Comma 3 2 2 16" xfId="49790" xr:uid="{59849D90-8BD4-4D49-BDD1-BE9F77E6B8EB}"/>
    <cellStyle name="Comma 3 2 2 17" xfId="52805" xr:uid="{3A801849-1434-43E1-A5A5-1C0884E53814}"/>
    <cellStyle name="Comma 3 2 2 2" xfId="8927" xr:uid="{D824278B-4A79-452D-8D5A-EF654B66EFD2}"/>
    <cellStyle name="Comma 3 2 2 2 10" xfId="12198" xr:uid="{9248D0DC-31A7-4B3F-BB22-5957FE9F737B}"/>
    <cellStyle name="Comma 3 2 2 2 10 2" xfId="47365" xr:uid="{E1946003-389F-42CB-9F9F-C1FD3F329C84}"/>
    <cellStyle name="Comma 3 2 2 2 10 3" xfId="50943" xr:uid="{05F226F5-B553-486E-B28D-3C8B8EB0A041}"/>
    <cellStyle name="Comma 3 2 2 2 10 4" xfId="53959" xr:uid="{A6FAE80D-D729-48C1-ADF1-5B65B8260C9A}"/>
    <cellStyle name="Comma 3 2 2 2 11" xfId="23739" xr:uid="{087A3E5A-7FB8-40A7-82A9-FB62EE4D27F6}"/>
    <cellStyle name="Comma 3 2 2 2 12" xfId="48622" xr:uid="{DEACC0E6-D639-4827-B8B0-29E027FEE9E2}"/>
    <cellStyle name="Comma 3 2 2 2 13" xfId="49530" xr:uid="{913EB959-78F0-45DF-9321-0358B7C4EE01}"/>
    <cellStyle name="Comma 3 2 2 2 14" xfId="49804" xr:uid="{25895E02-D8E2-4714-8A0E-FF4D4C580349}"/>
    <cellStyle name="Comma 3 2 2 2 15" xfId="52819" xr:uid="{C36BAC74-DAB3-4FEF-A46E-08E8B439FDBF}"/>
    <cellStyle name="Comma 3 2 2 2 2" xfId="10014" xr:uid="{856C538B-1F12-4B95-9C09-C4BB259D0037}"/>
    <cellStyle name="Comma 3 2 2 2 2 2" xfId="10322" xr:uid="{6F51CE29-DD53-46F6-A948-E65FF20DC7F3}"/>
    <cellStyle name="Comma 3 2 2 2 2 2 2" xfId="14767" xr:uid="{602C496F-30E7-44D2-B9AC-501B771DB86A}"/>
    <cellStyle name="Comma 3 2 2 2 2 2 2 2" xfId="22314" xr:uid="{66E20A01-4C30-4BE4-855B-37C0CC8E1D41}"/>
    <cellStyle name="Comma 3 2 2 2 2 2 2 3" xfId="32547" xr:uid="{7DA7785B-11BD-4B54-9D45-32C02341EFFF}"/>
    <cellStyle name="Comma 3 2 2 2 2 2 2 4" xfId="51652" xr:uid="{0C435B74-5382-4167-A87A-E1A4F4295C67}"/>
    <cellStyle name="Comma 3 2 2 2 2 2 2 5" xfId="54668" xr:uid="{50D9B7B5-54C3-41E4-8435-26AC2123FB40}"/>
    <cellStyle name="Comma 3 2 2 2 2 2 3" xfId="15252" xr:uid="{827AB7E8-FC57-46A3-94D0-B5D938046F77}"/>
    <cellStyle name="Comma 3 2 2 2 2 2 3 2" xfId="22791" xr:uid="{A6AE5E32-605A-431C-A2B5-080CB8B14133}"/>
    <cellStyle name="Comma 3 2 2 2 2 2 3 3" xfId="48301" xr:uid="{7111A7C7-382C-4031-B2CF-50DEDBC013EE}"/>
    <cellStyle name="Comma 3 2 2 2 2 2 3 4" xfId="52129" xr:uid="{3F6D908C-7A1C-4E1B-B0C5-A8E3C058A79D}"/>
    <cellStyle name="Comma 3 2 2 2 2 2 3 5" xfId="55145" xr:uid="{8157B350-038B-4FD1-8750-A40D7E002196}"/>
    <cellStyle name="Comma 3 2 2 2 2 2 4" xfId="15739" xr:uid="{973368F5-96B5-4C61-844B-2AB4FAD8C866}"/>
    <cellStyle name="Comma 3 2 2 2 2 2 4 2" xfId="23268" xr:uid="{54FBCD37-A599-4133-BCE8-64017C0FB628}"/>
    <cellStyle name="Comma 3 2 2 2 2 2 4 3" xfId="48133" xr:uid="{D4D1DEEB-EF8A-42BC-A1BF-1E979F6E28BC}"/>
    <cellStyle name="Comma 3 2 2 2 2 2 4 4" xfId="52606" xr:uid="{600C85E6-5C6E-461A-B270-709985C09198}"/>
    <cellStyle name="Comma 3 2 2 2 2 2 4 5" xfId="55622" xr:uid="{C9B7F0F4-58C2-4B2B-AD12-216C7C57E1DC}"/>
    <cellStyle name="Comma 3 2 2 2 2 2 5" xfId="12775" xr:uid="{2E75F358-E7BE-4D13-8E1E-8390BDBFA804}"/>
    <cellStyle name="Comma 3 2 2 2 2 2 5 2" xfId="46792" xr:uid="{7FEE9054-AAC1-4D5C-AB14-34AB1A0316EB}"/>
    <cellStyle name="Comma 3 2 2 2 2 2 5 3" xfId="51175" xr:uid="{B7F3FDDA-59FB-49A0-B67C-3FC3A322A78B}"/>
    <cellStyle name="Comma 3 2 2 2 2 2 5 4" xfId="54191" xr:uid="{11DB1AFA-8364-4614-ABF0-D1417273DD59}"/>
    <cellStyle name="Comma 3 2 2 2 2 2 6" xfId="47581" xr:uid="{1A24D4CF-1055-44C3-A518-D712CE113C44}"/>
    <cellStyle name="Comma 3 2 2 2 2 2 7" xfId="50069" xr:uid="{19EEBCFA-B3D6-4144-A082-D044981E13DF}"/>
    <cellStyle name="Comma 3 2 2 2 2 2 8" xfId="53085" xr:uid="{E25E9EEA-ABAF-47D7-99DE-8E7F4315B32F}"/>
    <cellStyle name="Comma 3 2 2 2 2 3" xfId="14555" xr:uid="{991AC00C-3AA7-4A09-9158-71629605511C}"/>
    <cellStyle name="Comma 3 2 2 2 2 3 2" xfId="22102" xr:uid="{EA2C4B2F-8420-449E-9FE9-A69509B977FD}"/>
    <cellStyle name="Comma 3 2 2 2 2 3 3" xfId="46834" xr:uid="{8E855145-5D6D-4FBD-856B-3B08DD5EB43A}"/>
    <cellStyle name="Comma 3 2 2 2 2 3 4" xfId="51440" xr:uid="{97A989D0-7551-4F18-9828-5D27BA55850C}"/>
    <cellStyle name="Comma 3 2 2 2 2 3 5" xfId="54456" xr:uid="{DF41D2B2-E775-42A1-B737-38E40F30ACD8}"/>
    <cellStyle name="Comma 3 2 2 2 2 4" xfId="15039" xr:uid="{12B96A0F-ED4E-48CA-B1EA-08F289954EF0}"/>
    <cellStyle name="Comma 3 2 2 2 2 4 2" xfId="22579" xr:uid="{8EA0E190-FC1D-4D17-BE0D-352CA87C23E8}"/>
    <cellStyle name="Comma 3 2 2 2 2 4 3" xfId="25295" xr:uid="{889C05FA-76AE-495C-86E3-E1D392ED0DD3}"/>
    <cellStyle name="Comma 3 2 2 2 2 4 4" xfId="51917" xr:uid="{1277FDD3-1C09-4CB5-A463-37D81B1EC0B6}"/>
    <cellStyle name="Comma 3 2 2 2 2 4 5" xfId="54933" xr:uid="{E621CBB8-630D-4D0C-BDEC-F4D2DD535042}"/>
    <cellStyle name="Comma 3 2 2 2 2 5" xfId="15526" xr:uid="{25ED1E81-EA62-4A7B-A83A-39CB28B4F42C}"/>
    <cellStyle name="Comma 3 2 2 2 2 5 2" xfId="23056" xr:uid="{C8BA60B2-E61B-437E-B20B-0DC7021EEF87}"/>
    <cellStyle name="Comma 3 2 2 2 2 5 3" xfId="47133" xr:uid="{744A8FCF-3E53-49F1-9715-FD69E97946F1}"/>
    <cellStyle name="Comma 3 2 2 2 2 5 4" xfId="52394" xr:uid="{D6B5AF93-8620-4B7A-AF71-6389E18D1611}"/>
    <cellStyle name="Comma 3 2 2 2 2 5 5" xfId="55410" xr:uid="{B8BD1A6F-9368-4C34-B894-B539E446BF10}"/>
    <cellStyle name="Comma 3 2 2 2 2 6" xfId="12474" xr:uid="{7C5B7208-D539-4697-880B-362B6712D8B5}"/>
    <cellStyle name="Comma 3 2 2 2 2 6 2" xfId="46310" xr:uid="{FD58D5DA-0147-4584-9A62-220AD86A22EF}"/>
    <cellStyle name="Comma 3 2 2 2 2 6 3" xfId="50963" xr:uid="{847BF0A3-BE3E-4FEF-861B-27869C981343}"/>
    <cellStyle name="Comma 3 2 2 2 2 6 4" xfId="53979" xr:uid="{7120C10A-CA13-42C6-9BE5-C8C0FC27D650}"/>
    <cellStyle name="Comma 3 2 2 2 2 7" xfId="47865" xr:uid="{BA51EC8D-479B-4F79-BA3B-A4561F87F1D8}"/>
    <cellStyle name="Comma 3 2 2 2 2 8" xfId="49857" xr:uid="{D423BE80-E802-4254-A0EE-538A515E3481}"/>
    <cellStyle name="Comma 3 2 2 2 2 9" xfId="52873" xr:uid="{7DE4CA52-66D4-487C-A4E0-39C567325FA3}"/>
    <cellStyle name="Comma 3 2 2 2 3" xfId="10088" xr:uid="{66317D47-589A-409A-89E7-8879D2C4DF3D}"/>
    <cellStyle name="Comma 3 2 2 2 3 2" xfId="10401" xr:uid="{762ECFF4-5CC7-4DBA-B01C-A6EC20BB1EDA}"/>
    <cellStyle name="Comma 3 2 2 2 3 2 2" xfId="14820" xr:uid="{D5614786-1D81-4558-A7A1-6CF2C757A365}"/>
    <cellStyle name="Comma 3 2 2 2 3 2 2 2" xfId="22367" xr:uid="{2A801D4B-9D77-47E0-BC4E-3B2EBA97AB3C}"/>
    <cellStyle name="Comma 3 2 2 2 3 2 2 3" xfId="46439" xr:uid="{74A9A75F-1FB4-4A7F-BE8E-78DEB1BF1146}"/>
    <cellStyle name="Comma 3 2 2 2 3 2 2 4" xfId="51705" xr:uid="{34759F77-3A9C-49AC-BE14-C54BBA52D013}"/>
    <cellStyle name="Comma 3 2 2 2 3 2 2 5" xfId="54721" xr:uid="{B53DABAC-76A6-4AE0-9A5C-08EB634D9AA6}"/>
    <cellStyle name="Comma 3 2 2 2 3 2 3" xfId="15305" xr:uid="{EAE1C5A3-B51B-452F-B1C8-105D63742915}"/>
    <cellStyle name="Comma 3 2 2 2 3 2 3 2" xfId="22844" xr:uid="{FD2F120A-69F2-47D4-BD24-D7C0A641C5D4}"/>
    <cellStyle name="Comma 3 2 2 2 3 2 3 3" xfId="47492" xr:uid="{CE0D2C86-7A84-456F-A5A2-4AEE5ACAD6C8}"/>
    <cellStyle name="Comma 3 2 2 2 3 2 3 4" xfId="52182" xr:uid="{9FCB414F-4615-42FE-A2FC-E82B694A7435}"/>
    <cellStyle name="Comma 3 2 2 2 3 2 3 5" xfId="55198" xr:uid="{64347BB2-E0BC-43EB-9738-F21FA4AEDC44}"/>
    <cellStyle name="Comma 3 2 2 2 3 2 4" xfId="15792" xr:uid="{C5B61F20-7F4A-40DA-8E3C-51D29C8B1F43}"/>
    <cellStyle name="Comma 3 2 2 2 3 2 4 2" xfId="23321" xr:uid="{60830E0E-FA3A-4650-BA1D-F45064AD34DE}"/>
    <cellStyle name="Comma 3 2 2 2 3 2 4 3" xfId="46586" xr:uid="{7649FADF-F1AC-4EF8-BAE9-620995EA37F8}"/>
    <cellStyle name="Comma 3 2 2 2 3 2 4 4" xfId="52659" xr:uid="{1D168DFF-1277-4A03-8E71-DF21182A1A1D}"/>
    <cellStyle name="Comma 3 2 2 2 3 2 4 5" xfId="55675" xr:uid="{3CDBEC56-5F77-47C9-9FBA-95034713A285}"/>
    <cellStyle name="Comma 3 2 2 2 3 2 5" xfId="12854" xr:uid="{60E4C5C2-2136-4FF3-A2E2-D0DCDF4F9AFB}"/>
    <cellStyle name="Comma 3 2 2 2 3 2 5 2" xfId="25047" xr:uid="{B91A9D95-B10C-48FC-9A08-7DF9DB1ED55A}"/>
    <cellStyle name="Comma 3 2 2 2 3 2 5 3" xfId="51228" xr:uid="{F9CA9FA4-85E2-41A6-BA46-6B767BEB6763}"/>
    <cellStyle name="Comma 3 2 2 2 3 2 5 4" xfId="54244" xr:uid="{8F634324-FFF3-41CD-9F9F-183961FB2FC1}"/>
    <cellStyle name="Comma 3 2 2 2 3 2 6" xfId="46109" xr:uid="{0EB84B2C-2933-46B2-81EF-20324C4ACD74}"/>
    <cellStyle name="Comma 3 2 2 2 3 2 7" xfId="50122" xr:uid="{D279CBFE-8CB1-4004-B6AB-3FBDB7CFFAF7}"/>
    <cellStyle name="Comma 3 2 2 2 3 2 8" xfId="53138" xr:uid="{82B0E152-5FFD-47B9-BE45-F35119C98213}"/>
    <cellStyle name="Comma 3 2 2 2 3 3" xfId="14608" xr:uid="{E17D392E-5AFD-400C-A9A6-8B7F304CA0E7}"/>
    <cellStyle name="Comma 3 2 2 2 3 3 2" xfId="22155" xr:uid="{136701AA-81A6-4A5D-8E77-741C94B1779A}"/>
    <cellStyle name="Comma 3 2 2 2 3 3 3" xfId="24316" xr:uid="{FFEA2142-C4ED-44E5-B2CA-8203AD2EB568}"/>
    <cellStyle name="Comma 3 2 2 2 3 3 4" xfId="51493" xr:uid="{58A54225-B4F3-4BF6-AB5E-5EE91145F4D3}"/>
    <cellStyle name="Comma 3 2 2 2 3 3 5" xfId="54509" xr:uid="{7DF8D5A7-DFED-40A9-AFBD-0B6620C1E4BE}"/>
    <cellStyle name="Comma 3 2 2 2 3 4" xfId="15093" xr:uid="{F3D0F750-2EB3-4C84-89CC-9D3C2E5BC867}"/>
    <cellStyle name="Comma 3 2 2 2 3 4 2" xfId="22632" xr:uid="{D9C1E4C9-A9FE-424C-803E-9A1126DF367B}"/>
    <cellStyle name="Comma 3 2 2 2 3 4 3" xfId="47634" xr:uid="{FC016ACF-2E74-43A8-AE3B-850AC3EBE058}"/>
    <cellStyle name="Comma 3 2 2 2 3 4 4" xfId="51970" xr:uid="{0ECAADF3-5097-4E6B-8951-26C4250C21FB}"/>
    <cellStyle name="Comma 3 2 2 2 3 4 5" xfId="54986" xr:uid="{0139E49C-D85D-4970-A413-7F9D6029D9DB}"/>
    <cellStyle name="Comma 3 2 2 2 3 5" xfId="15580" xr:uid="{788F8EAB-9C15-4057-ADE1-1F0473CD5095}"/>
    <cellStyle name="Comma 3 2 2 2 3 5 2" xfId="23109" xr:uid="{4FAB8745-D912-4CB0-A884-D44791D761E5}"/>
    <cellStyle name="Comma 3 2 2 2 3 5 3" xfId="47944" xr:uid="{C98C7851-3EDB-4D5E-A781-919D437D82B9}"/>
    <cellStyle name="Comma 3 2 2 2 3 5 4" xfId="52447" xr:uid="{B8AECE73-1F79-4ABA-923E-1E827BA50B9E}"/>
    <cellStyle name="Comma 3 2 2 2 3 5 5" xfId="55463" xr:uid="{9257EA9D-BAE4-4879-874C-B1F464832F77}"/>
    <cellStyle name="Comma 3 2 2 2 3 6" xfId="12545" xr:uid="{E2FD77EA-A049-4853-A6D9-85965FEED5BE}"/>
    <cellStyle name="Comma 3 2 2 2 3 6 2" xfId="48047" xr:uid="{922FD073-C5B2-40C3-A54D-CEA6D560B226}"/>
    <cellStyle name="Comma 3 2 2 2 3 6 3" xfId="51016" xr:uid="{E7C43B71-C2FE-4A59-86FA-FCA0AAEC29BF}"/>
    <cellStyle name="Comma 3 2 2 2 3 6 4" xfId="54032" xr:uid="{88E181A5-3F5F-4A99-80A9-036D20B1FDD2}"/>
    <cellStyle name="Comma 3 2 2 2 3 7" xfId="46040" xr:uid="{7264D5BA-D8E9-4BA9-881F-2E0D513AB4FC}"/>
    <cellStyle name="Comma 3 2 2 2 3 8" xfId="49910" xr:uid="{B69D3CB4-E5D3-4498-9372-71836519AE88}"/>
    <cellStyle name="Comma 3 2 2 2 3 9" xfId="52926" xr:uid="{24816FC9-5760-40B7-BD7E-D25E626EB594}"/>
    <cellStyle name="Comma 3 2 2 2 4" xfId="10167" xr:uid="{3D4BA7AD-922D-4FE7-9969-0C458DDA4593}"/>
    <cellStyle name="Comma 3 2 2 2 4 2" xfId="10481" xr:uid="{545748B9-813C-44F2-BD67-6EDC18445C5D}"/>
    <cellStyle name="Comma 3 2 2 2 4 2 2" xfId="14873" xr:uid="{63B780DA-CA66-47ED-9AF2-D7054149E0F6}"/>
    <cellStyle name="Comma 3 2 2 2 4 2 2 2" xfId="22420" xr:uid="{24C480B5-CD9E-4994-92F5-BA65F7223A47}"/>
    <cellStyle name="Comma 3 2 2 2 4 2 2 3" xfId="46681" xr:uid="{D6B010AD-D5AF-48D2-AD21-1FF593146C6C}"/>
    <cellStyle name="Comma 3 2 2 2 4 2 2 4" xfId="51758" xr:uid="{6C6BE38B-B6EB-4B64-9CB4-F4AE8E7FBF91}"/>
    <cellStyle name="Comma 3 2 2 2 4 2 2 5" xfId="54774" xr:uid="{295FED1B-541D-4DA5-933A-1F0A393C4247}"/>
    <cellStyle name="Comma 3 2 2 2 4 2 3" xfId="15358" xr:uid="{76912D5E-EABD-4998-B544-1EF94F0AA83E}"/>
    <cellStyle name="Comma 3 2 2 2 4 2 3 2" xfId="22897" xr:uid="{A4BA92D3-E08C-442C-8396-6D025B079898}"/>
    <cellStyle name="Comma 3 2 2 2 4 2 3 3" xfId="46911" xr:uid="{E997A984-8075-429B-8DFB-45550A0E81A9}"/>
    <cellStyle name="Comma 3 2 2 2 4 2 3 4" xfId="52235" xr:uid="{546E6F98-9BAE-40D6-AE3B-7EBB554BE139}"/>
    <cellStyle name="Comma 3 2 2 2 4 2 3 5" xfId="55251" xr:uid="{6F97A27E-BA8A-49EB-8718-162126B16847}"/>
    <cellStyle name="Comma 3 2 2 2 4 2 4" xfId="15845" xr:uid="{6B501821-0509-4FE6-9E03-67EC715283F6}"/>
    <cellStyle name="Comma 3 2 2 2 4 2 4 2" xfId="23374" xr:uid="{8423DF0C-FDB4-4E41-9854-2BED36309488}"/>
    <cellStyle name="Comma 3 2 2 2 4 2 4 3" xfId="47850" xr:uid="{05584150-8C91-4A89-93D2-BB26FE9601BB}"/>
    <cellStyle name="Comma 3 2 2 2 4 2 4 4" xfId="52712" xr:uid="{35BD4801-70D0-40BF-A5EC-354A08A68D0B}"/>
    <cellStyle name="Comma 3 2 2 2 4 2 4 5" xfId="55728" xr:uid="{9F67F1F7-85E3-4656-B63D-A2E4D37EE252}"/>
    <cellStyle name="Comma 3 2 2 2 4 2 5" xfId="12934" xr:uid="{35A0D416-B6EC-4B71-8B7E-1C4E9EE65032}"/>
    <cellStyle name="Comma 3 2 2 2 4 2 5 2" xfId="48204" xr:uid="{A9D51342-446E-4F97-9207-99CA716EDF8C}"/>
    <cellStyle name="Comma 3 2 2 2 4 2 5 3" xfId="51281" xr:uid="{F7933E77-0076-4469-B245-AF0A395BCA00}"/>
    <cellStyle name="Comma 3 2 2 2 4 2 5 4" xfId="54297" xr:uid="{5E040C40-3832-421A-AD4C-4563B76F2984}"/>
    <cellStyle name="Comma 3 2 2 2 4 2 6" xfId="48161" xr:uid="{B26B23F7-4CBB-488E-BFAF-88549CAA17C1}"/>
    <cellStyle name="Comma 3 2 2 2 4 2 7" xfId="50175" xr:uid="{528435F8-7B9F-4BA4-B827-5E7A29E77C40}"/>
    <cellStyle name="Comma 3 2 2 2 4 2 8" xfId="53191" xr:uid="{15051B97-37DC-4813-844B-44492B33B547}"/>
    <cellStyle name="Comma 3 2 2 2 4 3" xfId="14661" xr:uid="{10C4C730-7FB6-45F8-936A-E0DC4C220AA0}"/>
    <cellStyle name="Comma 3 2 2 2 4 3 2" xfId="22208" xr:uid="{71DFC383-93C8-4956-A1E7-668DEE468532}"/>
    <cellStyle name="Comma 3 2 2 2 4 3 3" xfId="46679" xr:uid="{414E4F28-8611-4265-98EB-51E51524C838}"/>
    <cellStyle name="Comma 3 2 2 2 4 3 4" xfId="51546" xr:uid="{28D04ED0-BAD0-439F-AF6E-7791745C397B}"/>
    <cellStyle name="Comma 3 2 2 2 4 3 5" xfId="54562" xr:uid="{1FDC3681-7F6C-4D62-B8D8-0A51890A3A7A}"/>
    <cellStyle name="Comma 3 2 2 2 4 4" xfId="15146" xr:uid="{EDC3C2B6-2124-42E0-B1C0-9107872DE174}"/>
    <cellStyle name="Comma 3 2 2 2 4 4 2" xfId="22685" xr:uid="{ED8A8D3F-5ACD-4ADE-AAB2-5A882C811077}"/>
    <cellStyle name="Comma 3 2 2 2 4 4 3" xfId="48096" xr:uid="{0F08DE77-BC37-463D-8186-8E4B685B862D}"/>
    <cellStyle name="Comma 3 2 2 2 4 4 4" xfId="52023" xr:uid="{654B38FA-C68E-4C85-B1E4-6368E0924A2A}"/>
    <cellStyle name="Comma 3 2 2 2 4 4 5" xfId="55039" xr:uid="{EC284DF0-C491-4138-A560-C86B6683C90F}"/>
    <cellStyle name="Comma 3 2 2 2 4 5" xfId="15633" xr:uid="{9558D60C-7F7F-484C-A982-FE577CD80835}"/>
    <cellStyle name="Comma 3 2 2 2 4 5 2" xfId="23162" xr:uid="{646A4E1A-9948-42F1-90AD-2A0630D05EEC}"/>
    <cellStyle name="Comma 3 2 2 2 4 5 3" xfId="48367" xr:uid="{98D099B7-6988-4A7E-84C0-227111D74D79}"/>
    <cellStyle name="Comma 3 2 2 2 4 5 4" xfId="52500" xr:uid="{CB0D806D-1FF5-478F-9B12-07F65CBBACC2}"/>
    <cellStyle name="Comma 3 2 2 2 4 5 5" xfId="55516" xr:uid="{6AB13493-5A28-4286-8214-6D17331D7AE6}"/>
    <cellStyle name="Comma 3 2 2 2 4 6" xfId="12621" xr:uid="{9607DF36-0361-40B3-8C71-093FC2A4F354}"/>
    <cellStyle name="Comma 3 2 2 2 4 6 2" xfId="47092" xr:uid="{77A552A0-62EA-4679-8A76-D35E4C8BB95C}"/>
    <cellStyle name="Comma 3 2 2 2 4 6 3" xfId="51069" xr:uid="{8CC0EBA3-5374-41DD-85ED-785F491CCDB9}"/>
    <cellStyle name="Comma 3 2 2 2 4 6 4" xfId="54085" xr:uid="{BAB6E4D8-A0D7-41EF-82AF-083D151FBEE9}"/>
    <cellStyle name="Comma 3 2 2 2 4 7" xfId="47996" xr:uid="{5D916ED7-F554-4E5B-A728-FB37CF309B76}"/>
    <cellStyle name="Comma 3 2 2 2 4 8" xfId="49963" xr:uid="{A996FD72-A47C-482D-84E3-1F9C63FF9285}"/>
    <cellStyle name="Comma 3 2 2 2 4 9" xfId="52979" xr:uid="{8364AB6E-AF0D-4F5E-8F6A-3B797DBB8999}"/>
    <cellStyle name="Comma 3 2 2 2 5" xfId="10247" xr:uid="{FEDCCBE0-E336-4A76-A782-B5AC27F2C9DB}"/>
    <cellStyle name="Comma 3 2 2 2 5 2" xfId="14714" xr:uid="{D2BBD23F-45D1-40CD-8250-07C02ED3965B}"/>
    <cellStyle name="Comma 3 2 2 2 5 2 2" xfId="22261" xr:uid="{260A4143-5E62-4AC5-B094-7B85929BF9CC}"/>
    <cellStyle name="Comma 3 2 2 2 5 2 3" xfId="47332" xr:uid="{31F58142-CC68-4C88-BD3D-72543EFB585B}"/>
    <cellStyle name="Comma 3 2 2 2 5 2 4" xfId="51599" xr:uid="{83CA7309-9D58-4015-B316-16B1851A07AF}"/>
    <cellStyle name="Comma 3 2 2 2 5 2 5" xfId="54615" xr:uid="{5AAF10BE-070B-41F2-853A-6F64F8E5711D}"/>
    <cellStyle name="Comma 3 2 2 2 5 3" xfId="15199" xr:uid="{00245ACD-A966-4305-B19E-6880250F0F60}"/>
    <cellStyle name="Comma 3 2 2 2 5 3 2" xfId="22738" xr:uid="{3379AAD4-9D41-405E-9317-E71318E3734D}"/>
    <cellStyle name="Comma 3 2 2 2 5 3 3" xfId="47568" xr:uid="{27D7AB7D-9CC5-42D9-B294-679433F9BEC2}"/>
    <cellStyle name="Comma 3 2 2 2 5 3 4" xfId="52076" xr:uid="{C77708F1-2407-44E8-8112-2126998936F3}"/>
    <cellStyle name="Comma 3 2 2 2 5 3 5" xfId="55092" xr:uid="{7345E02F-2DC0-4D81-A9E3-6E6596EF2C46}"/>
    <cellStyle name="Comma 3 2 2 2 5 4" xfId="15686" xr:uid="{A7C310B2-DF71-4980-9FFD-5A2974DBD313}"/>
    <cellStyle name="Comma 3 2 2 2 5 4 2" xfId="23215" xr:uid="{420D01CC-AEE4-48F2-B882-42E067515D47}"/>
    <cellStyle name="Comma 3 2 2 2 5 4 3" xfId="47646" xr:uid="{32AD25B4-D402-4BEC-A855-7DDF26A2FB28}"/>
    <cellStyle name="Comma 3 2 2 2 5 4 4" xfId="52553" xr:uid="{136529C8-E5D5-4747-930D-E1147E466E21}"/>
    <cellStyle name="Comma 3 2 2 2 5 4 5" xfId="55569" xr:uid="{5FFA5F5C-6F68-4234-B05B-12FE43F97077}"/>
    <cellStyle name="Comma 3 2 2 2 5 5" xfId="12700" xr:uid="{C758D124-DCA9-42BD-8B2F-4A9FA4A62D12}"/>
    <cellStyle name="Comma 3 2 2 2 5 5 2" xfId="25061" xr:uid="{10FCF3AC-E8E2-4D47-B13B-5E6D3F11D413}"/>
    <cellStyle name="Comma 3 2 2 2 5 5 3" xfId="51122" xr:uid="{92151A28-ADEB-4149-B80E-0AAAAB340D3A}"/>
    <cellStyle name="Comma 3 2 2 2 5 5 4" xfId="54138" xr:uid="{6FB17C51-C5B8-439C-B166-CCD479E7BEEB}"/>
    <cellStyle name="Comma 3 2 2 2 5 6" xfId="48000" xr:uid="{6FB0C71F-5772-4B41-BDC3-B577052835E4}"/>
    <cellStyle name="Comma 3 2 2 2 5 7" xfId="50016" xr:uid="{24702676-4179-4969-9E60-7B02137A3C34}"/>
    <cellStyle name="Comma 3 2 2 2 5 8" xfId="53032" xr:uid="{B3CFBF58-09A1-4958-ADB4-53CB1DE96BF1}"/>
    <cellStyle name="Comma 3 2 2 2 6" xfId="10561" xr:uid="{8141ADD9-8511-4503-A969-3BAA5E8FD7A5}"/>
    <cellStyle name="Comma 3 2 2 2 6 2" xfId="14926" xr:uid="{B99E2762-168F-4BF7-A2A8-561EFF8788A7}"/>
    <cellStyle name="Comma 3 2 2 2 6 2 2" xfId="22473" xr:uid="{94BF4C70-4E5A-48A3-8443-0C1C9339FB68}"/>
    <cellStyle name="Comma 3 2 2 2 6 2 3" xfId="47371" xr:uid="{EC31F4A9-5CD4-4D6D-8215-A12B506A173C}"/>
    <cellStyle name="Comma 3 2 2 2 6 2 4" xfId="51811" xr:uid="{8E6EFDFE-535B-483C-9CBD-958A15B58006}"/>
    <cellStyle name="Comma 3 2 2 2 6 2 5" xfId="54827" xr:uid="{A98BC70E-BAAE-4A32-B59B-77016207A6B2}"/>
    <cellStyle name="Comma 3 2 2 2 6 3" xfId="15411" xr:uid="{47623028-A9C5-4FF2-8F9E-CF10D5CBECBB}"/>
    <cellStyle name="Comma 3 2 2 2 6 3 2" xfId="22950" xr:uid="{6161B99A-71ED-4943-A4BD-FECCA8E708F8}"/>
    <cellStyle name="Comma 3 2 2 2 6 3 3" xfId="48075" xr:uid="{0E78E7EE-6DF9-4C61-8E1F-91A89EDC8F40}"/>
    <cellStyle name="Comma 3 2 2 2 6 3 4" xfId="52288" xr:uid="{FEF08864-F357-4AAD-B56C-DA53F536B01C}"/>
    <cellStyle name="Comma 3 2 2 2 6 3 5" xfId="55304" xr:uid="{96BA9C4D-DB14-46AE-8795-BB15933EAC3E}"/>
    <cellStyle name="Comma 3 2 2 2 6 4" xfId="15899" xr:uid="{F73B677A-B8C2-4301-84BE-A28DF1EE6933}"/>
    <cellStyle name="Comma 3 2 2 2 6 4 2" xfId="23427" xr:uid="{5D2672AF-6924-4B32-8B3B-29C52C72BC0E}"/>
    <cellStyle name="Comma 3 2 2 2 6 4 3" xfId="47851" xr:uid="{E6265ABC-F7DB-4E43-8860-6A72BF2ECC09}"/>
    <cellStyle name="Comma 3 2 2 2 6 4 4" xfId="52765" xr:uid="{A97904BD-7193-4F76-A06D-36B0B514751C}"/>
    <cellStyle name="Comma 3 2 2 2 6 4 5" xfId="55781" xr:uid="{5192AD7F-8423-41F5-8DDF-2B891B20AAF6}"/>
    <cellStyle name="Comma 3 2 2 2 6 5" xfId="13014" xr:uid="{62141DE3-BEE1-4E9C-AC55-D0088762871F}"/>
    <cellStyle name="Comma 3 2 2 2 6 5 2" xfId="47416" xr:uid="{4A21D4B3-5E2C-47A4-A075-823689560A5B}"/>
    <cellStyle name="Comma 3 2 2 2 6 5 3" xfId="51334" xr:uid="{A47E1AD0-3CDC-4D98-876B-90FDE586D33F}"/>
    <cellStyle name="Comma 3 2 2 2 6 5 4" xfId="54350" xr:uid="{51E68D1B-D896-40EB-A9BF-DFE2A20D2C61}"/>
    <cellStyle name="Comma 3 2 2 2 6 6" xfId="46630" xr:uid="{657FAE97-931E-4BAC-BD22-3EC665E72FCB}"/>
    <cellStyle name="Comma 3 2 2 2 6 7" xfId="50228" xr:uid="{99230DBB-9302-4D6C-A533-21D8D074B67E}"/>
    <cellStyle name="Comma 3 2 2 2 6 8" xfId="53244" xr:uid="{5F0EB218-BE0B-47FB-BA60-C2F83FA81C49}"/>
    <cellStyle name="Comma 3 2 2 2 7" xfId="14502" xr:uid="{16D2382E-5AAA-4378-8F9E-D9D44A3DD86B}"/>
    <cellStyle name="Comma 3 2 2 2 7 2" xfId="22049" xr:uid="{A272928F-ABB7-4B28-B4AB-F2ECAE49F903}"/>
    <cellStyle name="Comma 3 2 2 2 7 3" xfId="33025" xr:uid="{02E59F15-486F-44B7-99D1-D76B817EFB95}"/>
    <cellStyle name="Comma 3 2 2 2 7 4" xfId="51387" xr:uid="{15F72F3D-1387-4FAB-AFB2-393C3E9F02FD}"/>
    <cellStyle name="Comma 3 2 2 2 7 5" xfId="54403" xr:uid="{E6D517D7-3B1C-46A7-B914-5223A8B54072}"/>
    <cellStyle name="Comma 3 2 2 2 8" xfId="14986" xr:uid="{9AC8FE11-A769-4050-8264-118CBCCE2CE3}"/>
    <cellStyle name="Comma 3 2 2 2 8 2" xfId="22526" xr:uid="{B0743509-4F3C-458E-A9C6-72975E7834C1}"/>
    <cellStyle name="Comma 3 2 2 2 8 3" xfId="32513" xr:uid="{4CA91C28-6381-49AC-9324-C1A3F42F2C9D}"/>
    <cellStyle name="Comma 3 2 2 2 8 4" xfId="51864" xr:uid="{6D9AE224-EABD-411B-B5EC-7F24DA8B7405}"/>
    <cellStyle name="Comma 3 2 2 2 8 5" xfId="54880" xr:uid="{3600F3A1-1194-436C-BBFE-92731F21C3AC}"/>
    <cellStyle name="Comma 3 2 2 2 9" xfId="15473" xr:uid="{3488FF39-0CC3-460F-94AB-D1A76543D331}"/>
    <cellStyle name="Comma 3 2 2 2 9 2" xfId="23003" xr:uid="{74EE8EC5-66E9-4878-A057-6F2DD29AA4C5}"/>
    <cellStyle name="Comma 3 2 2 2 9 3" xfId="48146" xr:uid="{894A4B80-922B-409D-8836-CC5B6AE0AF8E}"/>
    <cellStyle name="Comma 3 2 2 2 9 4" xfId="52341" xr:uid="{647A26B7-093D-49A8-8E0E-1CBFECABA101}"/>
    <cellStyle name="Comma 3 2 2 2 9 5" xfId="55357" xr:uid="{0844BF52-EA8C-464C-9872-3086BFAEA504}"/>
    <cellStyle name="Comma 3 2 2 3" xfId="9598" xr:uid="{09B05D12-8000-47FE-90D9-251BB24E08D2}"/>
    <cellStyle name="Comma 3 2 2 3 2" xfId="10292" xr:uid="{3DFB47BA-09F8-4D0C-BDD0-D7023C707517}"/>
    <cellStyle name="Comma 3 2 2 3 2 2" xfId="14753" xr:uid="{60111B6D-5CE3-43DE-859F-65B9FDF4280F}"/>
    <cellStyle name="Comma 3 2 2 3 2 2 2" xfId="22300" xr:uid="{7BB27D0E-2A7C-40EE-A454-6EFCB88F15FD}"/>
    <cellStyle name="Comma 3 2 2 3 2 2 3" xfId="46430" xr:uid="{49E155AE-C03C-420B-88D4-59091F8DE7E9}"/>
    <cellStyle name="Comma 3 2 2 3 2 2 4" xfId="51638" xr:uid="{4BE23321-9D8A-4609-9E82-790AF80D9931}"/>
    <cellStyle name="Comma 3 2 2 3 2 2 5" xfId="54654" xr:uid="{5DAD981F-8333-4332-A895-FA23D332F56D}"/>
    <cellStyle name="Comma 3 2 2 3 2 3" xfId="15238" xr:uid="{78CF676D-5FA2-43BA-A9AC-52840D87408D}"/>
    <cellStyle name="Comma 3 2 2 3 2 3 2" xfId="22777" xr:uid="{CCD043A5-B28E-4817-93D9-F3329E5C40E0}"/>
    <cellStyle name="Comma 3 2 2 3 2 3 3" xfId="46500" xr:uid="{F281AFB7-1D8A-4617-B122-A9339414465F}"/>
    <cellStyle name="Comma 3 2 2 3 2 3 4" xfId="52115" xr:uid="{ABD83F8A-42D3-481C-99AA-46CABF81CBAB}"/>
    <cellStyle name="Comma 3 2 2 3 2 3 5" xfId="55131" xr:uid="{188BAE42-710A-4E17-87A2-DE34C07BCE6E}"/>
    <cellStyle name="Comma 3 2 2 3 2 4" xfId="15725" xr:uid="{B6F3460B-4A48-44AB-9D2F-FC26DE30B685}"/>
    <cellStyle name="Comma 3 2 2 3 2 4 2" xfId="23254" xr:uid="{D4151D21-BE13-454A-A82C-CB4C55C76505}"/>
    <cellStyle name="Comma 3 2 2 3 2 4 3" xfId="46578" xr:uid="{6BB0C8D2-D2AB-4E5E-ABF5-CAB139086661}"/>
    <cellStyle name="Comma 3 2 2 3 2 4 4" xfId="52592" xr:uid="{A1FA2CDC-09E0-42B4-8336-2BE7CF48DA45}"/>
    <cellStyle name="Comma 3 2 2 3 2 4 5" xfId="55608" xr:uid="{5FBD222E-1088-41C4-806C-06DC3E0D05BF}"/>
    <cellStyle name="Comma 3 2 2 3 2 5" xfId="12745" xr:uid="{E0946F00-091F-450C-B9DA-D78B6082AE6D}"/>
    <cellStyle name="Comma 3 2 2 3 2 5 2" xfId="48438" xr:uid="{2B4293AF-EBD6-4545-B380-14555E1E79F1}"/>
    <cellStyle name="Comma 3 2 2 3 2 5 3" xfId="51161" xr:uid="{E2D6F0C5-05B7-426E-AD37-2924CA9328FF}"/>
    <cellStyle name="Comma 3 2 2 3 2 5 4" xfId="54177" xr:uid="{AE93DE9A-A8C4-4CCC-B294-206603752DE4}"/>
    <cellStyle name="Comma 3 2 2 3 2 6" xfId="47283" xr:uid="{ACF5DE09-7EE8-4DA7-B80B-FC5D61BC6F7E}"/>
    <cellStyle name="Comma 3 2 2 3 2 7" xfId="50055" xr:uid="{477C7DC6-87A1-47C7-BEDC-8340B1600BF7}"/>
    <cellStyle name="Comma 3 2 2 3 2 8" xfId="53071" xr:uid="{34DCEB80-C4D0-481A-A140-8E986FC3D0BD}"/>
    <cellStyle name="Comma 3 2 2 3 3" xfId="14541" xr:uid="{80010E3C-96B8-4118-99A4-5B3D5ADDCADF}"/>
    <cellStyle name="Comma 3 2 2 3 3 2" xfId="22088" xr:uid="{EC22ED08-E4B4-4B2E-890A-DA4DA485DC93}"/>
    <cellStyle name="Comma 3 2 2 3 3 3" xfId="24980" xr:uid="{AF501CD0-448B-4D47-A13A-7FBF12B0F4A7}"/>
    <cellStyle name="Comma 3 2 2 3 3 4" xfId="51426" xr:uid="{E5EE7217-61B6-4CAC-AC60-1C2ED6EA0340}"/>
    <cellStyle name="Comma 3 2 2 3 3 5" xfId="54442" xr:uid="{652B758D-4C03-4566-849A-01E48EE75D0B}"/>
    <cellStyle name="Comma 3 2 2 3 4" xfId="15025" xr:uid="{85EE1C01-67EF-4613-B477-DFBAB52B3F9D}"/>
    <cellStyle name="Comma 3 2 2 3 4 2" xfId="22565" xr:uid="{65A2A2DB-7373-42D5-9144-EA38D2B13BBD}"/>
    <cellStyle name="Comma 3 2 2 3 4 3" xfId="48353" xr:uid="{10D9CE32-BD95-433F-A6F1-5FF6ABAC1593}"/>
    <cellStyle name="Comma 3 2 2 3 4 4" xfId="51903" xr:uid="{CA79DA37-D35E-4056-BF04-A2852E19EA8D}"/>
    <cellStyle name="Comma 3 2 2 3 4 5" xfId="54919" xr:uid="{A4608EDA-A495-48D6-86E1-CEAC017010F6}"/>
    <cellStyle name="Comma 3 2 2 3 5" xfId="15512" xr:uid="{26038AA6-ADAF-46B9-8F2E-AA103CFDCCE8}"/>
    <cellStyle name="Comma 3 2 2 3 5 2" xfId="23042" xr:uid="{6B289180-3E04-403D-A912-E0E23BE74D8F}"/>
    <cellStyle name="Comma 3 2 2 3 5 3" xfId="46543" xr:uid="{88E817BA-5555-4986-B9C7-AB7A43CCE7BF}"/>
    <cellStyle name="Comma 3 2 2 3 5 4" xfId="52380" xr:uid="{08186274-DA0D-4B4B-8903-A62527F09710}"/>
    <cellStyle name="Comma 3 2 2 3 5 5" xfId="55396" xr:uid="{2D9D8B41-6634-4DA5-9388-F95C37106FA4}"/>
    <cellStyle name="Comma 3 2 2 3 6" xfId="12450" xr:uid="{DE45F256-2799-4C32-9B2C-9FFC487B7BCF}"/>
    <cellStyle name="Comma 3 2 2 3 6 2" xfId="47013" xr:uid="{450AB842-07D1-4FF3-B602-2B87772F1CEF}"/>
    <cellStyle name="Comma 3 2 2 3 6 3" xfId="50949" xr:uid="{88FC0DFB-C503-4215-B5DC-C648342C5E18}"/>
    <cellStyle name="Comma 3 2 2 3 6 4" xfId="53965" xr:uid="{A87D91CC-AF7E-4C43-95F5-E94440695BC4}"/>
    <cellStyle name="Comma 3 2 2 3 7" xfId="47114" xr:uid="{51AAF258-D21C-4127-A5A5-20D7D3BA14E4}"/>
    <cellStyle name="Comma 3 2 2 3 8" xfId="49843" xr:uid="{32DA9B56-2102-4BE2-AAEF-674C776AE0C5}"/>
    <cellStyle name="Comma 3 2 2 3 9" xfId="52859" xr:uid="{918491A9-6114-466A-8B24-318A93DFDA5E}"/>
    <cellStyle name="Comma 3 2 2 4" xfId="10058" xr:uid="{A5DF87DD-61AB-479B-BAD3-9CCAA8F8A512}"/>
    <cellStyle name="Comma 3 2 2 4 2" xfId="10366" xr:uid="{F37B2E5E-C4A3-4B89-A292-CA4636EBB9C5}"/>
    <cellStyle name="Comma 3 2 2 4 2 2" xfId="14806" xr:uid="{613DD49A-26CB-4756-9E9C-8F8635E77826}"/>
    <cellStyle name="Comma 3 2 2 4 2 2 2" xfId="22353" xr:uid="{6838C5CE-FE94-4089-9519-0FFF7B20242C}"/>
    <cellStyle name="Comma 3 2 2 4 2 2 3" xfId="32284" xr:uid="{5E9CDCFF-D8DA-4B73-9DD7-ABB21228E55D}"/>
    <cellStyle name="Comma 3 2 2 4 2 2 4" xfId="51691" xr:uid="{F3751406-2734-455A-977D-2EF2B77A489B}"/>
    <cellStyle name="Comma 3 2 2 4 2 2 5" xfId="54707" xr:uid="{78D43539-88FB-4857-BDA0-695E6DD18C24}"/>
    <cellStyle name="Comma 3 2 2 4 2 3" xfId="15291" xr:uid="{13011A58-0745-40EF-92D2-A1875CF4A641}"/>
    <cellStyle name="Comma 3 2 2 4 2 3 2" xfId="22830" xr:uid="{8E5769F0-D1B7-4487-AC43-26231844854D}"/>
    <cellStyle name="Comma 3 2 2 4 2 3 3" xfId="48126" xr:uid="{E1BB08CC-7DA7-4026-8BFB-1FA0078882CF}"/>
    <cellStyle name="Comma 3 2 2 4 2 3 4" xfId="52168" xr:uid="{6DFC8927-FE87-48EC-9964-C10176036B4B}"/>
    <cellStyle name="Comma 3 2 2 4 2 3 5" xfId="55184" xr:uid="{B516AD90-3F44-46D6-979B-0C4D71F23A4F}"/>
    <cellStyle name="Comma 3 2 2 4 2 4" xfId="15778" xr:uid="{6ECD9277-5D74-4347-9C0C-28DA23A1D144}"/>
    <cellStyle name="Comma 3 2 2 4 2 4 2" xfId="23307" xr:uid="{26ACC468-8E50-4BEF-AF2F-AD912ABACC60}"/>
    <cellStyle name="Comma 3 2 2 4 2 4 3" xfId="48370" xr:uid="{6AB63CCB-4D6A-427B-90B8-5800A6ED03E2}"/>
    <cellStyle name="Comma 3 2 2 4 2 4 4" xfId="52645" xr:uid="{5BB03434-1889-4D6E-9A4F-2E64F6790CC5}"/>
    <cellStyle name="Comma 3 2 2 4 2 4 5" xfId="55661" xr:uid="{7AB16830-6C08-4806-A4D1-9003E26CD966}"/>
    <cellStyle name="Comma 3 2 2 4 2 5" xfId="12819" xr:uid="{1AB0C3C7-B8B9-4A87-B55B-BC2BB9DA7360}"/>
    <cellStyle name="Comma 3 2 2 4 2 5 2" xfId="47764" xr:uid="{2A6CF7F0-6DC1-41AD-BBCA-42D1C54BD2F4}"/>
    <cellStyle name="Comma 3 2 2 4 2 5 3" xfId="51214" xr:uid="{5E86FE0C-7A57-4F5A-9413-A1EAE28D55EF}"/>
    <cellStyle name="Comma 3 2 2 4 2 5 4" xfId="54230" xr:uid="{7EFD7A9B-E9BD-434B-8701-C2010AB102CA}"/>
    <cellStyle name="Comma 3 2 2 4 2 6" xfId="46101" xr:uid="{F399765E-55D0-42A6-85E6-0D79356AED73}"/>
    <cellStyle name="Comma 3 2 2 4 2 7" xfId="50108" xr:uid="{BCA56EA0-68E1-4FE0-993C-651A8F30F28B}"/>
    <cellStyle name="Comma 3 2 2 4 2 8" xfId="53124" xr:uid="{1ACE6736-CF18-44D3-9558-9BBDB1FEBC20}"/>
    <cellStyle name="Comma 3 2 2 4 3" xfId="14594" xr:uid="{B0B70332-50E4-4A7C-89A7-1D6532127D6F}"/>
    <cellStyle name="Comma 3 2 2 4 3 2" xfId="22141" xr:uid="{6011F0AB-37B4-4807-B454-0C806C10CFE8}"/>
    <cellStyle name="Comma 3 2 2 4 3 3" xfId="46840" xr:uid="{2897ED8F-65C8-4BB4-9AB2-B1AEFF94FE0E}"/>
    <cellStyle name="Comma 3 2 2 4 3 4" xfId="51479" xr:uid="{C354C2C2-ACDD-4BF2-86DC-8B48C3BFC2CA}"/>
    <cellStyle name="Comma 3 2 2 4 3 5" xfId="54495" xr:uid="{A5205083-EABB-440C-B853-7CDA672B43E2}"/>
    <cellStyle name="Comma 3 2 2 4 4" xfId="15079" xr:uid="{20991A78-E846-44FD-8FE1-362359D2788B}"/>
    <cellStyle name="Comma 3 2 2 4 4 2" xfId="22618" xr:uid="{DA2D12E3-CEE5-4513-975D-55E771E3D169}"/>
    <cellStyle name="Comma 3 2 2 4 4 3" xfId="47390" xr:uid="{F23299B9-C65E-4699-A133-87DB92F2473B}"/>
    <cellStyle name="Comma 3 2 2 4 4 4" xfId="51956" xr:uid="{1A976BEC-CFB4-4D68-9129-E72A15540B9E}"/>
    <cellStyle name="Comma 3 2 2 4 4 5" xfId="54972" xr:uid="{A45F8C68-C928-4DB9-9C03-27C1BB538CC5}"/>
    <cellStyle name="Comma 3 2 2 4 5" xfId="15566" xr:uid="{592288C0-B674-44F0-ABB2-7D1AA96F56AE}"/>
    <cellStyle name="Comma 3 2 2 4 5 2" xfId="23095" xr:uid="{B9C4C428-870F-42FA-8BA1-94E7FB89C1E2}"/>
    <cellStyle name="Comma 3 2 2 4 5 3" xfId="46936" xr:uid="{EF34C682-2280-45DC-8F4D-D00FA30C9816}"/>
    <cellStyle name="Comma 3 2 2 4 5 4" xfId="52433" xr:uid="{B3320DF9-42CA-4AAB-877A-EAF2F218ED22}"/>
    <cellStyle name="Comma 3 2 2 4 5 5" xfId="55449" xr:uid="{89AC7E15-740D-422F-9F57-A8B3C73E3E72}"/>
    <cellStyle name="Comma 3 2 2 4 6" xfId="12517" xr:uid="{D8A4538D-4B84-44AE-A77C-76327B6890A4}"/>
    <cellStyle name="Comma 3 2 2 4 6 2" xfId="46317" xr:uid="{22464992-75A9-489B-B841-AD47440793E4}"/>
    <cellStyle name="Comma 3 2 2 4 6 3" xfId="51002" xr:uid="{2E8865F6-E7E7-4557-B1F4-A1E482888E4A}"/>
    <cellStyle name="Comma 3 2 2 4 6 4" xfId="54018" xr:uid="{215BEF48-F736-4CB1-BFA9-C1DFB4A6F85C}"/>
    <cellStyle name="Comma 3 2 2 4 7" xfId="25383" xr:uid="{CD7A3539-8907-4579-8B03-8BAA2841DD6E}"/>
    <cellStyle name="Comma 3 2 2 4 8" xfId="49896" xr:uid="{36C60A6E-2E70-491D-B19A-A739FBD70F20}"/>
    <cellStyle name="Comma 3 2 2 4 9" xfId="52912" xr:uid="{AFC752DD-5889-491A-846C-0A35EB9024FB}"/>
    <cellStyle name="Comma 3 2 2 5" xfId="10132" xr:uid="{6302CA91-F478-46D0-AF15-57ACCC6C2A08}"/>
    <cellStyle name="Comma 3 2 2 5 2" xfId="10446" xr:uid="{CE4D8F13-F2DC-45FE-9AD6-D1C0AF8DA731}"/>
    <cellStyle name="Comma 3 2 2 5 2 2" xfId="14859" xr:uid="{4BA676A3-2CAB-42BA-8EB4-C0844ED5E79E}"/>
    <cellStyle name="Comma 3 2 2 5 2 2 2" xfId="22406" xr:uid="{B5C5462D-75B4-40D8-8380-CFC6438CEFDB}"/>
    <cellStyle name="Comma 3 2 2 5 2 2 3" xfId="46447" xr:uid="{DC8D3F50-2505-42C1-86F3-5FFA00F8785E}"/>
    <cellStyle name="Comma 3 2 2 5 2 2 4" xfId="51744" xr:uid="{4DC8B9E5-7937-4035-93E2-CB06FCDB53F0}"/>
    <cellStyle name="Comma 3 2 2 5 2 2 5" xfId="54760" xr:uid="{0CA68980-FF68-47B5-AF54-450B0D25A4AE}"/>
    <cellStyle name="Comma 3 2 2 5 2 3" xfId="15344" xr:uid="{1C1A42E2-757C-4F9B-821D-372E8F215A84}"/>
    <cellStyle name="Comma 3 2 2 5 2 3 2" xfId="22883" xr:uid="{C799601D-F2DC-4C20-914A-05B3572E20AB}"/>
    <cellStyle name="Comma 3 2 2 5 2 3 3" xfId="47432" xr:uid="{6F0F4C78-8461-4D7E-8ACC-70F5759349B5}"/>
    <cellStyle name="Comma 3 2 2 5 2 3 4" xfId="52221" xr:uid="{407B1003-076B-475A-959F-82445DD62755}"/>
    <cellStyle name="Comma 3 2 2 5 2 3 5" xfId="55237" xr:uid="{09806E51-1B67-4874-8FDB-6A14A12B6C60}"/>
    <cellStyle name="Comma 3 2 2 5 2 4" xfId="15831" xr:uid="{FB821E0C-5CE9-4EB4-BDA4-A66616984EB2}"/>
    <cellStyle name="Comma 3 2 2 5 2 4 2" xfId="23360" xr:uid="{43912178-9449-4BEE-A102-28BF3A5FBC43}"/>
    <cellStyle name="Comma 3 2 2 5 2 4 3" xfId="24430" xr:uid="{E68B86ED-75E7-435E-8139-E25B3314FC61}"/>
    <cellStyle name="Comma 3 2 2 5 2 4 4" xfId="52698" xr:uid="{4A73EDA1-80EF-48E6-BF6D-D2ABAAC42E90}"/>
    <cellStyle name="Comma 3 2 2 5 2 4 5" xfId="55714" xr:uid="{B98E56FC-8F74-4991-B593-104EB8639E0F}"/>
    <cellStyle name="Comma 3 2 2 5 2 5" xfId="12899" xr:uid="{4229E837-75D9-4FAC-B414-A9FCC00CA74C}"/>
    <cellStyle name="Comma 3 2 2 5 2 5 2" xfId="46808" xr:uid="{580B9AE4-4A2D-4832-BA40-AB63E4FD717F}"/>
    <cellStyle name="Comma 3 2 2 5 2 5 3" xfId="51267" xr:uid="{C4794CBD-BE4B-4B15-9C19-A6A125754B3F}"/>
    <cellStyle name="Comma 3 2 2 5 2 5 4" xfId="54283" xr:uid="{A633E349-CF87-4AD3-BF7C-04E4297EDB8A}"/>
    <cellStyle name="Comma 3 2 2 5 2 6" xfId="46123" xr:uid="{B0F50DD4-BB84-4077-B4C9-468DC296ECE6}"/>
    <cellStyle name="Comma 3 2 2 5 2 7" xfId="50161" xr:uid="{3299088E-9726-4203-823C-2C6B670F5941}"/>
    <cellStyle name="Comma 3 2 2 5 2 8" xfId="53177" xr:uid="{C72DD6CA-88D3-4D82-B369-C4F23B85ECFE}"/>
    <cellStyle name="Comma 3 2 2 5 3" xfId="14647" xr:uid="{36A211E7-6A3E-4BA4-BC7D-D3F7B7275D61}"/>
    <cellStyle name="Comma 3 2 2 5 3 2" xfId="22194" xr:uid="{6B37611F-2BFA-46AD-9FB5-C2478C9772AE}"/>
    <cellStyle name="Comma 3 2 2 5 3 3" xfId="34486" xr:uid="{940E8F12-E5B2-45D5-B138-9D69AC063227}"/>
    <cellStyle name="Comma 3 2 2 5 3 4" xfId="51532" xr:uid="{6B925A6B-9819-4459-BBA2-BE26389E0472}"/>
    <cellStyle name="Comma 3 2 2 5 3 5" xfId="54548" xr:uid="{E06BA94E-53D1-4159-81A8-F7BAA9E6F20C}"/>
    <cellStyle name="Comma 3 2 2 5 4" xfId="15132" xr:uid="{21AA32D5-4363-4A34-A948-DE91C56A9381}"/>
    <cellStyle name="Comma 3 2 2 5 4 2" xfId="22671" xr:uid="{F2B8D8B5-F79B-45D2-9917-A8E90AE76AA4}"/>
    <cellStyle name="Comma 3 2 2 5 4 3" xfId="48581" xr:uid="{5F627C29-4648-484B-AF08-8A598DF28B25}"/>
    <cellStyle name="Comma 3 2 2 5 4 4" xfId="52009" xr:uid="{55E59FC4-430E-4FEA-9204-B3911B69DE1D}"/>
    <cellStyle name="Comma 3 2 2 5 4 5" xfId="55025" xr:uid="{52EF2A79-274E-474A-9C86-B9BB533DF62B}"/>
    <cellStyle name="Comma 3 2 2 5 5" xfId="15619" xr:uid="{1F6B2609-A9E1-4031-B8D2-BC8BEEC38161}"/>
    <cellStyle name="Comma 3 2 2 5 5 2" xfId="23148" xr:uid="{2FFB3B5D-4970-4C17-9E46-F5461610F18C}"/>
    <cellStyle name="Comma 3 2 2 5 5 3" xfId="48421" xr:uid="{5A608AAD-5F38-419B-AE4C-75475C34F186}"/>
    <cellStyle name="Comma 3 2 2 5 5 4" xfId="52486" xr:uid="{25F5C881-B92E-451B-B177-8A929BE3B5EF}"/>
    <cellStyle name="Comma 3 2 2 5 5 5" xfId="55502" xr:uid="{D8D79811-98B8-4CC0-A1A4-AED445716E0A}"/>
    <cellStyle name="Comma 3 2 2 5 6" xfId="12589" xr:uid="{2BC99FFA-16B6-47B9-81A6-4484FB83EFA7}"/>
    <cellStyle name="Comma 3 2 2 5 6 2" xfId="47564" xr:uid="{A2A6E88C-66BF-4334-8EB9-725C70C9D051}"/>
    <cellStyle name="Comma 3 2 2 5 6 3" xfId="51055" xr:uid="{63EC6278-341B-4235-90EB-0BBCE504825F}"/>
    <cellStyle name="Comma 3 2 2 5 6 4" xfId="54071" xr:uid="{1985DAB9-8711-49AA-8886-A701996C3162}"/>
    <cellStyle name="Comma 3 2 2 5 7" xfId="46054" xr:uid="{CFD9B3B6-5DA7-4A3A-B56A-ACA452501025}"/>
    <cellStyle name="Comma 3 2 2 5 8" xfId="49949" xr:uid="{DBCC4C5B-E7AA-463B-AB8E-26152B3B6D83}"/>
    <cellStyle name="Comma 3 2 2 5 9" xfId="52965" xr:uid="{F0EC81B5-7BFF-4D91-8EEF-68B9F98A9757}"/>
    <cellStyle name="Comma 3 2 2 6" xfId="10212" xr:uid="{5AA6C29E-0260-414B-8E69-76CEAB29E6E0}"/>
    <cellStyle name="Comma 3 2 2 6 2" xfId="14700" xr:uid="{5B54C1FE-AC7E-4659-A640-8681DD6691B1}"/>
    <cellStyle name="Comma 3 2 2 6 2 2" xfId="22247" xr:uid="{35C668AC-65AF-4368-84A8-F00526148FB8}"/>
    <cellStyle name="Comma 3 2 2 6 2 3" xfId="46850" xr:uid="{F0BC3C06-14F8-47C2-BF9B-6B97E0A405EF}"/>
    <cellStyle name="Comma 3 2 2 6 2 4" xfId="51585" xr:uid="{9EFE5A15-4F1A-47C8-BE5E-69FD10924237}"/>
    <cellStyle name="Comma 3 2 2 6 2 5" xfId="54601" xr:uid="{3CC1BA97-1B13-44C3-B4B0-6C99DC7C3C26}"/>
    <cellStyle name="Comma 3 2 2 6 3" xfId="15185" xr:uid="{27D869FD-C87B-4FC7-9D44-498E5D00E707}"/>
    <cellStyle name="Comma 3 2 2 6 3 2" xfId="22724" xr:uid="{39993D73-76D0-4CD5-895E-C747C92D15FA}"/>
    <cellStyle name="Comma 3 2 2 6 3 3" xfId="46689" xr:uid="{401880E1-242E-4054-B481-55C0D4B6CD5A}"/>
    <cellStyle name="Comma 3 2 2 6 3 4" xfId="52062" xr:uid="{D23B95F6-95AB-4555-9702-4E9901BA1BFB}"/>
    <cellStyle name="Comma 3 2 2 6 3 5" xfId="55078" xr:uid="{C27B9AB0-3BCC-4F37-A304-053F8D55E190}"/>
    <cellStyle name="Comma 3 2 2 6 4" xfId="15672" xr:uid="{D05C04A6-BC3E-45DB-A3FB-787DB18C59D0}"/>
    <cellStyle name="Comma 3 2 2 6 4 2" xfId="23201" xr:uid="{2667D363-F023-4BDC-81FF-B15C1AA24E0B}"/>
    <cellStyle name="Comma 3 2 2 6 4 3" xfId="46951" xr:uid="{479A3996-29A1-42ED-BA10-931FE200DA8B}"/>
    <cellStyle name="Comma 3 2 2 6 4 4" xfId="52539" xr:uid="{77366F69-CBF4-42F3-AB49-1E9B17C02F9A}"/>
    <cellStyle name="Comma 3 2 2 6 4 5" xfId="55555" xr:uid="{D73E957F-7B40-4712-9BD9-ADAEA97D4C68}"/>
    <cellStyle name="Comma 3 2 2 6 5" xfId="12665" xr:uid="{9A3FF69A-84AD-447C-9051-45D1F3115203}"/>
    <cellStyle name="Comma 3 2 2 6 5 2" xfId="47167" xr:uid="{27439E0D-4B4C-457A-B34C-1384FFAA14FE}"/>
    <cellStyle name="Comma 3 2 2 6 5 3" xfId="51108" xr:uid="{47185D1F-A9DD-4050-930F-8BFED5D41C80}"/>
    <cellStyle name="Comma 3 2 2 6 5 4" xfId="54124" xr:uid="{B9200481-7549-4FAE-AD28-9823E7338F3C}"/>
    <cellStyle name="Comma 3 2 2 6 6" xfId="46066" xr:uid="{0BE63BDC-66CF-4D63-9D65-6FC3566108BC}"/>
    <cellStyle name="Comma 3 2 2 6 7" xfId="50002" xr:uid="{849E24EA-D714-476F-8E2D-2E9CA67A4D53}"/>
    <cellStyle name="Comma 3 2 2 6 8" xfId="53018" xr:uid="{42D5B5EB-4E5D-48BE-8727-876535B9981D}"/>
    <cellStyle name="Comma 3 2 2 7" xfId="10526" xr:uid="{AD1181B1-ED95-45B3-9948-2EE194AD37D3}"/>
    <cellStyle name="Comma 3 2 2 7 2" xfId="14912" xr:uid="{1C9FDFE6-0957-403A-BC70-A298CDAB429F}"/>
    <cellStyle name="Comma 3 2 2 7 2 2" xfId="22459" xr:uid="{C51DAC77-E882-4583-AA1A-D8D4E282F78E}"/>
    <cellStyle name="Comma 3 2 2 7 2 3" xfId="47744" xr:uid="{2EFA336D-A853-47E6-BFB4-B2030D8CC8F0}"/>
    <cellStyle name="Comma 3 2 2 7 2 4" xfId="51797" xr:uid="{4D9255B7-3C8B-486F-B931-0F704CCE9CB0}"/>
    <cellStyle name="Comma 3 2 2 7 2 5" xfId="54813" xr:uid="{4E9FBA86-65C4-4914-8B19-524E25C92205}"/>
    <cellStyle name="Comma 3 2 2 7 3" xfId="15397" xr:uid="{1020E763-4CCD-4F3D-8C5E-615402DC2972}"/>
    <cellStyle name="Comma 3 2 2 7 3 2" xfId="22936" xr:uid="{D5531CCE-B875-4BFE-B368-C3B66FD9870C}"/>
    <cellStyle name="Comma 3 2 2 7 3 3" xfId="48128" xr:uid="{F344AD2E-7A27-458F-A9A3-6A845023D9F2}"/>
    <cellStyle name="Comma 3 2 2 7 3 4" xfId="52274" xr:uid="{3D8DB2F9-61DF-42F1-B41F-76241C75F83A}"/>
    <cellStyle name="Comma 3 2 2 7 3 5" xfId="55290" xr:uid="{1265EBD1-C71D-47AD-B60E-D4546105BA9A}"/>
    <cellStyle name="Comma 3 2 2 7 4" xfId="15884" xr:uid="{B0B99E4A-BF51-45E0-B32B-6C308C531DF3}"/>
    <cellStyle name="Comma 3 2 2 7 4 2" xfId="23413" xr:uid="{E93223FE-1EC7-42C3-B76E-5AD729F6211C}"/>
    <cellStyle name="Comma 3 2 2 7 4 3" xfId="47505" xr:uid="{4CEAEDA3-4213-47DB-BE22-2FA72C07C956}"/>
    <cellStyle name="Comma 3 2 2 7 4 4" xfId="52751" xr:uid="{62286AC6-ECED-4AC6-8B08-5F3725FFF89B}"/>
    <cellStyle name="Comma 3 2 2 7 4 5" xfId="55767" xr:uid="{B5904F77-6DC1-4A42-B29C-74B2955E2267}"/>
    <cellStyle name="Comma 3 2 2 7 5" xfId="12979" xr:uid="{3EB1070F-06A4-462A-A6B4-2E7DD99545BF}"/>
    <cellStyle name="Comma 3 2 2 7 5 2" xfId="46379" xr:uid="{274F74DE-5FC4-470C-BFA3-30AA6F49C4EA}"/>
    <cellStyle name="Comma 3 2 2 7 5 3" xfId="51320" xr:uid="{9A6AE347-E84D-4891-8772-4566EC727096}"/>
    <cellStyle name="Comma 3 2 2 7 5 4" xfId="54336" xr:uid="{2892B31F-0988-4FCC-97C0-4499A578830D}"/>
    <cellStyle name="Comma 3 2 2 7 6" xfId="35987" xr:uid="{F43F94CA-D16C-4E30-B2E5-133740B41564}"/>
    <cellStyle name="Comma 3 2 2 7 7" xfId="50214" xr:uid="{0A813C73-3CB4-4453-9F10-CD78E32759E9}"/>
    <cellStyle name="Comma 3 2 2 7 8" xfId="53230" xr:uid="{BE411CD6-A8D7-41A4-9E54-7C6743808670}"/>
    <cellStyle name="Comma 3 2 2 8" xfId="14488" xr:uid="{87FBD247-E222-44F6-85C1-A66BB4B49BFD}"/>
    <cellStyle name="Comma 3 2 2 8 2" xfId="22035" xr:uid="{EF13034B-29F1-4824-86CB-3F4790023A08}"/>
    <cellStyle name="Comma 3 2 2 8 3" xfId="46827" xr:uid="{A4470FAD-EA94-4661-94F6-759285A5FB83}"/>
    <cellStyle name="Comma 3 2 2 8 4" xfId="51373" xr:uid="{F7AF8238-4036-4DDB-8BFF-E54F9A90A7E3}"/>
    <cellStyle name="Comma 3 2 2 8 5" xfId="54389" xr:uid="{42987B15-37F7-4CBA-B508-B1BB3AA05D2F}"/>
    <cellStyle name="Comma 3 2 2 9" xfId="14968" xr:uid="{8B69CD80-8E12-416E-A143-CCB33D99CC88}"/>
    <cellStyle name="Comma 3 2 2 9 2" xfId="22512" xr:uid="{AE6C467B-4BDA-45E3-974D-0C04E56D6E3C}"/>
    <cellStyle name="Comma 3 2 2 9 3" xfId="48068" xr:uid="{544BADA6-FEC7-4A8F-AF00-DE1910B52231}"/>
    <cellStyle name="Comma 3 2 2 9 4" xfId="51850" xr:uid="{2837C514-23DB-4C40-B4FF-B9AA894BC471}"/>
    <cellStyle name="Comma 3 2 2 9 5" xfId="54866" xr:uid="{8756CF39-65A0-4400-AE7F-1E3B49EAB8D8}"/>
    <cellStyle name="Comma 3 2 3" xfId="4540" xr:uid="{E717803F-F25D-4CA2-8E0A-56246ED101EB}"/>
    <cellStyle name="Comma 3 2 3 10" xfId="15474" xr:uid="{BBD225D2-6AB7-466C-BC6F-E47CF286E085}"/>
    <cellStyle name="Comma 3 2 3 10 2" xfId="23004" xr:uid="{963C54C4-58B3-4FD5-9D3B-8FBDD5138421}"/>
    <cellStyle name="Comma 3 2 3 10 3" xfId="23837" xr:uid="{964E2F4D-EB49-4C9A-8E8D-5E86E3B063EB}"/>
    <cellStyle name="Comma 3 2 3 10 4" xfId="52342" xr:uid="{A75AE7D5-9DC6-4BB0-B148-EA5396D8B7B1}"/>
    <cellStyle name="Comma 3 2 3 10 5" xfId="55358" xr:uid="{6A3FC6B5-CD5B-424D-975A-2A39E58C557F}"/>
    <cellStyle name="Comma 3 2 3 11" xfId="11495" xr:uid="{BAC39D7A-56A8-4A8B-83A3-D5844FBD0DA9}"/>
    <cellStyle name="Comma 3 2 3 11 2" xfId="21699" xr:uid="{FEC0CE67-4E35-4AC1-B8CC-0BFF8AE07C03}"/>
    <cellStyle name="Comma 3 2 3 11 3" xfId="24760" xr:uid="{963249ED-4499-4905-8E3C-067C2E3ADB1D}"/>
    <cellStyle name="Comma 3 2 3 11 4" xfId="50719" xr:uid="{98A1F0FF-9D05-4187-8A94-128771820F6A}"/>
    <cellStyle name="Comma 3 2 3 11 5" xfId="53735" xr:uid="{7FCD745E-678B-488D-B296-7C74C1208170}"/>
    <cellStyle name="Comma 3 2 3 12" xfId="23740" xr:uid="{40F51FBD-F3FF-47F6-A6AB-3F9F4770484C}"/>
    <cellStyle name="Comma 3 2 3 13" xfId="48623" xr:uid="{CFD07B57-4BDD-45FF-8B59-D78368F05BBA}"/>
    <cellStyle name="Comma 3 2 3 14" xfId="49531" xr:uid="{BB55A240-0DCE-4D51-BAFD-106E41A16FBD}"/>
    <cellStyle name="Comma 3 2 3 15" xfId="49805" xr:uid="{9629678C-098B-4873-BAF7-13CEEE1ECC2A}"/>
    <cellStyle name="Comma 3 2 3 16" xfId="52820" xr:uid="{A67AF94C-C3CF-45DB-9E02-6D1776C8E366}"/>
    <cellStyle name="Comma 3 2 3 17" xfId="8928" xr:uid="{61B9CC70-94E9-4A6C-BB4A-184E022E91E8}"/>
    <cellStyle name="Comma 3 2 3 2" xfId="10015" xr:uid="{D612F5C7-A0D3-44C7-A693-C360C8002DBB}"/>
    <cellStyle name="Comma 3 2 3 2 2" xfId="10323" xr:uid="{1F489179-B2F8-4855-B2AC-0D5E0BF4BB5B}"/>
    <cellStyle name="Comma 3 2 3 2 2 2" xfId="14768" xr:uid="{BFCA319E-9D96-4447-A3D2-941C668704C8}"/>
    <cellStyle name="Comma 3 2 3 2 2 2 2" xfId="22315" xr:uid="{E35E0C63-B8C1-4F2C-825A-8CFF8A88DC8C}"/>
    <cellStyle name="Comma 3 2 3 2 2 2 3" xfId="48035" xr:uid="{8A1DF83E-2B7E-45FC-A099-6B3E43B04EF7}"/>
    <cellStyle name="Comma 3 2 3 2 2 2 4" xfId="51653" xr:uid="{C829E1CE-B026-40CE-82DE-AD0F8D8F5770}"/>
    <cellStyle name="Comma 3 2 3 2 2 2 5" xfId="54669" xr:uid="{9901CC78-E80C-4086-9DAC-ED32FFDAC0F1}"/>
    <cellStyle name="Comma 3 2 3 2 2 3" xfId="15253" xr:uid="{5AC23BFD-C120-4157-902D-203E8D776FB8}"/>
    <cellStyle name="Comma 3 2 3 2 2 3 2" xfId="22792" xr:uid="{E3F6F54B-71DC-4D09-977A-BFB07A82DAC7}"/>
    <cellStyle name="Comma 3 2 3 2 2 3 3" xfId="47697" xr:uid="{183BF8AD-BC98-43FE-AC4B-AE6921D03F7C}"/>
    <cellStyle name="Comma 3 2 3 2 2 3 4" xfId="52130" xr:uid="{2DD6DBAF-B50D-448A-9CDE-214158845C2D}"/>
    <cellStyle name="Comma 3 2 3 2 2 3 5" xfId="55146" xr:uid="{CB34A80F-791D-441E-A2F0-5BB088A7D471}"/>
    <cellStyle name="Comma 3 2 3 2 2 4" xfId="15740" xr:uid="{569109E6-6DBC-40C3-86F1-B143F1D12573}"/>
    <cellStyle name="Comma 3 2 3 2 2 4 2" xfId="23269" xr:uid="{F4925221-9D2E-4C1D-86CD-F66F207A7F18}"/>
    <cellStyle name="Comma 3 2 3 2 2 4 3" xfId="46959" xr:uid="{3D2BCA4E-F345-42DE-8C64-E748800AD3D3}"/>
    <cellStyle name="Comma 3 2 3 2 2 4 4" xfId="52607" xr:uid="{AE8792C2-3E89-4878-B3B8-CBA8126844AB}"/>
    <cellStyle name="Comma 3 2 3 2 2 4 5" xfId="55623" xr:uid="{B1615274-5F36-4E44-9BE7-3B87C5A52346}"/>
    <cellStyle name="Comma 3 2 3 2 2 5" xfId="12776" xr:uid="{CE6A774A-8C85-4B2E-85A9-46DD12DBD358}"/>
    <cellStyle name="Comma 3 2 3 2 2 5 2" xfId="47762" xr:uid="{A10E765E-E464-453E-B559-695A87826DAD}"/>
    <cellStyle name="Comma 3 2 3 2 2 5 3" xfId="51176" xr:uid="{BE01D3E3-D535-4B7D-AF4D-4AD24C787C2B}"/>
    <cellStyle name="Comma 3 2 3 2 2 5 4" xfId="54192" xr:uid="{64C99D11-4E33-4D55-8372-32EF0A458625}"/>
    <cellStyle name="Comma 3 2 3 2 2 6" xfId="32474" xr:uid="{0285E2A6-BAC5-424D-AD11-F7ED5AEA24F8}"/>
    <cellStyle name="Comma 3 2 3 2 2 7" xfId="50070" xr:uid="{77270C9B-4AB1-4303-B902-118984C9BD3C}"/>
    <cellStyle name="Comma 3 2 3 2 2 8" xfId="53086" xr:uid="{3609F151-BDBD-43BC-AF0F-404A0F20ABF3}"/>
    <cellStyle name="Comma 3 2 3 2 3" xfId="14556" xr:uid="{7C777A73-8D19-4DC9-9DAD-6EA0EC94DABA}"/>
    <cellStyle name="Comma 3 2 3 2 3 2" xfId="22103" xr:uid="{EB1FD2E5-A721-4EC1-9226-C7D2F9081C44}"/>
    <cellStyle name="Comma 3 2 3 2 3 3" xfId="48347" xr:uid="{E4166A18-C085-4559-A719-E06E35869582}"/>
    <cellStyle name="Comma 3 2 3 2 3 4" xfId="51441" xr:uid="{0AA9D3C1-4E5D-4779-9ACD-D19FD7F09A82}"/>
    <cellStyle name="Comma 3 2 3 2 3 5" xfId="54457" xr:uid="{16E78C2F-32D6-4501-A687-1274F4959AE3}"/>
    <cellStyle name="Comma 3 2 3 2 4" xfId="15040" xr:uid="{01A0D0C3-1F1E-403D-9AF8-1F8EFE87E5D4}"/>
    <cellStyle name="Comma 3 2 3 2 4 2" xfId="22580" xr:uid="{055E3789-B382-4FEE-A4F6-D73F77167614}"/>
    <cellStyle name="Comma 3 2 3 2 4 3" xfId="48384" xr:uid="{83909057-C7A8-4867-839F-C4D74F9F4CE7}"/>
    <cellStyle name="Comma 3 2 3 2 4 4" xfId="51918" xr:uid="{990F9980-D9DA-4764-B0CE-F8907429CB83}"/>
    <cellStyle name="Comma 3 2 3 2 4 5" xfId="54934" xr:uid="{7A540261-5C56-4AB1-87E6-5F5E46875C9B}"/>
    <cellStyle name="Comma 3 2 3 2 5" xfId="15527" xr:uid="{E256B73C-6F62-4D60-A1B8-9CBF6AACA9F6}"/>
    <cellStyle name="Comma 3 2 3 2 5 2" xfId="23057" xr:uid="{1086D8DC-8357-4A8D-82F5-73FFCAE96D78}"/>
    <cellStyle name="Comma 3 2 3 2 5 3" xfId="48419" xr:uid="{0F50829C-D3A7-460D-82A4-D3BC7EA55E2C}"/>
    <cellStyle name="Comma 3 2 3 2 5 4" xfId="52395" xr:uid="{C7CD3858-931B-4D29-92BB-1EB63D723692}"/>
    <cellStyle name="Comma 3 2 3 2 5 5" xfId="55411" xr:uid="{4A172907-F6F5-4F74-BAAF-D7772A76D3F6}"/>
    <cellStyle name="Comma 3 2 3 2 6" xfId="12475" xr:uid="{CA922D21-469F-4468-96A3-0D8F5E0D7B0C}"/>
    <cellStyle name="Comma 3 2 3 2 6 2" xfId="37143" xr:uid="{58F8F9C9-A75D-4514-B26B-0A8A07C9D6A2}"/>
    <cellStyle name="Comma 3 2 3 2 6 3" xfId="50964" xr:uid="{D4D76CAC-8A0B-4C30-B0F0-EFEF5C5DE38C}"/>
    <cellStyle name="Comma 3 2 3 2 6 4" xfId="53980" xr:uid="{AC63B3E1-0486-467B-982E-F6CF6811FFE2}"/>
    <cellStyle name="Comma 3 2 3 2 7" xfId="46023" xr:uid="{9371CD64-34EA-4AFD-8DC8-183E4A39DB99}"/>
    <cellStyle name="Comma 3 2 3 2 8" xfId="49858" xr:uid="{32461B5D-C310-43A2-9BA7-0747D8A6206F}"/>
    <cellStyle name="Comma 3 2 3 2 9" xfId="52874" xr:uid="{39B319FA-EF59-417D-BEAF-2D48BE209D49}"/>
    <cellStyle name="Comma 3 2 3 3" xfId="10089" xr:uid="{A004F6B5-DE65-440C-9952-FCBD017B6081}"/>
    <cellStyle name="Comma 3 2 3 3 2" xfId="10402" xr:uid="{EFB9EC1A-0CC0-487C-ACE1-7EF48764E754}"/>
    <cellStyle name="Comma 3 2 3 3 2 2" xfId="14821" xr:uid="{403F72EB-080E-4559-9C24-DA9EAB22A34A}"/>
    <cellStyle name="Comma 3 2 3 3 2 2 2" xfId="22368" xr:uid="{8D9ED8E6-B917-40A7-89A4-7250B764665F}"/>
    <cellStyle name="Comma 3 2 3 3 2 2 3" xfId="24943" xr:uid="{CDF66EA5-D654-485A-BE4C-740BD4D4F853}"/>
    <cellStyle name="Comma 3 2 3 3 2 2 4" xfId="51706" xr:uid="{78A14D94-5C2C-450F-8D25-59A13042520C}"/>
    <cellStyle name="Comma 3 2 3 3 2 2 5" xfId="54722" xr:uid="{40004FE7-C4FF-4AD3-84EF-DAEBC7DDBD9C}"/>
    <cellStyle name="Comma 3 2 3 3 2 3" xfId="15306" xr:uid="{E473E757-1AFD-455F-96B0-D9FE266D8074}"/>
    <cellStyle name="Comma 3 2 3 3 2 3 2" xfId="22845" xr:uid="{002AC47A-09B5-40AC-8D9E-432E9296AB28}"/>
    <cellStyle name="Comma 3 2 3 3 2 3 3" xfId="48513" xr:uid="{DCB71E38-66B8-4D52-A094-E2B134D0BDDE}"/>
    <cellStyle name="Comma 3 2 3 3 2 3 4" xfId="52183" xr:uid="{45835DB1-3486-43C1-B644-3A49C4005DAE}"/>
    <cellStyle name="Comma 3 2 3 3 2 3 5" xfId="55199" xr:uid="{31D5A442-DFA3-410F-8A3E-0726A56DCE10}"/>
    <cellStyle name="Comma 3 2 3 3 2 4" xfId="15793" xr:uid="{7837ED4C-BCF7-4AE5-96A8-0F1CD303A6A9}"/>
    <cellStyle name="Comma 3 2 3 3 2 4 2" xfId="23322" xr:uid="{8D62821B-0662-4AEC-9832-B217CEB9B01C}"/>
    <cellStyle name="Comma 3 2 3 3 2 4 3" xfId="46587" xr:uid="{C86BB467-83E1-4355-B10C-77207E581FAA}"/>
    <cellStyle name="Comma 3 2 3 3 2 4 4" xfId="52660" xr:uid="{FB630A0F-19F1-437C-B640-B840CC511BC2}"/>
    <cellStyle name="Comma 3 2 3 3 2 4 5" xfId="55676" xr:uid="{1529DFFA-EBB2-4841-983E-20B8430FA200}"/>
    <cellStyle name="Comma 3 2 3 3 2 5" xfId="12855" xr:uid="{BE4B34A4-CB40-4DC9-B129-E0F8AA98CB7E}"/>
    <cellStyle name="Comma 3 2 3 3 2 5 2" xfId="47232" xr:uid="{9EEDABCF-3B90-4C87-85AB-5607F4371DCD}"/>
    <cellStyle name="Comma 3 2 3 3 2 5 3" xfId="51229" xr:uid="{83C164F7-ED84-44CC-9C30-CD3C4A666729}"/>
    <cellStyle name="Comma 3 2 3 3 2 5 4" xfId="54245" xr:uid="{B435CCCE-A8C6-41E9-B816-33DF7919B869}"/>
    <cellStyle name="Comma 3 2 3 3 2 6" xfId="48159" xr:uid="{40712BFF-820F-4A9E-9843-6AEAF336BD89}"/>
    <cellStyle name="Comma 3 2 3 3 2 7" xfId="50123" xr:uid="{A77572A9-3C6E-4F3F-9CCF-BFFE8F89AB07}"/>
    <cellStyle name="Comma 3 2 3 3 2 8" xfId="53139" xr:uid="{2C76ABB3-AFAC-4699-838F-F838F86D28DF}"/>
    <cellStyle name="Comma 3 2 3 3 3" xfId="14609" xr:uid="{FD8863E1-E802-435E-A8A4-BAF8BD1F3877}"/>
    <cellStyle name="Comma 3 2 3 3 3 2" xfId="22156" xr:uid="{93931BB0-A523-4273-9A44-86724A78688E}"/>
    <cellStyle name="Comma 3 2 3 3 3 3" xfId="47964" xr:uid="{4528B5DD-3D18-47D1-864C-284D8A0E8D5A}"/>
    <cellStyle name="Comma 3 2 3 3 3 4" xfId="51494" xr:uid="{A2545EE6-10C7-43FE-B738-42F77A018D63}"/>
    <cellStyle name="Comma 3 2 3 3 3 5" xfId="54510" xr:uid="{18A25AD1-E0FE-460B-BE8B-5CEF8ACD5B1B}"/>
    <cellStyle name="Comma 3 2 3 3 4" xfId="15094" xr:uid="{DD056D46-9A5D-416B-B4B1-EF1492477D6E}"/>
    <cellStyle name="Comma 3 2 3 3 4 2" xfId="22633" xr:uid="{85652F55-E76C-4D92-AE5A-9A10174C3E96}"/>
    <cellStyle name="Comma 3 2 3 3 4 3" xfId="46478" xr:uid="{0F705069-3B8B-4954-A649-AD974A2221F3}"/>
    <cellStyle name="Comma 3 2 3 3 4 4" xfId="51971" xr:uid="{D767C2DA-7FAA-4C15-B797-A4F32183E318}"/>
    <cellStyle name="Comma 3 2 3 3 4 5" xfId="54987" xr:uid="{7941934B-08BF-498E-9967-F236CECB18B5}"/>
    <cellStyle name="Comma 3 2 3 3 5" xfId="15581" xr:uid="{595B8A97-4E95-43BB-956E-C99165C9A235}"/>
    <cellStyle name="Comma 3 2 3 3 5 2" xfId="23110" xr:uid="{A4182278-7E55-4B99-BC05-2ECEBD2DA72B}"/>
    <cellStyle name="Comma 3 2 3 3 5 3" xfId="46555" xr:uid="{CD3C231A-D8BE-48F1-85C0-C5DFB04396A8}"/>
    <cellStyle name="Comma 3 2 3 3 5 4" xfId="52448" xr:uid="{345632FA-A4A9-43F7-8929-646F19124B83}"/>
    <cellStyle name="Comma 3 2 3 3 5 5" xfId="55464" xr:uid="{826D99CC-E301-426C-9B8C-4BB3824FEDE0}"/>
    <cellStyle name="Comma 3 2 3 3 6" xfId="12546" xr:uid="{F2619BE4-FAD1-4007-9F36-9D56C6FD3253}"/>
    <cellStyle name="Comma 3 2 3 3 6 2" xfId="47317" xr:uid="{95760035-80C5-40A3-B033-E0F5B33D45A0}"/>
    <cellStyle name="Comma 3 2 3 3 6 3" xfId="51017" xr:uid="{478B945B-F425-4257-9D7D-8DF2965ACFF1}"/>
    <cellStyle name="Comma 3 2 3 3 6 4" xfId="54033" xr:uid="{359EE8D2-8184-450C-9F00-D971040C88CB}"/>
    <cellStyle name="Comma 3 2 3 3 7" xfId="48449" xr:uid="{BDE2212F-8213-4BFB-B832-F731FCB62FE7}"/>
    <cellStyle name="Comma 3 2 3 3 8" xfId="49911" xr:uid="{F15B3F5F-B45D-4859-9D12-E4599ABC7E55}"/>
    <cellStyle name="Comma 3 2 3 3 9" xfId="52927" xr:uid="{5E5A298C-12F5-4F7A-BC11-5BB3F15CFA31}"/>
    <cellStyle name="Comma 3 2 3 4" xfId="10168" xr:uid="{22BC432B-08A9-444F-A5BF-AEC6367B1ACD}"/>
    <cellStyle name="Comma 3 2 3 4 2" xfId="10482" xr:uid="{4C281CAF-0ABC-426D-A8D0-88FE10B80961}"/>
    <cellStyle name="Comma 3 2 3 4 2 2" xfId="14874" xr:uid="{BF995FA5-2FC2-4000-A7C7-D4586F211B60}"/>
    <cellStyle name="Comma 3 2 3 4 2 2 2" xfId="22421" xr:uid="{C5DE893F-CCEA-42DD-9937-948271DAED8E}"/>
    <cellStyle name="Comma 3 2 3 4 2 2 3" xfId="32377" xr:uid="{A70A19C1-54C0-4CA5-B29D-0E85D9F1A85E}"/>
    <cellStyle name="Comma 3 2 3 4 2 2 4" xfId="51759" xr:uid="{886A14FE-C53B-48DC-B4E0-17DB79C93305}"/>
    <cellStyle name="Comma 3 2 3 4 2 2 5" xfId="54775" xr:uid="{752997BF-B488-495C-9224-7D15898453C8}"/>
    <cellStyle name="Comma 3 2 3 4 2 3" xfId="15359" xr:uid="{C20E1B98-5E6B-4CFF-8775-26F13DD3E268}"/>
    <cellStyle name="Comma 3 2 3 4 2 3 2" xfId="22898" xr:uid="{85912014-87FA-4AFA-815C-E4F2308B888B}"/>
    <cellStyle name="Comma 3 2 3 4 2 3 3" xfId="47493" xr:uid="{10096C6F-BBD3-419F-8074-576DDA145A44}"/>
    <cellStyle name="Comma 3 2 3 4 2 3 4" xfId="52236" xr:uid="{BDC486A7-5358-4323-85E8-B9F28F7C9368}"/>
    <cellStyle name="Comma 3 2 3 4 2 3 5" xfId="55252" xr:uid="{EC26F03A-6FCD-4C65-AAE5-B88835143501}"/>
    <cellStyle name="Comma 3 2 3 4 2 4" xfId="15846" xr:uid="{BA94AB76-49FB-45DC-BE23-993A90F4FD28}"/>
    <cellStyle name="Comma 3 2 3 4 2 4 2" xfId="23375" xr:uid="{A17C927F-75E7-465B-BEBF-A1A6A3091714}"/>
    <cellStyle name="Comma 3 2 3 4 2 4 3" xfId="46974" xr:uid="{EC70F2EC-19FA-439C-872B-AF28ABB0B7F2}"/>
    <cellStyle name="Comma 3 2 3 4 2 4 4" xfId="52713" xr:uid="{3622E87F-D29B-4310-AA0F-1C72EE46E4D6}"/>
    <cellStyle name="Comma 3 2 3 4 2 4 5" xfId="55729" xr:uid="{470C88BA-BC6A-4D09-A45D-133CD8E00EE1}"/>
    <cellStyle name="Comma 3 2 3 4 2 5" xfId="12935" xr:uid="{0ED1E747-62AC-42D9-9D4E-8E5C3FEC325C}"/>
    <cellStyle name="Comma 3 2 3 4 2 5 2" xfId="46374" xr:uid="{59E7B989-240F-4560-842B-7CA4770090FD}"/>
    <cellStyle name="Comma 3 2 3 4 2 5 3" xfId="51282" xr:uid="{3E7D98FE-C60E-4B3F-A77F-2C09C72B1C96}"/>
    <cellStyle name="Comma 3 2 3 4 2 5 4" xfId="54298" xr:uid="{A488F365-9615-4CB7-BD72-12A47B147199}"/>
    <cellStyle name="Comma 3 2 3 4 2 6" xfId="46129" xr:uid="{F3FD7FA5-3F4E-4A0F-8D9C-8CEEE168EDA3}"/>
    <cellStyle name="Comma 3 2 3 4 2 7" xfId="50176" xr:uid="{FFDF9576-DE7C-4D38-8040-31F8613F884F}"/>
    <cellStyle name="Comma 3 2 3 4 2 8" xfId="53192" xr:uid="{D6043647-8C87-40E7-8124-1731B24C197F}"/>
    <cellStyle name="Comma 3 2 3 4 3" xfId="14662" xr:uid="{7534C9F9-7D42-40C3-98B2-E14952D1D5B2}"/>
    <cellStyle name="Comma 3 2 3 4 3 2" xfId="22209" xr:uid="{83A397EB-9B80-4228-A74A-54565DCD9B9C}"/>
    <cellStyle name="Comma 3 2 3 4 3 3" xfId="47453" xr:uid="{E20C8F67-0130-46BB-A8BF-D0FFF379DB24}"/>
    <cellStyle name="Comma 3 2 3 4 3 4" xfId="51547" xr:uid="{5CD77785-6CA4-402B-A050-142E899C3FBD}"/>
    <cellStyle name="Comma 3 2 3 4 3 5" xfId="54563" xr:uid="{AEA4B17A-C49F-4FA4-813C-89D411322F46}"/>
    <cellStyle name="Comma 3 2 3 4 4" xfId="15147" xr:uid="{990E03F9-3B75-4C2B-8DD5-25C0829D58A1}"/>
    <cellStyle name="Comma 3 2 3 4 4 2" xfId="22686" xr:uid="{980E06D7-EA0B-4163-A1BB-7A97FBEDBB3E}"/>
    <cellStyle name="Comma 3 2 3 4 4 3" xfId="32546" xr:uid="{AB316849-F68B-4406-B8EE-C63C18355AEB}"/>
    <cellStyle name="Comma 3 2 3 4 4 4" xfId="52024" xr:uid="{69367B77-6D72-4955-813C-4EDF914D849A}"/>
    <cellStyle name="Comma 3 2 3 4 4 5" xfId="55040" xr:uid="{4FBEF40F-3D73-4307-8426-43AD4DA607BC}"/>
    <cellStyle name="Comma 3 2 3 4 5" xfId="15634" xr:uid="{C1CF8C1F-997E-4FBD-8D73-A5D9B662B7CB}"/>
    <cellStyle name="Comma 3 2 3 4 5 2" xfId="23163" xr:uid="{F020D323-6B78-4BBE-8917-27604A8D2872}"/>
    <cellStyle name="Comma 3 2 3 4 5 3" xfId="47945" xr:uid="{2658DAC0-8992-4505-9EEA-D8A2764C5DCA}"/>
    <cellStyle name="Comma 3 2 3 4 5 4" xfId="52501" xr:uid="{00AAE9A3-B1EB-4DDD-A4DE-1DF1EC25079B}"/>
    <cellStyle name="Comma 3 2 3 4 5 5" xfId="55517" xr:uid="{3AF3CADC-68E1-4435-A93E-F9F3C4BF3DE3}"/>
    <cellStyle name="Comma 3 2 3 4 6" xfId="12622" xr:uid="{CE6997E8-103F-4F3A-91C1-3CE8DE27836D}"/>
    <cellStyle name="Comma 3 2 3 4 6 2" xfId="46331" xr:uid="{57942BDC-7AC6-46F6-A7D4-4F460F09490E}"/>
    <cellStyle name="Comma 3 2 3 4 6 3" xfId="51070" xr:uid="{3A4F07CD-4A5B-4B53-A89D-25A03DD2CBF7}"/>
    <cellStyle name="Comma 3 2 3 4 6 4" xfId="54086" xr:uid="{591CFF52-F314-4D5C-966F-080B854F8A9A}"/>
    <cellStyle name="Comma 3 2 3 4 7" xfId="47651" xr:uid="{2D93665F-AF7D-4B62-95A5-FB416CFE7589}"/>
    <cellStyle name="Comma 3 2 3 4 8" xfId="49964" xr:uid="{17F2787D-DF61-4835-AF28-462574B1B86E}"/>
    <cellStyle name="Comma 3 2 3 4 9" xfId="52980" xr:uid="{01CD9B73-E3FF-4FCE-9B47-EA6014C25FB3}"/>
    <cellStyle name="Comma 3 2 3 5" xfId="10248" xr:uid="{34EB9378-EA75-429F-97A5-4F1102DF898B}"/>
    <cellStyle name="Comma 3 2 3 5 2" xfId="14715" xr:uid="{5530813D-EC4D-4B12-97C9-FC67F1A86D68}"/>
    <cellStyle name="Comma 3 2 3 5 2 2" xfId="22262" xr:uid="{C0F895C2-48B4-48A3-9872-5B39B55B3837}"/>
    <cellStyle name="Comma 3 2 3 5 2 3" xfId="46422" xr:uid="{61A81332-45B5-4DD8-BAA5-C2310F11EB48}"/>
    <cellStyle name="Comma 3 2 3 5 2 4" xfId="51600" xr:uid="{35418A30-A2ED-40D4-B8FE-29783858B18C}"/>
    <cellStyle name="Comma 3 2 3 5 2 5" xfId="54616" xr:uid="{11091EB4-8CE4-401C-9C00-F212C5CE41BD}"/>
    <cellStyle name="Comma 3 2 3 5 3" xfId="15200" xr:uid="{D465A659-0AEE-4E4D-8F62-D5BFB34AC3C7}"/>
    <cellStyle name="Comma 3 2 3 5 3 2" xfId="22739" xr:uid="{697BE84C-5697-40CB-9A08-DBA2034B22CD}"/>
    <cellStyle name="Comma 3 2 3 5 3 3" xfId="47669" xr:uid="{7C254756-2C7C-410B-B550-84B0905CE1BE}"/>
    <cellStyle name="Comma 3 2 3 5 3 4" xfId="52077" xr:uid="{6E285BF6-12FF-497F-9127-A008E240346C}"/>
    <cellStyle name="Comma 3 2 3 5 3 5" xfId="55093" xr:uid="{D68E7011-9BF2-401E-8FA7-CADFA97D699E}"/>
    <cellStyle name="Comma 3 2 3 5 4" xfId="15687" xr:uid="{3D14508F-2E1E-4C1C-B980-6EE85F24F371}"/>
    <cellStyle name="Comma 3 2 3 5 4 2" xfId="23216" xr:uid="{913DA3B6-094C-4726-A8D3-596537F956AF}"/>
    <cellStyle name="Comma 3 2 3 5 4 3" xfId="46572" xr:uid="{20411759-CE82-45CD-8F69-6D84C170E5A4}"/>
    <cellStyle name="Comma 3 2 3 5 4 4" xfId="52554" xr:uid="{B9CAAA57-1327-48D3-8D30-D017C2C06581}"/>
    <cellStyle name="Comma 3 2 3 5 4 5" xfId="55570" xr:uid="{DE9BCC26-BF39-4706-91EA-0C0A97782C99}"/>
    <cellStyle name="Comma 3 2 3 5 5" xfId="12701" xr:uid="{3DF11F05-1C36-4018-93BA-EBFC76AED16E}"/>
    <cellStyle name="Comma 3 2 3 5 5 2" xfId="48106" xr:uid="{7EF61BA2-401D-40F3-A435-B48FD45E1554}"/>
    <cellStyle name="Comma 3 2 3 5 5 3" xfId="51123" xr:uid="{9A68410C-EA27-4E02-B4FF-D26DF2720A0E}"/>
    <cellStyle name="Comma 3 2 3 5 5 4" xfId="54139" xr:uid="{F06666A9-749C-4D7C-BC2C-B01ADB8BEF99}"/>
    <cellStyle name="Comma 3 2 3 5 6" xfId="37545" xr:uid="{1549EC9E-FD41-436C-AC07-CD9845E51946}"/>
    <cellStyle name="Comma 3 2 3 5 7" xfId="50017" xr:uid="{AAE31E02-E2A0-46A3-8855-9A38968F2945}"/>
    <cellStyle name="Comma 3 2 3 5 8" xfId="53033" xr:uid="{34EB9EC9-D9C2-4A90-887F-0C58B5BD2576}"/>
    <cellStyle name="Comma 3 2 3 6" xfId="10562" xr:uid="{800627E8-5732-490E-8021-29AFAD87A1B8}"/>
    <cellStyle name="Comma 3 2 3 6 2" xfId="14927" xr:uid="{F70E2DC1-965D-4BCC-A7EA-E2E442CDF333}"/>
    <cellStyle name="Comma 3 2 3 6 2 2" xfId="22474" xr:uid="{0B73E834-82D6-4FAC-A94E-C1E0A4D72A9E}"/>
    <cellStyle name="Comma 3 2 3 6 2 3" xfId="46456" xr:uid="{F926B426-5A6D-437E-8DF3-036A023DEE9F}"/>
    <cellStyle name="Comma 3 2 3 6 2 4" xfId="51812" xr:uid="{5133882B-93C3-41F1-89D0-8B64E30BB85A}"/>
    <cellStyle name="Comma 3 2 3 6 2 5" xfId="54828" xr:uid="{5F01FB1A-B12C-4D0F-B75C-34F81291757C}"/>
    <cellStyle name="Comma 3 2 3 6 3" xfId="15412" xr:uid="{5E2A6DF0-D190-49EC-B4D7-200493BA0399}"/>
    <cellStyle name="Comma 3 2 3 6 3 2" xfId="22951" xr:uid="{21853A90-1C34-4713-BB3E-38D4115C5AB2}"/>
    <cellStyle name="Comma 3 2 3 6 3 3" xfId="47640" xr:uid="{EA9105AD-5D82-47FD-9EB5-4BD52B38FE95}"/>
    <cellStyle name="Comma 3 2 3 6 3 4" xfId="52289" xr:uid="{1D7C76B9-03C7-41C1-A843-B4E7F76386BF}"/>
    <cellStyle name="Comma 3 2 3 6 3 5" xfId="55305" xr:uid="{6EB60C08-2D25-4B96-8530-3ADB868F30D9}"/>
    <cellStyle name="Comma 3 2 3 6 4" xfId="15900" xr:uid="{CE3E66B1-EA07-41C1-8FEF-A07615A8EC77}"/>
    <cellStyle name="Comma 3 2 3 6 4 2" xfId="23428" xr:uid="{FAF4F11A-2D6C-477D-9B74-CA4087ECC34A}"/>
    <cellStyle name="Comma 3 2 3 6 4 3" xfId="46980" xr:uid="{4DC72FCE-ACD1-4E63-BEDF-E1A6D1CD781F}"/>
    <cellStyle name="Comma 3 2 3 6 4 4" xfId="52766" xr:uid="{F6CA5F1D-A35E-4AA5-A640-83A7E96967FB}"/>
    <cellStyle name="Comma 3 2 3 6 4 5" xfId="55782" xr:uid="{703E6DBD-588D-4978-9C75-042995F1A302}"/>
    <cellStyle name="Comma 3 2 3 6 5" xfId="13015" xr:uid="{B764B081-EE0D-444E-9D8E-64FDC4B89D0A}"/>
    <cellStyle name="Comma 3 2 3 6 5 2" xfId="25319" xr:uid="{0852CFC7-80EC-4EFE-B766-6E72E7983CAD}"/>
    <cellStyle name="Comma 3 2 3 6 5 3" xfId="51335" xr:uid="{395B5E87-C51D-44AF-B61E-A0B5DBE3DD41}"/>
    <cellStyle name="Comma 3 2 3 6 5 4" xfId="54351" xr:uid="{FA1D4836-DAED-4B42-9BA4-244726368D8E}"/>
    <cellStyle name="Comma 3 2 3 6 6" xfId="24766" xr:uid="{CF83F286-32BD-493C-8E3B-33882F74A866}"/>
    <cellStyle name="Comma 3 2 3 6 7" xfId="50229" xr:uid="{18C6AA5F-6D61-439D-8DC2-71C968BA7C46}"/>
    <cellStyle name="Comma 3 2 3 6 8" xfId="53245" xr:uid="{2640BB0C-E8D6-45D1-995B-3E096B51C2AB}"/>
    <cellStyle name="Comma 3 2 3 7" xfId="12310" xr:uid="{E9019799-1759-4A01-9F27-EC49AA823B43}"/>
    <cellStyle name="Comma 3 2 3 8" xfId="14503" xr:uid="{4281A846-3FC4-4570-8D4A-0F893104419C}"/>
    <cellStyle name="Comma 3 2 3 8 2" xfId="22050" xr:uid="{7CEA0B3E-7961-44FA-8DEF-195E4325E94A}"/>
    <cellStyle name="Comma 3 2 3 8 3" xfId="34491" xr:uid="{7935185F-BF2C-4359-9C5F-15430C9E486F}"/>
    <cellStyle name="Comma 3 2 3 8 4" xfId="51388" xr:uid="{B23AA5FE-DDE6-4935-98E7-A66560A26E64}"/>
    <cellStyle name="Comma 3 2 3 8 5" xfId="54404" xr:uid="{4723A9AC-03ED-4AE9-961D-C1371734414E}"/>
    <cellStyle name="Comma 3 2 3 9" xfId="14987" xr:uid="{7AB4B4DA-FB24-4617-A28D-DF346A9E4AF7}"/>
    <cellStyle name="Comma 3 2 3 9 2" xfId="22527" xr:uid="{629A8EAD-18E9-40B5-BE43-DBA31D5E5960}"/>
    <cellStyle name="Comma 3 2 3 9 3" xfId="47779" xr:uid="{8B3EE6D0-6234-4122-B406-209527AD417E}"/>
    <cellStyle name="Comma 3 2 3 9 4" xfId="51865" xr:uid="{EB31DD0E-0A7F-4AD0-A327-6A0D9B811D71}"/>
    <cellStyle name="Comma 3 2 3 9 5" xfId="54881" xr:uid="{1E237DED-69CF-41D6-BE11-77C82D97C69E}"/>
    <cellStyle name="Comma 3 2 4" xfId="5821" xr:uid="{CEF8F8EC-EFB8-4F42-ABE7-10A67FE7BF1B}"/>
    <cellStyle name="Comma 3 2 4 2" xfId="23741" xr:uid="{B9F4635A-EAEB-475E-9C78-EFFE9591201F}"/>
    <cellStyle name="Comma 3 2 4 3" xfId="48624" xr:uid="{4DB344AB-5736-4C29-A899-C4E22F4DFEE1}"/>
    <cellStyle name="Comma 3 2 4 4" xfId="49532" xr:uid="{E9FCC0ED-2FE6-4D6C-8DB5-1C864DC12BE0}"/>
    <cellStyle name="Comma 3 2 4 5" xfId="11167" xr:uid="{BFA3CFD9-B849-42EA-B55F-DEC12F7142A4}"/>
    <cellStyle name="Comma 3 2 5" xfId="12424" xr:uid="{D42B46DC-B4A9-4EE1-AA7A-B5873E395B53}"/>
    <cellStyle name="Comma 3 2 5 2" xfId="21909" xr:uid="{54674185-1B60-40EF-A010-DA20FB27882E}"/>
    <cellStyle name="Comma 3 2 5 3" xfId="23742" xr:uid="{7158B6FF-C275-4F98-A44B-35D4E585D390}"/>
    <cellStyle name="Comma 3 2 5 4" xfId="46307" xr:uid="{1F61A455-5C1D-4CAE-97A1-32D62FDE9580}"/>
    <cellStyle name="Comma 3 2 5 5" xfId="48625" xr:uid="{5797B5B2-0926-454F-8557-103514BC354C}"/>
    <cellStyle name="Comma 3 2 5 6" xfId="49533" xr:uid="{7A782119-91E9-4A0C-9DF2-72E9DE3933C2}"/>
    <cellStyle name="Comma 3 2 5 7" xfId="50947" xr:uid="{1E2CDCB5-38B9-4EF6-B365-B15F6BC42DB4}"/>
    <cellStyle name="Comma 3 2 5 8" xfId="53963" xr:uid="{0163032C-9B5B-446A-A163-312F52CA6F37}"/>
    <cellStyle name="Comma 3 2 6" xfId="11190" xr:uid="{08685A17-DCA4-4E35-B332-4DFD2E288134}"/>
    <cellStyle name="Comma 3 2 6 2" xfId="21686" xr:uid="{D4362A92-CA5B-4CC2-8F05-F1BCA9D993FB}"/>
    <cellStyle name="Comma 3 2 6 3" xfId="24499" xr:uid="{FBB0A694-8811-4E32-BDA2-BB9D450B3F49}"/>
    <cellStyle name="Comma 3 2 6 4" xfId="50703" xr:uid="{67434015-74BA-4F74-97F6-8A6D888595C1}"/>
    <cellStyle name="Comma 3 2 6 5" xfId="53719" xr:uid="{45C8F6A7-3968-4BB4-8567-A98B51C9C1E4}"/>
    <cellStyle name="Comma 3 2 7" xfId="19483" xr:uid="{E5F5948A-FDE0-4BA1-819C-8B3F3B6EEA66}"/>
    <cellStyle name="Comma 3 2 8" xfId="23737" xr:uid="{B6AF80AE-B51E-4006-BABE-D6A1B3C3E331}"/>
    <cellStyle name="Comma 3 2 9" xfId="48620" xr:uid="{33F449F5-B4D4-43F6-ACE1-D956AA96A52D}"/>
    <cellStyle name="Comma 3 3" xfId="2623" xr:uid="{B1AB9893-6890-4D1D-BAF6-2C57967D9D53}"/>
    <cellStyle name="Comma 3 3 10" xfId="15943" xr:uid="{AA38FC86-5CA5-45B5-97B1-E23AAC095E15}"/>
    <cellStyle name="Comma 3 3 11" xfId="8184" xr:uid="{A5EA7E93-3CA5-448F-97B5-50CD66B8F844}"/>
    <cellStyle name="Comma 3 3 2" xfId="4541" xr:uid="{0E4346B9-A856-4532-A686-99B776FF2BAF}"/>
    <cellStyle name="Comma 3 3 2 10" xfId="14988" xr:uid="{83CBBAD0-10A3-4AC4-9CB8-FC6B3AFB85F3}"/>
    <cellStyle name="Comma 3 3 2 10 2" xfId="22528" xr:uid="{22BE963D-04C0-4F03-8864-E711BB767342}"/>
    <cellStyle name="Comma 3 3 2 10 3" xfId="47930" xr:uid="{C2E64E2E-673C-44BF-8F3D-75D90E067182}"/>
    <cellStyle name="Comma 3 3 2 10 4" xfId="51866" xr:uid="{A357516D-4B94-4D09-9A2B-0F56F5A30FB5}"/>
    <cellStyle name="Comma 3 3 2 10 5" xfId="54882" xr:uid="{F3F03764-5ED5-4095-8ACC-5ACA82F201B9}"/>
    <cellStyle name="Comma 3 3 2 10 6" xfId="19184" xr:uid="{4AFADD6F-E4CC-43E7-BC26-D99ED5EB7F61}"/>
    <cellStyle name="Comma 3 3 2 11" xfId="15475" xr:uid="{EE40EC4A-34AE-467D-89DA-645BEA87B8A6}"/>
    <cellStyle name="Comma 3 3 2 11 2" xfId="23005" xr:uid="{A7164320-9B99-48E3-868B-B9083173882E}"/>
    <cellStyle name="Comma 3 3 2 11 3" xfId="46538" xr:uid="{BD29CD10-EE3E-4CA6-AB25-3AFD70C4B25E}"/>
    <cellStyle name="Comma 3 3 2 11 4" xfId="52343" xr:uid="{CD29027F-B395-4DDB-BB16-0A0C97045205}"/>
    <cellStyle name="Comma 3 3 2 11 5" xfId="55359" xr:uid="{E822CAFF-5C7F-4085-8832-5E343F4BA68A}"/>
    <cellStyle name="Comma 3 3 2 11 6" xfId="19329" xr:uid="{24BF0245-B736-4249-8552-4C5EF4A8E54A}"/>
    <cellStyle name="Comma 3 3 2 12" xfId="11584" xr:uid="{950659FB-FAFE-45F7-BBBA-AFE4620C4EE2}"/>
    <cellStyle name="Comma 3 3 2 12 2" xfId="21708" xr:uid="{D4241C79-DCB9-4D73-AA7D-7ED3E236CE2E}"/>
    <cellStyle name="Comma 3 3 2 12 3" xfId="48187" xr:uid="{69F53440-ACC2-477E-A550-9B1A5484C563}"/>
    <cellStyle name="Comma 3 3 2 12 4" xfId="50731" xr:uid="{6A9FAB04-A2A3-4A89-9D03-9F91C88622C5}"/>
    <cellStyle name="Comma 3 3 2 12 5" xfId="53747" xr:uid="{A54E2F7F-0E6D-412D-ADC2-BBAC6C858156}"/>
    <cellStyle name="Comma 3 3 2 12 6" xfId="18160" xr:uid="{FAAA4F64-A6EB-4D96-8390-E81A4D74D496}"/>
    <cellStyle name="Comma 3 3 2 13" xfId="23744" xr:uid="{7106DBE0-980C-4D0E-8C7D-D1A4D2F457FC}"/>
    <cellStyle name="Comma 3 3 2 14" xfId="32279" xr:uid="{2885E86A-83ED-40CF-BEBA-9621152578E8}"/>
    <cellStyle name="Comma 3 3 2 15" xfId="48627" xr:uid="{A3F229C4-530A-4423-8F43-9C67E82587CF}"/>
    <cellStyle name="Comma 3 3 2 16" xfId="49535" xr:uid="{AD1DB6AF-82A8-44D2-AFDC-724493A42A0F}"/>
    <cellStyle name="Comma 3 3 2 17" xfId="49806" xr:uid="{3AD3DF7A-F6D0-4044-AE48-25CCA239CDA3}"/>
    <cellStyle name="Comma 3 3 2 18" xfId="52821" xr:uid="{8B1BA82E-CF53-47EE-866D-048C03D391D7}"/>
    <cellStyle name="Comma 3 3 2 19" xfId="8929" xr:uid="{5E8A6EC9-20A4-4069-BBC0-10D760D04816}"/>
    <cellStyle name="Comma 3 3 2 2" xfId="8930" xr:uid="{549EF77B-AE01-4CA5-B074-3277546B3DC0}"/>
    <cellStyle name="Comma 3 3 2 2 10" xfId="12196" xr:uid="{12F92076-2DAB-4073-9DE4-6499D44B8006}"/>
    <cellStyle name="Comma 3 3 2 2 10 2" xfId="48258" xr:uid="{8B80FEE0-11D2-4C25-9192-8792E84669D5}"/>
    <cellStyle name="Comma 3 3 2 2 10 3" xfId="50941" xr:uid="{B68CD165-DAE3-4862-9DCC-8C03A6520E3B}"/>
    <cellStyle name="Comma 3 3 2 2 10 4" xfId="53957" xr:uid="{C738B07D-6E16-4458-BD5E-10F82A51DFD7}"/>
    <cellStyle name="Comma 3 3 2 2 10 5" xfId="21906" xr:uid="{75DD4DAA-54DC-4520-803A-B1578931B1D6}"/>
    <cellStyle name="Comma 3 3 2 2 11" xfId="23745" xr:uid="{7357528C-57FF-44AB-863A-FD0921375654}"/>
    <cellStyle name="Comma 3 3 2 2 12" xfId="47379" xr:uid="{BFD40ED3-A3CD-462D-A7EA-D115966A670E}"/>
    <cellStyle name="Comma 3 3 2 2 13" xfId="48628" xr:uid="{D42509EE-2E35-49CC-93A4-23F542C2CCD3}"/>
    <cellStyle name="Comma 3 3 2 2 14" xfId="49536" xr:uid="{272CD3E1-D795-4B74-86A7-51D9AC87ADF3}"/>
    <cellStyle name="Comma 3 3 2 2 15" xfId="49807" xr:uid="{C94A6755-7D21-4537-A30E-5665F1C59DDB}"/>
    <cellStyle name="Comma 3 3 2 2 16" xfId="52822" xr:uid="{4DF4B157-66E3-4E4F-8763-34142DAC0CBA}"/>
    <cellStyle name="Comma 3 3 2 2 17" xfId="18570" xr:uid="{FDA7775E-963A-4ABC-A68A-098DF326BBD4}"/>
    <cellStyle name="Comma 3 3 2 2 2" xfId="10017" xr:uid="{F67B855F-EEA3-48FC-8863-8EDDD0BAD4CC}"/>
    <cellStyle name="Comma 3 3 2 2 2 10" xfId="18748" xr:uid="{DBFDCE65-93D7-4ACB-B4C7-08D8F4C843EF}"/>
    <cellStyle name="Comma 3 3 2 2 2 2" xfId="10325" xr:uid="{36C63269-736A-4B16-B64A-2F56C0244132}"/>
    <cellStyle name="Comma 3 3 2 2 2 2 2" xfId="14770" xr:uid="{F0A03771-04FC-4C1B-B794-E21E7914CDA5}"/>
    <cellStyle name="Comma 3 3 2 2 2 2 2 2" xfId="22317" xr:uid="{F08CCFDD-BEC7-4F95-8466-3D29687055F7}"/>
    <cellStyle name="Comma 3 3 2 2 2 2 2 3" xfId="47370" xr:uid="{2419239B-6E9F-4F12-90C6-2AA6C3B4F83C}"/>
    <cellStyle name="Comma 3 3 2 2 2 2 2 4" xfId="51655" xr:uid="{55BB18DB-69A7-4C99-BC4B-238BE5A09D01}"/>
    <cellStyle name="Comma 3 3 2 2 2 2 2 5" xfId="54671" xr:uid="{45617F0B-0D4A-4554-8BD7-667A25EB9381}"/>
    <cellStyle name="Comma 3 3 2 2 2 2 2 6" xfId="19118" xr:uid="{33012C11-C93C-4469-9DD9-6F8D16570751}"/>
    <cellStyle name="Comma 3 3 2 2 2 2 3" xfId="15255" xr:uid="{DF92F60F-CD5E-43A1-8283-C92A9C59A444}"/>
    <cellStyle name="Comma 3 3 2 2 2 2 3 2" xfId="22794" xr:uid="{8AC318F9-3120-4343-B1BE-34F43E1F82CD}"/>
    <cellStyle name="Comma 3 3 2 2 2 2 3 3" xfId="47782" xr:uid="{A775B4A7-4984-47C0-9E62-B8000FEC5548}"/>
    <cellStyle name="Comma 3 3 2 2 2 2 3 4" xfId="52132" xr:uid="{D6B8A95D-CC53-463D-AFBF-C98396FF0164}"/>
    <cellStyle name="Comma 3 3 2 2 2 2 3 5" xfId="55148" xr:uid="{279F862D-BC8C-4E7D-9193-9C3672C7DC71}"/>
    <cellStyle name="Comma 3 3 2 2 2 2 3 6" xfId="19261" xr:uid="{2625543B-66B5-44F2-A41D-9718B439AE55}"/>
    <cellStyle name="Comma 3 3 2 2 2 2 4" xfId="15742" xr:uid="{E798E00E-00A5-4C2B-A7BB-737D32DCA0C4}"/>
    <cellStyle name="Comma 3 3 2 2 2 2 4 2" xfId="23271" xr:uid="{5268E7F6-3196-4C08-8BD6-1CD77B9B06FE}"/>
    <cellStyle name="Comma 3 3 2 2 2 2 4 3" xfId="47647" xr:uid="{A188A8D8-BF2C-445A-A83C-3C79A7B21A93}"/>
    <cellStyle name="Comma 3 3 2 2 2 2 4 4" xfId="52609" xr:uid="{E08F9F36-E9D3-4CD3-8182-5BB7D1F6DCBD}"/>
    <cellStyle name="Comma 3 3 2 2 2 2 4 5" xfId="55625" xr:uid="{0BE168F5-0BC3-4211-8514-9DEE53D2A431}"/>
    <cellStyle name="Comma 3 3 2 2 2 2 4 6" xfId="19406" xr:uid="{B9938502-FB95-4F1D-86A9-4FD850953D02}"/>
    <cellStyle name="Comma 3 3 2 2 2 2 5" xfId="12778" xr:uid="{4EFC4504-FD37-43A7-A247-2775979DF9AC}"/>
    <cellStyle name="Comma 3 3 2 2 2 2 5 2" xfId="47096" xr:uid="{7E3B1605-6681-4614-A31F-A23DCD543DA3}"/>
    <cellStyle name="Comma 3 3 2 2 2 2 5 3" xfId="51178" xr:uid="{12394768-B278-45E1-8C98-8A4DEC9EC8A0}"/>
    <cellStyle name="Comma 3 3 2 2 2 2 5 4" xfId="54194" xr:uid="{D0E7E456-6BA8-428E-A393-EE36289E0A9F}"/>
    <cellStyle name="Comma 3 3 2 2 2 2 5 5" xfId="21976" xr:uid="{F87BCE5E-3281-4338-B843-1FD5350B7A33}"/>
    <cellStyle name="Comma 3 3 2 2 2 2 6" xfId="46623" xr:uid="{89E2568B-FE81-4BCE-A632-87F0B5B09603}"/>
    <cellStyle name="Comma 3 3 2 2 2 2 7" xfId="50072" xr:uid="{FBC50167-C6C2-441B-AA34-EEF028E716F8}"/>
    <cellStyle name="Comma 3 3 2 2 2 2 8" xfId="53088" xr:uid="{4A843D2E-D42A-4AF9-B882-522FD8402D05}"/>
    <cellStyle name="Comma 3 3 2 2 2 2 9" xfId="18897" xr:uid="{6F9CDC8D-0C05-440C-A5A7-237906258786}"/>
    <cellStyle name="Comma 3 3 2 2 2 3" xfId="14558" xr:uid="{C638265C-949A-4A21-B4BA-FAFDA306287F}"/>
    <cellStyle name="Comma 3 3 2 2 2 3 2" xfId="22105" xr:uid="{332C9C46-5052-434A-946E-6848BFC2DE48}"/>
    <cellStyle name="Comma 3 3 2 2 2 3 3" xfId="46397" xr:uid="{CF6326AF-8029-4AA6-BF64-A9DFCE3D5CDB}"/>
    <cellStyle name="Comma 3 3 2 2 2 3 4" xfId="51443" xr:uid="{23C45729-5750-447D-B2AD-936DEF98F5E8}"/>
    <cellStyle name="Comma 3 3 2 2 2 3 5" xfId="54459" xr:uid="{ADC4436C-0A28-4779-8992-FDE331166F37}"/>
    <cellStyle name="Comma 3 3 2 2 2 3 6" xfId="19058" xr:uid="{98566550-F6E4-4492-B744-21B893130AA7}"/>
    <cellStyle name="Comma 3 3 2 2 2 4" xfId="15042" xr:uid="{F618BB84-D02A-4249-80FA-79BB3D7C57CB}"/>
    <cellStyle name="Comma 3 3 2 2 2 4 2" xfId="22582" xr:uid="{77C6B4AF-FCAE-4738-A3B2-BE50EAA85E2D}"/>
    <cellStyle name="Comma 3 3 2 2 2 4 3" xfId="48036" xr:uid="{B73AC690-0C74-49CF-AB25-29C637661021}"/>
    <cellStyle name="Comma 3 3 2 2 2 4 4" xfId="51920" xr:uid="{1CA63C38-B0E5-47C2-83F0-C7F705FA59E2}"/>
    <cellStyle name="Comma 3 3 2 2 2 4 5" xfId="54936" xr:uid="{946262A2-C6B6-44A2-8C95-61E7CDC08008}"/>
    <cellStyle name="Comma 3 3 2 2 2 4 6" xfId="19200" xr:uid="{E259F6F2-6ED9-4425-83AF-BB842588E0B9}"/>
    <cellStyle name="Comma 3 3 2 2 2 5" xfId="15529" xr:uid="{56B8DBD9-5987-466F-93FF-E3F4E027A364}"/>
    <cellStyle name="Comma 3 3 2 2 2 5 2" xfId="23059" xr:uid="{BE861CFD-CEDB-4117-B331-E6688C3133BC}"/>
    <cellStyle name="Comma 3 3 2 2 2 5 3" xfId="47195" xr:uid="{F0F049BF-8B9E-464E-AEA1-2457524913D4}"/>
    <cellStyle name="Comma 3 3 2 2 2 5 4" xfId="52397" xr:uid="{C0E4D41B-AFA9-4344-BEC9-D18E430923D2}"/>
    <cellStyle name="Comma 3 3 2 2 2 5 5" xfId="55413" xr:uid="{50693469-5CED-469C-94D8-7A7C6C40AF88}"/>
    <cellStyle name="Comma 3 3 2 2 2 5 6" xfId="19345" xr:uid="{2348ECA8-D247-45B0-8496-2312F638CD4D}"/>
    <cellStyle name="Comma 3 3 2 2 2 6" xfId="12477" xr:uid="{51A9C7A6-DF9A-4818-B988-DD69C7713355}"/>
    <cellStyle name="Comma 3 3 2 2 2 6 2" xfId="46757" xr:uid="{64CF7C70-FD16-4562-9476-5F0344DD2D3E}"/>
    <cellStyle name="Comma 3 3 2 2 2 6 3" xfId="50966" xr:uid="{C320B5EE-8837-4A93-A4E5-2892A5D5F33B}"/>
    <cellStyle name="Comma 3 3 2 2 2 6 4" xfId="53982" xr:uid="{A5CA67AC-B28C-419B-BA6D-164C468F627D}"/>
    <cellStyle name="Comma 3 3 2 2 2 6 5" xfId="21915" xr:uid="{EFD271DD-A8FC-4C93-9CBC-31243EB585EF}"/>
    <cellStyle name="Comma 3 3 2 2 2 7" xfId="46024" xr:uid="{4E0B95C0-FD0A-4783-99B2-FC7129162FA5}"/>
    <cellStyle name="Comma 3 3 2 2 2 8" xfId="49860" xr:uid="{4B38AFCB-E1C3-4C68-94BD-E96FB3AD9C9F}"/>
    <cellStyle name="Comma 3 3 2 2 2 9" xfId="52876" xr:uid="{D12A6F8A-6A8A-4928-8B68-5E8A362A7851}"/>
    <cellStyle name="Comma 3 3 2 2 3" xfId="10091" xr:uid="{7506356B-B3A8-4CF0-9732-01D3C54918E7}"/>
    <cellStyle name="Comma 3 3 2 2 3 10" xfId="18781" xr:uid="{AB75EEDB-773D-4FAA-8F66-761C1EF4AD1C}"/>
    <cellStyle name="Comma 3 3 2 2 3 2" xfId="10404" xr:uid="{8B434A9C-F9C6-4B7F-9D58-BBC106DE4DF7}"/>
    <cellStyle name="Comma 3 3 2 2 3 2 2" xfId="14823" xr:uid="{50DFF364-E123-4246-94D5-4E3A3562676A}"/>
    <cellStyle name="Comma 3 3 2 2 3 2 2 2" xfId="22370" xr:uid="{0B97EF36-5E92-41A5-BDB0-12CD34390E7C}"/>
    <cellStyle name="Comma 3 3 2 2 3 2 2 3" xfId="46865" xr:uid="{34676346-4619-4BEB-9723-C7CC269A5ED9}"/>
    <cellStyle name="Comma 3 3 2 2 3 2 2 4" xfId="51708" xr:uid="{564F278F-FD8D-4873-AB74-BFCC7FEBE500}"/>
    <cellStyle name="Comma 3 3 2 2 3 2 2 5" xfId="54724" xr:uid="{A3DC3387-9AA8-46C7-892D-BEFB69075638}"/>
    <cellStyle name="Comma 3 3 2 2 3 2 2 6" xfId="19133" xr:uid="{0877C82B-9E2B-4C9B-861F-35D0EF992A11}"/>
    <cellStyle name="Comma 3 3 2 2 3 2 3" xfId="15308" xr:uid="{9779757B-E772-470C-ABDF-6F436210AD0D}"/>
    <cellStyle name="Comma 3 3 2 2 3 2 3 2" xfId="22847" xr:uid="{DF867C1A-A9C9-4CCE-83F9-192D921AA499}"/>
    <cellStyle name="Comma 3 3 2 2 3 2 3 3" xfId="47125" xr:uid="{6E0E22DA-3403-4AEE-AFF4-FC6CF876C91C}"/>
    <cellStyle name="Comma 3 3 2 2 3 2 3 4" xfId="52185" xr:uid="{20281962-50F7-4951-B010-D7B86EC3A9C6}"/>
    <cellStyle name="Comma 3 3 2 2 3 2 3 5" xfId="55201" xr:uid="{A01BD316-B9B3-4296-8C35-7DB3C9958554}"/>
    <cellStyle name="Comma 3 3 2 2 3 2 3 6" xfId="19276" xr:uid="{D6CAC46A-885C-4051-B829-A2CA2D753635}"/>
    <cellStyle name="Comma 3 3 2 2 3 2 4" xfId="15795" xr:uid="{0193C7AA-6B86-4763-82F1-150FAAFD42C3}"/>
    <cellStyle name="Comma 3 3 2 2 3 2 4 2" xfId="23324" xr:uid="{7E374974-CEAC-4429-9B13-B2840C807F65}"/>
    <cellStyle name="Comma 3 3 2 2 3 2 4 3" xfId="24433" xr:uid="{3A2B911F-F5C8-4BA4-AF6A-61EC7E35DED5}"/>
    <cellStyle name="Comma 3 3 2 2 3 2 4 4" xfId="52662" xr:uid="{1E2AE6CC-1CF1-4F66-B32C-12D8D2D56CA6}"/>
    <cellStyle name="Comma 3 3 2 2 3 2 4 5" xfId="55678" xr:uid="{95C1D923-DC9F-48CC-A8EA-02A4376514CB}"/>
    <cellStyle name="Comma 3 3 2 2 3 2 4 6" xfId="19421" xr:uid="{1EAB8ACF-0E86-4D6E-9634-51268C469CAF}"/>
    <cellStyle name="Comma 3 3 2 2 3 2 5" xfId="12857" xr:uid="{D202CC3F-03AD-4B55-9DA3-82BF007B0A55}"/>
    <cellStyle name="Comma 3 3 2 2 3 2 5 2" xfId="47172" xr:uid="{E74C7C32-7D7F-485D-B2F0-BD1FCF1A08E8}"/>
    <cellStyle name="Comma 3 3 2 2 3 2 5 3" xfId="51231" xr:uid="{496CC16A-C1B8-4857-B7F9-8461B8CA62BB}"/>
    <cellStyle name="Comma 3 3 2 2 3 2 5 4" xfId="54247" xr:uid="{B73C217A-7543-46DA-BA02-DFF7C59F5B2E}"/>
    <cellStyle name="Comma 3 3 2 2 3 2 5 5" xfId="21991" xr:uid="{9F2D1917-06DC-47DE-89E1-11D3A011B7FE}"/>
    <cellStyle name="Comma 3 3 2 2 3 2 6" xfId="46110" xr:uid="{0F3DCED0-CE50-4B11-B2CF-9DC54ED69D29}"/>
    <cellStyle name="Comma 3 3 2 2 3 2 7" xfId="50125" xr:uid="{37FED224-B42F-49C5-ACB8-0CFCBE444FCA}"/>
    <cellStyle name="Comma 3 3 2 2 3 2 8" xfId="53141" xr:uid="{A5ED7CAE-9C95-4C81-993E-640B29D71864}"/>
    <cellStyle name="Comma 3 3 2 2 3 2 9" xfId="18938" xr:uid="{22D6B26B-F77B-4102-8C4E-A0E18FFD5CCC}"/>
    <cellStyle name="Comma 3 3 2 2 3 3" xfId="14611" xr:uid="{E6EC4925-F4BC-4E74-A4FE-5D42AEB1CB2C}"/>
    <cellStyle name="Comma 3 3 2 2 3 3 2" xfId="22158" xr:uid="{3A68F25B-1116-4AD0-8DB6-E0A5C9357465}"/>
    <cellStyle name="Comma 3 3 2 2 3 3 3" xfId="48114" xr:uid="{0416081F-A6B5-4EC5-ABF8-643CF150A961}"/>
    <cellStyle name="Comma 3 3 2 2 3 3 4" xfId="51496" xr:uid="{32D1583E-91E8-4754-AC5C-95F79AE42046}"/>
    <cellStyle name="Comma 3 3 2 2 3 3 5" xfId="54512" xr:uid="{DF6E451A-AF40-4A7C-80A9-5AD2196A13DC}"/>
    <cellStyle name="Comma 3 3 2 2 3 3 6" xfId="19073" xr:uid="{DB4E17C9-A5AC-4549-BC4A-6C39C2375CDF}"/>
    <cellStyle name="Comma 3 3 2 2 3 4" xfId="15096" xr:uid="{FCCCD56D-14AA-4595-9CE7-9734A9A2EA6A}"/>
    <cellStyle name="Comma 3 3 2 2 3 4 2" xfId="22635" xr:uid="{A7B3920B-5B00-4876-9314-B7A5D467F48E}"/>
    <cellStyle name="Comma 3 3 2 2 3 4 3" xfId="48414" xr:uid="{6B31ABD8-4FE7-4CED-859F-E58091B311EE}"/>
    <cellStyle name="Comma 3 3 2 2 3 4 4" xfId="51973" xr:uid="{A7FD81B9-CFEC-4995-A87A-DC9E8274F85A}"/>
    <cellStyle name="Comma 3 3 2 2 3 4 5" xfId="54989" xr:uid="{4E774B2C-F5E2-4CAA-A239-6CAEC7A1291F}"/>
    <cellStyle name="Comma 3 3 2 2 3 4 6" xfId="19216" xr:uid="{2BF9B76A-C151-4AE4-8D9B-C926ECB13578}"/>
    <cellStyle name="Comma 3 3 2 2 3 5" xfId="15583" xr:uid="{9858AE68-BDAF-4CCC-B52C-14FC097CF138}"/>
    <cellStyle name="Comma 3 3 2 2 3 5 2" xfId="23112" xr:uid="{5A9B5582-52C7-488E-993A-C2A65A0F7722}"/>
    <cellStyle name="Comma 3 3 2 2 3 5 3" xfId="24436" xr:uid="{46EB2520-0822-4209-B0DE-8530521C82F0}"/>
    <cellStyle name="Comma 3 3 2 2 3 5 4" xfId="52450" xr:uid="{5D245104-7849-4973-BD05-1312C9F793E3}"/>
    <cellStyle name="Comma 3 3 2 2 3 5 5" xfId="55466" xr:uid="{36F25A09-ABCA-462F-A313-3FC0277CD728}"/>
    <cellStyle name="Comma 3 3 2 2 3 5 6" xfId="19361" xr:uid="{F2E23B75-0E7A-4235-9B7E-BD064DA24D5E}"/>
    <cellStyle name="Comma 3 3 2 2 3 6" xfId="12548" xr:uid="{B14253FB-C3A7-4447-A27C-AA91CF2D028A}"/>
    <cellStyle name="Comma 3 3 2 2 3 6 2" xfId="46323" xr:uid="{2FDF292B-E41A-43FA-88BD-922DB1BDECE7}"/>
    <cellStyle name="Comma 3 3 2 2 3 6 3" xfId="51019" xr:uid="{95E41BE2-BD78-4B2A-908E-61271EE677FA}"/>
    <cellStyle name="Comma 3 3 2 2 3 6 4" xfId="54035" xr:uid="{436CCDAD-E4B5-4CE7-BE4A-D4D68AC355D3}"/>
    <cellStyle name="Comma 3 3 2 2 3 6 5" xfId="21931" xr:uid="{0599D99F-9517-42F1-A04A-AEFB3DA9A2C7}"/>
    <cellStyle name="Comma 3 3 2 2 3 7" xfId="46041" xr:uid="{6D32CF88-9BE9-45DF-855C-432922244C25}"/>
    <cellStyle name="Comma 3 3 2 2 3 8" xfId="49913" xr:uid="{C1BDF783-DC88-4F4F-95DF-E3BC08BA80AA}"/>
    <cellStyle name="Comma 3 3 2 2 3 9" xfId="52929" xr:uid="{8E3B032B-105E-4AFF-895E-CCF54AC4155D}"/>
    <cellStyle name="Comma 3 3 2 2 4" xfId="10170" xr:uid="{34B3D3A9-0CE6-4782-9FE1-8B5BA81BE60E}"/>
    <cellStyle name="Comma 3 3 2 2 4 10" xfId="18819" xr:uid="{697554CA-C5DF-469C-AEF7-30E44F0268C1}"/>
    <cellStyle name="Comma 3 3 2 2 4 2" xfId="10484" xr:uid="{C824E401-ECA1-4D75-9D06-BB454C003676}"/>
    <cellStyle name="Comma 3 3 2 2 4 2 2" xfId="14876" xr:uid="{F9C3EB91-ED24-4036-AB88-9C50B797CFB4}"/>
    <cellStyle name="Comma 3 3 2 2 4 2 2 2" xfId="22423" xr:uid="{7601A2FE-AEC5-4D2E-9CB7-9549F1EA1A31}"/>
    <cellStyle name="Comma 3 3 2 2 4 2 2 3" xfId="47667" xr:uid="{11E02FB1-839A-4DBC-A0F6-D0B32250190B}"/>
    <cellStyle name="Comma 3 3 2 2 4 2 2 4" xfId="51761" xr:uid="{A3AEA99B-F892-4BF9-9A48-B00E55F7C00D}"/>
    <cellStyle name="Comma 3 3 2 2 4 2 2 5" xfId="54777" xr:uid="{CD3EDF07-8666-4D4A-BA65-E8A138882953}"/>
    <cellStyle name="Comma 3 3 2 2 4 2 2 6" xfId="19148" xr:uid="{B7F4B667-CCB9-4B7F-A608-BCFFAC7496D4}"/>
    <cellStyle name="Comma 3 3 2 2 4 2 3" xfId="15361" xr:uid="{4CCF2278-5E7F-4419-8224-86C5070DB9B9}"/>
    <cellStyle name="Comma 3 3 2 2 4 2 3 2" xfId="22900" xr:uid="{97F3CC11-8E40-4774-A785-61743B13F266}"/>
    <cellStyle name="Comma 3 3 2 2 4 2 3 3" xfId="47110" xr:uid="{9DCE3C17-1872-4FDA-A19B-E68B0524E29D}"/>
    <cellStyle name="Comma 3 3 2 2 4 2 3 4" xfId="52238" xr:uid="{207B8005-1C38-4F5F-B7A3-0284B25BBA4B}"/>
    <cellStyle name="Comma 3 3 2 2 4 2 3 5" xfId="55254" xr:uid="{51ACE392-BA0A-4798-A188-E1EEEA64120B}"/>
    <cellStyle name="Comma 3 3 2 2 4 2 3 6" xfId="19291" xr:uid="{A8683BA8-EB5B-4BAC-98EE-AA7CCED9BFA3}"/>
    <cellStyle name="Comma 3 3 2 2 4 2 4" xfId="15848" xr:uid="{66B87698-D898-48D1-BC35-62E6A3FE25A0}"/>
    <cellStyle name="Comma 3 3 2 2 4 2 4 2" xfId="23377" xr:uid="{D922E64A-69C9-4709-810F-024ED8B1F320}"/>
    <cellStyle name="Comma 3 3 2 2 4 2 4 3" xfId="47355" xr:uid="{EFB4819C-9B59-495E-A774-9C99E64DD6FE}"/>
    <cellStyle name="Comma 3 3 2 2 4 2 4 4" xfId="52715" xr:uid="{E9FC62E5-0B10-40BD-A3D5-F055636DCA49}"/>
    <cellStyle name="Comma 3 3 2 2 4 2 4 5" xfId="55731" xr:uid="{0A773F04-F964-458B-879D-CC1F3A3EF438}"/>
    <cellStyle name="Comma 3 3 2 2 4 2 4 6" xfId="19436" xr:uid="{E164D8B8-546C-4E1C-8CF6-FB41C2F8BFE0}"/>
    <cellStyle name="Comma 3 3 2 2 4 2 5" xfId="12937" xr:uid="{6357A216-E4D8-4DEF-8678-41CC0F14BCA3}"/>
    <cellStyle name="Comma 3 3 2 2 4 2 5 2" xfId="24477" xr:uid="{9E1CB38F-C9EA-4DDF-A33E-778E0FA13770}"/>
    <cellStyle name="Comma 3 3 2 2 4 2 5 3" xfId="51284" xr:uid="{E85DC153-BCFC-4C6B-A952-0749661BC7C1}"/>
    <cellStyle name="Comma 3 3 2 2 4 2 5 4" xfId="54300" xr:uid="{C3BA20AE-6C54-4C03-804A-25C6B3007C3A}"/>
    <cellStyle name="Comma 3 3 2 2 4 2 5 5" xfId="22006" xr:uid="{4ACDE3E6-5A88-4A01-B150-8EA95C4AC5E5}"/>
    <cellStyle name="Comma 3 3 2 2 4 2 6" xfId="47885" xr:uid="{C1047794-1D99-4E27-92AA-17EEAA188EF0}"/>
    <cellStyle name="Comma 3 3 2 2 4 2 7" xfId="50178" xr:uid="{133BB624-C239-4FBF-BC01-970B6EDD0E74}"/>
    <cellStyle name="Comma 3 3 2 2 4 2 8" xfId="53194" xr:uid="{2D6AB77C-2139-44A1-99AC-9D151EAC8F67}"/>
    <cellStyle name="Comma 3 3 2 2 4 2 9" xfId="18980" xr:uid="{F7089A33-712E-4074-A90B-D79DD3F9844E}"/>
    <cellStyle name="Comma 3 3 2 2 4 3" xfId="14664" xr:uid="{0E3EBD98-420A-41AE-848A-AEA9363D9D85}"/>
    <cellStyle name="Comma 3 3 2 2 4 3 2" xfId="22211" xr:uid="{B54FA7CB-D226-4925-BD45-DD0AE6ECBC62}"/>
    <cellStyle name="Comma 3 3 2 2 4 3 3" xfId="48243" xr:uid="{926DA584-9324-4D5B-A749-409E09929BD3}"/>
    <cellStyle name="Comma 3 3 2 2 4 3 4" xfId="51549" xr:uid="{765852DD-0A4D-41B4-8473-96733A374F55}"/>
    <cellStyle name="Comma 3 3 2 2 4 3 5" xfId="54565" xr:uid="{EBAC977C-E165-4E32-AA3F-3BA0701398D8}"/>
    <cellStyle name="Comma 3 3 2 2 4 3 6" xfId="19088" xr:uid="{F80852E2-925B-4CE5-8D8D-DF9362264221}"/>
    <cellStyle name="Comma 3 3 2 2 4 4" xfId="15149" xr:uid="{E2B8A7A9-81B8-4B2E-A88A-9973EA23041A}"/>
    <cellStyle name="Comma 3 3 2 2 4 4 2" xfId="22688" xr:uid="{33FF66F6-CCD5-47FF-ACFA-FE00D1F28BF5}"/>
    <cellStyle name="Comma 3 3 2 2 4 4 3" xfId="47269" xr:uid="{7E60BCB5-F43B-48B4-B19D-7A50540F5CEF}"/>
    <cellStyle name="Comma 3 3 2 2 4 4 4" xfId="52026" xr:uid="{AB2FEEA3-E729-42AE-90EA-6F4DEDF9A146}"/>
    <cellStyle name="Comma 3 3 2 2 4 4 5" xfId="55042" xr:uid="{4F0014C0-24F4-4380-A7CD-16652E37B2B6}"/>
    <cellStyle name="Comma 3 3 2 2 4 4 6" xfId="19231" xr:uid="{1AE329BA-A4C6-498A-8308-D4BDD86D124D}"/>
    <cellStyle name="Comma 3 3 2 2 4 5" xfId="15636" xr:uid="{7C403774-BB2C-439E-88F8-6185F9CF49E4}"/>
    <cellStyle name="Comma 3 3 2 2 4 5 2" xfId="23165" xr:uid="{6B5F6F4E-CF15-46C2-BED1-73297F04802C}"/>
    <cellStyle name="Comma 3 3 2 2 4 5 3" xfId="46562" xr:uid="{9B6B908B-41EF-4647-8D6D-D81F38586B20}"/>
    <cellStyle name="Comma 3 3 2 2 4 5 4" xfId="52503" xr:uid="{21ACECF3-A5C6-457C-9A5A-2054D14FE7E1}"/>
    <cellStyle name="Comma 3 3 2 2 4 5 5" xfId="55519" xr:uid="{E7EAD8BA-4CBE-4578-B152-8C0895265A0B}"/>
    <cellStyle name="Comma 3 3 2 2 4 5 6" xfId="19376" xr:uid="{3EFA5BE1-D17D-48A8-ABAB-2CEF17B42FB0}"/>
    <cellStyle name="Comma 3 3 2 2 4 6" xfId="12624" xr:uid="{04C77342-F455-4FF9-8ACE-9A26C7445884}"/>
    <cellStyle name="Comma 3 3 2 2 4 6 2" xfId="47050" xr:uid="{F3B8115F-DDB2-439D-8592-00030FE25651}"/>
    <cellStyle name="Comma 3 3 2 2 4 6 3" xfId="51072" xr:uid="{0BFF2684-718B-4D95-BA80-6E332D9AB7A9}"/>
    <cellStyle name="Comma 3 3 2 2 4 6 4" xfId="54088" xr:uid="{584C78CE-522C-4136-84AF-4C544FC02BDE}"/>
    <cellStyle name="Comma 3 3 2 2 4 6 5" xfId="21946" xr:uid="{94640B1E-C635-4A50-A29C-95617FBDC143}"/>
    <cellStyle name="Comma 3 3 2 2 4 7" xfId="47874" xr:uid="{9271AD17-2652-4217-89AE-0285A31873F7}"/>
    <cellStyle name="Comma 3 3 2 2 4 8" xfId="49966" xr:uid="{B2D55D78-FEF6-4A63-8294-DEAFBF1FC741}"/>
    <cellStyle name="Comma 3 3 2 2 4 9" xfId="52982" xr:uid="{E5D9C3B6-48CF-472F-9012-A0BB28A29162}"/>
    <cellStyle name="Comma 3 3 2 2 5" xfId="10250" xr:uid="{167DB3A2-9585-464A-87D2-C610A693E802}"/>
    <cellStyle name="Comma 3 3 2 2 5 2" xfId="14717" xr:uid="{5D3CD295-5E7E-491C-AB14-290BE6D9B4EC}"/>
    <cellStyle name="Comma 3 3 2 2 5 2 2" xfId="22264" xr:uid="{56A34516-39E9-4469-84CA-139F8AD6369F}"/>
    <cellStyle name="Comma 3 3 2 2 5 2 3" xfId="47239" xr:uid="{5DECFDB9-BA0D-47C5-B895-46AF21ABC797}"/>
    <cellStyle name="Comma 3 3 2 2 5 2 4" xfId="51602" xr:uid="{3086D0A8-6C7A-42B1-B551-F49599BD888A}"/>
    <cellStyle name="Comma 3 3 2 2 5 2 5" xfId="54618" xr:uid="{4CE0D671-AD44-4B64-B1EC-94E168B755DF}"/>
    <cellStyle name="Comma 3 3 2 2 5 2 6" xfId="19103" xr:uid="{16D325E9-B23A-4679-9145-20252914F4EF}"/>
    <cellStyle name="Comma 3 3 2 2 5 3" xfId="15202" xr:uid="{43A64320-D8B5-48ED-B67C-9FC856A8E7C7}"/>
    <cellStyle name="Comma 3 3 2 2 5 3 2" xfId="22741" xr:uid="{345DF0E9-51D4-4849-9423-7F2A1B411DC3}"/>
    <cellStyle name="Comma 3 3 2 2 5 3 3" xfId="47383" xr:uid="{EC0F5A93-D754-4CC7-B680-6EB625C62755}"/>
    <cellStyle name="Comma 3 3 2 2 5 3 4" xfId="52079" xr:uid="{8796E43D-FE45-45E8-97E3-AA31AEF6060D}"/>
    <cellStyle name="Comma 3 3 2 2 5 3 5" xfId="55095" xr:uid="{E955041F-188F-4066-8ACC-64B2EBD63C0C}"/>
    <cellStyle name="Comma 3 3 2 2 5 3 6" xfId="19246" xr:uid="{6E78F9B0-BD5E-4554-B1BC-2F13FFD87BD1}"/>
    <cellStyle name="Comma 3 3 2 2 5 4" xfId="15689" xr:uid="{3ACCEED7-91B6-4BBA-9A44-6D355C2FA216}"/>
    <cellStyle name="Comma 3 3 2 2 5 4 2" xfId="23218" xr:uid="{AFEBA153-7599-4B98-B9A3-D576CAF9E4C2}"/>
    <cellStyle name="Comma 3 3 2 2 5 4 3" xfId="24434" xr:uid="{E42DB1FC-8C53-41EE-993A-12F36C324F9B}"/>
    <cellStyle name="Comma 3 3 2 2 5 4 4" xfId="52556" xr:uid="{C3A2F0E3-8E72-4AC4-97B2-6986B22F9BFE}"/>
    <cellStyle name="Comma 3 3 2 2 5 4 5" xfId="55572" xr:uid="{24D4EDC8-E3D4-4AC3-8663-D662A9A49EA8}"/>
    <cellStyle name="Comma 3 3 2 2 5 4 6" xfId="19391" xr:uid="{CB45B9F1-2D78-48C6-9E09-62BA58195D6F}"/>
    <cellStyle name="Comma 3 3 2 2 5 5" xfId="12703" xr:uid="{4272E9FC-78BD-4857-A896-AB1D984A9BDF}"/>
    <cellStyle name="Comma 3 3 2 2 5 5 2" xfId="48050" xr:uid="{5E415C7D-0AF5-4B9B-ACA7-3858CD3058D2}"/>
    <cellStyle name="Comma 3 3 2 2 5 5 3" xfId="51125" xr:uid="{6D2E83CE-D2F2-4E66-87A5-13C31896822E}"/>
    <cellStyle name="Comma 3 3 2 2 5 5 4" xfId="54141" xr:uid="{BBEAB586-4D14-47EA-931D-94CCD8B17507}"/>
    <cellStyle name="Comma 3 3 2 2 5 5 5" xfId="21961" xr:uid="{322EE1E8-82AF-41A2-A60E-136608065BF1}"/>
    <cellStyle name="Comma 3 3 2 2 5 6" xfId="46621" xr:uid="{13937503-B5F3-49CE-9AC7-D4EE51E8BE2D}"/>
    <cellStyle name="Comma 3 3 2 2 5 7" xfId="50019" xr:uid="{99EAD003-78B2-4B32-8100-D3D4C3B0A400}"/>
    <cellStyle name="Comma 3 3 2 2 5 8" xfId="53035" xr:uid="{C43C7671-E88C-4285-9A23-E1C2FED5AE54}"/>
    <cellStyle name="Comma 3 3 2 2 5 9" xfId="18860" xr:uid="{51DFE3F9-0B3C-402C-AC15-D6C6221BC7A6}"/>
    <cellStyle name="Comma 3 3 2 2 6" xfId="10564" xr:uid="{603FB061-626C-4707-BBAB-FCC271611E93}"/>
    <cellStyle name="Comma 3 3 2 2 6 2" xfId="14929" xr:uid="{5347687F-C5A0-4792-9F9C-1B479A879F4E}"/>
    <cellStyle name="Comma 3 3 2 2 6 2 2" xfId="22476" xr:uid="{53B54F3E-2225-4CBE-A8F3-D623D875B10B}"/>
    <cellStyle name="Comma 3 3 2 2 6 2 3" xfId="47540" xr:uid="{3A81C107-4F14-4B29-B5A9-91C7A8FD590D}"/>
    <cellStyle name="Comma 3 3 2 2 6 2 4" xfId="51814" xr:uid="{9C8DF9D8-2BDD-41E9-9C2E-54C144E149E0}"/>
    <cellStyle name="Comma 3 3 2 2 6 2 5" xfId="54830" xr:uid="{82B87A2E-DDD4-458D-B1CA-935F06BBFE0E}"/>
    <cellStyle name="Comma 3 3 2 2 6 2 6" xfId="19163" xr:uid="{8B3D0990-E046-41C6-86D2-774C168306AA}"/>
    <cellStyle name="Comma 3 3 2 2 6 3" xfId="15414" xr:uid="{4534C6C1-F808-495C-91E7-0414A114256F}"/>
    <cellStyle name="Comma 3 3 2 2 6 3 2" xfId="22953" xr:uid="{AD05786E-F4E5-4AD9-8E43-68933B65FDA2}"/>
    <cellStyle name="Comma 3 3 2 2 6 3 3" xfId="24901" xr:uid="{83C5D732-BE69-486C-A654-170092413A61}"/>
    <cellStyle name="Comma 3 3 2 2 6 3 4" xfId="52291" xr:uid="{DC9373D3-83DB-45A3-8C35-B8CDBC556C2C}"/>
    <cellStyle name="Comma 3 3 2 2 6 3 5" xfId="55307" xr:uid="{5C957E35-B442-431F-905C-4A89412FDB95}"/>
    <cellStyle name="Comma 3 3 2 2 6 3 6" xfId="19306" xr:uid="{61D46606-8990-45E4-B237-9827105FB17C}"/>
    <cellStyle name="Comma 3 3 2 2 6 4" xfId="15902" xr:uid="{275C3E65-FCB5-4F78-AA46-D35C4CB2BC37}"/>
    <cellStyle name="Comma 3 3 2 2 6 4 2" xfId="23430" xr:uid="{47F9E802-5E4C-4BCC-A04B-B31A9C5DD213}"/>
    <cellStyle name="Comma 3 3 2 2 6 4 3" xfId="47083" xr:uid="{34ED4C92-4849-436E-9445-4495B1D11AA7}"/>
    <cellStyle name="Comma 3 3 2 2 6 4 4" xfId="52768" xr:uid="{23803C54-4058-4CA6-A418-A18AE3639265}"/>
    <cellStyle name="Comma 3 3 2 2 6 4 5" xfId="55784" xr:uid="{5E58897A-2452-42C3-8615-247EDD2203E3}"/>
    <cellStyle name="Comma 3 3 2 2 6 4 6" xfId="19452" xr:uid="{08B6026E-43B4-4E30-896E-88811CEC7215}"/>
    <cellStyle name="Comma 3 3 2 2 6 5" xfId="13017" xr:uid="{6F4DAD38-1A0E-4C97-A7CF-6D151A8352E7}"/>
    <cellStyle name="Comma 3 3 2 2 6 5 2" xfId="32550" xr:uid="{D78D4EC1-5BF6-4585-BC10-24A63F3AEBA2}"/>
    <cellStyle name="Comma 3 3 2 2 6 5 3" xfId="51337" xr:uid="{4762E3D2-A96E-4455-B0D4-1347CFFAA6E5}"/>
    <cellStyle name="Comma 3 3 2 2 6 5 4" xfId="54353" xr:uid="{0188E51A-A6CD-4359-9A8D-55482DB35A95}"/>
    <cellStyle name="Comma 3 3 2 2 6 5 5" xfId="22021" xr:uid="{72D9F5FC-5BCB-4B26-AF60-49BE2AA72EBC}"/>
    <cellStyle name="Comma 3 3 2 2 6 6" xfId="48235" xr:uid="{09EF5354-B0F6-4170-B76B-BF243DA3E828}"/>
    <cellStyle name="Comma 3 3 2 2 6 7" xfId="50231" xr:uid="{BCA97CF8-4BE8-48FE-8B2D-3BB59070699E}"/>
    <cellStyle name="Comma 3 3 2 2 6 8" xfId="53247" xr:uid="{DCB6C015-921D-4840-A8D0-60AA487E5B85}"/>
    <cellStyle name="Comma 3 3 2 2 6 9" xfId="19022" xr:uid="{5E3B02FF-9A2A-4319-86DB-0860318F3234}"/>
    <cellStyle name="Comma 3 3 2 2 7" xfId="14505" xr:uid="{B7C3C0A5-7429-4F59-8679-71A6C6CFCD88}"/>
    <cellStyle name="Comma 3 3 2 2 7 2" xfId="22052" xr:uid="{D7389CE7-EDA7-4EBE-845B-8B3271DFB1ED}"/>
    <cellStyle name="Comma 3 3 2 2 7 3" xfId="32549" xr:uid="{70D70712-7B41-4810-8137-76E6B526536B}"/>
    <cellStyle name="Comma 3 3 2 2 7 4" xfId="51390" xr:uid="{E62057ED-84FD-44D0-B051-DA39620FE1DD}"/>
    <cellStyle name="Comma 3 3 2 2 7 5" xfId="54406" xr:uid="{8907CF41-E2F4-4D80-B1E1-1E5E4D2A8589}"/>
    <cellStyle name="Comma 3 3 2 2 7 6" xfId="19043" xr:uid="{BFD3D89B-8B14-4519-9D96-3AD2F7A13CB6}"/>
    <cellStyle name="Comma 3 3 2 2 8" xfId="14989" xr:uid="{477BAE71-6675-41B9-BF41-AC4327AAFFC0}"/>
    <cellStyle name="Comma 3 3 2 2 8 2" xfId="22529" xr:uid="{28AEAA75-D425-48BE-8A8C-32C30AC92E82}"/>
    <cellStyle name="Comma 3 3 2 2 8 3" xfId="46462" xr:uid="{08DA489B-E598-429B-8AD1-122375D49B9B}"/>
    <cellStyle name="Comma 3 3 2 2 8 4" xfId="51867" xr:uid="{A0314253-272D-43DA-A617-62C07DA6EABE}"/>
    <cellStyle name="Comma 3 3 2 2 8 5" xfId="54883" xr:uid="{A1A96467-00D4-48DA-A84D-4F3265D3B430}"/>
    <cellStyle name="Comma 3 3 2 2 8 6" xfId="19185" xr:uid="{AB49FADF-6F2E-4C31-8D19-1C1B224F2AD5}"/>
    <cellStyle name="Comma 3 3 2 2 9" xfId="15476" xr:uid="{B8006023-2C6B-446D-80B8-5EA610025CD8}"/>
    <cellStyle name="Comma 3 3 2 2 9 2" xfId="23006" xr:uid="{65FF21B1-68C0-4850-9098-9788B769D733}"/>
    <cellStyle name="Comma 3 3 2 2 9 3" xfId="32397" xr:uid="{2A1400CB-DC4B-4B7E-9FFC-D657843494E4}"/>
    <cellStyle name="Comma 3 3 2 2 9 4" xfId="52344" xr:uid="{18BF7CA9-2221-4F8A-8FB1-4E47509A7A3C}"/>
    <cellStyle name="Comma 3 3 2 2 9 5" xfId="55360" xr:uid="{59F4170F-AF01-4245-A977-B89818787D4D}"/>
    <cellStyle name="Comma 3 3 2 2 9 6" xfId="19330" xr:uid="{628ED4CC-7C9F-492C-A12F-053158B2178B}"/>
    <cellStyle name="Comma 3 3 2 3" xfId="10016" xr:uid="{C8978A96-B6ED-486D-9544-8B313B7F461B}"/>
    <cellStyle name="Comma 3 3 2 3 10" xfId="18747" xr:uid="{1AE98A55-0FBB-4099-9050-9AA30A96D5E2}"/>
    <cellStyle name="Comma 3 3 2 3 2" xfId="10324" xr:uid="{BAE18317-6844-4FEF-A15D-D6B332A76043}"/>
    <cellStyle name="Comma 3 3 2 3 2 2" xfId="14769" xr:uid="{48DE4AA1-47A6-4242-92D8-5A21DFF82E47}"/>
    <cellStyle name="Comma 3 3 2 3 2 2 2" xfId="22316" xr:uid="{6C649CDC-0BF9-43F6-A193-4B996E99D617}"/>
    <cellStyle name="Comma 3 3 2 3 2 2 3" xfId="48570" xr:uid="{9C15A1DB-E90A-4B64-AC6A-EB2077816CD0}"/>
    <cellStyle name="Comma 3 3 2 3 2 2 4" xfId="51654" xr:uid="{78BC5CC2-AEE7-4E25-B018-CEF2653FDA3A}"/>
    <cellStyle name="Comma 3 3 2 3 2 2 5" xfId="54670" xr:uid="{1E232DC9-A6A5-4B90-BB83-459684F249A9}"/>
    <cellStyle name="Comma 3 3 2 3 2 2 6" xfId="19117" xr:uid="{6BC6EE93-1A49-4E1B-A29C-01E65F60EA12}"/>
    <cellStyle name="Comma 3 3 2 3 2 3" xfId="15254" xr:uid="{FC2479F1-6F6E-42F3-9715-1DCF10EB4425}"/>
    <cellStyle name="Comma 3 3 2 3 2 3 2" xfId="22793" xr:uid="{D0B452A0-4293-4F74-8C81-01FFFF84378F}"/>
    <cellStyle name="Comma 3 3 2 3 2 3 3" xfId="46897" xr:uid="{AEF15A94-9877-4004-8449-6A143FEF7E36}"/>
    <cellStyle name="Comma 3 3 2 3 2 3 4" xfId="52131" xr:uid="{B1701092-AF13-4598-B97E-E3E1521AF3A5}"/>
    <cellStyle name="Comma 3 3 2 3 2 3 5" xfId="55147" xr:uid="{DE1ED104-9037-47C8-9DF1-11ADDEBF4863}"/>
    <cellStyle name="Comma 3 3 2 3 2 3 6" xfId="19260" xr:uid="{97D8C614-276B-4EBD-8107-A2BA9BF7F47A}"/>
    <cellStyle name="Comma 3 3 2 3 2 4" xfId="15741" xr:uid="{FAA809FD-8CBB-471A-9A25-69B23A22C790}"/>
    <cellStyle name="Comma 3 3 2 3 2 4 2" xfId="23270" xr:uid="{FE769534-F687-495C-B5E5-394D7099F276}"/>
    <cellStyle name="Comma 3 3 2 3 2 4 3" xfId="48082" xr:uid="{41E31879-7BFA-41D4-9D07-97908CA8BA8F}"/>
    <cellStyle name="Comma 3 3 2 3 2 4 4" xfId="52608" xr:uid="{1F6235D2-016B-4374-AC2B-372A75934D5C}"/>
    <cellStyle name="Comma 3 3 2 3 2 4 5" xfId="55624" xr:uid="{03F2168A-413A-4726-9BC3-9D7B99E677B8}"/>
    <cellStyle name="Comma 3 3 2 3 2 4 6" xfId="19405" xr:uid="{A89F605D-540E-4CB7-96E5-3FC16B1E54E3}"/>
    <cellStyle name="Comma 3 3 2 3 2 5" xfId="12777" xr:uid="{215B8A4D-75B6-4A46-B5C2-0EAC5150DC2B}"/>
    <cellStyle name="Comma 3 3 2 3 2 5 2" xfId="24213" xr:uid="{FD4E68BE-8816-4B1A-8888-EFAAEBA9AC21}"/>
    <cellStyle name="Comma 3 3 2 3 2 5 3" xfId="51177" xr:uid="{D9562295-2AA8-46D5-957A-105BC67D1874}"/>
    <cellStyle name="Comma 3 3 2 3 2 5 4" xfId="54193" xr:uid="{03ED0AC0-3968-4B42-9BC5-35F5D9875F9D}"/>
    <cellStyle name="Comma 3 3 2 3 2 5 5" xfId="21975" xr:uid="{4C553271-39CA-422A-9F74-3D7876205710}"/>
    <cellStyle name="Comma 3 3 2 3 2 6" xfId="48377" xr:uid="{32D6D3E8-77F1-4E9E-83CE-F10120D26D6A}"/>
    <cellStyle name="Comma 3 3 2 3 2 7" xfId="50071" xr:uid="{E9482CEA-707C-4196-BEAB-2E87824540ED}"/>
    <cellStyle name="Comma 3 3 2 3 2 8" xfId="53087" xr:uid="{50BBE4C5-F085-4693-99AE-0CA4FF9D677D}"/>
    <cellStyle name="Comma 3 3 2 3 2 9" xfId="18896" xr:uid="{9718A623-2CB2-445F-AD21-B16989B58E9B}"/>
    <cellStyle name="Comma 3 3 2 3 3" xfId="14557" xr:uid="{FF6B17F1-3F94-494C-AECF-C2B8E8712CBC}"/>
    <cellStyle name="Comma 3 3 2 3 3 2" xfId="22104" xr:uid="{98BAD240-854A-432D-A790-BCB558646FDD}"/>
    <cellStyle name="Comma 3 3 2 3 3 3" xfId="24193" xr:uid="{BBBEDB98-E6D0-490C-89D8-DA84E781C1A4}"/>
    <cellStyle name="Comma 3 3 2 3 3 4" xfId="51442" xr:uid="{32E37B56-0EB5-48C1-AFD0-3BBA815856B0}"/>
    <cellStyle name="Comma 3 3 2 3 3 5" xfId="54458" xr:uid="{A5B9A645-D6CA-43F7-9AC7-5F549411B656}"/>
    <cellStyle name="Comma 3 3 2 3 3 6" xfId="19057" xr:uid="{8619168E-E38A-40B7-9207-028422D556F1}"/>
    <cellStyle name="Comma 3 3 2 3 4" xfId="15041" xr:uid="{AA8CC1D9-62B3-47D7-80CE-50B1E1F323E0}"/>
    <cellStyle name="Comma 3 3 2 3 4 2" xfId="22581" xr:uid="{6BD827E8-30F7-40EC-9EF1-5F1D817E593D}"/>
    <cellStyle name="Comma 3 3 2 3 4 3" xfId="46686" xr:uid="{FF03155E-7FAB-4BF1-81F6-35F07202804A}"/>
    <cellStyle name="Comma 3 3 2 3 4 4" xfId="51919" xr:uid="{FB095A81-9250-4EFC-BAD0-83CD2AE455AA}"/>
    <cellStyle name="Comma 3 3 2 3 4 5" xfId="54935" xr:uid="{64CA5A7B-529B-4AA4-AD8E-8EED8D826650}"/>
    <cellStyle name="Comma 3 3 2 3 4 6" xfId="19199" xr:uid="{47DE50E2-57AE-4EF5-A5B8-1614E1DC997B}"/>
    <cellStyle name="Comma 3 3 2 3 5" xfId="15528" xr:uid="{7E618F79-AB1F-4BAA-BC7F-29C5D0560978}"/>
    <cellStyle name="Comma 3 3 2 3 5 2" xfId="23058" xr:uid="{FA7FB2E4-B914-4D2F-8BD8-2ECFE63804DE}"/>
    <cellStyle name="Comma 3 3 2 3 5 3" xfId="46930" xr:uid="{A312F77E-642E-431D-9D68-774A7602B7CA}"/>
    <cellStyle name="Comma 3 3 2 3 5 4" xfId="52396" xr:uid="{7C79E681-D950-4A73-B92E-83B21A25DC0C}"/>
    <cellStyle name="Comma 3 3 2 3 5 5" xfId="55412" xr:uid="{487D0F3C-6E99-479D-B2CE-8BFAA460A3B8}"/>
    <cellStyle name="Comma 3 3 2 3 5 6" xfId="19344" xr:uid="{FB164A49-F237-477D-82EB-5493A1FBE696}"/>
    <cellStyle name="Comma 3 3 2 3 6" xfId="12476" xr:uid="{3312385D-7FC1-4C97-99A2-5C4431714704}"/>
    <cellStyle name="Comma 3 3 2 3 6 2" xfId="47523" xr:uid="{E68E3929-BB70-432D-8AC1-DCD3A90F1A35}"/>
    <cellStyle name="Comma 3 3 2 3 6 3" xfId="50965" xr:uid="{32B3E02E-DCD5-4D92-A16B-8B92730F6253}"/>
    <cellStyle name="Comma 3 3 2 3 6 4" xfId="53981" xr:uid="{B4663765-CDF7-48FA-A1BE-318EBE6935C4}"/>
    <cellStyle name="Comma 3 3 2 3 6 5" xfId="21914" xr:uid="{E6632E8D-49B9-4F43-A9C4-9257B49E6CEF}"/>
    <cellStyle name="Comma 3 3 2 3 7" xfId="48445" xr:uid="{8723D09B-6864-4EFB-9547-B65B90DAB38B}"/>
    <cellStyle name="Comma 3 3 2 3 8" xfId="49859" xr:uid="{9B17A866-2595-4762-B112-253D5745B698}"/>
    <cellStyle name="Comma 3 3 2 3 9" xfId="52875" xr:uid="{93304566-5322-4DC9-ADD9-2875A96BE1AE}"/>
    <cellStyle name="Comma 3 3 2 4" xfId="10090" xr:uid="{B6F96063-E1EB-4BDA-97B2-82B36C055FF4}"/>
    <cellStyle name="Comma 3 3 2 4 10" xfId="18780" xr:uid="{C5F7AE6C-6B2B-425E-8907-089F80F2EC82}"/>
    <cellStyle name="Comma 3 3 2 4 2" xfId="10403" xr:uid="{C3B496AF-5841-48E5-9BC6-F4C3D6D2624D}"/>
    <cellStyle name="Comma 3 3 2 4 2 2" xfId="14822" xr:uid="{5FC0CB54-0C5C-4BA4-A777-112676564F6E}"/>
    <cellStyle name="Comma 3 3 2 4 2 2 2" xfId="22369" xr:uid="{3C86717D-7AC0-49DF-88D3-07987FF6E9F9}"/>
    <cellStyle name="Comma 3 3 2 4 2 2 3" xfId="48409" xr:uid="{7D8A3A17-80CA-45F6-AB7E-A287EFDFA5AF}"/>
    <cellStyle name="Comma 3 3 2 4 2 2 4" xfId="51707" xr:uid="{A63FDEA2-8EF6-4088-9102-E4EC6FC15C67}"/>
    <cellStyle name="Comma 3 3 2 4 2 2 5" xfId="54723" xr:uid="{42624D33-D5F3-4139-BEDD-65D1B3A0E7B4}"/>
    <cellStyle name="Comma 3 3 2 4 2 2 6" xfId="19132" xr:uid="{FD4C34EF-3B79-4EAE-ACC2-89CEC52A38B2}"/>
    <cellStyle name="Comma 3 3 2 4 2 3" xfId="15307" xr:uid="{1BA243E0-8D39-4BFF-A10B-08262D1F60F4}"/>
    <cellStyle name="Comma 3 3 2 4 2 3 2" xfId="22846" xr:uid="{D4C52E0C-9791-4E12-83D0-69D90DD8C55E}"/>
    <cellStyle name="Comma 3 3 2 4 2 3 3" xfId="46514" xr:uid="{6A465D51-040B-4B42-ADC5-457790723669}"/>
    <cellStyle name="Comma 3 3 2 4 2 3 4" xfId="52184" xr:uid="{552EFB68-7B33-42E4-9924-40D651AD86A1}"/>
    <cellStyle name="Comma 3 3 2 4 2 3 5" xfId="55200" xr:uid="{79D83715-AB6B-4671-9FED-0F13AE72624B}"/>
    <cellStyle name="Comma 3 3 2 4 2 3 6" xfId="19275" xr:uid="{4C2B7263-5724-4696-9364-32CBE800B6F7}"/>
    <cellStyle name="Comma 3 3 2 4 2 4" xfId="15794" xr:uid="{39FC0849-3752-4473-8345-46581B45D9F5}"/>
    <cellStyle name="Comma 3 3 2 4 2 4 2" xfId="23323" xr:uid="{B9437E33-76A9-4308-B6F6-49EF283F9C2D}"/>
    <cellStyle name="Comma 3 3 2 4 2 4 3" xfId="48544" xr:uid="{FB7DC876-DC56-4942-98DE-FAFA7D334157}"/>
    <cellStyle name="Comma 3 3 2 4 2 4 4" xfId="52661" xr:uid="{BED6EEE3-A048-4B8C-BB2C-6061838D0695}"/>
    <cellStyle name="Comma 3 3 2 4 2 4 5" xfId="55677" xr:uid="{5D69C59E-3DE2-4061-B05F-80F04BD83119}"/>
    <cellStyle name="Comma 3 3 2 4 2 4 6" xfId="19420" xr:uid="{D826B784-CB4A-42F0-8FEE-0D12F3AC9A2E}"/>
    <cellStyle name="Comma 3 3 2 4 2 5" xfId="12856" xr:uid="{73C81A1A-E340-4E79-84CC-F6C8D0E2A4A4}"/>
    <cellStyle name="Comma 3 3 2 4 2 5 2" xfId="46802" xr:uid="{59F753DA-B325-4F8B-87E7-7A3500D4921C}"/>
    <cellStyle name="Comma 3 3 2 4 2 5 3" xfId="51230" xr:uid="{6AF496B5-7063-4F57-B48F-CAC82AAFB8AF}"/>
    <cellStyle name="Comma 3 3 2 4 2 5 4" xfId="54246" xr:uid="{C71DC756-37E8-4E58-AFFC-EDC0C75E7149}"/>
    <cellStyle name="Comma 3 3 2 4 2 5 5" xfId="21990" xr:uid="{ED021C19-B80A-41F0-9393-A076E95F7B9B}"/>
    <cellStyle name="Comma 3 3 2 4 2 6" xfId="48158" xr:uid="{336D626F-DAF1-44EE-BCC1-9ED1DBCF9BF8}"/>
    <cellStyle name="Comma 3 3 2 4 2 7" xfId="50124" xr:uid="{C23FA528-9A7E-4C69-88CA-2C722FA187AB}"/>
    <cellStyle name="Comma 3 3 2 4 2 8" xfId="53140" xr:uid="{EB8E5CA4-125D-4E9F-BC27-C1983B9E98A1}"/>
    <cellStyle name="Comma 3 3 2 4 2 9" xfId="18937" xr:uid="{92C64FF9-FAE2-4B49-A3E3-3AC9F8D1F4CC}"/>
    <cellStyle name="Comma 3 3 2 4 3" xfId="14610" xr:uid="{BE6D4057-A144-46E1-8B14-49D3C4B0B79D}"/>
    <cellStyle name="Comma 3 3 2 4 3 2" xfId="22157" xr:uid="{E47D4199-87EA-4243-A835-64A2DD38777C}"/>
    <cellStyle name="Comma 3 3 2 4 3 3" xfId="24971" xr:uid="{A1F8EDD3-ED15-410F-8D82-41E1978207F1}"/>
    <cellStyle name="Comma 3 3 2 4 3 4" xfId="51495" xr:uid="{3B6F4D2B-E8D5-4324-BEDC-D26EAB62D653}"/>
    <cellStyle name="Comma 3 3 2 4 3 5" xfId="54511" xr:uid="{D6F20E56-DC0F-4905-BCAF-01194A4A8157}"/>
    <cellStyle name="Comma 3 3 2 4 3 6" xfId="19072" xr:uid="{0386C4B4-448E-41CF-BE22-3350E744D579}"/>
    <cellStyle name="Comma 3 3 2 4 4" xfId="15095" xr:uid="{66C00D13-18B8-4D85-B085-D4FDE680087C}"/>
    <cellStyle name="Comma 3 3 2 4 4 2" xfId="22634" xr:uid="{E55EEE7A-9066-4BF3-869B-EE350DDF116C}"/>
    <cellStyle name="Comma 3 3 2 4 4 3" xfId="47718" xr:uid="{4B1A58B2-752D-4989-BF8C-95E22D2D18B2}"/>
    <cellStyle name="Comma 3 3 2 4 4 4" xfId="51972" xr:uid="{1AFF8444-EA70-40C9-B509-4F4C47A424B7}"/>
    <cellStyle name="Comma 3 3 2 4 4 5" xfId="54988" xr:uid="{8FD43A0E-906D-41A1-A501-2414C1933A4F}"/>
    <cellStyle name="Comma 3 3 2 4 4 6" xfId="19215" xr:uid="{D608CC67-4DFE-43FD-9BEE-CA5B68243B7D}"/>
    <cellStyle name="Comma 3 3 2 4 5" xfId="15582" xr:uid="{191A2C2C-14B7-4429-A563-6249DFB195D3}"/>
    <cellStyle name="Comma 3 3 2 4 5 2" xfId="23111" xr:uid="{E1CB4F67-20F1-4B37-8862-1B64B18A680C}"/>
    <cellStyle name="Comma 3 3 2 4 5 3" xfId="47441" xr:uid="{B214EC48-46AC-4C9D-A399-3C3ED167840C}"/>
    <cellStyle name="Comma 3 3 2 4 5 4" xfId="52449" xr:uid="{5F475952-8B23-46A7-AECD-9ED894ADA108}"/>
    <cellStyle name="Comma 3 3 2 4 5 5" xfId="55465" xr:uid="{6ABD0371-08D9-482B-9E5D-65779348DF5D}"/>
    <cellStyle name="Comma 3 3 2 4 5 6" xfId="19360" xr:uid="{0812989F-60F8-4C42-91EA-252270D52DE6}"/>
    <cellStyle name="Comma 3 3 2 4 6" xfId="12547" xr:uid="{954D466F-E79E-4CB2-A962-66D3F0253FEA}"/>
    <cellStyle name="Comma 3 3 2 4 6 2" xfId="46322" xr:uid="{8D671D36-029A-4EF6-88E0-5254A4635814}"/>
    <cellStyle name="Comma 3 3 2 4 6 3" xfId="51018" xr:uid="{4988A37C-E59F-4982-9591-3CE3CB2D22AB}"/>
    <cellStyle name="Comma 3 3 2 4 6 4" xfId="54034" xr:uid="{E7453D4E-7962-4491-8136-980DDCC15A6C}"/>
    <cellStyle name="Comma 3 3 2 4 6 5" xfId="21930" xr:uid="{DD598FCB-E8EB-42B5-B412-E5EE9AE339EF}"/>
    <cellStyle name="Comma 3 3 2 4 7" xfId="47275" xr:uid="{406440F7-2A64-4722-947E-7C78FF15B982}"/>
    <cellStyle name="Comma 3 3 2 4 8" xfId="49912" xr:uid="{4EC4AE59-8FBF-42B6-AA6D-F4C0AD83DAD3}"/>
    <cellStyle name="Comma 3 3 2 4 9" xfId="52928" xr:uid="{9B26CF90-8653-45B6-8D2D-A02DA7A3789B}"/>
    <cellStyle name="Comma 3 3 2 5" xfId="10169" xr:uid="{37DCB192-7C95-4317-8205-63DCA815F937}"/>
    <cellStyle name="Comma 3 3 2 5 10" xfId="18818" xr:uid="{890D5489-5F50-4D26-B805-717478C05438}"/>
    <cellStyle name="Comma 3 3 2 5 2" xfId="10483" xr:uid="{5B1076D5-22DB-4EED-84AF-7CF0AC6F3E90}"/>
    <cellStyle name="Comma 3 3 2 5 2 2" xfId="14875" xr:uid="{A31170F0-1D37-45E8-B529-60A234C114C5}"/>
    <cellStyle name="Comma 3 3 2 5 2 2 2" xfId="22422" xr:uid="{A3254F7C-9DA1-4E77-A0BB-125958610B2F}"/>
    <cellStyle name="Comma 3 3 2 5 2 2 3" xfId="48283" xr:uid="{DFF575F4-7E60-4AD5-AF04-3088C8ACADAB}"/>
    <cellStyle name="Comma 3 3 2 5 2 2 4" xfId="51760" xr:uid="{40D1D752-3F04-4429-B53F-2ED430E8B540}"/>
    <cellStyle name="Comma 3 3 2 5 2 2 5" xfId="54776" xr:uid="{B2B6BFF5-57B3-4AC9-B5C6-B9A2619FDBBD}"/>
    <cellStyle name="Comma 3 3 2 5 2 2 6" xfId="19147" xr:uid="{4939471A-9CD8-4AA9-AD2F-17FECEAF7596}"/>
    <cellStyle name="Comma 3 3 2 5 2 3" xfId="15360" xr:uid="{FD769FDE-71ED-425B-AD85-EC4F7D9A6CEF}"/>
    <cellStyle name="Comma 3 3 2 5 2 3 2" xfId="22899" xr:uid="{EB269841-0C21-4C18-A5EF-1CDC333BFD53}"/>
    <cellStyle name="Comma 3 3 2 5 2 3 3" xfId="47344" xr:uid="{9952C88B-768B-49F8-9748-C46DBD8E4D24}"/>
    <cellStyle name="Comma 3 3 2 5 2 3 4" xfId="52237" xr:uid="{7670538D-C49B-4652-BC33-FBD15DB2C7C6}"/>
    <cellStyle name="Comma 3 3 2 5 2 3 5" xfId="55253" xr:uid="{1DBBEFBB-0BBE-48B1-A4B4-4FAD177F5189}"/>
    <cellStyle name="Comma 3 3 2 5 2 3 6" xfId="19290" xr:uid="{C061C30E-A357-4C31-B161-FC27A93086A1}"/>
    <cellStyle name="Comma 3 3 2 5 2 4" xfId="15847" xr:uid="{7B5EEC47-35DB-44B2-BDA4-DD4A5865AF03}"/>
    <cellStyle name="Comma 3 3 2 5 2 4 2" xfId="23376" xr:uid="{39EB5CFD-409A-4DF6-99C0-C52AB75EFF2A}"/>
    <cellStyle name="Comma 3 3 2 5 2 4 3" xfId="47795" xr:uid="{5B558D55-2038-43D9-9FD8-6A8C548DB9C9}"/>
    <cellStyle name="Comma 3 3 2 5 2 4 4" xfId="52714" xr:uid="{2E077B4F-0D80-4D6A-AE71-B44F22600E97}"/>
    <cellStyle name="Comma 3 3 2 5 2 4 5" xfId="55730" xr:uid="{8F9C0691-462C-4FD9-A428-B4CBC391A0FA}"/>
    <cellStyle name="Comma 3 3 2 5 2 4 6" xfId="19435" xr:uid="{1B58B9A6-141D-4AC5-947E-EAE260D17C3B}"/>
    <cellStyle name="Comma 3 3 2 5 2 5" xfId="12936" xr:uid="{770389D4-519F-4858-9924-A2C33FB83DBD}"/>
    <cellStyle name="Comma 3 3 2 5 2 5 2" xfId="32420" xr:uid="{63FD7FCE-2F21-4697-B4E2-746E1D5297DD}"/>
    <cellStyle name="Comma 3 3 2 5 2 5 3" xfId="51283" xr:uid="{75D74D6D-BF0E-4730-ABDE-BEE3169BC234}"/>
    <cellStyle name="Comma 3 3 2 5 2 5 4" xfId="54299" xr:uid="{F4E4B87F-FFB4-4A38-85D0-05B9F3E4FB15}"/>
    <cellStyle name="Comma 3 3 2 5 2 5 5" xfId="22005" xr:uid="{00D12900-F431-4113-ABA7-A29AD622E5A2}"/>
    <cellStyle name="Comma 3 3 2 5 2 6" xfId="46130" xr:uid="{214DED0F-836C-4F8E-A6DA-EE60D5F3B720}"/>
    <cellStyle name="Comma 3 3 2 5 2 7" xfId="50177" xr:uid="{CCC93663-1FAD-48DB-8A8F-BA8BEA039A97}"/>
    <cellStyle name="Comma 3 3 2 5 2 8" xfId="53193" xr:uid="{3E3EB044-3E95-4119-A5D6-7FBAC84662F3}"/>
    <cellStyle name="Comma 3 3 2 5 2 9" xfId="18979" xr:uid="{5B267DD9-9660-4887-92C0-055AB7DE0C15}"/>
    <cellStyle name="Comma 3 3 2 5 3" xfId="14663" xr:uid="{E4C8901A-EFE0-40EC-8DAA-687C1D2E0E27}"/>
    <cellStyle name="Comma 3 3 2 5 3 2" xfId="22210" xr:uid="{219942F9-9FD0-4DA1-9AFB-D2A875607D09}"/>
    <cellStyle name="Comma 3 3 2 5 3 3" xfId="47999" xr:uid="{AEC7AD62-1485-4C45-87AC-B21346EF0A85}"/>
    <cellStyle name="Comma 3 3 2 5 3 4" xfId="51548" xr:uid="{FE24DADC-D8A2-499D-BDE8-3A1C29926FB8}"/>
    <cellStyle name="Comma 3 3 2 5 3 5" xfId="54564" xr:uid="{367612CB-70A8-403E-B30C-19E4619DFD22}"/>
    <cellStyle name="Comma 3 3 2 5 3 6" xfId="19087" xr:uid="{121FE77F-F027-41AF-97F7-304640898789}"/>
    <cellStyle name="Comma 3 3 2 5 4" xfId="15148" xr:uid="{96EC06A4-CDDC-4702-8264-961D0D31CE8E}"/>
    <cellStyle name="Comma 3 3 2 5 4 2" xfId="22687" xr:uid="{B8FB7815-9427-4DAB-A066-5241A0591547}"/>
    <cellStyle name="Comma 3 3 2 5 4 3" xfId="47033" xr:uid="{BF3A1AE4-B7A5-4408-89B0-51498B2324DF}"/>
    <cellStyle name="Comma 3 3 2 5 4 4" xfId="52025" xr:uid="{AB5167F6-1200-4F7D-889F-BCB356EE045F}"/>
    <cellStyle name="Comma 3 3 2 5 4 5" xfId="55041" xr:uid="{C72F0699-93B6-4D33-A276-F717703C9E55}"/>
    <cellStyle name="Comma 3 3 2 5 4 6" xfId="19230" xr:uid="{08527E1B-45AC-4BB5-B1A3-C123F8E40D19}"/>
    <cellStyle name="Comma 3 3 2 5 5" xfId="15635" xr:uid="{EA2D3262-B569-4136-86E6-8AE095977985}"/>
    <cellStyle name="Comma 3 3 2 5 5 2" xfId="23164" xr:uid="{04C8947F-393A-4031-BBC7-27F0AB128941}"/>
    <cellStyle name="Comma 3 3 2 5 5 3" xfId="46561" xr:uid="{8648BEE0-658B-47DC-9B21-B787409E1C2F}"/>
    <cellStyle name="Comma 3 3 2 5 5 4" xfId="52502" xr:uid="{3F96DD4C-8F82-43F5-BF3E-5287192460BE}"/>
    <cellStyle name="Comma 3 3 2 5 5 5" xfId="55518" xr:uid="{9B49E5AF-18E0-4D4B-AA83-14CBC6F47646}"/>
    <cellStyle name="Comma 3 3 2 5 5 6" xfId="19375" xr:uid="{E2239542-4E05-4801-8A5E-8FAACF7779B3}"/>
    <cellStyle name="Comma 3 3 2 5 6" xfId="12623" xr:uid="{582FC185-9A7F-4A3C-AC19-8B7897235367}"/>
    <cellStyle name="Comma 3 3 2 5 6 2" xfId="25071" xr:uid="{1C9BB8D5-B5CB-4A8E-B28F-3919060B3840}"/>
    <cellStyle name="Comma 3 3 2 5 6 3" xfId="51071" xr:uid="{53C5AB0C-D4CD-405F-9C11-8E539868CFF6}"/>
    <cellStyle name="Comma 3 3 2 5 6 4" xfId="54087" xr:uid="{3A9793A7-EB9E-4858-9868-B27E29A36421}"/>
    <cellStyle name="Comma 3 3 2 5 6 5" xfId="21945" xr:uid="{4B7B4C19-1AD5-47BB-BA59-72F48DB25FFE}"/>
    <cellStyle name="Comma 3 3 2 5 7" xfId="46058" xr:uid="{E69EA298-68FC-4A77-81AC-513BE55D97F8}"/>
    <cellStyle name="Comma 3 3 2 5 8" xfId="49965" xr:uid="{DAD5836C-3A9A-493E-997A-6025A4826C55}"/>
    <cellStyle name="Comma 3 3 2 5 9" xfId="52981" xr:uid="{9E628EF7-1647-41F2-ACEB-436351AAFBDA}"/>
    <cellStyle name="Comma 3 3 2 6" xfId="10249" xr:uid="{748AA784-FDE6-40E5-8318-816F2BF7DFE6}"/>
    <cellStyle name="Comma 3 3 2 6 2" xfId="14716" xr:uid="{3FE92B42-A6CB-4520-9503-F37142F8C83B}"/>
    <cellStyle name="Comma 3 3 2 6 2 2" xfId="22263" xr:uid="{11E205E2-129A-43C5-9298-6D7435992B8D}"/>
    <cellStyle name="Comma 3 3 2 6 2 3" xfId="24962" xr:uid="{EE86B2FC-12C6-4771-A40B-67EDC4B7855F}"/>
    <cellStyle name="Comma 3 3 2 6 2 4" xfId="51601" xr:uid="{519B322F-698E-40C7-8F32-96626AFDD5B9}"/>
    <cellStyle name="Comma 3 3 2 6 2 5" xfId="54617" xr:uid="{74C68AC5-77FB-46AB-9ECF-7ECA2A0EA050}"/>
    <cellStyle name="Comma 3 3 2 6 2 6" xfId="19102" xr:uid="{312F1BAD-F782-4E65-B4F1-D9082E074BC5}"/>
    <cellStyle name="Comma 3 3 2 6 3" xfId="15201" xr:uid="{DA76362B-1667-41B6-B49D-CD429CF38B80}"/>
    <cellStyle name="Comma 3 3 2 6 3 2" xfId="22740" xr:uid="{5FBDDAD4-3E9C-44B8-8EFB-E8DEE81B8F5B}"/>
    <cellStyle name="Comma 3 3 2 6 3 3" xfId="46495" xr:uid="{C5EF95FE-D965-49A2-A10A-A1568BA3A4AF}"/>
    <cellStyle name="Comma 3 3 2 6 3 4" xfId="52078" xr:uid="{687D4703-D10F-4382-A9D8-1889164A3200}"/>
    <cellStyle name="Comma 3 3 2 6 3 5" xfId="55094" xr:uid="{8117EEEB-AABF-451A-98C5-43204327F37B}"/>
    <cellStyle name="Comma 3 3 2 6 3 6" xfId="19245" xr:uid="{12BFF9D5-1EA9-42C1-BAA8-0092F280BE43}"/>
    <cellStyle name="Comma 3 3 2 6 4" xfId="15688" xr:uid="{799C2FE5-C5DD-4076-A397-8A9DC5594EA5}"/>
    <cellStyle name="Comma 3 3 2 6 4 2" xfId="23217" xr:uid="{157C2DBC-C9CB-467F-897A-96E71B86D86C}"/>
    <cellStyle name="Comma 3 3 2 6 4 3" xfId="48025" xr:uid="{6CF3B88B-1F60-4244-8FD2-F87C257A8FDC}"/>
    <cellStyle name="Comma 3 3 2 6 4 4" xfId="52555" xr:uid="{AB1CB882-576F-45AC-944F-7F1E2172D59A}"/>
    <cellStyle name="Comma 3 3 2 6 4 5" xfId="55571" xr:uid="{19290A79-A0FA-4281-B5E0-6DFEAF170A84}"/>
    <cellStyle name="Comma 3 3 2 6 4 6" xfId="19390" xr:uid="{70F4AD32-C361-416C-8A5D-AF6F55EFD826}"/>
    <cellStyle name="Comma 3 3 2 6 5" xfId="12702" xr:uid="{7AC468C7-B7EA-4A6D-AD57-EB6FD2848E80}"/>
    <cellStyle name="Comma 3 3 2 6 5 2" xfId="32536" xr:uid="{19F114C5-A7FE-4CED-9C8F-FB21E03CD87D}"/>
    <cellStyle name="Comma 3 3 2 6 5 3" xfId="51124" xr:uid="{6ACDDC83-EA13-48FC-8AB2-659DEC25E6F9}"/>
    <cellStyle name="Comma 3 3 2 6 5 4" xfId="54140" xr:uid="{511468AC-29FE-4318-85AC-9C6EC3FAEDA9}"/>
    <cellStyle name="Comma 3 3 2 6 5 5" xfId="21960" xr:uid="{288BF5BD-E684-48ED-8558-C17998DF5E23}"/>
    <cellStyle name="Comma 3 3 2 6 6" xfId="47508" xr:uid="{5EBC3DD8-B8FB-45B8-9C7A-68C0C3E3CBE9}"/>
    <cellStyle name="Comma 3 3 2 6 7" xfId="50018" xr:uid="{2A9005A2-68E6-4E06-A791-9A37B8C98D80}"/>
    <cellStyle name="Comma 3 3 2 6 8" xfId="53034" xr:uid="{DD3E8BAA-F741-41FE-9AF9-70616F09177A}"/>
    <cellStyle name="Comma 3 3 2 6 9" xfId="18859" xr:uid="{D35C90F7-DECE-44B8-83DE-5F26A444D314}"/>
    <cellStyle name="Comma 3 3 2 7" xfId="10563" xr:uid="{18942CE9-6714-494E-B2BB-7D9F92778E13}"/>
    <cellStyle name="Comma 3 3 2 7 2" xfId="14928" xr:uid="{9D2C4C55-7EE6-40B5-B18F-B8DA7D1D843E}"/>
    <cellStyle name="Comma 3 3 2 7 2 2" xfId="22475" xr:uid="{765901C5-298F-47B0-9C7F-18FFBA5A08D2}"/>
    <cellStyle name="Comma 3 3 2 7 2 3" xfId="24932" xr:uid="{E88B3BCD-4DFE-486C-B793-5D0E1DA4C552}"/>
    <cellStyle name="Comma 3 3 2 7 2 4" xfId="51813" xr:uid="{025162AC-0695-4E8B-A11E-E11CED431F73}"/>
    <cellStyle name="Comma 3 3 2 7 2 5" xfId="54829" xr:uid="{00D0610D-26F5-4719-9C0B-17DF62C8CF95}"/>
    <cellStyle name="Comma 3 3 2 7 2 6" xfId="19162" xr:uid="{8EC72687-63A0-4CE2-9E62-C407F57FF058}"/>
    <cellStyle name="Comma 3 3 2 7 3" xfId="15413" xr:uid="{FDAC9BEA-F453-451B-AE2D-AE3A85C3F006}"/>
    <cellStyle name="Comma 3 3 2 7 3 2" xfId="22952" xr:uid="{31C67B67-7844-4C5D-945A-0BB78EEA4922}"/>
    <cellStyle name="Comma 3 3 2 7 3 3" xfId="46531" xr:uid="{480FF38B-443E-41EA-A8A6-5A4E311CE28B}"/>
    <cellStyle name="Comma 3 3 2 7 3 4" xfId="52290" xr:uid="{2A5093D7-5065-47C6-803F-E9EC96278636}"/>
    <cellStyle name="Comma 3 3 2 7 3 5" xfId="55306" xr:uid="{C1EE5C66-7FA9-42F3-957A-BCE52E1B4BE8}"/>
    <cellStyle name="Comma 3 3 2 7 3 6" xfId="19305" xr:uid="{9BF3E6EF-3DA3-44C9-8641-E7F0F1AAF943}"/>
    <cellStyle name="Comma 3 3 2 7 4" xfId="15901" xr:uid="{7146AD1F-81AB-43D0-89CF-2F804761BC76}"/>
    <cellStyle name="Comma 3 3 2 7 4 2" xfId="23429" xr:uid="{D7AF459E-A3FE-4C63-9732-361416E74A08}"/>
    <cellStyle name="Comma 3 3 2 7 4 3" xfId="47796" xr:uid="{9E2A0E93-0545-430B-853E-69FF35C39FB4}"/>
    <cellStyle name="Comma 3 3 2 7 4 4" xfId="52767" xr:uid="{72DD35F8-43F1-4C8A-9B67-F166A123C098}"/>
    <cellStyle name="Comma 3 3 2 7 4 5" xfId="55783" xr:uid="{520F1ECE-7551-400A-9FF3-BBABF40BEC6E}"/>
    <cellStyle name="Comma 3 3 2 7 4 6" xfId="19451" xr:uid="{5D298437-FE44-44BE-B596-621C50C476B4}"/>
    <cellStyle name="Comma 3 3 2 7 5" xfId="13016" xr:uid="{1FBD7097-21EC-4B0F-8BEF-AAFB0B9F9350}"/>
    <cellStyle name="Comma 3 3 2 7 5 2" xfId="48382" xr:uid="{A8F52109-7DB7-4753-A82E-6CEEBFD97CFE}"/>
    <cellStyle name="Comma 3 3 2 7 5 3" xfId="51336" xr:uid="{FAF15B05-20B7-4ADA-8E29-8902AB39822D}"/>
    <cellStyle name="Comma 3 3 2 7 5 4" xfId="54352" xr:uid="{A3F8B6D4-17B9-4B9F-8E03-858B5D874C7C}"/>
    <cellStyle name="Comma 3 3 2 7 5 5" xfId="22020" xr:uid="{2E6770FD-992C-487B-9E53-1B9ABDDE41A8}"/>
    <cellStyle name="Comma 3 3 2 7 6" xfId="36079" xr:uid="{CDCCC0B1-E8B8-44A3-94AD-5C5F4B303F97}"/>
    <cellStyle name="Comma 3 3 2 7 7" xfId="50230" xr:uid="{2B99BCEA-FB3D-4462-8D53-6E04AE350CD9}"/>
    <cellStyle name="Comma 3 3 2 7 8" xfId="53246" xr:uid="{32D5F674-4DBB-47CD-9604-07F18E251264}"/>
    <cellStyle name="Comma 3 3 2 7 9" xfId="19021" xr:uid="{5A4FB60E-E3FE-45E6-B47D-E0E08526BB0A}"/>
    <cellStyle name="Comma 3 3 2 8" xfId="14180" xr:uid="{94D95277-C2C8-442E-B952-0A1FC1FEA88C}"/>
    <cellStyle name="Comma 3 3 2 9" xfId="14504" xr:uid="{D608074D-2265-416E-AADE-B3D10F36CE66}"/>
    <cellStyle name="Comma 3 3 2 9 2" xfId="22051" xr:uid="{453665CF-2AAE-4934-BF87-D519F2A64743}"/>
    <cellStyle name="Comma 3 3 2 9 3" xfId="48383" xr:uid="{7AC1DD1F-AFEE-4C65-BF8A-C19AFE1B5FB3}"/>
    <cellStyle name="Comma 3 3 2 9 4" xfId="51389" xr:uid="{8DB68434-E2E7-4606-894E-13C367C5FDA2}"/>
    <cellStyle name="Comma 3 3 2 9 5" xfId="54405" xr:uid="{576EEFC5-E284-4C97-B2BE-E87681C09027}"/>
    <cellStyle name="Comma 3 3 2 9 6" xfId="19042" xr:uid="{C35DAC05-5EC3-4BBF-98B2-6A9CEB89C029}"/>
    <cellStyle name="Comma 3 3 3" xfId="5822" xr:uid="{6ED8C6AF-174F-4D72-BCD3-30B1FC434DFE}"/>
    <cellStyle name="Comma 3 3 3 10" xfId="12197" xr:uid="{1D210365-AC07-43AE-ADF1-FCA721D9D599}"/>
    <cellStyle name="Comma 3 3 3 10 2" xfId="47265" xr:uid="{0662A8DF-F493-4A68-8771-69EF7EB9ACDA}"/>
    <cellStyle name="Comma 3 3 3 10 3" xfId="50942" xr:uid="{8240EDA0-88AD-4FB0-BF2B-43C1913146C3}"/>
    <cellStyle name="Comma 3 3 3 10 4" xfId="53958" xr:uid="{44720AF1-C26A-435D-B0C7-60EF7F0F6AE7}"/>
    <cellStyle name="Comma 3 3 3 10 5" xfId="21907" xr:uid="{1CBAA469-3C72-4FFF-96F7-4FAF3F3D727E}"/>
    <cellStyle name="Comma 3 3 3 11" xfId="23746" xr:uid="{79F5242B-512D-4800-A887-82FE3A2838EB}"/>
    <cellStyle name="Comma 3 3 3 12" xfId="48428" xr:uid="{BBDDED57-65EB-416B-BB53-0963B4C689A3}"/>
    <cellStyle name="Comma 3 3 3 13" xfId="48629" xr:uid="{9BDFFBFD-651C-40A2-B923-54A0B4CCB332}"/>
    <cellStyle name="Comma 3 3 3 14" xfId="49537" xr:uid="{A9B47305-7C39-4EBD-B08A-517847E8094E}"/>
    <cellStyle name="Comma 3 3 3 15" xfId="49808" xr:uid="{9BBCF7C4-D1DC-4DB3-8E71-6F5E2036B4C8}"/>
    <cellStyle name="Comma 3 3 3 16" xfId="52823" xr:uid="{369D2EC5-D962-485F-AE31-BB909F3054B7}"/>
    <cellStyle name="Comma 3 3 3 17" xfId="18571" xr:uid="{31066460-E7D0-492C-AEE9-93BA9DB252B8}"/>
    <cellStyle name="Comma 3 3 3 18" xfId="8931" xr:uid="{D1496341-0F91-4993-B31E-E864C3D07C62}"/>
    <cellStyle name="Comma 3 3 3 2" xfId="10018" xr:uid="{1C4EA1FC-806F-4AC6-AA5F-E07CC28FC79C}"/>
    <cellStyle name="Comma 3 3 3 2 10" xfId="18749" xr:uid="{627929DF-8B3B-44BB-8A17-799CD36F374D}"/>
    <cellStyle name="Comma 3 3 3 2 2" xfId="10326" xr:uid="{9ACF86A5-0FBE-4B2D-AF03-649E0E5D9AED}"/>
    <cellStyle name="Comma 3 3 3 2 2 2" xfId="14771" xr:uid="{874BD130-684D-4F59-A421-D65863393FD9}"/>
    <cellStyle name="Comma 3 3 3 2 2 2 2" xfId="22318" xr:uid="{FFA9554A-84FB-476C-90C4-30BDB8FEEA9A}"/>
    <cellStyle name="Comma 3 3 3 2 2 2 3" xfId="46432" xr:uid="{A618765A-1777-4305-8005-4843E40C2D13}"/>
    <cellStyle name="Comma 3 3 3 2 2 2 4" xfId="51656" xr:uid="{5EE53903-964F-4914-B938-2F5BBC10D3E8}"/>
    <cellStyle name="Comma 3 3 3 2 2 2 5" xfId="54672" xr:uid="{D3B6B0E9-F8FD-4C0B-B3AF-6BA984AC62E1}"/>
    <cellStyle name="Comma 3 3 3 2 2 2 6" xfId="19119" xr:uid="{8E64020C-7E00-401E-AA1F-AAD1E8128238}"/>
    <cellStyle name="Comma 3 3 3 2 2 3" xfId="15256" xr:uid="{F079CBBA-7B2F-435B-81FF-3AF78E38D324}"/>
    <cellStyle name="Comma 3 3 3 2 2 3 2" xfId="22795" xr:uid="{F243E7B0-9767-45BC-A991-776F50F59183}"/>
    <cellStyle name="Comma 3 3 3 2 2 3 3" xfId="47342" xr:uid="{587B2206-C249-4E47-B66F-705BA4C989AD}"/>
    <cellStyle name="Comma 3 3 3 2 2 3 4" xfId="52133" xr:uid="{A61F112F-53A4-453A-96DD-B0C5A5FA2786}"/>
    <cellStyle name="Comma 3 3 3 2 2 3 5" xfId="55149" xr:uid="{F3C19701-643A-4A4D-96F3-3B24F50A3C21}"/>
    <cellStyle name="Comma 3 3 3 2 2 3 6" xfId="19262" xr:uid="{36DA31C5-0909-4EC8-B175-AD6AE6369181}"/>
    <cellStyle name="Comma 3 3 3 2 2 4" xfId="15743" xr:uid="{5D6CE50B-1695-4478-80CD-062DCD0D1DCA}"/>
    <cellStyle name="Comma 3 3 3 2 2 4 2" xfId="23272" xr:uid="{3E4BB629-2CFB-4314-A4A9-F6D9B78CA34C}"/>
    <cellStyle name="Comma 3 3 3 2 2 4 3" xfId="25279" xr:uid="{9262FCE3-3C7E-40A5-A8CF-1968941182C2}"/>
    <cellStyle name="Comma 3 3 3 2 2 4 4" xfId="52610" xr:uid="{5BE4A86B-4B20-4153-B4A6-40957B28B318}"/>
    <cellStyle name="Comma 3 3 3 2 2 4 5" xfId="55626" xr:uid="{E27738CF-5525-46FB-9A0B-A31F1CF3D5B6}"/>
    <cellStyle name="Comma 3 3 3 2 2 4 6" xfId="19407" xr:uid="{A9B7DAAC-0BB0-4FB9-9924-7E00022BDD5F}"/>
    <cellStyle name="Comma 3 3 3 2 2 5" xfId="12779" xr:uid="{8CBEAB8C-F255-4997-A614-66747E57FF66}"/>
    <cellStyle name="Comma 3 3 3 2 2 5 2" xfId="47097" xr:uid="{D08163D6-4794-4742-A5EE-6E7EFC58E5E2}"/>
    <cellStyle name="Comma 3 3 3 2 2 5 3" xfId="51179" xr:uid="{AD9254DD-ED03-4A09-B779-1B485A57BF37}"/>
    <cellStyle name="Comma 3 3 3 2 2 5 4" xfId="54195" xr:uid="{FB3B4804-6BB1-4DFB-BCA3-52FFE7218799}"/>
    <cellStyle name="Comma 3 3 3 2 2 5 5" xfId="21977" xr:uid="{A2692491-6EAC-41BD-A698-A01444E915AE}"/>
    <cellStyle name="Comma 3 3 3 2 2 6" xfId="47141" xr:uid="{EEA04D7B-5F51-4529-83DB-8AB049948A9A}"/>
    <cellStyle name="Comma 3 3 3 2 2 7" xfId="50073" xr:uid="{1B88515B-C783-46CF-B2B4-F98DB1544BB1}"/>
    <cellStyle name="Comma 3 3 3 2 2 8" xfId="53089" xr:uid="{769770C7-57B9-4A12-98A8-E4F2AEDA3B38}"/>
    <cellStyle name="Comma 3 3 3 2 2 9" xfId="18898" xr:uid="{C5088E96-D7CA-4574-8265-19474B597F20}"/>
    <cellStyle name="Comma 3 3 3 2 3" xfId="14559" xr:uid="{D44AE0FA-AEB1-47C1-8AFD-D1503339D004}"/>
    <cellStyle name="Comma 3 3 3 2 3 2" xfId="22106" xr:uid="{D2CB31B0-1820-435D-8A40-AA4A9C96795E}"/>
    <cellStyle name="Comma 3 3 3 2 3 3" xfId="37012" xr:uid="{00859175-244D-4C0E-BDEC-47739944F9B4}"/>
    <cellStyle name="Comma 3 3 3 2 3 4" xfId="51444" xr:uid="{9F256CE0-23EF-4E22-8CCA-ED5DFB8C9EA0}"/>
    <cellStyle name="Comma 3 3 3 2 3 5" xfId="54460" xr:uid="{F60A9FAA-2D89-452D-93C8-35F9BEE35844}"/>
    <cellStyle name="Comma 3 3 3 2 3 6" xfId="19059" xr:uid="{B84C2761-3948-41D6-8735-EEEA87516557}"/>
    <cellStyle name="Comma 3 3 3 2 4" xfId="15043" xr:uid="{E7F2C40E-95D9-40A5-B906-3BD7036415C8}"/>
    <cellStyle name="Comma 3 3 3 2 4 2" xfId="22583" xr:uid="{5E2CB88D-F9F0-4E86-972A-2F6B02D62A08}"/>
    <cellStyle name="Comma 3 3 3 2 4 3" xfId="48144" xr:uid="{FA186A72-97CB-4CE4-9901-C26C2133C29F}"/>
    <cellStyle name="Comma 3 3 3 2 4 4" xfId="51921" xr:uid="{F51A61D8-D957-47DD-B814-5889E0C491B3}"/>
    <cellStyle name="Comma 3 3 3 2 4 5" xfId="54937" xr:uid="{48177970-F442-44CE-8EA1-7756C812E240}"/>
    <cellStyle name="Comma 3 3 3 2 4 6" xfId="19201" xr:uid="{101A2C6C-30AF-460F-825F-6F7A4B323CD2}"/>
    <cellStyle name="Comma 3 3 3 2 5" xfId="15530" xr:uid="{EC5A4667-8239-41C8-A9D1-6E37BCCEDA52}"/>
    <cellStyle name="Comma 3 3 3 2 5 2" xfId="23060" xr:uid="{F10BB151-7BAC-4EC5-A4FE-BFD240DFF626}"/>
    <cellStyle name="Comma 3 3 3 2 5 3" xfId="24168" xr:uid="{63067E03-2433-4ECE-BB7E-D8540B750D07}"/>
    <cellStyle name="Comma 3 3 3 2 5 4" xfId="52398" xr:uid="{F88A41D1-D1F0-4325-8873-27417CDB9ABA}"/>
    <cellStyle name="Comma 3 3 3 2 5 5" xfId="55414" xr:uid="{4FD90824-0892-418C-9FE0-37C8966338DC}"/>
    <cellStyle name="Comma 3 3 3 2 5 6" xfId="19346" xr:uid="{ED90C72D-F331-4D7F-B7FC-DA50AF8134FE}"/>
    <cellStyle name="Comma 3 3 3 2 6" xfId="12478" xr:uid="{2CC2D54D-F9C1-4209-8BE9-92D1415C9BE2}"/>
    <cellStyle name="Comma 3 3 3 2 6 2" xfId="24698" xr:uid="{69DA670A-F772-4D77-970D-CF0D677CE6D6}"/>
    <cellStyle name="Comma 3 3 3 2 6 3" xfId="50967" xr:uid="{6B84FF08-C17E-4A4E-9C8C-04898F59B5D3}"/>
    <cellStyle name="Comma 3 3 3 2 6 4" xfId="53983" xr:uid="{7445F37F-EBC0-4212-83AC-3AD7B4C00A7A}"/>
    <cellStyle name="Comma 3 3 3 2 6 5" xfId="21916" xr:uid="{EBBA7EA7-72CA-4642-8EB5-7B34A9CB5C8C}"/>
    <cellStyle name="Comma 3 3 3 2 7" xfId="47572" xr:uid="{8D8D45E3-74D8-463C-B453-DFD92128EABE}"/>
    <cellStyle name="Comma 3 3 3 2 8" xfId="49861" xr:uid="{EF899CB5-C12A-4E6D-919C-9487D88D2274}"/>
    <cellStyle name="Comma 3 3 3 2 9" xfId="52877" xr:uid="{624B3F56-26C6-4FB7-90AE-DFADE06AF18C}"/>
    <cellStyle name="Comma 3 3 3 3" xfId="10092" xr:uid="{FFF99439-F0E6-4AB6-8C09-E2CA7D69C6A3}"/>
    <cellStyle name="Comma 3 3 3 3 10" xfId="18782" xr:uid="{3C2A15D2-3628-46A6-A24F-E04C45FC4277}"/>
    <cellStyle name="Comma 3 3 3 3 2" xfId="10405" xr:uid="{72CE2735-E9F0-4C47-8BE9-B59779E9CCE0}"/>
    <cellStyle name="Comma 3 3 3 3 2 2" xfId="14824" xr:uid="{30E3762E-8369-4D84-BA6B-D23C586AB6C4}"/>
    <cellStyle name="Comma 3 3 3 3 2 2 2" xfId="22371" xr:uid="{69738F43-403C-487B-BB1B-F820A398B4E8}"/>
    <cellStyle name="Comma 3 3 3 3 2 2 3" xfId="36584" xr:uid="{E6A12E35-2FA5-4852-B372-64743C76250B}"/>
    <cellStyle name="Comma 3 3 3 3 2 2 4" xfId="51709" xr:uid="{9E06C3F3-F5F7-4C45-87EB-FAA19C30B453}"/>
    <cellStyle name="Comma 3 3 3 3 2 2 5" xfId="54725" xr:uid="{B94FD960-7FBF-4A44-B98F-A518F70A5A91}"/>
    <cellStyle name="Comma 3 3 3 3 2 2 6" xfId="19134" xr:uid="{8FDF6F1A-DB48-478A-8FD5-A60CF8E10F4F}"/>
    <cellStyle name="Comma 3 3 3 3 2 3" xfId="15309" xr:uid="{42EC01F4-B045-4492-9125-D0A2785CDDB4}"/>
    <cellStyle name="Comma 3 3 3 3 2 3 2" xfId="22848" xr:uid="{A2FA202B-A001-4A26-9FFD-FC334F9381B6}"/>
    <cellStyle name="Comma 3 3 3 3 2 3 3" xfId="47249" xr:uid="{E78C546F-A137-46D2-B28B-413EF7383D6B}"/>
    <cellStyle name="Comma 3 3 3 3 2 3 4" xfId="52186" xr:uid="{14086F11-1B5F-4965-8DF8-6D91D1DBD06E}"/>
    <cellStyle name="Comma 3 3 3 3 2 3 5" xfId="55202" xr:uid="{960E86BF-E855-4DAE-9FE8-D96C9CDE62E1}"/>
    <cellStyle name="Comma 3 3 3 3 2 3 6" xfId="19277" xr:uid="{2B550DDA-CB50-43AE-9021-6A4598DDEB67}"/>
    <cellStyle name="Comma 3 3 3 3 2 4" xfId="15796" xr:uid="{A750C18B-4F50-488D-9373-13ECD448A3D7}"/>
    <cellStyle name="Comma 3 3 3 3 2 4 2" xfId="23325" xr:uid="{F8E13142-CB4B-4B51-B2F9-DFAFE55E0F8B}"/>
    <cellStyle name="Comma 3 3 3 3 2 4 3" xfId="46966" xr:uid="{59A3184F-23A3-4E14-B9C7-1543A203FD92}"/>
    <cellStyle name="Comma 3 3 3 3 2 4 4" xfId="52663" xr:uid="{645B6346-5769-4581-9732-2BFDA91F190A}"/>
    <cellStyle name="Comma 3 3 3 3 2 4 5" xfId="55679" xr:uid="{B9FE8C69-8691-475B-97BF-9CFC29EA4FEC}"/>
    <cellStyle name="Comma 3 3 3 3 2 4 6" xfId="19422" xr:uid="{583A66BB-C0CB-4068-9B97-E8208AA55C1C}"/>
    <cellStyle name="Comma 3 3 3 3 2 5" xfId="12858" xr:uid="{A8299F17-17AE-4FC3-A583-99196AA6239B}"/>
    <cellStyle name="Comma 3 3 3 3 2 5 2" xfId="24212" xr:uid="{67DD6A6C-D749-4821-83D1-40EEBD83686D}"/>
    <cellStyle name="Comma 3 3 3 3 2 5 3" xfId="51232" xr:uid="{EBC04B23-1C08-4D5C-A982-6C92120C7B4B}"/>
    <cellStyle name="Comma 3 3 3 3 2 5 4" xfId="54248" xr:uid="{B71F6735-A465-48CD-BE51-9C660DF7EC89}"/>
    <cellStyle name="Comma 3 3 3 3 2 5 5" xfId="21992" xr:uid="{8C86BE34-06E3-4F4B-9BB3-DD92C78111AF}"/>
    <cellStyle name="Comma 3 3 3 3 2 6" xfId="35993" xr:uid="{2DAEFCF8-CA26-47E1-9935-B8318BD2B6BD}"/>
    <cellStyle name="Comma 3 3 3 3 2 7" xfId="50126" xr:uid="{64E10F44-50A5-42B5-81CD-8B0AA241D6A9}"/>
    <cellStyle name="Comma 3 3 3 3 2 8" xfId="53142" xr:uid="{12604BC9-C118-4729-A539-6B9344A5A2D1}"/>
    <cellStyle name="Comma 3 3 3 3 2 9" xfId="18939" xr:uid="{3315AC0B-0BE3-453B-A51A-CD3E569EEB07}"/>
    <cellStyle name="Comma 3 3 3 3 3" xfId="14612" xr:uid="{51F33D36-D97F-406C-9725-7AE3546306FD}"/>
    <cellStyle name="Comma 3 3 3 3 3 2" xfId="22159" xr:uid="{F3C9389C-2CEC-43BB-9DE8-C83DCA8A8CE8}"/>
    <cellStyle name="Comma 3 3 3 3 3 3" xfId="46841" xr:uid="{F8C8AB42-6C00-44B0-BFC5-94DD9481B7DD}"/>
    <cellStyle name="Comma 3 3 3 3 3 4" xfId="51497" xr:uid="{7D3359AA-B21E-44DC-8BDB-1420FE8FE1CF}"/>
    <cellStyle name="Comma 3 3 3 3 3 5" xfId="54513" xr:uid="{4C2763E4-0E9D-41E7-A6E0-F11B543ACA4D}"/>
    <cellStyle name="Comma 3 3 3 3 3 6" xfId="19074" xr:uid="{EC4E5827-D403-4E53-B2F7-5DF472859E20}"/>
    <cellStyle name="Comma 3 3 3 3 4" xfId="15097" xr:uid="{A45D62F2-9BD8-4C5E-8C8B-4F70305FB63A}"/>
    <cellStyle name="Comma 3 3 3 3 4 2" xfId="22636" xr:uid="{E7C3D5D5-4B54-4868-B7ED-C8725DD6C064}"/>
    <cellStyle name="Comma 3 3 3 3 4 3" xfId="32505" xr:uid="{F19394C2-77D1-4B1B-A4E6-DCC5CFF03E0B}"/>
    <cellStyle name="Comma 3 3 3 3 4 4" xfId="51974" xr:uid="{02389A8C-33E0-4E19-B322-3F4FF7CFAAB4}"/>
    <cellStyle name="Comma 3 3 3 3 4 5" xfId="54990" xr:uid="{8196F5CD-8E35-42D2-9B3E-35C38E61F986}"/>
    <cellStyle name="Comma 3 3 3 3 4 6" xfId="19217" xr:uid="{33475515-7360-433E-AA94-025D7A59F085}"/>
    <cellStyle name="Comma 3 3 3 3 5" xfId="15584" xr:uid="{4FF74D37-3E9A-44C8-9A05-CE8F8BBFBCFD}"/>
    <cellStyle name="Comma 3 3 3 3 5 2" xfId="23113" xr:uid="{70554AFE-BB0C-43F0-BDB4-B9489AD4507C}"/>
    <cellStyle name="Comma 3 3 3 3 5 3" xfId="46939" xr:uid="{86892071-C417-4143-966B-78F092B24000}"/>
    <cellStyle name="Comma 3 3 3 3 5 4" xfId="52451" xr:uid="{FFDEAE7C-16FD-4025-AEF6-6A713BEE15AA}"/>
    <cellStyle name="Comma 3 3 3 3 5 5" xfId="55467" xr:uid="{9A52C6B8-E627-4F85-9829-8C513238610A}"/>
    <cellStyle name="Comma 3 3 3 3 5 6" xfId="19362" xr:uid="{5B59EE30-DC70-4DBB-B0D4-F1E68A835ED1}"/>
    <cellStyle name="Comma 3 3 3 3 6" xfId="12549" xr:uid="{F5EE87EB-5867-467A-9BD7-A797C9D3B4CA}"/>
    <cellStyle name="Comma 3 3 3 3 6 2" xfId="46324" xr:uid="{ED8B38D1-DEB4-4F5F-A7CD-F59EF08258E6}"/>
    <cellStyle name="Comma 3 3 3 3 6 3" xfId="51020" xr:uid="{077D34FE-2161-4E1F-99B6-84290F3A80B1}"/>
    <cellStyle name="Comma 3 3 3 3 6 4" xfId="54036" xr:uid="{EA837008-9DBE-4DCA-8A9F-E1798A20F0F2}"/>
    <cellStyle name="Comma 3 3 3 3 6 5" xfId="21932" xr:uid="{DB11A8D2-441E-463A-ABE4-9319F49E72C9}"/>
    <cellStyle name="Comma 3 3 3 3 7" xfId="47869" xr:uid="{2935F4B1-278D-41FC-9CFC-A32CF40BE2D6}"/>
    <cellStyle name="Comma 3 3 3 3 8" xfId="49914" xr:uid="{00E46405-E484-4750-8DB8-27E8A8522930}"/>
    <cellStyle name="Comma 3 3 3 3 9" xfId="52930" xr:uid="{55543812-C580-4471-AF9A-C7BF6349F2C5}"/>
    <cellStyle name="Comma 3 3 3 4" xfId="10171" xr:uid="{519D1D0A-D20B-4284-82B4-36A8A471F165}"/>
    <cellStyle name="Comma 3 3 3 4 10" xfId="18820" xr:uid="{1D29D07C-299F-4757-9B2B-02672D53A734}"/>
    <cellStyle name="Comma 3 3 3 4 2" xfId="10485" xr:uid="{0A1FE9C9-8FA3-47A9-B3F6-3C4E05987FEA}"/>
    <cellStyle name="Comma 3 3 3 4 2 2" xfId="14877" xr:uid="{63E49543-96F0-4A01-9554-E94032E58C3A}"/>
    <cellStyle name="Comma 3 3 3 4 2 2 2" xfId="22424" xr:uid="{4B5CB1C1-5AB4-4A2D-9AEC-E06FD9AE6EBA}"/>
    <cellStyle name="Comma 3 3 3 4 2 2 3" xfId="46449" xr:uid="{EEFD709A-1D59-4FF0-9D49-663F4B8C9EA9}"/>
    <cellStyle name="Comma 3 3 3 4 2 2 4" xfId="51762" xr:uid="{6DD991BD-7EE6-4215-945F-D166E4A44684}"/>
    <cellStyle name="Comma 3 3 3 4 2 2 5" xfId="54778" xr:uid="{D6D83353-D2E9-4E68-913D-A9EB61637AFE}"/>
    <cellStyle name="Comma 3 3 3 4 2 2 6" xfId="19149" xr:uid="{9154A210-9A62-47E8-AC76-8CBF90363380}"/>
    <cellStyle name="Comma 3 3 3 4 2 3" xfId="15362" xr:uid="{3E944BFD-A191-417E-92D2-E5EAFEA23CF5}"/>
    <cellStyle name="Comma 3 3 3 4 2 3 2" xfId="22901" xr:uid="{C475425F-D1F8-4969-8461-DBD4C7B9B60D}"/>
    <cellStyle name="Comma 3 3 3 4 2 3 3" xfId="46520" xr:uid="{E95D0537-4EFF-46E6-8272-583884D35008}"/>
    <cellStyle name="Comma 3 3 3 4 2 3 4" xfId="52239" xr:uid="{E44BC77C-C6BE-4DDC-B4CD-2F3426499483}"/>
    <cellStyle name="Comma 3 3 3 4 2 3 5" xfId="55255" xr:uid="{0A7E138C-EBE5-43A9-BD34-EB3EF6E1FCF7}"/>
    <cellStyle name="Comma 3 3 3 4 2 3 6" xfId="19292" xr:uid="{7F8E20DC-85CB-48D4-B86B-AC83D92189C8}"/>
    <cellStyle name="Comma 3 3 3 4 2 4" xfId="15849" xr:uid="{3A484F2F-2C0D-46EA-82B6-BC5043C90E5F}"/>
    <cellStyle name="Comma 3 3 3 4 2 4 2" xfId="23378" xr:uid="{9F59C3B7-4032-4BE8-9DED-988654B7F85F}"/>
    <cellStyle name="Comma 3 3 3 4 2 4 3" xfId="46597" xr:uid="{E6961D91-516A-4CAB-8D51-6DB5F98905B1}"/>
    <cellStyle name="Comma 3 3 3 4 2 4 4" xfId="52716" xr:uid="{B36C8F5A-1418-418B-A7D2-E6DBF48D36F5}"/>
    <cellStyle name="Comma 3 3 3 4 2 4 5" xfId="55732" xr:uid="{1651F4B6-2B1E-442E-B951-B5704B9D40CD}"/>
    <cellStyle name="Comma 3 3 3 4 2 4 6" xfId="19437" xr:uid="{5A770981-536F-449F-93D7-50574D119794}"/>
    <cellStyle name="Comma 3 3 3 4 2 5" xfId="12938" xr:uid="{6134380C-9894-403D-A558-517F98DDD4AD}"/>
    <cellStyle name="Comma 3 3 3 4 2 5 2" xfId="46814" xr:uid="{0D3D9E62-99D5-40E0-B768-06FE7E0ECA04}"/>
    <cellStyle name="Comma 3 3 3 4 2 5 3" xfId="51285" xr:uid="{EB6905AB-7755-4A6D-A292-12C1DC4A371D}"/>
    <cellStyle name="Comma 3 3 3 4 2 5 4" xfId="54301" xr:uid="{F20BEB53-039F-4199-A48F-1E5343DA0374}"/>
    <cellStyle name="Comma 3 3 3 4 2 5 5" xfId="22007" xr:uid="{32488AD2-6B2F-47D4-8C81-FAFFF7D4DE1F}"/>
    <cellStyle name="Comma 3 3 3 4 2 6" xfId="47291" xr:uid="{56928CAA-DD9B-44A7-9B83-AF26A7E964F4}"/>
    <cellStyle name="Comma 3 3 3 4 2 7" xfId="50179" xr:uid="{410A016E-AAED-4581-A144-656D9DD3ED31}"/>
    <cellStyle name="Comma 3 3 3 4 2 8" xfId="53195" xr:uid="{FFF60DB4-26D5-44A6-859B-90E2558BCFC3}"/>
    <cellStyle name="Comma 3 3 3 4 2 9" xfId="18981" xr:uid="{D00307AA-3CDB-44AA-A89D-122CAB91D733}"/>
    <cellStyle name="Comma 3 3 3 4 3" xfId="14665" xr:uid="{23E7388B-EF1E-4C49-A2BF-DC1161B4E76E}"/>
    <cellStyle name="Comma 3 3 3 4 3 2" xfId="22212" xr:uid="{8BD478B4-94F7-4E7B-A18E-B745C5E79EBB}"/>
    <cellStyle name="Comma 3 3 3 4 3 3" xfId="32276" xr:uid="{628C8F75-57CF-4B54-8435-579AC5A5B4B4}"/>
    <cellStyle name="Comma 3 3 3 4 3 4" xfId="51550" xr:uid="{3A56EB70-862D-4C2F-9C13-57C1ED03C02B}"/>
    <cellStyle name="Comma 3 3 3 4 3 5" xfId="54566" xr:uid="{2C92B94A-DFDB-4B0E-B313-711B30E462D4}"/>
    <cellStyle name="Comma 3 3 3 4 3 6" xfId="19089" xr:uid="{C13315B3-FDCC-40BB-9949-C45F3D1A6621}"/>
    <cellStyle name="Comma 3 3 3 4 4" xfId="15150" xr:uid="{4C97DD00-FFB1-4F0D-BC0B-8DA2846A4A31}"/>
    <cellStyle name="Comma 3 3 3 4 4 2" xfId="22689" xr:uid="{97D024E0-B4A2-4508-BDF6-D4326F0E9FCE}"/>
    <cellStyle name="Comma 3 3 3 4 4 3" xfId="47372" xr:uid="{9947F672-5502-4869-87BD-759AB096BBFF}"/>
    <cellStyle name="Comma 3 3 3 4 4 4" xfId="52027" xr:uid="{93C166A9-52F4-4335-A8BA-A19D7E527DDE}"/>
    <cellStyle name="Comma 3 3 3 4 4 5" xfId="55043" xr:uid="{6F50F758-1E80-48CB-98F0-CB532F4854E1}"/>
    <cellStyle name="Comma 3 3 3 4 4 6" xfId="19232" xr:uid="{BF0D5BA6-4C92-48E2-879C-CDD5DC25D2AC}"/>
    <cellStyle name="Comma 3 3 3 4 5" xfId="15637" xr:uid="{80EB10B0-07F4-4341-B610-967C5F98B4B9}"/>
    <cellStyle name="Comma 3 3 3 4 5 2" xfId="23166" xr:uid="{EB377420-965A-4596-A2B1-537EBFCC141F}"/>
    <cellStyle name="Comma 3 3 3 4 5 3" xfId="32396" xr:uid="{79C3C115-408D-4D45-94FB-E3263D11AB26}"/>
    <cellStyle name="Comma 3 3 3 4 5 4" xfId="52504" xr:uid="{7FB91A3D-5013-439E-A2DC-4114468E7752}"/>
    <cellStyle name="Comma 3 3 3 4 5 5" xfId="55520" xr:uid="{2C69F65C-40AE-4D87-AD4E-AF62CF9AC2A3}"/>
    <cellStyle name="Comma 3 3 3 4 5 6" xfId="19377" xr:uid="{AFC5B608-15C6-4D0F-B7BD-2DCE409DF865}"/>
    <cellStyle name="Comma 3 3 3 4 6" xfId="12625" xr:uid="{E475214C-57CF-4A2A-B7DD-2BF2D0AD2F79}"/>
    <cellStyle name="Comma 3 3 3 4 6 2" xfId="46776" xr:uid="{F2B2179F-71C4-4EC0-AF04-FC2F0F209E34}"/>
    <cellStyle name="Comma 3 3 3 4 6 3" xfId="51073" xr:uid="{A1FD9FCE-9880-49C9-B552-EFF250AA1666}"/>
    <cellStyle name="Comma 3 3 3 4 6 4" xfId="54089" xr:uid="{D324F563-D866-48CD-BAC8-BF9D47B7301F}"/>
    <cellStyle name="Comma 3 3 3 4 6 5" xfId="21947" xr:uid="{8AC27C98-F874-4723-B8BC-614C2EAC8EAF}"/>
    <cellStyle name="Comma 3 3 3 4 7" xfId="25379" xr:uid="{34911D76-26B9-47B1-921E-FDA30C90840D}"/>
    <cellStyle name="Comma 3 3 3 4 8" xfId="49967" xr:uid="{140DC617-DBD5-4194-8644-189B3B27CDF9}"/>
    <cellStyle name="Comma 3 3 3 4 9" xfId="52983" xr:uid="{5B85B110-4FC5-4A52-9ADE-E7312683A232}"/>
    <cellStyle name="Comma 3 3 3 5" xfId="10251" xr:uid="{D5442291-C2A5-44A4-BAD8-3813CE42C83B}"/>
    <cellStyle name="Comma 3 3 3 5 2" xfId="14718" xr:uid="{A387DF98-A6ED-4B65-B8C2-219FBAED5492}"/>
    <cellStyle name="Comma 3 3 3 5 2 2" xfId="22265" xr:uid="{35DBB265-B37D-4760-8F4D-BC0C56933AC6}"/>
    <cellStyle name="Comma 3 3 3 5 2 3" xfId="46853" xr:uid="{D2DEE166-CB0E-4665-81D4-DE59FA714A87}"/>
    <cellStyle name="Comma 3 3 3 5 2 4" xfId="51603" xr:uid="{B14A0F9C-455B-47FC-B5DF-6F6839721A6A}"/>
    <cellStyle name="Comma 3 3 3 5 2 5" xfId="54619" xr:uid="{A0CBDC9C-589C-4F39-8BB8-60442D28AD86}"/>
    <cellStyle name="Comma 3 3 3 5 2 6" xfId="19104" xr:uid="{9CA57AB6-1414-4A78-A807-DEC0DBA684BB}"/>
    <cellStyle name="Comma 3 3 3 5 3" xfId="15203" xr:uid="{C4290716-90AC-4DA6-AE7F-9E29B08E17BF}"/>
    <cellStyle name="Comma 3 3 3 5 3 2" xfId="22742" xr:uid="{80AA4D86-C076-4862-92E2-7E83804F8721}"/>
    <cellStyle name="Comma 3 3 3 5 3 3" xfId="47544" xr:uid="{0E99D3B7-0DD6-4BE0-AFFA-AE8AE9157310}"/>
    <cellStyle name="Comma 3 3 3 5 3 4" xfId="52080" xr:uid="{50938C50-F9A5-44FC-BC1F-0FAAB1C34213}"/>
    <cellStyle name="Comma 3 3 3 5 3 5" xfId="55096" xr:uid="{56D540AD-FB23-4176-B1FD-6EFB84E1315F}"/>
    <cellStyle name="Comma 3 3 3 5 3 6" xfId="19247" xr:uid="{89DB8ACD-AA9B-4EA2-B4FD-43EA2F16B751}"/>
    <cellStyle name="Comma 3 3 3 5 4" xfId="15690" xr:uid="{433D1893-9676-4ED0-AA9D-3FF2FA3A471B}"/>
    <cellStyle name="Comma 3 3 3 5 4 2" xfId="23219" xr:uid="{9230A7EB-7A6A-4019-9754-0AE4B9A0783E}"/>
    <cellStyle name="Comma 3 3 3 5 4 3" xfId="46954" xr:uid="{E8D3422B-EBA6-418E-8889-9E4639E2CA00}"/>
    <cellStyle name="Comma 3 3 3 5 4 4" xfId="52557" xr:uid="{0A31EC00-E719-4F00-9182-0F4F07195F15}"/>
    <cellStyle name="Comma 3 3 3 5 4 5" xfId="55573" xr:uid="{91C3F377-E8B3-4699-A91E-7E84AA94093D}"/>
    <cellStyle name="Comma 3 3 3 5 4 6" xfId="19392" xr:uid="{C6587A60-C0EB-4208-8FB7-14EED4EE3A0B}"/>
    <cellStyle name="Comma 3 3 3 5 5" xfId="12704" xr:uid="{0E54D281-7AE3-47CF-9F2F-4B2A1228D0C7}"/>
    <cellStyle name="Comma 3 3 3 5 5 2" xfId="47617" xr:uid="{8FB9884F-BBC8-4868-8CC1-1C08ECC03C8C}"/>
    <cellStyle name="Comma 3 3 3 5 5 3" xfId="51126" xr:uid="{AC72FB1C-9D6F-4568-AA16-A26A9196CE1F}"/>
    <cellStyle name="Comma 3 3 3 5 5 4" xfId="54142" xr:uid="{152AB72E-DD0B-4D3A-BB7E-4AD492FDAF59}"/>
    <cellStyle name="Comma 3 3 3 5 5 5" xfId="21962" xr:uid="{FA0CA9B3-769F-460C-AAD8-EDD60DE13F3D}"/>
    <cellStyle name="Comma 3 3 3 5 6" xfId="47733" xr:uid="{D09EFA21-387E-4799-91EA-9705BE6020EC}"/>
    <cellStyle name="Comma 3 3 3 5 7" xfId="50020" xr:uid="{273E0CF8-43A9-4609-A144-3C137FA872AA}"/>
    <cellStyle name="Comma 3 3 3 5 8" xfId="53036" xr:uid="{222A0293-2E87-45EE-8118-C32DFA2C9D61}"/>
    <cellStyle name="Comma 3 3 3 5 9" xfId="18861" xr:uid="{D59A4335-AD78-4F97-A683-E75D93ADBDE6}"/>
    <cellStyle name="Comma 3 3 3 6" xfId="10565" xr:uid="{6485B72D-226C-4E85-95A9-574B4AF8D7E6}"/>
    <cellStyle name="Comma 3 3 3 6 2" xfId="14930" xr:uid="{FC93FEFF-8C62-4DD6-B03E-3149BDF3BC4D}"/>
    <cellStyle name="Comma 3 3 3 6 2 2" xfId="22477" xr:uid="{8B8D1E7C-D447-4860-91A5-F8ABFDC06FE1}"/>
    <cellStyle name="Comma 3 3 3 6 2 3" xfId="32521" xr:uid="{C0368285-EA30-4882-84ED-5E67BA9374F3}"/>
    <cellStyle name="Comma 3 3 3 6 2 4" xfId="51815" xr:uid="{2BCF4515-0846-4490-9B73-DCEA7CC08A52}"/>
    <cellStyle name="Comma 3 3 3 6 2 5" xfId="54831" xr:uid="{33FF3AE4-B238-4F90-BBC5-6508D21AFDB9}"/>
    <cellStyle name="Comma 3 3 3 6 2 6" xfId="19164" xr:uid="{2B3E4240-2BF1-4D84-828E-81414443D398}"/>
    <cellStyle name="Comma 3 3 3 6 3" xfId="15415" xr:uid="{37BAC104-EF3C-48AD-9940-6C5CA8E2BCF8}"/>
    <cellStyle name="Comma 3 3 3 6 3 2" xfId="22954" xr:uid="{F375C57F-D8D2-4623-B85C-3BDA3F77934E}"/>
    <cellStyle name="Comma 3 3 3 6 3 3" xfId="47994" xr:uid="{FC5390B0-3DF9-43E6-8CC6-3925BEE8975E}"/>
    <cellStyle name="Comma 3 3 3 6 3 4" xfId="52292" xr:uid="{F55F2048-C12F-46CA-A679-350360BE84CA}"/>
    <cellStyle name="Comma 3 3 3 6 3 5" xfId="55308" xr:uid="{EF6FAEC1-87E7-4426-B55B-4B734C13F3A6}"/>
    <cellStyle name="Comma 3 3 3 6 3 6" xfId="19307" xr:uid="{2CF74936-E77F-473C-8A38-695F11A06BE2}"/>
    <cellStyle name="Comma 3 3 3 6 4" xfId="15903" xr:uid="{27B211FF-78B5-41A3-8E28-67C154A0329A}"/>
    <cellStyle name="Comma 3 3 3 6 4 2" xfId="23431" xr:uid="{34059942-2EA1-46BA-A174-798C7980C347}"/>
    <cellStyle name="Comma 3 3 3 6 4 3" xfId="46603" xr:uid="{D555B147-DF03-47D8-8CDA-7BFD029AD103}"/>
    <cellStyle name="Comma 3 3 3 6 4 4" xfId="52769" xr:uid="{385ECD1C-DE04-4431-B73A-14853E7435CB}"/>
    <cellStyle name="Comma 3 3 3 6 4 5" xfId="55785" xr:uid="{BB9AE658-C3F3-4891-B50E-D3B536A9BE52}"/>
    <cellStyle name="Comma 3 3 3 6 4 6" xfId="19453" xr:uid="{47ECC57C-7F94-44E3-ABD4-832EE8C9D3A9}"/>
    <cellStyle name="Comma 3 3 3 6 5" xfId="13018" xr:uid="{CBED4B7B-3B0B-43E3-AEA9-E572888DB735}"/>
    <cellStyle name="Comma 3 3 3 6 5 2" xfId="47149" xr:uid="{5D596B3F-01FE-4D63-BA32-6B2A73749E28}"/>
    <cellStyle name="Comma 3 3 3 6 5 3" xfId="51338" xr:uid="{64A1478C-4CCA-4E49-9B6F-A902FA536E25}"/>
    <cellStyle name="Comma 3 3 3 6 5 4" xfId="54354" xr:uid="{D7480236-6649-4E24-956F-915884E70180}"/>
    <cellStyle name="Comma 3 3 3 6 5 5" xfId="22022" xr:uid="{06622FFD-7B6D-4EF9-9EDD-A52E4FFAD44C}"/>
    <cellStyle name="Comma 3 3 3 6 6" xfId="46150" xr:uid="{8C1B44F3-2C26-4611-9D3B-4FE2D67D9900}"/>
    <cellStyle name="Comma 3 3 3 6 7" xfId="50232" xr:uid="{EC5FBAB5-22BC-4ED9-B80E-689DCD72AE63}"/>
    <cellStyle name="Comma 3 3 3 6 8" xfId="53248" xr:uid="{B6B1074C-1522-47B4-829C-8FA6099D2025}"/>
    <cellStyle name="Comma 3 3 3 6 9" xfId="19023" xr:uid="{D28070CD-0479-4B10-9E60-C889DCC1FB64}"/>
    <cellStyle name="Comma 3 3 3 7" xfId="14506" xr:uid="{7405EDE2-7371-4DB5-BE2F-3DB023596673}"/>
    <cellStyle name="Comma 3 3 3 7 2" xfId="22053" xr:uid="{300549FE-E8C2-4387-A9D1-A298CB517107}"/>
    <cellStyle name="Comma 3 3 3 7 3" xfId="24750" xr:uid="{17FA16E2-6322-49BD-897B-C00FA2E1684B}"/>
    <cellStyle name="Comma 3 3 3 7 4" xfId="51391" xr:uid="{99455F11-896B-423A-919A-681D27C4C54A}"/>
    <cellStyle name="Comma 3 3 3 7 5" xfId="54407" xr:uid="{2F0B5A14-5567-40D3-AAC1-14AA91D76AA3}"/>
    <cellStyle name="Comma 3 3 3 7 6" xfId="19044" xr:uid="{D7A1B955-A73D-4B86-B532-0325CD189E90}"/>
    <cellStyle name="Comma 3 3 3 8" xfId="14990" xr:uid="{41225DB7-ABFF-4DEE-A45A-7FF91F140B2B}"/>
    <cellStyle name="Comma 3 3 3 8 2" xfId="22530" xr:uid="{D9568C7E-F684-4256-9EED-431E99A95EC9}"/>
    <cellStyle name="Comma 3 3 3 8 3" xfId="36969" xr:uid="{FC1EAB32-4043-4F3A-8769-1862AE470B3C}"/>
    <cellStyle name="Comma 3 3 3 8 4" xfId="51868" xr:uid="{793B9113-83D9-4682-8140-BAD935B0BFE0}"/>
    <cellStyle name="Comma 3 3 3 8 5" xfId="54884" xr:uid="{5EEBC82E-8D69-4E71-86B4-521A54DEF979}"/>
    <cellStyle name="Comma 3 3 3 8 6" xfId="19186" xr:uid="{8EA46138-49A8-40E7-B6E3-DC4B612850D7}"/>
    <cellStyle name="Comma 3 3 3 9" xfId="15477" xr:uid="{66E9418F-F785-4A45-A73D-33E518FCBD22}"/>
    <cellStyle name="Comma 3 3 3 9 2" xfId="23007" xr:uid="{D75E41EC-19FC-45AF-949D-B86CC4B431F4}"/>
    <cellStyle name="Comma 3 3 3 9 3" xfId="47405" xr:uid="{E3FD8366-ECEC-4120-9CEC-B23342D54BB0}"/>
    <cellStyle name="Comma 3 3 3 9 4" xfId="52345" xr:uid="{D8BE0392-760C-44B0-B915-DDE5BC3E05D8}"/>
    <cellStyle name="Comma 3 3 3 9 5" xfId="55361" xr:uid="{9C5266A7-563D-4629-997C-19260FA42D5E}"/>
    <cellStyle name="Comma 3 3 3 9 6" xfId="19331" xr:uid="{A698ED39-8208-4416-AFDB-7D28E581CEEA}"/>
    <cellStyle name="Comma 3 3 4" xfId="11112" xr:uid="{DFCD2D05-3DAC-432E-9152-9D8BA570DB5B}"/>
    <cellStyle name="Comma 3 3 4 2" xfId="23747" xr:uid="{6E611245-FBFD-4D91-981F-ED6B08059DDC}"/>
    <cellStyle name="Comma 3 3 4 3" xfId="48630" xr:uid="{2A0961AF-738E-4687-98BF-97EDBF150428}"/>
    <cellStyle name="Comma 3 3 4 4" xfId="49538" xr:uid="{BCDE7195-5CBD-42C1-923A-598089813C56}"/>
    <cellStyle name="Comma 3 3 5" xfId="11192" xr:uid="{256FC43C-32AD-42FA-99A7-C192B2270913}"/>
    <cellStyle name="Comma 3 3 5 2" xfId="21688" xr:uid="{4C6436F3-F4FA-422B-B084-77D1012DF2B6}"/>
    <cellStyle name="Comma 3 3 5 2 2" xfId="32694" xr:uid="{46333BDC-03D0-4871-9F21-4CFA692EF596}"/>
    <cellStyle name="Comma 3 3 5 3" xfId="23748" xr:uid="{36842305-2662-49BF-AC6D-A65284A22E41}"/>
    <cellStyle name="Comma 3 3 5 4" xfId="48261" xr:uid="{6893E750-3913-40D0-A442-FBEA1395EA7C}"/>
    <cellStyle name="Comma 3 3 5 5" xfId="48631" xr:uid="{7A293959-53A6-4882-92BC-104425526E3A}"/>
    <cellStyle name="Comma 3 3 5 6" xfId="49539" xr:uid="{B57615E7-8677-4BE8-986C-C79AA8D0D793}"/>
    <cellStyle name="Comma 3 3 5 7" xfId="50705" xr:uid="{C39EE896-E6AF-4F62-AC9D-B596BA9ECA41}"/>
    <cellStyle name="Comma 3 3 5 8" xfId="53721" xr:uid="{BB9611B1-A5B8-4641-A0B9-C1DDF65A6933}"/>
    <cellStyle name="Comma 3 3 5 9" xfId="18052" xr:uid="{0C935752-2376-4595-BA82-3A89F8780843}"/>
    <cellStyle name="Comma 3 3 6" xfId="19485" xr:uid="{20A56775-E6ED-4ED0-A51A-E6CA5AC7DE70}"/>
    <cellStyle name="Comma 3 3 7" xfId="23743" xr:uid="{46D3B892-8321-4AD1-BCF3-258CDA314819}"/>
    <cellStyle name="Comma 3 3 8" xfId="48626" xr:uid="{55A48823-B91D-43EA-A12F-7252F8E004B6}"/>
    <cellStyle name="Comma 3 3 9" xfId="49534" xr:uid="{7C8BFF26-FFD5-44B0-881E-01F228DC722E}"/>
    <cellStyle name="Comma 3 4" xfId="4539" xr:uid="{71A932D2-D02C-488C-BB3C-BCD87EF333E9}"/>
    <cellStyle name="Comma 3 4 10" xfId="14991" xr:uid="{ED2A4FBC-9561-452F-A573-5D1D6EB0D787}"/>
    <cellStyle name="Comma 3 4 10 2" xfId="22531" xr:uid="{E1737E73-179B-4AC2-97F5-C487036F9C01}"/>
    <cellStyle name="Comma 3 4 10 3" xfId="47245" xr:uid="{F5CBF516-FAF7-420A-8E76-B4D6E396F04B}"/>
    <cellStyle name="Comma 3 4 10 4" xfId="51869" xr:uid="{40B9539C-161C-436A-92B1-EC8120AAA55C}"/>
    <cellStyle name="Comma 3 4 10 5" xfId="54885" xr:uid="{C458F09E-CF4B-4A5A-9953-B03C7120DC28}"/>
    <cellStyle name="Comma 3 4 11" xfId="15478" xr:uid="{9C3B7B86-88CC-4442-8A22-2C0FABE52A41}"/>
    <cellStyle name="Comma 3 4 11 2" xfId="23008" xr:uid="{AEA62A68-97F5-4D53-92E9-5CC5A3A0B95F}"/>
    <cellStyle name="Comma 3 4 11 3" xfId="46925" xr:uid="{F2B9DC96-9904-4B12-984D-1A9BAC4808FF}"/>
    <cellStyle name="Comma 3 4 11 4" xfId="52346" xr:uid="{030F6FC9-5542-4A2F-BEF6-C56DD5F1F2AD}"/>
    <cellStyle name="Comma 3 4 11 5" xfId="55362" xr:uid="{7D00AA2C-D034-45A9-8B8C-FD5F4FC04AE5}"/>
    <cellStyle name="Comma 3 4 12" xfId="11583" xr:uid="{622F648B-AF3B-4146-9A29-70F6FA94756B}"/>
    <cellStyle name="Comma 3 4 12 2" xfId="21707" xr:uid="{EB87296F-A595-4FF4-8A63-03348BF0CC6A}"/>
    <cellStyle name="Comma 3 4 12 3" xfId="47460" xr:uid="{B01BC2D8-7C45-43F8-B273-7C66B3B8A593}"/>
    <cellStyle name="Comma 3 4 12 4" xfId="50730" xr:uid="{60BFEB3C-BC3D-4A99-9BA8-876D36C1D510}"/>
    <cellStyle name="Comma 3 4 12 5" xfId="53746" xr:uid="{FC8B1F32-DEC0-49E5-80A4-EBAD2BD064D5}"/>
    <cellStyle name="Comma 3 4 13" xfId="23749" xr:uid="{D3A9EAA0-99AD-4BAC-8040-95CFDE185E85}"/>
    <cellStyle name="Comma 3 4 14" xfId="48632" xr:uid="{FB648E90-5919-4003-B0A9-29D9570C3FAD}"/>
    <cellStyle name="Comma 3 4 15" xfId="49540" xr:uid="{0A9B0C9A-C632-49FF-BE0D-FA7A448E924A}"/>
    <cellStyle name="Comma 3 4 16" xfId="49809" xr:uid="{57127994-A601-4D83-A9A2-9A3E66323EEE}"/>
    <cellStyle name="Comma 3 4 17" xfId="52824" xr:uid="{F1FCE6CA-18CB-44B9-B617-9694D1C41B9A}"/>
    <cellStyle name="Comma 3 4 18" xfId="8932" xr:uid="{1FA12F2A-AC65-4DA7-8143-36D2E28ADE59}"/>
    <cellStyle name="Comma 3 4 2" xfId="8933" xr:uid="{763287C9-5089-44C3-97A8-317092DD2B7D}"/>
    <cellStyle name="Comma 3 4 2 10" xfId="12315" xr:uid="{ED489027-2A7E-4F81-B945-E49D4A0679EB}"/>
    <cellStyle name="Comma 3 4 2 10 2" xfId="48436" xr:uid="{21ACA085-A838-41AE-B7FF-9A4C2F1F5999}"/>
    <cellStyle name="Comma 3 4 2 10 3" xfId="50944" xr:uid="{CB4C31AE-2044-4BEC-8925-845C01DD1071}"/>
    <cellStyle name="Comma 3 4 2 10 4" xfId="53960" xr:uid="{223D77EC-8BCE-4CEE-BE7F-E4294A562449}"/>
    <cellStyle name="Comma 3 4 2 11" xfId="23750" xr:uid="{9DF17000-BC21-4F75-B0E4-84A13C44C4A9}"/>
    <cellStyle name="Comma 3 4 2 12" xfId="48633" xr:uid="{47F55BB3-5476-4A71-A535-AD631402A134}"/>
    <cellStyle name="Comma 3 4 2 13" xfId="49541" xr:uid="{D44C9EDA-6FBE-48E4-BB64-408E8B05968C}"/>
    <cellStyle name="Comma 3 4 2 14" xfId="49810" xr:uid="{57B2AA74-93B9-4761-BCC5-0D9CF74F596B}"/>
    <cellStyle name="Comma 3 4 2 15" xfId="52825" xr:uid="{088E5F18-4D56-4A6A-A769-C0982E6D24DA}"/>
    <cellStyle name="Comma 3 4 2 2" xfId="10020" xr:uid="{22C206C7-3E86-4218-AA9F-358F8B2A9D1D}"/>
    <cellStyle name="Comma 3 4 2 2 2" xfId="10328" xr:uid="{2BFA08FD-3C20-4F44-BA96-7C1EADA7E1B4}"/>
    <cellStyle name="Comma 3 4 2 2 2 2" xfId="14773" xr:uid="{77EAFF02-B3E5-42E7-BC87-711187C05A45}"/>
    <cellStyle name="Comma 3 4 2 2 2 2 2" xfId="22320" xr:uid="{B583A9FA-ED78-4945-9046-1F4455352D76}"/>
    <cellStyle name="Comma 3 4 2 2 2 2 3" xfId="48408" xr:uid="{CAD28C93-1020-4E15-A8A7-8F20C139EB76}"/>
    <cellStyle name="Comma 3 4 2 2 2 2 4" xfId="51658" xr:uid="{14DABCB8-33C9-4B87-ABCF-60BD2243F058}"/>
    <cellStyle name="Comma 3 4 2 2 2 2 5" xfId="54674" xr:uid="{0A3E34AB-5983-4C19-841C-C5320EA746F5}"/>
    <cellStyle name="Comma 3 4 2 2 2 3" xfId="15258" xr:uid="{1E7CA7EA-1ED3-4F0B-B5A3-8945B90DE5C1}"/>
    <cellStyle name="Comma 3 4 2 2 2 3 2" xfId="22797" xr:uid="{70F83976-AD8D-43AC-861F-41EEA0C7D1E2}"/>
    <cellStyle name="Comma 3 4 2 2 2 3 3" xfId="47435" xr:uid="{36693BDB-F706-4B60-89C1-14914BE94970}"/>
    <cellStyle name="Comma 3 4 2 2 2 3 4" xfId="52135" xr:uid="{AFCC18FC-60AD-4223-A8A6-A648EEF9ACD2}"/>
    <cellStyle name="Comma 3 4 2 2 2 3 5" xfId="55151" xr:uid="{000AA5B4-865F-4868-A089-1A22EED26944}"/>
    <cellStyle name="Comma 3 4 2 2 2 4" xfId="15745" xr:uid="{E89B912C-2584-4863-9F3A-A8F4132C4C34}"/>
    <cellStyle name="Comma 3 4 2 2 2 4 2" xfId="23274" xr:uid="{38899316-593A-413B-8E05-ED241485478E}"/>
    <cellStyle name="Comma 3 4 2 2 2 4 3" xfId="46701" xr:uid="{16A32DAD-F199-4C29-85D5-4BE9CDAE29C8}"/>
    <cellStyle name="Comma 3 4 2 2 2 4 4" xfId="52612" xr:uid="{542AD63B-9400-49BF-85DD-89F2DA2366C1}"/>
    <cellStyle name="Comma 3 4 2 2 2 4 5" xfId="55628" xr:uid="{0452861F-9C68-48B9-BD87-62AC7BD53C2C}"/>
    <cellStyle name="Comma 3 4 2 2 2 5" xfId="12781" xr:uid="{54A2CFBB-2205-4EE1-ADDE-D1AFB8E55A6E}"/>
    <cellStyle name="Comma 3 4 2 2 2 5 2" xfId="48397" xr:uid="{C54B33B3-F6D9-4644-80E9-211D52A95F89}"/>
    <cellStyle name="Comma 3 4 2 2 2 5 3" xfId="51181" xr:uid="{38DDCDA8-68C8-4209-AF23-0EE74E565F4E}"/>
    <cellStyle name="Comma 3 4 2 2 2 5 4" xfId="54197" xr:uid="{C7A34ADB-AE74-420F-A4A5-97F122D8A6F6}"/>
    <cellStyle name="Comma 3 4 2 2 2 6" xfId="47952" xr:uid="{00F7ED25-4A61-4D4A-B86D-3512D6CF3F80}"/>
    <cellStyle name="Comma 3 4 2 2 2 7" xfId="50075" xr:uid="{41B58AEC-B1F0-4125-8D39-09F27EA33863}"/>
    <cellStyle name="Comma 3 4 2 2 2 8" xfId="53091" xr:uid="{EF793822-58F6-4498-B359-9CFFC6B9AB1F}"/>
    <cellStyle name="Comma 3 4 2 2 3" xfId="14561" xr:uid="{8DFF658C-56B3-4944-9EAD-C5CB41EDD714}"/>
    <cellStyle name="Comma 3 4 2 2 3 2" xfId="22108" xr:uid="{022C4634-2258-4755-9ABA-150F792A7DAA}"/>
    <cellStyle name="Comma 3 4 2 2 3 3" xfId="46835" xr:uid="{15110B1E-5A51-4616-B6AB-D921C421BF2C}"/>
    <cellStyle name="Comma 3 4 2 2 3 4" xfId="51446" xr:uid="{AD08008D-9BFB-4058-94A1-ED6D9067D983}"/>
    <cellStyle name="Comma 3 4 2 2 3 5" xfId="54462" xr:uid="{A64FFAEC-3457-4FC2-8196-0FCBF88A6958}"/>
    <cellStyle name="Comma 3 4 2 2 4" xfId="15045" xr:uid="{7DAC3872-1050-44CC-B33A-E2843F475F6A}"/>
    <cellStyle name="Comma 3 4 2 2 4 2" xfId="22585" xr:uid="{3CBAE5A8-AE99-473F-9D89-9F6CCED6539C}"/>
    <cellStyle name="Comma 3 4 2 2 4 3" xfId="46471" xr:uid="{2B0D166D-401A-40CB-B06D-8C8A87A63800}"/>
    <cellStyle name="Comma 3 4 2 2 4 4" xfId="51923" xr:uid="{1BB49252-5F71-414C-9C55-3CC84E475508}"/>
    <cellStyle name="Comma 3 4 2 2 4 5" xfId="54939" xr:uid="{E1CAC50D-94E5-4437-9D7E-1E22208B385C}"/>
    <cellStyle name="Comma 3 4 2 2 5" xfId="15532" xr:uid="{092B7C0F-7EFD-49E8-8492-397D28025518}"/>
    <cellStyle name="Comma 3 4 2 2 5 2" xfId="23062" xr:uid="{A537EF94-B5A2-45B6-8690-4319C2488515}"/>
    <cellStyle name="Comma 3 4 2 2 5 3" xfId="47725" xr:uid="{56A69840-C500-4631-9583-BFFED830B74C}"/>
    <cellStyle name="Comma 3 4 2 2 5 4" xfId="52400" xr:uid="{8F65917C-F532-4942-AA57-FDFB9179FD92}"/>
    <cellStyle name="Comma 3 4 2 2 5 5" xfId="55416" xr:uid="{E26D1D1A-974A-497A-BA02-F59EE7A4BD55}"/>
    <cellStyle name="Comma 3 4 2 2 6" xfId="12480" xr:uid="{22100769-F68F-4534-8C9C-9F4674845A44}"/>
    <cellStyle name="Comma 3 4 2 2 6 2" xfId="46311" xr:uid="{04F5EEF7-EBD0-48A4-B71A-2A492E736DC4}"/>
    <cellStyle name="Comma 3 4 2 2 6 3" xfId="50969" xr:uid="{0E009CC3-DB98-42A9-A629-45DE10385FD3}"/>
    <cellStyle name="Comma 3 4 2 2 6 4" xfId="53985" xr:uid="{CE1B6A0F-2749-49DC-A9A5-A2C66643E94B}"/>
    <cellStyle name="Comma 3 4 2 2 7" xfId="48148" xr:uid="{8410D68E-D908-45E2-B2CC-FBFD3CF0D0FC}"/>
    <cellStyle name="Comma 3 4 2 2 8" xfId="49863" xr:uid="{3A6D7A21-87ED-492C-9082-1A5B3206F856}"/>
    <cellStyle name="Comma 3 4 2 2 9" xfId="52879" xr:uid="{9A9D9236-D8D6-4C15-A0F4-38D69C5B4212}"/>
    <cellStyle name="Comma 3 4 2 3" xfId="10094" xr:uid="{E3F43E40-7BE2-46B4-90C2-490E5692FE10}"/>
    <cellStyle name="Comma 3 4 2 3 2" xfId="10407" xr:uid="{00A1894E-BCF6-43F4-9632-36F69051AA9A}"/>
    <cellStyle name="Comma 3 4 2 3 2 2" xfId="14826" xr:uid="{D7FABABA-EF5F-41EE-9876-278F45B33253}"/>
    <cellStyle name="Comma 3 4 2 3 2 2 2" xfId="22373" xr:uid="{005A0D2D-679E-4504-B2AA-1A5B4B7853C1}"/>
    <cellStyle name="Comma 3 4 2 3 2 2 3" xfId="46440" xr:uid="{DE675E33-E446-4941-865E-FE2683B4E4E4}"/>
    <cellStyle name="Comma 3 4 2 3 2 2 4" xfId="51711" xr:uid="{1A42DA7A-9D15-4F8D-8857-584DB81DC6E8}"/>
    <cellStyle name="Comma 3 4 2 3 2 2 5" xfId="54727" xr:uid="{B6282C08-4387-4085-BAB2-08C89B7FB1AE}"/>
    <cellStyle name="Comma 3 4 2 3 2 3" xfId="15311" xr:uid="{FAAA0338-5E0D-4C90-A901-2A56D15FC102}"/>
    <cellStyle name="Comma 3 4 2 3 2 3 2" xfId="22850" xr:uid="{DBDB2B93-C9D3-441E-840A-2549AEFFB5E8}"/>
    <cellStyle name="Comma 3 4 2 3 2 3 3" xfId="48073" xr:uid="{FDC7FF67-8B07-45A5-921B-6CB12B7C74E4}"/>
    <cellStyle name="Comma 3 4 2 3 2 3 4" xfId="52188" xr:uid="{1066BBB8-343A-4E1A-86C7-8F2A806100AD}"/>
    <cellStyle name="Comma 3 4 2 3 2 3 5" xfId="55204" xr:uid="{F33103DF-462F-4813-8E91-467B162FC51F}"/>
    <cellStyle name="Comma 3 4 2 3 2 4" xfId="15798" xr:uid="{BB549376-ADD3-4AEC-969F-BEDCB1897F2E}"/>
    <cellStyle name="Comma 3 4 2 3 2 4 2" xfId="23327" xr:uid="{4AB43199-5B7C-45A5-9234-5074F1529E25}"/>
    <cellStyle name="Comma 3 4 2 3 2 4 3" xfId="48230" xr:uid="{64B1EEB2-2D02-4F4D-96CB-6FA9889F7EB2}"/>
    <cellStyle name="Comma 3 4 2 3 2 4 4" xfId="52665" xr:uid="{917119F2-AFAF-459F-AF0C-2A1C6BE8511A}"/>
    <cellStyle name="Comma 3 4 2 3 2 4 5" xfId="55681" xr:uid="{E9464B4B-F236-4261-B389-CFFE0F687684}"/>
    <cellStyle name="Comma 3 4 2 3 2 5" xfId="12860" xr:uid="{2F0C3088-39E9-4750-9FC6-07B3973E4955}"/>
    <cellStyle name="Comma 3 4 2 3 2 5 2" xfId="47511" xr:uid="{BB565BDD-1438-424A-BC4B-58BAAE663B34}"/>
    <cellStyle name="Comma 3 4 2 3 2 5 3" xfId="51234" xr:uid="{A616629A-AFD7-4AD4-9D7E-B8C6343DD9FB}"/>
    <cellStyle name="Comma 3 4 2 3 2 5 4" xfId="54250" xr:uid="{43E4964D-836B-4972-A418-4D09DC774E02}"/>
    <cellStyle name="Comma 3 4 2 3 2 6" xfId="47287" xr:uid="{43BC7F5A-EC16-4EB0-9418-CA3E47B4573B}"/>
    <cellStyle name="Comma 3 4 2 3 2 7" xfId="50128" xr:uid="{6A25B6A9-A5FF-40F2-957A-8D604D19A91D}"/>
    <cellStyle name="Comma 3 4 2 3 2 8" xfId="53144" xr:uid="{A93C4B74-1212-4E30-B732-37597EED8734}"/>
    <cellStyle name="Comma 3 4 2 3 3" xfId="14614" xr:uid="{E3EC9CF1-47AF-4062-8182-429E77B8FB29}"/>
    <cellStyle name="Comma 3 4 2 3 3 2" xfId="22161" xr:uid="{A781ABB8-A824-47F9-A924-CA0C3351A02D}"/>
    <cellStyle name="Comma 3 4 2 3 3 3" xfId="35909" xr:uid="{2F478657-22EF-4153-A6F9-6F60B2F47511}"/>
    <cellStyle name="Comma 3 4 2 3 3 4" xfId="51499" xr:uid="{D5BF9141-D9EE-42D6-A9CF-CDE8563DD769}"/>
    <cellStyle name="Comma 3 4 2 3 3 5" xfId="54515" xr:uid="{2DC4D28A-E4D8-416A-84B0-8198D66BD78D}"/>
    <cellStyle name="Comma 3 4 2 3 4" xfId="15099" xr:uid="{6CF69834-4755-4EA6-A4C7-6303742772B9}"/>
    <cellStyle name="Comma 3 4 2 3 4 2" xfId="22638" xr:uid="{2EDC0881-28CF-4551-B7B4-48F9D57B0B16}"/>
    <cellStyle name="Comma 3 4 2 3 4 3" xfId="48216" xr:uid="{74783FCF-98F8-404F-AB5C-DCEEBDD890E1}"/>
    <cellStyle name="Comma 3 4 2 3 4 4" xfId="51976" xr:uid="{2B2438DB-0910-49D3-B74F-EB6B1DC143A0}"/>
    <cellStyle name="Comma 3 4 2 3 4 5" xfId="54992" xr:uid="{BDF0D875-44CC-46D1-A77C-9DF848224421}"/>
    <cellStyle name="Comma 3 4 2 3 5" xfId="15586" xr:uid="{9422CEBA-AAB6-4895-BB0A-31A2214CD982}"/>
    <cellStyle name="Comma 3 4 2 3 5 2" xfId="23115" xr:uid="{8D7D5DA0-8EBB-4B20-927E-3FBEA4A069F0}"/>
    <cellStyle name="Comma 3 4 2 3 5 3" xfId="48518" xr:uid="{5F8A0403-4716-4457-AE58-86AB2399655C}"/>
    <cellStyle name="Comma 3 4 2 3 5 4" xfId="52453" xr:uid="{09E57278-93B5-4871-AEB4-AEA8C72928B2}"/>
    <cellStyle name="Comma 3 4 2 3 5 5" xfId="55469" xr:uid="{CC017268-4D31-42AA-AC7A-F38FFB4161AF}"/>
    <cellStyle name="Comma 3 4 2 3 6" xfId="12551" xr:uid="{12BE0BB4-E11D-4FB2-9FC2-033C3044AE75}"/>
    <cellStyle name="Comma 3 4 2 3 6 2" xfId="47987" xr:uid="{C350E50D-B24D-4427-8E1D-D8D58007C22D}"/>
    <cellStyle name="Comma 3 4 2 3 6 3" xfId="51022" xr:uid="{04082AD6-B32B-4A64-8B48-0A045BBED257}"/>
    <cellStyle name="Comma 3 4 2 3 6 4" xfId="54038" xr:uid="{40860471-8E5B-4052-A59F-3E0F20F89E3E}"/>
    <cellStyle name="Comma 3 4 2 3 7" xfId="48448" xr:uid="{2D8D9ABF-1644-4B3C-918D-B0D2DF464661}"/>
    <cellStyle name="Comma 3 4 2 3 8" xfId="49916" xr:uid="{F4F45E2C-C11C-4492-A082-63A24E3C65C9}"/>
    <cellStyle name="Comma 3 4 2 3 9" xfId="52932" xr:uid="{1D68E62C-2082-4792-AB7B-1FF93CE1B4BD}"/>
    <cellStyle name="Comma 3 4 2 4" xfId="10173" xr:uid="{B988B487-4C71-4B24-AE35-DB78DACC9F10}"/>
    <cellStyle name="Comma 3 4 2 4 2" xfId="10487" xr:uid="{1B853E01-E080-467C-88C0-A050949F5FDB}"/>
    <cellStyle name="Comma 3 4 2 4 2 2" xfId="14879" xr:uid="{F0B731D9-C96A-4E11-A131-0E2E372CC6D0}"/>
    <cellStyle name="Comma 3 4 2 4 2 2 2" xfId="22426" xr:uid="{FB2DEFE3-789E-447C-9C04-37B8AA804E24}"/>
    <cellStyle name="Comma 3 4 2 4 2 2 3" xfId="47685" xr:uid="{92B94288-C5BD-4924-85FA-F14A7C2F6EF8}"/>
    <cellStyle name="Comma 3 4 2 4 2 2 4" xfId="51764" xr:uid="{C52A2B03-29D9-424A-9464-406879B62D97}"/>
    <cellStyle name="Comma 3 4 2 4 2 2 5" xfId="54780" xr:uid="{B6134BD0-F4E4-4886-9318-31879E9E36F9}"/>
    <cellStyle name="Comma 3 4 2 4 2 3" xfId="15364" xr:uid="{1E6FD6D4-A70E-4E69-917E-D77413500FD2}"/>
    <cellStyle name="Comma 3 4 2 4 2 3 2" xfId="22903" xr:uid="{72C1DBD5-6214-4BC0-A5B8-8365AFDE1B03}"/>
    <cellStyle name="Comma 3 4 2 4 2 3 3" xfId="24442" xr:uid="{DC442453-F5B5-413E-9C43-4FE49F06601A}"/>
    <cellStyle name="Comma 3 4 2 4 2 3 4" xfId="52241" xr:uid="{43BF755D-FAE7-4688-8D3D-A09B7C75E8CF}"/>
    <cellStyle name="Comma 3 4 2 4 2 3 5" xfId="55257" xr:uid="{3BABC451-7370-4FD7-9486-8BD1C8230499}"/>
    <cellStyle name="Comma 3 4 2 4 2 4" xfId="15851" xr:uid="{F2107B36-FC40-4031-8E43-53F82F6C45C3}"/>
    <cellStyle name="Comma 3 4 2 4 2 4 2" xfId="23380" xr:uid="{B8316DA2-7162-4D35-9303-6F3DCE9A01C7}"/>
    <cellStyle name="Comma 3 4 2 4 2 4 3" xfId="48426" xr:uid="{C9DF58C5-FE4D-4A9E-8676-2F0F8B6C5252}"/>
    <cellStyle name="Comma 3 4 2 4 2 4 4" xfId="52718" xr:uid="{64913401-596B-45E5-B322-3643E41AF489}"/>
    <cellStyle name="Comma 3 4 2 4 2 4 5" xfId="55734" xr:uid="{B5B9F3DA-23CA-410E-A3E5-D961E8340373}"/>
    <cellStyle name="Comma 3 4 2 4 2 5" xfId="12940" xr:uid="{30BFD096-A5CD-442B-B5B5-5675B1C74D27}"/>
    <cellStyle name="Comma 3 4 2 4 2 5 2" xfId="47322" xr:uid="{E15DE384-35AD-4652-8418-D402DDCE12B3}"/>
    <cellStyle name="Comma 3 4 2 4 2 5 3" xfId="51287" xr:uid="{C0E0C46E-5959-4B5C-85CE-CD9D6BB85D9C}"/>
    <cellStyle name="Comma 3 4 2 4 2 5 4" xfId="54303" xr:uid="{D1642799-CE07-41EE-88E1-EEF0E735708D}"/>
    <cellStyle name="Comma 3 4 2 4 2 6" xfId="47884" xr:uid="{7088CB32-C4F7-4890-8608-1ADFA0E51B0E}"/>
    <cellStyle name="Comma 3 4 2 4 2 7" xfId="50181" xr:uid="{33E1B00B-06BA-4B85-BA02-B4257D823EE7}"/>
    <cellStyle name="Comma 3 4 2 4 2 8" xfId="53197" xr:uid="{DC9F8712-2D87-46A0-8E66-C77775557E17}"/>
    <cellStyle name="Comma 3 4 2 4 3" xfId="14667" xr:uid="{C8EC1A0F-9F20-47FF-B617-A3D662953C3C}"/>
    <cellStyle name="Comma 3 4 2 4 3 2" xfId="22214" xr:uid="{0DFFA565-A118-408B-8B00-B8A8DB6B7142}"/>
    <cellStyle name="Comma 3 4 2 4 3 3" xfId="24969" xr:uid="{50A8FE8A-661D-4FBD-913D-6410C8F4A4C4}"/>
    <cellStyle name="Comma 3 4 2 4 3 4" xfId="51552" xr:uid="{6131EF78-6754-4C59-9F8A-E7785FA7E3BF}"/>
    <cellStyle name="Comma 3 4 2 4 3 5" xfId="54568" xr:uid="{4FDDD19A-E374-4697-A196-BB99D0578C38}"/>
    <cellStyle name="Comma 3 4 2 4 4" xfId="15152" xr:uid="{395FF5B8-BB7F-4FA1-BFF9-3744E2A6A200}"/>
    <cellStyle name="Comma 3 4 2 4 4 2" xfId="22691" xr:uid="{A03AEB87-E0C8-4EB3-AE64-CC91A5C2BD0E}"/>
    <cellStyle name="Comma 3 4 2 4 4 3" xfId="47000" xr:uid="{0CB87BD3-3A7F-482F-9F66-0E35CB9080F5}"/>
    <cellStyle name="Comma 3 4 2 4 4 4" xfId="52029" xr:uid="{4BE751E7-7490-4224-87AC-D0CA28180CBE}"/>
    <cellStyle name="Comma 3 4 2 4 4 5" xfId="55045" xr:uid="{9484023F-C030-4B70-B097-718A396412D9}"/>
    <cellStyle name="Comma 3 4 2 4 5" xfId="15639" xr:uid="{9188268A-EDFD-43A7-A745-28DD7C9C5FD0}"/>
    <cellStyle name="Comma 3 4 2 4 5 2" xfId="23168" xr:uid="{B655AF50-BCE0-401B-B38B-7EB53B9C8D44}"/>
    <cellStyle name="Comma 3 4 2 4 5 3" xfId="46946" xr:uid="{574A5DAD-2122-43F4-966E-488C64B19A71}"/>
    <cellStyle name="Comma 3 4 2 4 5 4" xfId="52506" xr:uid="{07AAA794-6CDF-46C6-A542-92E27A41F97E}"/>
    <cellStyle name="Comma 3 4 2 4 5 5" xfId="55522" xr:uid="{EA1D5CB7-0383-4823-8994-D35DC7B6081D}"/>
    <cellStyle name="Comma 3 4 2 4 6" xfId="12627" xr:uid="{A075063C-2878-45FA-8FF7-FFE648053552}"/>
    <cellStyle name="Comma 3 4 2 4 6 2" xfId="24218" xr:uid="{EED03E5F-ADF9-4AD2-8205-4857364C5CC0}"/>
    <cellStyle name="Comma 3 4 2 4 6 3" xfId="51075" xr:uid="{D58EFAC4-9DBF-47B0-81AE-933FDC7BCE38}"/>
    <cellStyle name="Comma 3 4 2 4 6 4" xfId="54091" xr:uid="{3E20C538-F0AB-4A29-BFA5-97CDC5AF27E1}"/>
    <cellStyle name="Comma 3 4 2 4 7" xfId="46618" xr:uid="{CFF8252C-8688-4DAA-851A-325928E0A53F}"/>
    <cellStyle name="Comma 3 4 2 4 8" xfId="49969" xr:uid="{182050B6-47A8-4AAE-B062-DD4D6093BBA7}"/>
    <cellStyle name="Comma 3 4 2 4 9" xfId="52985" xr:uid="{C3EA2787-708D-4CA4-B2B1-A937FC29C4B0}"/>
    <cellStyle name="Comma 3 4 2 5" xfId="10253" xr:uid="{003E0F50-FBF6-4108-9608-03D8429D153D}"/>
    <cellStyle name="Comma 3 4 2 5 2" xfId="14720" xr:uid="{0C17E6A7-9F04-424B-BD53-2D605A16F193}"/>
    <cellStyle name="Comma 3 4 2 5 2 2" xfId="22267" xr:uid="{7F208E57-EEBF-4A96-98E8-84B9DFFC5667}"/>
    <cellStyle name="Comma 3 4 2 5 2 3" xfId="47928" xr:uid="{21BCE69C-D6F0-44E4-B24D-24EECC4F08E0}"/>
    <cellStyle name="Comma 3 4 2 5 2 4" xfId="51605" xr:uid="{B2E0AB0A-6E97-4F7D-976E-100064A4F01F}"/>
    <cellStyle name="Comma 3 4 2 5 2 5" xfId="54621" xr:uid="{054BD65A-8474-465A-8E2F-70D33E2D1781}"/>
    <cellStyle name="Comma 3 4 2 5 3" xfId="15205" xr:uid="{F2F22ABB-F7DD-4243-9964-0B7D75DE04D7}"/>
    <cellStyle name="Comma 3 4 2 5 3 2" xfId="22744" xr:uid="{36E635D3-3EEF-4358-8E09-0E319F5810CE}"/>
    <cellStyle name="Comma 3 4 2 5 3 3" xfId="47188" xr:uid="{0651E763-EB47-494C-B0C8-F66E8E8634BC}"/>
    <cellStyle name="Comma 3 4 2 5 3 4" xfId="52082" xr:uid="{67B79392-AE86-4192-8961-2318F99C0E9F}"/>
    <cellStyle name="Comma 3 4 2 5 3 5" xfId="55098" xr:uid="{246BC0A7-8031-46D6-9E4C-6011436F7689}"/>
    <cellStyle name="Comma 3 4 2 5 4" xfId="15692" xr:uid="{5E5106EA-7752-41A8-A411-29B59E83A506}"/>
    <cellStyle name="Comma 3 4 2 5 4 2" xfId="23221" xr:uid="{75D0DAFB-2626-4669-9E99-B4BBAADFB98A}"/>
    <cellStyle name="Comma 3 4 2 5 4 3" xfId="48228" xr:uid="{9A49520A-9D36-4BA5-BD9D-9FCE9F280A44}"/>
    <cellStyle name="Comma 3 4 2 5 4 4" xfId="52559" xr:uid="{78CA92C0-4FEF-43BD-9487-E2C41A87EAED}"/>
    <cellStyle name="Comma 3 4 2 5 4 5" xfId="55575" xr:uid="{5898402B-B8FD-46D7-8FF5-2E9E87928ADC}"/>
    <cellStyle name="Comma 3 4 2 5 5" xfId="12706" xr:uid="{45B44248-4623-4B2A-A99F-D32E13613F59}"/>
    <cellStyle name="Comma 3 4 2 5 5 2" xfId="37117" xr:uid="{3EB81B4E-8C97-4AA6-B916-E64BC85970EF}"/>
    <cellStyle name="Comma 3 4 2 5 5 3" xfId="51128" xr:uid="{C427FA1A-BFBE-4EE5-B735-9B3ED4428784}"/>
    <cellStyle name="Comma 3 4 2 5 5 4" xfId="54144" xr:uid="{66386A7E-50C0-40B7-81F1-4E1827DE7E47}"/>
    <cellStyle name="Comma 3 4 2 5 6" xfId="47652" xr:uid="{98C17139-D122-48FA-B306-A550E7502259}"/>
    <cellStyle name="Comma 3 4 2 5 7" xfId="50022" xr:uid="{2DE2183F-18A4-4D78-A36F-263525B80EE9}"/>
    <cellStyle name="Comma 3 4 2 5 8" xfId="53038" xr:uid="{983C5CD4-88B9-42C5-BA8B-AD6038ABBE64}"/>
    <cellStyle name="Comma 3 4 2 6" xfId="10567" xr:uid="{650074EA-C58E-47D2-9FED-4D7B2CB198C3}"/>
    <cellStyle name="Comma 3 4 2 6 2" xfId="14932" xr:uid="{E1406AE9-A11F-4BD5-A5E6-2DCB7C6CB4B5}"/>
    <cellStyle name="Comma 3 4 2 6 2 2" xfId="22479" xr:uid="{9D924A89-3A1F-4C70-87FA-BA20171E452A}"/>
    <cellStyle name="Comma 3 4 2 6 2 3" xfId="48214" xr:uid="{F70DE013-7B25-40CA-AA87-2A9012E50023}"/>
    <cellStyle name="Comma 3 4 2 6 2 4" xfId="51817" xr:uid="{0B0C35BC-71EE-4D03-941F-0884529411FC}"/>
    <cellStyle name="Comma 3 4 2 6 2 5" xfId="54833" xr:uid="{375BECD5-9710-4D35-B158-E0DA0247E2F4}"/>
    <cellStyle name="Comma 3 4 2 6 3" xfId="15417" xr:uid="{5D2BFD6E-B81E-46C2-82B9-31F468EB48EF}"/>
    <cellStyle name="Comma 3 4 2 6 3 2" xfId="22956" xr:uid="{16A47B9F-CA21-48CA-A621-B369427F5104}"/>
    <cellStyle name="Comma 3 4 2 6 3 3" xfId="24652" xr:uid="{880F425A-DF04-4C5D-AD35-04304CB8BFEB}"/>
    <cellStyle name="Comma 3 4 2 6 3 4" xfId="52294" xr:uid="{89D66B87-03E1-46D8-9401-76E96F3ED558}"/>
    <cellStyle name="Comma 3 4 2 6 3 5" xfId="55310" xr:uid="{02521796-F0F7-4439-BA12-BDF07D2FCE7D}"/>
    <cellStyle name="Comma 3 4 2 6 4" xfId="15905" xr:uid="{D80CFE34-8832-4883-B3D5-677065337DDB}"/>
    <cellStyle name="Comma 3 4 2 6 4 2" xfId="23433" xr:uid="{7E4D1C47-B1DE-4804-9521-B440E7A5A88B}"/>
    <cellStyle name="Comma 3 4 2 6 4 3" xfId="48427" xr:uid="{A30F224A-CAF5-4847-9125-D3525CA81F1B}"/>
    <cellStyle name="Comma 3 4 2 6 4 4" xfId="52771" xr:uid="{7CB83CA1-9AC1-4992-9A76-6AC32DB392C1}"/>
    <cellStyle name="Comma 3 4 2 6 4 5" xfId="55787" xr:uid="{8354946B-FF94-4FDF-9800-B2C5582D5E0B}"/>
    <cellStyle name="Comma 3 4 2 6 5" xfId="13020" xr:uid="{A39599A3-E16B-4E57-801B-80C970551F79}"/>
    <cellStyle name="Comma 3 4 2 6 5 2" xfId="47665" xr:uid="{C5DA2A40-E8C3-4694-8B12-4AED7A936394}"/>
    <cellStyle name="Comma 3 4 2 6 5 3" xfId="51340" xr:uid="{0A2E7A12-6931-4B2A-826F-1A0A163D3318}"/>
    <cellStyle name="Comma 3 4 2 6 5 4" xfId="54356" xr:uid="{1FADABBC-87DD-4F93-A9D5-AF39EFCA1C14}"/>
    <cellStyle name="Comma 3 4 2 6 6" xfId="25368" xr:uid="{9651B73A-D1EA-4F04-9F6D-12A3BBC48B1E}"/>
    <cellStyle name="Comma 3 4 2 6 7" xfId="50234" xr:uid="{9BC468ED-2D54-4CA7-A3A9-BD35F2400EAD}"/>
    <cellStyle name="Comma 3 4 2 6 8" xfId="53250" xr:uid="{33DDE9E1-541C-4538-B5D3-8D1263E536C7}"/>
    <cellStyle name="Comma 3 4 2 7" xfId="14508" xr:uid="{D63988EB-2A5B-4EE2-970D-A9EAAA95BF6B}"/>
    <cellStyle name="Comma 3 4 2 7 2" xfId="22055" xr:uid="{64B46941-54E6-470F-A117-5AA0BDF64AFF}"/>
    <cellStyle name="Comma 3 4 2 7 3" xfId="23977" xr:uid="{F748C02A-D00D-44FB-87D7-9C43804768E4}"/>
    <cellStyle name="Comma 3 4 2 7 4" xfId="51393" xr:uid="{797BB4BD-4A66-41C3-9FFD-E9B933FAC193}"/>
    <cellStyle name="Comma 3 4 2 7 5" xfId="54409" xr:uid="{09AABB1A-0110-488D-A7E1-6F1F172747C2}"/>
    <cellStyle name="Comma 3 4 2 8" xfId="14992" xr:uid="{11AE9B90-9D85-44A9-9D43-D96E253DCFFB}"/>
    <cellStyle name="Comma 3 4 2 8 2" xfId="22532" xr:uid="{10C4876E-C018-49A8-9920-759D66AD5AA0}"/>
    <cellStyle name="Comma 3 4 2 8 3" xfId="32512" xr:uid="{6B2961EC-44DD-438C-AD22-540CCA321A7C}"/>
    <cellStyle name="Comma 3 4 2 8 4" xfId="51870" xr:uid="{B0212375-C226-4CAC-B730-345D5AA1389B}"/>
    <cellStyle name="Comma 3 4 2 8 5" xfId="54886" xr:uid="{3CFD3184-FD6D-4874-81E9-2DFB980A0083}"/>
    <cellStyle name="Comma 3 4 2 9" xfId="15479" xr:uid="{7CF6A657-DB43-4C90-91DE-3499FD2A21D3}"/>
    <cellStyle name="Comma 3 4 2 9 2" xfId="23009" xr:uid="{EB3C9B89-7E65-49A6-90E1-A2B78DF5DB97}"/>
    <cellStyle name="Comma 3 4 2 9 3" xfId="32360" xr:uid="{FBEB1FF8-3DFB-4D99-8D59-B74DF2F176F7}"/>
    <cellStyle name="Comma 3 4 2 9 4" xfId="52347" xr:uid="{D2925376-6676-4C2B-9AFB-938562625A1A}"/>
    <cellStyle name="Comma 3 4 2 9 5" xfId="55363" xr:uid="{14D5754D-A5E3-437F-A59E-D26D108BF853}"/>
    <cellStyle name="Comma 3 4 3" xfId="10019" xr:uid="{40F33166-2725-4B77-9784-0BE8E48E9B9A}"/>
    <cellStyle name="Comma 3 4 3 2" xfId="10327" xr:uid="{8178249F-5511-4C31-BE2E-08AC7136EC19}"/>
    <cellStyle name="Comma 3 4 3 2 2" xfId="14772" xr:uid="{10C07447-2B96-4332-A74C-7FCEA1F7E75E}"/>
    <cellStyle name="Comma 3 4 3 2 2 2" xfId="22319" xr:uid="{BCAAE701-9EBC-4EF7-92D8-015450B65CCD}"/>
    <cellStyle name="Comma 3 4 3 2 2 3" xfId="24950" xr:uid="{A8D8E010-271F-42FC-9C30-1FE41EB77727}"/>
    <cellStyle name="Comma 3 4 3 2 2 4" xfId="51657" xr:uid="{DE64484E-8A94-4792-A439-13F7A62DDB31}"/>
    <cellStyle name="Comma 3 4 3 2 2 5" xfId="54673" xr:uid="{2F6CAEE0-1D7E-4A7A-BC32-1F308B4CBE71}"/>
    <cellStyle name="Comma 3 4 3 2 3" xfId="15257" xr:uid="{833DC5F6-F77D-4B1F-B88A-BEFBC018752A}"/>
    <cellStyle name="Comma 3 4 3 2 3 2" xfId="22796" xr:uid="{C43A9075-DF41-4050-AAFC-84479A3DFCE9}"/>
    <cellStyle name="Comma 3 4 3 2 3 3" xfId="46504" xr:uid="{E35AAE81-331B-49A3-9A27-9F5C15DA30B7}"/>
    <cellStyle name="Comma 3 4 3 2 3 4" xfId="52134" xr:uid="{A9A9F0D2-9438-4900-8709-23F9073116D5}"/>
    <cellStyle name="Comma 3 4 3 2 3 5" xfId="55150" xr:uid="{A98F4AA4-D412-40F2-925A-574523FB509F}"/>
    <cellStyle name="Comma 3 4 3 2 4" xfId="15744" xr:uid="{881FDB7D-E855-442C-AC7C-9DB3AD0A70B5}"/>
    <cellStyle name="Comma 3 4 3 2 4 2" xfId="23273" xr:uid="{FDA601EC-EBE3-4E46-AF45-7E490FC48CE9}"/>
    <cellStyle name="Comma 3 4 3 2 4 3" xfId="48555" xr:uid="{89CF6514-D9F6-4BBA-82F1-DF0B4A56FC57}"/>
    <cellStyle name="Comma 3 4 3 2 4 4" xfId="52611" xr:uid="{4CAB16E1-0AA4-42CF-A44C-0F53AD24CC32}"/>
    <cellStyle name="Comma 3 4 3 2 4 5" xfId="55627" xr:uid="{858D78CF-0958-4AC6-99A4-45406C6B92B0}"/>
    <cellStyle name="Comma 3 4 3 2 5" xfId="12780" xr:uid="{86B6E24A-4667-4B07-B54D-CD5221494F9E}"/>
    <cellStyle name="Comma 3 4 3 2 5 2" xfId="47020" xr:uid="{931D20B6-8BA6-4D85-ADF2-0E953C596E59}"/>
    <cellStyle name="Comma 3 4 3 2 5 3" xfId="51180" xr:uid="{4A24F3E2-C608-47B0-A53F-FFDD42ECFF08}"/>
    <cellStyle name="Comma 3 4 3 2 5 4" xfId="54196" xr:uid="{C535EBEF-998F-4EAE-B5EB-DF43C63C2C91}"/>
    <cellStyle name="Comma 3 4 3 2 6" xfId="47261" xr:uid="{C21346B4-9496-45B1-852D-4CF96C0D5D77}"/>
    <cellStyle name="Comma 3 4 3 2 7" xfId="50074" xr:uid="{1879CBAF-94A8-4D2F-BB07-F09D05F41BA4}"/>
    <cellStyle name="Comma 3 4 3 2 8" xfId="53090" xr:uid="{300A9D01-09F6-44E8-BA9D-5EEA5F8ED9BE}"/>
    <cellStyle name="Comma 3 4 3 3" xfId="14560" xr:uid="{FC94C98E-F3F2-4382-ACA1-E7B2A98E8EFC}"/>
    <cellStyle name="Comma 3 4 3 3 2" xfId="22107" xr:uid="{FD76690D-CB61-47D4-BE99-FF9E8289CB29}"/>
    <cellStyle name="Comma 3 4 3 3 3" xfId="48113" xr:uid="{4BF93D33-C9E5-40D3-9399-6E425A647ABA}"/>
    <cellStyle name="Comma 3 4 3 3 4" xfId="51445" xr:uid="{F1AA3A0B-7428-4FB1-BE12-8B729738F238}"/>
    <cellStyle name="Comma 3 4 3 3 5" xfId="54461" xr:uid="{B2273B46-B22E-4BAC-8529-29A27675F5BA}"/>
    <cellStyle name="Comma 3 4 3 4" xfId="15044" xr:uid="{CC9A5252-6107-44FB-A97A-AAC9B45F04DE}"/>
    <cellStyle name="Comma 3 4 3 4 2" xfId="22584" xr:uid="{2B580EAE-8978-423E-A054-1257AB6C6F12}"/>
    <cellStyle name="Comma 3 4 3 4 3" xfId="47668" xr:uid="{847502D5-DCA6-4E2F-97D8-8E385AEE0661}"/>
    <cellStyle name="Comma 3 4 3 4 4" xfId="51922" xr:uid="{9B778145-A9DE-4915-982B-82FFA9B10842}"/>
    <cellStyle name="Comma 3 4 3 4 5" xfId="54938" xr:uid="{6365DBFD-8E4A-4008-97E7-CB8BEA4F2509}"/>
    <cellStyle name="Comma 3 4 3 5" xfId="15531" xr:uid="{DA49F85A-332E-4615-AB46-2E3765CC9788}"/>
    <cellStyle name="Comma 3 4 3 5 2" xfId="23061" xr:uid="{2FE409F4-4B35-4601-B3F0-441DFA8F50EC}"/>
    <cellStyle name="Comma 3 4 3 5 3" xfId="46546" xr:uid="{637A1B0C-AEE3-4E30-A42C-A4C469A8C538}"/>
    <cellStyle name="Comma 3 4 3 5 4" xfId="52399" xr:uid="{C5140633-2D96-4ECC-9D74-2A3EC7CC68B7}"/>
    <cellStyle name="Comma 3 4 3 5 5" xfId="55415" xr:uid="{03953638-9837-406D-BAE6-7A0F198B68D4}"/>
    <cellStyle name="Comma 3 4 3 6" xfId="12479" xr:uid="{E91C110E-9F57-4D44-A062-AF9A935CD295}"/>
    <cellStyle name="Comma 3 4 3 6 2" xfId="48194" xr:uid="{3F2665A2-66D4-4C9C-A74D-62DA8219A6A4}"/>
    <cellStyle name="Comma 3 4 3 6 3" xfId="50968" xr:uid="{93964051-7681-4792-8680-5A932FC627AD}"/>
    <cellStyle name="Comma 3 4 3 6 4" xfId="53984" xr:uid="{EA753F26-695C-4508-B3C2-3B14B76E3FBD}"/>
    <cellStyle name="Comma 3 4 3 7" xfId="46025" xr:uid="{E2A419AC-F26C-432B-BE49-13FB6513FB79}"/>
    <cellStyle name="Comma 3 4 3 8" xfId="49862" xr:uid="{06B038AF-754B-4DEC-80BB-B6C9C1B1F8E0}"/>
    <cellStyle name="Comma 3 4 3 9" xfId="52878" xr:uid="{D863717D-47AA-464D-9962-65C8D600CFE7}"/>
    <cellStyle name="Comma 3 4 4" xfId="10093" xr:uid="{DDBAABA2-D921-461E-A5D8-884BAE968452}"/>
    <cellStyle name="Comma 3 4 4 2" xfId="10406" xr:uid="{EE2B9EAF-B23D-4F13-A666-F7F892C041FC}"/>
    <cellStyle name="Comma 3 4 4 2 2" xfId="14825" xr:uid="{3C5E81AB-FF2B-414F-95C0-D96A40BCE879}"/>
    <cellStyle name="Comma 3 4 4 2 2 2" xfId="22372" xr:uid="{AAC7A977-879C-4542-B124-5CAC34FBA820}"/>
    <cellStyle name="Comma 3 4 4 2 2 3" xfId="47630" xr:uid="{300DC469-B0FD-4C6D-811D-2C780F53FF73}"/>
    <cellStyle name="Comma 3 4 4 2 2 4" xfId="51710" xr:uid="{6F6FCBA5-68ED-4474-BCD6-555C4D37476B}"/>
    <cellStyle name="Comma 3 4 4 2 2 5" xfId="54726" xr:uid="{41DB8A51-9C9F-4882-96CF-38B1D44C539E}"/>
    <cellStyle name="Comma 3 4 4 2 3" xfId="15310" xr:uid="{C082ABE6-389F-43A2-B055-5A447CDD80BD}"/>
    <cellStyle name="Comma 3 4 4 2 3 2" xfId="22849" xr:uid="{7E3BF5CD-D2B4-415D-9BED-7659A77B1086}"/>
    <cellStyle name="Comma 3 4 4 2 3 3" xfId="46906" xr:uid="{FD90B646-DEDB-4D8B-8114-5A9AA7369899}"/>
    <cellStyle name="Comma 3 4 4 2 3 4" xfId="52187" xr:uid="{980C9FAE-7814-4712-AE08-343B610DB155}"/>
    <cellStyle name="Comma 3 4 4 2 3 5" xfId="55203" xr:uid="{49696943-CA76-4155-953F-7DDA11B03BD9}"/>
    <cellStyle name="Comma 3 4 4 2 4" xfId="15797" xr:uid="{EC60D4BE-BE8C-41F3-A814-35310E0A58DD}"/>
    <cellStyle name="Comma 3 4 4 2 4 2" xfId="23326" xr:uid="{4A53BD3F-A986-4681-A64B-8B3D39F4BC01}"/>
    <cellStyle name="Comma 3 4 4 2 4 3" xfId="32358" xr:uid="{1152FD04-6860-4176-A330-D19B7F992D80}"/>
    <cellStyle name="Comma 3 4 4 2 4 4" xfId="52664" xr:uid="{6A23CA87-2E7F-45C0-A387-D0DBF2B0D6C7}"/>
    <cellStyle name="Comma 3 4 4 2 4 5" xfId="55680" xr:uid="{1CA31F34-7717-4B17-8458-6319BC0DC5EA}"/>
    <cellStyle name="Comma 3 4 4 2 5" xfId="12859" xr:uid="{679C3CDA-C57B-4C50-B9F4-334F5CFC1A53}"/>
    <cellStyle name="Comma 3 4 4 2 5 2" xfId="46996" xr:uid="{3160FF7F-03F7-4DC0-83C9-46C22C36F166}"/>
    <cellStyle name="Comma 3 4 4 2 5 3" xfId="51233" xr:uid="{71CC360B-39DC-4F94-90CD-A0CC1B361F73}"/>
    <cellStyle name="Comma 3 4 4 2 5 4" xfId="54249" xr:uid="{16EECDCC-2F4D-4732-A081-045CDE8E037F}"/>
    <cellStyle name="Comma 3 4 4 2 6" xfId="46111" xr:uid="{80B46524-F193-4A13-AD70-7455021F5EAD}"/>
    <cellStyle name="Comma 3 4 4 2 7" xfId="50127" xr:uid="{D690FECC-03D8-4D21-8649-035AB6DAEF77}"/>
    <cellStyle name="Comma 3 4 4 2 8" xfId="53143" xr:uid="{88EA8A3A-4FF3-4A6F-9B13-0098A871163E}"/>
    <cellStyle name="Comma 3 4 4 3" xfId="14613" xr:uid="{2369CFA5-1830-40F6-8127-3220796E6A0E}"/>
    <cellStyle name="Comma 3 4 4 3 2" xfId="22160" xr:uid="{F4AA83A7-BB41-44B0-9FA4-4012D991CC81}"/>
    <cellStyle name="Comma 3 4 4 3 3" xfId="47177" xr:uid="{C73464C8-1891-4849-98FE-36623B6E357C}"/>
    <cellStyle name="Comma 3 4 4 3 4" xfId="51498" xr:uid="{E45C4434-7A32-465C-953A-39A40358823D}"/>
    <cellStyle name="Comma 3 4 4 3 5" xfId="54514" xr:uid="{A614D597-50D4-4207-B522-52B4ED741FA1}"/>
    <cellStyle name="Comma 3 4 4 4" xfId="15098" xr:uid="{867E9E00-F682-46FA-881A-630C0E938423}"/>
    <cellStyle name="Comma 3 4 4 4 2" xfId="22637" xr:uid="{3EE1FCE5-2045-4C73-8157-0B94F6512144}"/>
    <cellStyle name="Comma 3 4 4 4 3" xfId="48262" xr:uid="{1B3719B4-0331-4175-8CF9-BE35FE72C3D8}"/>
    <cellStyle name="Comma 3 4 4 4 4" xfId="51975" xr:uid="{D3A2A2E1-1ED8-4BED-9848-E6B578AF7905}"/>
    <cellStyle name="Comma 3 4 4 4 5" xfId="54991" xr:uid="{A43DC3DD-5E7C-4110-95FC-32CC54ACCFE9}"/>
    <cellStyle name="Comma 3 4 4 5" xfId="15585" xr:uid="{504AE22C-D267-474F-81C7-AF2738365850}"/>
    <cellStyle name="Comma 3 4 4 5 2" xfId="23114" xr:uid="{6DF4A82B-744D-46E4-B8A4-E35FF24A5EF0}"/>
    <cellStyle name="Comma 3 4 4 5 3" xfId="47498" xr:uid="{2D67084B-2552-4157-AE93-C018CF12F747}"/>
    <cellStyle name="Comma 3 4 4 5 4" xfId="52452" xr:uid="{1E28409F-ADFA-4053-B4F7-FD1C727CFD77}"/>
    <cellStyle name="Comma 3 4 4 5 5" xfId="55468" xr:uid="{186A1546-5CEE-4978-9CD9-6D1A2F7BF8FB}"/>
    <cellStyle name="Comma 3 4 4 6" xfId="12550" xr:uid="{B05F39BC-D108-417F-AD30-2DAE8E9DA3D8}"/>
    <cellStyle name="Comma 3 4 4 6 2" xfId="25080" xr:uid="{60D18A11-A25B-4DB5-9A9B-0524022C0E36}"/>
    <cellStyle name="Comma 3 4 4 6 3" xfId="51021" xr:uid="{54BE8F69-4C2F-4211-9733-4E7F2E0C70D4}"/>
    <cellStyle name="Comma 3 4 4 6 4" xfId="54037" xr:uid="{D6B99BCC-6BA0-462A-8280-D381C1B99741}"/>
    <cellStyle name="Comma 3 4 4 7" xfId="46042" xr:uid="{644AF3C4-EA87-4CE3-A2B3-2F163EDB266F}"/>
    <cellStyle name="Comma 3 4 4 8" xfId="49915" xr:uid="{338B784D-87C7-4148-9256-964D92933607}"/>
    <cellStyle name="Comma 3 4 4 9" xfId="52931" xr:uid="{C6C8E4FF-5AEF-42EB-9694-E0AC864DC95B}"/>
    <cellStyle name="Comma 3 4 5" xfId="10172" xr:uid="{E0C8E572-78DF-4BC0-B93C-9640B9640E9A}"/>
    <cellStyle name="Comma 3 4 5 2" xfId="10486" xr:uid="{C85A060F-697D-458B-A470-6B39D9446BBF}"/>
    <cellStyle name="Comma 3 4 5 2 2" xfId="14878" xr:uid="{9DB66DFE-DB21-4D0E-A138-74B6C89686AB}"/>
    <cellStyle name="Comma 3 4 5 2 2 2" xfId="22425" xr:uid="{A2FA21AD-A094-428C-9ECA-6425AD3CF72A}"/>
    <cellStyle name="Comma 3 4 5 2 2 3" xfId="46999" xr:uid="{1B714C83-A7BC-4424-81D7-8EE5CA73693F}"/>
    <cellStyle name="Comma 3 4 5 2 2 4" xfId="51763" xr:uid="{FEA40FD1-FAC0-48D7-9931-2F223A22DFDB}"/>
    <cellStyle name="Comma 3 4 5 2 2 5" xfId="54779" xr:uid="{BEA9EDC4-1E67-4C76-AC2C-CF9E2C50059A}"/>
    <cellStyle name="Comma 3 4 5 2 3" xfId="15363" xr:uid="{7F543CF1-92BB-4942-8647-51899B33692E}"/>
    <cellStyle name="Comma 3 4 5 2 3 2" xfId="22902" xr:uid="{0F14E56F-EE12-4B7A-91CD-5B5484968E12}"/>
    <cellStyle name="Comma 3 4 5 2 3 3" xfId="24902" xr:uid="{D24ECC76-5B19-49A1-841D-9299C75D2446}"/>
    <cellStyle name="Comma 3 4 5 2 3 4" xfId="52240" xr:uid="{18593D62-7B2C-49E6-B710-CD2F2816CC91}"/>
    <cellStyle name="Comma 3 4 5 2 3 5" xfId="55256" xr:uid="{AB112437-DB95-4B47-A3D4-142C32301938}"/>
    <cellStyle name="Comma 3 4 5 2 4" xfId="15850" xr:uid="{A82F2540-65F3-4460-B575-21D030C6852E}"/>
    <cellStyle name="Comma 3 4 5 2 4 2" xfId="23379" xr:uid="{6442E9E6-4406-47A1-8E23-E86E0CC1C2DD}"/>
    <cellStyle name="Comma 3 4 5 2 4 3" xfId="47139" xr:uid="{0A3AD9E7-297E-4726-A8FC-8BF2D5A7084C}"/>
    <cellStyle name="Comma 3 4 5 2 4 4" xfId="52717" xr:uid="{1A7E5ED2-A84B-4972-9B89-49AC55518A4E}"/>
    <cellStyle name="Comma 3 4 5 2 4 5" xfId="55733" xr:uid="{65170946-A79E-422C-8988-8418C05C4A68}"/>
    <cellStyle name="Comma 3 4 5 2 5" xfId="12939" xr:uid="{38377238-CF20-41DF-92A7-B502275727EA}"/>
    <cellStyle name="Comma 3 4 5 2 5 2" xfId="47174" xr:uid="{323E7FB9-3969-4816-B3D6-2F9F3C201DF5}"/>
    <cellStyle name="Comma 3 4 5 2 5 3" xfId="51286" xr:uid="{F8336177-A46C-4FE0-B53B-81171D4F2CE8}"/>
    <cellStyle name="Comma 3 4 5 2 5 4" xfId="54302" xr:uid="{DFDAD541-DA6D-4124-B0E7-826EA5A37C6E}"/>
    <cellStyle name="Comma 3 4 5 2 6" xfId="46131" xr:uid="{3E883E95-66D4-4719-A296-8402A4BE9C15}"/>
    <cellStyle name="Comma 3 4 5 2 7" xfId="50180" xr:uid="{38A7D7F5-CBF9-4721-ADA9-D0B59E147407}"/>
    <cellStyle name="Comma 3 4 5 2 8" xfId="53196" xr:uid="{1FE3842F-1454-443D-9C4B-A687E2385C81}"/>
    <cellStyle name="Comma 3 4 5 3" xfId="14666" xr:uid="{5C38BE85-0699-4435-9DF9-94A6E185946F}"/>
    <cellStyle name="Comma 3 4 5 3 2" xfId="22213" xr:uid="{84C30086-FC89-4075-8215-0CC352387538}"/>
    <cellStyle name="Comma 3 4 5 3 3" xfId="46414" xr:uid="{11461E09-1641-4986-A653-FBC11A34B738}"/>
    <cellStyle name="Comma 3 4 5 3 4" xfId="51551" xr:uid="{D59AC8F6-F11A-46F5-AAB2-C4DA1AA6B9DA}"/>
    <cellStyle name="Comma 3 4 5 3 5" xfId="54567" xr:uid="{04F620A6-43EF-4551-97B0-78CAE61354FA}"/>
    <cellStyle name="Comma 3 4 5 4" xfId="15151" xr:uid="{68090511-61D5-4707-8C16-4259DFFA9853}"/>
    <cellStyle name="Comma 3 4 5 4 2" xfId="22690" xr:uid="{AFFE96E7-78DF-443E-AC5F-DD5966966996}"/>
    <cellStyle name="Comma 3 4 5 4 3" xfId="46489" xr:uid="{57B214F1-7554-4822-BDB9-6763E46E3A9E}"/>
    <cellStyle name="Comma 3 4 5 4 4" xfId="52028" xr:uid="{3067B262-DBA2-49A0-AB08-31022DD22350}"/>
    <cellStyle name="Comma 3 4 5 4 5" xfId="55044" xr:uid="{D45F391A-077F-4C9F-9554-D599D8ADF72C}"/>
    <cellStyle name="Comma 3 4 5 5" xfId="15638" xr:uid="{FFC96304-A873-4676-B6A5-19747FC21584}"/>
    <cellStyle name="Comma 3 4 5 5 2" xfId="23167" xr:uid="{EA759152-5465-4B38-9B90-B6BE74CEA70C}"/>
    <cellStyle name="Comma 3 4 5 5 3" xfId="47254" xr:uid="{96593EE5-3E8E-4DF7-B975-642BCE17160D}"/>
    <cellStyle name="Comma 3 4 5 5 4" xfId="52505" xr:uid="{583F9580-B3AC-4002-9515-9F83A37595D2}"/>
    <cellStyle name="Comma 3 4 5 5 5" xfId="55521" xr:uid="{2E5540B9-B4D6-4E8B-9D4A-CF5C112D1EA2}"/>
    <cellStyle name="Comma 3 4 5 6" xfId="12626" xr:uid="{210EBFD5-E69A-46C2-B3B2-85DA7D188241}"/>
    <cellStyle name="Comma 3 4 5 6 2" xfId="47166" xr:uid="{32C488FC-7FD0-44AA-A6D9-A875AF52FA24}"/>
    <cellStyle name="Comma 3 4 5 6 3" xfId="51074" xr:uid="{5640A20F-1A0C-4874-BC9F-4582264E58B1}"/>
    <cellStyle name="Comma 3 4 5 6 4" xfId="54090" xr:uid="{47E0422A-8933-4D2C-8C9C-55A21E2D0256}"/>
    <cellStyle name="Comma 3 4 5 7" xfId="24543" xr:uid="{587D8717-72FB-4B8C-A06F-19289E8C308D}"/>
    <cellStyle name="Comma 3 4 5 8" xfId="49968" xr:uid="{B168C31C-0A19-4F81-B61C-F58325A27F90}"/>
    <cellStyle name="Comma 3 4 5 9" xfId="52984" xr:uid="{4C28A8E5-F773-4F64-B58B-F93B389DD26C}"/>
    <cellStyle name="Comma 3 4 6" xfId="10252" xr:uid="{C21FA648-67B7-4116-BD23-ECD391810503}"/>
    <cellStyle name="Comma 3 4 6 2" xfId="14719" xr:uid="{A3D621E9-5A79-48C5-B7B0-FEAE0570761A}"/>
    <cellStyle name="Comma 3 4 6 2 2" xfId="22266" xr:uid="{68B8F708-7F9A-46F4-8A31-146ECFF564C6}"/>
    <cellStyle name="Comma 3 4 6 2 3" xfId="48350" xr:uid="{92E736D1-DA45-4800-949A-1455CAEF8BD3}"/>
    <cellStyle name="Comma 3 4 6 2 4" xfId="51604" xr:uid="{511774D0-4371-4B58-8D2D-A9BFB77B232E}"/>
    <cellStyle name="Comma 3 4 6 2 5" xfId="54620" xr:uid="{26643803-08D0-44EC-8D72-B59756BC7D4D}"/>
    <cellStyle name="Comma 3 4 6 3" xfId="15204" xr:uid="{E08A6764-E892-4446-82D1-BBC55D2D27B8}"/>
    <cellStyle name="Comma 3 4 6 3 2" xfId="22743" xr:uid="{48606050-A9A1-4BB4-90F4-446E1DAD2280}"/>
    <cellStyle name="Comma 3 4 6 3 3" xfId="46892" xr:uid="{5EEB3372-B63C-4404-B702-B64CC78CB3E4}"/>
    <cellStyle name="Comma 3 4 6 3 4" xfId="52081" xr:uid="{572BC5ED-6158-43CD-AB0F-D7C0E6F1010C}"/>
    <cellStyle name="Comma 3 4 6 3 5" xfId="55097" xr:uid="{A6EC8CF7-141A-4759-A587-0CC21CCE380D}"/>
    <cellStyle name="Comma 3 4 6 4" xfId="15691" xr:uid="{9B8886B7-0BC2-4E99-812E-FF53E83CB6BF}"/>
    <cellStyle name="Comma 3 4 6 4 2" xfId="23220" xr:uid="{5AC5D802-1337-477B-8231-222DCD398AB8}"/>
    <cellStyle name="Comma 3 4 6 4 3" xfId="24647" xr:uid="{D4F162DC-364E-4DE5-8EAD-208AF72B7FCF}"/>
    <cellStyle name="Comma 3 4 6 4 4" xfId="52558" xr:uid="{9485919C-E74F-4AFA-8887-CA9CA3FADB4A}"/>
    <cellStyle name="Comma 3 4 6 4 5" xfId="55574" xr:uid="{4B8116ED-CA92-465D-A026-472C275B0AA8}"/>
    <cellStyle name="Comma 3 4 6 5" xfId="12705" xr:uid="{3DF6B8F1-6B42-4789-A0BF-9DACAAB3CFFA}"/>
    <cellStyle name="Comma 3 4 6 5 2" xfId="47095" xr:uid="{60EF9270-1842-4355-BF6E-DFA711B87BEF}"/>
    <cellStyle name="Comma 3 4 6 5 3" xfId="51127" xr:uid="{57E1D6A8-AB20-4223-BB2E-4323D861EB36}"/>
    <cellStyle name="Comma 3 4 6 5 4" xfId="54143" xr:uid="{FB0B18B0-3B17-453B-86EF-4FEA5F56AE86}"/>
    <cellStyle name="Comma 3 4 6 6" xfId="47853" xr:uid="{6E9F4687-C8BB-4642-969D-8AD5EA065636}"/>
    <cellStyle name="Comma 3 4 6 7" xfId="50021" xr:uid="{31C3C501-4EB8-4AEC-A9BC-5CC953CA1AD3}"/>
    <cellStyle name="Comma 3 4 6 8" xfId="53037" xr:uid="{B1881EF6-22DC-49E3-BF1C-4EE8A8070CC4}"/>
    <cellStyle name="Comma 3 4 7" xfId="10566" xr:uid="{5C3D138D-80C6-4DF5-97DE-E96D3E502251}"/>
    <cellStyle name="Comma 3 4 7 2" xfId="14931" xr:uid="{0BA3322B-66BA-4D52-A527-E41EF67B6B6B}"/>
    <cellStyle name="Comma 3 4 7 2 2" xfId="22478" xr:uid="{C8389658-1C37-4094-8F94-433B66520F87}"/>
    <cellStyle name="Comma 3 4 7 2 3" xfId="24662" xr:uid="{BD75C5EC-AB7D-4276-BC16-643328A82D52}"/>
    <cellStyle name="Comma 3 4 7 2 4" xfId="51816" xr:uid="{0BA217CC-EC7D-48EB-BB7E-D8D4CC6912B9}"/>
    <cellStyle name="Comma 3 4 7 2 5" xfId="54832" xr:uid="{D1F15969-400A-4D37-9FB0-D7BBD78F8234}"/>
    <cellStyle name="Comma 3 4 7 3" xfId="15416" xr:uid="{786C329E-A623-408B-8370-1A20BC1B1B0E}"/>
    <cellStyle name="Comma 3 4 7 3 2" xfId="22955" xr:uid="{D2C1D9BE-4019-4BDF-A272-F608B6174864}"/>
    <cellStyle name="Comma 3 4 7 3 3" xfId="46920" xr:uid="{6AA6B9B3-351B-48A1-9C0D-B1BB9C45837A}"/>
    <cellStyle name="Comma 3 4 7 3 4" xfId="52293" xr:uid="{0C793749-83B0-481C-AE23-98F8CD041DED}"/>
    <cellStyle name="Comma 3 4 7 3 5" xfId="55309" xr:uid="{D49CC1C6-D2CA-4506-B12D-F4A7DB38E4A1}"/>
    <cellStyle name="Comma 3 4 7 4" xfId="15904" xr:uid="{52AF5DEC-5D15-4897-A948-940ADD3C27F8}"/>
    <cellStyle name="Comma 3 4 7 4 2" xfId="23432" xr:uid="{470E9DED-DD63-405A-AF4E-67F326BC00FE}"/>
    <cellStyle name="Comma 3 4 7 4 3" xfId="47727" xr:uid="{175B66DF-EE7D-4591-98C4-748CB561EA6A}"/>
    <cellStyle name="Comma 3 4 7 4 4" xfId="52770" xr:uid="{3C259763-DF44-4A8D-B693-36A1CF6E9E33}"/>
    <cellStyle name="Comma 3 4 7 4 5" xfId="55786" xr:uid="{4AF37FC8-F5DD-4F4A-9C14-D6CB62D4C1D5}"/>
    <cellStyle name="Comma 3 4 7 5" xfId="13019" xr:uid="{DAB7B2EE-D673-4953-9B7F-30A559C78D2C}"/>
    <cellStyle name="Comma 3 4 7 5 2" xfId="48439" xr:uid="{F05455FC-0C2C-49AD-B06E-D420E63BAC24}"/>
    <cellStyle name="Comma 3 4 7 5 3" xfId="51339" xr:uid="{A3B462BA-73F1-4425-9E0D-D5A2316CDCB3}"/>
    <cellStyle name="Comma 3 4 7 5 4" xfId="54355" xr:uid="{9792B2EA-3104-4F88-B9BE-E1F7E7E09E2E}"/>
    <cellStyle name="Comma 3 4 7 6" xfId="47888" xr:uid="{14196412-AC28-4C2D-9653-311B6495CE32}"/>
    <cellStyle name="Comma 3 4 7 7" xfId="50233" xr:uid="{8AB8F84E-73A6-4492-B7E2-C728C9C6681A}"/>
    <cellStyle name="Comma 3 4 7 8" xfId="53249" xr:uid="{6F38A14F-AC55-48D9-BC6E-80D16A8BA298}"/>
    <cellStyle name="Comma 3 4 8" xfId="12312" xr:uid="{61E493CA-DC3F-47EC-A88B-44CAF12C1A9D}"/>
    <cellStyle name="Comma 3 4 9" xfId="14507" xr:uid="{37E13803-3DE7-48B1-A4C6-AA5B4545A40B}"/>
    <cellStyle name="Comma 3 4 9 2" xfId="22054" xr:uid="{808FC117-D32B-427D-8EC7-D7C104D6BB4B}"/>
    <cellStyle name="Comma 3 4 9 3" xfId="47566" xr:uid="{0CBAB543-D2A6-478F-8BA4-FA23B4A6506C}"/>
    <cellStyle name="Comma 3 4 9 4" xfId="51392" xr:uid="{3822D0CB-AC27-48E0-A63E-8026BF63727C}"/>
    <cellStyle name="Comma 3 4 9 5" xfId="54408" xr:uid="{A030DE62-C166-4FF6-B860-197773AA18ED}"/>
    <cellStyle name="Comma 3 5" xfId="5820" xr:uid="{E2E39F79-8306-4F43-9740-CA87C94F9859}"/>
    <cellStyle name="Comma 3 5 10" xfId="15480" xr:uid="{384EB734-D4DE-4CF0-8A70-04C4B6F862EC}"/>
    <cellStyle name="Comma 3 5 10 2" xfId="23010" xr:uid="{81C252B9-E201-4ACA-9EBB-F87C7D2DE377}"/>
    <cellStyle name="Comma 3 5 10 3" xfId="48223" xr:uid="{CBA55AA5-16F2-4B0E-80EB-C029CCC972A8}"/>
    <cellStyle name="Comma 3 5 10 4" xfId="52348" xr:uid="{E2AA9B68-5013-447A-82FF-53FB12FF6CAA}"/>
    <cellStyle name="Comma 3 5 10 5" xfId="55364" xr:uid="{3A414D5A-C17E-4AF1-8D89-60E097BA19B7}"/>
    <cellStyle name="Comma 3 5 11" xfId="11189" xr:uid="{5AE44BA8-6AD9-4027-8DB2-9A75A9D77861}"/>
    <cellStyle name="Comma 3 5 11 2" xfId="25159" xr:uid="{39F8115C-93E6-40B0-BA18-AAA179B6A922}"/>
    <cellStyle name="Comma 3 5 11 3" xfId="50702" xr:uid="{EACB858E-C07E-4478-9E8B-B6EE378AC7B5}"/>
    <cellStyle name="Comma 3 5 11 4" xfId="53718" xr:uid="{FAFB3FFF-BA02-4943-9CAB-9DE2343256E0}"/>
    <cellStyle name="Comma 3 5 12" xfId="23751" xr:uid="{3A0F3DF4-C7F3-4879-821C-5F7AC81DA535}"/>
    <cellStyle name="Comma 3 5 13" xfId="47557" xr:uid="{723103B6-04F2-4F9B-B3A0-F826A4FAA14F}"/>
    <cellStyle name="Comma 3 5 14" xfId="48634" xr:uid="{38C270B0-49FA-45E8-A3C4-E8B4A96EAAF4}"/>
    <cellStyle name="Comma 3 5 15" xfId="49542" xr:uid="{45475B4B-7B30-4D02-9C56-19375100A7F1}"/>
    <cellStyle name="Comma 3 5 16" xfId="49811" xr:uid="{149FAEDE-2D8C-4EF0-84A9-C6FBE473B245}"/>
    <cellStyle name="Comma 3 5 17" xfId="52826" xr:uid="{EE21F7F0-CC93-4D9D-936F-3F7A7C4C6D6D}"/>
    <cellStyle name="Comma 3 5 18" xfId="8934" xr:uid="{8F91BC6F-E292-4D03-B5E6-C6D7CEEA1B31}"/>
    <cellStyle name="Comma 3 5 2" xfId="10021" xr:uid="{63AB16F0-F339-49E1-960B-B18856DD1C88}"/>
    <cellStyle name="Comma 3 5 2 2" xfId="10329" xr:uid="{179E5D46-BE87-49A5-9E6C-7F6B5F813DDD}"/>
    <cellStyle name="Comma 3 5 2 2 2" xfId="14774" xr:uid="{9F49AF8A-56C8-4F41-94E8-7AFC30D37BDE}"/>
    <cellStyle name="Comma 3 5 2 2 2 2" xfId="22321" xr:uid="{0E519149-A88C-468E-9BA8-DC8F6C5CA3C3}"/>
    <cellStyle name="Comma 3 5 2 2 2 3" xfId="46861" xr:uid="{D7E8FF06-2B68-4356-8E0F-4C24007B947A}"/>
    <cellStyle name="Comma 3 5 2 2 2 4" xfId="51659" xr:uid="{B6EA4303-AE5E-4658-8495-453E1082C52C}"/>
    <cellStyle name="Comma 3 5 2 2 2 5" xfId="54675" xr:uid="{1D2DDA28-B0B6-4253-BEA1-B4C114B988B1}"/>
    <cellStyle name="Comma 3 5 2 2 3" xfId="15259" xr:uid="{E62F5AFD-3084-4CB4-84A6-F10F4A5C0E43}"/>
    <cellStyle name="Comma 3 5 2 2 3 2" xfId="22798" xr:uid="{138B6F07-DB0C-4E48-8259-9C37C9FD7AB2}"/>
    <cellStyle name="Comma 3 5 2 2 3 3" xfId="48277" xr:uid="{21027E91-5FF7-4D47-9635-1DBCDD8F0741}"/>
    <cellStyle name="Comma 3 5 2 2 3 4" xfId="52136" xr:uid="{B806664D-D134-49A4-8E20-CB1C647FF5CE}"/>
    <cellStyle name="Comma 3 5 2 2 3 5" xfId="55152" xr:uid="{3E498AE7-8399-43DD-B614-487B6B22DF49}"/>
    <cellStyle name="Comma 3 5 2 2 4" xfId="15746" xr:uid="{CDCDABF3-D0A7-457B-81A0-6047E54C0E61}"/>
    <cellStyle name="Comma 3 5 2 2 4 2" xfId="23275" xr:uid="{4CD54F01-05C9-47D7-9D73-81F58CE71064}"/>
    <cellStyle name="Comma 3 5 2 2 4 3" xfId="47150" xr:uid="{A42C1E84-8DF3-4E21-A59C-686E096EC406}"/>
    <cellStyle name="Comma 3 5 2 2 4 4" xfId="52613" xr:uid="{837C4FE0-6EBA-425B-AA66-1B687F8B02A5}"/>
    <cellStyle name="Comma 3 5 2 2 4 5" xfId="55629" xr:uid="{094C059B-F978-4867-A0CE-103BC9A3A64E}"/>
    <cellStyle name="Comma 3 5 2 2 5" xfId="12782" xr:uid="{8DBB2EE8-A4CA-483D-881B-B188E6E9EDC5}"/>
    <cellStyle name="Comma 3 5 2 2 5 2" xfId="46793" xr:uid="{A1580903-7D5B-411F-9AF5-C4CDBD4EF74D}"/>
    <cellStyle name="Comma 3 5 2 2 5 3" xfId="51182" xr:uid="{45CEA1DE-5544-4220-B89F-CD34ED74F344}"/>
    <cellStyle name="Comma 3 5 2 2 5 4" xfId="54198" xr:uid="{3B8F63F8-57FC-4254-B3A8-B57C81A676B8}"/>
    <cellStyle name="Comma 3 5 2 2 6" xfId="46089" xr:uid="{AEB517FE-72F7-4AFE-B5FE-D431BA50394C}"/>
    <cellStyle name="Comma 3 5 2 2 7" xfId="50076" xr:uid="{7785D545-9887-4C74-A782-CAA72986169C}"/>
    <cellStyle name="Comma 3 5 2 2 8" xfId="53092" xr:uid="{E88AE765-ED90-4D20-84A7-73CC9DC5E658}"/>
    <cellStyle name="Comma 3 5 2 3" xfId="14562" xr:uid="{E57D84C1-E632-47D1-91D1-A847943A9856}"/>
    <cellStyle name="Comma 3 5 2 3 2" xfId="22109" xr:uid="{7E97A453-E878-4BD8-AB87-AE81228165E5}"/>
    <cellStyle name="Comma 3 5 2 3 3" xfId="47478" xr:uid="{E8C861A2-DDC7-4368-A439-63491E397AF0}"/>
    <cellStyle name="Comma 3 5 2 3 4" xfId="51447" xr:uid="{1DDC8422-E241-49D6-9ADD-A35427DFFD91}"/>
    <cellStyle name="Comma 3 5 2 3 5" xfId="54463" xr:uid="{BD36A29C-13CA-4789-8F35-FAB17ADDFB8C}"/>
    <cellStyle name="Comma 3 5 2 4" xfId="15046" xr:uid="{C2DFA87A-FBB6-447C-A523-DC233DA1525D}"/>
    <cellStyle name="Comma 3 5 2 4 2" xfId="22586" xr:uid="{01121138-D7C3-4F51-871E-FAB3A02D27B3}"/>
    <cellStyle name="Comma 3 5 2 4 3" xfId="24919" xr:uid="{F35B0F82-4256-4AEF-9897-511F57B4B638}"/>
    <cellStyle name="Comma 3 5 2 4 4" xfId="51924" xr:uid="{5BD4820B-A147-405F-B81F-C67F82273055}"/>
    <cellStyle name="Comma 3 5 2 4 5" xfId="54940" xr:uid="{DA0C873F-0107-41C5-9CD0-DA906F8AFF26}"/>
    <cellStyle name="Comma 3 5 2 5" xfId="15533" xr:uid="{34C8146A-D3C5-4CD2-9BCC-262C860716B6}"/>
    <cellStyle name="Comma 3 5 2 5 2" xfId="23063" xr:uid="{32CD9851-8951-43A3-85D7-CB5E99DCCE32}"/>
    <cellStyle name="Comma 3 5 2 5 3" xfId="47548" xr:uid="{D12E4690-4419-4163-B752-E4B7103C1E6E}"/>
    <cellStyle name="Comma 3 5 2 5 4" xfId="52401" xr:uid="{ADF3A67D-BF3E-404C-8D27-6422F40D2ADB}"/>
    <cellStyle name="Comma 3 5 2 5 5" xfId="55417" xr:uid="{7C3B7913-5B14-4D7C-BB42-731DE20E3A69}"/>
    <cellStyle name="Comma 3 5 2 6" xfId="12481" xr:uid="{3EE582AA-8D00-486E-A817-AE3E945F8A62}"/>
    <cellStyle name="Comma 3 5 2 6 2" xfId="34189" xr:uid="{6F14706E-68F2-4B3D-972F-F7B0EEE53B06}"/>
    <cellStyle name="Comma 3 5 2 6 3" xfId="50970" xr:uid="{166DA854-C889-4A54-A43F-5F85011629B9}"/>
    <cellStyle name="Comma 3 5 2 6 4" xfId="53986" xr:uid="{8538C386-9399-41FA-A298-ABDAE85F571E}"/>
    <cellStyle name="Comma 3 5 2 7" xfId="46026" xr:uid="{7726035A-6CBE-4BD5-99E0-2B7AB4F87742}"/>
    <cellStyle name="Comma 3 5 2 8" xfId="49864" xr:uid="{F51C19DD-3A6B-4055-8425-462113221325}"/>
    <cellStyle name="Comma 3 5 2 9" xfId="52880" xr:uid="{F7291614-4ADE-435F-A6B3-E27F3FC1696E}"/>
    <cellStyle name="Comma 3 5 3" xfId="10095" xr:uid="{53C2B361-4DFA-4DFD-8A9D-24759323F02B}"/>
    <cellStyle name="Comma 3 5 3 2" xfId="10408" xr:uid="{43579D34-9FC2-40B0-A207-713ED2662E18}"/>
    <cellStyle name="Comma 3 5 3 2 2" xfId="14827" xr:uid="{E0DEF1A6-F0DC-4E92-B60A-B9C94D89CE7D}"/>
    <cellStyle name="Comma 3 5 3 2 2 2" xfId="22374" xr:uid="{EB86F7BE-E68F-42EF-A64F-257006FE1136}"/>
    <cellStyle name="Comma 3 5 3 2 2 3" xfId="32405" xr:uid="{557C98DF-53C8-40CA-BB0C-0EAA92E1E935}"/>
    <cellStyle name="Comma 3 5 3 2 2 4" xfId="51712" xr:uid="{B063473B-AD93-4882-84BF-D8276B8A03E8}"/>
    <cellStyle name="Comma 3 5 3 2 2 5" xfId="54728" xr:uid="{D7ED7F84-EBFE-4FC7-BD79-A07F43F55CED}"/>
    <cellStyle name="Comma 3 5 3 2 3" xfId="15312" xr:uid="{8F894543-1FB8-4742-B1C4-A51528C07DDD}"/>
    <cellStyle name="Comma 3 5 3 2 3 2" xfId="22851" xr:uid="{5AC92AB4-5ED9-4FEB-A78E-31910B51FD9D}"/>
    <cellStyle name="Comma 3 5 3 2 3 3" xfId="47638" xr:uid="{072559AB-E6AD-4B76-960D-0F689811F762}"/>
    <cellStyle name="Comma 3 5 3 2 3 4" xfId="52189" xr:uid="{612325C0-4E66-4009-B180-A0AAC3AEAA31}"/>
    <cellStyle name="Comma 3 5 3 2 3 5" xfId="55205" xr:uid="{053CEED3-18D5-451B-96E8-EDB1C756A73D}"/>
    <cellStyle name="Comma 3 5 3 2 4" xfId="15799" xr:uid="{2C95F1B8-B0F1-4E6B-9A38-0345EEEE30DA}"/>
    <cellStyle name="Comma 3 5 3 2 4 2" xfId="23328" xr:uid="{E091FBC0-FF45-4B47-B386-64C46770FC74}"/>
    <cellStyle name="Comma 3 5 3 2 4 3" xfId="46588" xr:uid="{25FE947A-DC4F-4285-9C54-9035ABD3D79A}"/>
    <cellStyle name="Comma 3 5 3 2 4 4" xfId="52666" xr:uid="{08E697A0-0D4D-49A9-93BD-662A9E3D77EB}"/>
    <cellStyle name="Comma 3 5 3 2 4 5" xfId="55682" xr:uid="{83109A30-1EA7-4D0C-95AD-B299D664D5F8}"/>
    <cellStyle name="Comma 3 5 3 2 5" xfId="12861" xr:uid="{15DAE56E-3614-496A-B40A-71F19039CA10}"/>
    <cellStyle name="Comma 3 5 3 2 5 2" xfId="46671" xr:uid="{D27321B4-A3A6-4322-9764-AB1E0B031E10}"/>
    <cellStyle name="Comma 3 5 3 2 5 3" xfId="51235" xr:uid="{D9D07385-13A8-4903-923B-201B5A948116}"/>
    <cellStyle name="Comma 3 5 3 2 5 4" xfId="54251" xr:uid="{2DA0EFBB-3D8B-4A62-AFF7-0B246564F5F8}"/>
    <cellStyle name="Comma 3 5 3 2 6" xfId="46112" xr:uid="{A65B0084-6C98-462B-BDEE-9D6D7C85B681}"/>
    <cellStyle name="Comma 3 5 3 2 7" xfId="50129" xr:uid="{45669F24-13E4-4252-A527-9E8F4F0C4E62}"/>
    <cellStyle name="Comma 3 5 3 2 8" xfId="53145" xr:uid="{83B4AFD1-E37F-42D3-BE00-16FBEE9DC644}"/>
    <cellStyle name="Comma 3 5 3 3" xfId="14615" xr:uid="{C4E32260-5FE8-4187-AC41-9ECB2D7A9DCF}"/>
    <cellStyle name="Comma 3 5 3 3 2" xfId="22162" xr:uid="{F32B0EAD-E0A1-4159-B8CC-AC009B3C0732}"/>
    <cellStyle name="Comma 3 5 3 3 3" xfId="46407" xr:uid="{5B2C2001-85D3-42E0-8E93-D82E0FAD241E}"/>
    <cellStyle name="Comma 3 5 3 3 4" xfId="51500" xr:uid="{B60E1D68-3AEE-49AA-A88D-90D1F4ED63F4}"/>
    <cellStyle name="Comma 3 5 3 3 5" xfId="54516" xr:uid="{5E0C4085-0DF5-4E42-963B-799905572FD5}"/>
    <cellStyle name="Comma 3 5 3 4" xfId="15100" xr:uid="{54AA5CB9-1015-48F9-A702-99FD8D5BC522}"/>
    <cellStyle name="Comma 3 5 3 4 2" xfId="22639" xr:uid="{87DD1350-14CC-448D-A1EF-67A0E7D2B04D}"/>
    <cellStyle name="Comma 3 5 3 4 3" xfId="46479" xr:uid="{6AB76AE2-55FE-4736-8559-068665FF7923}"/>
    <cellStyle name="Comma 3 5 3 4 4" xfId="51977" xr:uid="{F51394EA-CD1E-4F0E-8900-57EFF5F29154}"/>
    <cellStyle name="Comma 3 5 3 4 5" xfId="54993" xr:uid="{60A312BF-9ADC-4205-8B37-C32DD43F1D80}"/>
    <cellStyle name="Comma 3 5 3 5" xfId="15587" xr:uid="{69EB88A0-F547-4C93-BF89-80881865AE16}"/>
    <cellStyle name="Comma 3 5 3 5 2" xfId="23116" xr:uid="{C810D9FF-1E8C-4BB3-95BF-3873314F0202}"/>
    <cellStyle name="Comma 3 5 3 5 3" xfId="34471" xr:uid="{64D69966-D12B-42C4-A12B-50AF5DF410E9}"/>
    <cellStyle name="Comma 3 5 3 5 4" xfId="52454" xr:uid="{89C8750C-2B7E-4F18-A809-A9A46695B01D}"/>
    <cellStyle name="Comma 3 5 3 5 5" xfId="55470" xr:uid="{1EA388DE-65A3-432C-A33A-E8F62F59DF0A}"/>
    <cellStyle name="Comma 3 5 3 6" xfId="12552" xr:uid="{37AD2D44-CF37-463D-A40B-4734CB7857FB}"/>
    <cellStyle name="Comma 3 5 3 6 2" xfId="46768" xr:uid="{DD320B06-1E91-42CD-8C9A-0DB0E2DE0AEE}"/>
    <cellStyle name="Comma 3 5 3 6 3" xfId="51023" xr:uid="{C6EE8BAC-1081-4001-87E9-A229BC913121}"/>
    <cellStyle name="Comma 3 5 3 6 4" xfId="54039" xr:uid="{1AC0C79E-C789-4CC8-9CFD-7C083B51B794}"/>
    <cellStyle name="Comma 3 5 3 7" xfId="46043" xr:uid="{EF6AE7AB-FA2D-4BCB-8E65-D0477272B764}"/>
    <cellStyle name="Comma 3 5 3 8" xfId="49917" xr:uid="{A82B02F6-8FB5-46FB-83DF-CF25F19767C0}"/>
    <cellStyle name="Comma 3 5 3 9" xfId="52933" xr:uid="{7D15AA20-342A-4658-9D70-62855468FE49}"/>
    <cellStyle name="Comma 3 5 4" xfId="10174" xr:uid="{0565F344-C35A-4D08-BB20-60D05276CFCA}"/>
    <cellStyle name="Comma 3 5 4 2" xfId="10488" xr:uid="{5A09005C-03A3-4A3F-98EC-2E615755C3CC}"/>
    <cellStyle name="Comma 3 5 4 2 2" xfId="14880" xr:uid="{1F1D3DBA-B272-4474-A79D-707DEA979B5B}"/>
    <cellStyle name="Comma 3 5 4 2 2 2" xfId="22427" xr:uid="{04588450-26E4-434D-8697-35A25D2E39D7}"/>
    <cellStyle name="Comma 3 5 4 2 2 3" xfId="46682" xr:uid="{50E75BC4-03B0-41E4-A0CB-52CD273E828A}"/>
    <cellStyle name="Comma 3 5 4 2 2 4" xfId="51765" xr:uid="{A3CB9661-4F92-4472-AF6B-2F9702A6ACDD}"/>
    <cellStyle name="Comma 3 5 4 2 2 5" xfId="54781" xr:uid="{4378991D-2CA8-48A9-A32C-78F5818623D9}"/>
    <cellStyle name="Comma 3 5 4 2 3" xfId="15365" xr:uid="{E124B64F-354B-4A1D-8D1D-61465EDBD9A1}"/>
    <cellStyle name="Comma 3 5 4 2 3 2" xfId="22904" xr:uid="{595E6E7A-1CA8-445D-9381-B0D262391E5D}"/>
    <cellStyle name="Comma 3 5 4 2 3 3" xfId="46913" xr:uid="{15A069B8-9691-4366-A68C-0D0E71C26ACC}"/>
    <cellStyle name="Comma 3 5 4 2 3 4" xfId="52242" xr:uid="{84D99B19-11DF-4927-A5BA-F1D9FE08AA13}"/>
    <cellStyle name="Comma 3 5 4 2 3 5" xfId="55258" xr:uid="{C35DC0CE-0574-441E-97D6-BF66DCCA8691}"/>
    <cellStyle name="Comma 3 5 4 2 4" xfId="15852" xr:uid="{970A60B3-81F5-407C-8AD5-43E92497CD12}"/>
    <cellStyle name="Comma 3 5 4 2 4 2" xfId="23381" xr:uid="{3576EABD-F4A6-4B68-BFE4-712EA8656F2D}"/>
    <cellStyle name="Comma 3 5 4 2 4 3" xfId="46975" xr:uid="{FD86955F-D9C0-422E-A578-AD75A5996B9A}"/>
    <cellStyle name="Comma 3 5 4 2 4 4" xfId="52719" xr:uid="{7AE0DA2D-8F03-4D0D-AB00-6ACBE61517B4}"/>
    <cellStyle name="Comma 3 5 4 2 4 5" xfId="55735" xr:uid="{5503BCF3-55C0-4B1B-B1B8-66945564129B}"/>
    <cellStyle name="Comma 3 5 4 2 5" xfId="12941" xr:uid="{718C6B1E-05FE-4152-B2B2-DC2EF71A8CB9}"/>
    <cellStyle name="Comma 3 5 4 2 5 2" xfId="46375" xr:uid="{17F2E8C5-4F02-47C9-B93E-50E2767186CD}"/>
    <cellStyle name="Comma 3 5 4 2 5 3" xfId="51288" xr:uid="{B81BF6D3-1F5F-4F8F-A429-D1F627F7F869}"/>
    <cellStyle name="Comma 3 5 4 2 5 4" xfId="54304" xr:uid="{35F0068C-7426-4533-90DF-94E326B4792C}"/>
    <cellStyle name="Comma 3 5 4 2 6" xfId="46132" xr:uid="{1F448BDF-7F7C-4C5A-81BA-B3C0C9261B90}"/>
    <cellStyle name="Comma 3 5 4 2 7" xfId="50182" xr:uid="{ABD6BF86-E59B-46B4-8040-4DA17772A995}"/>
    <cellStyle name="Comma 3 5 4 2 8" xfId="53198" xr:uid="{7FA1C536-3EBE-48B1-83DF-4BBEF39801E7}"/>
    <cellStyle name="Comma 3 5 4 3" xfId="14668" xr:uid="{A609D752-1CA5-4DE1-AC35-D348D8B0A965}"/>
    <cellStyle name="Comma 3 5 4 3 2" xfId="22215" xr:uid="{7C76903A-DF01-4845-846A-1B8822C753FE}"/>
    <cellStyle name="Comma 3 5 4 3 3" xfId="48115" xr:uid="{4B162194-0845-4536-A155-C0A7AE03C9CD}"/>
    <cellStyle name="Comma 3 5 4 3 4" xfId="51553" xr:uid="{C645E0C0-E41E-4289-ACEF-2735E7926293}"/>
    <cellStyle name="Comma 3 5 4 3 5" xfId="54569" xr:uid="{D6A004F6-01B7-470D-A90E-1D20AD65C4B8}"/>
    <cellStyle name="Comma 3 5 4 4" xfId="15153" xr:uid="{7305F3B4-4990-4271-A54C-43009411B556}"/>
    <cellStyle name="Comma 3 5 4 4 2" xfId="22692" xr:uid="{F713F183-34F6-4919-9269-DE318CB282DC}"/>
    <cellStyle name="Comma 3 5 4 4 3" xfId="24528" xr:uid="{363AA313-5EEB-45C3-8683-0B4EB03AEAE3}"/>
    <cellStyle name="Comma 3 5 4 4 4" xfId="52030" xr:uid="{589F3DFD-6FAE-4EE0-B6F7-9D3E5A293E60}"/>
    <cellStyle name="Comma 3 5 4 4 5" xfId="55046" xr:uid="{20302563-0146-4F53-A896-77AB4E7BE448}"/>
    <cellStyle name="Comma 3 5 4 5" xfId="15640" xr:uid="{749C1592-E571-4E11-B57D-E75C90909C91}"/>
    <cellStyle name="Comma 3 5 4 5 2" xfId="23169" xr:uid="{B51B4624-F48A-4EDD-86AE-8203855D0A82}"/>
    <cellStyle name="Comma 3 5 4 5 3" xfId="48080" xr:uid="{3BBE2236-E5B6-4731-AE9B-9C4AD4150514}"/>
    <cellStyle name="Comma 3 5 4 5 4" xfId="52507" xr:uid="{5D6DDEE8-FE20-46C7-A789-209718AEA5EA}"/>
    <cellStyle name="Comma 3 5 4 5 5" xfId="55523" xr:uid="{40ECB727-85D3-434D-BC99-381156F1BF77}"/>
    <cellStyle name="Comma 3 5 4 6" xfId="12628" xr:uid="{C5F55502-57C0-4344-8984-DD222882EEDB}"/>
    <cellStyle name="Comma 3 5 4 6 2" xfId="46332" xr:uid="{6D279629-B5EB-4DF0-88D8-1869FD7BAD80}"/>
    <cellStyle name="Comma 3 5 4 6 3" xfId="51076" xr:uid="{90086704-7A6D-45B3-8DDD-BB45B51B8D0C}"/>
    <cellStyle name="Comma 3 5 4 6 4" xfId="54092" xr:uid="{6DBEE36A-03FB-467B-A641-17F4E0424ABC}"/>
    <cellStyle name="Comma 3 5 4 7" xfId="48545" xr:uid="{ACEE94E5-7667-4F32-829C-0EEEAFDD702D}"/>
    <cellStyle name="Comma 3 5 4 8" xfId="49970" xr:uid="{384090E7-AC9D-4373-B66A-3C69B959FBA2}"/>
    <cellStyle name="Comma 3 5 4 9" xfId="52986" xr:uid="{538A6A7D-2C7E-4281-97CC-C51532AE7AB9}"/>
    <cellStyle name="Comma 3 5 5" xfId="10254" xr:uid="{C404F435-4E61-4BAF-BCC9-9A25D7722ED6}"/>
    <cellStyle name="Comma 3 5 5 2" xfId="14721" xr:uid="{C5C99448-9A8E-46B0-B659-60D7DD570732}"/>
    <cellStyle name="Comma 3 5 5 2 2" xfId="22268" xr:uid="{1B18C5E2-F0D4-403F-9042-83D136EC502D}"/>
    <cellStyle name="Comma 3 5 5 2 3" xfId="46423" xr:uid="{D35D19ED-318F-49DC-9FC0-DD96427FC451}"/>
    <cellStyle name="Comma 3 5 5 2 4" xfId="51606" xr:uid="{26A115D1-C29E-4B30-B6C0-C26FBB98175F}"/>
    <cellStyle name="Comma 3 5 5 2 5" xfId="54622" xr:uid="{799961CE-A02E-44AD-B157-3FFF0DCF8773}"/>
    <cellStyle name="Comma 3 5 5 3" xfId="15206" xr:uid="{469089D4-DA9B-4D4B-86D9-F0745C1ABDE2}"/>
    <cellStyle name="Comma 3 5 5 3 2" xfId="22745" xr:uid="{0A1D59CD-C081-42D9-A250-D7B64AFC530B}"/>
    <cellStyle name="Comma 3 5 5 3 3" xfId="32283" xr:uid="{5358B8A8-1D73-4C69-8026-7F9D43153CD2}"/>
    <cellStyle name="Comma 3 5 5 3 4" xfId="52083" xr:uid="{15679631-4B39-4A3F-B45C-366B844F2ADA}"/>
    <cellStyle name="Comma 3 5 5 3 5" xfId="55099" xr:uid="{3660422C-E865-4935-8CBF-74ECD64F5701}"/>
    <cellStyle name="Comma 3 5 5 4" xfId="15693" xr:uid="{5DD9A7A3-5CB6-4F6E-A3D4-AA77CBF4E152}"/>
    <cellStyle name="Comma 3 5 5 4 2" xfId="23222" xr:uid="{EB1D8800-047F-4B7C-B8BC-41870C50F72D}"/>
    <cellStyle name="Comma 3 5 5 4 3" xfId="37445" xr:uid="{D1F1AA06-D58C-4513-8095-C43543AFCF58}"/>
    <cellStyle name="Comma 3 5 5 4 4" xfId="52560" xr:uid="{A06AFCD3-960C-4746-BA41-DC6EE7120B87}"/>
    <cellStyle name="Comma 3 5 5 4 5" xfId="55576" xr:uid="{37B04AB1-E0F4-465B-A707-133C39EBCAED}"/>
    <cellStyle name="Comma 3 5 5 5" xfId="12707" xr:uid="{2F6EF749-D247-4D83-9F62-E86746CB8700}"/>
    <cellStyle name="Comma 3 5 5 5 2" xfId="24483" xr:uid="{FEA138D2-F918-407C-9DB1-CAD36D900C38}"/>
    <cellStyle name="Comma 3 5 5 5 3" xfId="51129" xr:uid="{275DABED-12D6-4897-B54D-7DE9477D6983}"/>
    <cellStyle name="Comma 3 5 5 5 4" xfId="54145" xr:uid="{107CFF99-50F1-4CEC-AA05-B5EB2B47629B}"/>
    <cellStyle name="Comma 3 5 5 6" xfId="46074" xr:uid="{F782409D-C0DD-41D5-B78C-259E5C731ADF}"/>
    <cellStyle name="Comma 3 5 5 7" xfId="50023" xr:uid="{39868D89-D010-4DAF-ADD4-FC26BC720D09}"/>
    <cellStyle name="Comma 3 5 5 8" xfId="53039" xr:uid="{9181E09E-4967-4506-9FC1-FA609E528953}"/>
    <cellStyle name="Comma 3 5 6" xfId="10568" xr:uid="{FB3FD1FA-D1A7-42AC-B112-9214944ED9FC}"/>
    <cellStyle name="Comma 3 5 6 2" xfId="14933" xr:uid="{83E4A53D-28DB-43E2-8407-13B7384223CF}"/>
    <cellStyle name="Comma 3 5 6 2 2" xfId="22480" xr:uid="{98602EB2-797A-4AE0-B46B-F605F3DE43A4}"/>
    <cellStyle name="Comma 3 5 6 2 3" xfId="34481" xr:uid="{2A3F90A4-64E0-4129-8382-E3608F5BAFFA}"/>
    <cellStyle name="Comma 3 5 6 2 4" xfId="51818" xr:uid="{789C0479-01F0-4EFA-9793-19CC9365A4C7}"/>
    <cellStyle name="Comma 3 5 6 2 5" xfId="54834" xr:uid="{FBEE6628-D72E-4058-B974-521736E7D612}"/>
    <cellStyle name="Comma 3 5 6 3" xfId="15418" xr:uid="{54523CCC-8022-4B10-89D4-E2C58409112F}"/>
    <cellStyle name="Comma 3 5 6 3 2" xfId="22957" xr:uid="{C9A58A7D-35B3-4642-9DD1-6AEBE9B30DAD}"/>
    <cellStyle name="Comma 3 5 6 3 3" xfId="48222" xr:uid="{43C9DFAA-A81A-4C28-ADFE-8CFD5AFA1158}"/>
    <cellStyle name="Comma 3 5 6 3 4" xfId="52295" xr:uid="{5EA0630E-6550-4687-AFE1-EAA3A2BFEDC3}"/>
    <cellStyle name="Comma 3 5 6 3 5" xfId="55311" xr:uid="{8CA18D0B-28F4-4A79-B7FF-504E0C49360F}"/>
    <cellStyle name="Comma 3 5 6 4" xfId="15906" xr:uid="{24512794-803C-4453-A369-E7EDF357953A}"/>
    <cellStyle name="Comma 3 5 6 4 2" xfId="23434" xr:uid="{2B7AE044-1198-4662-87A7-FF75B074EBCE}"/>
    <cellStyle name="Comma 3 5 6 4 3" xfId="46981" xr:uid="{CCD90820-4B65-4899-9731-DFE900184108}"/>
    <cellStyle name="Comma 3 5 6 4 4" xfId="52772" xr:uid="{3BCB02AC-F4A2-4034-8768-9BA302734E8B}"/>
    <cellStyle name="Comma 3 5 6 4 5" xfId="55788" xr:uid="{5E24D6E2-6603-4629-9B90-757165399D4C}"/>
    <cellStyle name="Comma 3 5 6 5" xfId="13021" xr:uid="{A7713C00-4BF5-4FCF-8DFF-27B711282676}"/>
    <cellStyle name="Comma 3 5 6 5 2" xfId="48242" xr:uid="{73BA84EF-A7CC-4683-B045-D1C9F52E86B6}"/>
    <cellStyle name="Comma 3 5 6 5 3" xfId="51341" xr:uid="{04949415-1F4E-46A6-BA5E-41EFC03FC16A}"/>
    <cellStyle name="Comma 3 5 6 5 4" xfId="54357" xr:uid="{11CC6087-465B-4EEE-8CBC-0BD719C89781}"/>
    <cellStyle name="Comma 3 5 6 6" xfId="47506" xr:uid="{6FD21EFD-CC19-4261-ACFA-2522D046F9A2}"/>
    <cellStyle name="Comma 3 5 6 7" xfId="50235" xr:uid="{71C9271E-6D81-43A0-92D2-F84187E2FBF8}"/>
    <cellStyle name="Comma 3 5 6 8" xfId="53251" xr:uid="{CC50262E-F3AF-4271-816F-C04AA3492B94}"/>
    <cellStyle name="Comma 3 5 7" xfId="13057" xr:uid="{82D1E5CD-BEFB-4454-9EA0-500A1BB2506F}"/>
    <cellStyle name="Comma 3 5 8" xfId="14509" xr:uid="{2DB08D61-6F67-4049-B7AC-929AD3567476}"/>
    <cellStyle name="Comma 3 5 8 2" xfId="22056" xr:uid="{04B34C96-9577-46C9-BCB8-595F59D535F1}"/>
    <cellStyle name="Comma 3 5 8 3" xfId="23972" xr:uid="{BEA3CB0A-E051-4DB0-8A67-F2C3AEC5E228}"/>
    <cellStyle name="Comma 3 5 8 4" xfId="51394" xr:uid="{B9A9369C-4597-4934-9F29-685E51AE3587}"/>
    <cellStyle name="Comma 3 5 8 5" xfId="54410" xr:uid="{FBA50A02-CBAA-4B33-8876-0487E2843B3E}"/>
    <cellStyle name="Comma 3 5 9" xfId="14993" xr:uid="{DDEE88D2-E56D-4D30-B1CD-6A34D32FED13}"/>
    <cellStyle name="Comma 3 5 9 2" xfId="22533" xr:uid="{74C76FEE-03AF-4F0B-B5C5-1E2A70AFC534}"/>
    <cellStyle name="Comma 3 5 9 3" xfId="48357" xr:uid="{68A34AFE-CFA8-4D5F-B0D3-F6D43F1D0EA0}"/>
    <cellStyle name="Comma 3 5 9 4" xfId="51871" xr:uid="{B3590B47-66BC-4C74-83D6-736E6A2844EE}"/>
    <cellStyle name="Comma 3 5 9 5" xfId="54887" xr:uid="{8EDBB010-99BB-4774-94B0-5536EFB341E8}"/>
    <cellStyle name="Comma 3 6" xfId="2620" xr:uid="{BC5D62CA-284C-4700-9CEF-B54EA5668EDA}"/>
    <cellStyle name="Comma 3 6 10" xfId="11698" xr:uid="{704AC47E-8F28-4539-8F92-85BCA64CAC14}"/>
    <cellStyle name="Comma 3 6 2" xfId="21719" xr:uid="{5C7F3F8C-5C1C-4888-A39C-1DDB3EA2F120}"/>
    <cellStyle name="Comma 3 6 3" xfId="23752" xr:uid="{001EA479-F706-4717-A0A0-2265298FEE27}"/>
    <cellStyle name="Comma 3 6 4" xfId="47690" xr:uid="{2D52126E-2882-4F82-A67B-EAD8461FED19}"/>
    <cellStyle name="Comma 3 6 5" xfId="48635" xr:uid="{B3559B9A-A146-4D5E-AC3A-FD898BF28269}"/>
    <cellStyle name="Comma 3 6 6" xfId="49543" xr:uid="{937ABE65-74BC-43C0-AE2C-22DB362AABD8}"/>
    <cellStyle name="Comma 3 6 7" xfId="50745" xr:uid="{E78F47AE-CF00-4AC3-B716-6BDC56A6BF0F}"/>
    <cellStyle name="Comma 3 6 8" xfId="53761" xr:uid="{2B616AA9-729F-4695-80C9-C07A5ECE25C3}"/>
    <cellStyle name="Comma 3 6 9" xfId="18300" xr:uid="{0325DFD7-F4C8-4198-AFD2-937475F402AE}"/>
    <cellStyle name="Comma 3 7" xfId="11143" xr:uid="{E9986791-D064-4907-B109-592C5B0A0F12}"/>
    <cellStyle name="Comma 3 7 2" xfId="21675" xr:uid="{EEC8E58C-D24B-451F-940B-133C11E48AD0}"/>
    <cellStyle name="Comma 3 7 3" xfId="23753" xr:uid="{ADB26CBE-3308-4AC9-85A4-112A8DF5D69A}"/>
    <cellStyle name="Comma 3 7 4" xfId="48184" xr:uid="{C02CB15E-2859-4EED-8F27-ABC491FB2A0E}"/>
    <cellStyle name="Comma 3 7 5" xfId="48636" xr:uid="{13D54808-4829-467D-8711-BCB0C7F846A3}"/>
    <cellStyle name="Comma 3 7 6" xfId="49544" xr:uid="{E0152E26-68EA-44A7-B0FE-57F0726A7846}"/>
    <cellStyle name="Comma 3 7 7" xfId="50691" xr:uid="{7F3DAACD-3DFB-437A-89F3-99F6DDD05568}"/>
    <cellStyle name="Comma 3 7 8" xfId="53707" xr:uid="{FFD321BC-288E-466B-BDB0-08C42FA0978D}"/>
    <cellStyle name="Comma 3 7 9" xfId="18042" xr:uid="{3504DA0D-CE71-4131-9538-8A53FE763A05}"/>
    <cellStyle name="Comma 3 8" xfId="19482" xr:uid="{ED568B13-7262-4C21-869C-6EB8C4285925}"/>
    <cellStyle name="Comma 3 8 2" xfId="23754" xr:uid="{38C4B00F-C241-495C-BE52-D8B8CB49C438}"/>
    <cellStyle name="Comma 3 8 3" xfId="48637" xr:uid="{DB6D3B11-DA77-4AEB-8A3B-B6A17C282D0D}"/>
    <cellStyle name="Comma 3 8 4" xfId="49545" xr:uid="{9977340F-9BDB-49D0-9866-77A24E47DCE9}"/>
    <cellStyle name="Comma 3 9" xfId="23755" xr:uid="{C0340107-E71C-4520-B80E-8AFDE908090A}"/>
    <cellStyle name="Comma 4" xfId="52" xr:uid="{00000000-0005-0000-0000-000057000000}"/>
    <cellStyle name="Comma 4 10" xfId="23756" xr:uid="{A0FF8F0D-6D56-4DF7-8F1E-5B1170B0899E}"/>
    <cellStyle name="Comma 4 11" xfId="48638" xr:uid="{3909D852-3258-41F8-A1D6-8E23EAEF5881}"/>
    <cellStyle name="Comma 4 12" xfId="49546" xr:uid="{4113EF31-5E15-4F02-913D-E5874C6E5A97}"/>
    <cellStyle name="Comma 4 13" xfId="7235" xr:uid="{17054520-F74E-4576-9557-182960003C86}"/>
    <cellStyle name="Comma 4 2" xfId="53" xr:uid="{00000000-0005-0000-0000-000058000000}"/>
    <cellStyle name="Comma 4 2 10" xfId="14967" xr:uid="{FE0568D5-A9D5-4F6B-8E17-9505112F55F4}"/>
    <cellStyle name="Comma 4 2 10 2" xfId="22511" xr:uid="{7B76FC37-D751-4CF9-9931-B8C7B5F25391}"/>
    <cellStyle name="Comma 4 2 10 3" xfId="32516" xr:uid="{A28444EA-A780-4153-A9F2-D0E3C5A75DC0}"/>
    <cellStyle name="Comma 4 2 10 4" xfId="51849" xr:uid="{A091004E-CD26-4A49-A1DD-811E1CD7F9DD}"/>
    <cellStyle name="Comma 4 2 10 5" xfId="54865" xr:uid="{3369E10A-AA0B-42B0-B827-58BBC163471C}"/>
    <cellStyle name="Comma 4 2 11" xfId="15453" xr:uid="{2FB5551B-4AC8-4403-B114-A6310E062EA0}"/>
    <cellStyle name="Comma 4 2 11 2" xfId="22988" xr:uid="{75B8ECA9-441A-437D-B490-51E00EC9D9A6}"/>
    <cellStyle name="Comma 4 2 11 3" xfId="24441" xr:uid="{8C49ADF0-D0AD-4A19-8B04-71869C65A774}"/>
    <cellStyle name="Comma 4 2 11 4" xfId="52326" xr:uid="{8028F5A6-C292-42EC-B713-0204703DBCA3}"/>
    <cellStyle name="Comma 4 2 11 5" xfId="55342" xr:uid="{01B12497-911B-4919-BE75-5100A6412600}"/>
    <cellStyle name="Comma 4 2 12" xfId="19487" xr:uid="{F2DF3937-ECB8-4515-8F91-1C6B8D3042D6}"/>
    <cellStyle name="Comma 4 2 13" xfId="23757" xr:uid="{118E7343-4D2C-4ACE-AF38-3018E8D950AE}"/>
    <cellStyle name="Comma 4 2 14" xfId="48639" xr:uid="{75A2017B-10C5-4664-88C9-9F510871A374}"/>
    <cellStyle name="Comma 4 2 15" xfId="49547" xr:uid="{D830AF1B-0731-461A-8F9B-FDEE535432F3}"/>
    <cellStyle name="Comma 4 2 16" xfId="49789" xr:uid="{74F2F79A-929F-46D3-957D-866C2C1E05B7}"/>
    <cellStyle name="Comma 4 2 17" xfId="52804" xr:uid="{9EA5BD4F-535A-48E5-9F82-9A1E55FB2B68}"/>
    <cellStyle name="Comma 4 2 2" xfId="2626" xr:uid="{4E33E8F0-E4ED-4400-89CC-A7E578BA790C}"/>
    <cellStyle name="Comma 4 2 2 10" xfId="15463" xr:uid="{3F9B12CB-9657-436B-ABE3-F78A1525FF84}"/>
    <cellStyle name="Comma 4 2 2 10 2" xfId="22994" xr:uid="{B0284BE2-7EA2-4278-A8D0-639CD5944194}"/>
    <cellStyle name="Comma 4 2 2 10 3" xfId="46537" xr:uid="{C465FF42-F352-45CB-A7CE-B39BF0A8B1AC}"/>
    <cellStyle name="Comma 4 2 2 10 4" xfId="52332" xr:uid="{8FBA93D8-D350-4C20-A03A-459B1A527A9A}"/>
    <cellStyle name="Comma 4 2 2 10 5" xfId="55348" xr:uid="{D6826BB3-7A13-4397-9C01-9DFE14EBB202}"/>
    <cellStyle name="Comma 4 2 2 11" xfId="11195" xr:uid="{2E063EFC-EF9F-4B71-A702-6819EDDD0B49}"/>
    <cellStyle name="Comma 4 2 2 11 2" xfId="21691" xr:uid="{DC88CC13-6A1F-4E66-85EA-90E9E9CCCD83}"/>
    <cellStyle name="Comma 4 2 2 11 3" xfId="32442" xr:uid="{3250589C-BCE5-48FC-BFD7-0FAEA41D7372}"/>
    <cellStyle name="Comma 4 2 2 11 4" xfId="50708" xr:uid="{78BEBFAB-E490-4BBC-927F-7893DE4EE180}"/>
    <cellStyle name="Comma 4 2 2 11 5" xfId="53724" xr:uid="{26495475-9CDE-48BB-B69B-5E0F75682A97}"/>
    <cellStyle name="Comma 4 2 2 12" xfId="19488" xr:uid="{77139A38-BCB9-442B-8047-46040F23191C}"/>
    <cellStyle name="Comma 4 2 2 13" xfId="23758" xr:uid="{D0FC65DC-205E-4146-A23A-999DA148777D}"/>
    <cellStyle name="Comma 4 2 2 14" xfId="48640" xr:uid="{E36E3872-677E-4208-AC15-17026DC7EDA9}"/>
    <cellStyle name="Comma 4 2 2 15" xfId="49548" xr:uid="{AE7B0E44-DDC6-4EB2-ADAC-1101B807B9FB}"/>
    <cellStyle name="Comma 4 2 2 16" xfId="49795" xr:uid="{E2F46900-1297-4835-B0F4-E69C34C62193}"/>
    <cellStyle name="Comma 4 2 2 17" xfId="52810" xr:uid="{F6733F57-C024-4B48-8BF2-A0E18D6BEB7A}"/>
    <cellStyle name="Comma 4 2 2 2" xfId="8935" xr:uid="{2CD568C4-117A-41C6-BE9D-C02F3F057E22}"/>
    <cellStyle name="Comma 4 2 2 2 10" xfId="11496" xr:uid="{A72208B0-C885-43ED-BE67-3847478FD7AD}"/>
    <cellStyle name="Comma 4 2 2 2 10 2" xfId="48434" xr:uid="{D5FC4AED-F186-4E78-AF06-FD6506435424}"/>
    <cellStyle name="Comma 4 2 2 2 10 3" xfId="50720" xr:uid="{56FE3937-CDE7-4E19-83C9-DBE949F4E02D}"/>
    <cellStyle name="Comma 4 2 2 2 10 4" xfId="53736" xr:uid="{852B4754-5D23-43DA-B317-5A36942F2232}"/>
    <cellStyle name="Comma 4 2 2 2 11" xfId="23759" xr:uid="{E391D560-3C22-44F6-BB28-769296FAAA8A}"/>
    <cellStyle name="Comma 4 2 2 2 12" xfId="48641" xr:uid="{7E4D6C23-F852-415C-9CFA-4C2C135560A7}"/>
    <cellStyle name="Comma 4 2 2 2 13" xfId="49549" xr:uid="{D0635CBE-5CD7-44DC-B6BF-E388D7B1B09F}"/>
    <cellStyle name="Comma 4 2 2 2 14" xfId="49812" xr:uid="{8645314B-5CE6-410D-AB42-91B290819CE8}"/>
    <cellStyle name="Comma 4 2 2 2 15" xfId="52827" xr:uid="{F8535001-2C70-4190-A1DC-95AEA1CBA421}"/>
    <cellStyle name="Comma 4 2 2 2 2" xfId="10022" xr:uid="{50999523-92B5-4470-B6F4-51DD79D1E88E}"/>
    <cellStyle name="Comma 4 2 2 2 2 2" xfId="10330" xr:uid="{2CAB4E6E-6261-4B9A-A763-8FD3A6A85998}"/>
    <cellStyle name="Comma 4 2 2 2 2 2 2" xfId="14775" xr:uid="{EA1B98EB-803D-40B1-BFEB-EA0867E36864}"/>
    <cellStyle name="Comma 4 2 2 2 2 2 2 2" xfId="22322" xr:uid="{5A2BF512-598A-42B3-8DB6-20375D091556}"/>
    <cellStyle name="Comma 4 2 2 2 2 2 2 3" xfId="48063" xr:uid="{0B0DD3C6-29F6-4F4D-9DAC-3AD18EFAF114}"/>
    <cellStyle name="Comma 4 2 2 2 2 2 2 4" xfId="51660" xr:uid="{D83F529D-38F2-4502-9D6C-1FCB45B8AA0E}"/>
    <cellStyle name="Comma 4 2 2 2 2 2 2 5" xfId="54676" xr:uid="{1127FCC6-DF59-49BB-A78F-57894F60DE90}"/>
    <cellStyle name="Comma 4 2 2 2 2 2 3" xfId="15260" xr:uid="{B391A9B3-2B26-4124-ACAA-3E480B1C381C}"/>
    <cellStyle name="Comma 4 2 2 2 2 2 3 2" xfId="22799" xr:uid="{3D0F5E62-002A-476B-9F50-BF49DF9943EF}"/>
    <cellStyle name="Comma 4 2 2 2 2 2 3 3" xfId="46898" xr:uid="{453354AB-A39E-4AE9-910C-81720E3238E2}"/>
    <cellStyle name="Comma 4 2 2 2 2 2 3 4" xfId="52137" xr:uid="{FA995DC9-BAB9-4ADF-B59B-72B8D119CF63}"/>
    <cellStyle name="Comma 4 2 2 2 2 2 3 5" xfId="55153" xr:uid="{AF8177AE-503E-4394-9850-4489A6876241}"/>
    <cellStyle name="Comma 4 2 2 2 2 2 4" xfId="15747" xr:uid="{D36D1BD2-734E-45F1-8864-42AF03B274A8}"/>
    <cellStyle name="Comma 4 2 2 2 2 2 4 2" xfId="23276" xr:uid="{46B91EDB-1580-4029-A315-468F7369010D}"/>
    <cellStyle name="Comma 4 2 2 2 2 2 4 3" xfId="24313" xr:uid="{FEF94231-C6B6-4DB8-82E3-FB110964DE10}"/>
    <cellStyle name="Comma 4 2 2 2 2 2 4 4" xfId="52614" xr:uid="{C7586628-62F8-4C49-84E7-7228AFAFB850}"/>
    <cellStyle name="Comma 4 2 2 2 2 2 4 5" xfId="55630" xr:uid="{4049A647-6E5A-46F9-9010-E17E3F83BF23}"/>
    <cellStyle name="Comma 4 2 2 2 2 2 5" xfId="12783" xr:uid="{706B9783-210C-41EF-B2BE-5C253DA389A6}"/>
    <cellStyle name="Comma 4 2 2 2 2 2 5 2" xfId="48340" xr:uid="{DF8FF4FF-4378-4F82-8E9E-E7AB8161FCC2}"/>
    <cellStyle name="Comma 4 2 2 2 2 2 5 3" xfId="51183" xr:uid="{12A435A3-077E-46F8-BC9B-04FEE63EE9F8}"/>
    <cellStyle name="Comma 4 2 2 2 2 2 5 4" xfId="54199" xr:uid="{73C94A4F-B805-417E-884E-F5A3E589A673}"/>
    <cellStyle name="Comma 4 2 2 2 2 2 6" xfId="48156" xr:uid="{76C37BA5-1C4C-4C0D-8096-045E1FBA49FD}"/>
    <cellStyle name="Comma 4 2 2 2 2 2 7" xfId="50077" xr:uid="{6AB06342-8CD4-465C-AA00-ECBED47D9C32}"/>
    <cellStyle name="Comma 4 2 2 2 2 2 8" xfId="53093" xr:uid="{94A2438D-D4BE-421B-9174-A3C5498BB0D3}"/>
    <cellStyle name="Comma 4 2 2 2 2 3" xfId="14563" xr:uid="{51DF93D9-EECA-4E3D-B1D0-5D1DE1064208}"/>
    <cellStyle name="Comma 4 2 2 2 2 3 2" xfId="22110" xr:uid="{2259559B-0F63-4BE6-8FDB-A8F09CD5DD91}"/>
    <cellStyle name="Comma 4 2 2 2 2 3 3" xfId="32285" xr:uid="{9509ABF8-F925-4CB4-8C4A-E01A127921B3}"/>
    <cellStyle name="Comma 4 2 2 2 2 3 4" xfId="51448" xr:uid="{13577C1F-B59A-4484-AEA0-733F2003851A}"/>
    <cellStyle name="Comma 4 2 2 2 2 3 5" xfId="54464" xr:uid="{F6BF4BAA-42E0-4A90-AF6D-6F37F5D74F52}"/>
    <cellStyle name="Comma 4 2 2 2 2 4" xfId="15047" xr:uid="{C2D51C2C-850F-4341-994A-026B39800E46}"/>
    <cellStyle name="Comma 4 2 2 2 2 4 2" xfId="22587" xr:uid="{53F2BC39-146B-406A-8042-4451866765FC}"/>
    <cellStyle name="Comma 4 2 2 2 2 4 3" xfId="47401" xr:uid="{37F9D228-426C-4CEC-937F-2DEC4D7DB4CA}"/>
    <cellStyle name="Comma 4 2 2 2 2 4 4" xfId="51925" xr:uid="{2C408AB6-135A-4D20-95C1-FFC733754209}"/>
    <cellStyle name="Comma 4 2 2 2 2 4 5" xfId="54941" xr:uid="{09AEDBC5-A61F-48D0-BCED-C2D9BAB1F3D2}"/>
    <cellStyle name="Comma 4 2 2 2 2 5" xfId="15534" xr:uid="{0A838AA2-B9AD-4DFE-A25C-69A29B4CB85D}"/>
    <cellStyle name="Comma 4 2 2 2 2 5 2" xfId="23064" xr:uid="{90057737-DD68-4921-8D1E-223B5CAC2CD2}"/>
    <cellStyle name="Comma 4 2 2 2 2 5 3" xfId="46931" xr:uid="{6B0AB393-D411-4F9E-B5F9-4D6896FED87D}"/>
    <cellStyle name="Comma 4 2 2 2 2 5 4" xfId="52402" xr:uid="{1B263F25-FC81-4BA5-B2E5-7F7A43088668}"/>
    <cellStyle name="Comma 4 2 2 2 2 5 5" xfId="55418" xr:uid="{371F4EE9-499E-4C38-9598-58FE5750D66A}"/>
    <cellStyle name="Comma 4 2 2 2 2 6" xfId="12482" xr:uid="{79EFA828-3B9C-4955-8FA3-7827CF0D49F7}"/>
    <cellStyle name="Comma 4 2 2 2 2 6 2" xfId="48103" xr:uid="{D188DEC4-19B5-414E-9D23-1499DAB45CEF}"/>
    <cellStyle name="Comma 4 2 2 2 2 6 3" xfId="50971" xr:uid="{A5047B6B-5175-4428-B49F-C7607C7A7E3D}"/>
    <cellStyle name="Comma 4 2 2 2 2 6 4" xfId="53987" xr:uid="{422D7360-0287-4F96-805B-ABFA8F100EDF}"/>
    <cellStyle name="Comma 4 2 2 2 2 7" xfId="47273" xr:uid="{81293BB7-5F73-4FBA-8156-C0D50E93E3A4}"/>
    <cellStyle name="Comma 4 2 2 2 2 8" xfId="49865" xr:uid="{0AAAB8F3-8F08-4CEE-911A-1D00431C703F}"/>
    <cellStyle name="Comma 4 2 2 2 2 9" xfId="52881" xr:uid="{3CE76BEF-6ACE-4323-A868-576131670820}"/>
    <cellStyle name="Comma 4 2 2 2 3" xfId="10096" xr:uid="{9588EF84-79F6-45A0-BF7E-F9D1DD68CB2B}"/>
    <cellStyle name="Comma 4 2 2 2 3 2" xfId="10409" xr:uid="{523EB08C-133D-4DE8-961E-342B385F483D}"/>
    <cellStyle name="Comma 4 2 2 2 3 2 2" xfId="14828" xr:uid="{5162C214-1816-4161-B31A-F0E22E1AC71E}"/>
    <cellStyle name="Comma 4 2 2 2 3 2 2 2" xfId="22375" xr:uid="{0D87ACD5-C0F3-4DDA-ADF5-B38B53B31CCA}"/>
    <cellStyle name="Comma 4 2 2 2 3 2 2 3" xfId="47538" xr:uid="{8CC7ABF4-39CC-41EF-9927-300BC5C8F9D4}"/>
    <cellStyle name="Comma 4 2 2 2 3 2 2 4" xfId="51713" xr:uid="{4E393B9F-F6C5-4B47-83B1-B1D4F48176E3}"/>
    <cellStyle name="Comma 4 2 2 2 3 2 2 5" xfId="54729" xr:uid="{DE1C9277-11E9-4961-8FD3-E0B86D84348B}"/>
    <cellStyle name="Comma 4 2 2 2 3 2 3" xfId="15313" xr:uid="{B997A293-676B-4C71-AB39-1EFBBEF2DA40}"/>
    <cellStyle name="Comma 4 2 2 2 3 2 3 2" xfId="22852" xr:uid="{CEB81563-16BC-415E-A41C-D16A2E5BB283}"/>
    <cellStyle name="Comma 4 2 2 2 3 2 3 3" xfId="37450" xr:uid="{054EF586-AC9F-407A-82FC-434856723F42}"/>
    <cellStyle name="Comma 4 2 2 2 3 2 3 4" xfId="52190" xr:uid="{72606EF9-C5C5-4FF6-93C0-3F6521684E6B}"/>
    <cellStyle name="Comma 4 2 2 2 3 2 3 5" xfId="55206" xr:uid="{3431C7E3-78DE-4793-83BE-07FFE8FB19BF}"/>
    <cellStyle name="Comma 4 2 2 2 3 2 4" xfId="15800" xr:uid="{E0527B7C-7BA6-4253-89E7-4F351E68080D}"/>
    <cellStyle name="Comma 4 2 2 2 3 2 4 2" xfId="23329" xr:uid="{2EE68582-EB40-4B4F-84E1-235823FEE5F6}"/>
    <cellStyle name="Comma 4 2 2 2 3 2 4 3" xfId="47675" xr:uid="{6C926606-88BB-4E85-8E73-9CBB09457BA6}"/>
    <cellStyle name="Comma 4 2 2 2 3 2 4 4" xfId="52667" xr:uid="{0F9779E1-831B-4E8A-9831-8ACE288CF4E3}"/>
    <cellStyle name="Comma 4 2 2 2 3 2 4 5" xfId="55683" xr:uid="{CDFDD415-8D39-45A0-8E14-E78E987AB8DE}"/>
    <cellStyle name="Comma 4 2 2 2 3 2 5" xfId="12862" xr:uid="{BC6B0FFB-A4D6-43A7-B5D2-44F45EE9B886}"/>
    <cellStyle name="Comma 4 2 2 2 3 2 5 2" xfId="48033" xr:uid="{2E823FBE-3016-4FF5-AB6D-5E5D865FBB15}"/>
    <cellStyle name="Comma 4 2 2 2 3 2 5 3" xfId="51236" xr:uid="{82D27989-A8B2-4FDD-9194-C4842C2811BC}"/>
    <cellStyle name="Comma 4 2 2 2 3 2 5 4" xfId="54252" xr:uid="{F09BE016-3B2C-4958-A64F-F88DDD449AF4}"/>
    <cellStyle name="Comma 4 2 2 2 3 2 6" xfId="47881" xr:uid="{04BA8EB2-810B-4602-A3EF-396B5FBCC211}"/>
    <cellStyle name="Comma 4 2 2 2 3 2 7" xfId="50130" xr:uid="{FF18A10F-8FDA-4E79-82B1-CB88AF92C7CF}"/>
    <cellStyle name="Comma 4 2 2 2 3 2 8" xfId="53146" xr:uid="{2E1C2C7E-1637-4295-9062-10FC0C5F2A75}"/>
    <cellStyle name="Comma 4 2 2 2 3 3" xfId="14616" xr:uid="{475E0735-5909-46EF-9E1C-EF635871D100}"/>
    <cellStyle name="Comma 4 2 2 2 3 3 2" xfId="22163" xr:uid="{6A48A2EF-3ADE-40BE-A483-E3D34677E670}"/>
    <cellStyle name="Comma 4 2 2 2 3 3 3" xfId="46408" xr:uid="{06587E28-A060-43C1-975B-343EE1A404FD}"/>
    <cellStyle name="Comma 4 2 2 2 3 3 4" xfId="51501" xr:uid="{C038BF19-41C4-4C48-A8A3-885F686E469F}"/>
    <cellStyle name="Comma 4 2 2 2 3 3 5" xfId="54517" xr:uid="{A80C7558-7B9B-42DE-BEAD-CBE4A79FE942}"/>
    <cellStyle name="Comma 4 2 2 2 3 4" xfId="15101" xr:uid="{61026538-ABA7-41A8-B6D2-A479B02379FF}"/>
    <cellStyle name="Comma 4 2 2 2 3 4 2" xfId="22640" xr:uid="{26ECE728-D2BE-43A6-A0E5-FFF6E7BD50FA}"/>
    <cellStyle name="Comma 4 2 2 2 3 4 3" xfId="48299" xr:uid="{0A2A1CC4-2F29-46E4-948F-D17E2D7A0E1C}"/>
    <cellStyle name="Comma 4 2 2 2 3 4 4" xfId="51978" xr:uid="{0CFE6C4C-33AC-49A0-8B40-B76C695A76F7}"/>
    <cellStyle name="Comma 4 2 2 2 3 4 5" xfId="54994" xr:uid="{C9C5F22E-6634-4C51-A334-31284BDF8CD6}"/>
    <cellStyle name="Comma 4 2 2 2 3 5" xfId="15588" xr:uid="{4EC4614B-0670-47D4-89EA-49B479BE6F1A}"/>
    <cellStyle name="Comma 4 2 2 2 3 5 2" xfId="23117" xr:uid="{9909A567-9932-49E0-AC53-0B5F5E682793}"/>
    <cellStyle name="Comma 4 2 2 2 3 5 3" xfId="48097" xr:uid="{1C9B1276-A3F0-4EA0-A908-239E95BF3E3B}"/>
    <cellStyle name="Comma 4 2 2 2 3 5 4" xfId="52455" xr:uid="{92BF4ABD-4C8E-4F44-827D-11636C3188A5}"/>
    <cellStyle name="Comma 4 2 2 2 3 5 5" xfId="55471" xr:uid="{9E5DE173-C5E8-4813-8FD4-E93BADD4593D}"/>
    <cellStyle name="Comma 4 2 2 2 3 6" xfId="12553" xr:uid="{1A266978-A0F9-4889-8479-A67C93B49DA1}"/>
    <cellStyle name="Comma 4 2 2 2 3 6 2" xfId="33694" xr:uid="{A1820E59-946D-4B0E-A219-DE881AB615AA}"/>
    <cellStyle name="Comma 4 2 2 2 3 6 3" xfId="51024" xr:uid="{E924EEA0-8340-4420-94FF-EE6DA3379145}"/>
    <cellStyle name="Comma 4 2 2 2 3 6 4" xfId="54040" xr:uid="{DD78D59A-A766-479D-824E-1AD7ED65C242}"/>
    <cellStyle name="Comma 4 2 2 2 3 7" xfId="47576" xr:uid="{BC4A610C-136C-44B7-AB81-C020D4C0C0E9}"/>
    <cellStyle name="Comma 4 2 2 2 3 8" xfId="49918" xr:uid="{5E865982-A89D-49BC-9E26-F8F34495C5CF}"/>
    <cellStyle name="Comma 4 2 2 2 3 9" xfId="52934" xr:uid="{2ABFCE2A-C570-4562-BB00-D177B3D508B0}"/>
    <cellStyle name="Comma 4 2 2 2 4" xfId="10175" xr:uid="{2A953DD4-47A7-4B58-940D-DCDE702650E9}"/>
    <cellStyle name="Comma 4 2 2 2 4 2" xfId="10489" xr:uid="{C8919942-095D-455C-B27A-CA0F505A4CFA}"/>
    <cellStyle name="Comma 4 2 2 2 4 2 2" xfId="14881" xr:uid="{0647C2E8-BEFB-4586-B33D-E57FBCB757FA}"/>
    <cellStyle name="Comma 4 2 2 2 4 2 2 2" xfId="22428" xr:uid="{89922D48-666D-4DC3-AE95-903289B67BC5}"/>
    <cellStyle name="Comma 4 2 2 2 4 2 2 3" xfId="47152" xr:uid="{8814370B-8596-45B2-BB69-EA68A4C49BBC}"/>
    <cellStyle name="Comma 4 2 2 2 4 2 2 4" xfId="51766" xr:uid="{CBA25C7E-9D76-4E0F-A86E-B223A6042BC0}"/>
    <cellStyle name="Comma 4 2 2 2 4 2 2 5" xfId="54782" xr:uid="{BFFE8456-B7A3-4FEE-A047-31F0EA1F7EF1}"/>
    <cellStyle name="Comma 4 2 2 2 4 2 3" xfId="15366" xr:uid="{6A60E5D0-9696-485E-A798-1DC4DC436FB1}"/>
    <cellStyle name="Comma 4 2 2 2 4 2 3 2" xfId="22905" xr:uid="{5FA8411C-0962-43D3-9893-C6D217F7F552}"/>
    <cellStyle name="Comma 4 2 2 2 4 2 3 3" xfId="24653" xr:uid="{52A07B42-FAE0-4CEA-91D4-F7AE6C6FC1BA}"/>
    <cellStyle name="Comma 4 2 2 2 4 2 3 4" xfId="52243" xr:uid="{E80C314F-24B2-460B-8DE3-DCFC9429272E}"/>
    <cellStyle name="Comma 4 2 2 2 4 2 3 5" xfId="55259" xr:uid="{7FD79832-DE03-4531-849A-3A7FBE4FAB49}"/>
    <cellStyle name="Comma 4 2 2 2 4 2 4" xfId="15853" xr:uid="{7EF65420-1F05-4029-A6A8-D633D021EEBB}"/>
    <cellStyle name="Comma 4 2 2 2 4 2 4 2" xfId="23382" xr:uid="{3E476B1F-C650-41DE-877D-20752EBC6FD0}"/>
    <cellStyle name="Comma 4 2 2 2 4 2 4 3" xfId="48372" xr:uid="{0BFE78E7-13EC-41FC-ABEF-BF624BDE6071}"/>
    <cellStyle name="Comma 4 2 2 2 4 2 4 4" xfId="52720" xr:uid="{A0BB74B5-5EC0-4819-AB92-8C3E0410284A}"/>
    <cellStyle name="Comma 4 2 2 2 4 2 4 5" xfId="55736" xr:uid="{307F5829-F990-4101-97FD-582AC97BC300}"/>
    <cellStyle name="Comma 4 2 2 2 4 2 5" xfId="12942" xr:uid="{0FE74331-6080-4B80-B870-E5A6A07DF5A0}"/>
    <cellStyle name="Comma 4 2 2 2 4 2 5 2" xfId="25039" xr:uid="{1457B4E1-548C-49C9-801F-1172D8841622}"/>
    <cellStyle name="Comma 4 2 2 2 4 2 5 3" xfId="51289" xr:uid="{BF632A13-F6B6-4EA8-B7D1-C71598B201FF}"/>
    <cellStyle name="Comma 4 2 2 2 4 2 5 4" xfId="54305" xr:uid="{79B28F69-E645-44EC-B9CE-2A3E065B6B22}"/>
    <cellStyle name="Comma 4 2 2 2 4 2 6" xfId="48461" xr:uid="{F29C05E8-0E02-4821-9E94-523A448DBEF8}"/>
    <cellStyle name="Comma 4 2 2 2 4 2 7" xfId="50183" xr:uid="{1E510569-1454-4347-BCA5-26B6401BBC00}"/>
    <cellStyle name="Comma 4 2 2 2 4 2 8" xfId="53199" xr:uid="{A95FD999-A9A5-4E8A-850C-139C1E53D215}"/>
    <cellStyle name="Comma 4 2 2 2 4 3" xfId="14669" xr:uid="{8649FF89-167A-4CCF-8D7E-96A05F0C8326}"/>
    <cellStyle name="Comma 4 2 2 2 4 3 2" xfId="22216" xr:uid="{7743DB67-08BA-48CF-AF08-3DFFD8684119}"/>
    <cellStyle name="Comma 4 2 2 2 4 3 3" xfId="32531" xr:uid="{6505468A-0C6B-435D-B537-40A4C420EA75}"/>
    <cellStyle name="Comma 4 2 2 2 4 3 4" xfId="51554" xr:uid="{DB1CA5D2-C187-4D9B-857E-2DA6768AE18F}"/>
    <cellStyle name="Comma 4 2 2 2 4 3 5" xfId="54570" xr:uid="{F54141A5-DE7A-4147-BDCA-D5C8B339CE3A}"/>
    <cellStyle name="Comma 4 2 2 2 4 4" xfId="15154" xr:uid="{193D9A93-16EF-484B-A1CC-227B97B879ED}"/>
    <cellStyle name="Comma 4 2 2 2 4 4 2" xfId="22693" xr:uid="{9FA73BF9-D74D-4A75-813A-37C2FA9B040D}"/>
    <cellStyle name="Comma 4 2 2 2 4 4 3" xfId="46688" xr:uid="{54C34351-BD5D-4F43-935D-17491BC629AE}"/>
    <cellStyle name="Comma 4 2 2 2 4 4 4" xfId="52031" xr:uid="{9E398518-7A7C-401E-8065-6793580C0741}"/>
    <cellStyle name="Comma 4 2 2 2 4 4 5" xfId="55047" xr:uid="{72C2728B-C971-44E2-A52B-3713002AA00A}"/>
    <cellStyle name="Comma 4 2 2 2 4 5" xfId="15641" xr:uid="{19E78A9A-6CFE-4626-9653-3643483E172F}"/>
    <cellStyle name="Comma 4 2 2 2 4 5 2" xfId="23170" xr:uid="{BFEB5972-ECAF-4E1A-9600-63E43B1C9837}"/>
    <cellStyle name="Comma 4 2 2 2 4 5 3" xfId="47645" xr:uid="{99E5B4EB-F60C-47C2-B19D-6B2FA40BA7CC}"/>
    <cellStyle name="Comma 4 2 2 2 4 5 4" xfId="52508" xr:uid="{8DEA956D-ED1E-4660-901D-DE7732B58BB0}"/>
    <cellStyle name="Comma 4 2 2 2 4 5 5" xfId="55524" xr:uid="{43D64282-F851-4256-8003-132A8CA97D20}"/>
    <cellStyle name="Comma 4 2 2 2 4 6" xfId="12629" xr:uid="{7E669B50-FD66-47B8-9473-1DE2331FCF13}"/>
    <cellStyle name="Comma 4 2 2 2 4 6 2" xfId="25067" xr:uid="{557F86B9-9CD6-4809-BE96-68AF82A2248D}"/>
    <cellStyle name="Comma 4 2 2 2 4 6 3" xfId="51077" xr:uid="{210D2564-958C-4D69-ADA9-CBD4F8863536}"/>
    <cellStyle name="Comma 4 2 2 2 4 6 4" xfId="54093" xr:uid="{B3D9D95D-D650-4811-AF04-EBCE7308EA6A}"/>
    <cellStyle name="Comma 4 2 2 2 4 7" xfId="48567" xr:uid="{81AA3731-3758-44FE-BA09-26D5C2130CDD}"/>
    <cellStyle name="Comma 4 2 2 2 4 8" xfId="49971" xr:uid="{5A0098C4-BEF2-4903-9A8D-1F0F58320F2E}"/>
    <cellStyle name="Comma 4 2 2 2 4 9" xfId="52987" xr:uid="{443FC37C-B98A-40BC-B57C-B5128A6625C0}"/>
    <cellStyle name="Comma 4 2 2 2 5" xfId="10255" xr:uid="{A3D9511C-E17C-4993-97C0-B90C1CD436C9}"/>
    <cellStyle name="Comma 4 2 2 2 5 2" xfId="14722" xr:uid="{00C254AB-333A-44BF-819D-DB32F7A6B6EA}"/>
    <cellStyle name="Comma 4 2 2 2 5 2 2" xfId="22269" xr:uid="{BA7E8DC4-4B53-4579-B50E-53EB5294AA01}"/>
    <cellStyle name="Comma 4 2 2 2 5 2 3" xfId="24958" xr:uid="{3EC2BA95-E3B7-4281-AD93-C72622488B81}"/>
    <cellStyle name="Comma 4 2 2 2 5 2 4" xfId="51607" xr:uid="{9BF761E4-BFED-4735-AE12-697807714152}"/>
    <cellStyle name="Comma 4 2 2 2 5 2 5" xfId="54623" xr:uid="{496484F1-FDD0-475C-AD1E-0C26B3C67469}"/>
    <cellStyle name="Comma 4 2 2 2 5 3" xfId="15207" xr:uid="{A4282865-F7F3-460E-BFF5-BBC837D8D652}"/>
    <cellStyle name="Comma 4 2 2 2 5 3 2" xfId="22746" xr:uid="{FA626783-CBF8-4DA5-8080-17424E1AC0CD}"/>
    <cellStyle name="Comma 4 2 2 2 5 3 3" xfId="25290" xr:uid="{3BF8CD1F-107D-48FC-9091-A8D636168817}"/>
    <cellStyle name="Comma 4 2 2 2 5 3 4" xfId="52084" xr:uid="{35544964-5359-4984-A745-F01DD129D8C3}"/>
    <cellStyle name="Comma 4 2 2 2 5 3 5" xfId="55100" xr:uid="{08A4870F-0E6E-4944-B47C-12999A6B4006}"/>
    <cellStyle name="Comma 4 2 2 2 5 4" xfId="15694" xr:uid="{BB06D06A-60E5-4641-A39F-52D8A3F30003}"/>
    <cellStyle name="Comma 4 2 2 2 5 4 2" xfId="23223" xr:uid="{C0245534-87AF-45C9-B598-78A4AF625583}"/>
    <cellStyle name="Comma 4 2 2 2 5 4 3" xfId="47046" xr:uid="{45AA604D-7232-4D5D-9BEF-471BFA33BD9B}"/>
    <cellStyle name="Comma 4 2 2 2 5 4 4" xfId="52561" xr:uid="{B37FE9B3-DCEB-4497-BCCC-6B75B8FF9418}"/>
    <cellStyle name="Comma 4 2 2 2 5 4 5" xfId="55577" xr:uid="{60508820-CF01-4BA1-8168-0EF7C0A0E2C2}"/>
    <cellStyle name="Comma 4 2 2 2 5 5" xfId="12708" xr:uid="{F5DFF033-1404-40A9-8468-CC1DED0F6438}"/>
    <cellStyle name="Comma 4 2 2 2 5 5 2" xfId="46784" xr:uid="{12BC527E-F2FB-4055-BCC6-8893D751542A}"/>
    <cellStyle name="Comma 4 2 2 2 5 5 3" xfId="51130" xr:uid="{24FD95A0-D4D7-410E-B3D7-A5DFDF17F973}"/>
    <cellStyle name="Comma 4 2 2 2 5 5 4" xfId="54146" xr:uid="{C0038CED-AA11-41B8-8DE0-B02F2D6FF59C}"/>
    <cellStyle name="Comma 4 2 2 2 5 6" xfId="48571" xr:uid="{4DE57BA0-F87B-4807-B96E-C46A8397628F}"/>
    <cellStyle name="Comma 4 2 2 2 5 7" xfId="50024" xr:uid="{05E717FB-461D-48A2-B0CA-9F99F39B0929}"/>
    <cellStyle name="Comma 4 2 2 2 5 8" xfId="53040" xr:uid="{5A26B573-7B10-421B-85C3-8355F49A56A8}"/>
    <cellStyle name="Comma 4 2 2 2 6" xfId="10569" xr:uid="{C610AC1C-285B-4EA2-8008-EE7176DF5382}"/>
    <cellStyle name="Comma 4 2 2 2 6 2" xfId="14934" xr:uid="{DB8B258E-FB00-423E-97B7-CBEC8042651A}"/>
    <cellStyle name="Comma 4 2 2 2 6 2 2" xfId="22481" xr:uid="{3A4EAA77-3AAC-491B-B5C0-48B6566E1AA5}"/>
    <cellStyle name="Comma 4 2 2 2 6 2 3" xfId="47808" xr:uid="{17540EAB-1DF4-48B6-97DC-88F305D6BB43}"/>
    <cellStyle name="Comma 4 2 2 2 6 2 4" xfId="51819" xr:uid="{7B088D38-44E8-4C8F-8C95-B7A4E90AC518}"/>
    <cellStyle name="Comma 4 2 2 2 6 2 5" xfId="54835" xr:uid="{32771F30-D65B-4A97-90C1-370577254C23}"/>
    <cellStyle name="Comma 4 2 2 2 6 3" xfId="15419" xr:uid="{909C810D-EAFC-4AA9-B7D0-B8B940A56E11}"/>
    <cellStyle name="Comma 4 2 2 2 6 3 2" xfId="22958" xr:uid="{7CD68EE6-70E6-4193-A7A8-F4DEFBEFFE2B}"/>
    <cellStyle name="Comma 4 2 2 2 6 3 3" xfId="25289" xr:uid="{E6C363F4-9EA3-4D70-AA77-EFAB061945EC}"/>
    <cellStyle name="Comma 4 2 2 2 6 3 4" xfId="52296" xr:uid="{7F6766F9-938E-4485-BA49-71565AB5ABF0}"/>
    <cellStyle name="Comma 4 2 2 2 6 3 5" xfId="55312" xr:uid="{E8168C2F-A386-4EA4-B80A-BF818F2CD3D0}"/>
    <cellStyle name="Comma 4 2 2 2 6 4" xfId="15907" xr:uid="{24A11498-7F5F-4450-A1BA-3437EB1E03FE}"/>
    <cellStyle name="Comma 4 2 2 2 6 4 2" xfId="23435" xr:uid="{59763D23-F6C4-433A-83E6-EDDE7E57EA09}"/>
    <cellStyle name="Comma 4 2 2 2 6 4 3" xfId="48373" xr:uid="{65F54DFA-BE74-4F55-95BE-E9978E8AAA7F}"/>
    <cellStyle name="Comma 4 2 2 2 6 4 4" xfId="52773" xr:uid="{71C636FA-1ABB-4267-BF93-37E55286F2F3}"/>
    <cellStyle name="Comma 4 2 2 2 6 4 5" xfId="55789" xr:uid="{6A42DA53-0A0C-4D1C-8F63-5ED670EEEE3F}"/>
    <cellStyle name="Comma 4 2 2 2 6 5" xfId="13022" xr:uid="{4685F4F1-B851-420F-878E-AA83E9B15EE1}"/>
    <cellStyle name="Comma 4 2 2 2 6 5 2" xfId="46383" xr:uid="{B401D835-1D0B-4419-8B8A-4C2E5DFDE79C}"/>
    <cellStyle name="Comma 4 2 2 2 6 5 3" xfId="51342" xr:uid="{B3CE7835-B6C6-4F84-BD8D-A1D55D4DB980}"/>
    <cellStyle name="Comma 4 2 2 2 6 5 4" xfId="54358" xr:uid="{FBC49978-C680-4F97-B546-61F612D95613}"/>
    <cellStyle name="Comma 4 2 2 2 6 6" xfId="46631" xr:uid="{8C797DBF-6CF9-421C-8A02-74604FCB4542}"/>
    <cellStyle name="Comma 4 2 2 2 6 7" xfId="50236" xr:uid="{26E88B0A-5DFD-4556-8147-A0DF756B7C95}"/>
    <cellStyle name="Comma 4 2 2 2 6 8" xfId="53252" xr:uid="{3AF590EE-5EFD-4F73-BD13-EA46E094F220}"/>
    <cellStyle name="Comma 4 2 2 2 7" xfId="14510" xr:uid="{1169AD73-A99C-4211-89C3-12897CCFD73B}"/>
    <cellStyle name="Comma 4 2 2 2 7 2" xfId="22057" xr:uid="{657502F4-2B3B-4831-8036-B0F5FD8E2CD2}"/>
    <cellStyle name="Comma 4 2 2 2 7 3" xfId="46390" xr:uid="{25F60FA5-7521-4264-9E9F-5A9F0E236BFA}"/>
    <cellStyle name="Comma 4 2 2 2 7 4" xfId="51395" xr:uid="{5CE579B9-4645-4F80-9776-2439D20433C5}"/>
    <cellStyle name="Comma 4 2 2 2 7 5" xfId="54411" xr:uid="{42C89B99-F346-49B0-985B-A518153529C8}"/>
    <cellStyle name="Comma 4 2 2 2 8" xfId="14994" xr:uid="{E111C3BA-098C-4AD7-BAE7-9F21AB8A288F}"/>
    <cellStyle name="Comma 4 2 2 2 8 2" xfId="22534" xr:uid="{8DDFFEDA-BB43-4286-8816-72E0C1279A58}"/>
    <cellStyle name="Comma 4 2 2 2 8 3" xfId="48505" xr:uid="{D8F1D0C0-5886-458D-A60A-48111807BE5E}"/>
    <cellStyle name="Comma 4 2 2 2 8 4" xfId="51872" xr:uid="{809E9101-AF54-46E5-AC7E-FD4D68FF248E}"/>
    <cellStyle name="Comma 4 2 2 2 8 5" xfId="54888" xr:uid="{1FA63331-6D8B-470F-A241-397E1F1FC0D0}"/>
    <cellStyle name="Comma 4 2 2 2 9" xfId="15481" xr:uid="{536422BC-C581-4D24-979D-7CF80518783D}"/>
    <cellStyle name="Comma 4 2 2 2 9 2" xfId="23011" xr:uid="{05BEC4F4-DE02-4D7C-A309-DFE9BA9DAC18}"/>
    <cellStyle name="Comma 4 2 2 2 9 3" xfId="47002" xr:uid="{6D66FD8D-42EE-4D84-B3CB-5FD2E5F642CE}"/>
    <cellStyle name="Comma 4 2 2 2 9 4" xfId="52349" xr:uid="{7903B9F6-B5D5-4766-8C1B-05234CEABBDC}"/>
    <cellStyle name="Comma 4 2 2 2 9 5" xfId="55365" xr:uid="{FBCBF40B-C9E4-4849-9164-241C95DDB4FD}"/>
    <cellStyle name="Comma 4 2 2 3" xfId="9881" xr:uid="{776888D6-A15E-47B6-BBEF-57260F59E5DD}"/>
    <cellStyle name="Comma 4 2 2 3 2" xfId="10307" xr:uid="{52D99890-3B7D-4F2D-A58B-31B56A4E266F}"/>
    <cellStyle name="Comma 4 2 2 3 2 2" xfId="14758" xr:uid="{9AA7BAE4-5613-4F73-AA09-47097F3BA74A}"/>
    <cellStyle name="Comma 4 2 2 3 2 2 2" xfId="22305" xr:uid="{22CE889F-72FC-4A17-9A0E-B2F897A3CD49}"/>
    <cellStyle name="Comma 4 2 2 3 2 2 3" xfId="47929" xr:uid="{CDB73852-C6E6-465E-A974-FF1C6DD05009}"/>
    <cellStyle name="Comma 4 2 2 3 2 2 4" xfId="51643" xr:uid="{DFFA4A1B-D989-417C-8ABA-48C38B72CC41}"/>
    <cellStyle name="Comma 4 2 2 3 2 2 5" xfId="54659" xr:uid="{FB08C81A-4D75-4C68-96E1-9B688429AAC8}"/>
    <cellStyle name="Comma 4 2 2 3 2 3" xfId="15243" xr:uid="{04FC28B3-4873-435E-BCEB-16EC9D0D1AA9}"/>
    <cellStyle name="Comma 4 2 2 3 2 3 2" xfId="22782" xr:uid="{E003D8F9-6B8A-4479-B212-8BA54A0D8B54}"/>
    <cellStyle name="Comma 4 2 2 3 2 3 3" xfId="48218" xr:uid="{AAB372B7-823A-437C-BDC2-91E37261D950}"/>
    <cellStyle name="Comma 4 2 2 3 2 3 4" xfId="52120" xr:uid="{5C8B295A-41F9-4D5B-99CB-14D9528371E5}"/>
    <cellStyle name="Comma 4 2 2 3 2 3 5" xfId="55136" xr:uid="{4B99DD05-D6CB-4049-836D-B1D37EF026C0}"/>
    <cellStyle name="Comma 4 2 2 3 2 4" xfId="15730" xr:uid="{36E5CC05-3C1B-48AC-80B9-0B37379B7B38}"/>
    <cellStyle name="Comma 4 2 2 3 2 4 2" xfId="23259" xr:uid="{9898C1F6-1D4A-447C-B2FA-54075ADC5190}"/>
    <cellStyle name="Comma 4 2 2 3 2 4 3" xfId="48521" xr:uid="{76B1EEC7-D787-48C9-8641-39416A37A11D}"/>
    <cellStyle name="Comma 4 2 2 3 2 4 4" xfId="52597" xr:uid="{92A3CB1F-E990-4484-85EA-D2A933D1883C}"/>
    <cellStyle name="Comma 4 2 2 3 2 4 5" xfId="55613" xr:uid="{2758842D-A75B-4F38-814C-5D834AC49AFA}"/>
    <cellStyle name="Comma 4 2 2 3 2 5" xfId="12760" xr:uid="{4EF479D2-1421-4B0A-B7C0-ACC71D291288}"/>
    <cellStyle name="Comma 4 2 2 3 2 5 2" xfId="46349" xr:uid="{1B9C3C82-1EF5-4779-86AE-7A58FB790F68}"/>
    <cellStyle name="Comma 4 2 2 3 2 5 3" xfId="51166" xr:uid="{D0A1D49A-7C2A-4CB4-B932-D6EB01A30C62}"/>
    <cellStyle name="Comma 4 2 2 3 2 5 4" xfId="54182" xr:uid="{6CD5A4C5-6F0C-455D-8E47-FD75B15D9753}"/>
    <cellStyle name="Comma 4 2 2 3 2 6" xfId="46087" xr:uid="{351E9561-4DF5-4FE8-B8CB-ABA23063984E}"/>
    <cellStyle name="Comma 4 2 2 3 2 7" xfId="50060" xr:uid="{2C0F9231-5F95-4687-B187-2477AF5D22F2}"/>
    <cellStyle name="Comma 4 2 2 3 2 8" xfId="53076" xr:uid="{B8B31684-723C-4BC0-9D6B-6914F3094C48}"/>
    <cellStyle name="Comma 4 2 2 3 3" xfId="14546" xr:uid="{E6D6F166-FBF6-4777-8FCB-B1DE9C9DEDC5}"/>
    <cellStyle name="Comma 4 2 2 3 3 2" xfId="22093" xr:uid="{C37C8A91-6A84-4811-AC0C-485A2F4B89C8}"/>
    <cellStyle name="Comma 4 2 2 3 3 3" xfId="46395" xr:uid="{CE3F6536-0B5A-40B1-8F9B-889CD154C52A}"/>
    <cellStyle name="Comma 4 2 2 3 3 4" xfId="51431" xr:uid="{D10F2AE3-31FD-40B6-8FCA-5A3294FCA532}"/>
    <cellStyle name="Comma 4 2 2 3 3 5" xfId="54447" xr:uid="{71F2028F-BD56-46BD-AD5B-7FB788CFA818}"/>
    <cellStyle name="Comma 4 2 2 3 4" xfId="15030" xr:uid="{9347DA35-23B1-4CD4-87C1-5CC3F794800F}"/>
    <cellStyle name="Comma 4 2 2 3 4 2" xfId="22570" xr:uid="{AD528072-D567-43D5-B8A2-894BA6B9C56C}"/>
    <cellStyle name="Comma 4 2 2 3 4 3" xfId="46873" xr:uid="{9A479039-719E-4F64-9C97-6BDE1055EBBF}"/>
    <cellStyle name="Comma 4 2 2 3 4 4" xfId="51908" xr:uid="{C9FA320E-977A-4DEC-9D2D-397788286586}"/>
    <cellStyle name="Comma 4 2 2 3 4 5" xfId="54924" xr:uid="{4D63986D-B43D-43C4-A294-2E566C73D770}"/>
    <cellStyle name="Comma 4 2 2 3 5" xfId="15517" xr:uid="{7506F375-82AD-4CD0-B93A-8B9565369910}"/>
    <cellStyle name="Comma 4 2 2 3 5 2" xfId="23047" xr:uid="{623948F7-142C-4611-977F-05679270A853}"/>
    <cellStyle name="Comma 4 2 2 3 5 3" xfId="47642" xr:uid="{46CC2EDE-27F0-4CBF-B83C-1DFA32D769C6}"/>
    <cellStyle name="Comma 4 2 2 3 5 4" xfId="52385" xr:uid="{FF5EE1FB-5190-426E-88C5-7D8F8ADA0738}"/>
    <cellStyle name="Comma 4 2 2 3 5 5" xfId="55401" xr:uid="{5D602908-8CFA-4EDC-97E1-5DDC011592AE}"/>
    <cellStyle name="Comma 4 2 2 3 6" xfId="12459" xr:uid="{AEEE59D1-8E9B-491B-91DF-EE04AEDBAB8D}"/>
    <cellStyle name="Comma 4 2 2 3 6 2" xfId="47266" xr:uid="{F854AC64-DF24-4DD6-AFB9-28C5264DF5ED}"/>
    <cellStyle name="Comma 4 2 2 3 6 3" xfId="50954" xr:uid="{015D238A-1E7A-4F93-A856-910617578D6D}"/>
    <cellStyle name="Comma 4 2 2 3 6 4" xfId="53970" xr:uid="{DC0FFB87-807D-46E0-87FF-C9A1B1056E0D}"/>
    <cellStyle name="Comma 4 2 2 3 7" xfId="46018" xr:uid="{DC0FE377-0F53-42F7-90CD-CCDBDECF4C00}"/>
    <cellStyle name="Comma 4 2 2 3 8" xfId="49848" xr:uid="{3A26AF69-7C27-4F43-AC84-6F9E3817EDC6}"/>
    <cellStyle name="Comma 4 2 2 3 9" xfId="52864" xr:uid="{DAE30816-6CD6-4207-91F1-D1DEC52A2A81}"/>
    <cellStyle name="Comma 4 2 2 4" xfId="10074" xr:uid="{922C55AB-F850-402D-8822-61CB44E21F2F}"/>
    <cellStyle name="Comma 4 2 2 4 2" xfId="10386" xr:uid="{F41BDCDC-CB0E-4DCC-9B32-2155728E58CD}"/>
    <cellStyle name="Comma 4 2 2 4 2 2" xfId="14811" xr:uid="{C722941B-B6D5-400F-9979-F43DDD7C30A6}"/>
    <cellStyle name="Comma 4 2 2 4 2 2 2" xfId="22358" xr:uid="{957D489F-14CF-4D44-9BCC-85F49534A3E7}"/>
    <cellStyle name="Comma 4 2 2 4 2 2 3" xfId="48352" xr:uid="{03FC2483-248B-4AE0-AF3B-5D458E204976}"/>
    <cellStyle name="Comma 4 2 2 4 2 2 4" xfId="51696" xr:uid="{F98C0D57-65C1-4605-8842-BA4EDE7C016F}"/>
    <cellStyle name="Comma 4 2 2 4 2 2 5" xfId="54712" xr:uid="{AEC59E1A-E1D8-4138-9E7A-56ED521F1DE0}"/>
    <cellStyle name="Comma 4 2 2 4 2 3" xfId="15296" xr:uid="{B2E63FAE-92F9-4DB8-8B46-AB94E54B01EC}"/>
    <cellStyle name="Comma 4 2 2 4 2 3 2" xfId="22835" xr:uid="{40C650DE-450A-4F46-8035-E5F7CEF2E00F}"/>
    <cellStyle name="Comma 4 2 2 4 2 3 3" xfId="47436" xr:uid="{5BE4486E-9945-4C2C-ABB0-12915A175380}"/>
    <cellStyle name="Comma 4 2 2 4 2 3 4" xfId="52173" xr:uid="{CB48C37A-2BFC-4134-9F82-2D51B7F28E57}"/>
    <cellStyle name="Comma 4 2 2 4 2 3 5" xfId="55189" xr:uid="{B9DD6443-71AB-4A39-8AD2-F1DEDEEF8BD2}"/>
    <cellStyle name="Comma 4 2 2 4 2 4" xfId="15783" xr:uid="{D9091783-6120-47E7-921E-F71B60714175}"/>
    <cellStyle name="Comma 4 2 2 4 2 4 2" xfId="23312" xr:uid="{FE68BD4E-D8B6-4744-BB05-B4A909611220}"/>
    <cellStyle name="Comma 4 2 2 4 2 4 3" xfId="46964" xr:uid="{8BDF228F-9D90-4051-988E-7D40F719DFFF}"/>
    <cellStyle name="Comma 4 2 2 4 2 4 4" xfId="52650" xr:uid="{44B93255-D8F3-4F65-9DE6-61015FB3F0CA}"/>
    <cellStyle name="Comma 4 2 2 4 2 4 5" xfId="55666" xr:uid="{F7124A73-5ACB-4282-8FA9-DE6774A0251D}"/>
    <cellStyle name="Comma 4 2 2 4 2 5" xfId="12839" xr:uid="{319615BF-60DB-4558-A192-E33114EEE3FD}"/>
    <cellStyle name="Comma 4 2 2 4 2 5 2" xfId="48054" xr:uid="{B3CD8747-CBEC-4277-A408-F84B2BA7D2A8}"/>
    <cellStyle name="Comma 4 2 2 4 2 5 3" xfId="51219" xr:uid="{42EEB986-8416-474F-97E0-D04A94F7F354}"/>
    <cellStyle name="Comma 4 2 2 4 2 5 4" xfId="54235" xr:uid="{E0818217-AFDD-42E7-B299-33E86BC6C145}"/>
    <cellStyle name="Comma 4 2 2 4 2 6" xfId="46625" xr:uid="{4F8BBA10-3391-4AF2-80FC-6889AB5D7583}"/>
    <cellStyle name="Comma 4 2 2 4 2 7" xfId="50113" xr:uid="{4EBAE781-1C9C-4A53-ACD2-A06556874455}"/>
    <cellStyle name="Comma 4 2 2 4 2 8" xfId="53129" xr:uid="{49AA4C74-506F-4BB7-87C2-BC40771000D3}"/>
    <cellStyle name="Comma 4 2 2 4 3" xfId="14599" xr:uid="{7B41A150-93C2-4E87-8225-575D99228FCA}"/>
    <cellStyle name="Comma 4 2 2 4 3 2" xfId="22146" xr:uid="{5F89263B-34A9-4C1E-B5CB-0C9FDD12EA2C}"/>
    <cellStyle name="Comma 4 2 2 4 3 3" xfId="32548" xr:uid="{57F8AAE6-58BA-4633-B5AC-4311957B182C}"/>
    <cellStyle name="Comma 4 2 2 4 3 4" xfId="51484" xr:uid="{3F14BC6F-9B65-4D43-A501-6258CC277836}"/>
    <cellStyle name="Comma 4 2 2 4 3 5" xfId="54500" xr:uid="{174C66B7-BE10-4D82-9A29-D495F6BB2E3C}"/>
    <cellStyle name="Comma 4 2 2 4 4" xfId="15084" xr:uid="{371C8518-1B25-4B61-949D-A620F2D505FB}"/>
    <cellStyle name="Comma 4 2 2 4 4 2" xfId="22623" xr:uid="{444B2754-D541-40FB-84C0-6C7CD55AD7D7}"/>
    <cellStyle name="Comma 4 2 2 4 4 3" xfId="32507" xr:uid="{10C29628-E5D2-4362-B51B-981859488C0A}"/>
    <cellStyle name="Comma 4 2 2 4 4 4" xfId="51961" xr:uid="{F3634094-8A0B-450F-898D-EDCB43681985}"/>
    <cellStyle name="Comma 4 2 2 4 4 5" xfId="54977" xr:uid="{07FEDEE3-26C5-41FD-86FB-452A5F542B7A}"/>
    <cellStyle name="Comma 4 2 2 4 5" xfId="15571" xr:uid="{94F03EC8-1BB8-46AA-955B-2FD17F3F3FD8}"/>
    <cellStyle name="Comma 4 2 2 4 5 2" xfId="23100" xr:uid="{92BD4F51-B2F8-4C0A-BB36-E6F71809A20B}"/>
    <cellStyle name="Comma 4 2 2 4 5 3" xfId="47549" xr:uid="{6B7F8D39-CF2C-4E6C-9ABA-8B95761A4832}"/>
    <cellStyle name="Comma 4 2 2 4 5 4" xfId="52438" xr:uid="{0ADC6444-2B04-4402-94A2-928365D21D17}"/>
    <cellStyle name="Comma 4 2 2 4 5 5" xfId="55454" xr:uid="{8C35F0DA-4972-44B7-B426-90EB1C5B9F16}"/>
    <cellStyle name="Comma 4 2 2 4 6" xfId="12531" xr:uid="{78187511-8FA5-4AB0-B55B-FC4237613606}"/>
    <cellStyle name="Comma 4 2 2 4 6 2" xfId="47048" xr:uid="{6A28FE16-D5DD-46E1-9F29-E53F6166E249}"/>
    <cellStyle name="Comma 4 2 2 4 6 3" xfId="51007" xr:uid="{9A768A7D-9BDD-455A-AB8B-DA7942BA2E12}"/>
    <cellStyle name="Comma 4 2 2 4 6 4" xfId="54023" xr:uid="{5889DB2E-5A74-43C8-A7BF-593FF814677C}"/>
    <cellStyle name="Comma 4 2 2 4 7" xfId="24334" xr:uid="{5339A963-EDE7-47CD-AA39-75BFB9D23F2D}"/>
    <cellStyle name="Comma 4 2 2 4 8" xfId="49901" xr:uid="{6A3A7345-6D0A-4F9F-9290-0A066A4E7E36}"/>
    <cellStyle name="Comma 4 2 2 4 9" xfId="52917" xr:uid="{C9F0B022-46CE-4688-9258-5FAB75DAA94F}"/>
    <cellStyle name="Comma 4 2 2 5" xfId="10152" xr:uid="{59A98D67-F598-45D1-B6EE-28CB7C6FF8B7}"/>
    <cellStyle name="Comma 4 2 2 5 2" xfId="10466" xr:uid="{2BACD893-42DD-49A3-A422-DEA286DDAE23}"/>
    <cellStyle name="Comma 4 2 2 5 2 2" xfId="14864" xr:uid="{E67C85F0-213A-46C5-B54C-138E817827E2}"/>
    <cellStyle name="Comma 4 2 2 5 2 2 2" xfId="22411" xr:uid="{EAF8CFC9-9D26-47CE-BC66-B1B403B5A34E}"/>
    <cellStyle name="Comma 4 2 2 5 2 2 3" xfId="47631" xr:uid="{7294D90F-871E-4323-A6A5-8CEC9AB7400C}"/>
    <cellStyle name="Comma 4 2 2 5 2 2 4" xfId="51749" xr:uid="{CAC325F8-1C28-449A-AE31-AF399E09BEDB}"/>
    <cellStyle name="Comma 4 2 2 5 2 2 5" xfId="54765" xr:uid="{777D4974-C0E8-4FF9-9AD2-5DEF3E6BEDC1}"/>
    <cellStyle name="Comma 4 2 2 5 2 3" xfId="15349" xr:uid="{CAB293D8-BA9D-4684-B49C-65CC07BD8AD2}"/>
    <cellStyle name="Comma 4 2 2 5 2 3 2" xfId="22888" xr:uid="{E474D5EB-E32F-43EF-9FF1-652B3EFF3E8F}"/>
    <cellStyle name="Comma 4 2 2 5 2 3 3" xfId="46518" xr:uid="{5E6A7DE5-5D44-45EE-9F39-1F160442C270}"/>
    <cellStyle name="Comma 4 2 2 5 2 3 4" xfId="52226" xr:uid="{D1841252-82BE-4F33-864C-BABF0F7B0CB2}"/>
    <cellStyle name="Comma 4 2 2 5 2 3 5" xfId="55242" xr:uid="{65543951-F242-4E9E-8AD4-EBAE4B1BFBBD}"/>
    <cellStyle name="Comma 4 2 2 5 2 4" xfId="15836" xr:uid="{8280341F-64C5-495F-A9B4-81150B3845AF}"/>
    <cellStyle name="Comma 4 2 2 5 2 4 2" xfId="23365" xr:uid="{A289CF77-71CE-4C0E-8CED-1EF4D170C431}"/>
    <cellStyle name="Comma 4 2 2 5 2 4 3" xfId="46595" xr:uid="{7D96342E-7E31-4A1C-852E-D64486F37B5C}"/>
    <cellStyle name="Comma 4 2 2 5 2 4 4" xfId="52703" xr:uid="{925BCB74-215A-4D53-BA7F-F07B1894C38F}"/>
    <cellStyle name="Comma 4 2 2 5 2 4 5" xfId="55719" xr:uid="{8DB50FDA-7CF8-43FB-B789-B9C7A2BA3496}"/>
    <cellStyle name="Comma 4 2 2 5 2 5" xfId="12919" xr:uid="{63072B40-0322-461A-93EA-FC557B556C75}"/>
    <cellStyle name="Comma 4 2 2 5 2 5 2" xfId="48498" xr:uid="{D94690B4-E921-4140-A55A-F9626F8D2521}"/>
    <cellStyle name="Comma 4 2 2 5 2 5 3" xfId="51272" xr:uid="{462C4DB6-2CDD-4596-AEFD-C202B993D7A7}"/>
    <cellStyle name="Comma 4 2 2 5 2 5 4" xfId="54288" xr:uid="{A1007B9F-A82B-47AA-9F18-D26DFBD9CE3A}"/>
    <cellStyle name="Comma 4 2 2 5 2 6" xfId="46628" xr:uid="{D76B22DF-8CB9-400C-BE7E-CF2AF52BBDE4}"/>
    <cellStyle name="Comma 4 2 2 5 2 7" xfId="50166" xr:uid="{58EA247B-BEF0-46E9-A366-7DD589D45193}"/>
    <cellStyle name="Comma 4 2 2 5 2 8" xfId="53182" xr:uid="{08936D6D-CA00-4137-9324-96BACD79758A}"/>
    <cellStyle name="Comma 4 2 2 5 3" xfId="14652" xr:uid="{4F2C7429-8287-40BE-B050-88B5ED9CCF40}"/>
    <cellStyle name="Comma 4 2 2 5 3 2" xfId="22199" xr:uid="{FF04BF71-7DE1-4856-860F-384F2782AC64}"/>
    <cellStyle name="Comma 4 2 2 5 3 3" xfId="47666" xr:uid="{E34D2E5F-AB30-4016-AE79-7796BF714EB9}"/>
    <cellStyle name="Comma 4 2 2 5 3 4" xfId="51537" xr:uid="{39DD471E-BEF0-427E-ABE0-D692766A9318}"/>
    <cellStyle name="Comma 4 2 2 5 3 5" xfId="54553" xr:uid="{C9771C2F-880A-48DA-9664-A26B27F203EB}"/>
    <cellStyle name="Comma 4 2 2 5 4" xfId="15137" xr:uid="{D5D498C7-4E75-4EA5-A35C-A96C1494AC38}"/>
    <cellStyle name="Comma 4 2 2 5 4 2" xfId="22676" xr:uid="{C070348C-F3E7-4C13-888D-14C9FAB1C67B}"/>
    <cellStyle name="Comma 4 2 2 5 4 3" xfId="24660" xr:uid="{BB7C5B0E-3242-4FD9-88A9-2CC8D1159A5C}"/>
    <cellStyle name="Comma 4 2 2 5 4 4" xfId="52014" xr:uid="{E8259E8A-F6D1-4D44-96C6-BD5A6651D006}"/>
    <cellStyle name="Comma 4 2 2 5 4 5" xfId="55030" xr:uid="{80C078B3-3F59-4FA4-A44F-8198738A8506}"/>
    <cellStyle name="Comma 4 2 2 5 5" xfId="15624" xr:uid="{DB2E0659-EB21-4DEC-A611-E3B5BDBD70BB}"/>
    <cellStyle name="Comma 4 2 2 5 5 2" xfId="23153" xr:uid="{0120B655-D609-4590-BC13-00745CA802C3}"/>
    <cellStyle name="Comma 4 2 2 5 5 3" xfId="48303" xr:uid="{5750EA41-0EB8-4A46-A00F-5E4819A07E9D}"/>
    <cellStyle name="Comma 4 2 2 5 5 4" xfId="52491" xr:uid="{DC8674B9-5DFE-431C-8063-5D64DB3B7350}"/>
    <cellStyle name="Comma 4 2 2 5 5 5" xfId="55507" xr:uid="{4EA84522-AEF3-4A5E-86ED-DEBB8AB8FEE7}"/>
    <cellStyle name="Comma 4 2 2 5 6" xfId="12606" xr:uid="{3A0D5D00-D948-44CF-B6F1-7F667EEB3C8E}"/>
    <cellStyle name="Comma 4 2 2 5 6 2" xfId="46772" xr:uid="{8D669CDB-6382-46E4-950F-B41F1A4E9349}"/>
    <cellStyle name="Comma 4 2 2 5 6 3" xfId="51060" xr:uid="{9DF8DBCA-BCB6-425E-B0FF-DEA5607FCD66}"/>
    <cellStyle name="Comma 4 2 2 5 6 4" xfId="54076" xr:uid="{7093F8D3-8ED5-49FA-9298-D78874707FCF}"/>
    <cellStyle name="Comma 4 2 2 5 7" xfId="46055" xr:uid="{F0C7C83D-09E2-481B-8D62-B126E908C45D}"/>
    <cellStyle name="Comma 4 2 2 5 8" xfId="49954" xr:uid="{9B70F32D-0FD7-4C48-A1AF-1F1B8339DEB6}"/>
    <cellStyle name="Comma 4 2 2 5 9" xfId="52970" xr:uid="{3F86544F-DD8D-4FF4-BB29-7C4C46E20289}"/>
    <cellStyle name="Comma 4 2 2 6" xfId="10232" xr:uid="{3DF8D0C7-94EC-42BE-998D-C3632DFB4491}"/>
    <cellStyle name="Comma 4 2 2 6 2" xfId="14705" xr:uid="{4919CCC3-6431-484E-B332-10D8719FE63C}"/>
    <cellStyle name="Comma 4 2 2 6 2 2" xfId="22252" xr:uid="{35103446-5317-45DD-BEAA-881E2B911642}"/>
    <cellStyle name="Comma 4 2 2 6 2 3" xfId="48116" xr:uid="{9D1AC880-85E3-42A4-8DAA-D422B83ECB5B}"/>
    <cellStyle name="Comma 4 2 2 6 2 4" xfId="51590" xr:uid="{93AEBC25-B8FE-495E-92E8-DEC3F7F26547}"/>
    <cellStyle name="Comma 4 2 2 6 2 5" xfId="54606" xr:uid="{E6665E18-77AD-48D9-80A0-367270F9AFCA}"/>
    <cellStyle name="Comma 4 2 2 6 3" xfId="15190" xr:uid="{98D01B2E-3825-4E4E-9880-0D974F9C6E9D}"/>
    <cellStyle name="Comma 4 2 2 6 3 2" xfId="22729" xr:uid="{7D0608C6-FBF9-4CF7-9EC2-7A1D1ACF8369}"/>
    <cellStyle name="Comma 4 2 2 6 3 3" xfId="47028" xr:uid="{C3DB01D0-959C-4942-AC5A-CA1AAE3302B5}"/>
    <cellStyle name="Comma 4 2 2 6 3 4" xfId="52067" xr:uid="{5DF4C07C-5AB7-49A4-A959-E699FA986B54}"/>
    <cellStyle name="Comma 4 2 2 6 3 5" xfId="55083" xr:uid="{77598DBF-C31A-40C7-A834-9F60BA72E26A}"/>
    <cellStyle name="Comma 4 2 2 6 4" xfId="15677" xr:uid="{4B8F86BE-E914-4BB6-8B12-51A4B55BC942}"/>
    <cellStyle name="Comma 4 2 2 6 4 2" xfId="23206" xr:uid="{34966013-91D1-4EF1-A759-5D4697DFFFC0}"/>
    <cellStyle name="Comma 4 2 2 6 4 3" xfId="24435" xr:uid="{1B274339-8667-49DD-BF86-2EC492EB828B}"/>
    <cellStyle name="Comma 4 2 2 6 4 4" xfId="52544" xr:uid="{21D7F608-5675-4A59-8BC2-17ECAD7181E4}"/>
    <cellStyle name="Comma 4 2 2 6 4 5" xfId="55560" xr:uid="{1C11B435-C2C6-4DAE-84AF-717F9C0EF122}"/>
    <cellStyle name="Comma 4 2 2 6 5" xfId="12685" xr:uid="{2898BB5B-D982-4A7E-84D1-65539E9A623C}"/>
    <cellStyle name="Comma 4 2 2 6 5 2" xfId="46341" xr:uid="{1145B9E8-5E7C-4390-89B9-551ECC2F1E13}"/>
    <cellStyle name="Comma 4 2 2 6 5 3" xfId="51113" xr:uid="{127C31A3-205E-4932-8E5A-73CFA104C1B8}"/>
    <cellStyle name="Comma 4 2 2 6 5 4" xfId="54129" xr:uid="{43895B30-3205-4113-8954-438CA3E9FB3B}"/>
    <cellStyle name="Comma 4 2 2 6 6" xfId="46069" xr:uid="{B6DB8D2B-7D66-4FFB-A41F-2C9E553D3411}"/>
    <cellStyle name="Comma 4 2 2 6 7" xfId="50007" xr:uid="{9D5DE319-5DDB-4BBC-86D9-28D087618467}"/>
    <cellStyle name="Comma 4 2 2 6 8" xfId="53023" xr:uid="{4A800C79-F201-4FDB-B22B-3B1D5ACAEB8A}"/>
    <cellStyle name="Comma 4 2 2 7" xfId="10546" xr:uid="{4FC9B64F-B37C-4CEC-8F50-D57280BF0CA5}"/>
    <cellStyle name="Comma 4 2 2 7 2" xfId="14917" xr:uid="{E77D1869-55BE-4EDF-84F6-E7C4049F7912}"/>
    <cellStyle name="Comma 4 2 2 7 2 2" xfId="22464" xr:uid="{26B55723-FF2A-4113-A624-D2A80E6EB6D6}"/>
    <cellStyle name="Comma 4 2 2 7 2 3" xfId="48411" xr:uid="{BDBA62DC-C5ED-4055-85AD-1042D8E40618}"/>
    <cellStyle name="Comma 4 2 2 7 2 4" xfId="51802" xr:uid="{405DCD2C-504A-40D1-8192-44DD7E20D1AB}"/>
    <cellStyle name="Comma 4 2 2 7 2 5" xfId="54818" xr:uid="{FAB93402-41B6-4434-A5AC-9613A6CA6A1A}"/>
    <cellStyle name="Comma 4 2 2 7 3" xfId="15402" xr:uid="{AEE8053D-1B77-4687-B86D-F764A881D5D8}"/>
    <cellStyle name="Comma 4 2 2 7 3 2" xfId="22941" xr:uid="{3D054CFA-EF1A-4FAC-BF47-0D31459A6BC8}"/>
    <cellStyle name="Comma 4 2 2 7 3 3" xfId="48021" xr:uid="{817DEC6A-1471-4F24-8600-4F85DFC321F4}"/>
    <cellStyle name="Comma 4 2 2 7 3 4" xfId="52279" xr:uid="{C1AB2795-596F-494A-BC81-7A570C70ED87}"/>
    <cellStyle name="Comma 4 2 2 7 3 5" xfId="55295" xr:uid="{662A0DB2-A763-42CA-8BD6-D171FDB757A9}"/>
    <cellStyle name="Comma 4 2 2 7 4" xfId="15890" xr:uid="{404E2208-6CC3-4D63-86DF-37A8827DE873}"/>
    <cellStyle name="Comma 4 2 2 7 4 2" xfId="23418" xr:uid="{08EE1F6B-8540-4EBF-A028-11459E1C37A6}"/>
    <cellStyle name="Comma 4 2 2 7 4 3" xfId="48232" xr:uid="{51FC9BCB-86E0-4985-A998-6FDF5F9ED983}"/>
    <cellStyle name="Comma 4 2 2 7 4 4" xfId="52756" xr:uid="{9E35AD6E-1A2C-4877-B74E-01FFA14F53BB}"/>
    <cellStyle name="Comma 4 2 2 7 4 5" xfId="55772" xr:uid="{95D91002-D336-4396-9A73-5B25A04DC7DF}"/>
    <cellStyle name="Comma 4 2 2 7 5" xfId="12999" xr:uid="{75D2705C-D095-4AF4-9F0E-BD5A9CC7E014}"/>
    <cellStyle name="Comma 4 2 2 7 5 2" xfId="32333" xr:uid="{92BC2A47-4D9A-46E0-A456-29757FA94775}"/>
    <cellStyle name="Comma 4 2 2 7 5 3" xfId="51325" xr:uid="{77CF89E9-B728-4748-B9D5-0E0D2537B38A}"/>
    <cellStyle name="Comma 4 2 2 7 5 4" xfId="54341" xr:uid="{C9048CCA-FAF2-4720-9FF5-D9F10394D790}"/>
    <cellStyle name="Comma 4 2 2 7 6" xfId="48164" xr:uid="{9F41B963-6AE2-4F4E-B7EF-EA8232065158}"/>
    <cellStyle name="Comma 4 2 2 7 7" xfId="50219" xr:uid="{409D12BC-4B39-4D6A-9F72-BE5DF8ADED68}"/>
    <cellStyle name="Comma 4 2 2 7 8" xfId="53235" xr:uid="{74C8F35E-FCD8-4E9A-A915-F3FCDE91CE0A}"/>
    <cellStyle name="Comma 4 2 2 8" xfId="14493" xr:uid="{E11756AC-84C1-46C0-B066-2C978DE43726}"/>
    <cellStyle name="Comma 4 2 2 8 2" xfId="22040" xr:uid="{6BFC5E49-5E86-489D-9502-685A24EF9414}"/>
    <cellStyle name="Comma 4 2 2 8 3" xfId="46675" xr:uid="{2C664ADE-EDA8-4976-B822-F8692656E706}"/>
    <cellStyle name="Comma 4 2 2 8 4" xfId="51378" xr:uid="{750209FB-0BAF-40CD-9DAE-36C69347504F}"/>
    <cellStyle name="Comma 4 2 2 8 5" xfId="54394" xr:uid="{C8568C61-4406-495E-BC16-BC5BFAA160CF}"/>
    <cellStyle name="Comma 4 2 2 9" xfId="14976" xr:uid="{6E438A5B-6597-4C2B-B770-BFDE3AC61692}"/>
    <cellStyle name="Comma 4 2 2 9 2" xfId="22517" xr:uid="{BA20D014-681B-4309-A4C5-EE6621958146}"/>
    <cellStyle name="Comma 4 2 2 9 3" xfId="48215" xr:uid="{8F343102-1961-4306-B302-083C641965B8}"/>
    <cellStyle name="Comma 4 2 2 9 4" xfId="51855" xr:uid="{8D2FB434-FA05-41DA-AA1A-D8123F1A5653}"/>
    <cellStyle name="Comma 4 2 2 9 5" xfId="54871" xr:uid="{B0EC2389-F91C-4F03-8F42-296B94CEA1E4}"/>
    <cellStyle name="Comma 4 2 3" xfId="4543" xr:uid="{66EC1B8C-4ECE-4DDB-93BD-E6B2C77065F0}"/>
    <cellStyle name="Comma 4 2 3 2" xfId="11653" xr:uid="{8048BF50-B958-4028-9613-1CC83F95736B}"/>
    <cellStyle name="Comma 4 2 3 3" xfId="11699" xr:uid="{24CF73F8-EBA3-4752-B846-66DA3134DB72}"/>
    <cellStyle name="Comma 4 2 3 3 2" xfId="21720" xr:uid="{9326983C-AB40-4407-A62C-00E768A9B2C8}"/>
    <cellStyle name="Comma 4 2 3 3 3" xfId="46733" xr:uid="{F246A94C-25D5-4DC6-A6E8-96377852493C}"/>
    <cellStyle name="Comma 4 2 3 3 4" xfId="50746" xr:uid="{76CFEDD7-955E-400C-910E-F0D6E65E5B42}"/>
    <cellStyle name="Comma 4 2 3 3 5" xfId="53762" xr:uid="{6929B113-DA3D-4A1A-948D-C35C765D6DF8}"/>
    <cellStyle name="Comma 4 2 3 4" xfId="19489" xr:uid="{A434E83E-3877-4A8A-A66C-16D32E3CAABF}"/>
    <cellStyle name="Comma 4 2 3 5" xfId="23760" xr:uid="{5A9561CF-EEC6-4591-B02F-750C72F9E7A5}"/>
    <cellStyle name="Comma 4 2 3 6" xfId="48642" xr:uid="{D444B259-08BC-4376-9EC1-51D38064438B}"/>
    <cellStyle name="Comma 4 2 3 7" xfId="49550" xr:uid="{7579312D-60DE-43E8-A81F-AB34F978DC33}"/>
    <cellStyle name="Comma 4 2 3 8" xfId="15944" xr:uid="{571D7462-47DF-46E1-AEB7-94FF6F69041B}"/>
    <cellStyle name="Comma 4 2 3 9" xfId="7718" xr:uid="{35F6D429-B54C-4E4C-9CB0-7E94131BE86C}"/>
    <cellStyle name="Comma 4 2 4" xfId="5824" xr:uid="{DB7FDAC5-F994-4AC8-AF91-425B7FBDC5E7}"/>
    <cellStyle name="Comma 4 2 4 10" xfId="49551" xr:uid="{8AE24AF6-54D6-4858-B662-7AF45A18D360}"/>
    <cellStyle name="Comma 4 2 4 11" xfId="49842" xr:uid="{7895DC9C-ADBF-4560-9614-3101583F2107}"/>
    <cellStyle name="Comma 4 2 4 12" xfId="52858" xr:uid="{F798D1A8-39FA-4AFC-8D88-10921E59F734}"/>
    <cellStyle name="Comma 4 2 4 13" xfId="17002" xr:uid="{B922EFDD-79B5-4646-BCD4-90FCC7C641EE}"/>
    <cellStyle name="Comma 4 2 4 14" xfId="9597" xr:uid="{A0CB8F87-D319-4DA5-8113-FEF47F214A2F}"/>
    <cellStyle name="Comma 4 2 4 2" xfId="10291" xr:uid="{CB1DDEA0-7CA9-41FA-AC49-23266CF4A684}"/>
    <cellStyle name="Comma 4 2 4 2 2" xfId="14752" xr:uid="{41ED6AF9-8A70-46D3-9705-F7E1BC69C0D6}"/>
    <cellStyle name="Comma 4 2 4 2 2 2" xfId="22299" xr:uid="{26409402-4AD8-4607-8CE7-3C7192EC8D33}"/>
    <cellStyle name="Comma 4 2 4 2 2 3" xfId="47333" xr:uid="{09F5C7F6-BD82-4805-A8B7-4AA25D5709CA}"/>
    <cellStyle name="Comma 4 2 4 2 2 4" xfId="51637" xr:uid="{AD1F9AA2-C830-44C4-90B0-413E06E58539}"/>
    <cellStyle name="Comma 4 2 4 2 2 5" xfId="54653" xr:uid="{20224F56-6A2F-43AF-90FA-E785392DA26B}"/>
    <cellStyle name="Comma 4 2 4 2 3" xfId="15237" xr:uid="{BDDD1DA6-EBB5-4D69-8143-9B33375A97F0}"/>
    <cellStyle name="Comma 4 2 4 2 3 2" xfId="22776" xr:uid="{F36AB80E-30AD-4688-97C9-68ACCF137C15}"/>
    <cellStyle name="Comma 4 2 4 2 3 3" xfId="47636" xr:uid="{AFC64032-F62F-4CBC-AF7B-B964281CDCED}"/>
    <cellStyle name="Comma 4 2 4 2 3 4" xfId="52114" xr:uid="{769187B1-7B3B-4083-8BF4-C891E2818DF1}"/>
    <cellStyle name="Comma 4 2 4 2 3 5" xfId="55130" xr:uid="{4A46498F-6A59-4961-A350-0A8DE2756BC2}"/>
    <cellStyle name="Comma 4 2 4 2 4" xfId="15724" xr:uid="{E45A5BC8-F9B5-4EDF-A61E-903ED9E3EB6B}"/>
    <cellStyle name="Comma 4 2 4 2 4 2" xfId="23253" xr:uid="{946F0FE2-894E-4223-B4DB-FAFBC32E9CCA}"/>
    <cellStyle name="Comma 4 2 4 2 4 3" xfId="47947" xr:uid="{187E9C81-436E-494E-9591-A55DBFC6E522}"/>
    <cellStyle name="Comma 4 2 4 2 4 4" xfId="52591" xr:uid="{86DB5E4C-6F70-4672-B097-6248EE8DD7B2}"/>
    <cellStyle name="Comma 4 2 4 2 4 5" xfId="55607" xr:uid="{BDB497FE-20D2-48B2-BE34-D3CF7118FE38}"/>
    <cellStyle name="Comma 4 2 4 2 5" xfId="12744" xr:uid="{671EAE8E-CDA2-40DD-8ECF-0C7BB8A10FB3}"/>
    <cellStyle name="Comma 4 2 4 2 5 2" xfId="48318" xr:uid="{D946B3F6-C9CA-4062-B84C-6AAE49A11296}"/>
    <cellStyle name="Comma 4 2 4 2 5 3" xfId="51160" xr:uid="{7AC7B4F4-5A4B-4725-B6B4-A40295C5B697}"/>
    <cellStyle name="Comma 4 2 4 2 5 4" xfId="54176" xr:uid="{0DCD7589-6204-487A-9572-DBE3CA3A1474}"/>
    <cellStyle name="Comma 4 2 4 2 6" xfId="46085" xr:uid="{79B9430B-E0EC-4E50-A210-D12DAC845A2E}"/>
    <cellStyle name="Comma 4 2 4 2 7" xfId="50054" xr:uid="{3166C465-7C10-49C1-AB6B-C9F958FF436E}"/>
    <cellStyle name="Comma 4 2 4 2 8" xfId="53070" xr:uid="{DAA9B876-1239-451C-9915-4AE9E9ED4F58}"/>
    <cellStyle name="Comma 4 2 4 3" xfId="14540" xr:uid="{A2DCDA0F-C955-4128-821B-A1D002D4A505}"/>
    <cellStyle name="Comma 4 2 4 3 2" xfId="22087" xr:uid="{95D38271-4790-45C7-9FB8-F96A320F651D}"/>
    <cellStyle name="Comma 4 2 4 3 3" xfId="46394" xr:uid="{C6263E96-C3A0-4E42-8D4A-8857D6B5D839}"/>
    <cellStyle name="Comma 4 2 4 3 4" xfId="51425" xr:uid="{CD67E22C-83BA-453E-BB10-066CF033D38C}"/>
    <cellStyle name="Comma 4 2 4 3 5" xfId="54441" xr:uid="{B365389D-1B03-42A8-AA04-15E8CAE95BBC}"/>
    <cellStyle name="Comma 4 2 4 4" xfId="15024" xr:uid="{38FCCA86-3AF4-42EC-9117-48E63D96B8E7}"/>
    <cellStyle name="Comma 4 2 4 4 2" xfId="22564" xr:uid="{C41EDD24-7969-4439-A0DA-76D67BE71328}"/>
    <cellStyle name="Comma 4 2 4 4 3" xfId="32508" xr:uid="{DD274069-B2B6-480F-A292-DBACA855FCB6}"/>
    <cellStyle name="Comma 4 2 4 4 4" xfId="51902" xr:uid="{9C76C6F4-E4FB-41BE-94B0-B49E6667B2F6}"/>
    <cellStyle name="Comma 4 2 4 4 5" xfId="54918" xr:uid="{C3AA15C9-B857-4313-9AF4-3AC3705F18B6}"/>
    <cellStyle name="Comma 4 2 4 5" xfId="15511" xr:uid="{1742A520-BCC0-4876-AEF6-F32200698019}"/>
    <cellStyle name="Comma 4 2 4 5 2" xfId="23041" xr:uid="{1AE72778-598C-41E3-8510-4635F659FB30}"/>
    <cellStyle name="Comma 4 2 4 5 3" xfId="48516" xr:uid="{4A1ED392-E33D-4EA4-9860-776EB5391C30}"/>
    <cellStyle name="Comma 4 2 4 5 4" xfId="52379" xr:uid="{6EFE5E48-8978-49B9-9F5B-0BF49D4A9F44}"/>
    <cellStyle name="Comma 4 2 4 5 5" xfId="55395" xr:uid="{34C29895-FD2D-4715-A824-7E37B9BFFEB9}"/>
    <cellStyle name="Comma 4 2 4 6" xfId="11194" xr:uid="{D29060A9-07D9-4D58-9E07-308FB6F02C6B}"/>
    <cellStyle name="Comma 4 2 4 6 2" xfId="21690" xr:uid="{C00D45DA-308E-4CAA-AD0D-3B846E7FBE8A}"/>
    <cellStyle name="Comma 4 2 4 6 3" xfId="46278" xr:uid="{EFD76ED2-EB79-4D66-9220-39C6FF672E82}"/>
    <cellStyle name="Comma 4 2 4 6 4" xfId="50707" xr:uid="{5CABD87C-D8BB-4F16-B41E-0AE609A22397}"/>
    <cellStyle name="Comma 4 2 4 6 5" xfId="53723" xr:uid="{7648B5BC-7829-44E3-BFD7-6EA970BEC7D7}"/>
    <cellStyle name="Comma 4 2 4 7" xfId="23761" xr:uid="{1B59A968-4F2A-4514-B194-0DEDF3A64AC9}"/>
    <cellStyle name="Comma 4 2 4 8" xfId="46016" xr:uid="{22AE8AA8-62C5-432B-926D-38CF33EE28F4}"/>
    <cellStyle name="Comma 4 2 4 9" xfId="48643" xr:uid="{6E7BFAA3-A96C-4E90-9C36-1DAB709E0E27}"/>
    <cellStyle name="Comma 4 2 5" xfId="2625" xr:uid="{D11EF1B6-E3B4-4F75-B7EB-CACBFEC5BCAC}"/>
    <cellStyle name="Comma 4 2 5 10" xfId="49895" xr:uid="{77EC478D-B431-49EF-9B52-E9D21BCE9A8B}"/>
    <cellStyle name="Comma 4 2 5 11" xfId="52911" xr:uid="{92850EFC-203D-49E6-9D71-11221CFCA44F}"/>
    <cellStyle name="Comma 4 2 5 12" xfId="10057" xr:uid="{E723124A-7004-4266-8482-99F47D89FDFB}"/>
    <cellStyle name="Comma 4 2 5 2" xfId="10365" xr:uid="{98D0A3F8-C039-4663-A518-E0779CA86EA5}"/>
    <cellStyle name="Comma 4 2 5 2 2" xfId="14805" xr:uid="{CC234735-EB3D-4978-8257-602360B6E60C}"/>
    <cellStyle name="Comma 4 2 5 2 2 2" xfId="22352" xr:uid="{7936CE91-8DB4-47E5-AC2F-F7539590FA8D}"/>
    <cellStyle name="Comma 4 2 5 2 2 3" xfId="47774" xr:uid="{0B7B64CF-2BD4-44CB-9F5C-2431AA1EF9FB}"/>
    <cellStyle name="Comma 4 2 5 2 2 4" xfId="51690" xr:uid="{2917A878-523F-490E-860D-19308A936242}"/>
    <cellStyle name="Comma 4 2 5 2 2 5" xfId="54706" xr:uid="{98809E6A-BB72-44B2-B50E-0F6D1D670099}"/>
    <cellStyle name="Comma 4 2 5 2 3" xfId="15290" xr:uid="{45707318-EDAD-4F6D-9B27-19579DACACD5}"/>
    <cellStyle name="Comma 4 2 5 2 3 2" xfId="22829" xr:uid="{21841E82-43EB-4075-8B61-4F2D36A8D00A}"/>
    <cellStyle name="Comma 4 2 5 2 3 3" xfId="48302" xr:uid="{D498E376-B0D4-4C9F-BCAC-ABDA96F14FAB}"/>
    <cellStyle name="Comma 4 2 5 2 3 4" xfId="52167" xr:uid="{ACE118C7-51BF-4A5B-B6EB-3B52BECCE269}"/>
    <cellStyle name="Comma 4 2 5 2 3 5" xfId="55183" xr:uid="{532AF844-3CE7-4FFC-B974-5A7D6F661544}"/>
    <cellStyle name="Comma 4 2 5 2 4" xfId="15777" xr:uid="{E03531EF-4DBA-42A3-8143-D3548097B5CF}"/>
    <cellStyle name="Comma 4 2 5 2 4 2" xfId="23306" xr:uid="{EA8604BB-1B25-4E87-8808-8886D5A0E609}"/>
    <cellStyle name="Comma 4 2 5 2 4 3" xfId="46963" xr:uid="{73DD9C51-C699-4AE0-B5D6-5A08FDEB3BC9}"/>
    <cellStyle name="Comma 4 2 5 2 4 4" xfId="52644" xr:uid="{B286C88C-16A4-41EA-B01C-34B3A76E3D54}"/>
    <cellStyle name="Comma 4 2 5 2 4 5" xfId="55660" xr:uid="{1CF4539E-91D7-4090-A1F6-6260A1E75732}"/>
    <cellStyle name="Comma 4 2 5 2 5" xfId="12818" xr:uid="{51414851-894C-4692-A891-48492740E979}"/>
    <cellStyle name="Comma 4 2 5 2 5 2" xfId="46799" xr:uid="{4F60350D-3640-4B9E-90BC-2F75AD29C9F8}"/>
    <cellStyle name="Comma 4 2 5 2 5 3" xfId="51213" xr:uid="{6B4FBB9B-9D11-4CBC-8F5D-5DD4FEA8D3B4}"/>
    <cellStyle name="Comma 4 2 5 2 5 4" xfId="54229" xr:uid="{E4BEA675-3C3F-4416-9B37-43F75D40711F}"/>
    <cellStyle name="Comma 4 2 5 2 6" xfId="46100" xr:uid="{AB7845A7-F775-4FB3-A741-D5876380BD1C}"/>
    <cellStyle name="Comma 4 2 5 2 7" xfId="50107" xr:uid="{0CDBFEE8-8FE9-4B03-BD3D-C468D72D04BF}"/>
    <cellStyle name="Comma 4 2 5 2 8" xfId="53123" xr:uid="{CEAEB8F0-FF70-4C1E-B3DB-6BFCFFC57E87}"/>
    <cellStyle name="Comma 4 2 5 3" xfId="14593" xr:uid="{885C7440-FE83-48B2-9B85-14D89EB8994A}"/>
    <cellStyle name="Comma 4 2 5 3 2" xfId="22140" xr:uid="{7FD18BA8-06BF-4B3E-8B09-009D8DA2AFF0}"/>
    <cellStyle name="Comma 4 2 5 3 3" xfId="47533" xr:uid="{610093EA-F752-4569-A2D7-6E01F5FC77CE}"/>
    <cellStyle name="Comma 4 2 5 3 4" xfId="51478" xr:uid="{AB0CE928-E95E-4481-B737-4B3C22A01AF3}"/>
    <cellStyle name="Comma 4 2 5 3 5" xfId="54494" xr:uid="{881133B4-1661-48DE-8891-845D6F72EF0A}"/>
    <cellStyle name="Comma 4 2 5 4" xfId="15078" xr:uid="{7B6C5647-E610-49EE-9C42-54A447896D85}"/>
    <cellStyle name="Comma 4 2 5 4 2" xfId="22617" xr:uid="{BF9A62C2-899A-41D7-B90E-61B87DA17414}"/>
    <cellStyle name="Comma 4 2 5 4 3" xfId="46878" xr:uid="{B99F11B4-EFF4-4EFB-860A-17A7BAAF6603}"/>
    <cellStyle name="Comma 4 2 5 4 4" xfId="51955" xr:uid="{FA14D708-7956-40CE-923E-1AB1BC25CE2D}"/>
    <cellStyle name="Comma 4 2 5 4 5" xfId="54971" xr:uid="{66B21303-2EBB-43F4-AFEC-AC59A6FE0662}"/>
    <cellStyle name="Comma 4 2 5 5" xfId="15565" xr:uid="{704414F1-936E-4348-A211-13E05A811A56}"/>
    <cellStyle name="Comma 4 2 5 5 2" xfId="23094" xr:uid="{75EC63D4-9568-4C08-B3C8-D3A57279112C}"/>
    <cellStyle name="Comma 4 2 5 5 3" xfId="48420" xr:uid="{24575761-165A-405C-B2E5-23BD9D857FD6}"/>
    <cellStyle name="Comma 4 2 5 5 4" xfId="52432" xr:uid="{CB6EF3DE-3DB8-44F7-82C1-E78620DA738E}"/>
    <cellStyle name="Comma 4 2 5 5 5" xfId="55448" xr:uid="{A45D0746-F290-420C-A33E-E81F3623C786}"/>
    <cellStyle name="Comma 4 2 5 6" xfId="12516" xr:uid="{8D54E31A-60EF-4D8C-AEE5-4BF7C059F945}"/>
    <cellStyle name="Comma 4 2 5 6 2" xfId="48195" xr:uid="{2F429F1F-C2EF-4918-B701-37D3AAC328CD}"/>
    <cellStyle name="Comma 4 2 5 6 3" xfId="51001" xr:uid="{294A8A93-8923-42D5-A247-EA9330720079}"/>
    <cellStyle name="Comma 4 2 5 6 4" xfId="54017" xr:uid="{C4723913-F15F-4CF4-AE84-F5CB9DCE1AA3}"/>
    <cellStyle name="Comma 4 2 5 7" xfId="23762" xr:uid="{2CF555DC-F591-441E-93B4-3F49AA4D23B1}"/>
    <cellStyle name="Comma 4 2 5 8" xfId="48644" xr:uid="{32B8E2A7-0D17-4A1C-8E47-3EC294DB1033}"/>
    <cellStyle name="Comma 4 2 5 9" xfId="49552" xr:uid="{AE3A7372-D628-43D4-BF8E-BC2A5F086815}"/>
    <cellStyle name="Comma 4 2 6" xfId="10131" xr:uid="{05253BF7-B032-4C6A-9B94-AC51536BCD10}"/>
    <cellStyle name="Comma 4 2 6 10" xfId="52964" xr:uid="{480D07B9-6B22-48B8-839B-B4010BE40B31}"/>
    <cellStyle name="Comma 4 2 6 2" xfId="10445" xr:uid="{F457E600-7DA0-41D7-987B-4DAAAA74B812}"/>
    <cellStyle name="Comma 4 2 6 2 2" xfId="14858" xr:uid="{091E70A7-2592-48B0-94F1-FE38DC6BE1C1}"/>
    <cellStyle name="Comma 4 2 6 2 2 2" xfId="22405" xr:uid="{EBC6B9D8-3AF5-4CDE-BD3C-84FAB477C73F}"/>
    <cellStyle name="Comma 4 2 6 2 2 3" xfId="48507" xr:uid="{7BA7A750-F131-476D-896D-4325DDFCB662}"/>
    <cellStyle name="Comma 4 2 6 2 2 4" xfId="51743" xr:uid="{AE0601F5-E2A6-456F-AA3B-6010C228C495}"/>
    <cellStyle name="Comma 4 2 6 2 2 5" xfId="54759" xr:uid="{4D8BF9FD-538B-4B5D-BD40-63BC5B0A3F3F}"/>
    <cellStyle name="Comma 4 2 6 2 3" xfId="15343" xr:uid="{BE380F3C-BA67-472B-B808-CED4952C848F}"/>
    <cellStyle name="Comma 4 2 6 2 3 2" xfId="22882" xr:uid="{A91D6951-48FE-45C0-BE20-1B696C97CEE6}"/>
    <cellStyle name="Comma 4 2 6 2 3 3" xfId="46517" xr:uid="{D9FB22CF-1336-4DE7-9FD9-389131AF4FCB}"/>
    <cellStyle name="Comma 4 2 6 2 3 4" xfId="52220" xr:uid="{F02AC406-4AB4-4645-9106-5B2A74F7F3B0}"/>
    <cellStyle name="Comma 4 2 6 2 3 5" xfId="55236" xr:uid="{7C46660E-06A9-4762-A283-A5C8160E6B0A}"/>
    <cellStyle name="Comma 4 2 6 2 4" xfId="15830" xr:uid="{B2A1CCEB-4CAC-4800-B0F5-F3AC2A0AF9F4}"/>
    <cellStyle name="Comma 4 2 6 2 4 2" xfId="23359" xr:uid="{BAEDD323-21F1-4EC1-9D3A-F0B7AFA122A4}"/>
    <cellStyle name="Comma 4 2 6 2 4 3" xfId="47445" xr:uid="{1711DAB3-7D6C-47CC-B258-AD23199A031E}"/>
    <cellStyle name="Comma 4 2 6 2 4 4" xfId="52697" xr:uid="{5A3BC324-D258-423E-ACA2-BD5AD4217290}"/>
    <cellStyle name="Comma 4 2 6 2 4 5" xfId="55713" xr:uid="{E5A9179E-64CA-47BA-B222-951060500645}"/>
    <cellStyle name="Comma 4 2 6 2 5" xfId="12898" xr:uid="{7C136951-E484-4FA5-AF5E-F6EDB74327C0}"/>
    <cellStyle name="Comma 4 2 6 2 5 2" xfId="47823" xr:uid="{CDA0F8C9-E7FA-48DC-A9B0-AFBEA2CD5195}"/>
    <cellStyle name="Comma 4 2 6 2 5 3" xfId="51266" xr:uid="{A6DC448D-AC57-4701-A9C4-2E439092DF92}"/>
    <cellStyle name="Comma 4 2 6 2 5 4" xfId="54282" xr:uid="{3B754D9C-34E1-4F20-8505-AFD7F5AD9E49}"/>
    <cellStyle name="Comma 4 2 6 2 6" xfId="48459" xr:uid="{C2853FD8-9C75-4FDF-A820-7C3E3828F481}"/>
    <cellStyle name="Comma 4 2 6 2 7" xfId="50160" xr:uid="{888AD07B-B087-4B19-8620-C5C34A2BDBF2}"/>
    <cellStyle name="Comma 4 2 6 2 8" xfId="53176" xr:uid="{233FA00C-E846-450A-B420-E1FFA1604F00}"/>
    <cellStyle name="Comma 4 2 6 3" xfId="14646" xr:uid="{9AA89697-533C-4B13-9594-BBAEA11D4FA8}"/>
    <cellStyle name="Comma 4 2 6 3 2" xfId="22193" xr:uid="{9ADEF9AB-9864-4EF7-AF9E-7BECCDDBAFC2}"/>
    <cellStyle name="Comma 4 2 6 3 3" xfId="47625" xr:uid="{B6FC6552-F22F-44C6-B96C-7F60BAB45C8D}"/>
    <cellStyle name="Comma 4 2 6 3 4" xfId="51531" xr:uid="{AF0E0067-9780-4D79-8C08-DF9F865921AB}"/>
    <cellStyle name="Comma 4 2 6 3 5" xfId="54547" xr:uid="{1FB14E2A-26B1-4A51-82B7-EB7B705A6512}"/>
    <cellStyle name="Comma 4 2 6 4" xfId="15131" xr:uid="{A0086F86-D7BF-45A2-9557-AAAACC14E8E5}"/>
    <cellStyle name="Comma 4 2 6 4 2" xfId="22670" xr:uid="{6207F07D-0656-47FD-BD4E-B6E1D942E605}"/>
    <cellStyle name="Comma 4 2 6 4 3" xfId="48070" xr:uid="{25C748B9-F6D8-41FC-9A06-36372888C852}"/>
    <cellStyle name="Comma 4 2 6 4 4" xfId="52008" xr:uid="{5F921B62-7530-4E9E-96F1-CE0D90721BF7}"/>
    <cellStyle name="Comma 4 2 6 4 5" xfId="55024" xr:uid="{65504CC1-9C11-47C9-82C7-C0CB4677F845}"/>
    <cellStyle name="Comma 4 2 6 5" xfId="15618" xr:uid="{3FBD99B6-AE6B-4D78-8581-B4AF7CE64B44}"/>
    <cellStyle name="Comma 4 2 6 5 2" xfId="23147" xr:uid="{42B1353D-6CDC-4F72-829A-EB61CE63292C}"/>
    <cellStyle name="Comma 4 2 6 5 3" xfId="47722" xr:uid="{7968D110-B4AD-4B02-A621-65DF95B30BEB}"/>
    <cellStyle name="Comma 4 2 6 5 4" xfId="52485" xr:uid="{218B4C69-5958-4D1F-9C7F-C86793D427BE}"/>
    <cellStyle name="Comma 4 2 6 5 5" xfId="55501" xr:uid="{398573A1-929C-40FC-A206-427E4D7A160E}"/>
    <cellStyle name="Comma 4 2 6 6" xfId="12588" xr:uid="{5BA88549-FECD-43DE-9D01-CD211E20C1C9}"/>
    <cellStyle name="Comma 4 2 6 6 2" xfId="48320" xr:uid="{1A1E45AC-DBF3-44D2-AEE4-A725EBAACB35}"/>
    <cellStyle name="Comma 4 2 6 6 3" xfId="51054" xr:uid="{EA593C51-75BB-41DC-80C4-EBBDDDDA8064}"/>
    <cellStyle name="Comma 4 2 6 6 4" xfId="54070" xr:uid="{B9415A2E-6DEF-4C5F-8391-91D8A0F0F46A}"/>
    <cellStyle name="Comma 4 2 6 7" xfId="23763" xr:uid="{C1DFBDBE-64D4-4D9B-A8BE-A6135C94B40F}"/>
    <cellStyle name="Comma 4 2 6 8" xfId="48450" xr:uid="{1C83C4E6-4991-46F9-A740-632284894693}"/>
    <cellStyle name="Comma 4 2 6 9" xfId="49948" xr:uid="{CF87D87F-21CE-4511-9BAA-E86E8DF2E342}"/>
    <cellStyle name="Comma 4 2 7" xfId="10211" xr:uid="{6FEE7F81-A49D-49C6-9C93-A73F2D0DEF3C}"/>
    <cellStyle name="Comma 4 2 7 2" xfId="14699" xr:uid="{4533AF81-6C23-46F2-AA47-70C4A8F4B61C}"/>
    <cellStyle name="Comma 4 2 7 2 2" xfId="22246" xr:uid="{ACCCAAC9-0E94-458D-9C82-7B5241B72298}"/>
    <cellStyle name="Comma 4 2 7 2 3" xfId="47535" xr:uid="{D4FAE1AC-81DB-41A6-AED6-FEB5EBB6059B}"/>
    <cellStyle name="Comma 4 2 7 2 4" xfId="51584" xr:uid="{51AC84D2-9EA4-46C9-B7A7-8D88CFA9CAF3}"/>
    <cellStyle name="Comma 4 2 7 2 5" xfId="54600" xr:uid="{6100D65E-41BA-4B0F-AF7B-4CC085A387AD}"/>
    <cellStyle name="Comma 4 2 7 3" xfId="15184" xr:uid="{34183A10-7E9F-4774-94F2-1E371C670BBD}"/>
    <cellStyle name="Comma 4 2 7 3 2" xfId="22723" xr:uid="{024C74F6-F8B1-4C8D-A33C-15DD4CBB942D}"/>
    <cellStyle name="Comma 4 2 7 3 3" xfId="47045" xr:uid="{48D53E4C-5102-4967-AF05-DF1CEDDB1A2C}"/>
    <cellStyle name="Comma 4 2 7 3 4" xfId="52061" xr:uid="{E6F8B157-4B3F-4685-BE3F-7307EB911017}"/>
    <cellStyle name="Comma 4 2 7 3 5" xfId="55077" xr:uid="{17A31996-8C13-40B5-870D-AC805C82D4CC}"/>
    <cellStyle name="Comma 4 2 7 4" xfId="15671" xr:uid="{37C2C7BF-F72F-4A68-8D41-E98A22CEC083}"/>
    <cellStyle name="Comma 4 2 7 4 2" xfId="23200" xr:uid="{2436A133-6DE4-4D7B-B644-3DD4DCFDC411}"/>
    <cellStyle name="Comma 4 2 7 4 3" xfId="33351" xr:uid="{6EFE584A-6B3D-45CE-8A57-4347C26AEC41}"/>
    <cellStyle name="Comma 4 2 7 4 4" xfId="52538" xr:uid="{E00B6038-0F01-4088-8E1E-141D52C72B18}"/>
    <cellStyle name="Comma 4 2 7 4 5" xfId="55554" xr:uid="{4F36636F-3A05-46CB-BA77-A096F65C96F2}"/>
    <cellStyle name="Comma 4 2 7 5" xfId="12664" xr:uid="{EE00686B-5AA4-4839-B734-FCB14F8C589B}"/>
    <cellStyle name="Comma 4 2 7 5 2" xfId="46782" xr:uid="{9582DA65-A3C5-448E-BE43-3555CCBA8F60}"/>
    <cellStyle name="Comma 4 2 7 5 3" xfId="51107" xr:uid="{194B4C0C-9B2F-4C76-9C8B-13A08992BF98}"/>
    <cellStyle name="Comma 4 2 7 5 4" xfId="54123" xr:uid="{A4C0667F-1FC1-489D-B800-063BBDF4C8D1}"/>
    <cellStyle name="Comma 4 2 7 6" xfId="48451" xr:uid="{778DB4DE-4428-4BE7-9FA8-1BF8B239BDBC}"/>
    <cellStyle name="Comma 4 2 7 7" xfId="50001" xr:uid="{FD8A64AF-0234-44C9-86B5-7D4A8D0D8F77}"/>
    <cellStyle name="Comma 4 2 7 8" xfId="53017" xr:uid="{5F067F98-DE3B-4286-BADA-5A284D49FDD7}"/>
    <cellStyle name="Comma 4 2 8" xfId="10525" xr:uid="{B8D75ACE-74DB-45A3-A733-949F9E368390}"/>
    <cellStyle name="Comma 4 2 8 2" xfId="14911" xr:uid="{AC3FDFE0-8433-4DB1-95DD-5A51D9CDF15E}"/>
    <cellStyle name="Comma 4 2 8 2 2" xfId="22458" xr:uid="{94560D60-C266-4F96-AE19-AFA2FF4AAB23}"/>
    <cellStyle name="Comma 4 2 8 2 3" xfId="46683" xr:uid="{48E1AB5E-F17C-49F9-B3BA-DFCF37D1FA12}"/>
    <cellStyle name="Comma 4 2 8 2 4" xfId="51796" xr:uid="{A9A49FB2-4182-4B14-926B-D0A8DA940FE1}"/>
    <cellStyle name="Comma 4 2 8 2 5" xfId="54812" xr:uid="{13D419BE-F423-44A7-B55F-2D4927904783}"/>
    <cellStyle name="Comma 4 2 8 3" xfId="15396" xr:uid="{6EDCF36D-4911-443A-A663-31944190C44F}"/>
    <cellStyle name="Comma 4 2 8 3 2" xfId="22935" xr:uid="{07077310-32DA-4A4C-AE50-4170B9EC16D7}"/>
    <cellStyle name="Comma 4 2 8 3 3" xfId="47438" xr:uid="{FD7E08CD-EDBF-4B51-A444-8AF0DFDEF06D}"/>
    <cellStyle name="Comma 4 2 8 3 4" xfId="52273" xr:uid="{54F3CD16-72B0-4415-B57F-21B876FFDA98}"/>
    <cellStyle name="Comma 4 2 8 3 5" xfId="55289" xr:uid="{A2D279BA-54AB-4CE8-946B-06633F4332EE}"/>
    <cellStyle name="Comma 4 2 8 4" xfId="15883" xr:uid="{E9910856-B02A-4355-BE62-C53C1B5037BC}"/>
    <cellStyle name="Comma 4 2 8 4 2" xfId="23412" xr:uid="{A82A02DE-C627-432A-B9B2-590638B26707}"/>
    <cellStyle name="Comma 4 2 8 4 3" xfId="46982" xr:uid="{2212D0EC-2F1C-4655-BB46-279B243ADFD4}"/>
    <cellStyle name="Comma 4 2 8 4 4" xfId="52750" xr:uid="{BDC586D7-55DB-4C95-98E5-C3A4259C5E4B}"/>
    <cellStyle name="Comma 4 2 8 4 5" xfId="55766" xr:uid="{0697CCDC-1ED3-42EC-A3F2-6AB762D8ACF2}"/>
    <cellStyle name="Comma 4 2 8 5" xfId="12978" xr:uid="{8394FA50-1CF6-4C4F-B9BE-259171D82719}"/>
    <cellStyle name="Comma 4 2 8 5 2" xfId="48200" xr:uid="{477203A1-009E-4A3F-9287-7826A3311A21}"/>
    <cellStyle name="Comma 4 2 8 5 3" xfId="51319" xr:uid="{A9A5B306-CAD1-4E08-8664-28249AE9B989}"/>
    <cellStyle name="Comma 4 2 8 5 4" xfId="54335" xr:uid="{852F321A-9DE4-43BB-84A7-FA29FCCA2C2A}"/>
    <cellStyle name="Comma 4 2 8 6" xfId="46144" xr:uid="{2E4F20DF-E2F4-4FA1-8E65-287186E5134E}"/>
    <cellStyle name="Comma 4 2 8 7" xfId="50213" xr:uid="{9DC2DFD3-CC02-4650-A5C8-E7E4970C4CF8}"/>
    <cellStyle name="Comma 4 2 8 8" xfId="53229" xr:uid="{0FDE3D2D-7C67-427E-9DDE-B4E208C1ACBE}"/>
    <cellStyle name="Comma 4 2 9" xfId="14487" xr:uid="{1255646F-146A-436B-9D74-02435F3CDA77}"/>
    <cellStyle name="Comma 4 2 9 2" xfId="22034" xr:uid="{ACD55665-43AE-4249-8FFA-7B38102A0507}"/>
    <cellStyle name="Comma 4 2 9 3" xfId="47234" xr:uid="{EB4298A7-81E4-4CF8-9FF9-F4511251D2EF}"/>
    <cellStyle name="Comma 4 2 9 4" xfId="51372" xr:uid="{411E5529-DEB8-4896-821C-11513E3BB25B}"/>
    <cellStyle name="Comma 4 2 9 5" xfId="54388" xr:uid="{E380E380-8322-496B-8862-8259C30B07C9}"/>
    <cellStyle name="Comma 4 3" xfId="2627" xr:uid="{A4A07A48-1355-4B9B-B954-D1F94C9D8007}"/>
    <cellStyle name="Comma 4 3 10" xfId="15945" xr:uid="{EFA0AB3B-9971-42F5-B3C9-B88971B1812D}"/>
    <cellStyle name="Comma 4 3 11" xfId="8426" xr:uid="{467F8B55-300C-4CFD-A30A-9E1341CA2D4A}"/>
    <cellStyle name="Comma 4 3 2" xfId="4544" xr:uid="{71FA2AD0-CF4E-4AA4-81F8-B766697CAF59}"/>
    <cellStyle name="Comma 4 3 2 10" xfId="14995" xr:uid="{76B57A83-8FAC-46F5-9A37-99C26B0A5785}"/>
    <cellStyle name="Comma 4 3 2 10 2" xfId="22535" xr:uid="{85C97FAB-A68F-49A4-BA68-6AAAA8C8F3C2}"/>
    <cellStyle name="Comma 4 3 2 10 3" xfId="46463" xr:uid="{BD631D9C-6B1B-4505-BEC6-2EC652678C45}"/>
    <cellStyle name="Comma 4 3 2 10 4" xfId="51873" xr:uid="{326F1ADB-3370-4FED-AD86-167DDF99F9D7}"/>
    <cellStyle name="Comma 4 3 2 10 5" xfId="54889" xr:uid="{E530F812-D536-4067-8B35-BF105EE90E8B}"/>
    <cellStyle name="Comma 4 3 2 10 6" xfId="19187" xr:uid="{A394DF2F-D798-4E55-8C9C-4DA206CD3871}"/>
    <cellStyle name="Comma 4 3 2 11" xfId="15482" xr:uid="{687FA590-3C4B-4493-926D-B9F541EECE60}"/>
    <cellStyle name="Comma 4 3 2 11 2" xfId="23012" xr:uid="{26F5BF03-3795-44BC-A419-3E1231EDDA42}"/>
    <cellStyle name="Comma 4 3 2 11 3" xfId="47514" xr:uid="{72F137E2-46D0-483F-ACB8-12C96C2AD025}"/>
    <cellStyle name="Comma 4 3 2 11 4" xfId="52350" xr:uid="{B3828DBD-975E-4188-99D6-57F5110F03CB}"/>
    <cellStyle name="Comma 4 3 2 11 5" xfId="55366" xr:uid="{FA4DBDA6-49DA-4A93-9420-202ED42D52F7}"/>
    <cellStyle name="Comma 4 3 2 11 6" xfId="19332" xr:uid="{99396C1A-70B6-4BA7-853C-74AF5CF78BBA}"/>
    <cellStyle name="Comma 4 3 2 12" xfId="11586" xr:uid="{3DCA4E3C-EAD0-4854-A6D0-37A6191CFF0D}"/>
    <cellStyle name="Comma 4 3 2 12 2" xfId="21710" xr:uid="{61000D1D-568E-4A13-A918-530BD2BCD00E}"/>
    <cellStyle name="Comma 4 3 2 12 3" xfId="47803" xr:uid="{ED565C73-99BC-4C3B-83EA-7757897C8C14}"/>
    <cellStyle name="Comma 4 3 2 12 4" xfId="50733" xr:uid="{776C22B3-2781-40CD-BCBC-58F72C78F858}"/>
    <cellStyle name="Comma 4 3 2 12 5" xfId="53749" xr:uid="{50C845B3-3A26-4A42-8B8B-0BC8E2B15A09}"/>
    <cellStyle name="Comma 4 3 2 12 6" xfId="18161" xr:uid="{0C2604C6-2ADF-4D5D-9B8B-D9D15703C918}"/>
    <cellStyle name="Comma 4 3 2 13" xfId="23765" xr:uid="{566732E1-3D5D-4555-933A-331C81163B41}"/>
    <cellStyle name="Comma 4 3 2 14" xfId="46012" xr:uid="{902D6823-C05E-439A-8D93-81CE63C7D131}"/>
    <cellStyle name="Comma 4 3 2 15" xfId="48646" xr:uid="{44A5B0EB-0B07-4F0C-BFB1-051A5F436459}"/>
    <cellStyle name="Comma 4 3 2 16" xfId="49554" xr:uid="{3E65B514-6221-4854-A1EB-0620E801F172}"/>
    <cellStyle name="Comma 4 3 2 17" xfId="49813" xr:uid="{A0A19047-79F5-44EF-B181-03360B4AD43B}"/>
    <cellStyle name="Comma 4 3 2 18" xfId="52828" xr:uid="{83314CF0-9D96-4863-AFB2-B548A4E8E889}"/>
    <cellStyle name="Comma 4 3 2 19" xfId="8936" xr:uid="{CC4A186F-32BC-4CBB-B129-3EC1B1686F13}"/>
    <cellStyle name="Comma 4 3 2 2" xfId="8937" xr:uid="{E9B98368-9AC8-484E-823F-365784DD0A1D}"/>
    <cellStyle name="Comma 4 3 2 2 10" xfId="11514" xr:uid="{637EAA8B-0139-49FF-B4FE-7C3F101EF301}"/>
    <cellStyle name="Comma 4 3 2 2 10 2" xfId="48330" xr:uid="{90969603-85B2-4572-97DE-765B94CA65D2}"/>
    <cellStyle name="Comma 4 3 2 2 10 3" xfId="50724" xr:uid="{8CB3D945-BE91-4902-B5FB-45A8ED194D86}"/>
    <cellStyle name="Comma 4 3 2 2 10 4" xfId="53740" xr:uid="{51F6C158-4A12-4F69-BFD9-8B8F1E387ADF}"/>
    <cellStyle name="Comma 4 3 2 2 10 5" xfId="21701" xr:uid="{611020BA-2B28-40A2-9A59-1DB932EE2FC3}"/>
    <cellStyle name="Comma 4 3 2 2 11" xfId="23766" xr:uid="{9146F0DA-C951-4674-AD96-5EB57015DC56}"/>
    <cellStyle name="Comma 4 3 2 2 12" xfId="47060" xr:uid="{7D71C805-9D47-43B3-A475-CAEF16D8C243}"/>
    <cellStyle name="Comma 4 3 2 2 13" xfId="48647" xr:uid="{C617B631-D236-4B5E-A8D0-4DAFF08AAC6E}"/>
    <cellStyle name="Comma 4 3 2 2 14" xfId="49555" xr:uid="{ACB51944-6860-4329-8AA3-F0D811216C13}"/>
    <cellStyle name="Comma 4 3 2 2 15" xfId="49814" xr:uid="{F9681ACD-42F9-4184-85A6-73579AB9B839}"/>
    <cellStyle name="Comma 4 3 2 2 16" xfId="52829" xr:uid="{B3407916-6C1C-4DA8-96A2-B4824628E434}"/>
    <cellStyle name="Comma 4 3 2 2 17" xfId="18147" xr:uid="{82AB5FCB-D0FE-4973-8EF9-465EC1FA93B5}"/>
    <cellStyle name="Comma 4 3 2 2 2" xfId="10024" xr:uid="{885FF5C4-B5BC-4CAA-A6CA-F08F96899795}"/>
    <cellStyle name="Comma 4 3 2 2 2 10" xfId="18751" xr:uid="{5F111756-17A0-4543-A4B8-409F2FF5C266}"/>
    <cellStyle name="Comma 4 3 2 2 2 2" xfId="10332" xr:uid="{D22619E9-6298-4519-9CD2-D4545E94E200}"/>
    <cellStyle name="Comma 4 3 2 2 2 2 2" xfId="14777" xr:uid="{AC53E4CF-4CFB-4FB9-8F9E-2C080A35961B}"/>
    <cellStyle name="Comma 4 3 2 2 2 2 2 2" xfId="22324" xr:uid="{A01066EF-F4F0-4039-99C4-9EF6BC44127D}"/>
    <cellStyle name="Comma 4 3 2 2 2 2 2 3" xfId="25300" xr:uid="{C13D31A5-2850-4695-B56F-1069715D6747}"/>
    <cellStyle name="Comma 4 3 2 2 2 2 2 4" xfId="51662" xr:uid="{CA6B18B9-7F30-4ABF-8ABF-F9350410F914}"/>
    <cellStyle name="Comma 4 3 2 2 2 2 2 5" xfId="54678" xr:uid="{78C07F77-6A96-4564-BC67-0EABB43A7454}"/>
    <cellStyle name="Comma 4 3 2 2 2 2 2 6" xfId="19121" xr:uid="{B5EFD4D8-8C45-4A82-9A22-DFFD2EAF8E75}"/>
    <cellStyle name="Comma 4 3 2 2 2 2 3" xfId="15262" xr:uid="{1D3A1D7F-4F62-443B-B049-5C34C651B064}"/>
    <cellStyle name="Comma 4 3 2 2 2 2 3 2" xfId="22801" xr:uid="{8D1BBEF2-B507-49E1-A3AE-C9774EE54DA8}"/>
    <cellStyle name="Comma 4 3 2 2 2 2 3 3" xfId="47938" xr:uid="{3B09300B-DFFC-4993-A5C1-031E98C09154}"/>
    <cellStyle name="Comma 4 3 2 2 2 2 3 4" xfId="52139" xr:uid="{5D22C636-0C7A-4724-9D21-2FF9CBD0F572}"/>
    <cellStyle name="Comma 4 3 2 2 2 2 3 5" xfId="55155" xr:uid="{020743F3-09DE-4DD8-9C57-C7E841D94C6E}"/>
    <cellStyle name="Comma 4 3 2 2 2 2 3 6" xfId="19264" xr:uid="{55756B1C-AC19-4FFE-954B-297381BD1A7A}"/>
    <cellStyle name="Comma 4 3 2 2 2 2 4" xfId="15749" xr:uid="{81FB5FCE-6B41-403C-A96F-112A3DB4CB47}"/>
    <cellStyle name="Comma 4 3 2 2 2 2 4 2" xfId="23278" xr:uid="{5DDD59E1-2866-4D39-ADED-54AA6CAA8E12}"/>
    <cellStyle name="Comma 4 3 2 2 2 2 4 3" xfId="46580" xr:uid="{24ADF181-70EA-48AF-BE74-0A8AA8A92AB6}"/>
    <cellStyle name="Comma 4 3 2 2 2 2 4 4" xfId="52616" xr:uid="{F0637ABD-906B-4AB7-A331-14D85862F9D9}"/>
    <cellStyle name="Comma 4 3 2 2 2 2 4 5" xfId="55632" xr:uid="{525DE5E3-55EB-4682-A4D1-8264B74366C0}"/>
    <cellStyle name="Comma 4 3 2 2 2 2 4 6" xfId="19409" xr:uid="{0BD64964-0BF6-445E-B95E-1EF7C0663B1D}"/>
    <cellStyle name="Comma 4 3 2 2 2 2 5" xfId="12785" xr:uid="{6DF08EF8-D47E-401A-8980-5227C589A6C1}"/>
    <cellStyle name="Comma 4 3 2 2 2 2 5 2" xfId="46352" xr:uid="{992571A3-307A-4372-A214-52C0FA6F67FA}"/>
    <cellStyle name="Comma 4 3 2 2 2 2 5 3" xfId="51185" xr:uid="{1CD792A7-B434-46A2-A7CF-4552A69FBFA5}"/>
    <cellStyle name="Comma 4 3 2 2 2 2 5 4" xfId="54201" xr:uid="{42882535-ADE6-438D-8A7F-131315E9E8B3}"/>
    <cellStyle name="Comma 4 3 2 2 2 2 5 5" xfId="21979" xr:uid="{A5E2AD9C-656F-4E39-BAE9-17A21C571AF9}"/>
    <cellStyle name="Comma 4 3 2 2 2 2 6" xfId="47509" xr:uid="{CDEDFC42-A79F-47B6-B9E5-373D85B0B2A2}"/>
    <cellStyle name="Comma 4 3 2 2 2 2 7" xfId="50079" xr:uid="{F5762ADF-5AAF-49D6-9F4F-EAC37A789638}"/>
    <cellStyle name="Comma 4 3 2 2 2 2 8" xfId="53095" xr:uid="{5EF10E93-99F2-43A0-B343-179AEBBBF03E}"/>
    <cellStyle name="Comma 4 3 2 2 2 2 9" xfId="18900" xr:uid="{066141C6-158F-4956-A51A-C028773D0A4B}"/>
    <cellStyle name="Comma 4 3 2 2 2 3" xfId="14565" xr:uid="{340F07DD-AD01-4209-99A9-37EA638041ED}"/>
    <cellStyle name="Comma 4 3 2 2 2 3 2" xfId="22112" xr:uid="{4552CA8F-DA6C-4952-ADA4-8089DEE72B80}"/>
    <cellStyle name="Comma 4 3 2 2 2 3 3" xfId="24978" xr:uid="{FAFC41F8-1C73-46A3-A2DE-104695650E38}"/>
    <cellStyle name="Comma 4 3 2 2 2 3 4" xfId="51450" xr:uid="{99BF1622-576A-4FDD-8AF6-41D17448DDF3}"/>
    <cellStyle name="Comma 4 3 2 2 2 3 5" xfId="54466" xr:uid="{4F83BD80-89B3-4E68-81CF-0966407FB132}"/>
    <cellStyle name="Comma 4 3 2 2 2 3 6" xfId="19061" xr:uid="{14CB050E-38CC-4551-95B4-EEFEE8766421}"/>
    <cellStyle name="Comma 4 3 2 2 2 4" xfId="15049" xr:uid="{C1DDB320-6535-4283-847C-8FF16197EA90}"/>
    <cellStyle name="Comma 4 3 2 2 2 4 2" xfId="22589" xr:uid="{F1846ED4-53FF-47CA-AF50-4520A960851C}"/>
    <cellStyle name="Comma 4 3 2 2 2 4 3" xfId="33651" xr:uid="{7BCD93D3-DFEC-46E5-80FA-339B90636879}"/>
    <cellStyle name="Comma 4 3 2 2 2 4 4" xfId="51927" xr:uid="{F95C8ED1-6CCB-4C07-B835-D1B0194B6CC3}"/>
    <cellStyle name="Comma 4 3 2 2 2 4 5" xfId="54943" xr:uid="{8BA6A2BC-4026-41CA-AB3C-90F032E0AEC8}"/>
    <cellStyle name="Comma 4 3 2 2 2 4 6" xfId="19203" xr:uid="{F6CBE129-833F-402A-B0E3-F48A95D66387}"/>
    <cellStyle name="Comma 4 3 2 2 2 5" xfId="15536" xr:uid="{64A3C6E8-ADAA-4CF0-A8E9-74BCC7E8AF77}"/>
    <cellStyle name="Comma 4 3 2 2 2 5 2" xfId="23066" xr:uid="{5850A964-6358-4A54-B661-05DBF0D608A1}"/>
    <cellStyle name="Comma 4 3 2 2 2 5 3" xfId="47348" xr:uid="{3C0E3DFA-9D15-4129-8071-A892EBE7A0FF}"/>
    <cellStyle name="Comma 4 3 2 2 2 5 4" xfId="52404" xr:uid="{4B514EB5-08E3-416C-A6DC-5759696E8738}"/>
    <cellStyle name="Comma 4 3 2 2 2 5 5" xfId="55420" xr:uid="{682952B2-3C66-4A1C-817E-CFF497AF8B89}"/>
    <cellStyle name="Comma 4 3 2 2 2 5 6" xfId="19348" xr:uid="{48146377-72DF-4376-97A5-ED82452F7122}"/>
    <cellStyle name="Comma 4 3 2 2 2 6" xfId="12484" xr:uid="{5E8AC7A5-C0F0-43B4-BC3F-9D3D4CB74FF4}"/>
    <cellStyle name="Comma 4 3 2 2 2 6 2" xfId="47163" xr:uid="{ECDB7DA5-793C-4FF3-8807-2525F7132067}"/>
    <cellStyle name="Comma 4 3 2 2 2 6 3" xfId="50973" xr:uid="{B9DDCF22-4720-4859-A74B-7EEC0F625636}"/>
    <cellStyle name="Comma 4 3 2 2 2 6 4" xfId="53989" xr:uid="{7A78D91B-72EE-4FB9-B37A-E87CB38B6FF5}"/>
    <cellStyle name="Comma 4 3 2 2 2 6 5" xfId="21918" xr:uid="{BC7BB02E-38F6-4409-83E7-4F8957E3AE2C}"/>
    <cellStyle name="Comma 4 3 2 2 2 7" xfId="46027" xr:uid="{072C7362-E0D2-44A5-8E3F-F78D557C9947}"/>
    <cellStyle name="Comma 4 3 2 2 2 8" xfId="49867" xr:uid="{6DB3BFE2-0C83-4F21-A69B-3F2238B7DD07}"/>
    <cellStyle name="Comma 4 3 2 2 2 9" xfId="52883" xr:uid="{35ED37D3-7634-4336-8995-CC7C8A7A4BC9}"/>
    <cellStyle name="Comma 4 3 2 2 3" xfId="10098" xr:uid="{BFA4E8CB-7A8F-4B0D-A275-DAB133293018}"/>
    <cellStyle name="Comma 4 3 2 2 3 10" xfId="18784" xr:uid="{748E908F-D481-4DA7-9DE4-C4BC4FFA7BEB}"/>
    <cellStyle name="Comma 4 3 2 2 3 2" xfId="10411" xr:uid="{77F55A90-8F19-4ED6-AF27-808FD5D0981B}"/>
    <cellStyle name="Comma 4 3 2 2 3 2 2" xfId="14830" xr:uid="{E64F83CA-279F-4386-8B77-BC087946CA63}"/>
    <cellStyle name="Comma 4 3 2 2 3 2 2 2" xfId="22377" xr:uid="{9B10062F-522A-4C3A-8AE5-2063D6CC630D}"/>
    <cellStyle name="Comma 4 3 2 2 3 2 2 3" xfId="33655" xr:uid="{DF040551-BB62-404D-AFF1-F5108F6913F8}"/>
    <cellStyle name="Comma 4 3 2 2 3 2 2 4" xfId="51715" xr:uid="{E9BA7427-8DDA-4532-AFD0-DFD08DF8BFF6}"/>
    <cellStyle name="Comma 4 3 2 2 3 2 2 5" xfId="54731" xr:uid="{6D5395BA-84C8-4793-8185-ECD562EF9221}"/>
    <cellStyle name="Comma 4 3 2 2 3 2 2 6" xfId="19136" xr:uid="{A9F11B7C-6A0F-4C8B-AB19-5D6752428E4D}"/>
    <cellStyle name="Comma 4 3 2 2 3 2 3" xfId="15315" xr:uid="{17CDA836-9C57-4F8E-82A1-8C61DDD468FC}"/>
    <cellStyle name="Comma 4 3 2 2 3 2 3 2" xfId="22854" xr:uid="{1A909658-1204-4C7C-BD77-50AE065EE16C}"/>
    <cellStyle name="Comma 4 3 2 2 3 2 3 3" xfId="46691" xr:uid="{A5F49F0C-869A-4643-A222-F10191500FCA}"/>
    <cellStyle name="Comma 4 3 2 2 3 2 3 4" xfId="52192" xr:uid="{2053613D-9D9E-4258-824A-9FA02B6E7C5E}"/>
    <cellStyle name="Comma 4 3 2 2 3 2 3 5" xfId="55208" xr:uid="{8E4C0B28-9A97-4B73-BC91-A4363AA4209B}"/>
    <cellStyle name="Comma 4 3 2 2 3 2 3 6" xfId="19279" xr:uid="{5DC755EC-5A6D-4AC4-BBFC-E1F14C4E7162}"/>
    <cellStyle name="Comma 4 3 2 2 3 2 4" xfId="15802" xr:uid="{1F9D1504-2953-4E88-8830-82457BD231EA}"/>
    <cellStyle name="Comma 4 3 2 2 3 2 4 2" xfId="23331" xr:uid="{B793838C-9180-4BA9-B514-4A4482FFD53F}"/>
    <cellStyle name="Comma 4 3 2 2 3 2 4 3" xfId="46967" xr:uid="{40EFAE31-9AB0-414A-B69D-61E33987E9EA}"/>
    <cellStyle name="Comma 4 3 2 2 3 2 4 4" xfId="52669" xr:uid="{759DC047-A4EA-4161-A2CB-C521D506C013}"/>
    <cellStyle name="Comma 4 3 2 2 3 2 4 5" xfId="55685" xr:uid="{4DE1DC6E-C1FD-49C9-BC8E-84AF13C7AED5}"/>
    <cellStyle name="Comma 4 3 2 2 3 2 4 6" xfId="19424" xr:uid="{92EF0A7F-E9C0-44D9-93A3-AF335A6B5905}"/>
    <cellStyle name="Comma 4 3 2 2 3 2 5" xfId="12864" xr:uid="{F0FF4473-3A88-4393-B56B-FC79F8F04AA1}"/>
    <cellStyle name="Comma 4 3 2 2 3 2 5 2" xfId="47664" xr:uid="{7B296A36-4AAD-4F81-99B3-DF43784F2719}"/>
    <cellStyle name="Comma 4 3 2 2 3 2 5 3" xfId="51238" xr:uid="{A2482F26-DEE2-4103-8790-712F5B519112}"/>
    <cellStyle name="Comma 4 3 2 2 3 2 5 4" xfId="54254" xr:uid="{E95FF8E6-465F-48A3-A8C1-1D2E61AB9877}"/>
    <cellStyle name="Comma 4 3 2 2 3 2 5 5" xfId="21994" xr:uid="{677C1EE6-3470-4BD8-8486-F3E53C9F72AF}"/>
    <cellStyle name="Comma 4 3 2 2 3 2 6" xfId="47584" xr:uid="{7EC4F173-1212-4626-8CAF-4FD331F02218}"/>
    <cellStyle name="Comma 4 3 2 2 3 2 7" xfId="50132" xr:uid="{3DD7A596-30BE-41C9-AD34-80E19C74CB07}"/>
    <cellStyle name="Comma 4 3 2 2 3 2 8" xfId="53148" xr:uid="{BD6B4BF0-3AC9-4515-BD4E-12DDCACB749A}"/>
    <cellStyle name="Comma 4 3 2 2 3 2 9" xfId="18941" xr:uid="{C1BED072-967C-44BD-A037-F698A5476197}"/>
    <cellStyle name="Comma 4 3 2 2 3 3" xfId="14618" xr:uid="{C21FCC84-D4FA-4943-A5AE-BA6E81BA6B7A}"/>
    <cellStyle name="Comma 4 3 2 2 3 3 2" xfId="22165" xr:uid="{B2EADA70-E2B9-48F5-9551-5A03EBDC5E3E}"/>
    <cellStyle name="Comma 4 3 2 2 3 3 3" xfId="32412" xr:uid="{251FBBC7-31EC-4589-88B8-63B8F9FA6F2D}"/>
    <cellStyle name="Comma 4 3 2 2 3 3 4" xfId="51503" xr:uid="{D8DB42F4-40D3-4750-8E84-EA2FA57F74EF}"/>
    <cellStyle name="Comma 4 3 2 2 3 3 5" xfId="54519" xr:uid="{B1805C8D-F1E6-4FFF-AB58-4F44DADB8B2E}"/>
    <cellStyle name="Comma 4 3 2 2 3 3 6" xfId="19076" xr:uid="{EFF7CAB1-8B81-454C-BD94-125638408C63}"/>
    <cellStyle name="Comma 4 3 2 2 3 4" xfId="15103" xr:uid="{69924AF0-5A63-4375-938D-62CB833F7F05}"/>
    <cellStyle name="Comma 4 3 2 2 3 4 2" xfId="22642" xr:uid="{57E129E7-F4F3-436C-B80E-6C26619FE5EA}"/>
    <cellStyle name="Comma 4 3 2 2 3 4 3" xfId="46880" xr:uid="{C96A54DA-8B19-4691-BCD0-594709A70002}"/>
    <cellStyle name="Comma 4 3 2 2 3 4 4" xfId="51980" xr:uid="{578B92A9-C444-4A6D-9D12-E824CDC266E1}"/>
    <cellStyle name="Comma 4 3 2 2 3 4 5" xfId="54996" xr:uid="{79D2164B-B8BC-46A6-89AD-B8B80C975DE1}"/>
    <cellStyle name="Comma 4 3 2 2 3 4 6" xfId="19219" xr:uid="{4B77C906-08FB-49A2-96A9-9584F2DBB771}"/>
    <cellStyle name="Comma 4 3 2 2 3 5" xfId="15590" xr:uid="{D506C5E4-ACDD-461F-B120-93D81095AB84}"/>
    <cellStyle name="Comma 4 3 2 2 3 5 2" xfId="23119" xr:uid="{D172085B-61D0-40A0-B3DF-47253FA742DE}"/>
    <cellStyle name="Comma 4 3 2 2 3 5 3" xfId="47154" xr:uid="{B64251D1-0480-4186-BD45-3569D6E70F9B}"/>
    <cellStyle name="Comma 4 3 2 2 3 5 4" xfId="52457" xr:uid="{F4A45B49-3643-4526-875E-F541522749B9}"/>
    <cellStyle name="Comma 4 3 2 2 3 5 5" xfId="55473" xr:uid="{E45B5FCB-264D-4534-8B48-ACFEFE61EB44}"/>
    <cellStyle name="Comma 4 3 2 2 3 5 6" xfId="19364" xr:uid="{9B297162-6202-4F70-B3C2-0CA6F26B7DD7}"/>
    <cellStyle name="Comma 4 3 2 2 3 6" xfId="12555" xr:uid="{D4154C0D-2AB7-4377-AAE5-85E8AA550EF5}"/>
    <cellStyle name="Comma 4 3 2 2 3 6 2" xfId="47090" xr:uid="{15BEB855-455E-403A-A5D6-63FF02CA0B6D}"/>
    <cellStyle name="Comma 4 3 2 2 3 6 3" xfId="51026" xr:uid="{7A720C36-1F49-4175-A6DA-A66BEA212E6E}"/>
    <cellStyle name="Comma 4 3 2 2 3 6 4" xfId="54042" xr:uid="{0A1BF684-896D-4DD2-A5F1-EFDB65A498CC}"/>
    <cellStyle name="Comma 4 3 2 2 3 6 5" xfId="21934" xr:uid="{A59B4FDB-8839-4A49-A17D-E469CC089576}"/>
    <cellStyle name="Comma 4 3 2 2 3 7" xfId="48151" xr:uid="{EA7A3285-DA21-4BD6-AC00-64BABD87F35B}"/>
    <cellStyle name="Comma 4 3 2 2 3 8" xfId="49920" xr:uid="{C8C3EFC0-9FCE-45CB-97C5-01CC67C59F7C}"/>
    <cellStyle name="Comma 4 3 2 2 3 9" xfId="52936" xr:uid="{A33827E1-393C-4A70-B5CA-2598B7430C38}"/>
    <cellStyle name="Comma 4 3 2 2 4" xfId="10177" xr:uid="{DB547C1F-6594-4CAF-AFBA-C4BCB461024F}"/>
    <cellStyle name="Comma 4 3 2 2 4 10" xfId="18822" xr:uid="{DC5D483F-F7CD-40A5-A71C-B27EBFB3A372}"/>
    <cellStyle name="Comma 4 3 2 2 4 2" xfId="10491" xr:uid="{5E0BC2A3-4162-41DB-9FD6-6DFC89120FBF}"/>
    <cellStyle name="Comma 4 3 2 2 4 2 2" xfId="14883" xr:uid="{D0B54C7B-1500-40C4-8D15-2AAC37E318D7}"/>
    <cellStyle name="Comma 4 3 2 2 4 2 2 2" xfId="22430" xr:uid="{4C8BEE23-B2EE-47BF-9DAF-F59184261398}"/>
    <cellStyle name="Comma 4 3 2 2 4 2 2 3" xfId="48244" xr:uid="{98C6C667-4D95-4160-91CC-1CC6EDBA2A63}"/>
    <cellStyle name="Comma 4 3 2 2 4 2 2 4" xfId="51768" xr:uid="{DE9FE2B2-B612-469F-A4AC-B6999BB30522}"/>
    <cellStyle name="Comma 4 3 2 2 4 2 2 5" xfId="54784" xr:uid="{A212D468-99A2-451E-9664-DDE8DA669A8F}"/>
    <cellStyle name="Comma 4 3 2 2 4 2 2 6" xfId="19151" xr:uid="{FFC2918C-E9A8-4779-9C75-AA5BC1E94EA7}"/>
    <cellStyle name="Comma 4 3 2 2 4 2 3" xfId="15368" xr:uid="{7A08C2A7-5C36-443E-8873-BBE948641339}"/>
    <cellStyle name="Comma 4 3 2 2 4 2 3 2" xfId="22907" xr:uid="{39F2DF8B-A6C2-42E2-9BBF-E9FD0F9B35C1}"/>
    <cellStyle name="Comma 4 3 2 2 4 2 3 3" xfId="46521" xr:uid="{3A2BB5CF-02BD-4DEC-97C1-2A7BA88B7B2C}"/>
    <cellStyle name="Comma 4 3 2 2 4 2 3 4" xfId="52245" xr:uid="{2D9882E5-D854-45DD-9E2F-A2FDC56054A2}"/>
    <cellStyle name="Comma 4 3 2 2 4 2 3 5" xfId="55261" xr:uid="{D2D94DB1-D4DA-45F4-902F-1A790D2C66CD}"/>
    <cellStyle name="Comma 4 3 2 2 4 2 3 6" xfId="19294" xr:uid="{6616CF04-B1AF-4CC7-BCB6-5BC6931DEBA7}"/>
    <cellStyle name="Comma 4 3 2 2 4 2 4" xfId="15855" xr:uid="{28D996F9-B7CE-4A2E-9F50-C42A26D61CB4}"/>
    <cellStyle name="Comma 4 3 2 2 4 2 4 2" xfId="23384" xr:uid="{0FEA7BDD-673F-4D5D-8583-2CDA2913DFF0}"/>
    <cellStyle name="Comma 4 3 2 2 4 2 4 3" xfId="46598" xr:uid="{1F961E16-333F-4F60-8549-6A2DBDF93251}"/>
    <cellStyle name="Comma 4 3 2 2 4 2 4 4" xfId="52722" xr:uid="{7A51720B-0F6E-430C-99CA-493BD8959B51}"/>
    <cellStyle name="Comma 4 3 2 2 4 2 4 5" xfId="55738" xr:uid="{839804E4-F47F-4BE8-A7BE-791684025639}"/>
    <cellStyle name="Comma 4 3 2 2 4 2 4 6" xfId="19439" xr:uid="{AC2CAFD8-0356-4133-9B15-F2A00A024D4B}"/>
    <cellStyle name="Comma 4 3 2 2 4 2 5" xfId="12944" xr:uid="{8C33DF91-94C3-4EEF-B492-06F2B00FF174}"/>
    <cellStyle name="Comma 4 3 2 2 4 2 5 2" xfId="46815" xr:uid="{38EEF577-0F24-427F-8C21-09D80355AD21}"/>
    <cellStyle name="Comma 4 3 2 2 4 2 5 3" xfId="51291" xr:uid="{E41811CF-9EC7-48AD-A592-C98055AB4CE9}"/>
    <cellStyle name="Comma 4 3 2 2 4 2 5 4" xfId="54307" xr:uid="{F757FC02-F7F0-42A2-8055-FE65FC90B283}"/>
    <cellStyle name="Comma 4 3 2 2 4 2 5 5" xfId="22009" xr:uid="{596DA9C7-7A48-48F6-A28A-9ECA793A99F8}"/>
    <cellStyle name="Comma 4 3 2 2 4 2 6" xfId="47588" xr:uid="{111F401F-747A-4F70-AFD9-19FC9A49DB70}"/>
    <cellStyle name="Comma 4 3 2 2 4 2 7" xfId="50185" xr:uid="{1AEA35AB-167C-4E13-AEFC-304C46FFE0EA}"/>
    <cellStyle name="Comma 4 3 2 2 4 2 8" xfId="53201" xr:uid="{055A13B3-3968-4BB7-BF6B-361F6378F86A}"/>
    <cellStyle name="Comma 4 3 2 2 4 2 9" xfId="18983" xr:uid="{683196CA-7B30-49A0-8DB6-E655A1C76A9F}"/>
    <cellStyle name="Comma 4 3 2 2 4 3" xfId="14671" xr:uid="{F1EA42A5-0AA0-49D4-ACB8-26CAE2EE502D}"/>
    <cellStyle name="Comma 4 3 2 2 4 3 2" xfId="22218" xr:uid="{3E4A17B8-9EFE-4F96-AD2D-1778E64CA51B}"/>
    <cellStyle name="Comma 4 3 2 2 4 3 3" xfId="33023" xr:uid="{DC9E070A-185E-4577-BCC6-C8CB96963411}"/>
    <cellStyle name="Comma 4 3 2 2 4 3 4" xfId="51556" xr:uid="{9581297E-52DA-48C3-AED2-D15CEB428235}"/>
    <cellStyle name="Comma 4 3 2 2 4 3 5" xfId="54572" xr:uid="{CB660FE7-4179-40A2-8997-65EBAB3C99B2}"/>
    <cellStyle name="Comma 4 3 2 2 4 3 6" xfId="19091" xr:uid="{209F8B97-9A8C-4C12-973F-40E49906EE58}"/>
    <cellStyle name="Comma 4 3 2 2 4 4" xfId="15156" xr:uid="{42C9FB71-B66F-4F3D-8BFC-FB03A994D988}"/>
    <cellStyle name="Comma 4 3 2 2 4 4 2" xfId="22695" xr:uid="{E6A71A41-F468-472A-B236-F2145DA89DB3}"/>
    <cellStyle name="Comma 4 3 2 2 4 4 3" xfId="47862" xr:uid="{9A86CEE4-5407-4E92-AD68-FB75E8859C73}"/>
    <cellStyle name="Comma 4 3 2 2 4 4 4" xfId="52033" xr:uid="{D8F36316-A1AA-4A56-B678-457B5DDFF409}"/>
    <cellStyle name="Comma 4 3 2 2 4 4 5" xfId="55049" xr:uid="{BB0A7C90-3BE2-4F7A-B174-AA5F83E37572}"/>
    <cellStyle name="Comma 4 3 2 2 4 4 6" xfId="19234" xr:uid="{C769F813-9B77-4CD4-AE87-2D7549439AAE}"/>
    <cellStyle name="Comma 4 3 2 2 4 5" xfId="15643" xr:uid="{07B398E4-FC09-4AD4-9A3E-4D20B292F383}"/>
    <cellStyle name="Comma 4 3 2 2 4 5 2" xfId="23172" xr:uid="{3F843C6A-8C78-4D44-A05A-5612BA5956DB}"/>
    <cellStyle name="Comma 4 3 2 2 4 5 3" xfId="24899" xr:uid="{308D2895-7906-4E04-9E5F-9135D1A03C28}"/>
    <cellStyle name="Comma 4 3 2 2 4 5 4" xfId="52510" xr:uid="{BAF73E8C-A106-47FE-BB18-1B05ED95027A}"/>
    <cellStyle name="Comma 4 3 2 2 4 5 5" xfId="55526" xr:uid="{FFEC1918-E714-4222-8A6C-F8305B44ADD8}"/>
    <cellStyle name="Comma 4 3 2 2 4 5 6" xfId="19379" xr:uid="{968A85F9-CBE1-4A74-9570-D3BB98350B1A}"/>
    <cellStyle name="Comma 4 3 2 2 4 6" xfId="12631" xr:uid="{EA798609-7B1C-4A99-A28F-932413955062}"/>
    <cellStyle name="Comma 4 3 2 2 4 6 2" xfId="46777" xr:uid="{9226D44F-7B50-44CA-A284-DA750FAD0722}"/>
    <cellStyle name="Comma 4 3 2 2 4 6 3" xfId="51079" xr:uid="{D1E76EB2-5AEE-45C0-800D-0B993884F9F5}"/>
    <cellStyle name="Comma 4 3 2 2 4 6 4" xfId="54095" xr:uid="{D38C8D49-FF65-4B78-BEC9-D39B40C41569}"/>
    <cellStyle name="Comma 4 3 2 2 4 6 5" xfId="21949" xr:uid="{2C3446A0-3ED8-4550-954E-B33F63FE9374}"/>
    <cellStyle name="Comma 4 3 2 2 4 7" xfId="47280" xr:uid="{3DE8E870-F068-4FB8-8879-2F9B01146354}"/>
    <cellStyle name="Comma 4 3 2 2 4 8" xfId="49973" xr:uid="{37FB7104-6EBC-44E8-B2D1-CCC8EBDF5997}"/>
    <cellStyle name="Comma 4 3 2 2 4 9" xfId="52989" xr:uid="{D4430F6F-6BE0-4031-A960-2776D7EA7500}"/>
    <cellStyle name="Comma 4 3 2 2 5" xfId="10257" xr:uid="{B03471CA-16A6-4958-8782-AFC483AC112B}"/>
    <cellStyle name="Comma 4 3 2 2 5 2" xfId="14724" xr:uid="{2BA78B4D-1327-48DB-A940-9EBB6FB4C51C}"/>
    <cellStyle name="Comma 4 3 2 2 5 2 2" xfId="22271" xr:uid="{98D4679C-4F37-49A1-9721-CE8DDBD5A362}"/>
    <cellStyle name="Comma 4 3 2 2 5 2 3" xfId="46854" xr:uid="{1F46F15A-C1E4-4ED5-A3E8-614ADC057473}"/>
    <cellStyle name="Comma 4 3 2 2 5 2 4" xfId="51609" xr:uid="{410E3248-305B-470D-8CF2-3E443F865FD6}"/>
    <cellStyle name="Comma 4 3 2 2 5 2 5" xfId="54625" xr:uid="{F92B535E-B745-49C0-8043-7A561C6D9225}"/>
    <cellStyle name="Comma 4 3 2 2 5 2 6" xfId="19106" xr:uid="{1E0BEE40-00DF-4BD9-8220-B8052DD80FEC}"/>
    <cellStyle name="Comma 4 3 2 2 5 3" xfId="15209" xr:uid="{6DEFCEE3-F0EC-4A05-A80A-D0633C4D90BC}"/>
    <cellStyle name="Comma 4 3 2 2 5 3 2" xfId="22748" xr:uid="{378B1390-7B1C-4943-9A0E-A271F48B41F1}"/>
    <cellStyle name="Comma 4 3 2 2 5 3 3" xfId="32545" xr:uid="{7CCAEF29-9E9F-49B6-963A-5451BB77397B}"/>
    <cellStyle name="Comma 4 3 2 2 5 3 4" xfId="52086" xr:uid="{6CEC63A6-AA7E-4E97-BB3A-A29065553D09}"/>
    <cellStyle name="Comma 4 3 2 2 5 3 5" xfId="55102" xr:uid="{D00D13D1-F5D2-43DE-927B-83046DEA41FB}"/>
    <cellStyle name="Comma 4 3 2 2 5 3 6" xfId="19249" xr:uid="{510BA469-2FB8-4790-B23F-975F6EBD0424}"/>
    <cellStyle name="Comma 4 3 2 2 5 4" xfId="15696" xr:uid="{B5F5516E-71A0-4713-BCAF-17047E34CB85}"/>
    <cellStyle name="Comma 4 3 2 2 5 4 2" xfId="23225" xr:uid="{6C124B20-DCED-44AC-B06F-3FB9B06F1785}"/>
    <cellStyle name="Comma 4 3 2 2 5 4 3" xfId="48325" xr:uid="{F0CC3894-90B0-430A-AFD3-91E37ABC209B}"/>
    <cellStyle name="Comma 4 3 2 2 5 4 4" xfId="52563" xr:uid="{5C61EC2F-8F3F-4EC0-B6F1-8059477C1801}"/>
    <cellStyle name="Comma 4 3 2 2 5 4 5" xfId="55579" xr:uid="{F8754D95-A971-4EF4-94F0-0C91189B7551}"/>
    <cellStyle name="Comma 4 3 2 2 5 4 6" xfId="19394" xr:uid="{46F5BE88-0231-4640-A86D-B719FF36A991}"/>
    <cellStyle name="Comma 4 3 2 2 5 5" xfId="12710" xr:uid="{0579E9BB-183C-4D72-91EE-EC7D43F6DBC9}"/>
    <cellStyle name="Comma 4 3 2 2 5 5 2" xfId="48198" xr:uid="{0A6008C6-2A48-459A-AF08-482018C87E86}"/>
    <cellStyle name="Comma 4 3 2 2 5 5 3" xfId="51132" xr:uid="{2EEF9ADA-0B9D-4FB5-A987-1F8E1F538548}"/>
    <cellStyle name="Comma 4 3 2 2 5 5 4" xfId="54148" xr:uid="{15CB14EC-AA86-4935-8BE3-D4981318B407}"/>
    <cellStyle name="Comma 4 3 2 2 5 5 5" xfId="21964" xr:uid="{BEDA1F5B-A096-46C9-AE41-9CACE97D8F20}"/>
    <cellStyle name="Comma 4 3 2 2 5 6" xfId="48090" xr:uid="{AE807A1B-8C72-4426-BE5D-B6A77B6E3132}"/>
    <cellStyle name="Comma 4 3 2 2 5 7" xfId="50026" xr:uid="{CC94E42C-FD6C-40C9-9B0D-F410DA22A873}"/>
    <cellStyle name="Comma 4 3 2 2 5 8" xfId="53042" xr:uid="{6C24A3BD-90A3-485E-BD46-0D65CE7514A6}"/>
    <cellStyle name="Comma 4 3 2 2 5 9" xfId="18863" xr:uid="{0809007A-8AB8-498B-8015-AED612651379}"/>
    <cellStyle name="Comma 4 3 2 2 6" xfId="10571" xr:uid="{7273569A-CC5E-4012-996F-88B1B0403895}"/>
    <cellStyle name="Comma 4 3 2 2 6 2" xfId="14936" xr:uid="{E798D4F1-5341-4A2F-A67B-F96BDB2F10FF}"/>
    <cellStyle name="Comma 4 3 2 2 6 2 2" xfId="22483" xr:uid="{62F5723E-4872-4453-B03D-1AD24F767A7A}"/>
    <cellStyle name="Comma 4 3 2 2 6 2 3" xfId="47454" xr:uid="{C1AF5875-4383-4B13-B4CC-A1DF7BCD8730}"/>
    <cellStyle name="Comma 4 3 2 2 6 2 4" xfId="51821" xr:uid="{DE7C993A-D0FE-4DD3-882C-81121C2905B1}"/>
    <cellStyle name="Comma 4 3 2 2 6 2 5" xfId="54837" xr:uid="{ABCD1ACD-FC55-4EE6-8D0E-FE226135DA9D}"/>
    <cellStyle name="Comma 4 3 2 2 6 2 6" xfId="19166" xr:uid="{B8C9ACF6-8CF8-44C1-AC83-9F7E15419C32}"/>
    <cellStyle name="Comma 4 3 2 2 6 3" xfId="15421" xr:uid="{BF8E8712-8D09-442B-82FA-C7DCAB534F3F}"/>
    <cellStyle name="Comma 4 3 2 2 6 3 2" xfId="22960" xr:uid="{84E8A9FD-CC52-4637-9529-653BC7F55C1B}"/>
    <cellStyle name="Comma 4 3 2 2 6 3 3" xfId="32543" xr:uid="{B07F6669-BE13-4D05-A4E6-5DB44AC94D18}"/>
    <cellStyle name="Comma 4 3 2 2 6 3 4" xfId="52298" xr:uid="{884AA4DA-A7C4-4175-AE4D-B26BD04EADD3}"/>
    <cellStyle name="Comma 4 3 2 2 6 3 5" xfId="55314" xr:uid="{D72A6F21-2905-4B68-BCBB-2FE319F0351D}"/>
    <cellStyle name="Comma 4 3 2 2 6 3 6" xfId="19309" xr:uid="{6CFB9CCC-9547-4DBC-9CB5-BBC8D4105FED}"/>
    <cellStyle name="Comma 4 3 2 2 6 4" xfId="15909" xr:uid="{6DE86A20-A3B2-4766-8C37-B6B99D07CF47}"/>
    <cellStyle name="Comma 4 3 2 2 6 4 2" xfId="23437" xr:uid="{25B9757F-5988-4EE3-849D-CB93BFED2C60}"/>
    <cellStyle name="Comma 4 3 2 2 6 4 3" xfId="46604" xr:uid="{DA5549C0-6431-4BD3-9953-E4134098B481}"/>
    <cellStyle name="Comma 4 3 2 2 6 4 4" xfId="52775" xr:uid="{6C81D899-6CD3-4AB2-90BE-89695E9009E8}"/>
    <cellStyle name="Comma 4 3 2 2 6 4 5" xfId="55791" xr:uid="{E6AAAFBE-2AC7-49B0-B690-7ADDB08CB317}"/>
    <cellStyle name="Comma 4 3 2 2 6 4 6" xfId="19455" xr:uid="{1774E98C-C0B5-4764-8410-6B34ADF7D98D}"/>
    <cellStyle name="Comma 4 3 2 2 6 5" xfId="13024" xr:uid="{99147DD6-B131-4AAA-B4E0-17C2AF56C53E}"/>
    <cellStyle name="Comma 4 3 2 2 6 5 2" xfId="47825" xr:uid="{BAB0022D-74E1-4025-B531-7999CE41DFBF}"/>
    <cellStyle name="Comma 4 3 2 2 6 5 3" xfId="51344" xr:uid="{0285EE25-3027-4486-9E51-040395A115BD}"/>
    <cellStyle name="Comma 4 3 2 2 6 5 4" xfId="54360" xr:uid="{EBEFB0BA-C83E-4632-AB5D-9B9EFEDB0564}"/>
    <cellStyle name="Comma 4 3 2 2 6 5 5" xfId="22024" xr:uid="{0CFF3796-8E09-4BC7-BBB3-EDD1D41C0AAF}"/>
    <cellStyle name="Comma 4 3 2 2 6 6" xfId="33183" xr:uid="{49B2F5B2-6894-4119-B327-08BC1DDC8148}"/>
    <cellStyle name="Comma 4 3 2 2 6 7" xfId="50238" xr:uid="{15D5D3D3-9269-4BE6-BAEE-6135B3A639C3}"/>
    <cellStyle name="Comma 4 3 2 2 6 8" xfId="53254" xr:uid="{7DB3EB1B-E1FE-4985-94B9-E9B0AB892237}"/>
    <cellStyle name="Comma 4 3 2 2 6 9" xfId="19025" xr:uid="{D2CD08A6-6671-4CBC-A4C3-64B7B67DE76F}"/>
    <cellStyle name="Comma 4 3 2 2 7" xfId="14512" xr:uid="{E088D9A7-9DBB-408D-8648-957A2D9F4B86}"/>
    <cellStyle name="Comma 4 3 2 2 7 2" xfId="22059" xr:uid="{1CDD473D-7058-4391-A6D6-47E3131DCFA1}"/>
    <cellStyle name="Comma 4 3 2 2 7 3" xfId="47235" xr:uid="{8389CC6A-B1E3-4B6E-837B-E1841728C598}"/>
    <cellStyle name="Comma 4 3 2 2 7 4" xfId="51397" xr:uid="{518CABC0-AA34-410A-9707-60A20A68248E}"/>
    <cellStyle name="Comma 4 3 2 2 7 5" xfId="54413" xr:uid="{E9E70FDA-826C-430C-AFE6-023647753BF8}"/>
    <cellStyle name="Comma 4 3 2 2 7 6" xfId="19046" xr:uid="{35DA42F0-DAB8-406D-B079-9E93B37A7B69}"/>
    <cellStyle name="Comma 4 3 2 2 8" xfId="14996" xr:uid="{82C02D60-E4DF-4A7C-BA29-275840B19C12}"/>
    <cellStyle name="Comma 4 3 2 2 8 2" xfId="22536" xr:uid="{9121F473-30A6-4EBD-9433-0BEED5C1DD5D}"/>
    <cellStyle name="Comma 4 3 2 2 8 3" xfId="34020" xr:uid="{BB97EB22-C70A-4120-920F-CA1980A79115}"/>
    <cellStyle name="Comma 4 3 2 2 8 4" xfId="51874" xr:uid="{C1DDA922-62A6-4D54-9F06-96E54FC52863}"/>
    <cellStyle name="Comma 4 3 2 2 8 5" xfId="54890" xr:uid="{9D50E836-E182-4B76-BDB6-2A96817EA3F2}"/>
    <cellStyle name="Comma 4 3 2 2 8 6" xfId="19188" xr:uid="{1C31CDAD-FD27-44C8-B9A3-966399C67F7B}"/>
    <cellStyle name="Comma 4 3 2 2 9" xfId="15483" xr:uid="{BB482687-5970-4CEF-8E48-C2679F511301}"/>
    <cellStyle name="Comma 4 3 2 2 9 2" xfId="23013" xr:uid="{794D0028-2786-478D-B5D9-DED89EFA4E1D}"/>
    <cellStyle name="Comma 4 3 2 2 9 3" xfId="46695" xr:uid="{D9E7C4F5-E519-41C1-B445-C1F8B5E2D5BD}"/>
    <cellStyle name="Comma 4 3 2 2 9 4" xfId="52351" xr:uid="{8CB6B48A-C93E-4420-A27D-18C5D95098C0}"/>
    <cellStyle name="Comma 4 3 2 2 9 5" xfId="55367" xr:uid="{9E145608-331C-4814-8231-439F4876F997}"/>
    <cellStyle name="Comma 4 3 2 2 9 6" xfId="19333" xr:uid="{EB6D486B-85FE-445B-AD2F-684DD64864D4}"/>
    <cellStyle name="Comma 4 3 2 3" xfId="10023" xr:uid="{14CEF182-D2F3-4885-B54C-07ECDF296154}"/>
    <cellStyle name="Comma 4 3 2 3 10" xfId="18750" xr:uid="{96ACC0DC-D39A-4883-BA59-03B26B11C676}"/>
    <cellStyle name="Comma 4 3 2 3 2" xfId="10331" xr:uid="{539CCFB4-73E8-4C80-A02F-C3C597FEA250}"/>
    <cellStyle name="Comma 4 3 2 3 2 2" xfId="14776" xr:uid="{43ECB922-3320-4032-AC0B-06500950BED5}"/>
    <cellStyle name="Comma 4 3 2 3 2 2 2" xfId="22323" xr:uid="{F7C33D95-07E4-44C9-8473-37DBF90C2AB1}"/>
    <cellStyle name="Comma 4 3 2 3 2 2 3" xfId="47628" xr:uid="{E1571EB9-761B-4678-A23C-2CF8845E2C8C}"/>
    <cellStyle name="Comma 4 3 2 3 2 2 4" xfId="51661" xr:uid="{5F1A2D87-A119-4B35-A182-DE4EB7EED261}"/>
    <cellStyle name="Comma 4 3 2 3 2 2 5" xfId="54677" xr:uid="{78B94543-B896-4BCC-B9D6-CF2FC3C5FC07}"/>
    <cellStyle name="Comma 4 3 2 3 2 2 6" xfId="19120" xr:uid="{525B0F3B-DC51-42FC-A81F-59D23E668AE7}"/>
    <cellStyle name="Comma 4 3 2 3 2 3" xfId="15261" xr:uid="{B6219140-2954-4DC1-915E-154A7B636218}"/>
    <cellStyle name="Comma 4 3 2 3 2 3 2" xfId="22800" xr:uid="{EE4ED4D9-B34F-4B5C-A050-185D50278517}"/>
    <cellStyle name="Comma 4 3 2 3 2 3 3" xfId="48360" xr:uid="{2C8F1C8F-940C-4F9D-A6C1-2FD80328E432}"/>
    <cellStyle name="Comma 4 3 2 3 2 3 4" xfId="52138" xr:uid="{3EEF6CEA-725B-4DF5-A0C8-E4AEBE75658B}"/>
    <cellStyle name="Comma 4 3 2 3 2 3 5" xfId="55154" xr:uid="{30964FE2-5338-4947-A9DD-AE415A1E9418}"/>
    <cellStyle name="Comma 4 3 2 3 2 3 6" xfId="19263" xr:uid="{80AAB4CA-A63B-4084-8CB4-E6C9157DB5C9}"/>
    <cellStyle name="Comma 4 3 2 3 2 4" xfId="15748" xr:uid="{63F0C5E0-1959-4F93-AB5B-6536C042A1DC}"/>
    <cellStyle name="Comma 4 3 2 3 2 4 2" xfId="23277" xr:uid="{06153933-38C4-4E6D-B699-D7EA0FD7D580}"/>
    <cellStyle name="Comma 4 3 2 3 2 4 3" xfId="48541" xr:uid="{0841C078-CAFB-40E6-B1B1-F91F44E577D4}"/>
    <cellStyle name="Comma 4 3 2 3 2 4 4" xfId="52615" xr:uid="{EB07FE4C-BD71-41A7-886F-0AA9FD9DBF93}"/>
    <cellStyle name="Comma 4 3 2 3 2 4 5" xfId="55631" xr:uid="{716D2D96-E127-4148-AD5F-42D813EEAE2C}"/>
    <cellStyle name="Comma 4 3 2 3 2 4 6" xfId="19408" xr:uid="{19ABE45B-8178-4484-8BC3-EAFA7F006DE7}"/>
    <cellStyle name="Comma 4 3 2 3 2 5" xfId="12784" xr:uid="{537CE599-C9B3-49BF-B1DD-C544C841DC58}"/>
    <cellStyle name="Comma 4 3 2 3 2 5 2" xfId="47323" xr:uid="{D116F6C2-2251-4E0F-8CA3-93E09877845D}"/>
    <cellStyle name="Comma 4 3 2 3 2 5 3" xfId="51184" xr:uid="{708E09D9-D57F-46C7-8433-47BADAB26989}"/>
    <cellStyle name="Comma 4 3 2 3 2 5 4" xfId="54200" xr:uid="{CAA766EA-03A1-4E0B-9174-DBC5EAD43915}"/>
    <cellStyle name="Comma 4 3 2 3 2 5 5" xfId="21978" xr:uid="{8038469B-7419-4B46-B21A-9F252DD87419}"/>
    <cellStyle name="Comma 4 3 2 3 2 6" xfId="46986" xr:uid="{E7523D2D-85C8-461C-BD43-CDFBD9825F4F}"/>
    <cellStyle name="Comma 4 3 2 3 2 7" xfId="50078" xr:uid="{BDCD5B4D-999C-4E1A-B2FF-F8681A4A7BDD}"/>
    <cellStyle name="Comma 4 3 2 3 2 8" xfId="53094" xr:uid="{2E61F2DD-6DB0-4B27-90A0-0206D5309127}"/>
    <cellStyle name="Comma 4 3 2 3 2 9" xfId="18899" xr:uid="{E281ABBE-67E6-4280-B98E-0D528A3621DC}"/>
    <cellStyle name="Comma 4 3 2 3 3" xfId="14564" xr:uid="{52B9F2F1-5C41-4B68-A96D-3CCB64704EB8}"/>
    <cellStyle name="Comma 4 3 2 3 3 2" xfId="22111" xr:uid="{8C808E6E-4BAC-4C61-85D0-D2958A043299}"/>
    <cellStyle name="Comma 4 3 2 3 3 3" xfId="46398" xr:uid="{4F501408-5CA3-49B3-93ED-D8465050A758}"/>
    <cellStyle name="Comma 4 3 2 3 3 4" xfId="51449" xr:uid="{2289DD71-AC9F-4C88-8260-7B99ACA838AD}"/>
    <cellStyle name="Comma 4 3 2 3 3 5" xfId="54465" xr:uid="{39F37398-E306-4DDF-995E-B5A51EF5E9EA}"/>
    <cellStyle name="Comma 4 3 2 3 3 6" xfId="19060" xr:uid="{CA633690-8879-4448-A5A7-B77BC002EB2A}"/>
    <cellStyle name="Comma 4 3 2 3 4" xfId="15048" xr:uid="{8D6D78B9-2E8A-454D-B9D2-BBC8BD3D3ACF}"/>
    <cellStyle name="Comma 4 3 2 3 4 2" xfId="22588" xr:uid="{0E72B123-5C25-4487-9885-F6147FCB3967}"/>
    <cellStyle name="Comma 4 3 2 3 4 3" xfId="46875" xr:uid="{6AEEB412-2DF9-4B5B-8601-6D79F34A79EC}"/>
    <cellStyle name="Comma 4 3 2 3 4 4" xfId="51926" xr:uid="{88DB1564-A573-4C3C-AF6A-DB5C930D7F0D}"/>
    <cellStyle name="Comma 4 3 2 3 4 5" xfId="54942" xr:uid="{77B0265F-ABCF-4A45-AF9B-9C47B3FC390A}"/>
    <cellStyle name="Comma 4 3 2 3 4 6" xfId="19202" xr:uid="{0F199403-48B8-47D9-A310-D8E4A601EF47}"/>
    <cellStyle name="Comma 4 3 2 3 5" xfId="15535" xr:uid="{B7716B77-5509-49FA-BB93-EB05AA96DD2E}"/>
    <cellStyle name="Comma 4 3 2 3 5 2" xfId="23065" xr:uid="{F0DA2BE7-0F1F-4BBA-BEBB-21DBD312EC20}"/>
    <cellStyle name="Comma 4 3 2 3 5 3" xfId="47788" xr:uid="{D05659F3-39DD-47AF-A2FA-39F22ED27B26}"/>
    <cellStyle name="Comma 4 3 2 3 5 4" xfId="52403" xr:uid="{1C8F25D2-6F74-4B8C-A194-A2E0D282AF1D}"/>
    <cellStyle name="Comma 4 3 2 3 5 5" xfId="55419" xr:uid="{9641DC73-EC7C-4AB6-9601-F3428B52214E}"/>
    <cellStyle name="Comma 4 3 2 3 5 6" xfId="19347" xr:uid="{2C93DCDB-CAC8-48BB-9817-99CCC2477330}"/>
    <cellStyle name="Comma 4 3 2 3 6" xfId="12483" xr:uid="{F091AF7D-594A-414C-B609-3C6BA77748CC}"/>
    <cellStyle name="Comma 4 3 2 3 6 2" xfId="46758" xr:uid="{9ECAD6BF-9E8C-4A46-B340-F3898EED7EDF}"/>
    <cellStyle name="Comma 4 3 2 3 6 3" xfId="50972" xr:uid="{0C39AE62-6E8F-46B2-BFC2-24BC38F4D6AC}"/>
    <cellStyle name="Comma 4 3 2 3 6 4" xfId="53988" xr:uid="{259A69A9-6675-4677-B854-891565AE43D4}"/>
    <cellStyle name="Comma 4 3 2 3 6 5" xfId="21917" xr:uid="{B77B9532-F3D8-4A24-A15A-5D1443120B1A}"/>
    <cellStyle name="Comma 4 3 2 3 7" xfId="32305" xr:uid="{3412C76D-FF24-47A1-B064-18B2E4442012}"/>
    <cellStyle name="Comma 4 3 2 3 8" xfId="49866" xr:uid="{763D3028-7C66-4556-81F4-033A997499B7}"/>
    <cellStyle name="Comma 4 3 2 3 9" xfId="52882" xr:uid="{03AAB184-67A7-4F32-BD81-7FAE3D453EEC}"/>
    <cellStyle name="Comma 4 3 2 4" xfId="10097" xr:uid="{EDA4E2F0-6194-4983-8BD7-655C6D07A3F1}"/>
    <cellStyle name="Comma 4 3 2 4 10" xfId="18783" xr:uid="{448BECD9-75FE-493D-87B8-082A13D4E47B}"/>
    <cellStyle name="Comma 4 3 2 4 2" xfId="10410" xr:uid="{7C849462-5580-4381-A752-5354548F2CCD}"/>
    <cellStyle name="Comma 4 3 2 4 2 2" xfId="14829" xr:uid="{B0104600-7069-413C-B12B-1690480B24A4}"/>
    <cellStyle name="Comma 4 3 2 4 2 2 2" xfId="22376" xr:uid="{7571C2AE-1673-43F4-891E-F540FB8B5E34}"/>
    <cellStyle name="Comma 4 3 2 4 2 2 3" xfId="46866" xr:uid="{681F1138-F8D9-4BB7-9377-EE9920300CC1}"/>
    <cellStyle name="Comma 4 3 2 4 2 2 4" xfId="51714" xr:uid="{5B0641D8-F146-447C-9EB8-182533BFFF09}"/>
    <cellStyle name="Comma 4 3 2 4 2 2 5" xfId="54730" xr:uid="{8039C748-7F36-4E14-A04C-B6E0DE80BD70}"/>
    <cellStyle name="Comma 4 3 2 4 2 2 6" xfId="19135" xr:uid="{8E92BC52-4076-4299-A9DA-DA7DAF38F74C}"/>
    <cellStyle name="Comma 4 3 2 4 2 3" xfId="15314" xr:uid="{2DB74977-1072-42A0-8E80-7A88B83C5CDB}"/>
    <cellStyle name="Comma 4 3 2 4 2 3 2" xfId="22853" xr:uid="{04F9DD49-DED7-46BD-91A3-6757D19DA2E7}"/>
    <cellStyle name="Comma 4 3 2 4 2 3 3" xfId="48554" xr:uid="{8CFE9926-05C2-4378-9CFA-D40C4C06BF49}"/>
    <cellStyle name="Comma 4 3 2 4 2 3 4" xfId="52191" xr:uid="{AFCA13F2-5451-4F70-BE89-DC97FB11098D}"/>
    <cellStyle name="Comma 4 3 2 4 2 3 5" xfId="55207" xr:uid="{E0DA817C-5A5A-4FC4-8BEF-2AA54A66113E}"/>
    <cellStyle name="Comma 4 3 2 4 2 3 6" xfId="19278" xr:uid="{C65AED5B-7AEA-49E3-AB13-163A433C88BF}"/>
    <cellStyle name="Comma 4 3 2 4 2 4" xfId="15801" xr:uid="{C2AE0339-2D3A-40A8-883F-085EBACE4E40}"/>
    <cellStyle name="Comma 4 3 2 4 2 4 2" xfId="23330" xr:uid="{5A71A0B5-E65D-436B-A367-77BA6D049067}"/>
    <cellStyle name="Comma 4 3 2 4 2 4 3" xfId="47257" xr:uid="{623AB560-5BFD-41BD-A6B9-80E67D7E050D}"/>
    <cellStyle name="Comma 4 3 2 4 2 4 4" xfId="52668" xr:uid="{72043A9E-FF69-4270-A99E-05634C287145}"/>
    <cellStyle name="Comma 4 3 2 4 2 4 5" xfId="55684" xr:uid="{D31B31E8-60DC-442A-B02C-E9E5BE29C462}"/>
    <cellStyle name="Comma 4 3 2 4 2 4 6" xfId="19423" xr:uid="{C40E6B5B-3671-4D3E-90F5-30194715F73B}"/>
    <cellStyle name="Comma 4 3 2 4 2 5" xfId="12863" xr:uid="{9AD40D98-FD4A-4444-AD83-E1C46B0F9813}"/>
    <cellStyle name="Comma 4 3 2 4 2 5 2" xfId="48142" xr:uid="{88F2C081-E151-4055-8941-CA986A8D7B22}"/>
    <cellStyle name="Comma 4 3 2 4 2 5 3" xfId="51237" xr:uid="{F0D20FE9-8AC6-4EF6-B360-77E9405C5BB3}"/>
    <cellStyle name="Comma 4 3 2 4 2 5 4" xfId="54253" xr:uid="{E346B2F7-4E34-44CA-8574-6985116AE9ED}"/>
    <cellStyle name="Comma 4 3 2 4 2 5 5" xfId="21993" xr:uid="{6D8F3ACD-3561-44AB-9D10-D859593D0AC3}"/>
    <cellStyle name="Comma 4 3 2 4 2 6" xfId="46113" xr:uid="{26783784-9D17-4360-882F-54338F377BF8}"/>
    <cellStyle name="Comma 4 3 2 4 2 7" xfId="50131" xr:uid="{06A0FD1B-3ACB-432C-B262-D4C4FD442049}"/>
    <cellStyle name="Comma 4 3 2 4 2 8" xfId="53147" xr:uid="{628F0AFA-7E77-472A-A3E4-E55D3D06119F}"/>
    <cellStyle name="Comma 4 3 2 4 2 9" xfId="18940" xr:uid="{427A3DCD-D965-45EA-995B-34CFB1D59EAD}"/>
    <cellStyle name="Comma 4 3 2 4 3" xfId="14617" xr:uid="{B35ED04B-B754-4FC5-AD9F-5B06F2454365}"/>
    <cellStyle name="Comma 4 3 2 4 3 2" xfId="22164" xr:uid="{D31E6E84-5BFE-456C-A2AE-43B8FDB83B8E}"/>
    <cellStyle name="Comma 4 3 2 4 3 3" xfId="46409" xr:uid="{0892A9B7-0217-471F-A88D-B924AD514973}"/>
    <cellStyle name="Comma 4 3 2 4 3 4" xfId="51502" xr:uid="{56C98AC3-C64C-4349-AC0C-6FF685BF14E3}"/>
    <cellStyle name="Comma 4 3 2 4 3 5" xfId="54518" xr:uid="{2B039AFE-9A5F-4176-B942-8A59AF9C4518}"/>
    <cellStyle name="Comma 4 3 2 4 3 6" xfId="19075" xr:uid="{B6A82651-FD30-434C-AA51-B226F6F87625}"/>
    <cellStyle name="Comma 4 3 2 4 4" xfId="15102" xr:uid="{5EAD7F44-D0DC-416A-8807-B7E55ADF8365}"/>
    <cellStyle name="Comma 4 3 2 4 4 2" xfId="22641" xr:uid="{055C905B-8A10-401A-8C64-39605CBE4F8C}"/>
    <cellStyle name="Comma 4 3 2 4 4 3" xfId="47543" xr:uid="{85809CFB-DFBC-4805-B36B-8775012E9123}"/>
    <cellStyle name="Comma 4 3 2 4 4 4" xfId="51979" xr:uid="{C3250168-5A02-46DF-9258-A2DCFBAD7054}"/>
    <cellStyle name="Comma 4 3 2 4 4 5" xfId="54995" xr:uid="{2ABA27B2-13E6-4E76-9BA2-DC4A5B36543F}"/>
    <cellStyle name="Comma 4 3 2 4 4 6" xfId="19218" xr:uid="{69101717-2FDC-48E6-8095-736249438B01}"/>
    <cellStyle name="Comma 4 3 2 4 5" xfId="15589" xr:uid="{D768D121-4496-423C-9591-225D85C2C084}"/>
    <cellStyle name="Comma 4 3 2 4 5 2" xfId="23118" xr:uid="{F5A3C499-604D-43B9-98A8-6A00CE1157B4}"/>
    <cellStyle name="Comma 4 3 2 4 5 3" xfId="46696" xr:uid="{80BA26C8-CD2E-4216-9A60-FC5C23F4775A}"/>
    <cellStyle name="Comma 4 3 2 4 5 4" xfId="52456" xr:uid="{1F68793F-5A87-4B9F-8C89-E843A9BADB82}"/>
    <cellStyle name="Comma 4 3 2 4 5 5" xfId="55472" xr:uid="{8126719C-6223-48AF-8800-2FF10CA53DCB}"/>
    <cellStyle name="Comma 4 3 2 4 5 6" xfId="19363" xr:uid="{13C3F130-6DA4-4A84-989F-7892A93DE681}"/>
    <cellStyle name="Comma 4 3 2 4 6" xfId="12554" xr:uid="{19616FA7-3D06-4566-8B31-56572068A7B1}"/>
    <cellStyle name="Comma 4 3 2 4 6 2" xfId="47915" xr:uid="{66103C8A-1985-4F61-A09C-95F64CDD4FBA}"/>
    <cellStyle name="Comma 4 3 2 4 6 3" xfId="51025" xr:uid="{51C2BC56-3CAB-441B-9F57-C355C3C8B39E}"/>
    <cellStyle name="Comma 4 3 2 4 6 4" xfId="54041" xr:uid="{05FFBF85-B98C-43F0-9A26-F24F9DC3F18A}"/>
    <cellStyle name="Comma 4 3 2 4 6 5" xfId="21933" xr:uid="{C36CC95C-624B-4ECE-A6F0-792BB65AF6C8}"/>
    <cellStyle name="Comma 4 3 2 4 7" xfId="46044" xr:uid="{B6772C1A-DB61-4D8E-9334-C191D5F1DEB4}"/>
    <cellStyle name="Comma 4 3 2 4 8" xfId="49919" xr:uid="{276F0CEC-0D01-4D1D-9A62-A2B75F0581D9}"/>
    <cellStyle name="Comma 4 3 2 4 9" xfId="52935" xr:uid="{81ACFDDD-E263-4347-9C57-2E55AFF63304}"/>
    <cellStyle name="Comma 4 3 2 5" xfId="10176" xr:uid="{79B87EF2-3B93-47E2-B967-EC8208A4E31C}"/>
    <cellStyle name="Comma 4 3 2 5 10" xfId="18821" xr:uid="{DE850140-BCD9-4FEA-895E-851A51D0D940}"/>
    <cellStyle name="Comma 4 3 2 5 2" xfId="10490" xr:uid="{287A6C8D-E93F-4170-8C29-A100216A4A83}"/>
    <cellStyle name="Comma 4 3 2 5 2 2" xfId="14882" xr:uid="{94F9E76F-E716-4DF7-A27E-3C0067F58F27}"/>
    <cellStyle name="Comma 4 3 2 5 2 2 2" xfId="22429" xr:uid="{0B34CB94-200D-4D05-A3E8-9DA14FE38B36}"/>
    <cellStyle name="Comma 4 3 2 5 2 2 3" xfId="47268" xr:uid="{C66F1D03-A3DC-47FF-88B1-7B0FFA603088}"/>
    <cellStyle name="Comma 4 3 2 5 2 2 4" xfId="51767" xr:uid="{B5BBEB95-A9D9-4730-A888-D4FC444B7CAB}"/>
    <cellStyle name="Comma 4 3 2 5 2 2 5" xfId="54783" xr:uid="{4DDC39E5-2139-4BB9-BA6F-2337EBD26E9D}"/>
    <cellStyle name="Comma 4 3 2 5 2 2 6" xfId="19150" xr:uid="{0D6D0E43-3B10-474F-A2BE-4D1BF3672BF3}"/>
    <cellStyle name="Comma 4 3 2 5 2 3" xfId="15367" xr:uid="{9F8B7D67-7419-4FF4-ABFF-113D4E5B828E}"/>
    <cellStyle name="Comma 4 3 2 5 2 3 2" xfId="22906" xr:uid="{28A83C0C-24A1-41FA-B33A-8DCB6BBFF424}"/>
    <cellStyle name="Comma 4 3 2 5 2 3 3" xfId="48514" xr:uid="{357B2941-6754-4CD4-A081-AEE93118AE56}"/>
    <cellStyle name="Comma 4 3 2 5 2 3 4" xfId="52244" xr:uid="{9556412E-7724-44E3-AB93-BF4B9DEC9771}"/>
    <cellStyle name="Comma 4 3 2 5 2 3 5" xfId="55260" xr:uid="{E3FE1952-0D96-4534-A633-0845233FFB09}"/>
    <cellStyle name="Comma 4 3 2 5 2 3 6" xfId="19293" xr:uid="{D618FE97-ABB7-47FE-A459-160157BB9649}"/>
    <cellStyle name="Comma 4 3 2 5 2 4" xfId="15854" xr:uid="{30A17212-7269-4A72-903C-C519AAB711DD}"/>
    <cellStyle name="Comma 4 3 2 5 2 4 2" xfId="23383" xr:uid="{8CCD038D-4B45-44EE-B66C-A0C2B19CD88C}"/>
    <cellStyle name="Comma 4 3 2 5 2 4 3" xfId="47950" xr:uid="{7A680DDD-7B96-424B-9A06-AFA0121E618A}"/>
    <cellStyle name="Comma 4 3 2 5 2 4 4" xfId="52721" xr:uid="{A71EB0AB-4AC7-4E2C-816B-96B9531F4989}"/>
    <cellStyle name="Comma 4 3 2 5 2 4 5" xfId="55737" xr:uid="{A13322DF-0A9F-4BC4-B4F5-A5AFF62F02ED}"/>
    <cellStyle name="Comma 4 3 2 5 2 4 6" xfId="19438" xr:uid="{3F4442A6-3539-43AE-8217-5DBE15A9BED4}"/>
    <cellStyle name="Comma 4 3 2 5 2 5" xfId="12943" xr:uid="{DB903E98-D1AC-4F1A-8ADC-38DFF23F94E6}"/>
    <cellStyle name="Comma 4 3 2 5 2 5 2" xfId="47052" xr:uid="{341A1544-54E1-4D9C-BF4C-A86C1A4C3EF9}"/>
    <cellStyle name="Comma 4 3 2 5 2 5 3" xfId="51290" xr:uid="{94A7A8E1-625B-42DC-A46D-B1C5412F73A7}"/>
    <cellStyle name="Comma 4 3 2 5 2 5 4" xfId="54306" xr:uid="{F3D38361-8B18-4C2F-B372-B1CAE3F61243}"/>
    <cellStyle name="Comma 4 3 2 5 2 5 5" xfId="22008" xr:uid="{1866DDE1-2A12-4E01-AB7F-29E577CE6651}"/>
    <cellStyle name="Comma 4 3 2 5 2 6" xfId="46133" xr:uid="{8341A6EC-C021-4408-B608-3FD1B1407C83}"/>
    <cellStyle name="Comma 4 3 2 5 2 7" xfId="50184" xr:uid="{742D8C1C-86D5-41DD-A6D3-B3A264F437FF}"/>
    <cellStyle name="Comma 4 3 2 5 2 8" xfId="53200" xr:uid="{E3D20998-08F4-4FA6-AB1C-6C674B5B5CE9}"/>
    <cellStyle name="Comma 4 3 2 5 2 9" xfId="18982" xr:uid="{CA33E2C4-C75D-42F0-945D-77DD3B0E7E75}"/>
    <cellStyle name="Comma 4 3 2 5 3" xfId="14670" xr:uid="{489ECFD5-3F90-4ADB-BCD8-BD9AB877FD48}"/>
    <cellStyle name="Comma 4 3 2 5 3 2" xfId="22217" xr:uid="{A7F56B01-3011-41DC-9FA3-BA4B33171221}"/>
    <cellStyle name="Comma 4 3 2 5 3 3" xfId="47178" xr:uid="{3CA047A0-992D-4686-BB49-0E1A38FBD8BB}"/>
    <cellStyle name="Comma 4 3 2 5 3 4" xfId="51555" xr:uid="{BD9175BD-8E96-4B53-A859-385BBAE07FFA}"/>
    <cellStyle name="Comma 4 3 2 5 3 5" xfId="54571" xr:uid="{64422B49-562E-4010-9953-DCE4D078ABD6}"/>
    <cellStyle name="Comma 4 3 2 5 3 6" xfId="19090" xr:uid="{45C6AEFE-4484-494B-A5D7-B13600EBB09D}"/>
    <cellStyle name="Comma 4 3 2 5 4" xfId="15155" xr:uid="{006CBAAF-442E-49A7-879D-60B5B467FEF8}"/>
    <cellStyle name="Comma 4 3 2 5 4 2" xfId="22694" xr:uid="{73F5B7D6-C109-430D-A9B7-AA29CCA1E6AD}"/>
    <cellStyle name="Comma 4 3 2 5 4 3" xfId="47387" xr:uid="{BCB557A0-8415-4927-ABE3-3275CBE4763B}"/>
    <cellStyle name="Comma 4 3 2 5 4 4" xfId="52032" xr:uid="{FC55F71C-5890-4F46-918E-9EA87D3AF6D6}"/>
    <cellStyle name="Comma 4 3 2 5 4 5" xfId="55048" xr:uid="{E0BDC0CE-8680-495C-8F5A-942FFCA531BE}"/>
    <cellStyle name="Comma 4 3 2 5 4 6" xfId="19233" xr:uid="{90B2F0E2-406A-4491-910C-246297C420C0}"/>
    <cellStyle name="Comma 4 3 2 5 5" xfId="15642" xr:uid="{00117C76-0B60-4C0B-BBEF-782B01D6D894}"/>
    <cellStyle name="Comma 4 3 2 5 5 2" xfId="23171" xr:uid="{C3BC20D6-B57E-4A2A-BDF6-EF7C536E6252}"/>
    <cellStyle name="Comma 4 3 2 5 5 3" xfId="46563" xr:uid="{12BB0F57-02FA-47D6-BDDD-3FDD87C7132D}"/>
    <cellStyle name="Comma 4 3 2 5 5 4" xfId="52509" xr:uid="{A2E43D14-E4E5-4FDE-8595-6B7432F17EA1}"/>
    <cellStyle name="Comma 4 3 2 5 5 5" xfId="55525" xr:uid="{80246592-3CF5-426D-B786-609F2BBA1563}"/>
    <cellStyle name="Comma 4 3 2 5 5 6" xfId="19378" xr:uid="{37D043FB-BA68-4456-94CC-91601CFFD100}"/>
    <cellStyle name="Comma 4 3 2 5 6" xfId="12630" xr:uid="{2C12342B-5B17-4D23-9896-A4C8733205C1}"/>
    <cellStyle name="Comma 4 3 2 5 6 2" xfId="47398" xr:uid="{AE0CD992-262D-4A97-B202-B21E2CD79B02}"/>
    <cellStyle name="Comma 4 3 2 5 6 3" xfId="51078" xr:uid="{274494E4-E2E0-48CC-9BC6-57DCF6ACDF40}"/>
    <cellStyle name="Comma 4 3 2 5 6 4" xfId="54094" xr:uid="{6DB43078-5193-4F42-BB6A-204AC9518600}"/>
    <cellStyle name="Comma 4 3 2 5 6 5" xfId="21948" xr:uid="{015583E9-9997-4CD8-A225-BD7688D894CB}"/>
    <cellStyle name="Comma 4 3 2 5 7" xfId="48233" xr:uid="{BF9777A5-35A3-4735-8973-6964FEA9D4EE}"/>
    <cellStyle name="Comma 4 3 2 5 8" xfId="49972" xr:uid="{EDD8A712-E536-4DDC-B5DD-2D37EBFE417A}"/>
    <cellStyle name="Comma 4 3 2 5 9" xfId="52988" xr:uid="{24F2BB2C-61B1-46D6-85A8-8A26959644DD}"/>
    <cellStyle name="Comma 4 3 2 6" xfId="10256" xr:uid="{D3DF042C-815D-41EE-AAF7-B66FE7E22513}"/>
    <cellStyle name="Comma 4 3 2 6 2" xfId="14723" xr:uid="{2788F80C-EE08-4435-ACA2-B56654F50D8F}"/>
    <cellStyle name="Comma 4 3 2 6 2 2" xfId="22270" xr:uid="{CEF4584A-118B-4C1A-8BC0-BED28523D21D}"/>
    <cellStyle name="Comma 4 3 2 6 2 3" xfId="47831" xr:uid="{E4C246D4-AD61-49D0-9A70-0689437A2B14}"/>
    <cellStyle name="Comma 4 3 2 6 2 4" xfId="51608" xr:uid="{40B7F50B-4C40-4853-9187-63AB9EA10DA9}"/>
    <cellStyle name="Comma 4 3 2 6 2 5" xfId="54624" xr:uid="{2B401F1A-3D43-4D74-99EF-0503CCEBD98A}"/>
    <cellStyle name="Comma 4 3 2 6 2 6" xfId="19105" xr:uid="{FA77366E-5602-4C73-9F8D-68FC70AFEE7F}"/>
    <cellStyle name="Comma 4 3 2 6 3" xfId="15208" xr:uid="{FD75E04A-5438-4FCA-B402-2DF4025BDBD9}"/>
    <cellStyle name="Comma 4 3 2 6 3 2" xfId="22747" xr:uid="{5473F598-9145-4029-83BB-37C8F06B98DA}"/>
    <cellStyle name="Comma 4 3 2 6 3 3" xfId="47984" xr:uid="{5C298295-E525-40DA-B230-6E2A00B6987C}"/>
    <cellStyle name="Comma 4 3 2 6 3 4" xfId="52085" xr:uid="{04B1B760-BDEC-4848-BAA7-24DA76A8EFE8}"/>
    <cellStyle name="Comma 4 3 2 6 3 5" xfId="55101" xr:uid="{7B7D2FA5-2F50-412C-8577-0494C82F24D5}"/>
    <cellStyle name="Comma 4 3 2 6 3 6" xfId="19248" xr:uid="{3DDF3F13-8AC9-41F2-B791-9E678745DB0E}"/>
    <cellStyle name="Comma 4 3 2 6 4" xfId="15695" xr:uid="{C0D206E5-07A8-43BF-A6C1-1186A9EA51FC}"/>
    <cellStyle name="Comma 4 3 2 6 4 2" xfId="23224" xr:uid="{913A5979-46BA-4803-903F-B0589A5E8277}"/>
    <cellStyle name="Comma 4 3 2 6 4 3" xfId="46698" xr:uid="{7388D550-2AEA-422B-8158-783FC380A71C}"/>
    <cellStyle name="Comma 4 3 2 6 4 4" xfId="52562" xr:uid="{3CE18874-672E-4262-A57B-E6288C93FE86}"/>
    <cellStyle name="Comma 4 3 2 6 4 5" xfId="55578" xr:uid="{B77F5A85-7CDC-4278-AA4F-C3F25EC98AB9}"/>
    <cellStyle name="Comma 4 3 2 6 4 6" xfId="19393" xr:uid="{0F10FECC-9E5F-4DB0-83F5-15D4DA050133}"/>
    <cellStyle name="Comma 4 3 2 6 5" xfId="12709" xr:uid="{F87FAE4A-04B2-413D-BC9A-EDECEDE6DC96}"/>
    <cellStyle name="Comma 4 3 2 6 5 2" xfId="24692" xr:uid="{C245A16C-EAFB-4494-966F-A9137CB6457A}"/>
    <cellStyle name="Comma 4 3 2 6 5 3" xfId="51131" xr:uid="{7BFC8180-C30A-4C17-A9BF-4B3B3FFF192A}"/>
    <cellStyle name="Comma 4 3 2 6 5 4" xfId="54147" xr:uid="{C3355F88-4537-414D-B059-41499EBDE91C}"/>
    <cellStyle name="Comma 4 3 2 6 5 5" xfId="21963" xr:uid="{FF05E23E-CC60-4003-A859-CEB750A56655}"/>
    <cellStyle name="Comma 4 3 2 6 6" xfId="34569" xr:uid="{071AF9D6-374B-47DE-866F-1B0D6FFEA20C}"/>
    <cellStyle name="Comma 4 3 2 6 7" xfId="50025" xr:uid="{53D23AB9-C646-44CE-9909-92844DF630FD}"/>
    <cellStyle name="Comma 4 3 2 6 8" xfId="53041" xr:uid="{962E909A-04FE-4E22-8A48-FE5020DE78C3}"/>
    <cellStyle name="Comma 4 3 2 6 9" xfId="18862" xr:uid="{D4B4A801-269D-433C-B172-EA51B6A7DA2B}"/>
    <cellStyle name="Comma 4 3 2 7" xfId="10570" xr:uid="{8817C75D-FBBF-42C5-A035-1801676CF32D}"/>
    <cellStyle name="Comma 4 3 2 7 2" xfId="14935" xr:uid="{383D9273-732D-47CF-A41D-AA6523AFFAB3}"/>
    <cellStyle name="Comma 4 3 2 7 2 2" xfId="22482" xr:uid="{4880CE25-8AEB-468E-88BF-C92A28531237}"/>
    <cellStyle name="Comma 4 3 2 7 2 3" xfId="46685" xr:uid="{5BDCB59E-9ED1-4F96-9795-8F41C08FDCF1}"/>
    <cellStyle name="Comma 4 3 2 7 2 4" xfId="51820" xr:uid="{8AF9C19E-A957-4883-B088-1063760DE213}"/>
    <cellStyle name="Comma 4 3 2 7 2 5" xfId="54836" xr:uid="{64EFED59-6884-4387-BBC1-7D274990B723}"/>
    <cellStyle name="Comma 4 3 2 7 2 6" xfId="19165" xr:uid="{8DCB0EE6-5C55-41A0-B74C-6A62691B3BC1}"/>
    <cellStyle name="Comma 4 3 2 7 3" xfId="15420" xr:uid="{759FA83D-30B6-4608-846F-4ADA1B374B3D}"/>
    <cellStyle name="Comma 4 3 2 7 3 2" xfId="22959" xr:uid="{B3B48F41-31AC-492E-9DBD-CEE0009F0D99}"/>
    <cellStyle name="Comma 4 3 2 7 3 3" xfId="48267" xr:uid="{F7030B6C-01EF-46D8-A51E-B45A83F44E86}"/>
    <cellStyle name="Comma 4 3 2 7 3 4" xfId="52297" xr:uid="{377DEC11-B47A-48B3-9E80-2347E99127DC}"/>
    <cellStyle name="Comma 4 3 2 7 3 5" xfId="55313" xr:uid="{4355391D-021B-440F-982F-EBB7249CB091}"/>
    <cellStyle name="Comma 4 3 2 7 3 6" xfId="19308" xr:uid="{8DFFD457-107D-4A40-AF83-9DB4699C4453}"/>
    <cellStyle name="Comma 4 3 2 7 4" xfId="15908" xr:uid="{2BB0C9C7-CD3C-48D3-8521-56CBF673BBD5}"/>
    <cellStyle name="Comma 4 3 2 7 4 2" xfId="23436" xr:uid="{D96FBB54-3F73-4BEB-A9D5-EEF1473567F8}"/>
    <cellStyle name="Comma 4 3 2 7 4 3" xfId="47084" xr:uid="{E6B756ED-1A9E-40FF-B48F-724F4D7F7A85}"/>
    <cellStyle name="Comma 4 3 2 7 4 4" xfId="52774" xr:uid="{4E10821F-65CD-4701-9876-368E86E3AAE1}"/>
    <cellStyle name="Comma 4 3 2 7 4 5" xfId="55790" xr:uid="{1E504EF0-66F8-4424-9473-173D218699F7}"/>
    <cellStyle name="Comma 4 3 2 7 4 6" xfId="19454" xr:uid="{06DE0C8F-2BBF-49D9-835D-2753860124F4}"/>
    <cellStyle name="Comma 4 3 2 7 5" xfId="13023" xr:uid="{33786343-51B8-4B44-A8E4-2D11B3C3BFD8}"/>
    <cellStyle name="Comma 4 3 2 7 5 2" xfId="25029" xr:uid="{DE6F336F-4AA3-4390-8643-1849B313999F}"/>
    <cellStyle name="Comma 4 3 2 7 5 3" xfId="51343" xr:uid="{680C1A71-032A-4F71-9612-9D6C24CC1520}"/>
    <cellStyle name="Comma 4 3 2 7 5 4" xfId="54359" xr:uid="{033243B5-7FD8-4FC5-B133-9753E22732CB}"/>
    <cellStyle name="Comma 4 3 2 7 5 5" xfId="22023" xr:uid="{F95FDC7E-5D8D-4BF3-8821-393C5D7D368A}"/>
    <cellStyle name="Comma 4 3 2 7 6" xfId="32381" xr:uid="{C1A2E9C6-D250-4A3C-8505-C8A6DDE2525D}"/>
    <cellStyle name="Comma 4 3 2 7 7" xfId="50237" xr:uid="{D2E81E68-2545-43E2-ACB7-A8E83C07B67F}"/>
    <cellStyle name="Comma 4 3 2 7 8" xfId="53253" xr:uid="{8ACD27DD-0239-4B09-B5B8-49C4B35647E7}"/>
    <cellStyle name="Comma 4 3 2 7 9" xfId="19024" xr:uid="{3970AF85-2111-4678-900B-4295C801894A}"/>
    <cellStyle name="Comma 4 3 2 8" xfId="14362" xr:uid="{6945D96D-F212-49CD-934E-727ED0E7BF40}"/>
    <cellStyle name="Comma 4 3 2 9" xfId="14511" xr:uid="{956116EE-8A48-48F6-9D9A-04AD4AEFE1C5}"/>
    <cellStyle name="Comma 4 3 2 9 2" xfId="22058" xr:uid="{AF97D799-EACC-40D7-AB18-2435581F0333}"/>
    <cellStyle name="Comma 4 3 2 9 3" xfId="24982" xr:uid="{F33B98EC-C100-4FE9-B026-7B37E3C67A9B}"/>
    <cellStyle name="Comma 4 3 2 9 4" xfId="51396" xr:uid="{0146A5A1-58F7-4150-9605-E87D451A3617}"/>
    <cellStyle name="Comma 4 3 2 9 5" xfId="54412" xr:uid="{04C93632-AF45-48A1-957B-11988FAC857A}"/>
    <cellStyle name="Comma 4 3 2 9 6" xfId="19045" xr:uid="{C26D05E0-AD71-48D8-BF81-3AC61EC9D6DD}"/>
    <cellStyle name="Comma 4 3 3" xfId="5825" xr:uid="{AAC923BD-FF0F-44E5-B686-610834EE5178}"/>
    <cellStyle name="Comma 4 3 3 10" xfId="12178" xr:uid="{0FF787A1-D7B6-4C77-A700-0F3FD860E0D1}"/>
    <cellStyle name="Comma 4 3 3 10 2" xfId="46755" xr:uid="{7296DD35-46C3-42D5-8C89-2571B381D65C}"/>
    <cellStyle name="Comma 4 3 3 10 3" xfId="50935" xr:uid="{F629FE6E-EF40-483A-A709-F247C13FFB6C}"/>
    <cellStyle name="Comma 4 3 3 10 4" xfId="53951" xr:uid="{0360482C-747D-4CE3-A00B-CDDEDDD56978}"/>
    <cellStyle name="Comma 4 3 3 10 5" xfId="21903" xr:uid="{4AF2EB3C-6797-4CC8-92A9-40BFB79192C3}"/>
    <cellStyle name="Comma 4 3 3 11" xfId="23767" xr:uid="{5737778B-A013-4005-B514-DC1B343A7A7A}"/>
    <cellStyle name="Comma 4 3 3 12" xfId="24008" xr:uid="{A9AEBC24-1C71-4884-9382-7F89AFD26460}"/>
    <cellStyle name="Comma 4 3 3 13" xfId="48648" xr:uid="{ECBD7348-0B26-433F-AD89-6C5C71842DE7}"/>
    <cellStyle name="Comma 4 3 3 14" xfId="49556" xr:uid="{B1429C54-F11D-4F92-A662-0352153AEDBA}"/>
    <cellStyle name="Comma 4 3 3 15" xfId="49815" xr:uid="{75C4D75C-F5C7-40EA-BEBD-D58BD2B95808}"/>
    <cellStyle name="Comma 4 3 3 16" xfId="52830" xr:uid="{232E548D-C2CD-4DCE-B44B-1428F7FACF9C}"/>
    <cellStyle name="Comma 4 3 3 17" xfId="18565" xr:uid="{68714CF1-B55A-4700-B091-B0738B64150E}"/>
    <cellStyle name="Comma 4 3 3 18" xfId="8938" xr:uid="{A95E16CA-A0ED-4E5C-8B47-31E9B35119DD}"/>
    <cellStyle name="Comma 4 3 3 2" xfId="10025" xr:uid="{E5208D61-D020-4F96-AF0A-B8CA79798572}"/>
    <cellStyle name="Comma 4 3 3 2 10" xfId="18752" xr:uid="{545C4E9A-1951-4B23-AF72-C8A8BC85BC02}"/>
    <cellStyle name="Comma 4 3 3 2 2" xfId="10333" xr:uid="{24DFD327-58B1-404F-8B07-2797BEA82839}"/>
    <cellStyle name="Comma 4 3 3 2 2 2" xfId="14778" xr:uid="{22D506E9-15D5-4FF7-935B-852F3E30678F}"/>
    <cellStyle name="Comma 4 3 3 2 2 2 2" xfId="22325" xr:uid="{5BA4F8A6-4486-4530-BBCD-EC7C9F19DF5B}"/>
    <cellStyle name="Comma 4 3 3 2 2 2 3" xfId="47983" xr:uid="{856AD813-A5D3-4B98-BA5C-2DBDE296E006}"/>
    <cellStyle name="Comma 4 3 3 2 2 2 4" xfId="51663" xr:uid="{35E3E91F-6285-4142-A707-6FBCBEC5C53D}"/>
    <cellStyle name="Comma 4 3 3 2 2 2 5" xfId="54679" xr:uid="{2BC5E2C8-FBE1-47F3-93A9-D69DB6F23524}"/>
    <cellStyle name="Comma 4 3 3 2 2 2 6" xfId="19122" xr:uid="{B32268CF-E4CF-40E5-B3AD-F576F45B59C0}"/>
    <cellStyle name="Comma 4 3 3 2 2 3" xfId="15263" xr:uid="{AAA9731E-8B4C-4066-9F64-7E2DE5BB6C1E}"/>
    <cellStyle name="Comma 4 3 3 2 2 3 2" xfId="22802" xr:uid="{DBDEA4B1-8D49-4A78-95F0-5356DCE4FF9F}"/>
    <cellStyle name="Comma 4 3 3 2 2 3 3" xfId="46505" xr:uid="{82F30BA7-519F-41B1-87C6-AB38E9F6074E}"/>
    <cellStyle name="Comma 4 3 3 2 2 3 4" xfId="52140" xr:uid="{8D89EDDF-BB36-413F-BBB7-2012BB7E4954}"/>
    <cellStyle name="Comma 4 3 3 2 2 3 5" xfId="55156" xr:uid="{C0F04AFA-8824-42C7-9DF7-AF0A1CE17C02}"/>
    <cellStyle name="Comma 4 3 3 2 2 3 6" xfId="19265" xr:uid="{3FE4A7EC-DEAA-4C7A-9815-74EACD722CE1}"/>
    <cellStyle name="Comma 4 3 3 2 2 4" xfId="15750" xr:uid="{92F5A496-6E65-4AB9-B262-1D67629813E2}"/>
    <cellStyle name="Comma 4 3 3 2 2 4 2" xfId="23279" xr:uid="{EF76FF73-3A28-419D-A421-F1AC6DAD717C}"/>
    <cellStyle name="Comma 4 3 3 2 2 4 3" xfId="47444" xr:uid="{99A559BE-FD0E-4136-B4ED-D0F707F6CE8D}"/>
    <cellStyle name="Comma 4 3 3 2 2 4 4" xfId="52617" xr:uid="{1202C505-277F-493E-82C6-4D6EC4A6A82E}"/>
    <cellStyle name="Comma 4 3 3 2 2 4 5" xfId="55633" xr:uid="{193CC1A4-B9A5-4D88-863A-95779871859C}"/>
    <cellStyle name="Comma 4 3 3 2 2 4 6" xfId="19410" xr:uid="{AD6E4271-3B2B-4224-AA18-C359E0228495}"/>
    <cellStyle name="Comma 4 3 3 2 2 5" xfId="12786" xr:uid="{5E38E33B-8088-45F9-94FA-70935CE18A45}"/>
    <cellStyle name="Comma 4 3 3 2 2 5 2" xfId="37112" xr:uid="{EFE56304-EFE9-4CD8-972E-0C84E61238F4}"/>
    <cellStyle name="Comma 4 3 3 2 2 5 3" xfId="51186" xr:uid="{31C0CA65-2284-4B74-900B-A61F2736D41E}"/>
    <cellStyle name="Comma 4 3 3 2 2 5 4" xfId="54202" xr:uid="{5E1AF882-D76D-47E8-91F6-0A4BA972AE51}"/>
    <cellStyle name="Comma 4 3 3 2 2 5 5" xfId="21980" xr:uid="{4A85FB29-8667-4792-BF34-5E792C777D27}"/>
    <cellStyle name="Comma 4 3 3 2 2 6" xfId="46624" xr:uid="{207D3B31-CA83-45EB-8AE2-EC5BEDF402F6}"/>
    <cellStyle name="Comma 4 3 3 2 2 7" xfId="50080" xr:uid="{2EE1C467-32B7-42BE-97F9-B1DAA6256261}"/>
    <cellStyle name="Comma 4 3 3 2 2 8" xfId="53096" xr:uid="{DE2AD215-2A4A-40CA-BDC0-61A7777302F2}"/>
    <cellStyle name="Comma 4 3 3 2 2 9" xfId="18901" xr:uid="{6EBBC870-90FC-44D0-9509-B8BBC1620F32}"/>
    <cellStyle name="Comma 4 3 3 2 3" xfId="14566" xr:uid="{3DF24314-4FAF-4DB9-9B62-ACA9E28FA004}"/>
    <cellStyle name="Comma 4 3 3 2 3 2" xfId="22113" xr:uid="{DB73BF25-0834-42FB-8F87-85C2A554B709}"/>
    <cellStyle name="Comma 4 3 3 2 3 3" xfId="24460" xr:uid="{D5231FA4-BC17-4C77-AFA2-94FEBC5D274B}"/>
    <cellStyle name="Comma 4 3 3 2 3 4" xfId="51451" xr:uid="{94014DAD-56F7-4E91-8B5A-125DA5C6331F}"/>
    <cellStyle name="Comma 4 3 3 2 3 5" xfId="54467" xr:uid="{8E600163-2BE7-47CF-9F5B-7201DC1D894E}"/>
    <cellStyle name="Comma 4 3 3 2 3 6" xfId="19062" xr:uid="{4AACCDC8-149C-4AC8-BBC1-581F1F7F7B5F}"/>
    <cellStyle name="Comma 4 3 3 2 4" xfId="15050" xr:uid="{E9D73A7F-4020-45F3-AEAF-BA7EC03D3E9F}"/>
    <cellStyle name="Comma 4 3 3 2 4 2" xfId="22590" xr:uid="{718D65CA-321F-4307-9AD7-7BA6DF36A753}"/>
    <cellStyle name="Comma 4 3 3 2 4 3" xfId="48580" xr:uid="{0A6E4A4B-9E5F-4541-A7D2-835714DE4901}"/>
    <cellStyle name="Comma 4 3 3 2 4 4" xfId="51928" xr:uid="{2D84F878-9306-42DE-B4F3-76458DA797CD}"/>
    <cellStyle name="Comma 4 3 3 2 4 5" xfId="54944" xr:uid="{1C8858F2-120B-4B6E-8FAD-E5FEFA4AC9B2}"/>
    <cellStyle name="Comma 4 3 3 2 4 6" xfId="19204" xr:uid="{0EC8520E-0448-4829-935C-B4C50FBB63C1}"/>
    <cellStyle name="Comma 4 3 3 2 5" xfId="15537" xr:uid="{BCA64536-1DDB-49EE-8E30-92C15F4704DD}"/>
    <cellStyle name="Comma 4 3 3 2 5 2" xfId="23067" xr:uid="{0C7561F8-4A89-4B2B-8728-6B069BCDB0E2}"/>
    <cellStyle name="Comma 4 3 3 2 5 3" xfId="46547" xr:uid="{F4AAFC39-3CC7-4D94-BE55-FF9B192A9C9C}"/>
    <cellStyle name="Comma 4 3 3 2 5 4" xfId="52405" xr:uid="{6A6F7CE2-C646-4E98-B830-6DAF2C2AE1C8}"/>
    <cellStyle name="Comma 4 3 3 2 5 5" xfId="55421" xr:uid="{C7BDC3CF-31FA-4BD0-964C-0532D5EC493B}"/>
    <cellStyle name="Comma 4 3 3 2 5 6" xfId="19349" xr:uid="{79495C81-BC4B-4C3B-89C9-7ADD25B9739E}"/>
    <cellStyle name="Comma 4 3 3 2 6" xfId="12485" xr:uid="{E0A397E8-8DFC-4267-AFE2-1F14476A69CF}"/>
    <cellStyle name="Comma 4 3 3 2 6 2" xfId="24220" xr:uid="{56FC2B46-D9ED-4030-8577-E8F4A1900985}"/>
    <cellStyle name="Comma 4 3 3 2 6 3" xfId="50974" xr:uid="{C1371277-8E71-432A-9703-35CEA73DE50D}"/>
    <cellStyle name="Comma 4 3 3 2 6 4" xfId="53990" xr:uid="{36BC7F30-6A3D-4356-88E2-3D1B301EDFF4}"/>
    <cellStyle name="Comma 4 3 3 2 6 5" xfId="21919" xr:uid="{4F62F6FF-04AD-48D0-AC9D-09F16161195B}"/>
    <cellStyle name="Comma 4 3 3 2 7" xfId="46028" xr:uid="{4B70039A-1DF7-4868-8D6F-496F3433F191}"/>
    <cellStyle name="Comma 4 3 3 2 8" xfId="49868" xr:uid="{F4487F61-A92D-44A4-AFC0-B3CB4B0AA3F8}"/>
    <cellStyle name="Comma 4 3 3 2 9" xfId="52884" xr:uid="{0F22F171-3788-4725-A504-FB64093CB2BD}"/>
    <cellStyle name="Comma 4 3 3 3" xfId="10099" xr:uid="{A52EBC29-482C-4970-A2C6-EFB48655F4B8}"/>
    <cellStyle name="Comma 4 3 3 3 10" xfId="18785" xr:uid="{191152E2-C601-454B-8F0A-9EBEF777D85D}"/>
    <cellStyle name="Comma 4 3 3 3 2" xfId="10412" xr:uid="{EB8C591A-6FC9-451A-A6D7-FE178F525351}"/>
    <cellStyle name="Comma 4 3 3 3 2 2" xfId="14831" xr:uid="{AB7C42C3-3954-42D0-ADDE-552F5D360990}"/>
    <cellStyle name="Comma 4 3 3 3 2 2 2" xfId="22378" xr:uid="{97642B87-02A7-49CC-B68B-70D4BD48909B}"/>
    <cellStyle name="Comma 4 3 3 3 2 2 3" xfId="48212" xr:uid="{AA95D9D1-83AE-4B2F-B52F-0C950069F50C}"/>
    <cellStyle name="Comma 4 3 3 3 2 2 4" xfId="51716" xr:uid="{2BCE0159-7422-42AC-8EC2-2707C104B6CD}"/>
    <cellStyle name="Comma 4 3 3 3 2 2 5" xfId="54732" xr:uid="{C2D392AD-34F3-45B3-A7DD-9291CB39DCA6}"/>
    <cellStyle name="Comma 4 3 3 3 2 2 6" xfId="19137" xr:uid="{72668DC6-7209-4479-8EFE-EBAB89C5D3A6}"/>
    <cellStyle name="Comma 4 3 3 3 2 3" xfId="15316" xr:uid="{B50114B7-65E3-4747-BEF1-47A0E591BE53}"/>
    <cellStyle name="Comma 4 3 3 3 2 3 2" xfId="22855" xr:uid="{6A068FDB-3CD7-48B3-9254-48D95EE1BF9A}"/>
    <cellStyle name="Comma 4 3 3 3 2 3 3" xfId="48259" xr:uid="{7424B50E-D908-4D54-8308-D22298D24834}"/>
    <cellStyle name="Comma 4 3 3 3 2 3 4" xfId="52193" xr:uid="{5FDD07D9-CA4A-4F5A-AC52-0478EC112A25}"/>
    <cellStyle name="Comma 4 3 3 3 2 3 5" xfId="55209" xr:uid="{AFF7233B-9A3B-48A5-B1EB-F46D608F6364}"/>
    <cellStyle name="Comma 4 3 3 3 2 3 6" xfId="19280" xr:uid="{5312D679-81AB-4F52-A95C-40850EC08B9F}"/>
    <cellStyle name="Comma 4 3 3 3 2 4" xfId="15803" xr:uid="{C73F6A55-6B17-4E50-AD79-07DC61142A4C}"/>
    <cellStyle name="Comma 4 3 3 3 2 4 2" xfId="23332" xr:uid="{91135001-5DBB-4E0B-9F76-C7FB08C47C83}"/>
    <cellStyle name="Comma 4 3 3 3 2 4 3" xfId="47201" xr:uid="{E84788AB-8F77-4C43-828E-3DE8A69FEA23}"/>
    <cellStyle name="Comma 4 3 3 3 2 4 4" xfId="52670" xr:uid="{517DDCB5-5D51-405F-A9EC-C54F7D351B37}"/>
    <cellStyle name="Comma 4 3 3 3 2 4 5" xfId="55686" xr:uid="{297CEB3B-5F96-4333-BA76-DF3D09C38B66}"/>
    <cellStyle name="Comma 4 3 3 3 2 4 6" xfId="19425" xr:uid="{A9D8D176-FA40-4C25-A564-9EAFA31C5FD9}"/>
    <cellStyle name="Comma 4 3 3 3 2 5" xfId="12865" xr:uid="{A28EC080-BC0D-4434-807D-CA1526951D7C}"/>
    <cellStyle name="Comma 4 3 3 3 2 5 2" xfId="48241" xr:uid="{453BC3C6-5294-4205-8517-3792FB2FB289}"/>
    <cellStyle name="Comma 4 3 3 3 2 5 3" xfId="51239" xr:uid="{D29D4062-A073-4833-8FC4-92C931AC80F0}"/>
    <cellStyle name="Comma 4 3 3 3 2 5 4" xfId="54255" xr:uid="{67FADF20-85AA-4594-99D0-C18879B75B18}"/>
    <cellStyle name="Comma 4 3 3 3 2 5 5" xfId="21995" xr:uid="{02FCD7DF-D847-43B3-BC37-87FC013647FA}"/>
    <cellStyle name="Comma 4 3 3 3 2 6" xfId="48457" xr:uid="{FD6FF5DE-5033-434B-A4D4-AD1D5355DB92}"/>
    <cellStyle name="Comma 4 3 3 3 2 7" xfId="50133" xr:uid="{2047D648-5CF7-4DAB-81CF-AC34583CA0D9}"/>
    <cellStyle name="Comma 4 3 3 3 2 8" xfId="53149" xr:uid="{7486EA61-838D-4501-B4BD-AD690FE02FB4}"/>
    <cellStyle name="Comma 4 3 3 3 2 9" xfId="18942" xr:uid="{AE6BE60E-7B92-4668-B3CD-FF27FF073994}"/>
    <cellStyle name="Comma 4 3 3 3 3" xfId="14619" xr:uid="{5CE4B612-DDEF-4C89-9272-3376EE0EAD0C}"/>
    <cellStyle name="Comma 4 3 3 3 3 2" xfId="22166" xr:uid="{2AFFEC86-7B9D-483E-8ACB-A1A2F960C459}"/>
    <cellStyle name="Comma 4 3 3 3 3 3" xfId="32329" xr:uid="{89E7EA1F-C2E5-4E4E-8D12-5EBEDA5F508A}"/>
    <cellStyle name="Comma 4 3 3 3 3 4" xfId="51504" xr:uid="{0B82106E-A41A-4724-9B91-10AAE92BB579}"/>
    <cellStyle name="Comma 4 3 3 3 3 5" xfId="54520" xr:uid="{219E0E41-9881-4725-A618-8D511A356464}"/>
    <cellStyle name="Comma 4 3 3 3 3 6" xfId="19077" xr:uid="{716FD446-9722-4131-9DE5-D62A4B008ACA}"/>
    <cellStyle name="Comma 4 3 3 3 4" xfId="15104" xr:uid="{8FE8C6AA-315B-47C9-A655-BCB7146715C1}"/>
    <cellStyle name="Comma 4 3 3 3 4 2" xfId="22643" xr:uid="{DF1F77BC-58DB-431E-994B-4382E13AE8D1}"/>
    <cellStyle name="Comma 4 3 3 3 4 3" xfId="47187" xr:uid="{96D6C237-C9D3-4B1A-AD36-38194B2FFD1C}"/>
    <cellStyle name="Comma 4 3 3 3 4 4" xfId="51981" xr:uid="{5DB48D9D-82D3-46EF-87C7-09337DE0214F}"/>
    <cellStyle name="Comma 4 3 3 3 4 5" xfId="54997" xr:uid="{FAD19E91-C98B-4942-A063-ADA2F6695F21}"/>
    <cellStyle name="Comma 4 3 3 3 4 6" xfId="19220" xr:uid="{F367C4C3-710B-4E1A-A0CA-2898B3ACF2F2}"/>
    <cellStyle name="Comma 4 3 3 3 5" xfId="15591" xr:uid="{2D355153-0BB9-47B6-8A34-B5BB68C82034}"/>
    <cellStyle name="Comma 4 3 3 3 5 2" xfId="23120" xr:uid="{099E81B7-C840-4F7E-812A-5EFFEE388B7A}"/>
    <cellStyle name="Comma 4 3 3 3 5 3" xfId="47271" xr:uid="{23CEDC79-9E71-430A-BF04-EF23ED35552D}"/>
    <cellStyle name="Comma 4 3 3 3 5 4" xfId="52458" xr:uid="{64E91A3B-5FB0-4546-BD9D-FF3CB8C7FC39}"/>
    <cellStyle name="Comma 4 3 3 3 5 5" xfId="55474" xr:uid="{ACE9ED8F-F109-47CA-955E-DC0DAA9F95D0}"/>
    <cellStyle name="Comma 4 3 3 3 5 6" xfId="19365" xr:uid="{2957B40F-06DA-413C-87ED-4B1F4B4ED5D3}"/>
    <cellStyle name="Comma 4 3 3 3 6" xfId="12556" xr:uid="{8E324FCC-FC8F-432F-A2BB-C54671FC3A3E}"/>
    <cellStyle name="Comma 4 3 3 3 6 2" xfId="34179" xr:uid="{61BE6814-155A-4D53-9C63-A84E91463B05}"/>
    <cellStyle name="Comma 4 3 3 3 6 3" xfId="51027" xr:uid="{5E84AEE2-6E0A-4E5A-9FD4-4DA7A76730CE}"/>
    <cellStyle name="Comma 4 3 3 3 6 4" xfId="54043" xr:uid="{B40ECAD1-C1DD-417F-AB31-7068F0181397}"/>
    <cellStyle name="Comma 4 3 3 3 6 5" xfId="21935" xr:uid="{4C0BAB0A-18F0-4324-929F-9187AD909404}"/>
    <cellStyle name="Comma 4 3 3 3 7" xfId="46045" xr:uid="{2A87F752-AD4A-48FF-A84E-AEE5C1C07123}"/>
    <cellStyle name="Comma 4 3 3 3 8" xfId="49921" xr:uid="{85E6489D-2443-4A6C-B688-262FFA36D512}"/>
    <cellStyle name="Comma 4 3 3 3 9" xfId="52937" xr:uid="{87876313-4D84-4B70-8E37-99B7CDAD70FC}"/>
    <cellStyle name="Comma 4 3 3 4" xfId="10178" xr:uid="{31EC6E6C-8D66-429F-BC09-8CC355217B14}"/>
    <cellStyle name="Comma 4 3 3 4 10" xfId="18823" xr:uid="{B24981A7-375D-4A82-9253-2D80E725BE3B}"/>
    <cellStyle name="Comma 4 3 3 4 2" xfId="10492" xr:uid="{F5AF2CDA-2E11-4BEC-AA71-DCF55E1257D4}"/>
    <cellStyle name="Comma 4 3 3 4 2 2" xfId="14884" xr:uid="{12BB3AAD-E7D8-4219-A0D1-46794916DB2E}"/>
    <cellStyle name="Comma 4 3 3 4 2 2 2" xfId="22431" xr:uid="{B5EE462E-2FA9-4736-BDF0-47B676A57A2A}"/>
    <cellStyle name="Comma 4 3 3 4 2 2 3" xfId="24935" xr:uid="{DB186557-E9E7-4DE8-BC3A-479ED47C6A50}"/>
    <cellStyle name="Comma 4 3 3 4 2 2 4" xfId="51769" xr:uid="{C99687FD-5B31-4311-B45A-2EC7B9198C7D}"/>
    <cellStyle name="Comma 4 3 3 4 2 2 5" xfId="54785" xr:uid="{ADED3512-4E81-427C-BFAE-A0D083CC141C}"/>
    <cellStyle name="Comma 4 3 3 4 2 2 6" xfId="19152" xr:uid="{73AA6AD7-A014-475A-BADC-2BB2761B0101}"/>
    <cellStyle name="Comma 4 3 3 4 2 3" xfId="15369" xr:uid="{E3C7E800-B06C-4952-A395-DF743D9D6900}"/>
    <cellStyle name="Comma 4 3 3 4 2 3 2" xfId="22908" xr:uid="{D56E48CD-BAEB-486D-86D9-FC9AE2509B71}"/>
    <cellStyle name="Comma 4 3 3 4 2 3 3" xfId="36949" xr:uid="{527E4EF4-BD6C-4BE8-8489-B32976D1D36E}"/>
    <cellStyle name="Comma 4 3 3 4 2 3 4" xfId="52246" xr:uid="{E6398552-5468-4A87-9D82-52889BA63E3D}"/>
    <cellStyle name="Comma 4 3 3 4 2 3 5" xfId="55262" xr:uid="{F5F37AE5-C685-447D-9D73-6318A9EFAF10}"/>
    <cellStyle name="Comma 4 3 3 4 2 3 6" xfId="19295" xr:uid="{47F1C6C2-042E-478B-A70C-857A9660BA32}"/>
    <cellStyle name="Comma 4 3 3 4 2 4" xfId="15856" xr:uid="{75B3EE79-C122-43B9-B759-F36E81D34CFB}"/>
    <cellStyle name="Comma 4 3 3 4 2 4 2" xfId="23385" xr:uid="{BED4328D-83C0-4722-9609-634039E931A5}"/>
    <cellStyle name="Comma 4 3 3 4 2 4 3" xfId="47731" xr:uid="{4FA51AA5-9693-489A-AD16-ADF47162B16A}"/>
    <cellStyle name="Comma 4 3 3 4 2 4 4" xfId="52723" xr:uid="{7A5745C0-D722-4B93-9B71-1EA70914286B}"/>
    <cellStyle name="Comma 4 3 3 4 2 4 5" xfId="55739" xr:uid="{37A6EECF-3BD9-4631-ACCE-93EB8C2D591D}"/>
    <cellStyle name="Comma 4 3 3 4 2 4 6" xfId="19440" xr:uid="{28E209C6-E5CD-4F45-99AE-983A17C1296F}"/>
    <cellStyle name="Comma 4 3 3 4 2 5" xfId="12945" xr:uid="{C38068D8-5784-400C-AE75-E0D3DECB0801}"/>
    <cellStyle name="Comma 4 3 3 4 2 5 2" xfId="47767" xr:uid="{0DE97760-03A3-4213-95E7-89A17E632928}"/>
    <cellStyle name="Comma 4 3 3 4 2 5 3" xfId="51292" xr:uid="{F6780526-2F8C-41A6-951E-EC15D2AF3963}"/>
    <cellStyle name="Comma 4 3 3 4 2 5 4" xfId="54308" xr:uid="{33BC3A08-6DF5-498A-95D0-FB8FAFC61C20}"/>
    <cellStyle name="Comma 4 3 3 4 2 5 5" xfId="22010" xr:uid="{8D7E36AE-C38C-4FE3-9F77-8C56FDC458A8}"/>
    <cellStyle name="Comma 4 3 3 4 2 6" xfId="46134" xr:uid="{2BDC7247-B949-43B6-9458-332AFE0E2259}"/>
    <cellStyle name="Comma 4 3 3 4 2 7" xfId="50186" xr:uid="{EA67106B-4407-41BA-A9CC-1D06CF9630EA}"/>
    <cellStyle name="Comma 4 3 3 4 2 8" xfId="53202" xr:uid="{11318701-74F0-40B7-8801-69F0B856274E}"/>
    <cellStyle name="Comma 4 3 3 4 2 9" xfId="18984" xr:uid="{37AADE41-AFCE-4FC1-A617-034B44AFDC1F}"/>
    <cellStyle name="Comma 4 3 3 4 3" xfId="14672" xr:uid="{548876C8-0CC8-42F4-B4B5-9F44909C2C7F}"/>
    <cellStyle name="Comma 4 3 3 4 3 2" xfId="22219" xr:uid="{A1E0417E-C82A-47BE-90DC-F0024337A71F}"/>
    <cellStyle name="Comma 4 3 3 4 3 3" xfId="46415" xr:uid="{ABC8D48D-5ECD-40BC-BC16-EA9AB445D0A2}"/>
    <cellStyle name="Comma 4 3 3 4 3 4" xfId="51557" xr:uid="{300FB2AB-E50F-47C4-91F6-33D9890F93E8}"/>
    <cellStyle name="Comma 4 3 3 4 3 5" xfId="54573" xr:uid="{A49150E7-8B7F-4085-9916-654F542161C0}"/>
    <cellStyle name="Comma 4 3 3 4 3 6" xfId="19092" xr:uid="{4ED82CC6-7061-41F2-8DA7-B49FAC9536F9}"/>
    <cellStyle name="Comma 4 3 3 4 4" xfId="15157" xr:uid="{E5345B0E-08A8-491C-BE20-0515FEE17A89}"/>
    <cellStyle name="Comma 4 3 3 4 4 2" xfId="22696" xr:uid="{F54C7593-5E7A-4299-AC81-6D282D7B67C4}"/>
    <cellStyle name="Comma 4 3 3 4 4 3" xfId="47967" xr:uid="{91FF49D5-E23E-4E7D-B096-92711CE61F63}"/>
    <cellStyle name="Comma 4 3 3 4 4 4" xfId="52034" xr:uid="{C92E9BD5-5B45-43A3-9DF6-693D802F510D}"/>
    <cellStyle name="Comma 4 3 3 4 4 5" xfId="55050" xr:uid="{C3C28081-1FF4-4F17-AB2D-C26FE5203890}"/>
    <cellStyle name="Comma 4 3 3 4 4 6" xfId="19235" xr:uid="{F9265A43-AC12-4D3D-BD6D-45AE7D2D3222}"/>
    <cellStyle name="Comma 4 3 3 4 5" xfId="15644" xr:uid="{F5A14C0B-188E-4379-ACCA-23AF1FBCC20C}"/>
    <cellStyle name="Comma 4 3 3 4 5 2" xfId="23173" xr:uid="{9487E24F-88D5-420B-8BC3-7DAA5E0FFA8C}"/>
    <cellStyle name="Comma 4 3 3 4 5 3" xfId="47846" xr:uid="{059C61A0-88C2-4AB1-8E09-B9D763369F51}"/>
    <cellStyle name="Comma 4 3 3 4 5 4" xfId="52511" xr:uid="{9BDAAB25-B9DB-4917-855B-A20F9F074C00}"/>
    <cellStyle name="Comma 4 3 3 4 5 5" xfId="55527" xr:uid="{DD04A8FD-3F0B-4A1A-BF41-7D7605D8330F}"/>
    <cellStyle name="Comma 4 3 3 4 5 6" xfId="19380" xr:uid="{C6491123-E8DB-4165-8219-CAEDEB030AC3}"/>
    <cellStyle name="Comma 4 3 3 4 6" xfId="12632" xr:uid="{053BB17A-FDCD-4342-88CC-49EB7D7A8A24}"/>
    <cellStyle name="Comma 4 3 3 4 6 2" xfId="47759" xr:uid="{8EEE2F45-391B-4B3B-AAEA-E63E2CF0C3B7}"/>
    <cellStyle name="Comma 4 3 3 4 6 3" xfId="51080" xr:uid="{10D99ED4-1CBE-46DF-87BF-0968D43F63A7}"/>
    <cellStyle name="Comma 4 3 3 4 6 4" xfId="54096" xr:uid="{A913CB97-C15C-4B63-B871-33081E81682B}"/>
    <cellStyle name="Comma 4 3 3 4 6 5" xfId="21950" xr:uid="{FC5D3858-1D82-4648-8D84-090F5EBF7863}"/>
    <cellStyle name="Comma 4 3 3 4 7" xfId="46059" xr:uid="{7B856C5F-C684-449B-8DB0-BFCEA671DF52}"/>
    <cellStyle name="Comma 4 3 3 4 8" xfId="49974" xr:uid="{28438A6B-90B5-4CC3-BF95-D16251096484}"/>
    <cellStyle name="Comma 4 3 3 4 9" xfId="52990" xr:uid="{6935475D-31C4-4376-A160-244B9C147C6E}"/>
    <cellStyle name="Comma 4 3 3 5" xfId="10258" xr:uid="{BB8BCB58-EEB8-4DCC-977E-6E0BFFFEA68A}"/>
    <cellStyle name="Comma 4 3 3 5 2" xfId="14725" xr:uid="{41617BD8-D48C-4C8F-935E-38D5E57C8820}"/>
    <cellStyle name="Comma 4 3 3 5 2 2" xfId="22272" xr:uid="{CC881D9E-A4E5-448B-AAA2-B65344CDD634}"/>
    <cellStyle name="Comma 4 3 3 5 2 3" xfId="47481" xr:uid="{44E5CA86-8D6D-46E3-9B7C-B7CA606C4DB0}"/>
    <cellStyle name="Comma 4 3 3 5 2 4" xfId="51610" xr:uid="{61288DF5-161B-44E2-BDD2-2D3A467E1432}"/>
    <cellStyle name="Comma 4 3 3 5 2 5" xfId="54626" xr:uid="{C4F805FE-45A3-45C4-9FC9-F7E65CDFA340}"/>
    <cellStyle name="Comma 4 3 3 5 2 6" xfId="19107" xr:uid="{E43F14B6-05EC-4C99-A035-700D9176D471}"/>
    <cellStyle name="Comma 4 3 3 5 3" xfId="15210" xr:uid="{B5545A4B-C833-4C7F-B3E1-754C678D7EAC}"/>
    <cellStyle name="Comma 4 3 3 5 3 2" xfId="22749" xr:uid="{E5071D20-ED15-4D4F-8765-AC9AFA68871B}"/>
    <cellStyle name="Comma 4 3 3 5 3 3" xfId="47678" xr:uid="{F10D0560-C8F9-47D5-BB26-7D3671433399}"/>
    <cellStyle name="Comma 4 3 3 5 3 4" xfId="52087" xr:uid="{63D2AC51-677F-43AC-B752-76F792243A38}"/>
    <cellStyle name="Comma 4 3 3 5 3 5" xfId="55103" xr:uid="{3B50E18C-CA73-4317-9E3B-71EB01F81382}"/>
    <cellStyle name="Comma 4 3 3 5 3 6" xfId="19250" xr:uid="{C7C6F3BC-B4C3-4C15-951C-3F31477FCE8D}"/>
    <cellStyle name="Comma 4 3 3 5 4" xfId="15697" xr:uid="{69F1A6D9-04A3-4DA5-9FB2-FE6AB3ACCEBE}"/>
    <cellStyle name="Comma 4 3 3 5 4 2" xfId="23226" xr:uid="{BAEDE9A6-2E31-4BD6-82BD-E53D1235B4E9}"/>
    <cellStyle name="Comma 4 3 3 5 4 3" xfId="48444" xr:uid="{2AFFC927-5926-41A4-AC82-ADA6E54C1410}"/>
    <cellStyle name="Comma 4 3 3 5 4 4" xfId="52564" xr:uid="{08B9D16C-9585-4A90-BE85-F33311B44E2B}"/>
    <cellStyle name="Comma 4 3 3 5 4 5" xfId="55580" xr:uid="{D9A3A7C9-4C9F-4D2D-AC3E-1775B928A9F1}"/>
    <cellStyle name="Comma 4 3 3 5 4 6" xfId="19395" xr:uid="{B823B7C1-5861-4BF8-958F-1EF3406E52E2}"/>
    <cellStyle name="Comma 4 3 3 5 5" xfId="12711" xr:uid="{C632632A-7431-4C28-A688-2DE80485554D}"/>
    <cellStyle name="Comma 4 3 3 5 5 2" xfId="46345" xr:uid="{F88292B1-1B2A-435C-A3F6-AB926B3BF913}"/>
    <cellStyle name="Comma 4 3 3 5 5 3" xfId="51133" xr:uid="{415505AA-F908-42A1-A029-258272709B4E}"/>
    <cellStyle name="Comma 4 3 3 5 5 4" xfId="54149" xr:uid="{3D783021-D143-4EFA-9B37-2AFB9E1246FB}"/>
    <cellStyle name="Comma 4 3 3 5 5 5" xfId="21965" xr:uid="{A4E0DDC4-ADB9-41D8-946F-17F72C00FC38}"/>
    <cellStyle name="Comma 4 3 3 5 6" xfId="46622" xr:uid="{585696B3-FE07-40BF-9F36-02A2E980C6DD}"/>
    <cellStyle name="Comma 4 3 3 5 7" xfId="50027" xr:uid="{EDC46CE6-E05F-46EC-AB44-1B746A26FDA5}"/>
    <cellStyle name="Comma 4 3 3 5 8" xfId="53043" xr:uid="{E676FB30-1628-42F3-81AB-D62246219789}"/>
    <cellStyle name="Comma 4 3 3 5 9" xfId="18864" xr:uid="{76271DBE-612C-48BE-B96A-42EB928478DE}"/>
    <cellStyle name="Comma 4 3 3 6" xfId="10572" xr:uid="{A417E2CA-CDB8-40A3-9357-569052A28724}"/>
    <cellStyle name="Comma 4 3 3 6 2" xfId="14937" xr:uid="{1B6DB3ED-FB61-467B-AEFE-645C439B9B86}"/>
    <cellStyle name="Comma 4 3 3 6 2 2" xfId="22484" xr:uid="{EA4825E7-F1ED-4729-AD97-EBC8CC174D02}"/>
    <cellStyle name="Comma 4 3 3 6 2 3" xfId="47567" xr:uid="{C0D59FBB-F4F9-49CA-8EBF-9E409127B313}"/>
    <cellStyle name="Comma 4 3 3 6 2 4" xfId="51822" xr:uid="{9C2DBF06-22E4-4F89-ADA7-7B7648925DD9}"/>
    <cellStyle name="Comma 4 3 3 6 2 5" xfId="54838" xr:uid="{729BE6E6-9E84-4C5C-AFC4-0F316CC82130}"/>
    <cellStyle name="Comma 4 3 3 6 2 6" xfId="19167" xr:uid="{A7DF1BE8-2817-468A-AF8F-D9AFF74EBA37}"/>
    <cellStyle name="Comma 4 3 3 6 3" xfId="15422" xr:uid="{E6926934-1285-4A72-8EEF-810A4C0961E6}"/>
    <cellStyle name="Comma 4 3 3 6 3 2" xfId="22961" xr:uid="{4C4E30AE-B815-436A-82D0-2CF659A95FE9}"/>
    <cellStyle name="Comma 4 3 3 6 3 3" xfId="47745" xr:uid="{AF489683-1FF9-4825-B123-349C836119C0}"/>
    <cellStyle name="Comma 4 3 3 6 3 4" xfId="52299" xr:uid="{B575585B-BA1F-4D82-AF00-B89F739F05E2}"/>
    <cellStyle name="Comma 4 3 3 6 3 5" xfId="55315" xr:uid="{D3396500-3818-480D-8B9B-399E52002805}"/>
    <cellStyle name="Comma 4 3 3 6 3 6" xfId="19310" xr:uid="{E44C1A72-321E-494F-9257-53672CA3AB5A}"/>
    <cellStyle name="Comma 4 3 3 6 4" xfId="15910" xr:uid="{4501014F-ADF8-4CA0-A074-1370C0C24153}"/>
    <cellStyle name="Comma 4 3 3 6 4 2" xfId="23438" xr:uid="{C581511A-3133-4147-860B-8D5664AC81E7}"/>
    <cellStyle name="Comma 4 3 3 6 4 3" xfId="46605" xr:uid="{5D172BA0-8098-4670-816F-EADCE59FA470}"/>
    <cellStyle name="Comma 4 3 3 6 4 4" xfId="52776" xr:uid="{49FFAA30-8EC1-4E64-8509-943D278A875E}"/>
    <cellStyle name="Comma 4 3 3 6 4 5" xfId="55792" xr:uid="{FE3E4EA1-7EA3-444C-A880-BFCD60A6B997}"/>
    <cellStyle name="Comma 4 3 3 6 4 6" xfId="19456" xr:uid="{A9BA4797-0090-4027-BABA-72967DB2002F}"/>
    <cellStyle name="Comma 4 3 3 6 5" xfId="13025" xr:uid="{71143711-D248-47CD-8D4D-A27C5C665E6F}"/>
    <cellStyle name="Comma 4 3 3 6 5 2" xfId="46822" xr:uid="{29BADEC4-6037-44ED-BD83-682BDE6043FE}"/>
    <cellStyle name="Comma 4 3 3 6 5 3" xfId="51345" xr:uid="{23C079DD-FF1E-4E1F-899E-7FF95D07F6F0}"/>
    <cellStyle name="Comma 4 3 3 6 5 4" xfId="54361" xr:uid="{ACEBAEA0-870F-4154-80B9-88FEBB2B5F38}"/>
    <cellStyle name="Comma 4 3 3 6 5 5" xfId="22025" xr:uid="{02821437-F890-4001-A321-FA97E70B4DB4}"/>
    <cellStyle name="Comma 4 3 3 6 6" xfId="24000" xr:uid="{6BA0FCD0-BD8A-4CCB-8F25-DD23CDC99993}"/>
    <cellStyle name="Comma 4 3 3 6 7" xfId="50239" xr:uid="{FDDF2DDF-B9DA-4F39-AC2C-D2BE14CFD18B}"/>
    <cellStyle name="Comma 4 3 3 6 8" xfId="53255" xr:uid="{A16B6262-51A0-4E4F-A91B-3B910B9B25C0}"/>
    <cellStyle name="Comma 4 3 3 6 9" xfId="19026" xr:uid="{F8B8267B-FCCF-4169-A157-9910A81BE46B}"/>
    <cellStyle name="Comma 4 3 3 7" xfId="14513" xr:uid="{17F1F513-D058-41BD-858A-10E872E4791E}"/>
    <cellStyle name="Comma 4 3 3 7 2" xfId="22060" xr:uid="{F65AC67A-B86F-4B16-88A5-296B3C54B5BD}"/>
    <cellStyle name="Comma 4 3 3 7 3" xfId="46831" xr:uid="{3F179E0B-0603-46FB-A236-775A5C9EAFB6}"/>
    <cellStyle name="Comma 4 3 3 7 4" xfId="51398" xr:uid="{EB36518A-F081-46A9-8EC4-01F451F7B5AB}"/>
    <cellStyle name="Comma 4 3 3 7 5" xfId="54414" xr:uid="{9179C4DC-6112-4320-9F14-71F944AC4BE9}"/>
    <cellStyle name="Comma 4 3 3 7 6" xfId="19047" xr:uid="{6DDAE52A-4BB8-4944-96C5-5E57DEF44D3F}"/>
    <cellStyle name="Comma 4 3 3 8" xfId="14997" xr:uid="{E3FA9BE4-6ED7-4788-BFE6-6229CD1C4FBF}"/>
    <cellStyle name="Comma 4 3 3 8 2" xfId="22537" xr:uid="{2B431BEC-19AD-4DF4-8EE1-F902F0C7BFCC}"/>
    <cellStyle name="Comma 4 3 3 8 3" xfId="47837" xr:uid="{59568EF8-7CBC-4260-BAE1-95E4EBD92513}"/>
    <cellStyle name="Comma 4 3 3 8 4" xfId="51875" xr:uid="{CD07911A-B28E-422E-AE69-CF94DA82F3B8}"/>
    <cellStyle name="Comma 4 3 3 8 5" xfId="54891" xr:uid="{55A21B4E-C216-4FA4-947C-40F25378DB5F}"/>
    <cellStyle name="Comma 4 3 3 8 6" xfId="19189" xr:uid="{3D8450C9-D4C2-4508-849A-104EE904CAA3}"/>
    <cellStyle name="Comma 4 3 3 9" xfId="15484" xr:uid="{A962BCD6-5EB1-4BA8-88CB-97CE0C4A9BD7}"/>
    <cellStyle name="Comma 4 3 3 9 2" xfId="23014" xr:uid="{B7D0F3F8-9937-491E-BCBB-0B765587D3D8}"/>
    <cellStyle name="Comma 4 3 3 9 3" xfId="32376" xr:uid="{0250143C-1B90-43CF-AAE9-D5FD03B165E8}"/>
    <cellStyle name="Comma 4 3 3 9 4" xfId="52352" xr:uid="{221D34C3-9C56-4AE3-8E99-04611AF5E596}"/>
    <cellStyle name="Comma 4 3 3 9 5" xfId="55368" xr:uid="{5A8D50C9-1B82-49F3-8E01-B445CF7319D3}"/>
    <cellStyle name="Comma 4 3 3 9 6" xfId="19334" xr:uid="{0D81A96E-EAF2-493F-84E1-09ED562D2E0C}"/>
    <cellStyle name="Comma 4 3 4" xfId="12205" xr:uid="{235C87AA-649B-4A6D-AE19-AC9FB7423FDC}"/>
    <cellStyle name="Comma 4 3 5" xfId="11196" xr:uid="{D1F92E81-E49C-4DF7-919E-312BF02B5EE6}"/>
    <cellStyle name="Comma 4 3 5 2" xfId="21692" xr:uid="{4D01CE80-901C-4E7A-B203-E8DDBAEC84D4}"/>
    <cellStyle name="Comma 4 3 5 3" xfId="24498" xr:uid="{D98A4B14-E2C7-4EBD-9898-7C79E6FA09AE}"/>
    <cellStyle name="Comma 4 3 5 4" xfId="50709" xr:uid="{8B0323AC-B3F1-41B6-9BE6-D65A529B6053}"/>
    <cellStyle name="Comma 4 3 5 5" xfId="53725" xr:uid="{F0958013-E993-401A-996F-857F1D78E410}"/>
    <cellStyle name="Comma 4 3 5 6" xfId="18053" xr:uid="{D31BBEDC-04ED-4EDC-8B84-4F81D109CD8E}"/>
    <cellStyle name="Comma 4 3 6" xfId="19490" xr:uid="{A7ACE864-3416-4B79-9A4C-7B807F6F45A4}"/>
    <cellStyle name="Comma 4 3 7" xfId="23764" xr:uid="{4CCB9779-5607-4375-A0D3-90AEA676895A}"/>
    <cellStyle name="Comma 4 3 8" xfId="48645" xr:uid="{AF323F2D-5C40-49A5-BD6B-50E0BF8B51D0}"/>
    <cellStyle name="Comma 4 3 9" xfId="49553" xr:uid="{F9792B02-636B-4F93-8CF3-51E269F51C0D}"/>
    <cellStyle name="Comma 4 4" xfId="4542" xr:uid="{31C9F786-CDA7-44A3-93C0-280AA9989D7D}"/>
    <cellStyle name="Comma 4 4 10" xfId="14514" xr:uid="{BA0EA8B8-B8BB-4433-B43C-1A4760821B32}"/>
    <cellStyle name="Comma 4 4 10 2" xfId="22061" xr:uid="{9478C751-9808-43F2-B8F2-455302281016}"/>
    <cellStyle name="Comma 4 4 10 3" xfId="24670" xr:uid="{CEFB2336-2B86-416B-BD85-04972C1D9B39}"/>
    <cellStyle name="Comma 4 4 10 4" xfId="51399" xr:uid="{755F5207-47D3-4E6D-A519-C811797907AE}"/>
    <cellStyle name="Comma 4 4 10 5" xfId="54415" xr:uid="{88375AFA-45CD-43C7-9290-00F18B89CF9F}"/>
    <cellStyle name="Comma 4 4 11" xfId="14998" xr:uid="{CDF4F84A-4D39-42F9-9EB1-756233DEA104}"/>
    <cellStyle name="Comma 4 4 11 2" xfId="22538" xr:uid="{5B9D30D2-F4FC-41BE-B9DF-213D7ED6E18D}"/>
    <cellStyle name="Comma 4 4 11 3" xfId="32511" xr:uid="{E59F27DF-66D8-4BBA-BBE9-51A445759D57}"/>
    <cellStyle name="Comma 4 4 11 4" xfId="51876" xr:uid="{2480BFB5-7A01-433B-9B4F-4DB12FA4700B}"/>
    <cellStyle name="Comma 4 4 11 5" xfId="54892" xr:uid="{C8DBEFDD-87A0-44DB-A58A-A4754750E4F2}"/>
    <cellStyle name="Comma 4 4 12" xfId="15485" xr:uid="{A993CF39-44A2-40EA-841C-E229FD39C194}"/>
    <cellStyle name="Comma 4 4 12 2" xfId="23015" xr:uid="{9A376E4C-4738-4DB8-879C-32BB5D54136A}"/>
    <cellStyle name="Comma 4 4 12 3" xfId="24314" xr:uid="{8516179A-1735-436B-AF0D-CAA7992B9526}"/>
    <cellStyle name="Comma 4 4 12 4" xfId="52353" xr:uid="{5578FCAE-2B4F-47B7-82EA-14E4FB45AA4D}"/>
    <cellStyle name="Comma 4 4 12 5" xfId="55369" xr:uid="{AB47B173-35BB-4187-A210-3AA296AF0ED8}"/>
    <cellStyle name="Comma 4 4 13" xfId="11197" xr:uid="{466C9D31-7609-475E-8508-1E622E456448}"/>
    <cellStyle name="Comma 4 4 13 2" xfId="21693" xr:uid="{D891D9A2-E870-4491-8FE9-94520C2AF920}"/>
    <cellStyle name="Comma 4 4 13 3" xfId="46728" xr:uid="{B1B94B99-ED76-478F-AF6F-21963E1F8E86}"/>
    <cellStyle name="Comma 4 4 13 4" xfId="50710" xr:uid="{0BE2E731-6867-4CFB-8CE4-C34DAC6EBCA3}"/>
    <cellStyle name="Comma 4 4 13 5" xfId="53726" xr:uid="{388731C0-5414-431D-B3AD-E45955F1BC9F}"/>
    <cellStyle name="Comma 4 4 14" xfId="23768" xr:uid="{5ACFE279-FD80-4376-A567-C5E341DE93EB}"/>
    <cellStyle name="Comma 4 4 15" xfId="48649" xr:uid="{B3DA1F0D-5C22-40ED-BE6A-9E2D4DADD751}"/>
    <cellStyle name="Comma 4 4 16" xfId="49557" xr:uid="{BB81A932-7E01-441F-958A-AC07ABA62F52}"/>
    <cellStyle name="Comma 4 4 17" xfId="49816" xr:uid="{3C80EA9A-FDDF-430B-8207-CD6A9F6FC427}"/>
    <cellStyle name="Comma 4 4 18" xfId="52831" xr:uid="{02AF9BE7-4C01-483E-BBA1-8B9132F5F9D7}"/>
    <cellStyle name="Comma 4 4 19" xfId="8939" xr:uid="{F47B11E0-D607-43E1-A259-26A9D5E5CDA5}"/>
    <cellStyle name="Comma 4 4 2" xfId="8940" xr:uid="{CDA2453A-CEA0-47BE-9A42-89DCC04F6C13}"/>
    <cellStyle name="Comma 4 4 2 10" xfId="15486" xr:uid="{4B75982B-958E-402C-BC96-4CA75D78EC05}"/>
    <cellStyle name="Comma 4 4 2 10 2" xfId="23016" xr:uid="{60806C20-2E8E-4729-B80C-FFBE07F34FCE}"/>
    <cellStyle name="Comma 4 4 2 10 3" xfId="47374" xr:uid="{113BF89F-37DD-42C3-A211-2EAC40FA1340}"/>
    <cellStyle name="Comma 4 4 2 10 4" xfId="52354" xr:uid="{D9C50F37-42A0-476A-AC5F-7A9784645123}"/>
    <cellStyle name="Comma 4 4 2 10 5" xfId="55370" xr:uid="{DEE06679-48E9-421E-8614-596CC72439F0}"/>
    <cellStyle name="Comma 4 4 2 11" xfId="11587" xr:uid="{D0562230-1D6A-4168-B712-18AADC80C124}"/>
    <cellStyle name="Comma 4 4 2 11 2" xfId="46655" xr:uid="{10469F7E-BDF7-4BF4-AFB0-7E7D6CA1B602}"/>
    <cellStyle name="Comma 4 4 2 11 3" xfId="50734" xr:uid="{CDF1247A-21FA-4FA5-A96A-A107611FA5CE}"/>
    <cellStyle name="Comma 4 4 2 11 4" xfId="53750" xr:uid="{CC4ACB0E-9312-42E6-BB5A-C917E9AAEE71}"/>
    <cellStyle name="Comma 4 4 2 12" xfId="23769" xr:uid="{AF34D036-AA8D-4BAF-A4FB-27A136B482DA}"/>
    <cellStyle name="Comma 4 4 2 13" xfId="48650" xr:uid="{E5D8E936-2012-4389-BC4E-FE6B2227FF57}"/>
    <cellStyle name="Comma 4 4 2 14" xfId="49558" xr:uid="{23BD50B2-24DB-43D2-840D-810ADEE3ACDC}"/>
    <cellStyle name="Comma 4 4 2 15" xfId="49817" xr:uid="{BE8626DC-4472-4AF6-BE9A-E4E8E72DF1B9}"/>
    <cellStyle name="Comma 4 4 2 16" xfId="52832" xr:uid="{F9C9484E-1C32-47DF-9460-3244899EA1F0}"/>
    <cellStyle name="Comma 4 4 2 2" xfId="8941" xr:uid="{EDB54567-7F70-49E9-970D-D99C12E846CE}"/>
    <cellStyle name="Comma 4 4 2 2 10" xfId="12195" xr:uid="{809CA0F1-2B65-47B3-BAB1-16C22527CE61}"/>
    <cellStyle name="Comma 4 4 2 2 10 2" xfId="46661" xr:uid="{3F3245D9-59F0-4B33-A662-D612A7CD9FFB}"/>
    <cellStyle name="Comma 4 4 2 2 10 3" xfId="50940" xr:uid="{6490337F-0A45-4C16-A8AB-0BB200F7D2D9}"/>
    <cellStyle name="Comma 4 4 2 2 10 4" xfId="53956" xr:uid="{32CEDE47-5BFA-4A64-899A-12BD29C22BD4}"/>
    <cellStyle name="Comma 4 4 2 2 11" xfId="23770" xr:uid="{73DA5705-4B9D-4B9B-B647-6F76065296BB}"/>
    <cellStyle name="Comma 4 4 2 2 12" xfId="48651" xr:uid="{BDBA9A6C-F6DB-40D7-987D-0CAFCA1E8812}"/>
    <cellStyle name="Comma 4 4 2 2 13" xfId="49559" xr:uid="{3C269184-9918-4DC0-B0BD-FB957CBB1E7E}"/>
    <cellStyle name="Comma 4 4 2 2 14" xfId="49818" xr:uid="{A696EC28-AC55-4280-AA87-FBAE29A74987}"/>
    <cellStyle name="Comma 4 4 2 2 15" xfId="52833" xr:uid="{6A7FD264-577A-4AFA-A8AB-E10B7A5FAE04}"/>
    <cellStyle name="Comma 4 4 2 2 2" xfId="10028" xr:uid="{4B431327-F706-4E4F-B802-3E4FB321DB5A}"/>
    <cellStyle name="Comma 4 4 2 2 2 2" xfId="10336" xr:uid="{B84449F9-60B8-441F-BE40-260C719DA3A0}"/>
    <cellStyle name="Comma 4 4 2 2 2 2 2" xfId="14781" xr:uid="{38E19A2F-07B9-4945-BA5F-C23ECD5AD6EB}"/>
    <cellStyle name="Comma 4 4 2 2 2 2 2 2" xfId="22328" xr:uid="{CD4B9E5F-CE22-4007-A348-0ACF3B8A80EC}"/>
    <cellStyle name="Comma 4 4 2 2 2 2 2 3" xfId="47703" xr:uid="{8348D14D-5526-4DE5-93C7-47770B974384}"/>
    <cellStyle name="Comma 4 4 2 2 2 2 2 4" xfId="51666" xr:uid="{BE83F182-950B-493A-9487-FF24571794DB}"/>
    <cellStyle name="Comma 4 4 2 2 2 2 2 5" xfId="54682" xr:uid="{872262EC-E3A4-4FB1-8F8C-306A8CF03C85}"/>
    <cellStyle name="Comma 4 4 2 2 2 2 3" xfId="15266" xr:uid="{E64E9059-B77F-42D2-8408-FCD0A043087B}"/>
    <cellStyle name="Comma 4 4 2 2 2 2 3 2" xfId="22805" xr:uid="{4891430E-2A91-4A2A-ADB2-082E3F8251B2}"/>
    <cellStyle name="Comma 4 4 2 2 2 2 3 3" xfId="46899" xr:uid="{D441314A-9342-48B1-8141-FC213BF0F837}"/>
    <cellStyle name="Comma 4 4 2 2 2 2 3 4" xfId="52143" xr:uid="{0FEEBB7C-8912-412F-97B9-BCBBFCEF71F8}"/>
    <cellStyle name="Comma 4 4 2 2 2 2 3 5" xfId="55159" xr:uid="{EE8F3510-A299-48CC-A1A6-4CA1F6F0C46C}"/>
    <cellStyle name="Comma 4 4 2 2 2 2 4" xfId="15753" xr:uid="{0C5498CF-4AE3-46F6-996B-D6D01E37C9F9}"/>
    <cellStyle name="Comma 4 4 2 2 2 2 4 2" xfId="23282" xr:uid="{2379C3E7-6B6E-4D8B-8DA4-DE612329763D}"/>
    <cellStyle name="Comma 4 4 2 2 2 2 4 3" xfId="24646" xr:uid="{FC9866C2-1442-4EAB-A159-B0A91E58FB83}"/>
    <cellStyle name="Comma 4 4 2 2 2 2 4 4" xfId="52620" xr:uid="{EABAC306-A605-4709-869D-343405AF57D7}"/>
    <cellStyle name="Comma 4 4 2 2 2 2 4 5" xfId="55636" xr:uid="{70312552-922C-49B9-9F4F-05EBA381EBFE}"/>
    <cellStyle name="Comma 4 4 2 2 2 2 5" xfId="12789" xr:uid="{B2C6E13D-385C-4578-9A21-AC4E5E62060C}"/>
    <cellStyle name="Comma 4 4 2 2 2 2 5 2" xfId="47471" xr:uid="{EF75C260-06F9-48FB-9AC6-FED7D7C48397}"/>
    <cellStyle name="Comma 4 4 2 2 2 2 5 3" xfId="51189" xr:uid="{2969273D-4ACB-4467-92EC-6B9D7977616A}"/>
    <cellStyle name="Comma 4 4 2 2 2 2 5 4" xfId="54205" xr:uid="{720183AA-BCC2-4830-A7DA-E09281E5C64A}"/>
    <cellStyle name="Comma 4 4 2 2 2 2 6" xfId="48525" xr:uid="{CBAA172A-6DD3-4169-8BE7-3B0EE7A23C02}"/>
    <cellStyle name="Comma 4 4 2 2 2 2 7" xfId="50083" xr:uid="{3F14C358-F550-4B12-B1A5-127B09F2030C}"/>
    <cellStyle name="Comma 4 4 2 2 2 2 8" xfId="53099" xr:uid="{13486852-7041-4A64-BF84-9C41A83D86B2}"/>
    <cellStyle name="Comma 4 4 2 2 2 3" xfId="14569" xr:uid="{F13FEA65-1E3D-4103-AC10-A733E8A511CF}"/>
    <cellStyle name="Comma 4 4 2 2 2 3 2" xfId="22116" xr:uid="{8A8ADCB8-E1F4-4496-91AA-AFF6F23CC791}"/>
    <cellStyle name="Comma 4 4 2 2 2 3 3" xfId="47329" xr:uid="{EC5F2BB2-5672-4F6B-9D23-20B087AD0190}"/>
    <cellStyle name="Comma 4 4 2 2 2 3 4" xfId="51454" xr:uid="{E755B1F1-A706-4E6C-85D4-94E9C989F847}"/>
    <cellStyle name="Comma 4 4 2 2 2 3 5" xfId="54470" xr:uid="{CD6CA9C5-8663-40D2-8CAD-6420E360E835}"/>
    <cellStyle name="Comma 4 4 2 2 2 4" xfId="15053" xr:uid="{0A128F22-C881-4EB9-A09A-E269726C8C41}"/>
    <cellStyle name="Comma 4 4 2 2 2 4 2" xfId="22593" xr:uid="{9A5BCBD6-F075-4301-BD6F-C3936AE77BD5}"/>
    <cellStyle name="Comma 4 4 2 2 2 4 3" xfId="46687" xr:uid="{4898D143-1C4E-4590-81D2-3BCE07781E7E}"/>
    <cellStyle name="Comma 4 4 2 2 2 4 4" xfId="51931" xr:uid="{4E33107D-1AC2-4F79-9A72-FBC82C3AC249}"/>
    <cellStyle name="Comma 4 4 2 2 2 4 5" xfId="54947" xr:uid="{4CAA8190-3AC8-477A-B186-4C5DCA0B2BA3}"/>
    <cellStyle name="Comma 4 4 2 2 2 5" xfId="15540" xr:uid="{82CD912C-2CAE-4BAF-9304-876E533B0D84}"/>
    <cellStyle name="Comma 4 4 2 2 2 5 2" xfId="23070" xr:uid="{2AAEAF0E-8602-4D34-B4E2-D86F4B0A4DEE}"/>
    <cellStyle name="Comma 4 4 2 2 2 5 3" xfId="46932" xr:uid="{B42F1BB2-6A7B-4E37-8E7F-92D8DF039E0E}"/>
    <cellStyle name="Comma 4 4 2 2 2 5 4" xfId="52408" xr:uid="{5D60C632-C23F-4CAB-9D1C-A8E935A061B8}"/>
    <cellStyle name="Comma 4 4 2 2 2 5 5" xfId="55424" xr:uid="{AD377503-3699-4EC2-9BF0-32EBBB970176}"/>
    <cellStyle name="Comma 4 4 2 2 2 6" xfId="12488" xr:uid="{706BBBED-13B5-434F-A09A-A743F8642EC0}"/>
    <cellStyle name="Comma 4 4 2 2 2 6 2" xfId="32336" xr:uid="{5AB28DB9-5DDA-41A3-BC09-0A0B194C8097}"/>
    <cellStyle name="Comma 4 4 2 2 2 6 3" xfId="50977" xr:uid="{38A8CABA-F2C3-473D-A4FC-11456EB9C5C4}"/>
    <cellStyle name="Comma 4 4 2 2 2 6 4" xfId="53993" xr:uid="{B0C0D9A9-8A54-4EB5-AA7C-E038B44B4A2B}"/>
    <cellStyle name="Comma 4 4 2 2 2 7" xfId="47574" xr:uid="{C235A80B-9E59-46DB-B4F9-D8AD35CBF112}"/>
    <cellStyle name="Comma 4 4 2 2 2 8" xfId="49871" xr:uid="{1E6A4401-D549-4FE9-BA4B-2E3A6761DB32}"/>
    <cellStyle name="Comma 4 4 2 2 2 9" xfId="52887" xr:uid="{280ADA00-15B1-4A2C-9BB1-C4D26BD9338C}"/>
    <cellStyle name="Comma 4 4 2 2 3" xfId="10102" xr:uid="{69BF9FAF-EB56-451A-B886-379F7ECC0D9D}"/>
    <cellStyle name="Comma 4 4 2 2 3 2" xfId="10415" xr:uid="{B6E96F19-90DA-4CE6-8B56-0E5571F8B10C}"/>
    <cellStyle name="Comma 4 4 2 2 3 2 2" xfId="14834" xr:uid="{01AE65B9-4E62-4A06-B509-966EF956CCBF}"/>
    <cellStyle name="Comma 4 4 2 2 3 2 2 2" xfId="22381" xr:uid="{A7A3F765-1429-4AE0-9B5C-BAC65AA4DAD0}"/>
    <cellStyle name="Comma 4 4 2 2 3 2 2 3" xfId="48119" xr:uid="{9D295981-9438-4A66-9B0D-EF46AC14C25B}"/>
    <cellStyle name="Comma 4 4 2 2 3 2 2 4" xfId="51719" xr:uid="{75F9C4B4-9749-4E3B-8FAF-8C8074FE2E89}"/>
    <cellStyle name="Comma 4 4 2 2 3 2 2 5" xfId="54735" xr:uid="{E46F663E-4A3C-4142-BF5B-98DF212DB071}"/>
    <cellStyle name="Comma 4 4 2 2 3 2 3" xfId="15319" xr:uid="{7CDD0870-0C33-4CF6-B87A-A7661B270FC0}"/>
    <cellStyle name="Comma 4 4 2 2 3 2 3 2" xfId="22858" xr:uid="{98F0472B-132D-41E7-B3F9-EA6081D40CEF}"/>
    <cellStyle name="Comma 4 4 2 2 3 2 3 3" xfId="46515" xr:uid="{586C0728-A859-4C25-BCD5-F96303CDF8E7}"/>
    <cellStyle name="Comma 4 4 2 2 3 2 3 4" xfId="52196" xr:uid="{DF75626E-6CDD-4021-BD68-B961DB07CEEB}"/>
    <cellStyle name="Comma 4 4 2 2 3 2 3 5" xfId="55212" xr:uid="{EAA7BB46-2051-4E14-9CC8-46F67C2816D7}"/>
    <cellStyle name="Comma 4 4 2 2 3 2 4" xfId="15806" xr:uid="{8C7C835F-E283-470C-BE4A-1A574815CB07}"/>
    <cellStyle name="Comma 4 4 2 2 3 2 4 2" xfId="23335" xr:uid="{EB4F958E-4457-4AF3-9DCB-3131EAE2A216}"/>
    <cellStyle name="Comma 4 4 2 2 3 2 4 3" xfId="48255" xr:uid="{B7DE2E86-8ABE-46FF-96A4-7BCE515D6FA1}"/>
    <cellStyle name="Comma 4 4 2 2 3 2 4 4" xfId="52673" xr:uid="{53521863-D6B5-4DA5-A6A9-14B11F8BFB9F}"/>
    <cellStyle name="Comma 4 4 2 2 3 2 4 5" xfId="55689" xr:uid="{6271BF86-270F-4B66-AA26-DF85AD74E825}"/>
    <cellStyle name="Comma 4 4 2 2 3 2 5" xfId="12868" xr:uid="{68F5EDF2-2357-4428-A72B-DAE180170278}"/>
    <cellStyle name="Comma 4 4 2 2 3 2 5 2" xfId="47231" xr:uid="{9CC510B3-6BF4-4990-BF8F-6A07C3482DD9}"/>
    <cellStyle name="Comma 4 4 2 2 3 2 5 3" xfId="51242" xr:uid="{5F09F36C-A81D-405E-B11A-3074A970A95E}"/>
    <cellStyle name="Comma 4 4 2 2 3 2 5 4" xfId="54258" xr:uid="{280F487B-FE85-4574-B0F9-D716E9A8192E}"/>
    <cellStyle name="Comma 4 4 2 2 3 2 6" xfId="46116" xr:uid="{27F51875-8D3F-4C88-93D3-E93668FF9975}"/>
    <cellStyle name="Comma 4 4 2 2 3 2 7" xfId="50136" xr:uid="{8D1B68AB-92C9-47FB-B9A0-ED68457DE9AB}"/>
    <cellStyle name="Comma 4 4 2 2 3 2 8" xfId="53152" xr:uid="{9C1F80D0-660A-4274-99B3-52D797E14211}"/>
    <cellStyle name="Comma 4 4 2 2 3 3" xfId="14622" xr:uid="{AE89EF82-50E1-4EAE-8899-BD638F25FA64}"/>
    <cellStyle name="Comma 4 4 2 2 3 3 2" xfId="22169" xr:uid="{4C502A27-EEB9-493B-9A01-0C85AFB4366A}"/>
    <cellStyle name="Comma 4 4 2 2 3 3 3" xfId="47330" xr:uid="{6B8D67CC-C60B-4A25-938C-A32C234C250B}"/>
    <cellStyle name="Comma 4 4 2 2 3 3 4" xfId="51507" xr:uid="{186B21E9-F527-4B01-AA1D-B53E90479D28}"/>
    <cellStyle name="Comma 4 4 2 2 3 3 5" xfId="54523" xr:uid="{77D29B15-59D5-4E80-9BA6-F476C69E5F89}"/>
    <cellStyle name="Comma 4 4 2 2 3 4" xfId="15107" xr:uid="{BF32F2AB-35F6-4817-BA64-C49DE7C8ACDD}"/>
    <cellStyle name="Comma 4 4 2 2 3 4 2" xfId="22646" xr:uid="{44B436E7-1FF3-4AC7-B2BB-B8C9660903E9}"/>
    <cellStyle name="Comma 4 4 2 2 3 4 3" xfId="47433" xr:uid="{F5BCF7BD-5D16-47B4-9855-D2D163D51BD8}"/>
    <cellStyle name="Comma 4 4 2 2 3 4 4" xfId="51984" xr:uid="{D6C0C994-9024-48EA-BCB3-636BF16E332F}"/>
    <cellStyle name="Comma 4 4 2 2 3 4 5" xfId="55000" xr:uid="{1F52C6FE-7F81-4A6E-8B94-0D39E859A8C5}"/>
    <cellStyle name="Comma 4 4 2 2 3 5" xfId="15594" xr:uid="{332D389B-AF3E-402E-AC45-5A5C051275C6}"/>
    <cellStyle name="Comma 4 4 2 2 3 5 2" xfId="23123" xr:uid="{713BE005-9F27-421D-BAF1-177C8E652B60}"/>
    <cellStyle name="Comma 4 4 2 2 3 5 3" xfId="48023" xr:uid="{00B1A6C6-5249-492C-8C30-FB96B2E46D45}"/>
    <cellStyle name="Comma 4 4 2 2 3 5 4" xfId="52461" xr:uid="{B7D0FFBF-4810-41B4-9244-DBF2937652C0}"/>
    <cellStyle name="Comma 4 4 2 2 3 5 5" xfId="55477" xr:uid="{16EB717F-9D1E-419C-8C79-C59B3B188454}"/>
    <cellStyle name="Comma 4 4 2 2 3 6" xfId="12559" xr:uid="{2B51EF98-A126-406B-8436-4A8B95DE075B}"/>
    <cellStyle name="Comma 4 4 2 2 3 6 2" xfId="24697" xr:uid="{8DA23EFA-7D0C-4198-BF11-A330DADBE55A}"/>
    <cellStyle name="Comma 4 4 2 2 3 6 3" xfId="51030" xr:uid="{1C5FAD59-4DCC-4081-88AE-4B38A1B359D5}"/>
    <cellStyle name="Comma 4 4 2 2 3 6 4" xfId="54046" xr:uid="{147AC97D-0868-44C4-9094-4BD6B80AD079}"/>
    <cellStyle name="Comma 4 4 2 2 3 7" xfId="46046" xr:uid="{6D51E31C-9B9A-468E-B49F-4FD2144FD1D9}"/>
    <cellStyle name="Comma 4 4 2 2 3 8" xfId="49924" xr:uid="{8AA5402E-BE59-4D41-9D27-F1735EC233DD}"/>
    <cellStyle name="Comma 4 4 2 2 3 9" xfId="52940" xr:uid="{788185FE-5FF1-4894-A2C6-7F20F80725A9}"/>
    <cellStyle name="Comma 4 4 2 2 4" xfId="10181" xr:uid="{C9BA60B8-FAED-42C2-8618-633948B47517}"/>
    <cellStyle name="Comma 4 4 2 2 4 2" xfId="10495" xr:uid="{7F82ED67-8D4D-47C4-A58D-8735B53F3D21}"/>
    <cellStyle name="Comma 4 4 2 2 4 2 2" xfId="14887" xr:uid="{C1B9406E-EC10-4AD7-A194-DA492634A2B0}"/>
    <cellStyle name="Comma 4 4 2 2 4 2 2 2" xfId="22434" xr:uid="{DE0412AB-BB9C-4721-B72A-421960CF1E3D}"/>
    <cellStyle name="Comma 4 4 2 2 4 2 2 3" xfId="47184" xr:uid="{55A0F226-5C1A-40EF-A299-CBC60D8DA366}"/>
    <cellStyle name="Comma 4 4 2 2 4 2 2 4" xfId="51772" xr:uid="{BAE79F36-8E8E-40D7-9B05-B4BE0D474A6E}"/>
    <cellStyle name="Comma 4 4 2 2 4 2 2 5" xfId="54788" xr:uid="{15F0E8D6-9A5F-4947-8E89-42BF4898F6FA}"/>
    <cellStyle name="Comma 4 4 2 2 4 2 3" xfId="15372" xr:uid="{53F61FDB-F465-4D84-9F70-F1DC326AE92A}"/>
    <cellStyle name="Comma 4 4 2 2 4 2 3 2" xfId="22911" xr:uid="{2CCB143A-3831-4C60-8AED-D6B718534D3E}"/>
    <cellStyle name="Comma 4 4 2 2 4 2 3 3" xfId="36575" xr:uid="{F4E4A1B9-73F0-45A6-992D-3EB940AF5DAA}"/>
    <cellStyle name="Comma 4 4 2 2 4 2 3 4" xfId="52249" xr:uid="{28C4ED90-25C6-4C3A-A6CD-04869DF40570}"/>
    <cellStyle name="Comma 4 4 2 2 4 2 3 5" xfId="55265" xr:uid="{9D78581C-EE39-470D-BD2D-6387983C327D}"/>
    <cellStyle name="Comma 4 4 2 2 4 2 4" xfId="15859" xr:uid="{94D2C3CD-7871-49D7-A62F-84070316E61D}"/>
    <cellStyle name="Comma 4 4 2 2 4 2 4 2" xfId="23388" xr:uid="{E9631718-F603-47B3-BF93-24DF824EE198}"/>
    <cellStyle name="Comma 4 4 2 2 4 2 4 3" xfId="47504" xr:uid="{EC0B9956-4C5B-40FD-A265-8759DA376BEB}"/>
    <cellStyle name="Comma 4 4 2 2 4 2 4 4" xfId="52726" xr:uid="{C8ABAA70-086C-4CFE-B68E-C5DBFD7444DF}"/>
    <cellStyle name="Comma 4 4 2 2 4 2 4 5" xfId="55742" xr:uid="{DF7AD0B7-15F5-45A7-8033-7C89F511EEA4}"/>
    <cellStyle name="Comma 4 4 2 2 4 2 5" xfId="12948" xr:uid="{FBD31DC5-371D-49C2-8E19-A5A115FAA87D}"/>
    <cellStyle name="Comma 4 4 2 2 4 2 5 2" xfId="25035" xr:uid="{51F63E95-CB86-458E-A54A-BEA97CBFA5DA}"/>
    <cellStyle name="Comma 4 4 2 2 4 2 5 3" xfId="51295" xr:uid="{83A29340-46AE-4F39-8676-615E4C25DAEE}"/>
    <cellStyle name="Comma 4 4 2 2 4 2 5 4" xfId="54311" xr:uid="{E02491FD-1D8A-41DC-9691-9472BE996B5B}"/>
    <cellStyle name="Comma 4 4 2 2 4 2 6" xfId="47292" xr:uid="{FE854A25-06E4-451D-8D63-ECE133E36620}"/>
    <cellStyle name="Comma 4 4 2 2 4 2 7" xfId="50189" xr:uid="{D7E96E23-1E57-4816-BFB9-3DB952B13871}"/>
    <cellStyle name="Comma 4 4 2 2 4 2 8" xfId="53205" xr:uid="{8E6EC9E8-BE56-42C5-9C2F-3703CCB4B555}"/>
    <cellStyle name="Comma 4 4 2 2 4 3" xfId="14675" xr:uid="{F817DA18-51FA-4A0E-9BC6-5700DCD79C6B}"/>
    <cellStyle name="Comma 4 4 2 2 4 3 2" xfId="22222" xr:uid="{8EFA0B9D-025D-43E0-B7E6-CDDD10B3A7FD}"/>
    <cellStyle name="Comma 4 4 2 2 4 3 3" xfId="32530" xr:uid="{613787C1-39D7-4F3D-9BD1-51B8B47FAD47}"/>
    <cellStyle name="Comma 4 4 2 2 4 3 4" xfId="51560" xr:uid="{1417EB62-9AF9-452D-89DD-9E50A036DD27}"/>
    <cellStyle name="Comma 4 4 2 2 4 3 5" xfId="54576" xr:uid="{E16C5E0A-1E4C-4321-928E-5B1296826D74}"/>
    <cellStyle name="Comma 4 4 2 2 4 4" xfId="15160" xr:uid="{A471D176-54A2-4459-B41B-1331BB763AB7}"/>
    <cellStyle name="Comma 4 4 2 2 4 4 2" xfId="22699" xr:uid="{AE689DA3-7E9A-4C23-B777-0DE12218CC95}"/>
    <cellStyle name="Comma 4 4 2 2 4 4 3" xfId="46887" xr:uid="{2CA471C2-90B2-4371-B318-7E07B12D0E39}"/>
    <cellStyle name="Comma 4 4 2 2 4 4 4" xfId="52037" xr:uid="{131DBD30-50C8-4E7A-AB79-CFFFCD97AEDF}"/>
    <cellStyle name="Comma 4 4 2 2 4 4 5" xfId="55053" xr:uid="{FE3A3584-9EF6-427C-81DA-0750465176F2}"/>
    <cellStyle name="Comma 4 4 2 2 4 5" xfId="15647" xr:uid="{4C69B0DB-B80E-4273-A68D-B1B1B19EBB36}"/>
    <cellStyle name="Comma 4 4 2 2 4 5 2" xfId="23176" xr:uid="{E30A9FC4-7545-4689-A3CD-55F5537A8A87}"/>
    <cellStyle name="Comma 4 4 2 2 4 5 3" xfId="48227" xr:uid="{C4285BE4-41AB-4D15-8F65-4D48EB4B083F}"/>
    <cellStyle name="Comma 4 4 2 2 4 5 4" xfId="52514" xr:uid="{5457C0D2-EE64-4A3F-BF6B-8173DFAD875B}"/>
    <cellStyle name="Comma 4 4 2 2 4 5 5" xfId="55530" xr:uid="{CD84F4A7-87A0-4228-B72D-5B35B5354690}"/>
    <cellStyle name="Comma 4 4 2 2 4 6" xfId="12635" xr:uid="{78BBF9B6-7BCC-4A72-9F69-1AA7C0E6743C}"/>
    <cellStyle name="Comma 4 4 2 2 4 6 2" xfId="37123" xr:uid="{420B7484-2E55-44F8-8A3E-3DBFD5E87240}"/>
    <cellStyle name="Comma 4 4 2 2 4 6 3" xfId="51083" xr:uid="{F768A4C9-84A7-4EF7-8839-06A86933CFC2}"/>
    <cellStyle name="Comma 4 4 2 2 4 6 4" xfId="54099" xr:uid="{AAA96DD3-E86F-4E32-A28D-F76FA24B85F8}"/>
    <cellStyle name="Comma 4 4 2 2 4 7" xfId="47578" xr:uid="{5511E4D4-3E37-4DF4-A787-094AC2E3CEC8}"/>
    <cellStyle name="Comma 4 4 2 2 4 8" xfId="49977" xr:uid="{B8430F04-F9A2-48B3-9766-9521580D61F3}"/>
    <cellStyle name="Comma 4 4 2 2 4 9" xfId="52993" xr:uid="{B5BBF02D-B284-4A5F-817D-9150658F4186}"/>
    <cellStyle name="Comma 4 4 2 2 5" xfId="10261" xr:uid="{B1E397D0-752D-4DAA-9D21-3D924700B535}"/>
    <cellStyle name="Comma 4 4 2 2 5 2" xfId="14728" xr:uid="{0D297DF5-06BC-484B-BF95-E8A4D3C7A6E2}"/>
    <cellStyle name="Comma 4 4 2 2 5 2 2" xfId="22275" xr:uid="{8E7997D1-ED04-4DE5-ADC8-CBFC2E9378AA}"/>
    <cellStyle name="Comma 4 4 2 2 5 2 3" xfId="34047" xr:uid="{C8380934-0616-425E-8131-349907AD2B2D}"/>
    <cellStyle name="Comma 4 4 2 2 5 2 4" xfId="51613" xr:uid="{1C936D85-A30A-4BC5-9484-7F18845FD95D}"/>
    <cellStyle name="Comma 4 4 2 2 5 2 5" xfId="54629" xr:uid="{8E17FE92-56A9-4E61-BADC-18F3F9590AC0}"/>
    <cellStyle name="Comma 4 4 2 2 5 3" xfId="15213" xr:uid="{78B85D58-1D6A-4028-A6DC-3761D8BC0CDA}"/>
    <cellStyle name="Comma 4 4 2 2 5 3 2" xfId="22752" xr:uid="{4374EC88-D5C7-4388-B8B1-155BCB1A7056}"/>
    <cellStyle name="Comma 4 4 2 2 5 3 3" xfId="23838" xr:uid="{0F3E8910-469E-4D20-B9B3-C1217ADE0A6D}"/>
    <cellStyle name="Comma 4 4 2 2 5 3 4" xfId="52090" xr:uid="{3F141A57-3FE2-477D-8F3C-27BD395A1BE1}"/>
    <cellStyle name="Comma 4 4 2 2 5 3 5" xfId="55106" xr:uid="{66E251C7-E7AF-4697-8FBD-BF11E81A5FB1}"/>
    <cellStyle name="Comma 4 4 2 2 5 4" xfId="15700" xr:uid="{340C15D6-3662-4C87-A101-425F83BC3363}"/>
    <cellStyle name="Comma 4 4 2 2 5 4 2" xfId="23229" xr:uid="{1A0ED14B-DAE7-4D1F-A4FE-FB3E31447E32}"/>
    <cellStyle name="Comma 4 4 2 2 5 4 3" xfId="25285" xr:uid="{0DC95726-14A2-4E8D-B6C8-9778E997E935}"/>
    <cellStyle name="Comma 4 4 2 2 5 4 4" xfId="52567" xr:uid="{4B988500-C43B-462C-A4C1-3154EF07BE57}"/>
    <cellStyle name="Comma 4 4 2 2 5 4 5" xfId="55583" xr:uid="{ACC825B7-58CA-4509-9EC1-7E3789A9383F}"/>
    <cellStyle name="Comma 4 4 2 2 5 5" xfId="12714" xr:uid="{C844D848-6A21-4B66-83DC-D27606EA43E3}"/>
    <cellStyle name="Comma 4 4 2 2 5 5 2" xfId="46785" xr:uid="{DFE5AED6-4B16-426D-AED0-DA182721338B}"/>
    <cellStyle name="Comma 4 4 2 2 5 5 3" xfId="51136" xr:uid="{2EF18879-D80A-4C8C-B032-E4BD8DEF9DAD}"/>
    <cellStyle name="Comma 4 4 2 2 5 5 4" xfId="54152" xr:uid="{020D28E5-0BB6-4414-8C34-5B5BD1B486AC}"/>
    <cellStyle name="Comma 4 4 2 2 5 6" xfId="48234" xr:uid="{E708EA1B-51CD-49DF-89AB-D8AAC15F0340}"/>
    <cellStyle name="Comma 4 4 2 2 5 7" xfId="50030" xr:uid="{37811045-C85B-4B57-91A1-FDAE827D6164}"/>
    <cellStyle name="Comma 4 4 2 2 5 8" xfId="53046" xr:uid="{750710D6-D16C-4544-9496-C99109D57918}"/>
    <cellStyle name="Comma 4 4 2 2 6" xfId="10575" xr:uid="{EB7205E7-ED92-44C0-95DD-8A4172E4669E}"/>
    <cellStyle name="Comma 4 4 2 2 6 2" xfId="14940" xr:uid="{E8A1628A-F77F-4B43-A4C4-49631CE18ACE}"/>
    <cellStyle name="Comma 4 4 2 2 6 2 2" xfId="22487" xr:uid="{A0A4B0E9-A047-48DE-B9AC-1B18C0E451B4}"/>
    <cellStyle name="Comma 4 4 2 2 6 2 3" xfId="46457" xr:uid="{4051F9B6-A373-419B-9D17-44265368680A}"/>
    <cellStyle name="Comma 4 4 2 2 6 2 4" xfId="51825" xr:uid="{50D5B4E3-2FD1-4327-B25F-615F10B3CB1E}"/>
    <cellStyle name="Comma 4 4 2 2 6 2 5" xfId="54841" xr:uid="{925049DF-B29F-40BE-8BF0-0D01A15374CB}"/>
    <cellStyle name="Comma 4 4 2 2 6 3" xfId="15425" xr:uid="{3D82575D-E312-4B98-BA65-42970AFC2408}"/>
    <cellStyle name="Comma 4 4 2 2 6 3 2" xfId="22964" xr:uid="{BFCA43A4-DB3B-4822-AE31-3C028DF0C148}"/>
    <cellStyle name="Comma 4 4 2 2 6 3 3" xfId="46532" xr:uid="{8B7E939F-76E8-4903-B53E-2F4391340388}"/>
    <cellStyle name="Comma 4 4 2 2 6 3 4" xfId="52302" xr:uid="{4193450A-AB38-4A3D-BD2D-8F1909739680}"/>
    <cellStyle name="Comma 4 4 2 2 6 3 5" xfId="55318" xr:uid="{21F8CF66-2D14-4B82-BE70-E056A6494587}"/>
    <cellStyle name="Comma 4 4 2 2 6 4" xfId="15913" xr:uid="{89C7ABC1-DDA6-4CAD-AEF9-A6E90B942DFC}"/>
    <cellStyle name="Comma 4 4 2 2 6 4 2" xfId="23441" xr:uid="{D91DBC63-9D51-4F58-9E67-A9685B3C54EC}"/>
    <cellStyle name="Comma 4 4 2 2 6 4 3" xfId="46983" xr:uid="{4BFE805A-7A0A-406F-AAC7-1708AAF6B0EA}"/>
    <cellStyle name="Comma 4 4 2 2 6 4 4" xfId="52779" xr:uid="{D74318EF-0DEE-4937-8685-665FD1A89A95}"/>
    <cellStyle name="Comma 4 4 2 2 6 4 5" xfId="55795" xr:uid="{660373B9-D3D2-46F7-B83A-F9CA45B10C07}"/>
    <cellStyle name="Comma 4 4 2 2 6 5" xfId="13028" xr:uid="{62FDDF5C-EE4C-40DE-B806-B2AB559DB6A3}"/>
    <cellStyle name="Comma 4 4 2 2 6 5 2" xfId="46384" xr:uid="{22E308E3-6013-4A3A-8AE2-685699D780D0}"/>
    <cellStyle name="Comma 4 4 2 2 6 5 3" xfId="51348" xr:uid="{FCD59B85-D98F-4F74-BC1C-C6B84449811A}"/>
    <cellStyle name="Comma 4 4 2 2 6 5 4" xfId="54364" xr:uid="{681B7990-E6E4-4C9A-B80B-649E1CDC0088}"/>
    <cellStyle name="Comma 4 4 2 2 6 6" xfId="46152" xr:uid="{582185E1-59F0-4193-8FF4-3034D6AA50DC}"/>
    <cellStyle name="Comma 4 4 2 2 6 7" xfId="50242" xr:uid="{F3D9C43A-FD99-4C02-B27E-F9528F245521}"/>
    <cellStyle name="Comma 4 4 2 2 6 8" xfId="53258" xr:uid="{ABEFA7F5-CC2C-41B8-8806-7441892E6A0C}"/>
    <cellStyle name="Comma 4 4 2 2 7" xfId="14516" xr:uid="{9B8D924B-03CE-4841-9985-AEC12FC0297A}"/>
    <cellStyle name="Comma 4 4 2 2 7 2" xfId="22063" xr:uid="{F8C1883E-494B-46F4-9F87-F51BDF5C9586}"/>
    <cellStyle name="Comma 4 4 2 2 7 3" xfId="24984" xr:uid="{EF279192-B08D-4B56-9191-97778A78A0B9}"/>
    <cellStyle name="Comma 4 4 2 2 7 4" xfId="51401" xr:uid="{8B2B1C77-58C9-413A-B649-F6BE67315458}"/>
    <cellStyle name="Comma 4 4 2 2 7 5" xfId="54417" xr:uid="{9A28CE74-BB71-4BF5-A5C1-82FB2BC79B79}"/>
    <cellStyle name="Comma 4 4 2 2 8" xfId="15000" xr:uid="{3BC28816-21AC-4A94-A40B-7751F4808ED7}"/>
    <cellStyle name="Comma 4 4 2 2 8 2" xfId="22540" xr:uid="{484309F2-FEC1-41A8-958C-F48CDAAF7161}"/>
    <cellStyle name="Comma 4 4 2 2 8 3" xfId="47629" xr:uid="{0AD1FB63-0EE6-4D08-8968-4C17D88E257F}"/>
    <cellStyle name="Comma 4 4 2 2 8 4" xfId="51878" xr:uid="{DF00EF65-72E2-4D92-A15F-B86F34BBD5FB}"/>
    <cellStyle name="Comma 4 4 2 2 8 5" xfId="54894" xr:uid="{D6A4891B-FDEF-42B1-8D23-5656509C402F}"/>
    <cellStyle name="Comma 4 4 2 2 9" xfId="15487" xr:uid="{072FFAF9-A08F-49C4-914E-DE9659F92BCC}"/>
    <cellStyle name="Comma 4 4 2 2 9 2" xfId="23017" xr:uid="{F83436CC-5D95-4C0E-B0C2-C0898592C2AF}"/>
    <cellStyle name="Comma 4 4 2 2 9 3" xfId="47969" xr:uid="{F02DE274-10A7-4CED-90C6-94BAD85D3698}"/>
    <cellStyle name="Comma 4 4 2 2 9 4" xfId="52355" xr:uid="{49F7C54F-6F35-46C7-8FB4-6E26299D9F6D}"/>
    <cellStyle name="Comma 4 4 2 2 9 5" xfId="55371" xr:uid="{B4CC275E-7561-4A28-AB4D-78D13936AE28}"/>
    <cellStyle name="Comma 4 4 2 3" xfId="10027" xr:uid="{AFDBAF20-F48E-4BFC-BC47-43B88E275366}"/>
    <cellStyle name="Comma 4 4 2 3 2" xfId="10335" xr:uid="{2995823E-E624-48CC-B96F-AAC8AEA33F2E}"/>
    <cellStyle name="Comma 4 4 2 3 2 2" xfId="14780" xr:uid="{874EADBF-8565-45DA-8C45-122C9D1368C9}"/>
    <cellStyle name="Comma 4 4 2 3 2 2 2" xfId="22327" xr:uid="{0967632E-548F-4147-9B08-E7A99F6E0CE1}"/>
    <cellStyle name="Comma 4 4 2 3 2 2 3" xfId="24749" xr:uid="{6D627007-F6CF-49CE-956D-27D8E8458BC9}"/>
    <cellStyle name="Comma 4 4 2 3 2 2 4" xfId="51665" xr:uid="{A93EE1CF-0C46-41D1-A732-B99A832606BD}"/>
    <cellStyle name="Comma 4 4 2 3 2 2 5" xfId="54681" xr:uid="{22EDA6C9-8BA2-4D91-9760-8B3BC51579BE}"/>
    <cellStyle name="Comma 4 4 2 3 2 3" xfId="15265" xr:uid="{7C021963-085B-4ACF-9A14-CA13F2C43500}"/>
    <cellStyle name="Comma 4 4 2 3 2 3 2" xfId="22804" xr:uid="{2ACD88DC-87C4-4B6C-AF79-13A021BB5E5F}"/>
    <cellStyle name="Comma 4 4 2 3 2 3 3" xfId="47248" xr:uid="{E96237C6-D80B-43EA-B91F-5CD154C6963E}"/>
    <cellStyle name="Comma 4 4 2 3 2 3 4" xfId="52142" xr:uid="{FF930A3D-51AC-498A-875D-DD27E9C1797A}"/>
    <cellStyle name="Comma 4 4 2 3 2 3 5" xfId="55158" xr:uid="{ED4BC553-17B5-4CEC-A0C5-495AFB68C2B7}"/>
    <cellStyle name="Comma 4 4 2 3 2 4" xfId="15752" xr:uid="{C4B9E670-64D4-49EE-A72D-88290DFE9749}"/>
    <cellStyle name="Comma 4 4 2 3 2 4 2" xfId="23281" xr:uid="{4AC15EF2-F4DF-4B23-91B9-2751F9FBA2AF}"/>
    <cellStyle name="Comma 4 4 2 3 2 4 3" xfId="46960" xr:uid="{91F0290F-1EC6-4B84-B333-AFA67BE52290}"/>
    <cellStyle name="Comma 4 4 2 3 2 4 4" xfId="52619" xr:uid="{2F743766-CFB9-495F-90AD-22EAE56818EA}"/>
    <cellStyle name="Comma 4 4 2 3 2 4 5" xfId="55635" xr:uid="{CB8E158B-ECEB-431D-8B9B-DE46FFF1851A}"/>
    <cellStyle name="Comma 4 4 2 3 2 5" xfId="12788" xr:uid="{50881AF3-D939-421B-B3C2-8D6F5AB4099C}"/>
    <cellStyle name="Comma 4 4 2 3 2 5 2" xfId="46794" xr:uid="{CC9A9CB7-EDE1-4E2B-BBB4-18663FB8B617}"/>
    <cellStyle name="Comma 4 4 2 3 2 5 3" xfId="51188" xr:uid="{96E36122-6C0A-4D8A-8053-C5D60DD28155}"/>
    <cellStyle name="Comma 4 4 2 3 2 5 4" xfId="54204" xr:uid="{D46A6777-927E-4B8D-9C88-3BBD30C40AB5}"/>
    <cellStyle name="Comma 4 4 2 3 2 6" xfId="47854" xr:uid="{6151E786-E8C1-4468-9985-338280F28AB2}"/>
    <cellStyle name="Comma 4 4 2 3 2 7" xfId="50082" xr:uid="{6876A0EF-C453-49C8-96A1-90F45D82CEED}"/>
    <cellStyle name="Comma 4 4 2 3 2 8" xfId="53098" xr:uid="{8803CA2C-8E1B-42EB-A449-E110E7C2F72C}"/>
    <cellStyle name="Comma 4 4 2 3 3" xfId="14568" xr:uid="{B8B546F5-FDFF-4A11-A162-C6EB685DB8AE}"/>
    <cellStyle name="Comma 4 4 2 3 3 2" xfId="22115" xr:uid="{ACF3CABC-705E-48AE-B7E0-69676A822956}"/>
    <cellStyle name="Comma 4 4 2 3 3 3" xfId="48059" xr:uid="{D0E2DE2D-754C-4FA4-AEE0-F95DDFCEAADC}"/>
    <cellStyle name="Comma 4 4 2 3 3 4" xfId="51453" xr:uid="{43E46645-5CA0-47DE-936F-FBBA939A2716}"/>
    <cellStyle name="Comma 4 4 2 3 3 5" xfId="54469" xr:uid="{DC33F25E-D65D-4E1A-A430-683767BBC6D7}"/>
    <cellStyle name="Comma 4 4 2 3 4" xfId="15052" xr:uid="{7BF75FEB-AE90-46ED-B34F-B650BC6F8292}"/>
    <cellStyle name="Comma 4 4 2 3 4 2" xfId="22592" xr:uid="{80A2BDF6-7B7F-4047-B863-B72A8D22A143}"/>
    <cellStyle name="Comma 4 4 2 3 4 3" xfId="47513" xr:uid="{6BF8B8AF-F22C-47A5-A2FB-8C271A40949F}"/>
    <cellStyle name="Comma 4 4 2 3 4 4" xfId="51930" xr:uid="{FBB7C26F-2127-4E96-93A6-EBAB11B46322}"/>
    <cellStyle name="Comma 4 4 2 3 4 5" xfId="54946" xr:uid="{E8986CD0-88B8-4DA0-BA96-AF9544DF9488}"/>
    <cellStyle name="Comma 4 4 2 3 5" xfId="15539" xr:uid="{96DBD6D9-A942-42C3-9CCB-14B7CAE7ABF7}"/>
    <cellStyle name="Comma 4 4 2 3 5 2" xfId="23069" xr:uid="{2C6D05CF-F6F4-45C4-81C8-8A2C52654ADD}"/>
    <cellStyle name="Comma 4 4 2 3 5 3" xfId="48129" xr:uid="{605A6487-9AAF-49D5-AEA0-7B3F3DB6662D}"/>
    <cellStyle name="Comma 4 4 2 3 5 4" xfId="52407" xr:uid="{3E766B28-5C35-48D0-ADFA-AFBDC27EE89D}"/>
    <cellStyle name="Comma 4 4 2 3 5 5" xfId="55423" xr:uid="{50F60C9E-810C-43A7-87B6-AA0D02211007}"/>
    <cellStyle name="Comma 4 4 2 3 6" xfId="12487" xr:uid="{685B9176-22A9-473A-AA39-DD1D84DBD4E5}"/>
    <cellStyle name="Comma 4 4 2 3 6 2" xfId="25091" xr:uid="{C315E806-C639-4954-915A-E2818A17A85E}"/>
    <cellStyle name="Comma 4 4 2 3 6 3" xfId="50976" xr:uid="{01C86025-DD17-40EB-BA98-0E23DE366FE8}"/>
    <cellStyle name="Comma 4 4 2 3 6 4" xfId="53992" xr:uid="{4A3EBC9D-A18A-4232-929F-86CBA8AD15E3}"/>
    <cellStyle name="Comma 4 4 2 3 7" xfId="46030" xr:uid="{91DEF12E-64DB-43F2-A543-F4EBBCBA4141}"/>
    <cellStyle name="Comma 4 4 2 3 8" xfId="49870" xr:uid="{AC73A692-665B-4935-BE69-A15483FFED48}"/>
    <cellStyle name="Comma 4 4 2 3 9" xfId="52886" xr:uid="{80BFA0EB-FEEF-47F4-8DFA-1F3958B96ACD}"/>
    <cellStyle name="Comma 4 4 2 4" xfId="10101" xr:uid="{254F870A-F6BA-4413-B171-B4AF892CB8F3}"/>
    <cellStyle name="Comma 4 4 2 4 2" xfId="10414" xr:uid="{20512995-2767-431A-A6A6-06577DD1A32A}"/>
    <cellStyle name="Comma 4 4 2 4 2 2" xfId="14833" xr:uid="{BFAFCFFB-D773-4BDB-A817-853E7C1C5A93}"/>
    <cellStyle name="Comma 4 4 2 4 2 2 2" xfId="22380" xr:uid="{02B97522-2D28-4066-83E1-F04F60C1A141}"/>
    <cellStyle name="Comma 4 4 2 4 2 2 3" xfId="24942" xr:uid="{DFF3CE45-6C50-46E5-B580-172D93122792}"/>
    <cellStyle name="Comma 4 4 2 4 2 2 4" xfId="51718" xr:uid="{DC7C8E76-5B9E-483F-8A07-815D859668F8}"/>
    <cellStyle name="Comma 4 4 2 4 2 2 5" xfId="54734" xr:uid="{0B73D644-E47D-41CB-B153-DDCA5066AE6E}"/>
    <cellStyle name="Comma 4 4 2 4 2 3" xfId="15318" xr:uid="{42954614-71CB-4AFA-A4F2-98DD72F892F5}"/>
    <cellStyle name="Comma 4 4 2 4 2 3 2" xfId="22857" xr:uid="{9BEF5F1F-F2DE-43F4-9424-2562B3393E61}"/>
    <cellStyle name="Comma 4 4 2 4 2 3 3" xfId="47373" xr:uid="{47022840-03EB-4307-AF5B-9C450FEF5066}"/>
    <cellStyle name="Comma 4 4 2 4 2 3 4" xfId="52195" xr:uid="{B56B7842-0551-46C6-BBD9-578359F41EFD}"/>
    <cellStyle name="Comma 4 4 2 4 2 3 5" xfId="55211" xr:uid="{283E8CED-D3D5-422F-864D-EE00367FD4AC}"/>
    <cellStyle name="Comma 4 4 2 4 2 4" xfId="15805" xr:uid="{ED29F238-26D7-4DA6-85A4-5110E662E918}"/>
    <cellStyle name="Comma 4 4 2 4 2 4 2" xfId="23334" xr:uid="{2BCBAEEC-94EC-4674-91F9-9D94BF2294D8}"/>
    <cellStyle name="Comma 4 4 2 4 2 4 3" xfId="46589" xr:uid="{08A55F63-9122-4C50-9C94-BA95B71FDD1D}"/>
    <cellStyle name="Comma 4 4 2 4 2 4 4" xfId="52672" xr:uid="{C6BE8B09-FEE8-47D4-B8FE-6E672C3C8BF5}"/>
    <cellStyle name="Comma 4 4 2 4 2 4 5" xfId="55688" xr:uid="{DCF40BFB-63D3-4DB3-B0C9-EC112A98D387}"/>
    <cellStyle name="Comma 4 4 2 4 2 5" xfId="12867" xr:uid="{8BD0DDC1-2B1D-41E7-9EA4-E07C8D10574E}"/>
    <cellStyle name="Comma 4 4 2 4 2 5 2" xfId="25043" xr:uid="{72C4423F-E630-4DC6-8934-EEB4831AA763}"/>
    <cellStyle name="Comma 4 4 2 4 2 5 3" xfId="51241" xr:uid="{6924ECA5-3567-4753-9EA7-8709D92E6E9C}"/>
    <cellStyle name="Comma 4 4 2 4 2 5 4" xfId="54257" xr:uid="{4132F7CD-3AEF-48E1-A6BA-F68F12F9A582}"/>
    <cellStyle name="Comma 4 4 2 4 2 6" xfId="46115" xr:uid="{986F7969-06EE-49A8-BE66-B2D50AB40617}"/>
    <cellStyle name="Comma 4 4 2 4 2 7" xfId="50135" xr:uid="{E58DA9F9-122A-48F6-8B3B-F76CF52BA496}"/>
    <cellStyle name="Comma 4 4 2 4 2 8" xfId="53151" xr:uid="{530BCCD5-42C6-49EA-ACD3-A4F03DAFAA41}"/>
    <cellStyle name="Comma 4 4 2 4 3" xfId="14621" xr:uid="{94279980-587E-4CCE-AFEB-AD7A5D11A891}"/>
    <cellStyle name="Comma 4 4 2 4 3 2" xfId="22168" xr:uid="{88AC6D93-1937-4767-9B1D-0585DEA55FB4}"/>
    <cellStyle name="Comma 4 4 2 4 3 3" xfId="47770" xr:uid="{4C5D8539-6142-4FE7-9959-316004A194F4}"/>
    <cellStyle name="Comma 4 4 2 4 3 4" xfId="51506" xr:uid="{8A081C0E-E8B2-41B2-8A29-AE3BB2252ACB}"/>
    <cellStyle name="Comma 4 4 2 4 3 5" xfId="54522" xr:uid="{D280B30F-C218-43E5-9871-F9350E3EBEA5}"/>
    <cellStyle name="Comma 4 4 2 4 4" xfId="15106" xr:uid="{F184F7A2-DBF4-48D6-927B-14712C806130}"/>
    <cellStyle name="Comma 4 4 2 4 4 2" xfId="22645" xr:uid="{FCEE1B0D-11DC-4491-9D8A-FD10CAD58B93}"/>
    <cellStyle name="Comma 4 4 2 4 4 3" xfId="46480" xr:uid="{CA6B0A86-525D-4482-AFDF-CCE267E5E01B}"/>
    <cellStyle name="Comma 4 4 2 4 4 4" xfId="51983" xr:uid="{F98CC9E7-42BB-4D7E-846A-9297CAEA8E2A}"/>
    <cellStyle name="Comma 4 4 2 4 4 5" xfId="54999" xr:uid="{CB348AF2-F2C8-42AD-B6AB-3C1127F6E8F7}"/>
    <cellStyle name="Comma 4 4 2 4 5" xfId="15593" xr:uid="{F6ABF9C8-AC89-4E38-9614-052E575BF542}"/>
    <cellStyle name="Comma 4 4 2 4 5 2" xfId="23122" xr:uid="{A7BC17FC-8F2F-40AF-864A-3478C65140DD}"/>
    <cellStyle name="Comma 4 4 2 4 5 3" xfId="46556" xr:uid="{B423BCF7-192F-4EB0-B28B-E4D2E0BA94CF}"/>
    <cellStyle name="Comma 4 4 2 4 5 4" xfId="52460" xr:uid="{C85AF407-02EE-4029-81C6-3FFF155E44B5}"/>
    <cellStyle name="Comma 4 4 2 4 5 5" xfId="55476" xr:uid="{9DEDE108-434A-4A96-8D0C-F2010A8628EC}"/>
    <cellStyle name="Comma 4 4 2 4 6" xfId="12558" xr:uid="{76D8EC1D-7F1C-4D04-B03C-2FA447402749}"/>
    <cellStyle name="Comma 4 4 2 4 6 2" xfId="32538" xr:uid="{5927B48B-F95C-4A1B-9226-19C355A6C349}"/>
    <cellStyle name="Comma 4 4 2 4 6 3" xfId="51029" xr:uid="{9DE8A5B1-C263-4E9F-AC99-99E1ADC191C1}"/>
    <cellStyle name="Comma 4 4 2 4 6 4" xfId="54045" xr:uid="{6659D468-1AF8-4484-BF8B-9FDE51AF8BF7}"/>
    <cellStyle name="Comma 4 4 2 4 7" xfId="24280" xr:uid="{F06CB76E-9A23-48A3-8D56-EF3EBE0B349A}"/>
    <cellStyle name="Comma 4 4 2 4 8" xfId="49923" xr:uid="{ED0BA167-2E4E-41C6-B449-0631531D5AD0}"/>
    <cellStyle name="Comma 4 4 2 4 9" xfId="52939" xr:uid="{557F6CDC-3705-4525-AF7F-CD9570459B1D}"/>
    <cellStyle name="Comma 4 4 2 5" xfId="10180" xr:uid="{CD80EC3F-2039-49D7-BADA-5B97EAC11F15}"/>
    <cellStyle name="Comma 4 4 2 5 2" xfId="10494" xr:uid="{83AF6F4A-0EFD-4E44-99FA-AB46D59700AF}"/>
    <cellStyle name="Comma 4 4 2 5 2 2" xfId="14886" xr:uid="{C863C889-CC1D-48B1-8292-3985A132EA64}"/>
    <cellStyle name="Comma 4 4 2 5 2 2 2" xfId="22433" xr:uid="{FF32564F-28D2-4C90-A996-FB3CD7B5CE49}"/>
    <cellStyle name="Comma 4 4 2 5 2 2 3" xfId="32526" xr:uid="{F58EF2E8-29E3-4D02-8804-D55B9B35B81D}"/>
    <cellStyle name="Comma 4 4 2 5 2 2 4" xfId="51771" xr:uid="{A80D1408-2D75-46B2-9AF9-DDCEA7F9ACD6}"/>
    <cellStyle name="Comma 4 4 2 5 2 2 5" xfId="54787" xr:uid="{6ACD68CE-9527-4239-98E7-E008211CE60C}"/>
    <cellStyle name="Comma 4 4 2 5 2 3" xfId="15371" xr:uid="{0B053D41-9987-4A0D-9BDE-5E4D97F481A3}"/>
    <cellStyle name="Comma 4 4 2 5 2 3 2" xfId="22910" xr:uid="{DB126E86-AD71-4A95-B3F6-8DF3472E5463}"/>
    <cellStyle name="Comma 4 4 2 5 2 3 3" xfId="32502" xr:uid="{ED1187ED-4393-471C-A5AB-5A1D6A40EA03}"/>
    <cellStyle name="Comma 4 4 2 5 2 3 4" xfId="52248" xr:uid="{838D1726-9EB9-4EF9-87DB-CD2EF1990A3D}"/>
    <cellStyle name="Comma 4 4 2 5 2 3 5" xfId="55264" xr:uid="{4DFD0D13-C819-4F72-854A-1E4030DD5286}"/>
    <cellStyle name="Comma 4 4 2 5 2 4" xfId="15858" xr:uid="{39F0FDF2-6A4A-4639-A074-B1CA201079F8}"/>
    <cellStyle name="Comma 4 4 2 5 2 4 2" xfId="23387" xr:uid="{54A2BC87-9071-4EB4-ACCD-2A27FC993D96}"/>
    <cellStyle name="Comma 4 4 2 5 2 4 3" xfId="46976" xr:uid="{D0BBD9DA-E4FD-4963-8109-3FEB1634FF6E}"/>
    <cellStyle name="Comma 4 4 2 5 2 4 4" xfId="52725" xr:uid="{ACE25226-53F2-4D80-8681-5DF44000A9F8}"/>
    <cellStyle name="Comma 4 4 2 5 2 4 5" xfId="55741" xr:uid="{44551D8A-0CAF-411A-9232-28BDC8A67554}"/>
    <cellStyle name="Comma 4 4 2 5 2 5" xfId="12947" xr:uid="{A35F8AE6-642F-4E69-874C-4F892F1E5041}"/>
    <cellStyle name="Comma 4 4 2 5 2 5 2" xfId="46376" xr:uid="{0CA60576-CC10-4C2B-B2B4-5A7893B91E24}"/>
    <cellStyle name="Comma 4 4 2 5 2 5 3" xfId="51294" xr:uid="{D96B9A0A-1E3E-4962-B9F1-77A5644907F7}"/>
    <cellStyle name="Comma 4 4 2 5 2 5 4" xfId="54310" xr:uid="{74A0E47F-2FC7-4A78-8185-26127A1728B5}"/>
    <cellStyle name="Comma 4 4 2 5 2 6" xfId="46135" xr:uid="{0BE1107B-105F-45D7-AB3B-54362A5AA744}"/>
    <cellStyle name="Comma 4 4 2 5 2 7" xfId="50188" xr:uid="{3E43358C-D840-4019-8CF1-C480D4FD0E31}"/>
    <cellStyle name="Comma 4 4 2 5 2 8" xfId="53204" xr:uid="{83F69B6F-0CB3-4EC8-AC98-B7B3F6A8812C}"/>
    <cellStyle name="Comma 4 4 2 5 3" xfId="14674" xr:uid="{FE66D4F6-83FE-4DA3-85F1-5B8BE1F57675}"/>
    <cellStyle name="Comma 4 4 2 5 3 2" xfId="22221" xr:uid="{380C4D26-0278-470D-B408-0B5529562DE1}"/>
    <cellStyle name="Comma 4 4 2 5 3 3" xfId="36279" xr:uid="{88FD250C-7ABA-4D4B-97FD-D19C1F6525F3}"/>
    <cellStyle name="Comma 4 4 2 5 3 4" xfId="51559" xr:uid="{73C70DE0-144B-4F66-BA2E-8E81A17617D6}"/>
    <cellStyle name="Comma 4 4 2 5 3 5" xfId="54575" xr:uid="{5385CE02-F138-4C2D-AD7F-9D5962993ABC}"/>
    <cellStyle name="Comma 4 4 2 5 4" xfId="15159" xr:uid="{5EE35F06-322F-453B-B808-E407FD7F6C72}"/>
    <cellStyle name="Comma 4 4 2 5 4 2" xfId="22698" xr:uid="{E520B231-B36A-49DA-9CF2-FF71AE43C3A2}"/>
    <cellStyle name="Comma 4 4 2 5 4 3" xfId="47696" xr:uid="{D7436300-8450-4B34-AA35-13C77C3E46F7}"/>
    <cellStyle name="Comma 4 4 2 5 4 4" xfId="52036" xr:uid="{4EAA3409-77BB-4935-B329-AFF2D8AFEF82}"/>
    <cellStyle name="Comma 4 4 2 5 4 5" xfId="55052" xr:uid="{C57F1574-578B-40F4-9FD8-267E538D2849}"/>
    <cellStyle name="Comma 4 4 2 5 5" xfId="15646" xr:uid="{1195C11D-CD3E-4F9C-AA35-7570521286F8}"/>
    <cellStyle name="Comma 4 4 2 5 5 2" xfId="23175" xr:uid="{5BA8A8AA-97DB-4030-A463-97B822FE2EBF}"/>
    <cellStyle name="Comma 4 4 2 5 5 3" xfId="33644" xr:uid="{5D660E9F-7F5B-4584-B60F-FF927958CFDF}"/>
    <cellStyle name="Comma 4 4 2 5 5 4" xfId="52513" xr:uid="{B9F0311B-EA2D-41F5-B0B4-8D3B9173DD1D}"/>
    <cellStyle name="Comma 4 4 2 5 5 5" xfId="55529" xr:uid="{BF054E0F-4DA1-41A8-A0EA-0624B949DD92}"/>
    <cellStyle name="Comma 4 4 2 5 6" xfId="12634" xr:uid="{642C2BD3-DA1F-4D30-B9EF-78EAE3E5F6FB}"/>
    <cellStyle name="Comma 4 4 2 5 6 2" xfId="46333" xr:uid="{AE047CC3-9B9A-4CD4-BFC1-F993FF9F727F}"/>
    <cellStyle name="Comma 4 4 2 5 6 3" xfId="51082" xr:uid="{4898CA7B-463B-46A4-BB11-D13206D60865}"/>
    <cellStyle name="Comma 4 4 2 5 6 4" xfId="54098" xr:uid="{EE5E337F-2560-4A9D-B30F-1D6C6F7DCBCA}"/>
    <cellStyle name="Comma 4 4 2 5 7" xfId="46061" xr:uid="{3B37C92C-240F-49A6-894F-34B313666004}"/>
    <cellStyle name="Comma 4 4 2 5 8" xfId="49976" xr:uid="{2636C90D-01BD-42D3-88C9-8ED230E9EE6E}"/>
    <cellStyle name="Comma 4 4 2 5 9" xfId="52992" xr:uid="{24980D04-DC36-4C33-B7E0-DB6CB19E0415}"/>
    <cellStyle name="Comma 4 4 2 6" xfId="10260" xr:uid="{D5606D7F-60B6-44E6-A706-12E14DD72C81}"/>
    <cellStyle name="Comma 4 4 2 6 2" xfId="14727" xr:uid="{44CAD1B1-C462-418B-AC29-C1C5E8D5628A}"/>
    <cellStyle name="Comma 4 4 2 6 2 2" xfId="22274" xr:uid="{2C127CE8-DD96-49BC-8563-CB8828891023}"/>
    <cellStyle name="Comma 4 4 2 6 2 3" xfId="46424" xr:uid="{01EDEE23-9F4C-4DA4-9E82-CF43959C6518}"/>
    <cellStyle name="Comma 4 4 2 6 2 4" xfId="51612" xr:uid="{45CB79B6-DC86-4FFD-A650-EF8AE23307DD}"/>
    <cellStyle name="Comma 4 4 2 6 2 5" xfId="54628" xr:uid="{6E4B3415-6C4E-4F95-AE28-0C2E1C2B4180}"/>
    <cellStyle name="Comma 4 4 2 6 3" xfId="15212" xr:uid="{180D7516-BF5D-457C-9F12-AAD011B8E45A}"/>
    <cellStyle name="Comma 4 4 2 6 3 2" xfId="22751" xr:uid="{FD09EFAD-F2B1-44C0-ABE9-39DAD8596E50}"/>
    <cellStyle name="Comma 4 4 2 6 3 3" xfId="48246" xr:uid="{511436D0-6729-43C4-B949-D47A9B93E0EA}"/>
    <cellStyle name="Comma 4 4 2 6 3 4" xfId="52089" xr:uid="{ABAD14FE-4EB8-4AFD-AC03-B80AF691DE15}"/>
    <cellStyle name="Comma 4 4 2 6 3 5" xfId="55105" xr:uid="{6A8B05D7-E2AA-4D07-9D54-B1D6326AB300}"/>
    <cellStyle name="Comma 4 4 2 6 4" xfId="15699" xr:uid="{81AC11C3-2501-4D57-84D0-0D4977AB500E}"/>
    <cellStyle name="Comma 4 4 2 6 4 2" xfId="23228" xr:uid="{7C87A1FF-6D5F-4EF0-B16F-2BCC231DFA76}"/>
    <cellStyle name="Comma 4 4 2 6 4 3" xfId="46573" xr:uid="{BEF10AB9-DC44-45D5-B315-D02882D39148}"/>
    <cellStyle name="Comma 4 4 2 6 4 4" xfId="52566" xr:uid="{FAEF4B1D-863C-49B8-9E03-D92025B01E41}"/>
    <cellStyle name="Comma 4 4 2 6 4 5" xfId="55582" xr:uid="{EFD6BF0F-677D-4A60-AAC2-2C4A5D795CAD}"/>
    <cellStyle name="Comma 4 4 2 6 5" xfId="12713" xr:uid="{061B0A2B-607D-4FD1-83BE-89D1A5C10097}"/>
    <cellStyle name="Comma 4 4 2 6 5 2" xfId="47051" xr:uid="{1E1E3056-4E87-4BC6-84D0-9BFEAB998570}"/>
    <cellStyle name="Comma 4 4 2 6 5 3" xfId="51135" xr:uid="{90A4EB8C-069A-4431-AD58-F7BEBB2F3157}"/>
    <cellStyle name="Comma 4 4 2 6 5 4" xfId="54151" xr:uid="{DE09C250-6E8E-49F0-86CA-CD27D5578A33}"/>
    <cellStyle name="Comma 4 4 2 6 6" xfId="48431" xr:uid="{6F58F749-568C-4AE2-BBB7-E55DF4B676BE}"/>
    <cellStyle name="Comma 4 4 2 6 7" xfId="50029" xr:uid="{F8D0327B-7F9E-4878-B214-B0F14148B5DF}"/>
    <cellStyle name="Comma 4 4 2 6 8" xfId="53045" xr:uid="{E97DCEA8-B51A-4A16-AF64-1398CE523778}"/>
    <cellStyle name="Comma 4 4 2 7" xfId="10574" xr:uid="{D162731F-8A39-4B85-9134-9DCA901848F7}"/>
    <cellStyle name="Comma 4 4 2 7 2" xfId="14939" xr:uid="{9D87967A-E1ED-4EBB-9C52-50DE72BBAB78}"/>
    <cellStyle name="Comma 4 4 2 7 2 2" xfId="22486" xr:uid="{9C9D4B71-9DB2-4977-835B-8799343A2082}"/>
    <cellStyle name="Comma 4 4 2 7 2 3" xfId="48537" xr:uid="{3272FCB3-E684-4706-AAF6-1BE818DC3F57}"/>
    <cellStyle name="Comma 4 4 2 7 2 4" xfId="51824" xr:uid="{E7E52F80-B288-4BE4-99AB-D1FA13377350}"/>
    <cellStyle name="Comma 4 4 2 7 2 5" xfId="54840" xr:uid="{17638CF1-FAB8-4D34-BEDA-F495161A7669}"/>
    <cellStyle name="Comma 4 4 2 7 3" xfId="15424" xr:uid="{5C7F2E52-71F5-4AC0-8197-FEBCCA3BAB56}"/>
    <cellStyle name="Comma 4 4 2 7 3 2" xfId="22963" xr:uid="{DAC2F65B-C78F-44AE-8536-F1A6D68FEBA4}"/>
    <cellStyle name="Comma 4 4 2 7 3 3" xfId="47670" xr:uid="{56426F44-BF52-44C9-B17A-8D32D8A1CF68}"/>
    <cellStyle name="Comma 4 4 2 7 3 4" xfId="52301" xr:uid="{521AE701-34B7-4B16-9EDF-51A094E36214}"/>
    <cellStyle name="Comma 4 4 2 7 3 5" xfId="55317" xr:uid="{A3748E5C-069B-4492-ABBB-8EA92A3C43B7}"/>
    <cellStyle name="Comma 4 4 2 7 4" xfId="15912" xr:uid="{0C4B6FB0-AB07-4AFF-90D2-191FBE8FA8CF}"/>
    <cellStyle name="Comma 4 4 2 7 4 2" xfId="23440" xr:uid="{0575A322-D3E3-4A67-9F6E-393893F2977F}"/>
    <cellStyle name="Comma 4 4 2 7 4 3" xfId="48137" xr:uid="{B2D57399-2E80-416C-ABFE-D2693F20E2D3}"/>
    <cellStyle name="Comma 4 4 2 7 4 4" xfId="52778" xr:uid="{D4E31AFE-E329-40A4-B032-F5F27AC46E80}"/>
    <cellStyle name="Comma 4 4 2 7 4 5" xfId="55794" xr:uid="{C2C40670-5424-4985-9CCC-93C6D5A17E00}"/>
    <cellStyle name="Comma 4 4 2 7 5" xfId="13027" xr:uid="{1BEB345C-4F3B-4009-ACA5-98C896E84B61}"/>
    <cellStyle name="Comma 4 4 2 7 5 2" xfId="48007" xr:uid="{459940F7-E17E-4BF4-8BE1-24D657AC35A1}"/>
    <cellStyle name="Comma 4 4 2 7 5 3" xfId="51347" xr:uid="{7EFCBE25-1D06-44BC-8982-62DB945878E8}"/>
    <cellStyle name="Comma 4 4 2 7 5 4" xfId="54363" xr:uid="{55460D50-CD0A-467D-89F3-9B26C6FA5AA0}"/>
    <cellStyle name="Comma 4 4 2 7 6" xfId="46151" xr:uid="{E9A5AD4B-60E8-4BED-A443-C2C0162FD391}"/>
    <cellStyle name="Comma 4 4 2 7 7" xfId="50241" xr:uid="{5B420B02-A115-4050-BA54-BA1D0C75415C}"/>
    <cellStyle name="Comma 4 4 2 7 8" xfId="53257" xr:uid="{02449920-8059-4DDF-B84C-A6F1E386B944}"/>
    <cellStyle name="Comma 4 4 2 8" xfId="14515" xr:uid="{73DF8225-FF27-4423-B818-A892AACEB2CD}"/>
    <cellStyle name="Comma 4 4 2 8 2" xfId="22062" xr:uid="{E76A7019-DEDE-4F8E-9F55-BBD8D25106CB}"/>
    <cellStyle name="Comma 4 4 2 8 3" xfId="48205" xr:uid="{16D111B1-9FE5-4615-9658-0088A6CC0E28}"/>
    <cellStyle name="Comma 4 4 2 8 4" xfId="51400" xr:uid="{58C7D9E2-1FEB-4467-8407-3924B9795719}"/>
    <cellStyle name="Comma 4 4 2 8 5" xfId="54416" xr:uid="{FBB24449-D77F-49E6-83DD-5B0D787159E5}"/>
    <cellStyle name="Comma 4 4 2 9" xfId="14999" xr:uid="{F6DC5ACB-D79A-46F5-86EE-2CF45593A24A}"/>
    <cellStyle name="Comma 4 4 2 9 2" xfId="22539" xr:uid="{EED783ED-1D94-413C-BCCE-CF9219FFAB10}"/>
    <cellStyle name="Comma 4 4 2 9 3" xfId="47488" xr:uid="{910147D7-4879-4382-840C-A7DB372C5E09}"/>
    <cellStyle name="Comma 4 4 2 9 4" xfId="51877" xr:uid="{74E46F50-1135-41EC-B497-053895C8D00C}"/>
    <cellStyle name="Comma 4 4 2 9 5" xfId="54893" xr:uid="{424D8B97-CBD1-4D0F-A7A8-D7B3A5A234E9}"/>
    <cellStyle name="Comma 4 4 3" xfId="8942" xr:uid="{BEB6663C-3A61-48A8-AF5E-E2AA01B77A5B}"/>
    <cellStyle name="Comma 4 4 3 10" xfId="11123" xr:uid="{EE42462E-3F4F-4672-B723-DA0CAF0354C9}"/>
    <cellStyle name="Comma 4 4 3 10 2" xfId="47157" xr:uid="{9A9BA943-CF67-4874-98B0-008B0337C9DB}"/>
    <cellStyle name="Comma 4 4 3 10 3" xfId="50690" xr:uid="{2FFDB2A1-16D3-4FD5-82ED-77FBE8C6D3BC}"/>
    <cellStyle name="Comma 4 4 3 10 4" xfId="53706" xr:uid="{6E7610EF-CF08-4F1A-85B1-133531C9373E}"/>
    <cellStyle name="Comma 4 4 3 11" xfId="23771" xr:uid="{316CBB92-1282-483C-B26B-713A6E8468CF}"/>
    <cellStyle name="Comma 4 4 3 12" xfId="48652" xr:uid="{B906B726-9518-4BE6-A24D-89318D7559B8}"/>
    <cellStyle name="Comma 4 4 3 13" xfId="49560" xr:uid="{1B7AA6F3-4098-4CDF-BC6F-2D12BBDA8AF7}"/>
    <cellStyle name="Comma 4 4 3 14" xfId="49819" xr:uid="{FB212C14-8628-42D0-B004-FD4417AAD28A}"/>
    <cellStyle name="Comma 4 4 3 15" xfId="52834" xr:uid="{695CF957-26EB-4519-81D3-2245A7787C0D}"/>
    <cellStyle name="Comma 4 4 3 2" xfId="10029" xr:uid="{09B1E03A-D81E-452E-A711-0A3108AD97C8}"/>
    <cellStyle name="Comma 4 4 3 2 2" xfId="10337" xr:uid="{31B07A54-6F1F-4E19-B891-1A09603FFC4E}"/>
    <cellStyle name="Comma 4 4 3 2 2 2" xfId="14782" xr:uid="{0A0BF64F-D1B4-4F87-ADF4-56EA159885EE}"/>
    <cellStyle name="Comma 4 4 3 2 2 2 2" xfId="22329" xr:uid="{037ED473-6A58-4AF0-BFDA-8AF5FCCA895D}"/>
    <cellStyle name="Comma 4 4 3 2 2 2 3" xfId="47965" xr:uid="{88B202EC-FA0E-4744-BF20-13336A4BD0B2}"/>
    <cellStyle name="Comma 4 4 3 2 2 2 4" xfId="51667" xr:uid="{28B2B644-6C0E-4175-B1A7-098712584D6F}"/>
    <cellStyle name="Comma 4 4 3 2 2 2 5" xfId="54683" xr:uid="{6B86B90B-E78B-45BE-840A-75A7CF245CD4}"/>
    <cellStyle name="Comma 4 4 3 2 2 3" xfId="15267" xr:uid="{549464BF-A4F7-4F70-B8F6-1F8525893CA1}"/>
    <cellStyle name="Comma 4 4 3 2 2 3 2" xfId="22806" xr:uid="{30C65B78-AB8F-4AE5-8359-4298EB4F173C}"/>
    <cellStyle name="Comma 4 4 3 2 2 3 3" xfId="47491" xr:uid="{CF71E408-FF77-43F3-B0DE-2E62E399CAE2}"/>
    <cellStyle name="Comma 4 4 3 2 2 3 4" xfId="52144" xr:uid="{255B0026-5C5D-4156-B37D-A13FB33B0701}"/>
    <cellStyle name="Comma 4 4 3 2 2 3 5" xfId="55160" xr:uid="{645F55D0-BF7D-4BEA-816C-081E013FD8DB}"/>
    <cellStyle name="Comma 4 4 3 2 2 4" xfId="15754" xr:uid="{BA2C6CB0-4F3A-435E-8FC5-714387D749A5}"/>
    <cellStyle name="Comma 4 4 3 2 2 4 2" xfId="23283" xr:uid="{C8A8F8B9-3FBC-4BE4-899F-7C545E1AD7BA}"/>
    <cellStyle name="Comma 4 4 3 2 2 4 3" xfId="48229" xr:uid="{5490E633-7FE2-443E-BDCC-5ED1B281312D}"/>
    <cellStyle name="Comma 4 4 3 2 2 4 4" xfId="52621" xr:uid="{32929176-2F7C-4D9B-A3D5-A08C37AD5A92}"/>
    <cellStyle name="Comma 4 4 3 2 2 4 5" xfId="55637" xr:uid="{EA6375D2-3E50-4419-B5EA-9C044B088F9C}"/>
    <cellStyle name="Comma 4 4 3 2 2 5" xfId="12790" xr:uid="{A3551BE0-2239-404E-832D-DE01E1444F87}"/>
    <cellStyle name="Comma 4 4 3 2 2 5 2" xfId="47920" xr:uid="{FF5EFEDB-F6BC-475A-A669-082F7EC61252}"/>
    <cellStyle name="Comma 4 4 3 2 2 5 3" xfId="51190" xr:uid="{1A885DEA-A9C8-4689-BFD2-A516DCBFD269}"/>
    <cellStyle name="Comma 4 4 3 2 2 5 4" xfId="54206" xr:uid="{BF3760BA-8225-433E-90DF-00A2474B2E62}"/>
    <cellStyle name="Comma 4 4 3 2 2 6" xfId="47653" xr:uid="{F0E6896E-105C-4508-BEA8-3175459D49EB}"/>
    <cellStyle name="Comma 4 4 3 2 2 7" xfId="50084" xr:uid="{81CBA1F1-9B78-45C7-9096-CFF06F6C6A66}"/>
    <cellStyle name="Comma 4 4 3 2 2 8" xfId="53100" xr:uid="{5C46A712-D56C-4275-8EFE-7419D14647F0}"/>
    <cellStyle name="Comma 4 4 3 2 3" xfId="14570" xr:uid="{46A875E7-60B3-46AC-992F-F608EC77ACE2}"/>
    <cellStyle name="Comma 4 4 3 2 3 2" xfId="22117" xr:uid="{4340D734-74AC-4017-BAFE-EA5A46FB4D09}"/>
    <cellStyle name="Comma 4 4 3 2 3 3" xfId="46399" xr:uid="{847D63E5-4BE3-4023-AE74-4FD1492001B6}"/>
    <cellStyle name="Comma 4 4 3 2 3 4" xfId="51455" xr:uid="{FEDAFC79-79F0-4C46-A600-5DB27E6FE1E9}"/>
    <cellStyle name="Comma 4 4 3 2 3 5" xfId="54471" xr:uid="{CE3D5639-AC9C-4595-8A36-2F5358773583}"/>
    <cellStyle name="Comma 4 4 3 2 4" xfId="15054" xr:uid="{49EAFC9B-4A8B-4B89-A254-D8126C0537B5}"/>
    <cellStyle name="Comma 4 4 3 2 4 2" xfId="22594" xr:uid="{9CF36788-E71A-4E32-9EC3-911282ABE829}"/>
    <cellStyle name="Comma 4 4 3 2 4 3" xfId="24748" xr:uid="{6F4916E7-241C-47E0-8056-D7AC38417A2C}"/>
    <cellStyle name="Comma 4 4 3 2 4 4" xfId="51932" xr:uid="{D20DFF7F-64DE-44DE-9FE4-1BE60D43DE31}"/>
    <cellStyle name="Comma 4 4 3 2 4 5" xfId="54948" xr:uid="{D104E554-A87A-4411-A6B4-6787225F2764}"/>
    <cellStyle name="Comma 4 4 3 2 5" xfId="15541" xr:uid="{C429FE40-E227-488F-86C6-5BAAC970CD67}"/>
    <cellStyle name="Comma 4 4 3 2 5 2" xfId="23071" xr:uid="{6D54367E-155E-4FDE-A180-6926AE9886B7}"/>
    <cellStyle name="Comma 4 4 3 2 5 3" xfId="48365" xr:uid="{127CCE5E-6550-47C2-8224-88829F313583}"/>
    <cellStyle name="Comma 4 4 3 2 5 4" xfId="52409" xr:uid="{D4765D47-B6AD-44D7-AB5C-5D8BC8A8B062}"/>
    <cellStyle name="Comma 4 4 3 2 5 5" xfId="55425" xr:uid="{A7032377-9F69-4921-97E4-B7B05EC49102}"/>
    <cellStyle name="Comma 4 4 3 2 6" xfId="12489" xr:uid="{77E6D95A-8755-4DA1-8619-C79E75F29512}"/>
    <cellStyle name="Comma 4 4 3 2 6 2" xfId="46759" xr:uid="{519A099A-24A7-4DCC-93C0-59D1ECF5BBE5}"/>
    <cellStyle name="Comma 4 4 3 2 6 3" xfId="50978" xr:uid="{3BB7CCA7-7A93-47C7-A33A-0F0644D04E92}"/>
    <cellStyle name="Comma 4 4 3 2 6 4" xfId="53994" xr:uid="{0D1AF60B-4C4A-4DD3-AD85-7A7B43DC88CD}"/>
    <cellStyle name="Comma 4 4 3 2 7" xfId="47573" xr:uid="{457D11B4-91A0-409A-9C3A-427E7FBCEF54}"/>
    <cellStyle name="Comma 4 4 3 2 8" xfId="49872" xr:uid="{7499C6CB-FFDA-4798-9E09-5E07D41622AF}"/>
    <cellStyle name="Comma 4 4 3 2 9" xfId="52888" xr:uid="{BBD79687-FE92-4002-8103-9B5B07EFBB3C}"/>
    <cellStyle name="Comma 4 4 3 3" xfId="10103" xr:uid="{93D06586-6855-4233-9954-D05488ACECB5}"/>
    <cellStyle name="Comma 4 4 3 3 2" xfId="10416" xr:uid="{4F053F38-BC84-4F18-9018-785066129A54}"/>
    <cellStyle name="Comma 4 4 3 3 2 2" xfId="14835" xr:uid="{507DD6D0-2AF5-4223-A515-7FD2F8FCA3D7}"/>
    <cellStyle name="Comma 4 4 3 3 2 2 2" xfId="22382" xr:uid="{4618F0E5-63DD-4AD9-9FA1-CD05E0CD182D}"/>
    <cellStyle name="Comma 4 4 3 3 2 2 3" xfId="46867" xr:uid="{B6CEC866-F3A8-4DC1-8490-2CB61401800C}"/>
    <cellStyle name="Comma 4 4 3 3 2 2 4" xfId="51720" xr:uid="{A3DAAB53-7B4D-4A0D-B280-7F0415E167E4}"/>
    <cellStyle name="Comma 4 4 3 3 2 2 5" xfId="54736" xr:uid="{F0196706-66A3-4D1D-9E4F-04228150232D}"/>
    <cellStyle name="Comma 4 4 3 3 2 3" xfId="15320" xr:uid="{F10C2440-801D-45C9-9F5A-982B3F4531D7}"/>
    <cellStyle name="Comma 4 4 3 3 2 3 2" xfId="22859" xr:uid="{5B530DED-6827-484C-BBA8-3566EF34B284}"/>
    <cellStyle name="Comma 4 4 3 3 2 3 3" xfId="47717" xr:uid="{7A089532-08CA-4788-8E24-965C01E0A43B}"/>
    <cellStyle name="Comma 4 4 3 3 2 3 4" xfId="52197" xr:uid="{70DBE788-A25D-4ED6-B7FD-7BC63678BFA7}"/>
    <cellStyle name="Comma 4 4 3 3 2 3 5" xfId="55213" xr:uid="{2187232D-083F-4E9D-A891-C2ECA0BE3B30}"/>
    <cellStyle name="Comma 4 4 3 3 2 4" xfId="15807" xr:uid="{921CB59F-6A12-4490-A86B-1891296F7C82}"/>
    <cellStyle name="Comma 4 4 3 3 2 4 2" xfId="23336" xr:uid="{86645795-DC8B-43F9-A070-EA9C8663D324}"/>
    <cellStyle name="Comma 4 4 3 3 2 4 3" xfId="47849" xr:uid="{BB990BEE-DF0A-4B28-B671-3792BBDDFAE8}"/>
    <cellStyle name="Comma 4 4 3 3 2 4 4" xfId="52674" xr:uid="{8973A484-E3E0-4F5D-BD39-F727099B8D28}"/>
    <cellStyle name="Comma 4 4 3 3 2 4 5" xfId="55690" xr:uid="{8758B59F-9715-480C-B1C2-8E79BDFE6564}"/>
    <cellStyle name="Comma 4 4 3 3 2 5" xfId="12869" xr:uid="{80CED840-2098-469B-9E73-9B2B9B4C6327}"/>
    <cellStyle name="Comma 4 4 3 3 2 5 2" xfId="46807" xr:uid="{E2D623BD-4C6B-41BE-AFB8-C5C3C06122C9}"/>
    <cellStyle name="Comma 4 4 3 3 2 5 3" xfId="51243" xr:uid="{DE8899FB-5AB5-4544-A83D-3B1DD83B6CCF}"/>
    <cellStyle name="Comma 4 4 3 3 2 5 4" xfId="54259" xr:uid="{45D1D2D7-30C2-4348-8047-51CCE29F97D3}"/>
    <cellStyle name="Comma 4 4 3 3 2 6" xfId="46117" xr:uid="{B3B40948-B75D-4760-BB33-052D313B1315}"/>
    <cellStyle name="Comma 4 4 3 3 2 7" xfId="50137" xr:uid="{C985A81F-7A39-4858-8189-167CBE4EE5B1}"/>
    <cellStyle name="Comma 4 4 3 3 2 8" xfId="53153" xr:uid="{9DA2A6C9-7F4E-4419-953C-21923536FAAE}"/>
    <cellStyle name="Comma 4 4 3 3 3" xfId="14623" xr:uid="{30948318-5DA6-4A13-96E0-EF113E98A404}"/>
    <cellStyle name="Comma 4 4 3 3 3 2" xfId="22170" xr:uid="{49FA5E0E-7302-4A7E-B5A4-B9897C5A82E1}"/>
    <cellStyle name="Comma 4 4 3 3 3 3" xfId="46410" xr:uid="{F5863238-BF7B-4B3A-A4CF-A7759C4C10A6}"/>
    <cellStyle name="Comma 4 4 3 3 3 4" xfId="51508" xr:uid="{63F2E0D1-E717-4326-B83D-FE19EDF2957D}"/>
    <cellStyle name="Comma 4 4 3 3 3 5" xfId="54524" xr:uid="{B132B37F-4FF3-4016-BEA0-37EF2BB437D2}"/>
    <cellStyle name="Comma 4 4 3 3 4" xfId="15108" xr:uid="{282F438E-986F-48E9-914C-75413A2B8CC5}"/>
    <cellStyle name="Comma 4 4 3 3 4 2" xfId="22647" xr:uid="{2B1CD46A-DDD9-4200-98FF-FE213E261735}"/>
    <cellStyle name="Comma 4 4 3 3 4 3" xfId="48124" xr:uid="{CE549C2E-D23F-417E-81E5-9ED2C5F303A3}"/>
    <cellStyle name="Comma 4 4 3 3 4 4" xfId="51985" xr:uid="{A8697FDC-B8FA-405B-A159-7BB42A7AC217}"/>
    <cellStyle name="Comma 4 4 3 3 4 5" xfId="55001" xr:uid="{F1B3356B-1536-4FF9-9004-5D76835C55CD}"/>
    <cellStyle name="Comma 4 4 3 3 5" xfId="15595" xr:uid="{052C73BC-C767-45E5-8AD3-0FB57755FAC6}"/>
    <cellStyle name="Comma 4 4 3 3 5 2" xfId="23124" xr:uid="{CB34C819-A185-44B3-A7B7-C59568973276}"/>
    <cellStyle name="Comma 4 4 3 3 5 3" xfId="47253" xr:uid="{798BA22C-BDD3-4EB2-B3D8-57B3C21643AB}"/>
    <cellStyle name="Comma 4 4 3 3 5 4" xfId="52462" xr:uid="{E7038CD4-17DE-4773-8D91-0EC5BC3164D6}"/>
    <cellStyle name="Comma 4 4 3 3 5 5" xfId="55478" xr:uid="{5DE855FF-A5A6-44C3-8516-F888318F0961}"/>
    <cellStyle name="Comma 4 4 3 3 6" xfId="12560" xr:uid="{15C074B2-79C0-4C52-84D7-FA80F3226906}"/>
    <cellStyle name="Comma 4 4 3 3 6 2" xfId="48489" xr:uid="{C3C0F9A8-0663-4699-9B47-42A2AB2956F9}"/>
    <cellStyle name="Comma 4 4 3 3 6 3" xfId="51031" xr:uid="{FA8F9EC5-14A2-444C-94F9-C2420D144DDA}"/>
    <cellStyle name="Comma 4 4 3 3 6 4" xfId="54047" xr:uid="{CA1C5F6C-3EDA-41D0-88C1-1BFD52D3A361}"/>
    <cellStyle name="Comma 4 4 3 3 7" xfId="47276" xr:uid="{623A359F-23ED-4C1B-910A-DC2BED9605AE}"/>
    <cellStyle name="Comma 4 4 3 3 8" xfId="49925" xr:uid="{EC583945-9856-4915-9369-979BDBA56095}"/>
    <cellStyle name="Comma 4 4 3 3 9" xfId="52941" xr:uid="{827738A7-8209-49F2-A0F5-9D92E5399424}"/>
    <cellStyle name="Comma 4 4 3 4" xfId="10182" xr:uid="{50CF7012-1CFD-4BA5-80E1-4802F6E0741E}"/>
    <cellStyle name="Comma 4 4 3 4 2" xfId="10496" xr:uid="{861A50FA-57C6-44A9-A710-5487EC48C7A9}"/>
    <cellStyle name="Comma 4 4 3 4 2 2" xfId="14888" xr:uid="{56C03E08-6444-4E5D-898C-775E4359E6C3}"/>
    <cellStyle name="Comma 4 4 3 4 2 2 2" xfId="22435" xr:uid="{E32AB3D7-EECB-4EDE-8BCF-E39B1157FE05}"/>
    <cellStyle name="Comma 4 4 3 4 2 2 3" xfId="24186" xr:uid="{EED17106-6D7F-464D-B637-912469E25913}"/>
    <cellStyle name="Comma 4 4 3 4 2 2 4" xfId="51773" xr:uid="{5A6F31AE-2625-4D1B-938F-0F4F8DA06733}"/>
    <cellStyle name="Comma 4 4 3 4 2 2 5" xfId="54789" xr:uid="{279EAF18-852A-4FF2-836B-661DF8A463CF}"/>
    <cellStyle name="Comma 4 4 3 4 2 3" xfId="15373" xr:uid="{6E894DB5-B165-497C-BB0E-63E68B61BAA0}"/>
    <cellStyle name="Comma 4 4 3 4 2 3 2" xfId="22912" xr:uid="{EAFFB2D4-5662-44A2-BFD7-D5198A1C1B01}"/>
    <cellStyle name="Comma 4 4 3 4 2 3 3" xfId="47639" xr:uid="{E13C2DA3-FCEA-4AA1-89B2-42B5416EB4C4}"/>
    <cellStyle name="Comma 4 4 3 4 2 3 4" xfId="52250" xr:uid="{27BA568D-C185-4277-8AC1-B9DE239E3275}"/>
    <cellStyle name="Comma 4 4 3 4 2 3 5" xfId="55266" xr:uid="{0DEA15FF-682A-40E9-92B1-06CCB85897CF}"/>
    <cellStyle name="Comma 4 4 3 4 2 4" xfId="15860" xr:uid="{83635B32-6EF9-4914-B861-94D973B94163}"/>
    <cellStyle name="Comma 4 4 3 4 2 4 2" xfId="23389" xr:uid="{7580CA5E-4D9D-437A-AC70-91E5185141FB}"/>
    <cellStyle name="Comma 4 4 3 4 2 4 3" xfId="48524" xr:uid="{07FA46E9-5991-4100-ABC7-A2D5D6AF8DF7}"/>
    <cellStyle name="Comma 4 4 3 4 2 4 4" xfId="52727" xr:uid="{08D83DEB-3ABB-41B8-82FE-2193E0FA6A06}"/>
    <cellStyle name="Comma 4 4 3 4 2 4 5" xfId="55743" xr:uid="{3ECD7B1A-239B-4546-A27F-FA44A111AC20}"/>
    <cellStyle name="Comma 4 4 3 4 2 5" xfId="12949" xr:uid="{9800BE6C-D0DE-4FA9-9FAF-B73CA1CCAC82}"/>
    <cellStyle name="Comma 4 4 3 4 2 5 2" xfId="47400" xr:uid="{F056338A-0296-4E9C-AF87-B62EDC86A109}"/>
    <cellStyle name="Comma 4 4 3 4 2 5 3" xfId="51296" xr:uid="{231AEBF0-6ED1-4324-A328-0C81EF346247}"/>
    <cellStyle name="Comma 4 4 3 4 2 5 4" xfId="54312" xr:uid="{99FCEC39-CDB1-4B39-9376-12143AAE48CF}"/>
    <cellStyle name="Comma 4 4 3 4 2 6" xfId="32301" xr:uid="{21C65739-1E9A-4382-BA4B-DE3D4BA6467D}"/>
    <cellStyle name="Comma 4 4 3 4 2 7" xfId="50190" xr:uid="{DEDED29D-6451-4753-9D68-7D8322997E86}"/>
    <cellStyle name="Comma 4 4 3 4 2 8" xfId="53206" xr:uid="{6BAEF8EC-D876-4E34-82C1-F48FF9B982BB}"/>
    <cellStyle name="Comma 4 4 3 4 3" xfId="14676" xr:uid="{CC1FD4FB-EDA5-4E56-9B14-FC2585FAA25B}"/>
    <cellStyle name="Comma 4 4 3 4 3 2" xfId="22223" xr:uid="{19ED5808-52A3-44FA-BFD9-10EF6635E1E2}"/>
    <cellStyle name="Comma 4 4 3 4 3 3" xfId="47771" xr:uid="{1FE17549-A775-44E6-839B-E61DE066BA72}"/>
    <cellStyle name="Comma 4 4 3 4 3 4" xfId="51561" xr:uid="{BF56581D-5F0E-4196-B7E1-4AEE350106F1}"/>
    <cellStyle name="Comma 4 4 3 4 3 5" xfId="54577" xr:uid="{EFBF8BEF-7118-45EB-8256-A31974AC38F3}"/>
    <cellStyle name="Comma 4 4 3 4 4" xfId="15161" xr:uid="{788F92DA-5235-47E4-8D75-7ACA205A1D53}"/>
    <cellStyle name="Comma 4 4 3 4 4 2" xfId="22700" xr:uid="{22F441D3-9387-466D-98FB-C66970F3FB0A}"/>
    <cellStyle name="Comma 4 4 3 4 4 3" xfId="47391" xr:uid="{EC749A44-F6BF-469B-9A14-2ACC5A53E887}"/>
    <cellStyle name="Comma 4 4 3 4 4 4" xfId="52038" xr:uid="{3DA43D50-5B84-42F1-A418-BD94662F8BA8}"/>
    <cellStyle name="Comma 4 4 3 4 4 5" xfId="55054" xr:uid="{388CDC64-FD3B-41EE-8636-C2D3A55D13C5}"/>
    <cellStyle name="Comma 4 4 3 4 5" xfId="15648" xr:uid="{2C354003-A537-47AA-A670-66988C0B0469}"/>
    <cellStyle name="Comma 4 4 3 4 5 2" xfId="23177" xr:uid="{1FA9B077-8632-4250-A897-1089701F64BC}"/>
    <cellStyle name="Comma 4 4 3 4 5 3" xfId="46564" xr:uid="{2BD8180B-275D-47D4-954A-B9FAEE2D1538}"/>
    <cellStyle name="Comma 4 4 3 4 5 4" xfId="52515" xr:uid="{C74B53EE-B36A-4BC1-875E-5206D4C537D8}"/>
    <cellStyle name="Comma 4 4 3 4 5 5" xfId="55531" xr:uid="{6BB44F59-4C4D-4160-8BE5-8B4EB1BD65DA}"/>
    <cellStyle name="Comma 4 4 3 4 6" xfId="12636" xr:uid="{3B6A83B7-7167-4712-AF2D-63EFA5FCACA2}"/>
    <cellStyle name="Comma 4 4 3 4 6 2" xfId="47988" xr:uid="{53E90FB0-F1C7-42E4-BEC4-74E307CAD84F}"/>
    <cellStyle name="Comma 4 4 3 4 6 3" xfId="51084" xr:uid="{4DD5643B-1A70-4D04-9893-50B25EA791D3}"/>
    <cellStyle name="Comma 4 4 3 4 6 4" xfId="54100" xr:uid="{37E712EE-C9F1-4F0D-BBAA-8B7CC1CD53B8}"/>
    <cellStyle name="Comma 4 4 3 4 7" xfId="46062" xr:uid="{BA015E32-28A2-49D2-9439-1F2FC0BCFFD0}"/>
    <cellStyle name="Comma 4 4 3 4 8" xfId="49978" xr:uid="{4932C109-F017-4E1E-BCCD-CBFBF6BF07F9}"/>
    <cellStyle name="Comma 4 4 3 4 9" xfId="52994" xr:uid="{67118F24-2291-4AE8-9955-FC1F5AB39D37}"/>
    <cellStyle name="Comma 4 4 3 5" xfId="10262" xr:uid="{1C05698B-6927-41F5-A806-BB1A38C30F5C}"/>
    <cellStyle name="Comma 4 4 3 5 2" xfId="14729" xr:uid="{CD8DF229-6C90-481B-A2A2-839C96CA5B77}"/>
    <cellStyle name="Comma 4 4 3 5 2 2" xfId="22276" xr:uid="{5ADAA247-2C23-4764-AF7A-76C61667A936}"/>
    <cellStyle name="Comma 4 4 3 5 2 3" xfId="48407" xr:uid="{145AB729-3581-468E-ABDA-A2D470CDA472}"/>
    <cellStyle name="Comma 4 4 3 5 2 4" xfId="51614" xr:uid="{A2A495DA-C01C-4232-8A6A-612A331F03C8}"/>
    <cellStyle name="Comma 4 4 3 5 2 5" xfId="54630" xr:uid="{3EE07893-7EBB-479B-B3E8-B4B251EB9A17}"/>
    <cellStyle name="Comma 4 4 3 5 3" xfId="15214" xr:uid="{EE2A8E6B-76AE-42F8-9C5C-BF4F04834E90}"/>
    <cellStyle name="Comma 4 4 3 5 3 2" xfId="22753" xr:uid="{26F85157-5CE8-4B79-9C80-250495CCB30E}"/>
    <cellStyle name="Comma 4 4 3 5 3 3" xfId="46496" xr:uid="{9FBF19BE-B2E9-42F4-8CF2-A48764CF9DC6}"/>
    <cellStyle name="Comma 4 4 3 5 3 4" xfId="52091" xr:uid="{A07BAE42-2C66-4246-8D1C-DF42373AA4AB}"/>
    <cellStyle name="Comma 4 4 3 5 3 5" xfId="55107" xr:uid="{6DF6A400-E952-4CA7-888B-97FD343FECE8}"/>
    <cellStyle name="Comma 4 4 3 5 4" xfId="15701" xr:uid="{56C79256-6E44-4AE6-A55B-396C76FAC682}"/>
    <cellStyle name="Comma 4 4 3 5 4 2" xfId="23230" xr:uid="{212BC880-1B8B-4BDE-9B41-A34191D1F6C2}"/>
    <cellStyle name="Comma 4 4 3 5 4 3" xfId="47395" xr:uid="{6AC37900-A028-4B88-ACB3-6EE8F0DBBC8B}"/>
    <cellStyle name="Comma 4 4 3 5 4 4" xfId="52568" xr:uid="{8581FE77-C4B9-4143-8315-7B545605611D}"/>
    <cellStyle name="Comma 4 4 3 5 4 5" xfId="55584" xr:uid="{48E5C3EF-3E37-4AA4-B6B3-B99796D9AEC1}"/>
    <cellStyle name="Comma 4 4 3 5 5" xfId="12715" xr:uid="{B076A414-0BCA-40C0-A923-6FA039D901D0}"/>
    <cellStyle name="Comma 4 4 3 5 5 2" xfId="47168" xr:uid="{B0BA6449-69AD-46E0-B38E-80DED63BEC52}"/>
    <cellStyle name="Comma 4 4 3 5 5 3" xfId="51137" xr:uid="{7D5A64B9-63D4-4979-B97B-FC0FB1431C0C}"/>
    <cellStyle name="Comma 4 4 3 5 5 4" xfId="54153" xr:uid="{EEB83904-FF98-4994-91DA-35658B5BE54A}"/>
    <cellStyle name="Comma 4 4 3 5 6" xfId="32278" xr:uid="{1BF9FD75-44D1-4484-ADF4-54FACA588C66}"/>
    <cellStyle name="Comma 4 4 3 5 7" xfId="50031" xr:uid="{C8B99CC6-1E23-4DEB-B416-586617773522}"/>
    <cellStyle name="Comma 4 4 3 5 8" xfId="53047" xr:uid="{DBB32642-6B35-4CBE-ACF8-E73EF2B167FF}"/>
    <cellStyle name="Comma 4 4 3 6" xfId="10576" xr:uid="{9CB2B27D-2063-4A6E-A1A1-8663D0E431A7}"/>
    <cellStyle name="Comma 4 4 3 6 2" xfId="14941" xr:uid="{D14BE5ED-15D2-435C-B03F-55470BF0AC9F}"/>
    <cellStyle name="Comma 4 4 3 6 2 2" xfId="22488" xr:uid="{A0380018-862E-4470-A473-645F0B125B69}"/>
    <cellStyle name="Comma 4 4 3 6 2 3" xfId="47027" xr:uid="{5CD1DE12-B19C-4751-926C-65C8C7F97E56}"/>
    <cellStyle name="Comma 4 4 3 6 2 4" xfId="51826" xr:uid="{4A4B28C9-3F4A-43ED-A381-37C1EDD70BC7}"/>
    <cellStyle name="Comma 4 4 3 6 2 5" xfId="54842" xr:uid="{42A39B7E-A3AE-42F5-A8A0-7A14BF5582A4}"/>
    <cellStyle name="Comma 4 4 3 6 3" xfId="15426" xr:uid="{C715FD19-CCE1-408D-ADC6-53D48BCC8674}"/>
    <cellStyle name="Comma 4 4 3 6 3 2" xfId="22965" xr:uid="{0698DD71-E868-4385-93C9-A952307E41AA}"/>
    <cellStyle name="Comma 4 4 3 6 3 3" xfId="25288" xr:uid="{00050690-A535-456F-AD6A-8686B769E636}"/>
    <cellStyle name="Comma 4 4 3 6 3 4" xfId="52303" xr:uid="{5ED3B4CF-81B7-4EAE-93EF-53855E75A43F}"/>
    <cellStyle name="Comma 4 4 3 6 3 5" xfId="55319" xr:uid="{5CCB1DE1-B780-42A7-8AF6-DB199BEE2E23}"/>
    <cellStyle name="Comma 4 4 3 6 4" xfId="15914" xr:uid="{9B97E999-895B-4851-B7FC-CE2D4F0213A4}"/>
    <cellStyle name="Comma 4 4 3 6 4 2" xfId="23442" xr:uid="{EDEB8ABD-3145-4E4E-AE81-0F614F004E9D}"/>
    <cellStyle name="Comma 4 4 3 6 4 3" xfId="48086" xr:uid="{F3FFD7DC-C5D2-4D27-99E1-6E2F9B5DC8FE}"/>
    <cellStyle name="Comma 4 4 3 6 4 4" xfId="52780" xr:uid="{AD625542-FDBB-4110-861D-22A877D67186}"/>
    <cellStyle name="Comma 4 4 3 6 4 5" xfId="55796" xr:uid="{A93EF7B7-2F22-4006-8A34-4D2627DC0BC9}"/>
    <cellStyle name="Comma 4 4 3 6 5" xfId="13029" xr:uid="{81866618-77B8-4BF7-A1A9-8FF3BE3D72B2}"/>
    <cellStyle name="Comma 4 4 3 6 5 2" xfId="34138" xr:uid="{270240B6-6B0A-421B-8F81-FF8A40701A12}"/>
    <cellStyle name="Comma 4 4 3 6 5 3" xfId="51349" xr:uid="{F4056CAD-4C9D-47C5-AF1C-2819DCE9A7E8}"/>
    <cellStyle name="Comma 4 4 3 6 5 4" xfId="54365" xr:uid="{DB26EB21-A7A9-421A-A2EB-9E9C207EAFC6}"/>
    <cellStyle name="Comma 4 4 3 6 6" xfId="46153" xr:uid="{4A9C7DB6-49B2-429C-B6E0-12616C4A15F9}"/>
    <cellStyle name="Comma 4 4 3 6 7" xfId="50243" xr:uid="{F9C3656B-9C63-4693-A920-75A0EDD33EA0}"/>
    <cellStyle name="Comma 4 4 3 6 8" xfId="53259" xr:uid="{6646653F-1BB6-4231-AE49-A3DD0948EBAC}"/>
    <cellStyle name="Comma 4 4 3 7" xfId="14517" xr:uid="{B0175149-2FB0-4A27-8F34-6DAEC456E10F}"/>
    <cellStyle name="Comma 4 4 3 7 2" xfId="22064" xr:uid="{9B0DE798-2434-43F7-AEA9-11D52631B70C}"/>
    <cellStyle name="Comma 4 4 3 7 3" xfId="48402" xr:uid="{5A89D03D-65AF-4616-B98C-BAD3FB58F1FA}"/>
    <cellStyle name="Comma 4 4 3 7 4" xfId="51402" xr:uid="{7D4AAC5F-24B5-4AF9-88A7-51EE46D1D3C6}"/>
    <cellStyle name="Comma 4 4 3 7 5" xfId="54418" xr:uid="{3EBC698B-7E5C-4A06-A647-F660F4D32AF6}"/>
    <cellStyle name="Comma 4 4 3 8" xfId="15001" xr:uid="{364F42F3-6EA9-41E1-BB4D-88F9A449E795}"/>
    <cellStyle name="Comma 4 4 3 8 2" xfId="22541" xr:uid="{6B94B1A0-8339-411C-BB87-21F505AE2C69}"/>
    <cellStyle name="Comma 4 4 3 8 3" xfId="46464" xr:uid="{2A334071-3F68-467A-8AC2-D00DE840C0B0}"/>
    <cellStyle name="Comma 4 4 3 8 4" xfId="51879" xr:uid="{4A3A2590-6463-4472-A745-A682A8EAF98C}"/>
    <cellStyle name="Comma 4 4 3 8 5" xfId="54895" xr:uid="{D6E5CFC8-6026-4BCE-9708-F272FEAFC7F7}"/>
    <cellStyle name="Comma 4 4 3 9" xfId="15488" xr:uid="{DDB731DF-1DC0-48AC-A30E-892E29289ECD}"/>
    <cellStyle name="Comma 4 4 3 9 2" xfId="23018" xr:uid="{C245DE69-4712-4A60-9A52-F9B18ED42721}"/>
    <cellStyle name="Comma 4 4 3 9 3" xfId="46539" xr:uid="{AA9A71C1-208C-422C-B180-4FC38C27D1F4}"/>
    <cellStyle name="Comma 4 4 3 9 4" xfId="52356" xr:uid="{1CBE585D-7DAD-4809-97E6-0EA6377BF3BE}"/>
    <cellStyle name="Comma 4 4 3 9 5" xfId="55372" xr:uid="{3C99F36C-666D-4596-9A6F-B330DD9C7D95}"/>
    <cellStyle name="Comma 4 4 4" xfId="10026" xr:uid="{2FA97E19-5B16-4259-B5CE-0A5D41B3EE32}"/>
    <cellStyle name="Comma 4 4 4 2" xfId="10334" xr:uid="{AF49E2B5-8AA9-4026-A70E-4F6D1C77D4F0}"/>
    <cellStyle name="Comma 4 4 4 2 2" xfId="14779" xr:uid="{829DB135-551E-411E-A484-860DB13A28D0}"/>
    <cellStyle name="Comma 4 4 4 2 2 2" xfId="22326" xr:uid="{3A84B87C-C652-458A-ACEE-E39F5DF19259}"/>
    <cellStyle name="Comma 4 4 4 2 2 3" xfId="46680" xr:uid="{B2F4D6DD-63FE-43F9-B1FE-FF347AE38550}"/>
    <cellStyle name="Comma 4 4 4 2 2 4" xfId="51664" xr:uid="{C3004070-DAD7-4A00-9E0C-D27AC5DDBB6C}"/>
    <cellStyle name="Comma 4 4 4 2 2 5" xfId="54680" xr:uid="{28598306-7D7B-4079-94E2-89C9673AD657}"/>
    <cellStyle name="Comma 4 4 4 2 3" xfId="15264" xr:uid="{5BBF73CF-90BD-4A2D-9A72-FCA25AB86160}"/>
    <cellStyle name="Comma 4 4 4 2 3 2" xfId="22803" xr:uid="{5DD1B4E8-CFF4-4F9C-A17D-40147670E8B3}"/>
    <cellStyle name="Comma 4 4 4 2 3 3" xfId="48018" xr:uid="{C8E83E5A-53EF-4EE8-B44E-316198257639}"/>
    <cellStyle name="Comma 4 4 4 2 3 4" xfId="52141" xr:uid="{CF42129E-95B8-409D-ADFB-C6483CE98706}"/>
    <cellStyle name="Comma 4 4 4 2 3 5" xfId="55157" xr:uid="{8DA4F557-9680-464C-9804-CE7779982ED9}"/>
    <cellStyle name="Comma 4 4 4 2 4" xfId="15751" xr:uid="{FFE261A7-47F8-42B5-B960-F17E24DABEC1}"/>
    <cellStyle name="Comma 4 4 4 2 4 2" xfId="23280" xr:uid="{731689B4-B043-495B-BFE6-E63662E93335}"/>
    <cellStyle name="Comma 4 4 4 2 4 3" xfId="32323" xr:uid="{A34AF19D-3719-4865-BBC4-3E88D43992CF}"/>
    <cellStyle name="Comma 4 4 4 2 4 4" xfId="52618" xr:uid="{19C18D1C-90F1-4DFD-93F3-F3B915290B29}"/>
    <cellStyle name="Comma 4 4 4 2 4 5" xfId="55634" xr:uid="{94DA1541-D87A-49EE-BCDA-3CE35F614F81}"/>
    <cellStyle name="Comma 4 4 4 2 5" xfId="12787" xr:uid="{8F363785-CEAE-4BBF-883A-27525CEEB235}"/>
    <cellStyle name="Comma 4 4 4 2 5 2" xfId="47526" xr:uid="{86AE23EE-D4D6-4E63-9CB5-06C32C8666E7}"/>
    <cellStyle name="Comma 4 4 4 2 5 3" xfId="51187" xr:uid="{2CE45D7D-46D2-4294-8FBF-C5902283911F}"/>
    <cellStyle name="Comma 4 4 4 2 5 4" xfId="54203" xr:uid="{5E35AE49-A2C1-4F7F-BB18-E4475F5B354F}"/>
    <cellStyle name="Comma 4 4 4 2 6" xfId="47734" xr:uid="{F9D454C4-01BC-49C4-8678-FC7F6062FA61}"/>
    <cellStyle name="Comma 4 4 4 2 7" xfId="50081" xr:uid="{398E16EC-829F-43D6-9DAE-892B9CA74D90}"/>
    <cellStyle name="Comma 4 4 4 2 8" xfId="53097" xr:uid="{5C15F01D-5282-455E-BDA4-62D62CA26163}"/>
    <cellStyle name="Comma 4 4 4 3" xfId="14567" xr:uid="{F4BC0269-7801-479C-9950-56821F78B049}"/>
    <cellStyle name="Comma 4 4 4 3 2" xfId="22114" xr:uid="{FA74929C-835C-4593-AE78-11F4EEE71889}"/>
    <cellStyle name="Comma 4 4 4 3 3" xfId="46836" xr:uid="{3FC7657F-55D9-48FE-8097-78256C4D6620}"/>
    <cellStyle name="Comma 4 4 4 3 4" xfId="51452" xr:uid="{B0FCD13D-1EA3-46B5-9F64-AFDD9812B963}"/>
    <cellStyle name="Comma 4 4 4 3 5" xfId="54468" xr:uid="{2C437343-64DD-4C08-B2FA-123FC0165DE2}"/>
    <cellStyle name="Comma 4 4 4 4" xfId="15051" xr:uid="{5A98CC6B-4FFD-40A4-8E1C-0214D61D071E}"/>
    <cellStyle name="Comma 4 4 4 4 2" xfId="22591" xr:uid="{64C462B3-B1A6-4070-BB40-DB35936C09AA}"/>
    <cellStyle name="Comma 4 4 4 4 3" xfId="32461" xr:uid="{749844FF-CEFD-4392-B6F7-C704B4F52A88}"/>
    <cellStyle name="Comma 4 4 4 4 4" xfId="51929" xr:uid="{73A91009-DF84-40D2-A578-E5A23D6418E1}"/>
    <cellStyle name="Comma 4 4 4 4 5" xfId="54945" xr:uid="{4C15279E-3D61-45FB-BCE6-096E9120DAC5}"/>
    <cellStyle name="Comma 4 4 4 5" xfId="15538" xr:uid="{6471AE9C-4BA5-4275-86FA-9EEFEE09F19A}"/>
    <cellStyle name="Comma 4 4 4 5 2" xfId="23068" xr:uid="{9BACCD3E-AE67-4DD1-8BB0-A3438AC56999}"/>
    <cellStyle name="Comma 4 4 4 5 3" xfId="48306" xr:uid="{25AD9B63-B2E8-4637-8282-61FCFE10FCB6}"/>
    <cellStyle name="Comma 4 4 4 5 4" xfId="52406" xr:uid="{B71629BE-671F-42D2-8ECE-15276FB494E3}"/>
    <cellStyle name="Comma 4 4 4 5 5" xfId="55422" xr:uid="{6A6F5E87-2D08-4AB7-8E9B-268F1DA8EBF5}"/>
    <cellStyle name="Comma 4 4 4 6" xfId="12486" xr:uid="{A0B473AB-4685-42DA-9B98-DD8A8AFCF46C}"/>
    <cellStyle name="Comma 4 4 4 6 2" xfId="46312" xr:uid="{749E38BC-B924-458A-A8D4-7BA294293D98}"/>
    <cellStyle name="Comma 4 4 4 6 3" xfId="50975" xr:uid="{51C725F5-427F-4DFA-8DED-3B60B97E6EFB}"/>
    <cellStyle name="Comma 4 4 4 6 4" xfId="53991" xr:uid="{FD0C2776-13CC-4FFA-8F81-9FB95421790B}"/>
    <cellStyle name="Comma 4 4 4 7" xfId="46029" xr:uid="{6E986919-6415-4EA1-A53D-86E1338E391A}"/>
    <cellStyle name="Comma 4 4 4 8" xfId="49869" xr:uid="{2FBC616A-65F8-45BF-96CF-667CA3BBE8BF}"/>
    <cellStyle name="Comma 4 4 4 9" xfId="52885" xr:uid="{8C6EFDDF-8482-4E02-8700-103C147811E3}"/>
    <cellStyle name="Comma 4 4 5" xfId="10100" xr:uid="{ED45B3B3-AD77-4A88-ABE6-70CC7EA06E4F}"/>
    <cellStyle name="Comma 4 4 5 2" xfId="10413" xr:uid="{5AAD3FFB-3508-4293-86F1-C4B8C918B8AB}"/>
    <cellStyle name="Comma 4 4 5 2 2" xfId="14832" xr:uid="{6F3E094D-6534-472F-8BC9-077E7E95C21D}"/>
    <cellStyle name="Comma 4 4 5 2 2 2" xfId="22379" xr:uid="{F145487C-2112-4CFC-8E41-5FD0CF644E82}"/>
    <cellStyle name="Comma 4 4 5 2 2 3" xfId="46441" xr:uid="{B731E25D-5EBF-407B-9513-EF8815FD4289}"/>
    <cellStyle name="Comma 4 4 5 2 2 4" xfId="51717" xr:uid="{763014D2-D67E-42A5-9E04-D1371EE2A5EB}"/>
    <cellStyle name="Comma 4 4 5 2 2 5" xfId="54733" xr:uid="{F7787DBC-10A8-40F3-B523-592728ADD0B6}"/>
    <cellStyle name="Comma 4 4 5 2 3" xfId="15317" xr:uid="{4651DAFC-49C1-4138-8101-03922CCF21B8}"/>
    <cellStyle name="Comma 4 4 5 2 3 2" xfId="22856" xr:uid="{78184322-13C9-451C-A20F-C372B791C372}"/>
    <cellStyle name="Comma 4 4 5 2 3 3" xfId="24315" xr:uid="{0E347EBA-B7B8-4CB7-AC00-1FC56A862728}"/>
    <cellStyle name="Comma 4 4 5 2 3 4" xfId="52194" xr:uid="{E722BE2F-BE5D-4A97-A120-4496ABFCC2BC}"/>
    <cellStyle name="Comma 4 4 5 2 3 5" xfId="55210" xr:uid="{F1931DED-2FF8-464C-8CFB-CD6978DB09B8}"/>
    <cellStyle name="Comma 4 4 5 2 4" xfId="15804" xr:uid="{E06E6149-86F9-4CB5-BDE9-4D5BDFFF7FF1}"/>
    <cellStyle name="Comma 4 4 5 2 4 2" xfId="23333" xr:uid="{71F72E75-4169-4A68-9E19-03FC994EE994}"/>
    <cellStyle name="Comma 4 4 5 2 4 3" xfId="24157" xr:uid="{66431982-128B-4EAB-B2ED-9077E7DDBFC3}"/>
    <cellStyle name="Comma 4 4 5 2 4 4" xfId="52671" xr:uid="{1BD3DE9F-7438-4EFD-AA85-F5B0AD5C37AA}"/>
    <cellStyle name="Comma 4 4 5 2 4 5" xfId="55687" xr:uid="{BF8BA2D8-F5F1-46EE-9BC5-8C932587BA14}"/>
    <cellStyle name="Comma 4 4 5 2 5" xfId="12866" xr:uid="{152F883B-D6B7-43C7-A631-FEE768F82694}"/>
    <cellStyle name="Comma 4 4 5 2 5 2" xfId="46364" xr:uid="{836B7F80-D9F3-4676-AFFA-481DDC13713F}"/>
    <cellStyle name="Comma 4 4 5 2 5 3" xfId="51240" xr:uid="{4F9152FB-BA7B-4D20-A2A6-8455199F54EA}"/>
    <cellStyle name="Comma 4 4 5 2 5 4" xfId="54256" xr:uid="{A4CCEC35-1ED6-42D9-B477-A5D4AC5FD5EF}"/>
    <cellStyle name="Comma 4 4 5 2 6" xfId="46114" xr:uid="{4BF9CC45-F6B5-410C-8278-4B336DE6C012}"/>
    <cellStyle name="Comma 4 4 5 2 7" xfId="50134" xr:uid="{2EDFEB9F-C489-4D21-9BDD-ADC08B10BEFA}"/>
    <cellStyle name="Comma 4 4 5 2 8" xfId="53150" xr:uid="{23324222-9157-4C73-9B31-E663C893CE09}"/>
    <cellStyle name="Comma 4 4 5 3" xfId="14620" xr:uid="{2DC58EF3-B61D-486B-9079-0B6ADA84F930}"/>
    <cellStyle name="Comma 4 4 5 3 2" xfId="22167" xr:uid="{C1BCA40C-146C-4A17-BBD0-BF5230664D39}"/>
    <cellStyle name="Comma 4 4 5 3 3" xfId="46842" xr:uid="{0FCCEF28-9900-4F17-92E7-0EBD3A3575F2}"/>
    <cellStyle name="Comma 4 4 5 3 4" xfId="51505" xr:uid="{586CE941-B81B-4D57-ACAD-29F50BD1D46F}"/>
    <cellStyle name="Comma 4 4 5 3 5" xfId="54521" xr:uid="{F65A9D53-354D-44B2-BEBD-F0BE8C6F3E51}"/>
    <cellStyle name="Comma 4 4 5 4" xfId="15105" xr:uid="{4788BAD9-1883-4E2B-AF49-2A98C1A9F2DB}"/>
    <cellStyle name="Comma 4 4 5 4 2" xfId="22644" xr:uid="{3FCCF738-7C5A-43CB-91DF-E635E5AF09BE}"/>
    <cellStyle name="Comma 4 4 5 4 3" xfId="24180" xr:uid="{63D92BFB-01EF-4815-8410-E3113A8AE8E2}"/>
    <cellStyle name="Comma 4 4 5 4 4" xfId="51982" xr:uid="{BF491645-25EB-4123-BF36-EA83F2E12B50}"/>
    <cellStyle name="Comma 4 4 5 4 5" xfId="54998" xr:uid="{7D0D3EDC-0BBE-4BE7-98F8-61304E385506}"/>
    <cellStyle name="Comma 4 4 5 5" xfId="15592" xr:uid="{B668117B-1A96-407D-8E33-E41544B2DBE1}"/>
    <cellStyle name="Comma 4 4 5 5 2" xfId="23121" xr:uid="{6D5EED16-8F15-47E9-A0FB-692F92B30E8E}"/>
    <cellStyle name="Comma 4 4 5 5 3" xfId="48540" xr:uid="{AC576223-8617-4192-B947-7B7CD8E2E314}"/>
    <cellStyle name="Comma 4 4 5 5 4" xfId="52459" xr:uid="{B2B24772-B61E-4C5D-B6A7-5809D8C34FAB}"/>
    <cellStyle name="Comma 4 4 5 5 5" xfId="55475" xr:uid="{3667EFE1-4F02-4C0B-94D0-F041F7850D77}"/>
    <cellStyle name="Comma 4 4 5 6" xfId="12557" xr:uid="{5EB68DE5-8EAC-4073-877D-0CE0C4D5833F}"/>
    <cellStyle name="Comma 4 4 5 6 2" xfId="48558" xr:uid="{85C875F9-176B-4FCB-9C23-5FE992F9D832}"/>
    <cellStyle name="Comma 4 4 5 6 3" xfId="51028" xr:uid="{405FC9E4-80D0-4954-8300-7A549C6DFDC3}"/>
    <cellStyle name="Comma 4 4 5 6 4" xfId="54044" xr:uid="{7C4C35E1-B78E-4CBC-AD95-97C09A341612}"/>
    <cellStyle name="Comma 4 4 5 7" xfId="47870" xr:uid="{B20F8C20-37B1-446E-90C7-3FECE4FBB893}"/>
    <cellStyle name="Comma 4 4 5 8" xfId="49922" xr:uid="{5C8BE494-0856-4966-B259-C0729A22550E}"/>
    <cellStyle name="Comma 4 4 5 9" xfId="52938" xr:uid="{EA36459B-B493-4500-A167-38A39CCD3745}"/>
    <cellStyle name="Comma 4 4 6" xfId="10179" xr:uid="{B8B7A151-5EB2-4F9E-8669-A3875B47F38D}"/>
    <cellStyle name="Comma 4 4 6 2" xfId="10493" xr:uid="{C965438F-4E73-4EE3-90B7-85232827316C}"/>
    <cellStyle name="Comma 4 4 6 2 2" xfId="14885" xr:uid="{D37F91AD-AFC7-43BA-B7D0-6A5897BF99C9}"/>
    <cellStyle name="Comma 4 4 6 2 2 2" xfId="22432" xr:uid="{09366E04-0922-4272-98E4-83931DD4C53D}"/>
    <cellStyle name="Comma 4 4 6 2 2 3" xfId="48120" xr:uid="{87CB1918-451D-4A89-8448-AEE1BC132B6E}"/>
    <cellStyle name="Comma 4 4 6 2 2 4" xfId="51770" xr:uid="{5ED9A23C-9616-4EBF-8075-BE5946135CF9}"/>
    <cellStyle name="Comma 4 4 6 2 2 5" xfId="54786" xr:uid="{32538BD2-2882-4AB8-84FD-2061062E0E4C}"/>
    <cellStyle name="Comma 4 4 6 2 3" xfId="15370" xr:uid="{2C3A83F9-B080-4144-9363-9331FD329722}"/>
    <cellStyle name="Comma 4 4 6 2 3 2" xfId="22909" xr:uid="{4FC785C1-1F7E-4FE0-949A-BA62AD76BA2B}"/>
    <cellStyle name="Comma 4 4 6 2 3 3" xfId="47250" xr:uid="{75578D39-8F4D-4C60-AF70-F2566EC0B2EE}"/>
    <cellStyle name="Comma 4 4 6 2 3 4" xfId="52247" xr:uid="{7B61E022-A3B7-4E6A-B9DA-A89710100DAC}"/>
    <cellStyle name="Comma 4 4 6 2 3 5" xfId="55263" xr:uid="{B0C09E11-4A37-4422-9401-0B67481B7660}"/>
    <cellStyle name="Comma 4 4 6 2 4" xfId="15857" xr:uid="{F5E64FD0-A3A3-4993-95DF-FCD9B361BE5D}"/>
    <cellStyle name="Comma 4 4 6 2 4 2" xfId="23386" xr:uid="{0B40ECEB-ED83-45DE-9055-FB8B78B0BC78}"/>
    <cellStyle name="Comma 4 4 6 2 4 3" xfId="47555" xr:uid="{DF78DF9A-E9BB-4994-AEFF-11079CA0DEF9}"/>
    <cellStyle name="Comma 4 4 6 2 4 4" xfId="52724" xr:uid="{22C5707E-D67F-4282-BF58-DBE22E9818E7}"/>
    <cellStyle name="Comma 4 4 6 2 4 5" xfId="55740" xr:uid="{09B198E1-C2CB-4C56-827E-0098DF1F10E9}"/>
    <cellStyle name="Comma 4 4 6 2 5" xfId="12946" xr:uid="{D49C28D5-D420-468A-864F-87E6DE327706}"/>
    <cellStyle name="Comma 4 4 6 2 5 2" xfId="47919" xr:uid="{FC2C8A19-525F-4FC2-BB24-92421362161E}"/>
    <cellStyle name="Comma 4 4 6 2 5 3" xfId="51293" xr:uid="{E2F30586-4CE1-4729-A420-364D0004720B}"/>
    <cellStyle name="Comma 4 4 6 2 5 4" xfId="54309" xr:uid="{4ADF1F97-42CB-4EC0-A58B-19026DEDB890}"/>
    <cellStyle name="Comma 4 4 6 2 6" xfId="48162" xr:uid="{6DAC8C55-E852-47AE-8288-EE6B4B4A553C}"/>
    <cellStyle name="Comma 4 4 6 2 7" xfId="50187" xr:uid="{D97DFA72-4F76-4A2D-B2D6-5769F33B5153}"/>
    <cellStyle name="Comma 4 4 6 2 8" xfId="53203" xr:uid="{C33200AA-6F46-49A6-86DD-329B00F78793}"/>
    <cellStyle name="Comma 4 4 6 3" xfId="14673" xr:uid="{F0C84D69-BE60-47C5-B684-EEE233768046}"/>
    <cellStyle name="Comma 4 4 6 3 2" xfId="22220" xr:uid="{18152720-0367-44B6-9227-FC4D308FF3FE}"/>
    <cellStyle name="Comma 4 4 6 3 3" xfId="24966" xr:uid="{D93D1B59-1639-4908-9AD2-F0468EE04AA1}"/>
    <cellStyle name="Comma 4 4 6 3 4" xfId="51558" xr:uid="{206649B4-ABCB-4981-90DE-F8902E5C4330}"/>
    <cellStyle name="Comma 4 4 6 3 5" xfId="54574" xr:uid="{8DCC4500-7D74-42EF-8EF9-86236A345881}"/>
    <cellStyle name="Comma 4 4 6 4" xfId="15158" xr:uid="{13A24AA1-52D3-4FAB-B67D-6404A8AAFFDA}"/>
    <cellStyle name="Comma 4 4 6 4 2" xfId="22697" xr:uid="{43995647-B888-4249-B2DE-07DF738C0AF2}"/>
    <cellStyle name="Comma 4 4 6 4 3" xfId="48300" xr:uid="{12F6F620-B938-42A3-AECB-105F47ED5D65}"/>
    <cellStyle name="Comma 4 4 6 4 4" xfId="52035" xr:uid="{741888E0-CF19-4B8D-AA58-04AD14927A8D}"/>
    <cellStyle name="Comma 4 4 6 4 5" xfId="55051" xr:uid="{31101476-54FB-4E26-89B6-4CF756A97400}"/>
    <cellStyle name="Comma 4 4 6 5" xfId="15645" xr:uid="{47ED4BAB-A0D2-4959-961B-A2C3E93E03F7}"/>
    <cellStyle name="Comma 4 4 6 5 2" xfId="23174" xr:uid="{F8A9C240-21DA-4915-BBA7-B09155853176}"/>
    <cellStyle name="Comma 4 4 6 5 3" xfId="46947" xr:uid="{900B4380-5680-4D25-8CC9-C6CE9032F4E9}"/>
    <cellStyle name="Comma 4 4 6 5 4" xfId="52512" xr:uid="{EF67A254-D358-43E5-A6CA-EA2BB9D1D064}"/>
    <cellStyle name="Comma 4 4 6 5 5" xfId="55528" xr:uid="{55BE7EC1-F6ED-4FC6-B748-72087C19DAA6}"/>
    <cellStyle name="Comma 4 4 6 6" xfId="12633" xr:uid="{AF92DC0F-937A-4822-A8A8-DC90B15E7994}"/>
    <cellStyle name="Comma 4 4 6 6 2" xfId="47319" xr:uid="{2D571BBA-4E15-435C-AFD9-EDDAA3FA7EA5}"/>
    <cellStyle name="Comma 4 4 6 6 3" xfId="51081" xr:uid="{9C4821B6-AA37-4B18-A726-777E1EFC6F3B}"/>
    <cellStyle name="Comma 4 4 6 6 4" xfId="54097" xr:uid="{855324C0-86A6-41CF-B33D-462E6C922331}"/>
    <cellStyle name="Comma 4 4 6 7" xfId="46060" xr:uid="{68C1AC5C-4B56-43DE-9EAD-062671E0AA61}"/>
    <cellStyle name="Comma 4 4 6 8" xfId="49975" xr:uid="{A85C8EBC-5430-4291-B3D3-051F759FB5B8}"/>
    <cellStyle name="Comma 4 4 6 9" xfId="52991" xr:uid="{6D277A6E-1358-43E0-8AD2-9378B60D667A}"/>
    <cellStyle name="Comma 4 4 7" xfId="10259" xr:uid="{440A8F97-7CB3-42B4-A576-8A896302AA4C}"/>
    <cellStyle name="Comma 4 4 7 2" xfId="14726" xr:uid="{642C66FB-28ED-4F41-A54C-A3E0AE4A7C91}"/>
    <cellStyle name="Comma 4 4 7 2 2" xfId="22273" xr:uid="{27D87CDF-23CA-43A7-944A-7244F9F86E76}"/>
    <cellStyle name="Comma 4 4 7 2 3" xfId="48503" xr:uid="{C2CC51D2-86D0-48CA-B8DB-35AD907D2E3B}"/>
    <cellStyle name="Comma 4 4 7 2 4" xfId="51611" xr:uid="{FFE775A2-3DE5-44ED-AC8E-D56D6D73F480}"/>
    <cellStyle name="Comma 4 4 7 2 5" xfId="54627" xr:uid="{904CCC4A-189E-496E-848F-9850AAED636C}"/>
    <cellStyle name="Comma 4 4 7 3" xfId="15211" xr:uid="{31459B35-1495-4C50-AC9F-65007AD814C8}"/>
    <cellStyle name="Comma 4 4 7 3 2" xfId="22750" xr:uid="{6F092CF4-38FE-481C-B18A-04F52C873D96}"/>
    <cellStyle name="Comma 4 4 7 3 3" xfId="48145" xr:uid="{A51FAA66-2F1D-4559-B26B-EAEB68D5B065}"/>
    <cellStyle name="Comma 4 4 7 3 4" xfId="52088" xr:uid="{7083C38E-5C81-4A05-8F8B-1C88A1255DF0}"/>
    <cellStyle name="Comma 4 4 7 3 5" xfId="55104" xr:uid="{3DDF6AA9-DCAD-4D4F-8FC3-3E099BDFB6CE}"/>
    <cellStyle name="Comma 4 4 7 4" xfId="15698" xr:uid="{7E0951A0-FF8B-4BC9-9273-AEA7CEBE0779}"/>
    <cellStyle name="Comma 4 4 7 4 2" xfId="23227" xr:uid="{7BB35CAE-D4ED-41E1-B52D-80FC6DD8AD8C}"/>
    <cellStyle name="Comma 4 4 7 4 3" xfId="23835" xr:uid="{9E5159E7-8E6B-4A4B-94CC-39A1965781C4}"/>
    <cellStyle name="Comma 4 4 7 4 4" xfId="52565" xr:uid="{C69135D0-DAA4-42B3-A46B-B26FC5824BF0}"/>
    <cellStyle name="Comma 4 4 7 4 5" xfId="55581" xr:uid="{DAD96CFD-A4B2-4F3A-B42F-7F96C795EE24}"/>
    <cellStyle name="Comma 4 4 7 5" xfId="12712" xr:uid="{33F366B5-170A-46AE-855E-4B5739FDA758}"/>
    <cellStyle name="Comma 4 4 7 5 2" xfId="47018" xr:uid="{09547D7B-3484-4B96-91A7-A8B9BA914E72}"/>
    <cellStyle name="Comma 4 4 7 5 3" xfId="51134" xr:uid="{A985CCA4-DAD5-405D-87E2-0D22AB838828}"/>
    <cellStyle name="Comma 4 4 7 5 4" xfId="54150" xr:uid="{276C0B7E-C9E9-4636-8894-05B189CFDEB8}"/>
    <cellStyle name="Comma 4 4 7 6" xfId="48314" xr:uid="{02119248-7E32-4A00-9C44-4470EC18215F}"/>
    <cellStyle name="Comma 4 4 7 7" xfId="50028" xr:uid="{045CBD9E-0577-4170-B8E8-33979FC9307D}"/>
    <cellStyle name="Comma 4 4 7 8" xfId="53044" xr:uid="{D048BADE-760E-4E2F-9293-52D6BD2FD235}"/>
    <cellStyle name="Comma 4 4 8" xfId="10573" xr:uid="{E4348FF7-454D-4FFB-B4AC-3F420273C0CF}"/>
    <cellStyle name="Comma 4 4 8 2" xfId="14938" xr:uid="{B0DA9E5B-1D34-47B4-AABC-31D516D55AD8}"/>
    <cellStyle name="Comma 4 4 8 2 2" xfId="22485" xr:uid="{BAF629BE-F48B-4A70-B0CA-59052D94A71B}"/>
    <cellStyle name="Comma 4 4 8 2 3" xfId="47966" xr:uid="{07CDC2A7-8C45-46BC-9058-947FC9EB6C94}"/>
    <cellStyle name="Comma 4 4 8 2 4" xfId="51823" xr:uid="{E79DBCEC-6C87-476B-AC08-16553852C9C3}"/>
    <cellStyle name="Comma 4 4 8 2 5" xfId="54839" xr:uid="{B51A00F1-FD75-44BE-A2A4-68141F279952}"/>
    <cellStyle name="Comma 4 4 8 3" xfId="15423" xr:uid="{4DA7949D-EE13-442E-A0D9-B7D566E3297E}"/>
    <cellStyle name="Comma 4 4 8 3 2" xfId="22962" xr:uid="{66594287-9E27-44CE-97E6-69C62C106E9A}"/>
    <cellStyle name="Comma 4 4 8 3 3" xfId="47863" xr:uid="{7576E779-FD1F-4473-AB5F-6D2CD9C80079}"/>
    <cellStyle name="Comma 4 4 8 3 4" xfId="52300" xr:uid="{BF3DEDF0-EC3A-4B00-B8C2-AE5468872956}"/>
    <cellStyle name="Comma 4 4 8 3 5" xfId="55316" xr:uid="{2E0253DC-5A87-4216-A79C-099921716CA4}"/>
    <cellStyle name="Comma 4 4 8 4" xfId="15911" xr:uid="{FB389230-C7AB-4D10-9DCF-C4ADA99CB6AB}"/>
    <cellStyle name="Comma 4 4 8 4 2" xfId="23439" xr:uid="{D7549AFC-9159-4932-8467-7B5C29FA80EC}"/>
    <cellStyle name="Comma 4 4 8 4 3" xfId="47442" xr:uid="{671CCE1C-7D1B-410B-ADD3-C02119F7E8DB}"/>
    <cellStyle name="Comma 4 4 8 4 4" xfId="52777" xr:uid="{2D7F8A92-2706-4E0B-8873-343B6D0D0EA6}"/>
    <cellStyle name="Comma 4 4 8 4 5" xfId="55793" xr:uid="{1802CFC1-DDDC-4F6B-A623-E90CAF2DEC31}"/>
    <cellStyle name="Comma 4 4 8 5" xfId="13026" xr:uid="{812FEE33-2E15-4F1E-8508-2B6E7C76EF93}"/>
    <cellStyle name="Comma 4 4 8 5 2" xfId="48053" xr:uid="{4D919FCD-8559-49EA-B57F-E9F720CEC54B}"/>
    <cellStyle name="Comma 4 4 8 5 3" xfId="51346" xr:uid="{AAABEB8A-B09D-4C24-83C7-265F2EB1984C}"/>
    <cellStyle name="Comma 4 4 8 5 4" xfId="54362" xr:uid="{25F12770-88FA-4DF3-915C-A3C77673294B}"/>
    <cellStyle name="Comma 4 4 8 6" xfId="47294" xr:uid="{F015A930-192D-46D9-99F2-534E36C999EC}"/>
    <cellStyle name="Comma 4 4 8 7" xfId="50240" xr:uid="{E244DA62-9758-4E6B-85CD-8937BFC0BDC5}"/>
    <cellStyle name="Comma 4 4 8 8" xfId="53256" xr:uid="{8D1B666C-B620-4005-927A-BC2C7F6C6F31}"/>
    <cellStyle name="Comma 4 4 9" xfId="11148" xr:uid="{B6E18881-411B-42AB-96FE-B9760D5ED495}"/>
    <cellStyle name="Comma 4 5" xfId="5823" xr:uid="{213FFDA8-E01C-45B1-9459-770A0AB0F4D9}"/>
    <cellStyle name="Comma 4 5 10" xfId="15002" xr:uid="{8A6223DA-6915-45AC-ACF3-460B5CF0B6F9}"/>
    <cellStyle name="Comma 4 5 10 2" xfId="22542" xr:uid="{6D478355-D038-4CA8-91CD-D87ED1D34DFF}"/>
    <cellStyle name="Comma 4 5 10 3" xfId="24925" xr:uid="{5E67A740-93E5-4F86-913C-2606DF4395A8}"/>
    <cellStyle name="Comma 4 5 10 4" xfId="51880" xr:uid="{74587EDF-D5DE-4736-B65D-DABA6C752634}"/>
    <cellStyle name="Comma 4 5 10 5" xfId="54896" xr:uid="{C9E1AAB1-19B0-444F-A23E-3C9A42AFD14E}"/>
    <cellStyle name="Comma 4 5 11" xfId="15489" xr:uid="{3B12C3C1-43A4-4DA6-AB06-95AD226E1CE6}"/>
    <cellStyle name="Comma 4 5 11 2" xfId="23019" xr:uid="{98318F52-FDDC-426E-B6D0-37C86CC226CC}"/>
    <cellStyle name="Comma 4 5 11 3" xfId="47029" xr:uid="{687F68FA-DA7A-4469-8CC4-1558EBF3FA92}"/>
    <cellStyle name="Comma 4 5 11 4" xfId="52357" xr:uid="{4D63A6CF-2840-4E72-98A2-EFAD844F9772}"/>
    <cellStyle name="Comma 4 5 11 5" xfId="55373" xr:uid="{52C26FDD-8DAD-4B19-9BA4-F91BFB42F91F}"/>
    <cellStyle name="Comma 4 5 12" xfId="11585" xr:uid="{D75F1710-ED8D-4A25-A203-BFBBBB7EB515}"/>
    <cellStyle name="Comma 4 5 12 2" xfId="21709" xr:uid="{39D9BA34-1B74-462A-BFA5-E5E13B65D2E1}"/>
    <cellStyle name="Comma 4 5 12 3" xfId="46993" xr:uid="{F87C1B2C-A200-4DFE-9A57-276E85E59CC8}"/>
    <cellStyle name="Comma 4 5 12 4" xfId="50732" xr:uid="{530457EC-AD82-4F67-BC6B-C152565F38D9}"/>
    <cellStyle name="Comma 4 5 12 5" xfId="53748" xr:uid="{40B63999-F666-49D3-83D7-0B29F528FF0A}"/>
    <cellStyle name="Comma 4 5 13" xfId="21243" xr:uid="{BD5B4104-8486-4BB1-9D9D-072C11F817B8}"/>
    <cellStyle name="Comma 4 5 14" xfId="23772" xr:uid="{00CB7AF7-868D-41FF-9E06-01CB19BBF053}"/>
    <cellStyle name="Comma 4 5 15" xfId="48653" xr:uid="{94F28716-3062-4251-838A-9A36DB4821AA}"/>
    <cellStyle name="Comma 4 5 16" xfId="49561" xr:uid="{2FB11976-0AF4-4B36-8664-C0BEB9B626E6}"/>
    <cellStyle name="Comma 4 5 17" xfId="49820" xr:uid="{4497625E-3942-46A4-8B44-074296CC4402}"/>
    <cellStyle name="Comma 4 5 18" xfId="52835" xr:uid="{BDD3520A-746C-4ACD-856F-EB4DC3CCE09D}"/>
    <cellStyle name="Comma 4 5 19" xfId="17477" xr:uid="{97054A84-C276-4B28-89B0-434627DEE3E0}"/>
    <cellStyle name="Comma 4 5 2" xfId="8944" xr:uid="{FBDAAAD5-7660-405A-ACBA-FC489E1A8DA5}"/>
    <cellStyle name="Comma 4 5 2 10" xfId="12194" xr:uid="{F5629569-BB12-44F9-A81D-CB32D06185DD}"/>
    <cellStyle name="Comma 4 5 2 10 2" xfId="24538" xr:uid="{A76CDF1B-7890-4B8F-A0FA-0DF77207A4F7}"/>
    <cellStyle name="Comma 4 5 2 10 3" xfId="50939" xr:uid="{77661F83-0091-4B56-8C78-D9137589F8D1}"/>
    <cellStyle name="Comma 4 5 2 10 4" xfId="53955" xr:uid="{A7B3247D-4F6A-400F-B26A-C7E94742874D}"/>
    <cellStyle name="Comma 4 5 2 11" xfId="23773" xr:uid="{D43C7592-67F6-472A-AFD2-D2CD1AB57AAA}"/>
    <cellStyle name="Comma 4 5 2 12" xfId="48654" xr:uid="{61A42AD3-9D18-4034-B7AC-8F7931CCFF3A}"/>
    <cellStyle name="Comma 4 5 2 13" xfId="49562" xr:uid="{5CDFDD87-E273-43E5-9E04-2C3E94D5BE2F}"/>
    <cellStyle name="Comma 4 5 2 14" xfId="49821" xr:uid="{57B1C26A-30C9-49F8-815D-8E319A7E18C5}"/>
    <cellStyle name="Comma 4 5 2 15" xfId="52836" xr:uid="{075F004B-B7B0-413A-BF0F-2E4AB88DAEB2}"/>
    <cellStyle name="Comma 4 5 2 2" xfId="10031" xr:uid="{CEE76FEE-C586-4515-9C1A-BDBAEEB8617E}"/>
    <cellStyle name="Comma 4 5 2 2 2" xfId="10339" xr:uid="{AF8903CC-F556-41FA-A47D-85830ED9662A}"/>
    <cellStyle name="Comma 4 5 2 2 2 2" xfId="14784" xr:uid="{40AEEFF9-D7CB-49C2-94CB-2F802A4863B5}"/>
    <cellStyle name="Comma 4 5 2 2 2 2 2" xfId="22331" xr:uid="{3EE837E9-7901-4C92-A19C-E10115ADCE1B}"/>
    <cellStyle name="Comma 4 5 2 2 2 2 3" xfId="46433" xr:uid="{FD9B8AD9-12E5-4D94-A145-898D321FEAB7}"/>
    <cellStyle name="Comma 4 5 2 2 2 2 4" xfId="51669" xr:uid="{FF0F630D-668F-4DF5-930A-374CB51FC0C7}"/>
    <cellStyle name="Comma 4 5 2 2 2 2 5" xfId="54685" xr:uid="{07ADDF1A-827D-4DE3-AEDA-20AFFCAC5082}"/>
    <cellStyle name="Comma 4 5 2 2 2 3" xfId="15269" xr:uid="{B17E0C88-83A6-4C33-8F46-56E0722EBFE4}"/>
    <cellStyle name="Comma 4 5 2 2 2 3 2" xfId="22808" xr:uid="{2C83013A-877F-4683-BC44-72CAEFF4246C}"/>
    <cellStyle name="Comma 4 5 2 2 2 3 3" xfId="46506" xr:uid="{3BC9302B-7597-43C5-BD02-377D130439C2}"/>
    <cellStyle name="Comma 4 5 2 2 2 3 4" xfId="52146" xr:uid="{F0584D27-5D4F-4A92-88E6-EB9D458664D0}"/>
    <cellStyle name="Comma 4 5 2 2 2 3 5" xfId="55162" xr:uid="{877D580B-3901-410B-A98F-717853DACB84}"/>
    <cellStyle name="Comma 4 5 2 2 2 4" xfId="15756" xr:uid="{55686725-D8DF-4E26-A4B2-E020F910FB6C}"/>
    <cellStyle name="Comma 4 5 2 2 2 4 2" xfId="23285" xr:uid="{F892B5E9-EF77-4556-A4B2-AFF9C17CE515}"/>
    <cellStyle name="Comma 4 5 2 2 2 4 3" xfId="47687" xr:uid="{788BCA1D-7628-4715-A835-595923602045}"/>
    <cellStyle name="Comma 4 5 2 2 2 4 4" xfId="52623" xr:uid="{97FF8BD4-6955-4CDE-AB47-19A462A18438}"/>
    <cellStyle name="Comma 4 5 2 2 2 4 5" xfId="55639" xr:uid="{2F58DA14-13B3-40DE-B07B-3F389018EADC}"/>
    <cellStyle name="Comma 4 5 2 2 2 5" xfId="12792" xr:uid="{13844F5B-F5F9-4539-8746-D76899334CBF}"/>
    <cellStyle name="Comma 4 5 2 2 2 5 2" xfId="25055" xr:uid="{783D6223-C0DE-48A9-B0C7-AE6854059EB4}"/>
    <cellStyle name="Comma 4 5 2 2 2 5 3" xfId="51192" xr:uid="{CA959216-1E8F-4C8B-915C-A9E7BB0A2048}"/>
    <cellStyle name="Comma 4 5 2 2 2 5 4" xfId="54208" xr:uid="{804DB904-F7DB-4C9C-9C58-9C010BFF394A}"/>
    <cellStyle name="Comma 4 5 2 2 2 6" xfId="48157" xr:uid="{E84A7E23-6613-4006-96D6-A14DCB66A40C}"/>
    <cellStyle name="Comma 4 5 2 2 2 7" xfId="50086" xr:uid="{B3EB0567-ED3D-4954-8595-4F7624C60EAA}"/>
    <cellStyle name="Comma 4 5 2 2 2 8" xfId="53102" xr:uid="{903E6D55-F113-43E0-A962-8CE0849AC90C}"/>
    <cellStyle name="Comma 4 5 2 2 3" xfId="14572" xr:uid="{2CE3501C-7605-40E8-9AA0-17822234E76B}"/>
    <cellStyle name="Comma 4 5 2 2 3 2" xfId="22119" xr:uid="{86C97CCF-2BCE-4020-8F01-3645DA09098D}"/>
    <cellStyle name="Comma 4 5 2 2 3 3" xfId="46401" xr:uid="{32A96F34-B181-4CC0-9030-ACF63D552B5D}"/>
    <cellStyle name="Comma 4 5 2 2 3 4" xfId="51457" xr:uid="{3F702167-6A67-4425-9D94-4D95B457532F}"/>
    <cellStyle name="Comma 4 5 2 2 3 5" xfId="54473" xr:uid="{D2B9100C-715B-46C0-9372-BDAE8F7F8A82}"/>
    <cellStyle name="Comma 4 5 2 2 4" xfId="15056" xr:uid="{A1E64F2A-91C8-4A73-8D7E-3E52F3216067}"/>
    <cellStyle name="Comma 4 5 2 2 4 2" xfId="22596" xr:uid="{DC2FFE21-EE14-40AC-A423-14EB18DE9801}"/>
    <cellStyle name="Comma 4 5 2 2 4 3" xfId="48245" xr:uid="{BF9BBDDB-06A1-4620-B712-FD3429432B40}"/>
    <cellStyle name="Comma 4 5 2 2 4 4" xfId="51934" xr:uid="{4AEC0024-2469-4B76-8A9E-E85A99EBEA71}"/>
    <cellStyle name="Comma 4 5 2 2 4 5" xfId="54950" xr:uid="{7C8E3C79-2C9A-461B-9138-B472D0B054D0}"/>
    <cellStyle name="Comma 4 5 2 2 5" xfId="15543" xr:uid="{58F6C3B6-9BE8-4E4A-A2AA-4F783BBD4DEB}"/>
    <cellStyle name="Comma 4 5 2 2 5 2" xfId="23073" xr:uid="{C900CE67-B436-480A-888F-FB748808A595}"/>
    <cellStyle name="Comma 4 5 2 2 5 3" xfId="46548" xr:uid="{27F1E22F-9238-4C43-9962-7432021C7377}"/>
    <cellStyle name="Comma 4 5 2 2 5 4" xfId="52411" xr:uid="{07AE2DA2-23EF-4F26-B2D1-EE87ADFD6BA1}"/>
    <cellStyle name="Comma 4 5 2 2 5 5" xfId="55427" xr:uid="{A543C17D-AC80-4A23-A38D-1AFCC3DB7084}"/>
    <cellStyle name="Comma 4 5 2 2 6" xfId="12491" xr:uid="{E5C887AE-39AC-4B55-897D-35A4D1ADA496}"/>
    <cellStyle name="Comma 4 5 2 2 6 2" xfId="47316" xr:uid="{2BB424E5-593B-4186-ACF7-4681BF674D15}"/>
    <cellStyle name="Comma 4 5 2 2 6 3" xfId="50980" xr:uid="{31E1DFB5-918D-49DA-8BCC-3A6C73C9EF4A}"/>
    <cellStyle name="Comma 4 5 2 2 6 4" xfId="53996" xr:uid="{6064C90F-2BAE-4FCC-B356-A03D01EE3C54}"/>
    <cellStyle name="Comma 4 5 2 2 7" xfId="48149" xr:uid="{6DC6CF2E-A623-4712-BE7B-59FD8AE26166}"/>
    <cellStyle name="Comma 4 5 2 2 8" xfId="49874" xr:uid="{2957EDF8-A4AB-47A4-9B0B-48D901C0B217}"/>
    <cellStyle name="Comma 4 5 2 2 9" xfId="52890" xr:uid="{05BB9952-E743-42E5-AFAF-D04A3456631A}"/>
    <cellStyle name="Comma 4 5 2 3" xfId="10105" xr:uid="{9B95116A-4F3E-400F-8AAC-1A35BEF78D44}"/>
    <cellStyle name="Comma 4 5 2 3 2" xfId="10418" xr:uid="{FB82B6C1-A5AF-4A4F-98B5-7E325D76A4DB}"/>
    <cellStyle name="Comma 4 5 2 3 2 2" xfId="14837" xr:uid="{1BB42DC3-BD42-4E66-A41B-FBF783E0A23E}"/>
    <cellStyle name="Comma 4 5 2 3 2 2 2" xfId="22384" xr:uid="{E1FD5CCB-6D73-4F8A-8104-4053DB197A33}"/>
    <cellStyle name="Comma 4 5 2 3 2 2 3" xfId="24187" xr:uid="{12B4783C-C7C4-4C28-BD86-058414FB74C2}"/>
    <cellStyle name="Comma 4 5 2 3 2 2 4" xfId="51722" xr:uid="{38655785-E3C6-484B-BBDA-8D2FF406C275}"/>
    <cellStyle name="Comma 4 5 2 3 2 2 5" xfId="54738" xr:uid="{EFAF67BD-ACED-4CDC-A76D-01FADB1BD5F8}"/>
    <cellStyle name="Comma 4 5 2 3 2 3" xfId="15322" xr:uid="{6F842FA3-A759-4326-9838-391469DE080D}"/>
    <cellStyle name="Comma 4 5 2 3 2 3 2" xfId="22861" xr:uid="{EA83D676-2A6E-47B8-876F-58E987BE965C}"/>
    <cellStyle name="Comma 4 5 2 3 2 3 3" xfId="46907" xr:uid="{7B6B7EF7-B38F-42ED-A60D-E37577662540}"/>
    <cellStyle name="Comma 4 5 2 3 2 3 4" xfId="52199" xr:uid="{D7062F19-5CD1-4246-A7B2-D4E1B04F5D01}"/>
    <cellStyle name="Comma 4 5 2 3 2 3 5" xfId="55215" xr:uid="{E8EC1B07-9787-4FA9-B63B-B507462ED6C3}"/>
    <cellStyle name="Comma 4 5 2 3 2 4" xfId="15809" xr:uid="{06E16737-0C08-4223-8C24-6ACA7F932F72}"/>
    <cellStyle name="Comma 4 5 2 3 2 4 2" xfId="23338" xr:uid="{AF395444-0751-4F83-8362-AA10C1ADC17A}"/>
    <cellStyle name="Comma 4 5 2 3 2 4 3" xfId="47794" xr:uid="{E82B00C3-3345-4D23-A384-BF252FF89868}"/>
    <cellStyle name="Comma 4 5 2 3 2 4 4" xfId="52676" xr:uid="{B0714058-A334-4C09-BAD4-F7BB9D6B7EC1}"/>
    <cellStyle name="Comma 4 5 2 3 2 4 5" xfId="55692" xr:uid="{FD599631-AA56-427F-BCE9-2FD4CDB822F0}"/>
    <cellStyle name="Comma 4 5 2 3 2 5" xfId="12871" xr:uid="{CC46FA08-A8CA-48C8-B221-F1D7A61CE653}"/>
    <cellStyle name="Comma 4 5 2 3 2 5 2" xfId="48203" xr:uid="{5911A259-8A12-470C-8C02-DEE17DB417ED}"/>
    <cellStyle name="Comma 4 5 2 3 2 5 3" xfId="51245" xr:uid="{CA710BD2-7FF5-464E-ABE1-0B6804FBF3CE}"/>
    <cellStyle name="Comma 4 5 2 3 2 5 4" xfId="54261" xr:uid="{AAAFCC7B-34B0-4B64-906C-5DDDD25261DA}"/>
    <cellStyle name="Comma 4 5 2 3 2 6" xfId="47288" xr:uid="{24FEB12C-E0B2-4C67-8BFA-34DA82952A69}"/>
    <cellStyle name="Comma 4 5 2 3 2 7" xfId="50139" xr:uid="{2EDBDE2A-1E9D-433C-AD80-2BAF2FBB53DC}"/>
    <cellStyle name="Comma 4 5 2 3 2 8" xfId="53155" xr:uid="{E0DFFD72-56DA-4B40-8BE3-18BF6D536EDE}"/>
    <cellStyle name="Comma 4 5 2 3 3" xfId="14625" xr:uid="{3EBDF536-81B0-43C6-8F41-E4B33803F859}"/>
    <cellStyle name="Comma 4 5 2 3 3 2" xfId="22172" xr:uid="{72F69DD7-C5A6-40AD-8A8B-E0184B644F6C}"/>
    <cellStyle name="Comma 4 5 2 3 3 3" xfId="47237" xr:uid="{69BBF0AB-EC49-41F8-9C9A-FD80264379A7}"/>
    <cellStyle name="Comma 4 5 2 3 3 4" xfId="51510" xr:uid="{9CFF037B-54D2-4954-861A-5C23E2D44D29}"/>
    <cellStyle name="Comma 4 5 2 3 3 5" xfId="54526" xr:uid="{1880EC98-C171-42A2-A40D-7A2087B9F44E}"/>
    <cellStyle name="Comma 4 5 2 3 4" xfId="15110" xr:uid="{4D12CBB8-AF70-4548-885D-34EF7B21F97E}"/>
    <cellStyle name="Comma 4 5 2 3 4 2" xfId="22649" xr:uid="{BAA8CB58-975A-4E74-8485-3F6AB0716E81}"/>
    <cellStyle name="Comma 4 5 2 3 4 3" xfId="47780" xr:uid="{15CAD9F5-8685-4C04-A5E0-9306A268424A}"/>
    <cellStyle name="Comma 4 5 2 3 4 4" xfId="51987" xr:uid="{594BD75C-1A39-482C-B147-4CAF3022779B}"/>
    <cellStyle name="Comma 4 5 2 3 4 5" xfId="55003" xr:uid="{7139620C-3F67-4673-8F0E-0B52E6596281}"/>
    <cellStyle name="Comma 4 5 2 3 5" xfId="15597" xr:uid="{8948D123-9CB4-46EC-A7CB-3F50F3152758}"/>
    <cellStyle name="Comma 4 5 2 3 5 2" xfId="23126" xr:uid="{760286E0-AA9E-4D76-8307-59A1A9F5F019}"/>
    <cellStyle name="Comma 4 5 2 3 5 3" xfId="48079" xr:uid="{437E6C2D-ACCC-46CC-9124-408A589B8247}"/>
    <cellStyle name="Comma 4 5 2 3 5 4" xfId="52464" xr:uid="{12B889F1-7528-476E-B44D-7744AC1F3A01}"/>
    <cellStyle name="Comma 4 5 2 3 5 5" xfId="55480" xr:uid="{E167E2FB-A386-4446-A6AE-BFB95DAA5DD5}"/>
    <cellStyle name="Comma 4 5 2 3 6" xfId="12562" xr:uid="{58DFAB86-6A04-4BE6-B474-F6D424BCAE35}"/>
    <cellStyle name="Comma 4 5 2 3 6 2" xfId="25079" xr:uid="{1CCAB8FA-95B9-4894-B044-0A87FB807669}"/>
    <cellStyle name="Comma 4 5 2 3 6 3" xfId="51033" xr:uid="{10CE2818-9EBF-45EB-94ED-C48D950F20BD}"/>
    <cellStyle name="Comma 4 5 2 3 6 4" xfId="54049" xr:uid="{CD08C89E-1834-4E9E-9C4F-77BBD38064BB}"/>
    <cellStyle name="Comma 4 5 2 3 7" xfId="46048" xr:uid="{69FE4C3C-458F-4E19-9386-31BE6DDC17B5}"/>
    <cellStyle name="Comma 4 5 2 3 8" xfId="49927" xr:uid="{A64D8D49-470B-4455-BC8E-BFFA40B349B5}"/>
    <cellStyle name="Comma 4 5 2 3 9" xfId="52943" xr:uid="{DBB181C7-6E29-45B1-BBD4-0C68C2EA43B4}"/>
    <cellStyle name="Comma 4 5 2 4" xfId="10184" xr:uid="{5D71DBAF-4825-435D-939A-31CE994D58B5}"/>
    <cellStyle name="Comma 4 5 2 4 2" xfId="10498" xr:uid="{64A239FA-AB64-4220-A832-4E2F7E09C172}"/>
    <cellStyle name="Comma 4 5 2 4 2 2" xfId="14890" xr:uid="{D60B8C7D-EB5D-484E-B2CC-AB80091DB633}"/>
    <cellStyle name="Comma 4 5 2 4 2 2 2" xfId="22437" xr:uid="{FA90E7F0-FEB8-48D2-9657-82DAFE802F74}"/>
    <cellStyle name="Comma 4 5 2 4 2 2 3" xfId="46451" xr:uid="{E9E0EC98-8ACB-442C-9ABF-45249745CCD1}"/>
    <cellStyle name="Comma 4 5 2 4 2 2 4" xfId="51775" xr:uid="{277A19D7-2664-4ACC-8C43-9C6F79241995}"/>
    <cellStyle name="Comma 4 5 2 4 2 2 5" xfId="54791" xr:uid="{C8098D0F-7E1B-405D-898A-F8DE0CB3C731}"/>
    <cellStyle name="Comma 4 5 2 4 2 3" xfId="15375" xr:uid="{D3339863-041B-49A0-8A37-A61853EB80B5}"/>
    <cellStyle name="Comma 4 5 2 4 2 3 2" xfId="22914" xr:uid="{EA3776AD-983D-471C-976B-3C3733CB2353}"/>
    <cellStyle name="Comma 4 5 2 4 2 3 3" xfId="47131" xr:uid="{88ECFD1B-E317-4949-9182-2F4868EC64F5}"/>
    <cellStyle name="Comma 4 5 2 4 2 3 4" xfId="52252" xr:uid="{13945469-2C1C-43AE-921D-F15D5AC0ADC0}"/>
    <cellStyle name="Comma 4 5 2 4 2 3 5" xfId="55268" xr:uid="{6D1892E6-CF22-4A8F-AD56-5B90345F1193}"/>
    <cellStyle name="Comma 4 5 2 4 2 4" xfId="15862" xr:uid="{C4140398-DBAB-4F5B-8B4E-E8FDE439BE1D}"/>
    <cellStyle name="Comma 4 5 2 4 2 4 2" xfId="23391" xr:uid="{791A2659-20DE-495F-9E37-F1F4181FCAC5}"/>
    <cellStyle name="Comma 4 5 2 4 2 4 3" xfId="48268" xr:uid="{6707C9BF-DFEF-4B85-969D-BC6E0EF1A1A7}"/>
    <cellStyle name="Comma 4 5 2 4 2 4 4" xfId="52729" xr:uid="{6F838665-A229-4982-888D-9F94F7F087C2}"/>
    <cellStyle name="Comma 4 5 2 4 2 4 5" xfId="55745" xr:uid="{A91DE5A3-79D2-45FB-AD8D-BF2CDFD4B072}"/>
    <cellStyle name="Comma 4 5 2 4 2 5" xfId="12951" xr:uid="{CC7BA2C0-19D8-488E-B261-671AE8C3BD64}"/>
    <cellStyle name="Comma 4 5 2 4 2 5 2" xfId="48345" xr:uid="{7EE7C0A4-C0C1-467D-B4E8-A35409373107}"/>
    <cellStyle name="Comma 4 5 2 4 2 5 3" xfId="51298" xr:uid="{40131D1F-9ACB-4C46-8040-043773DD7242}"/>
    <cellStyle name="Comma 4 5 2 4 2 5 4" xfId="54314" xr:uid="{7BE6AC00-791D-4E8E-9CDC-A03DD38B2523}"/>
    <cellStyle name="Comma 4 5 2 4 2 6" xfId="24263" xr:uid="{2FB6DE95-11B4-4688-B9DF-10B8C2992997}"/>
    <cellStyle name="Comma 4 5 2 4 2 7" xfId="50192" xr:uid="{001142A4-2692-4C54-8EDD-54AA3E0F66CC}"/>
    <cellStyle name="Comma 4 5 2 4 2 8" xfId="53208" xr:uid="{B6AFE886-ACA8-4D66-AC59-EEA966615E88}"/>
    <cellStyle name="Comma 4 5 2 4 3" xfId="14678" xr:uid="{C809FEA9-5E99-401E-BE5B-7FF6CDFB58A8}"/>
    <cellStyle name="Comma 4 5 2 4 3 2" xfId="22225" xr:uid="{5162DDCC-DAEF-4127-AB7C-F000B730E5C6}"/>
    <cellStyle name="Comma 4 5 2 4 3 3" xfId="46416" xr:uid="{D7319CE6-A809-4C34-AFA1-D485B7D4A4D2}"/>
    <cellStyle name="Comma 4 5 2 4 3 4" xfId="51563" xr:uid="{AE459B16-C6FE-46E1-BB14-8C588580A898}"/>
    <cellStyle name="Comma 4 5 2 4 3 5" xfId="54579" xr:uid="{26AD11F7-B738-495A-BA16-B581A9A90626}"/>
    <cellStyle name="Comma 4 5 2 4 4" xfId="15163" xr:uid="{E76037B0-4975-4CF3-BA09-176F7DBFDF6D}"/>
    <cellStyle name="Comma 4 5 2 4 4 2" xfId="22702" xr:uid="{3D87B095-1504-4A0C-A72C-3198D807B56D}"/>
    <cellStyle name="Comma 4 5 2 4 4 3" xfId="46490" xr:uid="{8B172676-7A2C-451A-AAD1-1DD26EDDF19D}"/>
    <cellStyle name="Comma 4 5 2 4 4 4" xfId="52040" xr:uid="{186ACC72-267F-4EBE-A70A-1C32ACE5DF7C}"/>
    <cellStyle name="Comma 4 5 2 4 4 5" xfId="55056" xr:uid="{21DA1D77-4695-427A-8CBD-D852449BB491}"/>
    <cellStyle name="Comma 4 5 2 4 5" xfId="15650" xr:uid="{11361467-F145-4603-84E0-1EF3B354D4F9}"/>
    <cellStyle name="Comma 4 5 2 4 5 2" xfId="23179" xr:uid="{D526D73D-F7D8-4E79-AD7F-619E2654689C}"/>
    <cellStyle name="Comma 4 5 2 4 5 3" xfId="48422" xr:uid="{0C4C16DD-F15D-4955-A3A9-8CD8DD94304F}"/>
    <cellStyle name="Comma 4 5 2 4 5 4" xfId="52517" xr:uid="{DFDA3E9C-AACE-4BD4-AA55-577372F83440}"/>
    <cellStyle name="Comma 4 5 2 4 5 5" xfId="55533" xr:uid="{EA8EFF75-E09E-49AD-BE3F-11374B232E9E}"/>
    <cellStyle name="Comma 4 5 2 4 6" xfId="12638" xr:uid="{1435D3C8-C425-43FD-8F56-F48D93E35359}"/>
    <cellStyle name="Comma 4 5 2 4 6 2" xfId="48337" xr:uid="{4620843B-8283-4A37-9641-11152C780B4D}"/>
    <cellStyle name="Comma 4 5 2 4 6 3" xfId="51086" xr:uid="{FC5D98A6-BF85-4398-9AB1-4C15D5F6C887}"/>
    <cellStyle name="Comma 4 5 2 4 6 4" xfId="54102" xr:uid="{23F74E51-D58C-4D0B-84D9-57506ABDF8B5}"/>
    <cellStyle name="Comma 4 5 2 4 7" xfId="46063" xr:uid="{D9D39305-A7D6-4C74-9A8E-00BC59D70EB0}"/>
    <cellStyle name="Comma 4 5 2 4 8" xfId="49980" xr:uid="{3299D21C-3619-449E-88D5-78F948741291}"/>
    <cellStyle name="Comma 4 5 2 4 9" xfId="52996" xr:uid="{C2519529-C0E0-41FC-8B62-15409147D38C}"/>
    <cellStyle name="Comma 4 5 2 5" xfId="10264" xr:uid="{4D9108C6-31B5-4DE0-A05C-DC93E78AEAC2}"/>
    <cellStyle name="Comma 4 5 2 5 2" xfId="14731" xr:uid="{B740592F-7C7A-41AC-B919-D2A9228FA259}"/>
    <cellStyle name="Comma 4 5 2 5 2 2" xfId="22278" xr:uid="{3FAB0F14-8B91-4000-8F96-52B0C366E1A7}"/>
    <cellStyle name="Comma 4 5 2 5 2 3" xfId="48062" xr:uid="{506E47F4-72ED-4943-B064-84FE96ACF727}"/>
    <cellStyle name="Comma 4 5 2 5 2 4" xfId="51616" xr:uid="{BCFC0D8D-B3D4-4182-AABD-7A69EA512A23}"/>
    <cellStyle name="Comma 4 5 2 5 2 5" xfId="54632" xr:uid="{8841BB48-04E9-429E-B84C-85E770A5DCCA}"/>
    <cellStyle name="Comma 4 5 2 5 3" xfId="15216" xr:uid="{6E05CAE1-62A4-4448-BA02-115D87127F29}"/>
    <cellStyle name="Comma 4 5 2 5 3 2" xfId="22755" xr:uid="{BD0C8541-5D9D-49CA-8418-8A4E72E9FD6D}"/>
    <cellStyle name="Comma 4 5 2 5 3 3" xfId="48125" xr:uid="{571E98BB-F1A7-4F57-AE0D-6FB4BF2790C7}"/>
    <cellStyle name="Comma 4 5 2 5 3 4" xfId="52093" xr:uid="{606D3B5F-0A8A-436F-8F81-1C766793AFD3}"/>
    <cellStyle name="Comma 4 5 2 5 3 5" xfId="55109" xr:uid="{B256A4B1-B32E-4C23-B2DA-7EEABA7DB9DC}"/>
    <cellStyle name="Comma 4 5 2 5 4" xfId="15703" xr:uid="{8FBC7DA2-7418-4D6B-B054-623BC68C3D30}"/>
    <cellStyle name="Comma 4 5 2 5 4 2" xfId="23232" xr:uid="{06D65883-C260-4D6D-ABB6-D49AE284CAED}"/>
    <cellStyle name="Comma 4 5 2 5 4 3" xfId="47456" xr:uid="{502205E2-0585-4200-8C4E-146C3D808B3E}"/>
    <cellStyle name="Comma 4 5 2 5 4 4" xfId="52570" xr:uid="{9FABBDE7-9143-4102-9AC5-5441908819D9}"/>
    <cellStyle name="Comma 4 5 2 5 4 5" xfId="55586" xr:uid="{E8371685-496F-4ECD-8C03-BF2227B79CAE}"/>
    <cellStyle name="Comma 4 5 2 5 5" xfId="12717" xr:uid="{B2A98A76-D811-4D21-A946-E06F61222500}"/>
    <cellStyle name="Comma 4 5 2 5 5 2" xfId="37489" xr:uid="{BC1A5B5A-2CA9-4881-9E1A-0D8764B01211}"/>
    <cellStyle name="Comma 4 5 2 5 5 3" xfId="51139" xr:uid="{455016ED-806C-4678-8B93-757D6BD2879E}"/>
    <cellStyle name="Comma 4 5 2 5 5 4" xfId="54155" xr:uid="{84D59DED-64B2-4C13-8760-7B78E6CB9385}"/>
    <cellStyle name="Comma 4 5 2 5 6" xfId="48452" xr:uid="{94149962-4CE4-4DC1-A052-92C02D41B702}"/>
    <cellStyle name="Comma 4 5 2 5 7" xfId="50033" xr:uid="{EBB79D2D-6ECF-4523-8ECD-AB716646BBB7}"/>
    <cellStyle name="Comma 4 5 2 5 8" xfId="53049" xr:uid="{3B800531-2FE8-4BBC-BAB0-DB26F39FE8C7}"/>
    <cellStyle name="Comma 4 5 2 6" xfId="10578" xr:uid="{F3846D05-D7ED-49EC-AEFA-40C73BF6FE39}"/>
    <cellStyle name="Comma 4 5 2 6 2" xfId="14943" xr:uid="{3FCB25E3-E14C-4ACC-8F5E-DF9A64E08BAF}"/>
    <cellStyle name="Comma 4 5 2 6 2 2" xfId="22490" xr:uid="{8BE581C4-48C5-424C-A7AE-DC3D084326A1}"/>
    <cellStyle name="Comma 4 5 2 6 2 3" xfId="32520" xr:uid="{A078C9CC-9AA4-46FD-9CEB-643637FE07CE}"/>
    <cellStyle name="Comma 4 5 2 6 2 4" xfId="51828" xr:uid="{A5347349-5FCB-49F8-8305-FDDDC405A22D}"/>
    <cellStyle name="Comma 4 5 2 6 2 5" xfId="54844" xr:uid="{2329F3A8-93BB-4F58-BF43-56B7EC71DA96}"/>
    <cellStyle name="Comma 4 5 2 6 3" xfId="15428" xr:uid="{F36109A1-82E2-47DC-8055-5229FA0A7BCF}"/>
    <cellStyle name="Comma 4 5 2 6 3 2" xfId="22967" xr:uid="{5FC48F07-D43F-4498-BFB9-F25B74F046A4}"/>
    <cellStyle name="Comma 4 5 2 6 3 3" xfId="46692" xr:uid="{F055CEAC-E876-4262-B567-DC9E61EC1F6A}"/>
    <cellStyle name="Comma 4 5 2 6 3 4" xfId="52305" xr:uid="{92F0135A-E586-4FFB-93CD-21DA49EC6C94}"/>
    <cellStyle name="Comma 4 5 2 6 3 5" xfId="55321" xr:uid="{33C5FFC9-C35D-4990-87B4-0BBE7B5486C2}"/>
    <cellStyle name="Comma 4 5 2 6 4" xfId="15916" xr:uid="{F355DCC4-498C-4308-9E4E-A411AA1061DA}"/>
    <cellStyle name="Comma 4 5 2 6 4 2" xfId="23444" xr:uid="{49FC0458-213D-4ACE-BB32-22C2378052F9}"/>
    <cellStyle name="Comma 4 5 2 6 4 3" xfId="46606" xr:uid="{8A243C94-5705-4497-AD93-3019C018B665}"/>
    <cellStyle name="Comma 4 5 2 6 4 4" xfId="52782" xr:uid="{B8C3178A-5433-4539-B91B-BD7329E0128A}"/>
    <cellStyle name="Comma 4 5 2 6 4 5" xfId="55798" xr:uid="{AE42E70B-E109-4FBC-8677-7856ACF7D9C1}"/>
    <cellStyle name="Comma 4 5 2 6 5" xfId="13031" xr:uid="{3CC5FEDB-EC2A-427D-B03A-B8B659177B2D}"/>
    <cellStyle name="Comma 4 5 2 6 5 2" xfId="46823" xr:uid="{545EC74D-812C-4DBB-B5EB-AD58A85FB58E}"/>
    <cellStyle name="Comma 4 5 2 6 5 3" xfId="51351" xr:uid="{AAE7FC25-2D94-4041-8D6C-FBB07653C081}"/>
    <cellStyle name="Comma 4 5 2 6 5 4" xfId="54367" xr:uid="{26032F0F-15B0-4404-9724-53F48B2F176A}"/>
    <cellStyle name="Comma 4 5 2 6 6" xfId="46154" xr:uid="{DC2520BD-C7C8-4124-8A44-7A541FA71913}"/>
    <cellStyle name="Comma 4 5 2 6 7" xfId="50245" xr:uid="{2F1BD1FF-9F9A-4586-87E8-4A31DA142CB5}"/>
    <cellStyle name="Comma 4 5 2 6 8" xfId="53261" xr:uid="{BA8A91E8-ADDB-4FCE-8895-465BFCFEA4A4}"/>
    <cellStyle name="Comma 4 5 2 7" xfId="14519" xr:uid="{465FFD5C-EA24-401F-910A-A5CA6AEF3B83}"/>
    <cellStyle name="Comma 4 5 2 7 2" xfId="22066" xr:uid="{FB6ABEDD-E9C7-4EB8-8781-FCF2FC178AC1}"/>
    <cellStyle name="Comma 4 5 2 7 3" xfId="47768" xr:uid="{648D8E94-C705-4C4B-B3B2-5C668E7179A9}"/>
    <cellStyle name="Comma 4 5 2 7 4" xfId="51404" xr:uid="{BC78DD7D-919E-44F3-AE32-2164E33BAB4B}"/>
    <cellStyle name="Comma 4 5 2 7 5" xfId="54420" xr:uid="{B82B24EC-9DAD-4D4A-A90D-F39E5221CEEB}"/>
    <cellStyle name="Comma 4 5 2 8" xfId="15003" xr:uid="{56BDCA45-BA07-4BAE-923B-4619621323C0}"/>
    <cellStyle name="Comma 4 5 2 8 2" xfId="22543" xr:uid="{E27C7288-910C-4F1E-B312-691FC3B5B88C}"/>
    <cellStyle name="Comma 4 5 2 8 3" xfId="48413" xr:uid="{3474B844-4B43-4B74-8E87-9DD9C03D13E4}"/>
    <cellStyle name="Comma 4 5 2 8 4" xfId="51881" xr:uid="{C8BEE1F7-8CE8-4E1A-91B8-33E579B56717}"/>
    <cellStyle name="Comma 4 5 2 8 5" xfId="54897" xr:uid="{8892FA21-F535-4094-9D0A-BDDF218AA1B7}"/>
    <cellStyle name="Comma 4 5 2 9" xfId="15490" xr:uid="{BC405102-7457-4271-B8E8-38CEEF021A4E}"/>
    <cellStyle name="Comma 4 5 2 9 2" xfId="23020" xr:uid="{907C4DC8-0608-4F33-BD2E-8226D311B5B5}"/>
    <cellStyle name="Comma 4 5 2 9 3" xfId="47995" xr:uid="{3E7BDA8B-B8E0-4335-A109-EB0BCA515854}"/>
    <cellStyle name="Comma 4 5 2 9 4" xfId="52358" xr:uid="{650B4333-0B43-4552-B94A-CB99D2DB2E4F}"/>
    <cellStyle name="Comma 4 5 2 9 5" xfId="55374" xr:uid="{E48D1584-306F-4877-9D92-034D3993C1CF}"/>
    <cellStyle name="Comma 4 5 20" xfId="8943" xr:uid="{A8411680-103B-4F6C-826F-678E6F43895B}"/>
    <cellStyle name="Comma 4 5 3" xfId="10030" xr:uid="{775A0505-4F3D-477B-8CB4-FECE06F76E74}"/>
    <cellStyle name="Comma 4 5 3 2" xfId="10338" xr:uid="{3CE42433-9C08-46E7-8C23-D42D0FD77ED1}"/>
    <cellStyle name="Comma 4 5 3 2 2" xfId="14783" xr:uid="{8BBF7D55-5CAA-4D4C-9A3A-C58ED788B64E}"/>
    <cellStyle name="Comma 4 5 3 2 2 2" xfId="22330" xr:uid="{C505E2B5-2314-4310-B226-B86AE325E403}"/>
    <cellStyle name="Comma 4 5 3 2 2 3" xfId="48536" xr:uid="{96E17D6F-737A-450D-8F8A-091B52F8C9D3}"/>
    <cellStyle name="Comma 4 5 3 2 2 4" xfId="51668" xr:uid="{6A2F2870-D6F6-4F72-9C44-70887A9FA7F8}"/>
    <cellStyle name="Comma 4 5 3 2 2 5" xfId="54684" xr:uid="{E168783B-FBF4-49D5-AE8A-9CE9379A923F}"/>
    <cellStyle name="Comma 4 5 3 2 3" xfId="15268" xr:uid="{EF1516BC-D3BA-4CFE-9008-68A822053443}"/>
    <cellStyle name="Comma 4 5 3 2 3 2" xfId="22807" xr:uid="{D7BC373B-A4B9-46E4-8F1C-437D565C3312}"/>
    <cellStyle name="Comma 4 5 3 2 3 3" xfId="48512" xr:uid="{1D824CE9-470B-4ABB-8B28-EC157C704CBB}"/>
    <cellStyle name="Comma 4 5 3 2 3 4" xfId="52145" xr:uid="{5C688371-B7C8-404B-9D9B-264D9168E111}"/>
    <cellStyle name="Comma 4 5 3 2 3 5" xfId="55161" xr:uid="{40A15272-04B4-421C-8416-56E484176F81}"/>
    <cellStyle name="Comma 4 5 3 2 4" xfId="15755" xr:uid="{5434A4A5-7BDB-4122-9E07-ABB6B7801100}"/>
    <cellStyle name="Comma 4 5 3 2 4 2" xfId="23284" xr:uid="{44466BD4-2F6A-4E9B-AF26-6A5B87B29D9E}"/>
    <cellStyle name="Comma 4 5 3 2 4 3" xfId="47003" xr:uid="{AC3BD263-FD50-46A6-B298-394EF9B6425C}"/>
    <cellStyle name="Comma 4 5 3 2 4 4" xfId="52622" xr:uid="{F6838FB8-4965-4B39-9E90-AED890FB6B5D}"/>
    <cellStyle name="Comma 4 5 3 2 4 5" xfId="55638" xr:uid="{05FCE8AC-AA46-4DF7-B6BB-A2263E6F75D2}"/>
    <cellStyle name="Comma 4 5 3 2 5" xfId="12791" xr:uid="{3780A734-B5D2-4A22-9D19-B97A0F0C223E}"/>
    <cellStyle name="Comma 4 5 3 2 5 2" xfId="46353" xr:uid="{F7222335-B9DD-482A-ADBE-D5A3C1A626D0}"/>
    <cellStyle name="Comma 4 5 3 2 5 3" xfId="51191" xr:uid="{1FAAB504-BC90-4E39-BF2E-743EC2AD5047}"/>
    <cellStyle name="Comma 4 5 3 2 5 4" xfId="54207" xr:uid="{4340E647-DDD2-42CA-942D-BBFEF65BA7BB}"/>
    <cellStyle name="Comma 4 5 3 2 6" xfId="46090" xr:uid="{F0815B45-B6C0-463B-9B78-14768A26E445}"/>
    <cellStyle name="Comma 4 5 3 2 7" xfId="50085" xr:uid="{872502FF-888C-4303-86A4-F3CD0B8A3D69}"/>
    <cellStyle name="Comma 4 5 3 2 8" xfId="53101" xr:uid="{E98C3AB3-CAED-4A5F-9641-9AEB9E04B002}"/>
    <cellStyle name="Comma 4 5 3 3" xfId="14571" xr:uid="{BA8DF413-3D71-4FA3-8129-9C00F64016FB}"/>
    <cellStyle name="Comma 4 5 3 3 2" xfId="22118" xr:uid="{60584EA3-3D4E-461A-85DB-065BEA326051}"/>
    <cellStyle name="Comma 4 5 3 3 3" xfId="46400" xr:uid="{A07B61CD-92F0-40DE-B714-26FB740FAA19}"/>
    <cellStyle name="Comma 4 5 3 3 4" xfId="51456" xr:uid="{8A6CDF7D-FE21-4BCF-8B76-B8168BF0246F}"/>
    <cellStyle name="Comma 4 5 3 3 5" xfId="54472" xr:uid="{554F1648-9208-497B-A2C4-1EBFB7AE30EF}"/>
    <cellStyle name="Comma 4 5 3 4" xfId="15055" xr:uid="{88ABF9FA-4A74-449C-A1F9-D756DC8B828E}"/>
    <cellStyle name="Comma 4 5 3 4 2" xfId="22595" xr:uid="{CEF141DE-7F67-4A25-8C0B-85E1C3B0CB78}"/>
    <cellStyle name="Comma 4 5 3 4 3" xfId="33168" xr:uid="{41ABB741-B804-4540-85AD-B957F50DDCFB}"/>
    <cellStyle name="Comma 4 5 3 4 4" xfId="51933" xr:uid="{78D6636D-5745-42F4-99F2-0EA5F628435B}"/>
    <cellStyle name="Comma 4 5 3 4 5" xfId="54949" xr:uid="{3893D5AD-FECD-4253-B69F-9FE61C1F43F3}"/>
    <cellStyle name="Comma 4 5 3 5" xfId="15542" xr:uid="{96F81746-91A2-4A79-9D0D-CAD1BF32530B}"/>
    <cellStyle name="Comma 4 5 3 5 2" xfId="23072" xr:uid="{9164D80B-BC57-4CA7-8787-8BB51DDEAFD1}"/>
    <cellStyle name="Comma 4 5 3 5 3" xfId="47943" xr:uid="{0DC6B39E-4B5D-4D09-824D-8F94912382F4}"/>
    <cellStyle name="Comma 4 5 3 5 4" xfId="52410" xr:uid="{184E6275-AC1C-4306-99C3-2CFA9E611A24}"/>
    <cellStyle name="Comma 4 5 3 5 5" xfId="55426" xr:uid="{63533730-E01D-4AA7-A90D-C5600839BB95}"/>
    <cellStyle name="Comma 4 5 3 6" xfId="12490" xr:uid="{F1A7A9F9-D6D5-436C-9877-8DC69C47F479}"/>
    <cellStyle name="Comma 4 5 3 6 2" xfId="47756" xr:uid="{2AD42A94-B6FF-4AF0-9BD2-3462DA098DDC}"/>
    <cellStyle name="Comma 4 5 3 6 3" xfId="50979" xr:uid="{447FB9EC-C606-4D6D-AAA0-863849D2C194}"/>
    <cellStyle name="Comma 4 5 3 6 4" xfId="53995" xr:uid="{6C46B206-FA24-4279-8C60-ABADD2C5406F}"/>
    <cellStyle name="Comma 4 5 3 7" xfId="46031" xr:uid="{E6D1C0BB-27E1-4608-9A5E-C6A3A5A2DABF}"/>
    <cellStyle name="Comma 4 5 3 8" xfId="49873" xr:uid="{C146BA2E-0B32-4BB0-97E3-55194A2982ED}"/>
    <cellStyle name="Comma 4 5 3 9" xfId="52889" xr:uid="{7D45D85A-7F13-41D1-A90E-6A9DCF488C74}"/>
    <cellStyle name="Comma 4 5 4" xfId="10104" xr:uid="{86A3C6D8-5F80-441A-B70C-5D1F5E7C11E0}"/>
    <cellStyle name="Comma 4 5 4 2" xfId="10417" xr:uid="{0DD2A3D7-FA72-452A-84EB-734FCC2B706C}"/>
    <cellStyle name="Comma 4 5 4 2 2" xfId="14836" xr:uid="{6E27F136-C730-4FC0-8754-72FC5B4B5459}"/>
    <cellStyle name="Comma 4 5 4 2 2 2" xfId="22383" xr:uid="{938BDF2B-F78F-4546-9A60-065A94D6FF3F}"/>
    <cellStyle name="Comma 4 5 4 2 2 3" xfId="47183" xr:uid="{E77EDB39-CB8A-4247-ACDD-768EA514F5A0}"/>
    <cellStyle name="Comma 4 5 4 2 2 4" xfId="51721" xr:uid="{DAB90DA8-FC91-4E34-9784-064EF7AB6A70}"/>
    <cellStyle name="Comma 4 5 4 2 2 5" xfId="54737" xr:uid="{F67670DE-5F3B-4235-96F7-49E43E2C4980}"/>
    <cellStyle name="Comma 4 5 4 2 3" xfId="15321" xr:uid="{8E23F887-3201-41FF-B9D2-8AEC2B93FD8A}"/>
    <cellStyle name="Comma 4 5 4 2 3 2" xfId="22860" xr:uid="{44E0E2CF-1C10-4087-8936-0C0B01BA607F}"/>
    <cellStyle name="Comma 4 5 4 2 3 3" xfId="47841" xr:uid="{124F2B3E-96AA-4E51-A26D-5F7384D7DEB1}"/>
    <cellStyle name="Comma 4 5 4 2 3 4" xfId="52198" xr:uid="{BF3370C5-847C-4D9E-991D-C24ADF48B99C}"/>
    <cellStyle name="Comma 4 5 4 2 3 5" xfId="55214" xr:uid="{31A85E7B-5658-4F0C-8C07-5885364EA4F8}"/>
    <cellStyle name="Comma 4 5 4 2 4" xfId="15808" xr:uid="{F2241684-E006-4D1F-838F-7F834558DC0F}"/>
    <cellStyle name="Comma 4 5 4 2 4 2" xfId="23337" xr:uid="{8AC2A5A6-F0B4-4543-970B-FBC3E498D67E}"/>
    <cellStyle name="Comma 4 5 4 2 4 3" xfId="46968" xr:uid="{950C1A0D-858D-42C5-9553-86C503B1E395}"/>
    <cellStyle name="Comma 4 5 4 2 4 4" xfId="52675" xr:uid="{DBB182A1-1C1E-46BA-A2E2-65A88ED9DE4D}"/>
    <cellStyle name="Comma 4 5 4 2 4 5" xfId="55691" xr:uid="{4096FADF-8EA2-4CD0-BE8B-023D4BA77A2E}"/>
    <cellStyle name="Comma 4 5 4 2 5" xfId="12870" xr:uid="{58C8FFD7-77E8-4319-A5EF-CCB9E265987C}"/>
    <cellStyle name="Comma 4 5 4 2 5 2" xfId="24688" xr:uid="{C9232BBB-4A46-42BC-84AF-16830B0F932F}"/>
    <cellStyle name="Comma 4 5 4 2 5 3" xfId="51244" xr:uid="{3CD83B36-F694-46E2-8F40-5A47B38CD713}"/>
    <cellStyle name="Comma 4 5 4 2 5 4" xfId="54260" xr:uid="{221E207B-B468-4F1D-BCD2-F19B60FA0A32}"/>
    <cellStyle name="Comma 4 5 4 2 6" xfId="47289" xr:uid="{670C10AC-9816-447A-8660-3D9E90F244DD}"/>
    <cellStyle name="Comma 4 5 4 2 7" xfId="50138" xr:uid="{A6F238E6-2E93-4C92-866E-4AFEE3FE9ED3}"/>
    <cellStyle name="Comma 4 5 4 2 8" xfId="53154" xr:uid="{A4047F02-211E-49E2-884C-7344E274472A}"/>
    <cellStyle name="Comma 4 5 4 3" xfId="14624" xr:uid="{816B5CBB-8BDB-4850-8656-250EEFF78DA6}"/>
    <cellStyle name="Comma 4 5 4 3 2" xfId="22171" xr:uid="{455D5659-79C7-4CA8-B287-64A18A0D2901}"/>
    <cellStyle name="Comma 4 5 4 3 3" xfId="24970" xr:uid="{C104CD5B-C36A-4E26-9E48-491A60904E4F}"/>
    <cellStyle name="Comma 4 5 4 3 4" xfId="51509" xr:uid="{27358AFB-4388-47EA-ABAE-C5C7ADF2A2BC}"/>
    <cellStyle name="Comma 4 5 4 3 5" xfId="54525" xr:uid="{6782B559-C866-4A3C-B58F-DF7547CE2C04}"/>
    <cellStyle name="Comma 4 5 4 4" xfId="15109" xr:uid="{21367D3A-0BC7-434D-B3BF-4DA0D2AAD229}"/>
    <cellStyle name="Comma 4 5 4 4 2" xfId="22648" xr:uid="{75E8350F-BEFA-4BEE-B238-687098FF1C63}"/>
    <cellStyle name="Comma 4 5 4 4 3" xfId="46881" xr:uid="{A9EF0C2A-0E19-4CEF-A6DD-55C9938EE105}"/>
    <cellStyle name="Comma 4 5 4 4 4" xfId="51986" xr:uid="{2FE13520-62A1-4A74-881C-4818A56E7718}"/>
    <cellStyle name="Comma 4 5 4 4 5" xfId="55002" xr:uid="{586CAE3D-5C60-4540-AE0D-787F2DE1D8E2}"/>
    <cellStyle name="Comma 4 5 4 5" xfId="15596" xr:uid="{28BAF873-FCF4-48CE-A0FE-33EAA82D57A8}"/>
    <cellStyle name="Comma 4 5 4 5 2" xfId="23125" xr:uid="{00564708-3C3A-4983-AD5B-356AEEBA4B6F}"/>
    <cellStyle name="Comma 4 5 4 5 3" xfId="46940" xr:uid="{61FEC0DF-794D-458E-82A4-C46D0EDF3426}"/>
    <cellStyle name="Comma 4 5 4 5 4" xfId="52463" xr:uid="{4E18C9B2-97ED-4606-B13D-B2856FEF714A}"/>
    <cellStyle name="Comma 4 5 4 5 5" xfId="55479" xr:uid="{1BA31C33-CA6E-4EBC-9651-9136B0FEB730}"/>
    <cellStyle name="Comma 4 5 4 6" xfId="12561" xr:uid="{2EF519C5-C6FA-4FBF-8335-BB3060ED72E3}"/>
    <cellStyle name="Comma 4 5 4 6 2" xfId="47091" xr:uid="{FE3DB549-5857-4633-8638-E3AD45468B3D}"/>
    <cellStyle name="Comma 4 5 4 6 3" xfId="51032" xr:uid="{6FA907F8-3E1A-4612-BF8E-546112F68BEC}"/>
    <cellStyle name="Comma 4 5 4 6 4" xfId="54048" xr:uid="{32F30897-48D7-474E-A2E8-D9005233B9CC}"/>
    <cellStyle name="Comma 4 5 4 7" xfId="46047" xr:uid="{EE84A112-B8D6-40E4-BD99-207C737D8D8F}"/>
    <cellStyle name="Comma 4 5 4 8" xfId="49926" xr:uid="{21F48A10-2DDC-4960-AC69-70FFB703B2A5}"/>
    <cellStyle name="Comma 4 5 4 9" xfId="52942" xr:uid="{DABCF998-13F3-44DB-828F-4B1C1CD5576B}"/>
    <cellStyle name="Comma 4 5 5" xfId="10183" xr:uid="{E5C774DA-EC81-4566-9061-BC8F44C9B94C}"/>
    <cellStyle name="Comma 4 5 5 2" xfId="10497" xr:uid="{48E8D9AA-AB48-4A1C-9335-25A50EFCD613}"/>
    <cellStyle name="Comma 4 5 5 2 2" xfId="14889" xr:uid="{7B75DB2B-6182-4293-BE53-BF39666D6B27}"/>
    <cellStyle name="Comma 4 5 5 2 2 2" xfId="22436" xr:uid="{18759703-CF6D-4DF8-A9AB-3A617D2F3E4F}"/>
    <cellStyle name="Comma 4 5 5 2 2 3" xfId="46450" xr:uid="{EDD955A6-1492-4173-B138-736D1A8769F6}"/>
    <cellStyle name="Comma 4 5 5 2 2 4" xfId="51774" xr:uid="{985382B3-BE1E-47F1-98F0-15B8EE33C39D}"/>
    <cellStyle name="Comma 4 5 5 2 2 5" xfId="54790" xr:uid="{BA23C235-D570-4FE0-8A82-543B9FD08612}"/>
    <cellStyle name="Comma 4 5 5 2 3" xfId="15374" xr:uid="{26045ADA-54B8-45C1-8D5A-628930DD378A}"/>
    <cellStyle name="Comma 4 5 5 2 3 2" xfId="22913" xr:uid="{86DE0E50-1B0F-4BB5-B86B-0AB67742A1FE}"/>
    <cellStyle name="Comma 4 5 5 2 3 3" xfId="46522" xr:uid="{203A7B58-7138-445C-85EB-FF58BF687769}"/>
    <cellStyle name="Comma 4 5 5 2 3 4" xfId="52251" xr:uid="{652121E7-4D13-49D9-9922-64FD19DEEB5E}"/>
    <cellStyle name="Comma 4 5 5 2 3 5" xfId="55267" xr:uid="{18F6B149-88E1-4C98-AC32-BCCC4F4A39B7}"/>
    <cellStyle name="Comma 4 5 5 2 4" xfId="15861" xr:uid="{AD441D12-B5D7-4579-8FB0-A1C77E95A293}"/>
    <cellStyle name="Comma 4 5 5 2 4 2" xfId="23390" xr:uid="{95CA16E1-074E-40D0-B5A9-8DC5CE04F93D}"/>
    <cellStyle name="Comma 4 5 5 2 4 3" xfId="37441" xr:uid="{61F3A3A7-7DDB-47FC-83DE-CBA7260D5AFC}"/>
    <cellStyle name="Comma 4 5 5 2 4 4" xfId="52728" xr:uid="{DD02274E-5D19-4CED-810A-C9F5B3F65647}"/>
    <cellStyle name="Comma 4 5 5 2 4 5" xfId="55744" xr:uid="{114E68B2-77F4-439F-BA80-D5105CFC3BDA}"/>
    <cellStyle name="Comma 4 5 5 2 5" xfId="12950" xr:uid="{8F223976-4A63-4FD1-AD48-1C9301298DD7}"/>
    <cellStyle name="Comma 4 5 5 2 5 2" xfId="46816" xr:uid="{1A57E200-E7F4-4CE9-9E06-FD227B147881}"/>
    <cellStyle name="Comma 4 5 5 2 5 3" xfId="51297" xr:uid="{37B6A64F-F212-470F-9217-46E21BE1B5CC}"/>
    <cellStyle name="Comma 4 5 5 2 5 4" xfId="54313" xr:uid="{93E91A18-FA49-436D-BDAC-43F2FA1217CA}"/>
    <cellStyle name="Comma 4 5 5 2 6" xfId="46136" xr:uid="{64889D8C-720C-46DE-A84F-8719B8C55253}"/>
    <cellStyle name="Comma 4 5 5 2 7" xfId="50191" xr:uid="{186C1CCD-81ED-4FBE-908F-18FA347FACDB}"/>
    <cellStyle name="Comma 4 5 5 2 8" xfId="53207" xr:uid="{F4F29019-B423-46F8-8538-E3DEA652E968}"/>
    <cellStyle name="Comma 4 5 5 3" xfId="14677" xr:uid="{3926CBEB-7FB4-4F8D-A6DF-53734F75A20C}"/>
    <cellStyle name="Comma 4 5 5 3 2" xfId="22224" xr:uid="{084A7C96-6BCD-4B60-A3EE-F0B04506EEBF}"/>
    <cellStyle name="Comma 4 5 5 3 3" xfId="47331" xr:uid="{3E1EEC2F-920F-4B96-885E-5FDFC44DA8ED}"/>
    <cellStyle name="Comma 4 5 5 3 4" xfId="51562" xr:uid="{2C69B0BA-41A6-42E8-8B29-E52B23967FD9}"/>
    <cellStyle name="Comma 4 5 5 3 5" xfId="54578" xr:uid="{5AECC3F4-BDCE-4F25-848D-42BEF7D837CF}"/>
    <cellStyle name="Comma 4 5 5 4" xfId="15162" xr:uid="{D185E71F-541C-4DAD-BC2F-368634E145BA}"/>
    <cellStyle name="Comma 4 5 5 4 2" xfId="22701" xr:uid="{67E2BCDD-D361-4506-A0BC-0158E9545358}"/>
    <cellStyle name="Comma 4 5 5 4 3" xfId="47340" xr:uid="{069E48C0-2B03-4B29-AAB6-5B7B4EF91D1F}"/>
    <cellStyle name="Comma 4 5 5 4 4" xfId="52039" xr:uid="{C4814477-3BAF-4DE9-BC94-80797908C704}"/>
    <cellStyle name="Comma 4 5 5 4 5" xfId="55055" xr:uid="{7537F510-28D1-4DD4-B1FA-9A4C62560DF5}"/>
    <cellStyle name="Comma 4 5 5 5" xfId="15649" xr:uid="{7C9AAE97-6DE9-4D46-841B-2C5DC24E5D35}"/>
    <cellStyle name="Comma 4 5 5 5 2" xfId="23178" xr:uid="{42159DC3-EA14-4C6B-A6B5-473D65671B22}"/>
    <cellStyle name="Comma 4 5 5 5 3" xfId="24896" xr:uid="{EDD200A5-8D7E-4D0B-8C0C-2D7280246F3E}"/>
    <cellStyle name="Comma 4 5 5 5 4" xfId="52516" xr:uid="{72D64B6C-A6E5-4BD5-97F6-248979D5E7BE}"/>
    <cellStyle name="Comma 4 5 5 5 5" xfId="55532" xr:uid="{A6727116-CFE2-4264-A5EC-6F423573580D}"/>
    <cellStyle name="Comma 4 5 5 6" xfId="12637" xr:uid="{BBF9C3F4-6CED-4DDE-8EC9-03CBDA543DC3}"/>
    <cellStyle name="Comma 4 5 5 6 2" xfId="46778" xr:uid="{65CF396A-5ACF-4FB5-9984-AF801E6E9EDE}"/>
    <cellStyle name="Comma 4 5 5 6 3" xfId="51085" xr:uid="{63ED7E21-7C3A-42B7-9FCA-E7201A526C55}"/>
    <cellStyle name="Comma 4 5 5 6 4" xfId="54101" xr:uid="{0230D978-B0D2-4C27-B6FD-FE7EEC3A9A51}"/>
    <cellStyle name="Comma 4 5 5 7" xfId="48154" xr:uid="{9C253E2D-8C28-4FFC-96EB-8ED06A56E39B}"/>
    <cellStyle name="Comma 4 5 5 8" xfId="49979" xr:uid="{23D8E6DA-0098-4D77-8423-59B9553D64DC}"/>
    <cellStyle name="Comma 4 5 5 9" xfId="52995" xr:uid="{8BAEC773-A86E-4B91-A8EC-9A63E24A80BA}"/>
    <cellStyle name="Comma 4 5 6" xfId="10263" xr:uid="{31061916-DBD5-4057-A59E-07A599FFC734}"/>
    <cellStyle name="Comma 4 5 6 2" xfId="14730" xr:uid="{0495ECC6-3D65-426E-A97E-D36D6AC0A5AF}"/>
    <cellStyle name="Comma 4 5 6 2 2" xfId="22277" xr:uid="{BDD3EB71-E97F-4939-A4B8-5413FFB2AE0F}"/>
    <cellStyle name="Comma 4 5 6 2 3" xfId="46855" xr:uid="{204AB8D8-368D-45A6-9A29-29EB16719F0B}"/>
    <cellStyle name="Comma 4 5 6 2 4" xfId="51615" xr:uid="{A222C499-0BA6-4147-B074-98C3E9E8D02B}"/>
    <cellStyle name="Comma 4 5 6 2 5" xfId="54631" xr:uid="{CAC1C3B5-7882-4E74-8CFE-DF68C44F2B38}"/>
    <cellStyle name="Comma 4 5 6 3" xfId="15215" xr:uid="{1463D56C-D7E2-45F2-A59D-40903C8BAF08}"/>
    <cellStyle name="Comma 4 5 6 3 2" xfId="22754" xr:uid="{3B22F952-0500-4B5C-B52F-207532EF9521}"/>
    <cellStyle name="Comma 4 5 6 3 3" xfId="47972" xr:uid="{E0A32F73-569D-4E2E-8B7E-4502B61B2105}"/>
    <cellStyle name="Comma 4 5 6 3 4" xfId="52092" xr:uid="{D020F840-789A-4EBB-A8BC-F1D9871FC47C}"/>
    <cellStyle name="Comma 4 5 6 3 5" xfId="55108" xr:uid="{849A62EB-00EE-4861-A636-B0190AC73BC5}"/>
    <cellStyle name="Comma 4 5 6 4" xfId="15702" xr:uid="{A6276F86-2AE7-4379-9121-5A2EFA9EEDAF}"/>
    <cellStyle name="Comma 4 5 6 4 2" xfId="23231" xr:uid="{B6113EE3-C303-45A0-BC59-84FABD80CA2D}"/>
    <cellStyle name="Comma 4 5 6 4 3" xfId="46699" xr:uid="{06CA5939-552F-4F79-8D9D-845293717F02}"/>
    <cellStyle name="Comma 4 5 6 4 4" xfId="52569" xr:uid="{D4226D6F-904E-4F12-B966-E7DB55C8D60C}"/>
    <cellStyle name="Comma 4 5 6 4 5" xfId="55585" xr:uid="{8BC01852-9877-4A58-A56F-C93810F6FA80}"/>
    <cellStyle name="Comma 4 5 6 5" xfId="12716" xr:uid="{9E626A5E-2ACA-448E-87F0-6F174303B16D}"/>
    <cellStyle name="Comma 4 5 6 5 2" xfId="24214" xr:uid="{C6ADB96E-9FBA-4798-A9C1-AD35B58096EF}"/>
    <cellStyle name="Comma 4 5 6 5 3" xfId="51138" xr:uid="{7A133461-1D97-4B41-82FC-3DBF4108243B}"/>
    <cellStyle name="Comma 4 5 6 5 4" xfId="54154" xr:uid="{3E018822-00FF-4E9A-A3CE-5FE5E6F4B26D}"/>
    <cellStyle name="Comma 4 5 6 6" xfId="46075" xr:uid="{A76E7836-AECF-41D4-B1FF-132A5979C5C6}"/>
    <cellStyle name="Comma 4 5 6 7" xfId="50032" xr:uid="{70AB98A2-B56A-4F5F-A37B-1E62F95E80DD}"/>
    <cellStyle name="Comma 4 5 6 8" xfId="53048" xr:uid="{B76DDE23-D4E3-4557-A7C0-C1C05F816DE7}"/>
    <cellStyle name="Comma 4 5 7" xfId="10577" xr:uid="{03E090C2-FF7B-48B8-BB7E-064844ECFFE2}"/>
    <cellStyle name="Comma 4 5 7 2" xfId="14942" xr:uid="{1AA94B25-A959-4123-9DBA-38B3A1115B07}"/>
    <cellStyle name="Comma 4 5 7 2 2" xfId="22489" xr:uid="{7EED275A-F9E3-4333-92DC-19D7879F33CA}"/>
    <cellStyle name="Comma 4 5 7 2 3" xfId="48121" xr:uid="{71F788B5-327F-48CD-A7E2-9D084A788D62}"/>
    <cellStyle name="Comma 4 5 7 2 4" xfId="51827" xr:uid="{52DD3CAB-3F02-4B4D-A469-57091D31587C}"/>
    <cellStyle name="Comma 4 5 7 2 5" xfId="54843" xr:uid="{E27EB64C-C4F7-48B2-8C80-AE6507BFBEB7}"/>
    <cellStyle name="Comma 4 5 7 3" xfId="15427" xr:uid="{57F677F2-884C-43D1-9FB1-D88180453363}"/>
    <cellStyle name="Comma 4 5 7 3 2" xfId="22966" xr:uid="{618612CE-0852-4D2A-B0BB-CA81C45613E3}"/>
    <cellStyle name="Comma 4 5 7 3 3" xfId="47217" xr:uid="{CCDCA041-2B7A-4A49-9059-D7409B6CE68B}"/>
    <cellStyle name="Comma 4 5 7 3 4" xfId="52304" xr:uid="{ED05CE8B-6EC6-4661-A6D3-DB5E13836805}"/>
    <cellStyle name="Comma 4 5 7 3 5" xfId="55320" xr:uid="{63C680BB-5BF6-4F00-8EC5-D6F2BBC6703C}"/>
    <cellStyle name="Comma 4 5 7 4" xfId="15915" xr:uid="{611A0FB9-B137-4D1A-8F0A-91D53572F870}"/>
    <cellStyle name="Comma 4 5 7 4 2" xfId="23443" xr:uid="{5F27EE42-12F6-4E6D-8B58-EDBF3DA7FEB2}"/>
    <cellStyle name="Comma 4 5 7 4 3" xfId="48010" xr:uid="{2DD9B76E-3202-45CF-98C1-B7D446C5EA8F}"/>
    <cellStyle name="Comma 4 5 7 4 4" xfId="52781" xr:uid="{E61CACA1-8D33-455C-AF10-A7FBB1043EBD}"/>
    <cellStyle name="Comma 4 5 7 4 5" xfId="55797" xr:uid="{D75F2B61-B03A-498F-BE02-83B990E7C940}"/>
    <cellStyle name="Comma 4 5 7 5" xfId="13030" xr:uid="{9333B29D-6348-47F9-8457-F73391DEB218}"/>
    <cellStyle name="Comma 4 5 7 5 2" xfId="48401" xr:uid="{F9579FDA-1A9A-4CD1-B3BE-473B1F4721EB}"/>
    <cellStyle name="Comma 4 5 7 5 3" xfId="51350" xr:uid="{A9CE7E14-C063-4B17-BC5E-F73C8464C0A2}"/>
    <cellStyle name="Comma 4 5 7 5 4" xfId="54366" xr:uid="{24A6FEF7-4AC6-45EE-AF59-93D89A381F96}"/>
    <cellStyle name="Comma 4 5 7 6" xfId="47591" xr:uid="{D5425DC7-403D-4D03-9216-AC2F50660DC6}"/>
    <cellStyle name="Comma 4 5 7 7" xfId="50244" xr:uid="{1EED4B3A-DBF0-4C81-94C9-1773F06D273A}"/>
    <cellStyle name="Comma 4 5 7 8" xfId="53260" xr:uid="{29FB0259-28D6-44A8-9D4A-8728C58915A6}"/>
    <cellStyle name="Comma 4 5 8" xfId="13375" xr:uid="{4FA7FE20-161B-4F40-A2B6-5B1BDA5160DF}"/>
    <cellStyle name="Comma 4 5 9" xfId="14518" xr:uid="{49D82C2C-C33F-4CAE-ACC8-CD0595135912}"/>
    <cellStyle name="Comma 4 5 9 2" xfId="22065" xr:uid="{5D19C314-6E4D-49B8-B910-EE7419CF7760}"/>
    <cellStyle name="Comma 4 5 9 3" xfId="46829" xr:uid="{557990A5-CAFE-47FC-A456-F20E4778CA12}"/>
    <cellStyle name="Comma 4 5 9 4" xfId="51403" xr:uid="{4C7E81D9-3A0A-4F27-8051-6E0201380694}"/>
    <cellStyle name="Comma 4 5 9 5" xfId="54419" xr:uid="{B60B12D0-74FE-49F9-AD8F-3BEE6BD0F190}"/>
    <cellStyle name="Comma 4 6" xfId="2624" xr:uid="{DC4A5CEA-8C68-473A-9B28-37C28099DC5A}"/>
    <cellStyle name="Comma 4 6 10" xfId="11700" xr:uid="{FA85E8E0-1F3F-4CBA-846A-E861DD37E0B2}"/>
    <cellStyle name="Comma 4 6 10 2" xfId="47752" xr:uid="{AE21E74A-0EF0-49F9-B293-86E1C748E261}"/>
    <cellStyle name="Comma 4 6 10 3" xfId="50747" xr:uid="{25E72C58-4EBD-44EF-9216-6DD717625EEF}"/>
    <cellStyle name="Comma 4 6 10 4" xfId="53763" xr:uid="{5BBEDA2E-FE59-45D5-AF48-093EF2AC8378}"/>
    <cellStyle name="Comma 4 6 11" xfId="23774" xr:uid="{F3B456EB-DC59-4774-8558-1932E41B226D}"/>
    <cellStyle name="Comma 4 6 12" xfId="48655" xr:uid="{F9863A32-09B9-4F58-B3EC-25459BEF9F99}"/>
    <cellStyle name="Comma 4 6 13" xfId="49563" xr:uid="{04D1953D-0C74-4583-AC74-C96EDA594BC6}"/>
    <cellStyle name="Comma 4 6 14" xfId="49822" xr:uid="{AD7EE875-DE02-44F6-BB68-E1608D9C0C24}"/>
    <cellStyle name="Comma 4 6 15" xfId="52837" xr:uid="{6A8E15CD-016E-403B-A66E-ABBC5E3A887B}"/>
    <cellStyle name="Comma 4 6 16" xfId="8945" xr:uid="{544FDDB9-9CFB-4B39-800F-7E273947FF98}"/>
    <cellStyle name="Comma 4 6 2" xfId="10032" xr:uid="{EAE8B58E-A26E-42F3-906B-E7080BE63EDC}"/>
    <cellStyle name="Comma 4 6 2 2" xfId="10340" xr:uid="{43AA1472-79FD-4FF0-91FD-0525DCFDD67A}"/>
    <cellStyle name="Comma 4 6 2 2 2" xfId="14785" xr:uid="{41FF40A4-61CE-4248-9085-EFA9BBA89299}"/>
    <cellStyle name="Comma 4 6 2 2 2 2" xfId="22332" xr:uid="{9DFB4E9E-7E92-4C61-A93B-0846EFAE44C0}"/>
    <cellStyle name="Comma 4 6 2 2 2 3" xfId="24944" xr:uid="{A75C0708-288E-448C-B40B-E7F1A9D24525}"/>
    <cellStyle name="Comma 4 6 2 2 2 4" xfId="51670" xr:uid="{BF41E2C6-3725-4300-9024-AE42F4ED73A5}"/>
    <cellStyle name="Comma 4 6 2 2 2 5" xfId="54686" xr:uid="{9DE4077D-3E1D-4386-8B13-78B17C99A5F2}"/>
    <cellStyle name="Comma 4 6 2 2 3" xfId="15270" xr:uid="{AA9E7ABB-0D5B-4C74-B766-E1A3F907DFF3}"/>
    <cellStyle name="Comma 4 6 2 2 3 2" xfId="22809" xr:uid="{E1088408-C759-4DB0-AD84-BD37D90D8A6F}"/>
    <cellStyle name="Comma 4 6 2 2 3 3" xfId="24908" xr:uid="{BD76FD06-F921-4E24-A3DA-44B23ADE5D7B}"/>
    <cellStyle name="Comma 4 6 2 2 3 4" xfId="52147" xr:uid="{B0F0B66F-D71E-47D1-B842-EBF74552AB28}"/>
    <cellStyle name="Comma 4 6 2 2 3 5" xfId="55163" xr:uid="{565EBB5D-1DA2-4608-9F5D-9479CC3AAEC0}"/>
    <cellStyle name="Comma 4 6 2 2 4" xfId="15757" xr:uid="{40BB1490-585A-430A-A1BB-31EB1008CC29}"/>
    <cellStyle name="Comma 4 6 2 2 4 2" xfId="23286" xr:uid="{F619A6C6-BE9F-4BF9-A657-BD41F0608A07}"/>
    <cellStyle name="Comma 4 6 2 2 4 3" xfId="46702" xr:uid="{CC39B683-1C39-4B16-B466-CE1B06F97A1F}"/>
    <cellStyle name="Comma 4 6 2 2 4 4" xfId="52624" xr:uid="{13DDC905-30B7-471D-AB2C-CF13A951AF59}"/>
    <cellStyle name="Comma 4 6 2 2 4 5" xfId="55640" xr:uid="{C686BE9B-0F6C-4324-8AE9-459E92316EFA}"/>
    <cellStyle name="Comma 4 6 2 2 5" xfId="12793" xr:uid="{DBD3B931-048E-404B-8C17-3338113C9460}"/>
    <cellStyle name="Comma 4 6 2 2 5 2" xfId="48107" xr:uid="{DE505D2E-D149-4132-8736-A120A04A899E}"/>
    <cellStyle name="Comma 4 6 2 2 5 3" xfId="51193" xr:uid="{577E38BC-50E4-48DD-AD40-D3EFD9D4A7DD}"/>
    <cellStyle name="Comma 4 6 2 2 5 4" xfId="54209" xr:uid="{B3322041-7615-4455-B31D-8EBAFE2A6F81}"/>
    <cellStyle name="Comma 4 6 2 2 6" xfId="24271" xr:uid="{E6D7E45C-EC35-499E-B2A1-EEEB4A71CF78}"/>
    <cellStyle name="Comma 4 6 2 2 7" xfId="50087" xr:uid="{61B1AE81-5072-4F4A-9545-80232108F428}"/>
    <cellStyle name="Comma 4 6 2 2 8" xfId="53103" xr:uid="{0FDD267A-FD99-465C-B115-436E923D934C}"/>
    <cellStyle name="Comma 4 6 2 3" xfId="14573" xr:uid="{36EB6D3C-B070-4812-B60F-0DF3AD99D7DC}"/>
    <cellStyle name="Comma 4 6 2 3 2" xfId="22120" xr:uid="{A7D0DDCD-F185-43BC-932C-56408D372677}"/>
    <cellStyle name="Comma 4 6 2 3 3" xfId="46402" xr:uid="{7F13A452-BA80-49C1-8A2B-5BA19DAC3ED2}"/>
    <cellStyle name="Comma 4 6 2 3 4" xfId="51458" xr:uid="{3DE384C1-BF19-42EE-8DD0-766F02270F05}"/>
    <cellStyle name="Comma 4 6 2 3 5" xfId="54474" xr:uid="{9AB92FF9-ED55-4DE4-BD28-427FDEC83BD6}"/>
    <cellStyle name="Comma 4 6 2 4" xfId="15057" xr:uid="{066FCE28-B43E-4524-AB50-DD9592DFF513}"/>
    <cellStyle name="Comma 4 6 2 4 2" xfId="22597" xr:uid="{5945E7E7-D6D8-4C4C-AD3D-BCCA295066D5}"/>
    <cellStyle name="Comma 4 6 2 4 3" xfId="23861" xr:uid="{3061BE27-EC28-4624-88D1-CA568C2E7D3E}"/>
    <cellStyle name="Comma 4 6 2 4 4" xfId="51935" xr:uid="{7F665BBF-0F00-4FD2-9D59-0CF49A3BB569}"/>
    <cellStyle name="Comma 4 6 2 4 5" xfId="54951" xr:uid="{3F77EBDD-F4EA-4070-8982-36192222430B}"/>
    <cellStyle name="Comma 4 6 2 5" xfId="15544" xr:uid="{361410D8-45CB-4FC5-8960-4A4D15760AC5}"/>
    <cellStyle name="Comma 4 6 2 5 2" xfId="23074" xr:uid="{BBE2A7F9-E037-4FCD-9E5D-B499B544EA17}"/>
    <cellStyle name="Comma 4 6 2 5 3" xfId="47440" xr:uid="{EEF59FDF-6778-4E28-8EFA-74185FE34A9D}"/>
    <cellStyle name="Comma 4 6 2 5 4" xfId="52412" xr:uid="{04DF70DF-8D58-4394-90AE-1BAB1EB96ECF}"/>
    <cellStyle name="Comma 4 6 2 5 5" xfId="55428" xr:uid="{E3BEE550-B0F0-47FD-AAA2-802F3AABA160}"/>
    <cellStyle name="Comma 4 6 2 6" xfId="12492" xr:uid="{8BF38E61-0BF4-4F70-A16B-E669056E6810}"/>
    <cellStyle name="Comma 4 6 2 6 2" xfId="46313" xr:uid="{FEC0CCCD-FD6C-405F-95CD-F800310C4A3B}"/>
    <cellStyle name="Comma 4 6 2 6 3" xfId="50981" xr:uid="{2922D537-9104-437B-9B39-ACCB67AE1EF5}"/>
    <cellStyle name="Comma 4 6 2 6 4" xfId="53997" xr:uid="{CC0EAE0F-31F4-490A-9843-DEC5FE673470}"/>
    <cellStyle name="Comma 4 6 2 7" xfId="46032" xr:uid="{60407330-9D3C-4BC1-9407-FBFA90F8BE89}"/>
    <cellStyle name="Comma 4 6 2 8" xfId="49875" xr:uid="{6296E8B7-909C-4E51-B4FB-7287C62D6DBA}"/>
    <cellStyle name="Comma 4 6 2 9" xfId="52891" xr:uid="{C104E484-1B37-4C73-9449-318BD77DA34C}"/>
    <cellStyle name="Comma 4 6 3" xfId="10106" xr:uid="{455E9536-EF50-4802-8E10-02DF527656EA}"/>
    <cellStyle name="Comma 4 6 3 2" xfId="10419" xr:uid="{CC782EB6-1B34-47D1-B8B9-B7D46B25D1F4}"/>
    <cellStyle name="Comma 4 6 3 2 2" xfId="14838" xr:uid="{CFE63020-5E0B-4AFB-A0DD-18753DF0624C}"/>
    <cellStyle name="Comma 4 6 3 2 2 2" xfId="22385" xr:uid="{B1C9A427-A335-4A37-92DC-12E06F415E59}"/>
    <cellStyle name="Comma 4 6 3 2 2 3" xfId="46442" xr:uid="{401F89AF-CE75-4393-A832-2E33B4BCCE7C}"/>
    <cellStyle name="Comma 4 6 3 2 2 4" xfId="51723" xr:uid="{655738BD-D6F8-4801-8925-498E6A163C28}"/>
    <cellStyle name="Comma 4 6 3 2 2 5" xfId="54739" xr:uid="{EAC7AF50-4562-4F62-909C-DEB1C7DBE5DF}"/>
    <cellStyle name="Comma 4 6 3 2 3" xfId="15323" xr:uid="{710BAE69-696A-46E3-9A8E-9FCA63FABC11}"/>
    <cellStyle name="Comma 4 6 3 2 3 2" xfId="22862" xr:uid="{6D486629-3FD0-4FA9-8229-89E6C33DDCC9}"/>
    <cellStyle name="Comma 4 6 3 2 3 3" xfId="24658" xr:uid="{57C24360-22CB-4007-A891-776E2CB92CAE}"/>
    <cellStyle name="Comma 4 6 3 2 3 4" xfId="52200" xr:uid="{866A1AE7-D17A-4573-AF37-9C0A7CDEF1BB}"/>
    <cellStyle name="Comma 4 6 3 2 3 5" xfId="55216" xr:uid="{E9D18F1A-1285-43A6-9B23-A222289AEA3B}"/>
    <cellStyle name="Comma 4 6 3 2 4" xfId="15810" xr:uid="{C6B11EAF-8505-46AF-B2C1-A1B70973993B}"/>
    <cellStyle name="Comma 4 6 3 2 4 2" xfId="23339" xr:uid="{BA5701FD-8590-4F1A-AD76-62F1160FF33F}"/>
    <cellStyle name="Comma 4 6 3 2 4 3" xfId="47354" xr:uid="{394DCE04-566B-4C2F-97D7-2A9D9568BFA4}"/>
    <cellStyle name="Comma 4 6 3 2 4 4" xfId="52677" xr:uid="{C104F57E-37E6-4FF7-AAAC-6AB90DDED629}"/>
    <cellStyle name="Comma 4 6 3 2 4 5" xfId="55693" xr:uid="{F23ED045-74F2-40A6-95D0-4BE103BA9449}"/>
    <cellStyle name="Comma 4 6 3 2 5" xfId="12872" xr:uid="{B31CBDE3-A568-4177-8FA6-5C765A7C025D}"/>
    <cellStyle name="Comma 4 6 3 2 5 2" xfId="32423" xr:uid="{F740D03F-7C73-468F-BA0C-0BC5C9D1A753}"/>
    <cellStyle name="Comma 4 6 3 2 5 3" xfId="51246" xr:uid="{38936508-A3EE-4F77-BB95-51361F0AF285}"/>
    <cellStyle name="Comma 4 6 3 2 5 4" xfId="54262" xr:uid="{EAB5A25E-AD4C-4773-B591-DEEEE6AD5C92}"/>
    <cellStyle name="Comma 4 6 3 2 6" xfId="46118" xr:uid="{F93AAA13-133F-46C7-A976-38025B65F2EE}"/>
    <cellStyle name="Comma 4 6 3 2 7" xfId="50140" xr:uid="{746C58F8-261A-4CD8-8AD5-4B30507490F5}"/>
    <cellStyle name="Comma 4 6 3 2 8" xfId="53156" xr:uid="{DEA17783-8C1A-491F-A172-17B0DC1EDCB1}"/>
    <cellStyle name="Comma 4 6 3 3" xfId="14626" xr:uid="{9DC1358B-33F7-4743-A7BA-AED66C852C3E}"/>
    <cellStyle name="Comma 4 6 3 3 2" xfId="22173" xr:uid="{019AF8D6-6870-4767-BE9E-8FD9A7BBA3CF}"/>
    <cellStyle name="Comma 4 6 3 3 3" xfId="46843" xr:uid="{DF18445B-BB35-45B8-96E4-8C0792B0C7A7}"/>
    <cellStyle name="Comma 4 6 3 3 4" xfId="51511" xr:uid="{777399D3-8020-44F7-932D-E32632AAEC15}"/>
    <cellStyle name="Comma 4 6 3 3 5" xfId="54527" xr:uid="{0278C55C-7A0C-42DA-8D6F-6311ADABA2E5}"/>
    <cellStyle name="Comma 4 6 3 4" xfId="15111" xr:uid="{078EDAC7-B9E0-4369-8451-B23A4FF6EC75}"/>
    <cellStyle name="Comma 4 6 3 4 2" xfId="22650" xr:uid="{D515B10B-555E-4335-BE01-539F15BBBEA8}"/>
    <cellStyle name="Comma 4 6 3 4 3" xfId="47082" xr:uid="{8851CCD6-8738-403A-969D-65F2B1EFE4B1}"/>
    <cellStyle name="Comma 4 6 3 4 4" xfId="51988" xr:uid="{93C9F888-01CB-4B93-BE2A-F3550487F2EB}"/>
    <cellStyle name="Comma 4 6 3 4 5" xfId="55004" xr:uid="{8D109F46-4408-466E-88FB-B51B31F1606C}"/>
    <cellStyle name="Comma 4 6 3 5" xfId="15598" xr:uid="{7E202FC6-4C5D-4A34-B9F5-76013D232AC2}"/>
    <cellStyle name="Comma 4 6 3 5 2" xfId="23127" xr:uid="{2AEBC30C-6B51-401E-A1BE-D92769264FE8}"/>
    <cellStyle name="Comma 4 6 3 5 3" xfId="47644" xr:uid="{DE062BB8-C7F2-461B-9045-7D0B4F64FB89}"/>
    <cellStyle name="Comma 4 6 3 5 4" xfId="52465" xr:uid="{B7FDE66D-A3B2-4D40-82C1-DFAAE9B7F625}"/>
    <cellStyle name="Comma 4 6 3 5 5" xfId="55481" xr:uid="{3736BAEC-F053-4229-8CEC-3CC504C0EE6C}"/>
    <cellStyle name="Comma 4 6 3 6" xfId="12563" xr:uid="{4ACD6A63-ACFE-4374-B9E3-C08B387E2026}"/>
    <cellStyle name="Comma 4 6 3 6 2" xfId="47692" xr:uid="{34B82994-0036-45B6-8200-BF4F779C7126}"/>
    <cellStyle name="Comma 4 6 3 6 3" xfId="51034" xr:uid="{FD2C28AD-529E-454F-9B1E-975574B1F05C}"/>
    <cellStyle name="Comma 4 6 3 6 4" xfId="54050" xr:uid="{C73EFAB8-C1C2-4BA8-924B-7E131B23AE97}"/>
    <cellStyle name="Comma 4 6 3 7" xfId="46049" xr:uid="{3D1F9F86-EF81-4F23-AD8D-E1E9D37D45D9}"/>
    <cellStyle name="Comma 4 6 3 8" xfId="49928" xr:uid="{0155F888-C4D5-49F8-A15D-C7DC71244C3D}"/>
    <cellStyle name="Comma 4 6 3 9" xfId="52944" xr:uid="{703E3C23-5A15-4CEE-9D81-92C6A156AE92}"/>
    <cellStyle name="Comma 4 6 4" xfId="10185" xr:uid="{DA36A299-0D31-47D9-AACA-DFEB22E8CB9D}"/>
    <cellStyle name="Comma 4 6 4 2" xfId="10499" xr:uid="{07FAB5FC-3DB2-4009-914C-8AE54CEEF840}"/>
    <cellStyle name="Comma 4 6 4 2 2" xfId="14891" xr:uid="{2852485D-E2C8-49E4-A3E5-4958ACC85835}"/>
    <cellStyle name="Comma 4 6 4 2 2 2" xfId="22438" xr:uid="{DD5C2E58-6B2F-4DA0-8185-D8A6C1F6FD52}"/>
    <cellStyle name="Comma 4 6 4 2 2 3" xfId="46452" xr:uid="{9BF11595-6D62-4E3E-9A9F-D905B940CFD1}"/>
    <cellStyle name="Comma 4 6 4 2 2 4" xfId="51776" xr:uid="{5EA3D327-C775-42B0-B8B6-AF99BC43078A}"/>
    <cellStyle name="Comma 4 6 4 2 2 5" xfId="54792" xr:uid="{AFE919ED-4E74-46A2-88C9-3827A3A3E155}"/>
    <cellStyle name="Comma 4 6 4 2 3" xfId="15376" xr:uid="{40D27D6B-02BB-4C14-AE6C-C12ACB46CC6F}"/>
    <cellStyle name="Comma 4 6 4 2 3 2" xfId="22915" xr:uid="{ED3E2ACE-A212-4CAB-BE17-AFCA12FFDE48}"/>
    <cellStyle name="Comma 4 6 4 2 3 3" xfId="47842" xr:uid="{EA54E6BE-0309-4EA1-8875-3B816EC3D4F4}"/>
    <cellStyle name="Comma 4 6 4 2 3 4" xfId="52253" xr:uid="{7E6865F4-AF74-4F8C-87CC-CFC9B2DEF018}"/>
    <cellStyle name="Comma 4 6 4 2 3 5" xfId="55269" xr:uid="{0DA2A6CD-C2EF-4C16-B09C-6927AAE3A6FC}"/>
    <cellStyle name="Comma 4 6 4 2 4" xfId="15863" xr:uid="{374D666D-7F5B-4F30-9EA8-487E46353B28}"/>
    <cellStyle name="Comma 4 6 4 2 4 2" xfId="23392" xr:uid="{6E4AD6EC-7C61-4AB5-BC54-63AB9D67E136}"/>
    <cellStyle name="Comma 4 6 4 2 4 3" xfId="46703" xr:uid="{CCA1AFBB-C23F-4320-94F8-3A6933683AA1}"/>
    <cellStyle name="Comma 4 6 4 2 4 4" xfId="52730" xr:uid="{ADE2A4E1-9A8A-40EE-93CC-5FDA13EBC98B}"/>
    <cellStyle name="Comma 4 6 4 2 4 5" xfId="55746" xr:uid="{04D09C09-92FB-4208-800E-CF95DD42D3C5}"/>
    <cellStyle name="Comma 4 6 4 2 5" xfId="12952" xr:uid="{44E7A45C-DB0F-4930-8186-26F5B812F61E}"/>
    <cellStyle name="Comma 4 6 4 2 5 2" xfId="48494" xr:uid="{9DB1BE6A-0A35-4BE2-8327-FB5333E01AF2}"/>
    <cellStyle name="Comma 4 6 4 2 5 3" xfId="51299" xr:uid="{3A391FAD-2657-4C0E-A8B4-542408ECB054}"/>
    <cellStyle name="Comma 4 6 4 2 5 4" xfId="54315" xr:uid="{EF6EE3DA-F647-4D1B-956A-3D2CD0AC69AD}"/>
    <cellStyle name="Comma 4 6 4 2 6" xfId="46137" xr:uid="{D22522A8-0628-4283-9D96-3AA415663652}"/>
    <cellStyle name="Comma 4 6 4 2 7" xfId="50193" xr:uid="{B9F85A70-2670-4BE2-BCAD-8CB039138E4D}"/>
    <cellStyle name="Comma 4 6 4 2 8" xfId="53209" xr:uid="{E760E15C-AB22-4C63-973B-F71E537E1978}"/>
    <cellStyle name="Comma 4 6 4 3" xfId="14679" xr:uid="{346C41FA-85D9-453E-93EC-C3EF3AB6C2BC}"/>
    <cellStyle name="Comma 4 6 4 3 2" xfId="22226" xr:uid="{CC5EBE6F-0274-4C8B-AF5E-8CF7CE18FA53}"/>
    <cellStyle name="Comma 4 6 4 3 3" xfId="24965" xr:uid="{54FD7F97-4E80-4F21-BFB9-409CDBF0B74D}"/>
    <cellStyle name="Comma 4 6 4 3 4" xfId="51564" xr:uid="{0E32E328-CE4B-4A85-959D-F850072FCD6E}"/>
    <cellStyle name="Comma 4 6 4 3 5" xfId="54580" xr:uid="{1249A803-7639-447F-811A-71E5F9ECC392}"/>
    <cellStyle name="Comma 4 6 4 4" xfId="15164" xr:uid="{BBC8BEFD-E6D9-4430-8B62-4906EFC93769}"/>
    <cellStyle name="Comma 4 6 4 4 2" xfId="22703" xr:uid="{2336AA99-EDC4-404E-86C4-2BCAA5B4C0EF}"/>
    <cellStyle name="Comma 4 6 4 4 3" xfId="46491" xr:uid="{5175E99C-072D-4BA2-A9CA-E7DF3FC65DBA}"/>
    <cellStyle name="Comma 4 6 4 4 4" xfId="52041" xr:uid="{93D297DE-E871-4927-844E-E6128D45D74C}"/>
    <cellStyle name="Comma 4 6 4 4 5" xfId="55057" xr:uid="{CFD7CC45-A297-4BA1-B32A-0D3E96DDDB30}"/>
    <cellStyle name="Comma 4 6 4 5" xfId="15651" xr:uid="{1F1E86DF-906D-4416-89B7-8141B6D38E40}"/>
    <cellStyle name="Comma 4 6 4 5 2" xfId="23180" xr:uid="{7FD59497-3F69-4FD5-95B7-E748B461A505}"/>
    <cellStyle name="Comma 4 6 4 5 3" xfId="46948" xr:uid="{0A9FAB53-E485-4235-825E-5024D680ED40}"/>
    <cellStyle name="Comma 4 6 4 5 4" xfId="52518" xr:uid="{AEB86AC5-4752-4889-8E7F-543F06EC5047}"/>
    <cellStyle name="Comma 4 6 4 5 5" xfId="55534" xr:uid="{809004F3-5F38-4252-837E-E440CE3732D2}"/>
    <cellStyle name="Comma 4 6 4 6" xfId="12639" xr:uid="{AF9C5C8A-69FA-4DC4-9199-DEB9C39DDD53}"/>
    <cellStyle name="Comma 4 6 4 6 2" xfId="47917" xr:uid="{12D795B4-6F6B-4034-B959-1E7DC5C8FB23}"/>
    <cellStyle name="Comma 4 6 4 6 3" xfId="51087" xr:uid="{8A4AF798-2128-4628-A1EE-AB195813B664}"/>
    <cellStyle name="Comma 4 6 4 6 4" xfId="54103" xr:uid="{9A64C8EF-44EA-4305-8D1A-194EA7CBED9D}"/>
    <cellStyle name="Comma 4 6 4 7" xfId="24279" xr:uid="{C75CA23E-0E8A-4392-8259-3020A208001C}"/>
    <cellStyle name="Comma 4 6 4 8" xfId="49981" xr:uid="{4E58A189-492F-4CA4-BAD7-6459AE79C643}"/>
    <cellStyle name="Comma 4 6 4 9" xfId="52997" xr:uid="{616057E9-0AA7-4389-8EBA-ED61A2D8EB55}"/>
    <cellStyle name="Comma 4 6 5" xfId="10265" xr:uid="{F0270FD2-AE79-4E05-9CA9-CF2E6C7FB2BC}"/>
    <cellStyle name="Comma 4 6 5 2" xfId="14732" xr:uid="{FF93FFE1-90A7-41E7-A6DE-DF01F94698F9}"/>
    <cellStyle name="Comma 4 6 5 2 2" xfId="22279" xr:uid="{4C4D58F4-B00E-451E-BCE6-F4239437F74B}"/>
    <cellStyle name="Comma 4 6 5 2 3" xfId="47627" xr:uid="{5A9C023B-5B69-4B35-86C4-6227B9DF33A3}"/>
    <cellStyle name="Comma 4 6 5 2 4" xfId="51617" xr:uid="{00B333C4-51C4-4267-8F68-E22AA8A4CA4C}"/>
    <cellStyle name="Comma 4 6 5 2 5" xfId="54633" xr:uid="{10EBD1AA-76F0-4E77-8703-5382634C4022}"/>
    <cellStyle name="Comma 4 6 5 3" xfId="15217" xr:uid="{707B8B9C-40A8-4A14-B789-2068F556FACC}"/>
    <cellStyle name="Comma 4 6 5 3 2" xfId="22756" xr:uid="{344C7E0E-610A-432D-AF51-CE37DA2EAD18}"/>
    <cellStyle name="Comma 4 6 5 3 3" xfId="46893" xr:uid="{21877D8D-A4FF-462F-BAD9-A2F633837AF3}"/>
    <cellStyle name="Comma 4 6 5 3 4" xfId="52094" xr:uid="{E07FBE73-115A-473C-AE17-C1F7711B6390}"/>
    <cellStyle name="Comma 4 6 5 3 5" xfId="55110" xr:uid="{6F15F48F-1FA9-45F1-A8E5-C1BD9852FA08}"/>
    <cellStyle name="Comma 4 6 5 4" xfId="15704" xr:uid="{B1A6402B-ED53-45D0-97D9-FBC989AB703D}"/>
    <cellStyle name="Comma 4 6 5 4 2" xfId="23233" xr:uid="{B570DC19-BEC6-4E0F-A355-FEBF405CD5B3}"/>
    <cellStyle name="Comma 4 6 5 4 3" xfId="47570" xr:uid="{38C2BC64-0501-4BF0-9BD7-AE8F4E14FC34}"/>
    <cellStyle name="Comma 4 6 5 4 4" xfId="52571" xr:uid="{2C3D7948-E66E-48AC-9D67-F1C78384EA72}"/>
    <cellStyle name="Comma 4 6 5 4 5" xfId="55587" xr:uid="{BCEBE9B8-36A0-4D83-9043-375467B27B4C}"/>
    <cellStyle name="Comma 4 6 5 5" xfId="12718" xr:uid="{2D69DBC5-724D-4AF8-A8C7-759174F50B9E}"/>
    <cellStyle name="Comma 4 6 5 5 2" xfId="24532" xr:uid="{43F65FFA-D0D0-43CE-8DE6-DB11AF1AD474}"/>
    <cellStyle name="Comma 4 6 5 5 3" xfId="51140" xr:uid="{AF879B39-BF38-41B9-8B8C-630000C64FAB}"/>
    <cellStyle name="Comma 4 6 5 5 4" xfId="54156" xr:uid="{9E6B77A2-54D4-46D2-9D8B-297E0D561A68}"/>
    <cellStyle name="Comma 4 6 5 6" xfId="47704" xr:uid="{5C94B2FA-014E-48AD-BFFB-440E0D5B97AC}"/>
    <cellStyle name="Comma 4 6 5 7" xfId="50034" xr:uid="{35D9B42F-BF91-4210-98EA-3F95F3CCB1F5}"/>
    <cellStyle name="Comma 4 6 5 8" xfId="53050" xr:uid="{612F933D-22EE-4C8C-8E61-593451138F68}"/>
    <cellStyle name="Comma 4 6 6" xfId="10579" xr:uid="{7E7F5D6A-EAA9-4909-8911-74E5124F93F2}"/>
    <cellStyle name="Comma 4 6 6 2" xfId="14944" xr:uid="{3587D5F1-9E7E-4607-B6C2-60E9FFB3B235}"/>
    <cellStyle name="Comma 4 6 6 2 2" xfId="22491" xr:uid="{4CBA6B98-2855-467D-BCEB-1F7982EB9326}"/>
    <cellStyle name="Comma 4 6 6 2 3" xfId="47185" xr:uid="{38297C86-8E93-4FA2-B439-2DA9D08FD8DD}"/>
    <cellStyle name="Comma 4 6 6 2 4" xfId="51829" xr:uid="{7C7079A7-FBDC-42E9-AC87-1907A8E9DE87}"/>
    <cellStyle name="Comma 4 6 6 2 5" xfId="54845" xr:uid="{B25A6C9F-AC64-4780-8F08-99F47E9B84CE}"/>
    <cellStyle name="Comma 4 6 6 3" xfId="15429" xr:uid="{523FC368-1D0B-4958-ACF1-D4CB96F50856}"/>
    <cellStyle name="Comma 4 6 6 3 2" xfId="22968" xr:uid="{F05F6BF7-F855-43CF-9641-88ECF3002B34}"/>
    <cellStyle name="Comma 4 6 6 3 3" xfId="48324" xr:uid="{76FED9E2-C7EC-4E8C-8276-FB268A88CFA1}"/>
    <cellStyle name="Comma 4 6 6 3 4" xfId="52306" xr:uid="{31EF854A-4DEE-4E7E-BDBE-851678CFC557}"/>
    <cellStyle name="Comma 4 6 6 3 5" xfId="55322" xr:uid="{0E7B3A4E-767C-4D1A-B5CC-9B74E5548070}"/>
    <cellStyle name="Comma 4 6 6 4" xfId="15917" xr:uid="{0C0E2BF2-DA25-4F3F-A153-0ED3FE3E2A0F}"/>
    <cellStyle name="Comma 4 6 6 4 2" xfId="23445" xr:uid="{388E0792-62A7-49ED-A44B-45898F5DBECA}"/>
    <cellStyle name="Comma 4 6 6 4 3" xfId="48024" xr:uid="{9FE07413-FC75-45EC-9C52-72E00AE91FEC}"/>
    <cellStyle name="Comma 4 6 6 4 4" xfId="52783" xr:uid="{26DFE155-A23C-4566-BA32-01BF0B77F2DF}"/>
    <cellStyle name="Comma 4 6 6 4 5" xfId="55799" xr:uid="{3A620F8A-4A31-4507-AF76-6EB4F72D34B6}"/>
    <cellStyle name="Comma 4 6 6 5" xfId="13032" xr:uid="{A4484F09-3147-43B8-8A0E-C0D16CC5773B}"/>
    <cellStyle name="Comma 4 6 6 5 2" xfId="24687" xr:uid="{127D7955-C9BA-453C-8D5B-7913E14E38A0}"/>
    <cellStyle name="Comma 4 6 6 5 3" xfId="51352" xr:uid="{57726322-5643-4905-A04E-353D44BB7B1F}"/>
    <cellStyle name="Comma 4 6 6 5 4" xfId="54368" xr:uid="{635F5AB8-1B5A-43A2-8679-C4625BDF7A9E}"/>
    <cellStyle name="Comma 4 6 6 6" xfId="48166" xr:uid="{F23F8F5A-F4B1-44DA-A05C-A12D63DBA11B}"/>
    <cellStyle name="Comma 4 6 6 7" xfId="50246" xr:uid="{E70F2536-C857-4A4B-9772-C50D18662274}"/>
    <cellStyle name="Comma 4 6 6 8" xfId="53262" xr:uid="{2F68D872-E882-4CE4-9F85-A1013DEE71A4}"/>
    <cellStyle name="Comma 4 6 7" xfId="14520" xr:uid="{B4902715-86E9-4829-BF0D-634C4D35372D}"/>
    <cellStyle name="Comma 4 6 7 2" xfId="22067" xr:uid="{6A6B6FB3-35CA-4DA1-9465-F3D855879A71}"/>
    <cellStyle name="Comma 4 6 7 3" xfId="47328" xr:uid="{A81DD37E-469A-4C0E-B739-0062D5EF13CB}"/>
    <cellStyle name="Comma 4 6 7 4" xfId="51405" xr:uid="{DEA470E0-AC43-4E7E-9DF8-542E079830D7}"/>
    <cellStyle name="Comma 4 6 7 5" xfId="54421" xr:uid="{CEB6D957-B7B0-4E8E-AF6E-86FB771CE53A}"/>
    <cellStyle name="Comma 4 6 8" xfId="15004" xr:uid="{EFFAC03C-F80F-4D51-AD40-D9AB5AAFDD44}"/>
    <cellStyle name="Comma 4 6 8 2" xfId="22544" xr:uid="{AD8E8441-0C49-4D1F-B374-EF373C8907B2}"/>
    <cellStyle name="Comma 4 6 8 3" xfId="32510" xr:uid="{653C2A0D-4AA1-4A9C-8FE1-FA9D8826AFC7}"/>
    <cellStyle name="Comma 4 6 8 4" xfId="51882" xr:uid="{EBEFAF8B-3952-4441-9C31-236833E94126}"/>
    <cellStyle name="Comma 4 6 8 5" xfId="54898" xr:uid="{66E4BFA8-79C1-45F6-9882-5075129EEA9A}"/>
    <cellStyle name="Comma 4 6 9" xfId="15491" xr:uid="{6C9F76BA-64E5-465D-A358-AF80454EF8EE}"/>
    <cellStyle name="Comma 4 6 9 2" xfId="23021" xr:uid="{CD511A22-4DC4-4767-942A-68B55CFA5BF4}"/>
    <cellStyle name="Comma 4 6 9 3" xfId="46926" xr:uid="{C3D92FEF-0883-4B43-A60F-D03F899154C3}"/>
    <cellStyle name="Comma 4 6 9 4" xfId="52359" xr:uid="{308A4E2D-1FFC-4D6C-B3FC-4FAFF76263D5}"/>
    <cellStyle name="Comma 4 6 9 5" xfId="55375" xr:uid="{BEFBD73C-BD8A-43F1-A638-C5F071F0D834}"/>
    <cellStyle name="Comma 4 7" xfId="11193" xr:uid="{C97E4674-D399-48DB-8282-947AB46AA2E5}"/>
    <cellStyle name="Comma 4 7 2" xfId="21689" xr:uid="{5725AF3D-EA96-4A0E-8AFA-6BAD19BD73F3}"/>
    <cellStyle name="Comma 4 7 3" xfId="23775" xr:uid="{AEB9EC06-EBBE-4088-B193-2CFD790A46A6}"/>
    <cellStyle name="Comma 4 7 4" xfId="47313" xr:uid="{CDA16AA5-7C8D-4024-A54F-49ABA9CF410E}"/>
    <cellStyle name="Comma 4 7 5" xfId="48656" xr:uid="{CF986BAF-4194-4104-9691-927C47E5AE8A}"/>
    <cellStyle name="Comma 4 7 6" xfId="49564" xr:uid="{EF2AA0E5-46AF-474D-93AF-5DC7C2B4E3D3}"/>
    <cellStyle name="Comma 4 7 7" xfId="50706" xr:uid="{646F3B58-EE4B-416F-90B0-5CAE52D19598}"/>
    <cellStyle name="Comma 4 7 8" xfId="53722" xr:uid="{60DB7471-FBE7-4A5D-8B4B-84049F6ED419}"/>
    <cellStyle name="Comma 4 8" xfId="19486" xr:uid="{3D4AF06E-9079-4E96-BD71-ED5AAF09719F}"/>
    <cellStyle name="Comma 4 8 2" xfId="23776" xr:uid="{29FE70C4-590E-4D55-9394-D560CD6E48CE}"/>
    <cellStyle name="Comma 4 8 3" xfId="48657" xr:uid="{43CB0218-D4D0-4535-92CA-3CEB05465B21}"/>
    <cellStyle name="Comma 4 8 4" xfId="49565" xr:uid="{61203601-1E7D-411D-A9C9-0B60C7137C73}"/>
    <cellStyle name="Comma 4 9" xfId="23777" xr:uid="{7994D259-09F1-4686-8B1E-B5440AC1C9F7}"/>
    <cellStyle name="Comma 5" xfId="54" xr:uid="{00000000-0005-0000-0000-000059000000}"/>
    <cellStyle name="Comma 5 10" xfId="48658" xr:uid="{F9DB47C4-8265-479D-B26E-D8583D626F9A}"/>
    <cellStyle name="Comma 5 11" xfId="49566" xr:uid="{89EBBC22-B44A-4A1E-AAD4-07F59384CFD3}"/>
    <cellStyle name="Comma 5 12" xfId="7228" xr:uid="{B3BB19CC-E1DE-420A-BCE5-99B5F0A86C54}"/>
    <cellStyle name="Comma 5 2" xfId="2628" xr:uid="{23A21D87-3CF9-42BE-A7ED-972175E47667}"/>
    <cellStyle name="Comma 5 2 10" xfId="15452" xr:uid="{3B968D5D-99F2-4003-A1DA-9D0ED8015D0C}"/>
    <cellStyle name="Comma 5 2 10 2" xfId="22987" xr:uid="{FCEF57B5-C504-409E-91EB-576BCC77FD81}"/>
    <cellStyle name="Comma 5 2 10 3" xfId="40720" xr:uid="{0B9153DE-1A3C-4081-B0BF-1A628BC493CD}"/>
    <cellStyle name="Comma 5 2 10 4" xfId="47439" xr:uid="{99DFBE75-0AEC-4649-8DF8-38BB211B771D}"/>
    <cellStyle name="Comma 5 2 10 5" xfId="52325" xr:uid="{BEEB4687-D062-4BFE-992C-F4C4EF47F184}"/>
    <cellStyle name="Comma 5 2 10 6" xfId="55341" xr:uid="{75A9801D-E2A7-444E-B73B-A3E92AA97972}"/>
    <cellStyle name="Comma 5 2 11" xfId="11588" xr:uid="{40909803-9ECA-430B-AF46-72A0A9D8BEF8}"/>
    <cellStyle name="Comma 5 2 11 2" xfId="21711" xr:uid="{FA9AB5E8-2905-43AA-9E07-AFEF4FEA5B9D}"/>
    <cellStyle name="Comma 5 2 11 3" xfId="47147" xr:uid="{AC6EE5FA-68B2-4005-BBF8-DEC61DBB5984}"/>
    <cellStyle name="Comma 5 2 11 4" xfId="50735" xr:uid="{62E6FD9F-74F1-4CD5-80F6-E3F7E1F4CF1C}"/>
    <cellStyle name="Comma 5 2 11 5" xfId="53751" xr:uid="{433C64E6-1FE3-44E8-BA0A-C79BA3F4235C}"/>
    <cellStyle name="Comma 5 2 12" xfId="19492" xr:uid="{FB926EC8-1409-4EE2-97A9-E8E9C304F963}"/>
    <cellStyle name="Comma 5 2 13" xfId="23779" xr:uid="{43E6AA6C-0821-4633-AF41-B53C06F1D654}"/>
    <cellStyle name="Comma 5 2 14" xfId="49788" xr:uid="{FDE43876-269C-4EAE-958E-59A72E377D53}"/>
    <cellStyle name="Comma 5 2 15" xfId="52803" xr:uid="{822143B2-2045-4C9C-AFE5-132F8157B711}"/>
    <cellStyle name="Comma 5 2 2" xfId="8946" xr:uid="{223DDD5A-6700-4FAB-AB83-3C7DEF3A7410}"/>
    <cellStyle name="Comma 5 2 2 10" xfId="11497" xr:uid="{325E546C-FDD6-4804-ADF5-AAE84E138E1B}"/>
    <cellStyle name="Comma 5 2 2 10 2" xfId="47960" xr:uid="{A50CEF59-3ED9-45DC-8660-45F3A8522C94}"/>
    <cellStyle name="Comma 5 2 2 10 3" xfId="50721" xr:uid="{445787C8-2C74-4BA6-A8C3-6EDC702333BB}"/>
    <cellStyle name="Comma 5 2 2 10 4" xfId="53737" xr:uid="{0223D1B6-66C6-4857-AB9B-8EA482866DEA}"/>
    <cellStyle name="Comma 5 2 2 11" xfId="23780" xr:uid="{3AE29773-684F-43D7-BE00-C344858F7028}"/>
    <cellStyle name="Comma 5 2 2 12" xfId="49823" xr:uid="{A1ACB1C8-E39C-46DE-9F35-8AE707ACFD56}"/>
    <cellStyle name="Comma 5 2 2 13" xfId="52838" xr:uid="{AE15FD71-74E5-40BC-82FA-0A0E8B93FE90}"/>
    <cellStyle name="Comma 5 2 2 2" xfId="10033" xr:uid="{E0A1C6AE-6F97-4D1A-BFE5-59857127DEF9}"/>
    <cellStyle name="Comma 5 2 2 2 10" xfId="49876" xr:uid="{76DEA4EA-F66E-4341-8EF5-94FBF73C865D}"/>
    <cellStyle name="Comma 5 2 2 2 11" xfId="52892" xr:uid="{14402434-4F90-474F-B599-221BC895D532}"/>
    <cellStyle name="Comma 5 2 2 2 2" xfId="10341" xr:uid="{1347DD5A-391A-406C-A46E-3F25645957B2}"/>
    <cellStyle name="Comma 5 2 2 2 2 2" xfId="14786" xr:uid="{77254F8E-718E-4484-A341-1B64695DE8A0}"/>
    <cellStyle name="Comma 5 2 2 2 2 2 2" xfId="22333" xr:uid="{119C7375-A108-4913-BBA8-C9AF808929D2}"/>
    <cellStyle name="Comma 5 2 2 2 2 2 3" xfId="47241" xr:uid="{F29BBC3D-91A3-4E70-917E-82FC33D28333}"/>
    <cellStyle name="Comma 5 2 2 2 2 2 4" xfId="51671" xr:uid="{C8D1A061-CE18-41B6-AE54-7C811DF0A051}"/>
    <cellStyle name="Comma 5 2 2 2 2 2 5" xfId="54687" xr:uid="{45B92813-BA04-4C55-9F9D-B7A43F8AA0BD}"/>
    <cellStyle name="Comma 5 2 2 2 2 3" xfId="15271" xr:uid="{721B6C26-51F3-4AE2-97D7-F899B27F78FE}"/>
    <cellStyle name="Comma 5 2 2 2 2 3 2" xfId="22810" xr:uid="{5DA3DBF2-62F5-4285-AD60-9563B12E9AEA}"/>
    <cellStyle name="Comma 5 2 2 2 2 3 3" xfId="47840" xr:uid="{8E2B9FFC-8E8F-4320-9D1F-8351264C1212}"/>
    <cellStyle name="Comma 5 2 2 2 2 3 4" xfId="52148" xr:uid="{C0946F86-F505-477A-904A-932B7C956F20}"/>
    <cellStyle name="Comma 5 2 2 2 2 3 5" xfId="55164" xr:uid="{4BF20C02-8729-45AD-B89E-4D03433E3E2E}"/>
    <cellStyle name="Comma 5 2 2 2 2 4" xfId="15758" xr:uid="{35538AE6-EE07-4AB0-9079-9807144FC241}"/>
    <cellStyle name="Comma 5 2 2 2 2 4 2" xfId="23287" xr:uid="{933B97E8-0DC0-4620-82CF-F93F538BE50C}"/>
    <cellStyle name="Comma 5 2 2 2 2 4 3" xfId="47742" xr:uid="{96967CA8-DE1C-4CE8-9FE6-8A3FF7160120}"/>
    <cellStyle name="Comma 5 2 2 2 2 4 4" xfId="52625" xr:uid="{60A217D1-0585-4B9B-AD43-EAC6CA922AD9}"/>
    <cellStyle name="Comma 5 2 2 2 2 4 5" xfId="55641" xr:uid="{311B52EC-5AC0-43E7-954E-BCE23499033B}"/>
    <cellStyle name="Comma 5 2 2 2 2 5" xfId="12794" xr:uid="{58AC27BB-EB9E-4072-B3B9-5A7C34CE1145}"/>
    <cellStyle name="Comma 5 2 2 2 2 5 2" xfId="46795" xr:uid="{FCEC0937-9EE8-4D3A-BD46-EA0527303940}"/>
    <cellStyle name="Comma 5 2 2 2 2 5 3" xfId="51194" xr:uid="{E36527B9-BF64-463F-8F3C-28E4A0EA997D}"/>
    <cellStyle name="Comma 5 2 2 2 2 5 4" xfId="54210" xr:uid="{6C9F271D-2DD6-456F-9403-B70BCDCBB672}"/>
    <cellStyle name="Comma 5 2 2 2 2 6" xfId="46091" xr:uid="{6D7E8C9B-0C10-43A3-B3C2-3C378C668FC5}"/>
    <cellStyle name="Comma 5 2 2 2 2 7" xfId="50088" xr:uid="{523D6967-F815-4EF3-8754-D558F738717E}"/>
    <cellStyle name="Comma 5 2 2 2 2 8" xfId="53104" xr:uid="{AEFCB1FC-64E2-443F-8C31-403CA6E29FF9}"/>
    <cellStyle name="Comma 5 2 2 2 3" xfId="14574" xr:uid="{AE4CABB5-5A72-4B12-9EBE-37A2B777DDCA}"/>
    <cellStyle name="Comma 5 2 2 2 3 2" xfId="22121" xr:uid="{C6623ED2-3D1E-4F95-BB57-AE0F92F6E98A}"/>
    <cellStyle name="Comma 5 2 2 2 3 3" xfId="24977" xr:uid="{C861F913-4C9D-44E2-9A2F-BBA85BDBE264}"/>
    <cellStyle name="Comma 5 2 2 2 3 4" xfId="51459" xr:uid="{3057ACAB-A6C0-474D-B0DA-119404248AD5}"/>
    <cellStyle name="Comma 5 2 2 2 3 5" xfId="54475" xr:uid="{0517F045-ECAF-4D75-8ABD-54C5CF190EA9}"/>
    <cellStyle name="Comma 5 2 2 2 4" xfId="15058" xr:uid="{BB32F1DC-6254-4E91-9C2C-973C4873AFBF}"/>
    <cellStyle name="Comma 5 2 2 2 4 2" xfId="22598" xr:uid="{9C0072E5-59FB-476A-B9C3-23D181AF7A2D}"/>
    <cellStyle name="Comma 5 2 2 2 4 3" xfId="46472" xr:uid="{E145E5B7-4FB2-44E7-A83E-9462E880C6B8}"/>
    <cellStyle name="Comma 5 2 2 2 4 4" xfId="51936" xr:uid="{92DD7C5B-FB41-4648-AF62-CA5314C34DB8}"/>
    <cellStyle name="Comma 5 2 2 2 4 5" xfId="54952" xr:uid="{4D065D13-A8D8-4CE4-99B6-0CE7BAF5FAED}"/>
    <cellStyle name="Comma 5 2 2 2 5" xfId="15545" xr:uid="{27AB0F42-3000-4777-807A-7F5EDC8F3A2D}"/>
    <cellStyle name="Comma 5 2 2 2 5 2" xfId="23075" xr:uid="{EF24F7A9-16F0-4202-8740-FDE22F1CA33A}"/>
    <cellStyle name="Comma 5 2 2 2 5 3" xfId="24440" xr:uid="{F2B3A647-C03B-433D-8743-3DAC33F8795A}"/>
    <cellStyle name="Comma 5 2 2 2 5 4" xfId="52413" xr:uid="{964183C8-FACD-4442-99E2-E050EE1D0889}"/>
    <cellStyle name="Comma 5 2 2 2 5 5" xfId="55429" xr:uid="{53FC8B4B-6FE4-4376-ABA6-77C37E397038}"/>
    <cellStyle name="Comma 5 2 2 2 6" xfId="12493" xr:uid="{04209A92-05E2-483A-9D89-296F91575905}"/>
    <cellStyle name="Comma 5 2 2 2 6 2" xfId="25088" xr:uid="{CF7C0169-168D-4777-809E-64437F772DB5}"/>
    <cellStyle name="Comma 5 2 2 2 6 3" xfId="50982" xr:uid="{7CAE7EAC-CFAC-44AA-A81B-11783DABB206}"/>
    <cellStyle name="Comma 5 2 2 2 6 4" xfId="53998" xr:uid="{E89FF9AC-F3AE-4D14-A290-A5D024EA8824}"/>
    <cellStyle name="Comma 5 2 2 2 7" xfId="23781" xr:uid="{70B6C4F5-0F80-4711-849D-023F45C80DE4}"/>
    <cellStyle name="Comma 5 2 2 2 8" xfId="48659" xr:uid="{DCF68AE3-49AF-48BE-905A-F6416A458384}"/>
    <cellStyle name="Comma 5 2 2 2 9" xfId="49567" xr:uid="{22AC0DC1-6F9E-4934-9C61-24CA55D2FF3E}"/>
    <cellStyle name="Comma 5 2 2 3" xfId="10107" xr:uid="{F95B4C31-32F5-4E77-98F1-6DC134DA6425}"/>
    <cellStyle name="Comma 5 2 2 3 10" xfId="52945" xr:uid="{F527714B-D94F-41EA-8E49-41C43A438514}"/>
    <cellStyle name="Comma 5 2 2 3 2" xfId="10420" xr:uid="{859CDAA9-47C5-40BE-A2AB-6165332B7F44}"/>
    <cellStyle name="Comma 5 2 2 3 2 2" xfId="14839" xr:uid="{2F94FD42-4A77-4276-A25D-88EE727F67E5}"/>
    <cellStyle name="Comma 5 2 2 3 2 2 2" xfId="22386" xr:uid="{3549FAD1-1A66-40F1-893B-33A2E878A8D4}"/>
    <cellStyle name="Comma 5 2 2 3 2 2 3" xfId="24939" xr:uid="{FD32666B-61B1-4E5B-8F65-F82DFAE541A7}"/>
    <cellStyle name="Comma 5 2 2 3 2 2 4" xfId="51724" xr:uid="{D85315F2-F78E-4458-B7A0-D87DCC96A8B7}"/>
    <cellStyle name="Comma 5 2 2 3 2 2 5" xfId="54740" xr:uid="{E891AC6D-012A-4E8B-96B1-89FE55A0F1BD}"/>
    <cellStyle name="Comma 5 2 2 3 2 3" xfId="15324" xr:uid="{48D57C42-7712-4B36-997D-4AAD71F5E167}"/>
    <cellStyle name="Comma 5 2 2 3 2 3 2" xfId="22863" xr:uid="{4B83014C-8D90-4938-80E5-009E813F833A}"/>
    <cellStyle name="Comma 5 2 2 3 2 3 3" xfId="48220" xr:uid="{B877FBE4-C0D1-4F09-A040-32AF58DAE551}"/>
    <cellStyle name="Comma 5 2 2 3 2 3 4" xfId="52201" xr:uid="{15166C59-A0C1-450C-AE52-5EAE46C5D420}"/>
    <cellStyle name="Comma 5 2 2 3 2 3 5" xfId="55217" xr:uid="{B6A37C14-80DD-4B33-B214-9D6CF51E84B8}"/>
    <cellStyle name="Comma 5 2 2 3 2 4" xfId="15811" xr:uid="{5734FB92-5D91-454A-9D5B-108724829389}"/>
    <cellStyle name="Comma 5 2 2 3 2 4 2" xfId="23340" xr:uid="{C20A2B05-2C6C-493E-A555-F354E8778A8E}"/>
    <cellStyle name="Comma 5 2 2 3 2 4 3" xfId="46590" xr:uid="{4DCB7E16-1DA5-45EF-A192-6A108F673F73}"/>
    <cellStyle name="Comma 5 2 2 3 2 4 4" xfId="52678" xr:uid="{BED31B2B-5446-492D-BDFC-57636AA7AB90}"/>
    <cellStyle name="Comma 5 2 2 3 2 4 5" xfId="55694" xr:uid="{F7F3581E-98A4-4E2C-AB1D-E14E2C947CF8}"/>
    <cellStyle name="Comma 5 2 2 3 2 5" xfId="12873" xr:uid="{45E1D4BA-938B-4DD4-A499-8A58E844A023}"/>
    <cellStyle name="Comma 5 2 2 3 2 5 2" xfId="47824" xr:uid="{F8A07B8A-EBAD-4A98-8E83-35DA55A18F6B}"/>
    <cellStyle name="Comma 5 2 2 3 2 5 3" xfId="51247" xr:uid="{0DA34621-1169-40FB-9A6F-3AD37CB5B0AB}"/>
    <cellStyle name="Comma 5 2 2 3 2 5 4" xfId="54263" xr:uid="{D0993B1D-61B0-4812-9AE9-510613178031}"/>
    <cellStyle name="Comma 5 2 2 3 2 6" xfId="38070" xr:uid="{F70837AC-49A7-4622-9849-329FF1A2E98A}"/>
    <cellStyle name="Comma 5 2 2 3 2 7" xfId="47882" xr:uid="{CB543080-97FE-4D65-BAD2-640372A41086}"/>
    <cellStyle name="Comma 5 2 2 3 2 8" xfId="50141" xr:uid="{59070CCC-2C65-439E-A57D-A4691B4654F8}"/>
    <cellStyle name="Comma 5 2 2 3 2 9" xfId="53157" xr:uid="{66AB4FAF-D580-476E-BE99-A042D2ABF40A}"/>
    <cellStyle name="Comma 5 2 2 3 3" xfId="14627" xr:uid="{A2201F49-5265-4153-B4FD-C59641EA7B90}"/>
    <cellStyle name="Comma 5 2 2 3 3 2" xfId="22174" xr:uid="{EB75117E-2FDD-40C9-8045-02235D987751}"/>
    <cellStyle name="Comma 5 2 2 3 3 3" xfId="43372" xr:uid="{CE6727C9-1532-42A3-ADB3-FB3CDC3DC411}"/>
    <cellStyle name="Comma 5 2 2 3 3 4" xfId="48348" xr:uid="{2699C154-6F76-4698-8FA7-14646371CEEF}"/>
    <cellStyle name="Comma 5 2 2 3 3 5" xfId="51512" xr:uid="{80E4D0D4-84C6-4B75-B014-8CD2DF0C1C63}"/>
    <cellStyle name="Comma 5 2 2 3 3 6" xfId="54528" xr:uid="{316CD6B4-7E47-459D-9D8F-8F47D855BB6A}"/>
    <cellStyle name="Comma 5 2 2 3 4" xfId="15112" xr:uid="{F7B0C63A-95F9-49A4-A690-ED44780F1F29}"/>
    <cellStyle name="Comma 5 2 2 3 4 2" xfId="22651" xr:uid="{21DDA3AE-D686-4642-8975-ABDAA0062FB5}"/>
    <cellStyle name="Comma 5 2 2 3 4 3" xfId="46481" xr:uid="{4B9793A2-DBA4-4928-9B80-82E6ED1EEB05}"/>
    <cellStyle name="Comma 5 2 2 3 4 4" xfId="51989" xr:uid="{D6862A18-8EE2-437D-A59D-1E41B7155118}"/>
    <cellStyle name="Comma 5 2 2 3 4 5" xfId="55005" xr:uid="{6246AA64-AA51-4662-9F47-3226EE234A55}"/>
    <cellStyle name="Comma 5 2 2 3 5" xfId="15599" xr:uid="{A67BCB97-F5ED-4606-A93C-901F3060CFB3}"/>
    <cellStyle name="Comma 5 2 2 3 5 2" xfId="23128" xr:uid="{331A4CDA-A5AE-4DC3-BC96-23CB16918AE6}"/>
    <cellStyle name="Comma 5 2 2 3 5 3" xfId="25286" xr:uid="{A48C1A7B-B454-437C-B3D2-2E527F59D7EB}"/>
    <cellStyle name="Comma 5 2 2 3 5 4" xfId="52466" xr:uid="{BCB5CC96-E53D-4255-87B0-F3DA2CA5B1E5}"/>
    <cellStyle name="Comma 5 2 2 3 5 5" xfId="55482" xr:uid="{163B567F-8EBA-4F21-AEF5-46F821DA0926}"/>
    <cellStyle name="Comma 5 2 2 3 6" xfId="12564" xr:uid="{6B716760-B745-464A-A097-62A7E3330C70}"/>
    <cellStyle name="Comma 5 2 2 3 6 2" xfId="32537" xr:uid="{DB10CC6C-3815-49BD-AA37-CDDBB88F9475}"/>
    <cellStyle name="Comma 5 2 2 3 6 3" xfId="51035" xr:uid="{C619EEEF-11C8-4E3F-B21B-5BD227AE4B72}"/>
    <cellStyle name="Comma 5 2 2 3 6 4" xfId="54051" xr:uid="{18A028C6-7001-4B81-8A1A-0F9053036107}"/>
    <cellStyle name="Comma 5 2 2 3 7" xfId="32696" xr:uid="{26EC86F5-82DC-43FF-9CFD-F6CBD31F3CAD}"/>
    <cellStyle name="Comma 5 2 2 3 8" xfId="47873" xr:uid="{F5AFE743-BBBB-4823-9FE9-92A2D42B4FDB}"/>
    <cellStyle name="Comma 5 2 2 3 9" xfId="49929" xr:uid="{4C992079-0D92-4A74-BB71-72783B8C8F93}"/>
    <cellStyle name="Comma 5 2 2 4" xfId="10186" xr:uid="{3FE4896C-B2AF-4216-8B5F-E1C0B7AB7108}"/>
    <cellStyle name="Comma 5 2 2 4 10" xfId="52998" xr:uid="{3C1C9517-720E-4D65-B4AF-99E50901349D}"/>
    <cellStyle name="Comma 5 2 2 4 2" xfId="10500" xr:uid="{39C8A3DD-6584-4407-862D-C0F04672B763}"/>
    <cellStyle name="Comma 5 2 2 4 2 2" xfId="14892" xr:uid="{A8ADB194-1B6C-4A33-AA34-2A01635C889E}"/>
    <cellStyle name="Comma 5 2 2 4 2 2 2" xfId="22439" xr:uid="{A4654E77-0638-4D17-A7F3-E54A6F52F1A0}"/>
    <cellStyle name="Comma 5 2 2 4 2 2 3" xfId="34027" xr:uid="{CA9E8E83-AA7C-471C-8A63-D26B9AA2CD0D}"/>
    <cellStyle name="Comma 5 2 2 4 2 2 4" xfId="51777" xr:uid="{3C5FF67B-558D-4541-AADA-4D77BC27D34F}"/>
    <cellStyle name="Comma 5 2 2 4 2 2 5" xfId="54793" xr:uid="{212FB3FA-5AD9-4665-97C7-DE403CD81235}"/>
    <cellStyle name="Comma 5 2 2 4 2 3" xfId="15377" xr:uid="{5598E4DE-D1D5-4F30-8D52-24CAA0974768}"/>
    <cellStyle name="Comma 5 2 2 4 2 3 2" xfId="22916" xr:uid="{FAD0F81B-51AD-484D-9C14-05578182DA1B}"/>
    <cellStyle name="Comma 5 2 2 4 2 3 3" xfId="46914" xr:uid="{73FAC1D3-9E91-4686-8940-8A6C2F526070}"/>
    <cellStyle name="Comma 5 2 2 4 2 3 4" xfId="52254" xr:uid="{B2D5B8A2-50B7-4B9F-B972-6B158BD3E9F5}"/>
    <cellStyle name="Comma 5 2 2 4 2 3 5" xfId="55270" xr:uid="{D5C11301-8314-41CF-B7D0-C22E9E7B4FAF}"/>
    <cellStyle name="Comma 5 2 2 4 2 4" xfId="15864" xr:uid="{EE1CA214-6CEC-4861-9730-C02A55B71C25}"/>
    <cellStyle name="Comma 5 2 2 4 2 4 2" xfId="23393" xr:uid="{2AD3A308-EA6A-48B2-9638-ADD5911D0C5D}"/>
    <cellStyle name="Comma 5 2 2 4 2 4 3" xfId="48321" xr:uid="{4FFFDBD9-EAB8-4E7D-B26D-060333F2996B}"/>
    <cellStyle name="Comma 5 2 2 4 2 4 4" xfId="52731" xr:uid="{22950097-823A-4DF2-8C29-57EE95206F91}"/>
    <cellStyle name="Comma 5 2 2 4 2 4 5" xfId="55747" xr:uid="{C9DC9E3A-B932-4469-B7D9-B5C3860D0CA7}"/>
    <cellStyle name="Comma 5 2 2 4 2 5" xfId="12953" xr:uid="{CD3E13C7-CF33-4EE0-A3BA-FEE1635B45D6}"/>
    <cellStyle name="Comma 5 2 2 4 2 5 2" xfId="32465" xr:uid="{A2AF3CAF-A38E-4688-A98E-1AA52A0297C7}"/>
    <cellStyle name="Comma 5 2 2 4 2 5 3" xfId="51300" xr:uid="{534A823E-2F2C-44F2-A60F-60028DC24A42}"/>
    <cellStyle name="Comma 5 2 2 4 2 5 4" xfId="54316" xr:uid="{CD175654-C895-4AE6-8254-8DBE3C0202D4}"/>
    <cellStyle name="Comma 5 2 2 4 2 6" xfId="46138" xr:uid="{E8087548-C5E2-4747-934A-CB78C9C780F4}"/>
    <cellStyle name="Comma 5 2 2 4 2 7" xfId="50194" xr:uid="{9958E450-FDCF-46A0-9834-D8AC89CF33A5}"/>
    <cellStyle name="Comma 5 2 2 4 2 8" xfId="53210" xr:uid="{90EA896C-3F08-4E36-937A-F64190789507}"/>
    <cellStyle name="Comma 5 2 2 4 3" xfId="14680" xr:uid="{85692E4B-BD0D-41C4-BAD2-74CC029E1D42}"/>
    <cellStyle name="Comma 5 2 2 4 3 2" xfId="22227" xr:uid="{404F27CB-1FE7-41F9-9A06-74B5E009251E}"/>
    <cellStyle name="Comma 5 2 2 4 3 3" xfId="47238" xr:uid="{84C35888-58E2-4913-B892-9A654203B1E3}"/>
    <cellStyle name="Comma 5 2 2 4 3 4" xfId="51565" xr:uid="{E915FCB1-F508-49B6-9E20-BFDE5DA4DE08}"/>
    <cellStyle name="Comma 5 2 2 4 3 5" xfId="54581" xr:uid="{B08ACC3A-E849-459D-A1DD-1F71AF45AB76}"/>
    <cellStyle name="Comma 5 2 2 4 4" xfId="15165" xr:uid="{5DB2C4E1-D4A8-466C-BE9C-481C3BC277EC}"/>
    <cellStyle name="Comma 5 2 2 4 4 2" xfId="22704" xr:uid="{2F017D13-960B-44E7-83A5-3D93490E0C17}"/>
    <cellStyle name="Comma 5 2 2 4 4 3" xfId="46492" xr:uid="{4B9085ED-D540-49A5-821A-827466FA29F1}"/>
    <cellStyle name="Comma 5 2 2 4 4 4" xfId="52042" xr:uid="{121843A9-D5E3-4FFE-8533-CA7F15361618}"/>
    <cellStyle name="Comma 5 2 2 4 4 5" xfId="55058" xr:uid="{E49D9AAF-C864-4EB2-9FA3-8E043E82DADF}"/>
    <cellStyle name="Comma 5 2 2 4 5" xfId="15652" xr:uid="{970110B8-F278-4F27-86D8-A03D7E3D7875}"/>
    <cellStyle name="Comma 5 2 2 4 5 2" xfId="23181" xr:uid="{8F390218-8CCA-42DD-86B6-5FFFBC60FE7A}"/>
    <cellStyle name="Comma 5 2 2 4 5 3" xfId="47198" xr:uid="{19414543-DF87-41AC-8C28-AE21157E06EC}"/>
    <cellStyle name="Comma 5 2 2 4 5 4" xfId="52519" xr:uid="{6D89CBD8-E699-4BB1-86DF-D6B3BC42BD5E}"/>
    <cellStyle name="Comma 5 2 2 4 5 5" xfId="55535" xr:uid="{EF8B9D8B-D244-4D77-8011-1DE4B9FD21E2}"/>
    <cellStyle name="Comma 5 2 2 4 6" xfId="12640" xr:uid="{2B4DC09B-50CA-462B-B707-02363E5EF129}"/>
    <cellStyle name="Comma 5 2 2 4 6 2" xfId="46334" xr:uid="{28F39DC3-416E-44F4-A6CC-A2D3BF2A4424}"/>
    <cellStyle name="Comma 5 2 2 4 6 3" xfId="51088" xr:uid="{50001F4F-09F9-4020-96AA-3CCC2A7E647D}"/>
    <cellStyle name="Comma 5 2 2 4 6 4" xfId="54104" xr:uid="{6F877D2B-1DB3-4808-BDA1-E90A8359E98C}"/>
    <cellStyle name="Comma 5 2 2 4 7" xfId="35605" xr:uid="{45EACD33-C42A-4120-99AF-8B87FDEBE879}"/>
    <cellStyle name="Comma 5 2 2 4 8" xfId="46985" xr:uid="{0CEA43BD-A777-45F7-B460-C8A584B3DE02}"/>
    <cellStyle name="Comma 5 2 2 4 9" xfId="49982" xr:uid="{48C762D1-A661-4A2E-ACC8-99A3AC517217}"/>
    <cellStyle name="Comma 5 2 2 5" xfId="10266" xr:uid="{912C164B-2574-4C2F-B76F-03AB74655F46}"/>
    <cellStyle name="Comma 5 2 2 5 2" xfId="14733" xr:uid="{D97FAED4-918B-47C4-8749-B8104D718837}"/>
    <cellStyle name="Comma 5 2 2 5 2 2" xfId="22280" xr:uid="{5D43CEC1-1B46-4A26-A9B9-A3FFC7534516}"/>
    <cellStyle name="Comma 5 2 2 5 2 3" xfId="46425" xr:uid="{53FEDD80-47E1-446E-A112-0F139E20FBDD}"/>
    <cellStyle name="Comma 5 2 2 5 2 4" xfId="51618" xr:uid="{9760B9FD-C24E-4964-ACB7-EB89282F2604}"/>
    <cellStyle name="Comma 5 2 2 5 2 5" xfId="54634" xr:uid="{05DE3D3D-62C3-4F85-8692-0E6E64FA2509}"/>
    <cellStyle name="Comma 5 2 2 5 3" xfId="15218" xr:uid="{CC784ACC-479B-4BB4-8838-A0008AE904FD}"/>
    <cellStyle name="Comma 5 2 2 5 3 2" xfId="22757" xr:uid="{787C7F92-7FCB-4649-ACF2-7C791B6A1D2D}"/>
    <cellStyle name="Comma 5 2 2 5 3 3" xfId="47781" xr:uid="{591B7F03-E60F-44D5-8C85-6B84ABF91037}"/>
    <cellStyle name="Comma 5 2 2 5 3 4" xfId="52095" xr:uid="{A5F5A28D-1F2D-40C6-8E9C-9696C21DA1FB}"/>
    <cellStyle name="Comma 5 2 2 5 3 5" xfId="55111" xr:uid="{3222D27E-C6F2-44D7-AE59-213D3A08AD87}"/>
    <cellStyle name="Comma 5 2 2 5 4" xfId="15705" xr:uid="{1974E7E6-0438-4002-9C09-EBC3531F5E93}"/>
    <cellStyle name="Comma 5 2 2 5 4 2" xfId="23234" xr:uid="{94FE4843-91F1-4FB2-8F41-12F8EF5AFFB2}"/>
    <cellStyle name="Comma 5 2 2 5 4 3" xfId="47375" xr:uid="{0851A718-7AF6-44E3-B841-6454491EF26C}"/>
    <cellStyle name="Comma 5 2 2 5 4 4" xfId="52572" xr:uid="{32ECA86D-C814-4349-AF23-965190C9A954}"/>
    <cellStyle name="Comma 5 2 2 5 4 5" xfId="55588" xr:uid="{7E423BCA-2DE1-456F-8BAB-05E865F8A342}"/>
    <cellStyle name="Comma 5 2 2 5 5" xfId="12719" xr:uid="{F4D669DE-F4D0-4BF4-8D9C-D73D4744ECEE}"/>
    <cellStyle name="Comma 5 2 2 5 5 2" xfId="46667" xr:uid="{18630111-93C7-4A45-972B-F91757C15FAB}"/>
    <cellStyle name="Comma 5 2 2 5 5 3" xfId="51141" xr:uid="{459424C1-E417-486C-B443-53055CA32A16}"/>
    <cellStyle name="Comma 5 2 2 5 5 4" xfId="54157" xr:uid="{8386B246-D886-4391-8924-8544C32EC197}"/>
    <cellStyle name="Comma 5 2 2 5 6" xfId="40721" xr:uid="{E1A31CE3-520F-4914-BF9A-BD647876B951}"/>
    <cellStyle name="Comma 5 2 2 5 7" xfId="46076" xr:uid="{F0764C44-A7AD-4786-BF53-276D305BBCCA}"/>
    <cellStyle name="Comma 5 2 2 5 8" xfId="50035" xr:uid="{894280F6-C453-4EDC-9936-BD97C19507D5}"/>
    <cellStyle name="Comma 5 2 2 5 9" xfId="53051" xr:uid="{F5012EF2-DFDE-4FB3-AAB1-B2E409C5C6DC}"/>
    <cellStyle name="Comma 5 2 2 6" xfId="10580" xr:uid="{8DA44A5A-DEB7-484A-823F-D6BDFEC21FFA}"/>
    <cellStyle name="Comma 5 2 2 6 2" xfId="14945" xr:uid="{1B6D4244-D2E3-4F3D-B26C-E006BBE41B28}"/>
    <cellStyle name="Comma 5 2 2 6 2 2" xfId="22492" xr:uid="{D4E9F201-52D4-4EB6-BF28-980D33709EF0}"/>
    <cellStyle name="Comma 5 2 2 6 2 3" xfId="24184" xr:uid="{B8BECFA1-03AB-49DC-90EF-B91041D11272}"/>
    <cellStyle name="Comma 5 2 2 6 2 4" xfId="51830" xr:uid="{FC208035-C506-4105-84DE-3354526602BD}"/>
    <cellStyle name="Comma 5 2 2 6 2 5" xfId="54846" xr:uid="{8AF4A4DF-CA00-404E-9453-4D189E449883}"/>
    <cellStyle name="Comma 5 2 2 6 3" xfId="15430" xr:uid="{D9F2FC7E-63BC-4579-A448-636ED017A8E8}"/>
    <cellStyle name="Comma 5 2 2 6 3 2" xfId="22969" xr:uid="{6E9EB278-0A71-43FF-B7C3-BFFEECA6D564}"/>
    <cellStyle name="Comma 5 2 2 6 3 3" xfId="48443" xr:uid="{046EEE8D-36BA-419F-8C9C-455EFB833935}"/>
    <cellStyle name="Comma 5 2 2 6 3 4" xfId="52307" xr:uid="{3431040C-4097-4728-BDB8-287011542621}"/>
    <cellStyle name="Comma 5 2 2 6 3 5" xfId="55323" xr:uid="{E833210D-A58E-4482-960B-0375BA70F717}"/>
    <cellStyle name="Comma 5 2 2 6 4" xfId="15918" xr:uid="{FED9475D-31BC-4286-8288-3D55E84C184D}"/>
    <cellStyle name="Comma 5 2 2 6 4 2" xfId="23446" xr:uid="{7D26274A-9C1F-45EC-89E6-A7E74D5BBEF5}"/>
    <cellStyle name="Comma 5 2 2 6 4 3" xfId="33345" xr:uid="{2622A0C2-6F8B-4290-8CC7-7AA75B5EC1A2}"/>
    <cellStyle name="Comma 5 2 2 6 4 4" xfId="52784" xr:uid="{0001873E-9ECF-4B37-9010-AC27E2C56797}"/>
    <cellStyle name="Comma 5 2 2 6 4 5" xfId="55800" xr:uid="{C9B85DAA-2553-4D8B-8F7C-3864AC935602}"/>
    <cellStyle name="Comma 5 2 2 6 5" xfId="13033" xr:uid="{613B1123-988C-4325-983E-EA667CE3AC43}"/>
    <cellStyle name="Comma 5 2 2 6 5 2" xfId="48579" xr:uid="{2C4C0C3D-921A-47FB-937B-777DC1AB27AB}"/>
    <cellStyle name="Comma 5 2 2 6 5 3" xfId="51353" xr:uid="{08BFDB0B-BA79-4F98-B66E-C1211BAD080B}"/>
    <cellStyle name="Comma 5 2 2 6 5 4" xfId="54369" xr:uid="{46547114-28CA-47D4-BC03-169ECC7C43B2}"/>
    <cellStyle name="Comma 5 2 2 6 6" xfId="46155" xr:uid="{D9E2AB1C-AB5D-4FD1-9D61-1293E9520E76}"/>
    <cellStyle name="Comma 5 2 2 6 7" xfId="50247" xr:uid="{957DBC81-AFF0-4E98-8D82-14640CF7D2E1}"/>
    <cellStyle name="Comma 5 2 2 6 8" xfId="53263" xr:uid="{1FF6F3D6-4972-48AD-9982-22B660C2DFE4}"/>
    <cellStyle name="Comma 5 2 2 7" xfId="14521" xr:uid="{49CE7008-87BF-419A-AA95-12A6CCE219A1}"/>
    <cellStyle name="Comma 5 2 2 7 2" xfId="22068" xr:uid="{42967F9B-4344-458F-8F49-EDA48F87F628}"/>
    <cellStyle name="Comma 5 2 2 7 3" xfId="46391" xr:uid="{30E2690C-1190-4F0C-B972-D138DB33B250}"/>
    <cellStyle name="Comma 5 2 2 7 4" xfId="51406" xr:uid="{9C5241C1-C698-4C7E-AE6B-90233C631F5C}"/>
    <cellStyle name="Comma 5 2 2 7 5" xfId="54422" xr:uid="{47F3B2E7-9514-49A9-8E6B-0C38656B3DE6}"/>
    <cellStyle name="Comma 5 2 2 8" xfId="15005" xr:uid="{4AF39227-FCBB-4951-9D83-D3D9208CA3F9}"/>
    <cellStyle name="Comma 5 2 2 8 2" xfId="22545" xr:uid="{07358A38-E533-4675-ABBF-A942CA0526CB}"/>
    <cellStyle name="Comma 5 2 2 8 3" xfId="48069" xr:uid="{734D4817-1B5E-410E-8C71-224D0496B015}"/>
    <cellStyle name="Comma 5 2 2 8 4" xfId="51883" xr:uid="{486EC3B2-8D5E-42E8-BAC7-E724226E736E}"/>
    <cellStyle name="Comma 5 2 2 8 5" xfId="54899" xr:uid="{8612BA6F-F076-462E-8A7B-055EDD74B8D5}"/>
    <cellStyle name="Comma 5 2 2 9" xfId="15492" xr:uid="{6B008498-B842-45BF-B355-709A49B0D50D}"/>
    <cellStyle name="Comma 5 2 2 9 2" xfId="23022" xr:uid="{90D62371-6B7C-4A45-A801-61B4220EFBFF}"/>
    <cellStyle name="Comma 5 2 2 9 3" xfId="47194" xr:uid="{70B33718-F10F-4A18-8C2C-64FC9F59E512}"/>
    <cellStyle name="Comma 5 2 2 9 4" xfId="52360" xr:uid="{692E85FA-3506-4CD1-B74C-EA53C493DE83}"/>
    <cellStyle name="Comma 5 2 2 9 5" xfId="55376" xr:uid="{EB111B6F-C60B-47B0-875D-863F9A1D7F15}"/>
    <cellStyle name="Comma 5 2 3" xfId="9596" xr:uid="{50C03854-21D5-4F71-8F78-63602BD26711}"/>
    <cellStyle name="Comma 5 2 3 10" xfId="52857" xr:uid="{A74C2BFC-E482-4E73-A753-7D28EF55ABA0}"/>
    <cellStyle name="Comma 5 2 3 2" xfId="10290" xr:uid="{6D1BB9E9-1FC4-44D8-B064-191687D8680B}"/>
    <cellStyle name="Comma 5 2 3 2 2" xfId="14751" xr:uid="{C980BEE4-B5B8-4DDC-AEF2-192428B9F25C}"/>
    <cellStyle name="Comma 5 2 3 2 2 2" xfId="22298" xr:uid="{F5367B2D-0CED-4FCB-B379-3B181ED3FE80}"/>
    <cellStyle name="Comma 5 2 3 2 2 3" xfId="38071" xr:uid="{8C1EEE42-FB63-4EDA-841D-F405B37C3E71}"/>
    <cellStyle name="Comma 5 2 3 2 2 4" xfId="47773" xr:uid="{BA3C1E32-B1ED-4278-B3F7-9C719CF33112}"/>
    <cellStyle name="Comma 5 2 3 2 2 5" xfId="51636" xr:uid="{9E0520CF-577A-4639-9F4F-A31C8C34F988}"/>
    <cellStyle name="Comma 5 2 3 2 2 6" xfId="54652" xr:uid="{2B5316BE-C451-4B0F-BC56-88F4FE29B9FB}"/>
    <cellStyle name="Comma 5 2 3 2 3" xfId="15236" xr:uid="{DAC254B8-94F9-4EA9-A45D-FB875916A2C2}"/>
    <cellStyle name="Comma 5 2 3 2 3 2" xfId="22775" xr:uid="{F035BA99-38E6-4699-82BD-CB6161942D4D}"/>
    <cellStyle name="Comma 5 2 3 2 3 3" xfId="43373" xr:uid="{A6006548-D29A-4AF0-A887-A7A65F16D3A7}"/>
    <cellStyle name="Comma 5 2 3 2 3 4" xfId="48071" xr:uid="{271778E6-AABF-4F94-8757-B7AEFE2B48DA}"/>
    <cellStyle name="Comma 5 2 3 2 3 5" xfId="52113" xr:uid="{04138346-BE87-42AB-8744-C9270D8D4A97}"/>
    <cellStyle name="Comma 5 2 3 2 3 6" xfId="55129" xr:uid="{929FB33C-4C3B-4E91-8522-1DD6F86A0872}"/>
    <cellStyle name="Comma 5 2 3 2 4" xfId="15723" xr:uid="{8F2D6253-4A65-4BBA-B969-94E060CD5FD4}"/>
    <cellStyle name="Comma 5 2 3 2 4 2" xfId="23252" xr:uid="{E02B01B4-119E-4C4F-B3E1-88B70F586D5B}"/>
    <cellStyle name="Comma 5 2 3 2 4 3" xfId="48369" xr:uid="{5B22981E-0011-4840-A8D5-9940871C7734}"/>
    <cellStyle name="Comma 5 2 3 2 4 4" xfId="52590" xr:uid="{12D2B93F-91E7-4F2F-9D90-BB59FF2D90A1}"/>
    <cellStyle name="Comma 5 2 3 2 4 5" xfId="55606" xr:uid="{5FB1AB60-89CC-463C-AF21-A7E5CB60236A}"/>
    <cellStyle name="Comma 5 2 3 2 5" xfId="12743" xr:uid="{F7AF142E-6F47-4E50-BD7D-9836ED368788}"/>
    <cellStyle name="Comma 5 2 3 2 5 2" xfId="46669" xr:uid="{E2D389BF-851E-4160-93D0-5CFF5B1EBDB4}"/>
    <cellStyle name="Comma 5 2 3 2 5 3" xfId="51159" xr:uid="{3F4BEC6F-032D-46BB-850B-406BFBFDCD33}"/>
    <cellStyle name="Comma 5 2 3 2 5 4" xfId="54175" xr:uid="{C51B6290-AECD-489B-8538-8ED399AFC4D7}"/>
    <cellStyle name="Comma 5 2 3 2 6" xfId="32697" xr:uid="{C1E2E659-83DD-422B-B9F2-E9205D86623B}"/>
    <cellStyle name="Comma 5 2 3 2 7" xfId="48285" xr:uid="{6152A770-5874-47ED-B287-0E107E9C7BA6}"/>
    <cellStyle name="Comma 5 2 3 2 8" xfId="50053" xr:uid="{74AF2EB0-660C-4967-B150-C9E0BDAD35A6}"/>
    <cellStyle name="Comma 5 2 3 2 9" xfId="53069" xr:uid="{C93B2019-2A19-4FED-A8B2-944880519AAE}"/>
    <cellStyle name="Comma 5 2 3 3" xfId="14539" xr:uid="{F39D72F9-9557-46BF-A3F8-EBD39ACED8AA}"/>
    <cellStyle name="Comma 5 2 3 3 2" xfId="22086" xr:uid="{A342E0B3-B784-41A5-94EE-9390665AE7E8}"/>
    <cellStyle name="Comma 5 2 3 3 3" xfId="35606" xr:uid="{9AE79273-D371-4275-BA00-E4F665B93E60}"/>
    <cellStyle name="Comma 5 2 3 3 4" xfId="47105" xr:uid="{C52ADD09-0B1B-4639-BC81-EB644EEA3E57}"/>
    <cellStyle name="Comma 5 2 3 3 5" xfId="51424" xr:uid="{F02E425F-05A9-428C-B22B-0F5904ADF536}"/>
    <cellStyle name="Comma 5 2 3 3 6" xfId="54440" xr:uid="{FEEA798B-33AC-4442-B616-4B80FC051C1B}"/>
    <cellStyle name="Comma 5 2 3 4" xfId="15023" xr:uid="{3B4A5863-CC88-4AC3-9CAF-03078791EBE7}"/>
    <cellStyle name="Comma 5 2 3 4 2" xfId="22563" xr:uid="{493BD8B5-BE07-42A8-86B7-B8988D21FE0A}"/>
    <cellStyle name="Comma 5 2 3 4 3" xfId="40722" xr:uid="{65545CB8-94BE-485E-B016-313D2DB7745B}"/>
    <cellStyle name="Comma 5 2 3 4 4" xfId="24453" xr:uid="{23FAF648-EA1E-4124-BDF9-88626FFADA8A}"/>
    <cellStyle name="Comma 5 2 3 4 5" xfId="51901" xr:uid="{0A7266E2-11A5-4B3F-8F20-F06BC9F808B6}"/>
    <cellStyle name="Comma 5 2 3 4 6" xfId="54917" xr:uid="{EF458F9C-DA9A-4FBC-92E5-A92EDC9A1E0F}"/>
    <cellStyle name="Comma 5 2 3 5" xfId="15510" xr:uid="{2369D434-F1F9-4608-A8D4-4F075A7906DB}"/>
    <cellStyle name="Comma 5 2 3 5 2" xfId="23040" xr:uid="{776A06B0-0E75-4502-AD99-A6B04E714A8E}"/>
    <cellStyle name="Comma 5 2 3 5 3" xfId="47496" xr:uid="{E64659FC-85A2-452A-8479-DC4006AE1DC1}"/>
    <cellStyle name="Comma 5 2 3 5 4" xfId="52378" xr:uid="{1AC9B89A-86EC-421E-B336-78527F891559}"/>
    <cellStyle name="Comma 5 2 3 5 5" xfId="55394" xr:uid="{961987BB-CEFF-42A1-BBB5-77EDAEEA7DB9}"/>
    <cellStyle name="Comma 5 2 3 6" xfId="12449" xr:uid="{83DE88FB-19E8-41EA-AF9F-9664DE06AE7A}"/>
    <cellStyle name="Comma 5 2 3 6 2" xfId="46308" xr:uid="{B8B96DD5-2A3C-4AD2-94A0-B5CA06BE6EE8}"/>
    <cellStyle name="Comma 5 2 3 6 3" xfId="50948" xr:uid="{D194C9BF-E0E0-47F1-9644-C2E52DDB028A}"/>
    <cellStyle name="Comma 5 2 3 6 4" xfId="53964" xr:uid="{72EDE9D4-6CD4-423E-B472-EF2C6C4D26A4}"/>
    <cellStyle name="Comma 5 2 3 7" xfId="23782" xr:uid="{FF7A90BF-FF76-48B0-89CF-C3B2DEA4540B}"/>
    <cellStyle name="Comma 5 2 3 8" xfId="46015" xr:uid="{EE6315DC-40C4-4937-AD7C-C9791BE7E533}"/>
    <cellStyle name="Comma 5 2 3 9" xfId="49841" xr:uid="{B0187AF5-56CC-4B14-8DC9-2F46F75AFA73}"/>
    <cellStyle name="Comma 5 2 4" xfId="10056" xr:uid="{C4069BCA-A5B7-4F29-A0B1-ECA15B1217A2}"/>
    <cellStyle name="Comma 5 2 4 10" xfId="49894" xr:uid="{33EAE686-EA25-4669-8296-E45768B06696}"/>
    <cellStyle name="Comma 5 2 4 11" xfId="52910" xr:uid="{0458471D-51FB-41D4-A4E8-6990527F5DB9}"/>
    <cellStyle name="Comma 5 2 4 2" xfId="10364" xr:uid="{A6215F48-FDD1-48BC-93B5-89FA066F9783}"/>
    <cellStyle name="Comma 5 2 4 2 2" xfId="14804" xr:uid="{BBAFE08A-AD90-4DF0-A498-CD44583A6E1E}"/>
    <cellStyle name="Comma 5 2 4 2 2 2" xfId="22351" xr:uid="{958DCDE1-098D-494A-94A0-55FACB23ECAC}"/>
    <cellStyle name="Comma 5 2 4 2 2 3" xfId="32529" xr:uid="{19F697EF-22D9-4BCF-9E7F-5B0782256049}"/>
    <cellStyle name="Comma 5 2 4 2 2 4" xfId="51689" xr:uid="{B9FE0B50-CEA8-41C5-A162-BB0E92AFC3E2}"/>
    <cellStyle name="Comma 5 2 4 2 2 5" xfId="54705" xr:uid="{225DC529-9366-4FC6-8DCB-CC0381649C93}"/>
    <cellStyle name="Comma 5 2 4 2 3" xfId="15289" xr:uid="{E15B2E7A-25A2-49CD-9124-6676EBB36B37}"/>
    <cellStyle name="Comma 5 2 4 2 3 2" xfId="22828" xr:uid="{ECF68901-B307-4DAE-B2B7-885B94EF1D7D}"/>
    <cellStyle name="Comma 5 2 4 2 3 3" xfId="46511" xr:uid="{0435EAD2-17B5-44AE-BF21-213D6054A031}"/>
    <cellStyle name="Comma 5 2 4 2 3 4" xfId="52166" xr:uid="{E931E63A-C4FA-4A9D-A8FF-90571ED4EA3C}"/>
    <cellStyle name="Comma 5 2 4 2 3 5" xfId="55182" xr:uid="{04955AEF-2B39-4FBA-BF03-A7D2187DC0E9}"/>
    <cellStyle name="Comma 5 2 4 2 4" xfId="15776" xr:uid="{12890C0C-32AB-4233-B30D-96A01FBBDF1B}"/>
    <cellStyle name="Comma 5 2 4 2 4 2" xfId="23305" xr:uid="{D539287A-3DB2-46B1-ACCE-0C8E5FB7B52D}"/>
    <cellStyle name="Comma 5 2 4 2 4 3" xfId="48424" xr:uid="{0EA2B448-D075-4F26-9AA5-682C04967CC9}"/>
    <cellStyle name="Comma 5 2 4 2 4 4" xfId="52643" xr:uid="{2821CF4D-94C5-4C4F-AC6E-615711DD318B}"/>
    <cellStyle name="Comma 5 2 4 2 4 5" xfId="55659" xr:uid="{28CFD29E-2A66-42DE-856F-EC0A2447801D}"/>
    <cellStyle name="Comma 5 2 4 2 5" xfId="12817" xr:uid="{82A8E2E4-0FB0-48CD-905D-DC0CAAD275B6}"/>
    <cellStyle name="Comma 5 2 4 2 5 2" xfId="48398" xr:uid="{5FF7B483-8D8A-4EA7-85E6-07FC9E52C3E4}"/>
    <cellStyle name="Comma 5 2 4 2 5 3" xfId="51212" xr:uid="{5B7F88EF-E84B-4D7E-9787-BCC26B1E02FD}"/>
    <cellStyle name="Comma 5 2 4 2 5 4" xfId="54228" xr:uid="{3A222E0D-00A6-44B6-BF7D-B0764E395DB8}"/>
    <cellStyle name="Comma 5 2 4 2 6" xfId="24270" xr:uid="{C4A25583-F554-463A-A7E6-946FD816114C}"/>
    <cellStyle name="Comma 5 2 4 2 7" xfId="50106" xr:uid="{895049B6-95CD-4771-8B5C-CAB569EA54C4}"/>
    <cellStyle name="Comma 5 2 4 2 8" xfId="53122" xr:uid="{BA49433E-0B74-470B-AB30-D9EF60B3DEB6}"/>
    <cellStyle name="Comma 5 2 4 3" xfId="14592" xr:uid="{66F19166-3091-4303-ABEC-A92465260795}"/>
    <cellStyle name="Comma 5 2 4 3 2" xfId="22139" xr:uid="{8AF28FB0-4A9B-48CD-8B1D-1336D05868F7}"/>
    <cellStyle name="Comma 5 2 4 3 3" xfId="34059" xr:uid="{DA064177-ED00-484A-A6B1-BB6C59A4A382}"/>
    <cellStyle name="Comma 5 2 4 3 4" xfId="51477" xr:uid="{11D62483-174E-41BF-B4A7-6A2A18645664}"/>
    <cellStyle name="Comma 5 2 4 3 5" xfId="54493" xr:uid="{3D9E76C0-4E0D-4372-8749-F58C10E6F5CC}"/>
    <cellStyle name="Comma 5 2 4 4" xfId="15077" xr:uid="{D09A8F74-0FBA-4B56-BA85-FC83EA4917A9}"/>
    <cellStyle name="Comma 5 2 4 4 2" xfId="22616" xr:uid="{803AFE50-4337-45FF-BE19-4534B8B295E1}"/>
    <cellStyle name="Comma 5 2 4 4 3" xfId="47695" xr:uid="{9D0944FA-61BB-469B-B36F-60B264200027}"/>
    <cellStyle name="Comma 5 2 4 4 4" xfId="51954" xr:uid="{1D6E51EB-611C-4425-AF4F-C9B4DB73BC6B}"/>
    <cellStyle name="Comma 5 2 4 4 5" xfId="54970" xr:uid="{F6EE7696-4F52-49D1-B18C-F60BAFCFD4D8}"/>
    <cellStyle name="Comma 5 2 4 5" xfId="15564" xr:uid="{39EAF0F3-BCE8-4CA8-A279-445926C0CA0F}"/>
    <cellStyle name="Comma 5 2 4 5 2" xfId="23093" xr:uid="{DE79FEC9-D2E5-467F-A529-D0578B3BC2A4}"/>
    <cellStyle name="Comma 5 2 4 5 3" xfId="47134" xr:uid="{234CD9EF-9AA1-4209-99CD-80CE1ED286C4}"/>
    <cellStyle name="Comma 5 2 4 5 4" xfId="52431" xr:uid="{BEFEF129-CDF7-4375-B3CA-D73F93E31173}"/>
    <cellStyle name="Comma 5 2 4 5 5" xfId="55447" xr:uid="{AF8611B3-D2CC-4F1F-B843-C8E224F7BE3C}"/>
    <cellStyle name="Comma 5 2 4 6" xfId="12515" xr:uid="{2F1AA215-F834-4661-82F0-4163E21BDA86}"/>
    <cellStyle name="Comma 5 2 4 6 2" xfId="36623" xr:uid="{7CC261A0-FB4E-4CCB-85D0-529F9EE8A65F}"/>
    <cellStyle name="Comma 5 2 4 6 3" xfId="51000" xr:uid="{9D1A94AD-3163-42D9-B339-382D0E63FAAE}"/>
    <cellStyle name="Comma 5 2 4 6 4" xfId="54016" xr:uid="{EA5B06BC-28F0-47A8-B0C2-E4ED1CBCACEA}"/>
    <cellStyle name="Comma 5 2 4 7" xfId="23783" xr:uid="{0B4216EA-C8C5-485B-9EFC-747DC5D4BFEE}"/>
    <cellStyle name="Comma 5 2 4 8" xfId="48660" xr:uid="{56654D49-A3E8-4D03-829A-6E296C8CAA32}"/>
    <cellStyle name="Comma 5 2 4 9" xfId="49568" xr:uid="{CD51B0FF-D456-47A7-9E5A-41BC78C02EE0}"/>
    <cellStyle name="Comma 5 2 5" xfId="10130" xr:uid="{27E979B5-D378-4EB5-BD18-F8A7A489733F}"/>
    <cellStyle name="Comma 5 2 5 10" xfId="52963" xr:uid="{52FFE364-3BFD-4C53-B0E6-64B546729D82}"/>
    <cellStyle name="Comma 5 2 5 2" xfId="10444" xr:uid="{4CB56CAD-1314-41C5-B19D-49DAE2ED3102}"/>
    <cellStyle name="Comma 5 2 5 2 2" xfId="14857" xr:uid="{05589D3D-8CE8-430D-A866-6D0FD7D8269E}"/>
    <cellStyle name="Comma 5 2 5 2 2 2" xfId="22404" xr:uid="{099E899D-0FDA-44E5-A679-BCABCDA2E9F2}"/>
    <cellStyle name="Comma 5 2 5 2 2 3" xfId="38072" xr:uid="{64D2ADE5-3A3A-4E01-8D45-713B4634659A}"/>
    <cellStyle name="Comma 5 2 5 2 2 4" xfId="47485" xr:uid="{EF07F07A-A8BB-49D1-ACBD-3B14C7EF4451}"/>
    <cellStyle name="Comma 5 2 5 2 2 5" xfId="51742" xr:uid="{1F4E8DC3-5A32-43D3-A0AF-5E9B95AD8D0E}"/>
    <cellStyle name="Comma 5 2 5 2 2 6" xfId="54758" xr:uid="{682D636F-DAC7-44C5-99EA-A94E6C8ABB7C}"/>
    <cellStyle name="Comma 5 2 5 2 3" xfId="15342" xr:uid="{5418AE1D-0855-4C1D-873C-D569B1E13D41}"/>
    <cellStyle name="Comma 5 2 5 2 3 2" xfId="22881" xr:uid="{AEE15EF0-D9B8-4D54-A362-3188A364A3AB}"/>
    <cellStyle name="Comma 5 2 5 2 3 3" xfId="43374" xr:uid="{48109D3B-46A9-478D-A742-E844A8564488}"/>
    <cellStyle name="Comma 5 2 5 2 3 4" xfId="24176" xr:uid="{04BED61C-E37C-44C2-9278-DA92AA6D7F7A}"/>
    <cellStyle name="Comma 5 2 5 2 3 5" xfId="52219" xr:uid="{1E557913-2E14-4A76-954E-A99EFF4DFBCE}"/>
    <cellStyle name="Comma 5 2 5 2 3 6" xfId="55235" xr:uid="{46276763-9B17-4FF2-84C3-DE8A76AC7226}"/>
    <cellStyle name="Comma 5 2 5 2 4" xfId="15829" xr:uid="{5BF62E85-6880-4463-9EE0-70C6BEE9F053}"/>
    <cellStyle name="Comma 5 2 5 2 4 2" xfId="23358" xr:uid="{DC2338F1-9E62-4039-9F39-6FE7E8A2D140}"/>
    <cellStyle name="Comma 5 2 5 2 4 3" xfId="46593" xr:uid="{E8C1146F-3949-4E48-A3FC-92B2CE62EE9F}"/>
    <cellStyle name="Comma 5 2 5 2 4 4" xfId="52696" xr:uid="{834F1909-A708-45E2-A8F2-0BDE45708049}"/>
    <cellStyle name="Comma 5 2 5 2 4 5" xfId="55712" xr:uid="{CB89AACC-CF7D-44CC-A200-B7A1FF3F5107}"/>
    <cellStyle name="Comma 5 2 5 2 5" xfId="12897" xr:uid="{E4C6D153-59E6-4260-B3BB-A33EB6AFD8E9}"/>
    <cellStyle name="Comma 5 2 5 2 5 2" xfId="47023" xr:uid="{88C1517B-8670-4C48-AD89-A74EFB8DB221}"/>
    <cellStyle name="Comma 5 2 5 2 5 3" xfId="51265" xr:uid="{3CE5EB11-9010-40BC-A454-B9E863BD0DFB}"/>
    <cellStyle name="Comma 5 2 5 2 5 4" xfId="54281" xr:uid="{F07BC737-C0BC-48E8-9382-2AD80B4DFD7E}"/>
    <cellStyle name="Comma 5 2 5 2 6" xfId="32698" xr:uid="{EE24B260-8B14-457C-AB2B-DFD92B4E9EA5}"/>
    <cellStyle name="Comma 5 2 5 2 7" xfId="46122" xr:uid="{8598C51D-EE52-45C9-B0BF-FBC75D61AD7F}"/>
    <cellStyle name="Comma 5 2 5 2 8" xfId="50159" xr:uid="{DFB147FE-27EB-4F80-8AC1-89CE04143AAD}"/>
    <cellStyle name="Comma 5 2 5 2 9" xfId="53175" xr:uid="{8E377EA9-78DC-4CCB-88EF-8A02CC18DE15}"/>
    <cellStyle name="Comma 5 2 5 3" xfId="14645" xr:uid="{33CBD0CB-DBF6-4111-AB39-7CD474B9AB02}"/>
    <cellStyle name="Comma 5 2 5 3 2" xfId="22192" xr:uid="{87664DCB-92A6-401F-BF76-365E96BCF0EC}"/>
    <cellStyle name="Comma 5 2 5 3 3" xfId="35607" xr:uid="{3F8A358D-9B64-4A6E-9406-1077C8AA29DA}"/>
    <cellStyle name="Comma 5 2 5 3 4" xfId="48060" xr:uid="{1B935399-26E4-4048-8596-D73F002F0603}"/>
    <cellStyle name="Comma 5 2 5 3 5" xfId="51530" xr:uid="{B1C6FD6D-CFB6-4200-B4D2-309D002A13D3}"/>
    <cellStyle name="Comma 5 2 5 3 6" xfId="54546" xr:uid="{80FD5FD0-050A-4ABB-A9F9-7769C6B5B2C6}"/>
    <cellStyle name="Comma 5 2 5 4" xfId="15130" xr:uid="{02CAAF77-6D29-4B49-80CF-5E48FCB55385}"/>
    <cellStyle name="Comma 5 2 5 4 2" xfId="22669" xr:uid="{5ED7F303-9EC4-43B4-9ECF-57D4857CBC21}"/>
    <cellStyle name="Comma 5 2 5 4 3" xfId="40723" xr:uid="{2ADB6D3E-43CF-40EA-B769-D75A01DC8179}"/>
    <cellStyle name="Comma 5 2 5 4 4" xfId="46884" xr:uid="{1AA33556-68E3-4C39-B408-0D601E1DCFDB}"/>
    <cellStyle name="Comma 5 2 5 4 5" xfId="52007" xr:uid="{E22C212C-FDA8-4080-B53F-919191F902E8}"/>
    <cellStyle name="Comma 5 2 5 4 6" xfId="55023" xr:uid="{B92D4F07-9A96-4DA6-99EB-2F26A59DCF9E}"/>
    <cellStyle name="Comma 5 2 5 5" xfId="15617" xr:uid="{68178AC2-58C3-458D-A379-D4B507BD66FB}"/>
    <cellStyle name="Comma 5 2 5 5 2" xfId="23146" xr:uid="{26C04343-B988-4143-83D3-19F900434AB9}"/>
    <cellStyle name="Comma 5 2 5 5 3" xfId="46558" xr:uid="{D9E0ADD8-CCC2-4C89-8D08-C21CC1FF51DD}"/>
    <cellStyle name="Comma 5 2 5 5 4" xfId="52484" xr:uid="{3F0B5684-1D02-41E3-953D-3698C5051106}"/>
    <cellStyle name="Comma 5 2 5 5 5" xfId="55500" xr:uid="{523F2D9E-0517-4342-AF2F-FB4115F6125D}"/>
    <cellStyle name="Comma 5 2 5 6" xfId="12587" xr:uid="{442F3023-49C7-4442-8997-A6E17E3DFE89}"/>
    <cellStyle name="Comma 5 2 5 6 2" xfId="46665" xr:uid="{8B368116-1D84-43BE-B946-D5355F4D2BD2}"/>
    <cellStyle name="Comma 5 2 5 6 3" xfId="51053" xr:uid="{B9513C2D-FE3E-4D0F-87BF-FD4EE0B6EE07}"/>
    <cellStyle name="Comma 5 2 5 6 4" xfId="54069" xr:uid="{B38B84F2-80F7-4B00-A5C5-28DCF388239A}"/>
    <cellStyle name="Comma 5 2 5 7" xfId="23784" xr:uid="{65498EDF-350F-495D-9D80-CC7289AD584C}"/>
    <cellStyle name="Comma 5 2 5 8" xfId="47278" xr:uid="{EE3A3FC4-6590-4C25-A4E3-2EF7F76B5791}"/>
    <cellStyle name="Comma 5 2 5 9" xfId="49947" xr:uid="{29CEAF0B-A3B5-4D7D-9FA0-2ED5CB50A93D}"/>
    <cellStyle name="Comma 5 2 6" xfId="10210" xr:uid="{4F61F508-34C4-4D07-BDA5-E416FD06D5AC}"/>
    <cellStyle name="Comma 5 2 6 2" xfId="14698" xr:uid="{4C826ACE-7702-48DE-8FF3-3587E44A05AB}"/>
    <cellStyle name="Comma 5 2 6 2 2" xfId="22245" xr:uid="{57DF110B-C508-4669-9005-501EB7268424}"/>
    <cellStyle name="Comma 5 2 6 2 2 2" xfId="38073" xr:uid="{FE7451BD-1D0A-4816-887F-EE5476D3CB2F}"/>
    <cellStyle name="Comma 5 2 6 2 3" xfId="43375" xr:uid="{37FAF040-E23C-4EBA-A5D1-7A5C184C8B09}"/>
    <cellStyle name="Comma 5 2 6 2 4" xfId="32699" xr:uid="{14C7AF23-EA61-462C-8C3E-B48B6BDC91B4}"/>
    <cellStyle name="Comma 5 2 6 2 5" xfId="32409" xr:uid="{A1AE352F-FCC2-4B78-98C2-CCF089D79131}"/>
    <cellStyle name="Comma 5 2 6 2 6" xfId="51583" xr:uid="{875C338C-AA29-4B7B-9C68-FC5B832634C0}"/>
    <cellStyle name="Comma 5 2 6 2 7" xfId="54599" xr:uid="{4B914942-AE28-4A46-94C0-1B9F8DA0432D}"/>
    <cellStyle name="Comma 5 2 6 3" xfId="15183" xr:uid="{F35DC1A7-CE52-43E2-BA95-40FB332B8F50}"/>
    <cellStyle name="Comma 5 2 6 3 2" xfId="22722" xr:uid="{04AE1FDC-8702-4E8F-A7F5-8FE1A0DF361E}"/>
    <cellStyle name="Comma 5 2 6 3 3" xfId="35608" xr:uid="{3BE5EB00-9B48-4613-9B1D-E4B35858A2FF}"/>
    <cellStyle name="Comma 5 2 6 3 4" xfId="32460" xr:uid="{27C1586A-AD54-40A7-B16A-7182DA22C971}"/>
    <cellStyle name="Comma 5 2 6 3 5" xfId="52060" xr:uid="{70BD0F38-A62C-48B5-B782-0A2E711A1B01}"/>
    <cellStyle name="Comma 5 2 6 3 6" xfId="55076" xr:uid="{FB6AF4EA-6A6F-4042-9088-8BC05E9EA82B}"/>
    <cellStyle name="Comma 5 2 6 4" xfId="15670" xr:uid="{62103D7C-9DF3-4EE4-A006-0A33BC8CA319}"/>
    <cellStyle name="Comma 5 2 6 4 2" xfId="23199" xr:uid="{9A0628C3-758B-4577-8923-5F5E7A6DB727}"/>
    <cellStyle name="Comma 5 2 6 4 3" xfId="40724" xr:uid="{8A846698-1447-440C-8E5A-1157FE1D6C09}"/>
    <cellStyle name="Comma 5 2 6 4 4" xfId="47728" xr:uid="{E3373BDC-4BE3-4745-AC95-C4F586856D8F}"/>
    <cellStyle name="Comma 5 2 6 4 5" xfId="52537" xr:uid="{BF9EB301-2FF9-4186-8649-FB44FE519C78}"/>
    <cellStyle name="Comma 5 2 6 4 6" xfId="55553" xr:uid="{3885E91F-F8B4-4FDC-B09C-6014D2CA2A39}"/>
    <cellStyle name="Comma 5 2 6 5" xfId="12663" xr:uid="{5FE32130-6330-4245-8728-235F51ACA46A}"/>
    <cellStyle name="Comma 5 2 6 5 2" xfId="47228" xr:uid="{A0D8532A-E686-490D-8387-9D894C32563B}"/>
    <cellStyle name="Comma 5 2 6 5 3" xfId="51106" xr:uid="{765FF8B0-8979-476F-85EC-CDF54A068680}"/>
    <cellStyle name="Comma 5 2 6 5 4" xfId="54122" xr:uid="{E606A1B7-94D0-4167-903E-3934558C48BA}"/>
    <cellStyle name="Comma 5 2 6 6" xfId="23785" xr:uid="{BF521A54-C2D0-46F1-99F3-2D30B83684E0}"/>
    <cellStyle name="Comma 5 2 6 7" xfId="47876" xr:uid="{E58B1213-6811-4311-9111-7391AB808A94}"/>
    <cellStyle name="Comma 5 2 6 8" xfId="50000" xr:uid="{4C7E2FB3-E110-4E90-8744-9EE1AABE8E51}"/>
    <cellStyle name="Comma 5 2 6 9" xfId="53016" xr:uid="{A1FC49D7-A815-4877-A494-D41F00C4FDAB}"/>
    <cellStyle name="Comma 5 2 7" xfId="10524" xr:uid="{22840352-4D40-43C5-9691-54EB746BB77B}"/>
    <cellStyle name="Comma 5 2 7 2" xfId="14910" xr:uid="{61F8AD3B-AC4A-4657-AA2F-D2B3C26AF867}"/>
    <cellStyle name="Comma 5 2 7 2 2" xfId="22457" xr:uid="{ED4968BD-A30C-4BD1-A208-C38DFB276243}"/>
    <cellStyle name="Comma 5 2 7 2 2 2" xfId="38074" xr:uid="{80DEE437-EF22-47EA-BB7B-CD58C93D1632}"/>
    <cellStyle name="Comma 5 2 7 2 3" xfId="43376" xr:uid="{0D2A12B4-3C80-4A43-9050-9E3B9682C831}"/>
    <cellStyle name="Comma 5 2 7 2 4" xfId="32700" xr:uid="{A8424D21-7A18-4BEC-B7F8-F20109B9053A}"/>
    <cellStyle name="Comma 5 2 7 2 5" xfId="48266" xr:uid="{40A4DFAC-DCDB-4EDE-9F09-3D4CE7BD357F}"/>
    <cellStyle name="Comma 5 2 7 2 6" xfId="51795" xr:uid="{E39217AA-FA17-48A3-AD2F-9FCE73CA7415}"/>
    <cellStyle name="Comma 5 2 7 2 7" xfId="54811" xr:uid="{040CAC89-32F3-4C9B-8F6D-0823CBC4DC76}"/>
    <cellStyle name="Comma 5 2 7 3" xfId="15395" xr:uid="{DF54E8CB-ADE2-41D0-9150-6F557692079D}"/>
    <cellStyle name="Comma 5 2 7 3 2" xfId="22934" xr:uid="{39DBCC04-E9EE-4418-974B-534FDE183709}"/>
    <cellStyle name="Comma 5 2 7 3 3" xfId="35609" xr:uid="{8E8ACB30-A68E-4319-927F-D04DC275172A}"/>
    <cellStyle name="Comma 5 2 7 3 4" xfId="46528" xr:uid="{3FA259D4-FFC0-4537-BB69-329269565677}"/>
    <cellStyle name="Comma 5 2 7 3 5" xfId="52272" xr:uid="{BF294433-0A67-431C-9077-33BF044133E8}"/>
    <cellStyle name="Comma 5 2 7 3 6" xfId="55288" xr:uid="{ABDBA491-EA03-402D-BF05-486028151229}"/>
    <cellStyle name="Comma 5 2 7 4" xfId="15882" xr:uid="{D845B783-95FF-49FB-9A19-F135B3C8A5BF}"/>
    <cellStyle name="Comma 5 2 7 4 2" xfId="23411" xr:uid="{2FF47164-80CF-4839-8C67-E3A22BFE9D17}"/>
    <cellStyle name="Comma 5 2 7 4 3" xfId="40725" xr:uid="{A1362ADE-DFC1-4ADC-A91C-9D23DCCA81FD}"/>
    <cellStyle name="Comma 5 2 7 4 4" xfId="47556" xr:uid="{E108277C-AF67-4CAB-B47A-EAD20DF316B8}"/>
    <cellStyle name="Comma 5 2 7 4 5" xfId="52749" xr:uid="{9C663968-2A79-42BB-9EAB-10341114F040}"/>
    <cellStyle name="Comma 5 2 7 4 6" xfId="55765" xr:uid="{F99589F1-4BA0-4F91-9DF9-D34769A2E80B}"/>
    <cellStyle name="Comma 5 2 7 5" xfId="12977" xr:uid="{3D7C9667-47B8-4507-94A4-C60A75226208}"/>
    <cellStyle name="Comma 5 2 7 5 2" xfId="48057" xr:uid="{74110A5B-67C3-47C2-9C13-16698211D562}"/>
    <cellStyle name="Comma 5 2 7 5 3" xfId="51318" xr:uid="{256FA719-5EB7-447F-8FE7-C4E366F02CEB}"/>
    <cellStyle name="Comma 5 2 7 5 4" xfId="54334" xr:uid="{5A01547E-CDFD-43FC-9D7E-A95362763CE0}"/>
    <cellStyle name="Comma 5 2 7 6" xfId="23786" xr:uid="{B3A9E9B2-A950-4A86-A587-2FF00607A8E8}"/>
    <cellStyle name="Comma 5 2 7 7" xfId="47654" xr:uid="{DCC6AE17-CD72-4BC0-8D30-BDD42EC76393}"/>
    <cellStyle name="Comma 5 2 7 8" xfId="50212" xr:uid="{940AD59D-5573-440C-833B-E8A0E3000731}"/>
    <cellStyle name="Comma 5 2 7 9" xfId="53228" xr:uid="{2D3941D3-3529-4B03-AC67-734EFE6A78A9}"/>
    <cellStyle name="Comma 5 2 8" xfId="14486" xr:uid="{764231D7-C39A-44ED-8902-DD7FA3750DDE}"/>
    <cellStyle name="Comma 5 2 8 2" xfId="22033" xr:uid="{72B2B4DD-BE0D-4920-9F0A-EE64B0372F2F}"/>
    <cellStyle name="Comma 5 2 8 2 2" xfId="38069" xr:uid="{30B1E3D6-8013-4604-A885-9DA852A3EE55}"/>
    <cellStyle name="Comma 5 2 8 3" xfId="43371" xr:uid="{CFB13121-B3AB-4158-85F9-CE561B1E3F5B}"/>
    <cellStyle name="Comma 5 2 8 4" xfId="32695" xr:uid="{E2A340ED-BE86-470B-AB1D-33C771447C5F}"/>
    <cellStyle name="Comma 5 2 8 5" xfId="32414" xr:uid="{ED5922D5-1D0D-460A-BA53-CF1335E3813A}"/>
    <cellStyle name="Comma 5 2 8 6" xfId="51371" xr:uid="{B9CB850E-F5D5-418D-87B3-408E51A636B7}"/>
    <cellStyle name="Comma 5 2 8 7" xfId="54387" xr:uid="{BD67E6F7-7F5E-4958-BEE2-F1A161063B09}"/>
    <cellStyle name="Comma 5 2 9" xfId="14966" xr:uid="{1B9D0E57-58BB-48D7-8FC2-135C0DD09D3C}"/>
    <cellStyle name="Comma 5 2 9 2" xfId="22510" xr:uid="{C9211E3C-B556-4DE1-BCA4-928707816504}"/>
    <cellStyle name="Comma 5 2 9 3" xfId="35604" xr:uid="{D32279DB-B52A-4143-B180-6BFD750EF1D9}"/>
    <cellStyle name="Comma 5 2 9 4" xfId="48412" xr:uid="{51C50AD1-D4C8-4B93-98EB-AE3E47C080EE}"/>
    <cellStyle name="Comma 5 2 9 5" xfId="51848" xr:uid="{E31BEB5A-883F-479C-8DD4-DD2BF1907018}"/>
    <cellStyle name="Comma 5 2 9 6" xfId="54864" xr:uid="{E1D9757B-6F2D-4162-A743-C569D1FAB278}"/>
    <cellStyle name="Comma 5 3" xfId="2629" xr:uid="{62BEAAA4-2164-4072-AAD4-244577425C4E}"/>
    <cellStyle name="Comma 5 3 2" xfId="4545" xr:uid="{3B0AA891-FA99-4C99-8666-A275B1C4CFAF}"/>
    <cellStyle name="Comma 5 3 2 2" xfId="35066" xr:uid="{754B4673-A67B-4A1C-95B0-068F47F9122C}"/>
    <cellStyle name="Comma 5 3 2 2 2" xfId="40227" xr:uid="{52CB88A9-B6F4-4A78-8030-24FF490E270A}"/>
    <cellStyle name="Comma 5 3 2 2 3" xfId="45529" xr:uid="{ABF84611-5D69-4884-A42E-CCFF38CB6931}"/>
    <cellStyle name="Comma 5 3 2 3" xfId="37576" xr:uid="{63C106F2-7D87-4BA8-95EF-E65532F888B3}"/>
    <cellStyle name="Comma 5 3 2 4" xfId="42878" xr:uid="{13FAFC9E-74F9-4E08-9AFC-E07513AAC616}"/>
    <cellStyle name="Comma 5 3 2 5" xfId="9882" xr:uid="{7430387F-61E3-427C-AD48-9E4917BBB6F6}"/>
    <cellStyle name="Comma 5 3 3" xfId="5826" xr:uid="{E81F8B88-167F-4D79-8CB5-310EF5CC7C5B}"/>
    <cellStyle name="Comma 5 3 3 2" xfId="12360" xr:uid="{C4D5008A-2DCF-4DB6-A017-8B23F3AB2783}"/>
    <cellStyle name="Comma 5 3 4" xfId="11701" xr:uid="{9A6958AD-D84E-4A1D-9070-1E99CE3F68F9}"/>
    <cellStyle name="Comma 5 3 4 2" xfId="21721" xr:uid="{BF39F6A7-9F15-4217-A4FA-9DDDEB6C1302}"/>
    <cellStyle name="Comma 5 3 4 3" xfId="24227" xr:uid="{A31B359C-735E-44D9-934B-110BB438C8B5}"/>
    <cellStyle name="Comma 5 3 4 4" xfId="50748" xr:uid="{962A3E6E-0BF6-4EC7-B1D9-70BDA8B8C6BA}"/>
    <cellStyle name="Comma 5 3 4 5" xfId="53764" xr:uid="{8D56E89A-4744-4BB8-A1CE-02B2F8539C41}"/>
    <cellStyle name="Comma 5 3 5" xfId="19493" xr:uid="{5ACA217C-07C8-47C3-A585-3986C0575CA0}"/>
    <cellStyle name="Comma 5 3 6" xfId="23787" xr:uid="{BF909E80-9850-4FB5-B33C-BB92E62CD20F}"/>
    <cellStyle name="Comma 5 3 7" xfId="48661" xr:uid="{BAF1319A-83BC-4176-8EFC-887046D89337}"/>
    <cellStyle name="Comma 5 3 8" xfId="49569" xr:uid="{D4D45E7E-9B08-4756-828B-87602A8E9BDC}"/>
    <cellStyle name="Comma 5 3 9" xfId="8425" xr:uid="{6FAB90ED-0552-4471-8D23-04EDF9B9CB31}"/>
    <cellStyle name="Comma 5 4" xfId="7719" xr:uid="{13FB64E2-4542-4B8F-9656-A492ACAA8109}"/>
    <cellStyle name="Comma 5 4 10" xfId="15461" xr:uid="{E3A1640C-8614-49DD-A91E-9E9A74983F28}"/>
    <cellStyle name="Comma 5 4 10 2" xfId="22993" xr:uid="{6E97AC68-00E9-4887-AB49-CE9A9203C324}"/>
    <cellStyle name="Comma 5 4 10 3" xfId="47569" xr:uid="{DF5358C6-4C3B-4B16-BE03-76EC73311F03}"/>
    <cellStyle name="Comma 5 4 10 4" xfId="52331" xr:uid="{6624EDE0-0744-496E-BE06-912BA663F136}"/>
    <cellStyle name="Comma 5 4 10 5" xfId="55347" xr:uid="{5F5FA368-B56B-426D-982A-A3C98227AEEB}"/>
    <cellStyle name="Comma 5 4 10 6" xfId="19326" xr:uid="{49FC980E-8512-4869-ADF4-28C53B4499BC}"/>
    <cellStyle name="Comma 5 4 11" xfId="11198" xr:uid="{0841D578-16B4-4DB9-90CB-CE34D6728D50}"/>
    <cellStyle name="Comma 5 4 11 2" xfId="21694" xr:uid="{79DB4454-5DEE-4D2F-998C-F379D717A456}"/>
    <cellStyle name="Comma 5 4 11 3" xfId="47158" xr:uid="{2D7251E4-5793-4753-84D4-E892E4F96E76}"/>
    <cellStyle name="Comma 5 4 11 4" xfId="50711" xr:uid="{E983BEFB-CBAB-45D5-BC67-796A62F33717}"/>
    <cellStyle name="Comma 5 4 11 5" xfId="53727" xr:uid="{AE38524C-6130-4C74-A05E-D828027F64B7}"/>
    <cellStyle name="Comma 5 4 12" xfId="19494" xr:uid="{16176B31-FAF5-4E6B-ACFA-EA6FF01F224F}"/>
    <cellStyle name="Comma 5 4 13" xfId="23788" xr:uid="{AE9DEFFE-3D6C-4151-94B8-F7BEB1631F62}"/>
    <cellStyle name="Comma 5 4 14" xfId="47378" xr:uid="{74E4CAF7-04EF-46D4-96D6-3C0712C890CD}"/>
    <cellStyle name="Comma 5 4 15" xfId="48662" xr:uid="{F9B656FD-374E-468C-B02C-143214615A99}"/>
    <cellStyle name="Comma 5 4 16" xfId="49570" xr:uid="{3A31B160-F378-41BD-8C93-77A2AB2027EE}"/>
    <cellStyle name="Comma 5 4 17" xfId="49794" xr:uid="{1E9C77A2-28B3-4B8D-B9A5-ECF86ADD4670}"/>
    <cellStyle name="Comma 5 4 18" xfId="52809" xr:uid="{5EB2F481-9293-42C5-8251-9CDA28104AF3}"/>
    <cellStyle name="Comma 5 4 19" xfId="15946" xr:uid="{037B03C9-FC04-417E-8436-9518F2235009}"/>
    <cellStyle name="Comma 5 4 2" xfId="9877" xr:uid="{32369DA9-027D-4B4C-AF1F-9499C47C0454}"/>
    <cellStyle name="Comma 5 4 2 10" xfId="18738" xr:uid="{10F4A68C-B709-4EA6-8C0B-29A89F4DABDB}"/>
    <cellStyle name="Comma 5 4 2 2" xfId="10300" xr:uid="{DDAAAAF2-B39A-418C-A775-DF8817338685}"/>
    <cellStyle name="Comma 5 4 2 2 2" xfId="14757" xr:uid="{39555467-AF97-48B1-B967-162CD47004F9}"/>
    <cellStyle name="Comma 5 4 2 2 2 2" xfId="22304" xr:uid="{D8594808-9A6B-4837-BBD6-3687F6B2F168}"/>
    <cellStyle name="Comma 5 4 2 2 2 3" xfId="48351" xr:uid="{5CEDA2D8-DFB5-4549-8318-43098BB43DEB}"/>
    <cellStyle name="Comma 5 4 2 2 2 4" xfId="51642" xr:uid="{17CBC2D6-AB66-4C38-B7EA-E7610EBBCA0E}"/>
    <cellStyle name="Comma 5 4 2 2 2 5" xfId="54658" xr:uid="{9922076C-9E33-4089-9E2B-11FA626E4316}"/>
    <cellStyle name="Comma 5 4 2 2 2 6" xfId="19116" xr:uid="{566139B0-B759-409D-AD24-1104BEAA135E}"/>
    <cellStyle name="Comma 5 4 2 2 3" xfId="15242" xr:uid="{E65EC174-9C01-42E4-97E6-C65A4019FAFE}"/>
    <cellStyle name="Comma 5 4 2 2 3 2" xfId="22781" xr:uid="{5D180EB0-3562-4A38-8FEE-AA9C93B3C9AE}"/>
    <cellStyle name="Comma 5 4 2 2 3 3" xfId="36579" xr:uid="{5C77EC69-F3DF-42DF-8E10-87351B03101B}"/>
    <cellStyle name="Comma 5 4 2 2 3 4" xfId="52119" xr:uid="{37497C6B-E36D-4D94-AB18-95E206FCD175}"/>
    <cellStyle name="Comma 5 4 2 2 3 5" xfId="55135" xr:uid="{41EB76E3-A9A0-4B0B-AFF7-2B9A787E212D}"/>
    <cellStyle name="Comma 5 4 2 2 3 6" xfId="19259" xr:uid="{CD0DB6BF-AC87-4E38-9725-AD7A2231F478}"/>
    <cellStyle name="Comma 5 4 2 2 4" xfId="15729" xr:uid="{0AAE3A00-4492-499E-B69E-4A8DC78B50EB}"/>
    <cellStyle name="Comma 5 4 2 2 4 2" xfId="23258" xr:uid="{5AA6C2A3-15D7-4DBD-B4EB-DCDCF52976A2}"/>
    <cellStyle name="Comma 5 4 2 2 4 3" xfId="47501" xr:uid="{95673370-7761-4EC7-9932-ABAE7B8BF2EE}"/>
    <cellStyle name="Comma 5 4 2 2 4 4" xfId="52596" xr:uid="{A941B67B-72E4-4406-930C-68D2F371DCE7}"/>
    <cellStyle name="Comma 5 4 2 2 4 5" xfId="55612" xr:uid="{6C79A067-3CB0-4C3E-9195-2420E345E497}"/>
    <cellStyle name="Comma 5 4 2 2 4 6" xfId="19404" xr:uid="{AF8C01D3-CEBD-4DCE-8DED-672A70168147}"/>
    <cellStyle name="Comma 5 4 2 2 5" xfId="12753" xr:uid="{B266042B-E237-4F30-8B27-2943C41ED0EF}"/>
    <cellStyle name="Comma 5 4 2 2 5 2" xfId="48493" xr:uid="{EED8110C-0062-402E-BAF9-13DAD3BC02FD}"/>
    <cellStyle name="Comma 5 4 2 2 5 3" xfId="51165" xr:uid="{90C14AE4-C48C-42DE-A961-438624C00EB3}"/>
    <cellStyle name="Comma 5 4 2 2 5 4" xfId="54181" xr:uid="{A376B1DF-8B20-43B2-93FA-090D68E20638}"/>
    <cellStyle name="Comma 5 4 2 2 5 5" xfId="21974" xr:uid="{97F47AF4-E20C-4D25-9BB0-15945F1F7074}"/>
    <cellStyle name="Comma 5 4 2 2 6" xfId="47558" xr:uid="{437BAD43-D757-4560-BA74-DD50218BF6F5}"/>
    <cellStyle name="Comma 5 4 2 2 7" xfId="50059" xr:uid="{B006CE82-2DAD-4181-8030-69B0461BD9B2}"/>
    <cellStyle name="Comma 5 4 2 2 8" xfId="53075" xr:uid="{6A8CB80F-BD7B-4D5C-BA20-42B1E00CC338}"/>
    <cellStyle name="Comma 5 4 2 2 9" xfId="18883" xr:uid="{D2FAD731-4780-41BB-B536-CA45957BF13D}"/>
    <cellStyle name="Comma 5 4 2 3" xfId="14545" xr:uid="{2376AAE0-C977-48AA-AF10-E37DC811552F}"/>
    <cellStyle name="Comma 5 4 2 3 2" xfId="22092" xr:uid="{6801ED82-E057-4D73-B266-2414A8F5A2B3}"/>
    <cellStyle name="Comma 5 4 2 3 3" xfId="24194" xr:uid="{EC1E83DD-57F5-4361-A68B-FB833B010E3C}"/>
    <cellStyle name="Comma 5 4 2 3 4" xfId="51430" xr:uid="{D2EF862A-17EC-4A10-AB7D-7C3B55A81707}"/>
    <cellStyle name="Comma 5 4 2 3 5" xfId="54446" xr:uid="{D1F84DCE-9EA7-498B-85B7-AF32D0DF0935}"/>
    <cellStyle name="Comma 5 4 2 3 6" xfId="19056" xr:uid="{03D0FB5B-6AF4-47CB-B71F-84467765FB4E}"/>
    <cellStyle name="Comma 5 4 2 4" xfId="15029" xr:uid="{287C08E3-27BF-4FF7-B1BF-D27129125FAE}"/>
    <cellStyle name="Comma 5 4 2 4 2" xfId="22569" xr:uid="{F40ACC0E-E30B-47C3-958F-2F6A1F88347A}"/>
    <cellStyle name="Comma 5 4 2 4 3" xfId="47054" xr:uid="{C868C44E-8CEE-40D2-A4CC-F12F72C90BAF}"/>
    <cellStyle name="Comma 5 4 2 4 4" xfId="51907" xr:uid="{068EA129-F717-4272-8D18-B5B815BF36C0}"/>
    <cellStyle name="Comma 5 4 2 4 5" xfId="54923" xr:uid="{8364C268-928C-4676-AEF3-220E7B88900F}"/>
    <cellStyle name="Comma 5 4 2 4 6" xfId="19198" xr:uid="{4E9CBD5F-7C64-4130-B246-C115D7B24A7B}"/>
    <cellStyle name="Comma 5 4 2 5" xfId="15516" xr:uid="{8581A297-1CC4-42F1-8BD3-DF04E7BEBE9F}"/>
    <cellStyle name="Comma 5 4 2 5 2" xfId="23046" xr:uid="{CDDE33E9-E05E-4E65-A7D0-AA6522E19433}"/>
    <cellStyle name="Comma 5 4 2 5 3" xfId="48077" xr:uid="{FACC0420-ADAB-4891-8E39-BD676ECF2BB4}"/>
    <cellStyle name="Comma 5 4 2 5 4" xfId="52384" xr:uid="{AF218906-6D5D-4BD4-BBD7-7A2ECE61B3E8}"/>
    <cellStyle name="Comma 5 4 2 5 5" xfId="55400" xr:uid="{D5CD6CFD-515B-495F-90F3-82347BC01A2D}"/>
    <cellStyle name="Comma 5 4 2 5 6" xfId="19343" xr:uid="{C3E7D670-8907-4375-80E3-05A11AD6CA92}"/>
    <cellStyle name="Comma 5 4 2 6" xfId="12456" xr:uid="{85CF6103-B86C-414D-B109-B301284BCE34}"/>
    <cellStyle name="Comma 5 4 2 6 2" xfId="24537" xr:uid="{E860DD88-6749-404B-AF66-DAD5DBEE44AB}"/>
    <cellStyle name="Comma 5 4 2 6 3" xfId="50953" xr:uid="{D75D8921-DC94-4D0F-AAF4-3FC75F3530EF}"/>
    <cellStyle name="Comma 5 4 2 6 4" xfId="53969" xr:uid="{3488CA18-A5A1-4CF8-88CD-373CC5C70A67}"/>
    <cellStyle name="Comma 5 4 2 6 5" xfId="21912" xr:uid="{C8D6D14B-7072-448E-A87D-EFDAC5D583BD}"/>
    <cellStyle name="Comma 5 4 2 7" xfId="47421" xr:uid="{26A10EE5-C8A7-4DB7-8CED-A850AA1AB1F0}"/>
    <cellStyle name="Comma 5 4 2 8" xfId="49847" xr:uid="{E69A860E-6BA2-4D22-953F-D59BEB68DB1A}"/>
    <cellStyle name="Comma 5 4 2 9" xfId="52863" xr:uid="{ACEF2698-E28E-4592-BDAB-E530E1B8C520}"/>
    <cellStyle name="Comma 5 4 3" xfId="10066" xr:uid="{B13EF069-6DDD-4300-842E-CBAE4D37D1CB}"/>
    <cellStyle name="Comma 5 4 3 10" xfId="18769" xr:uid="{D5F9A99F-9825-4B32-9F1E-5645A4CBB0A3}"/>
    <cellStyle name="Comma 5 4 3 2" xfId="10375" xr:uid="{6C16D051-EC2F-47DA-949B-2D0FDF139240}"/>
    <cellStyle name="Comma 5 4 3 2 2" xfId="14810" xr:uid="{B14CD7E8-607C-4A19-BC11-E5A3CE877B8D}"/>
    <cellStyle name="Comma 5 4 3 2 2 2" xfId="22357" xr:uid="{FB093C90-1AA5-4CBD-B36C-91E34A3D56BF}"/>
    <cellStyle name="Comma 5 4 3 2 2 3" xfId="32528" xr:uid="{1FDF9DCE-02AE-481D-B71E-BAF8B1FD71AF}"/>
    <cellStyle name="Comma 5 4 3 2 2 4" xfId="51695" xr:uid="{E29D1384-B700-4F8A-9C53-3242F18B2258}"/>
    <cellStyle name="Comma 5 4 3 2 2 5" xfId="54711" xr:uid="{EC03578B-A524-4C6E-99DE-5C07B7988FF3}"/>
    <cellStyle name="Comma 5 4 3 2 2 6" xfId="19131" xr:uid="{BEB3217B-462D-4FDF-AD89-D280BB5076E0}"/>
    <cellStyle name="Comma 5 4 3 2 3" xfId="15295" xr:uid="{B505E1F2-5EAA-4041-A7B4-F8A53B37C683}"/>
    <cellStyle name="Comma 5 4 3 2 3 2" xfId="22834" xr:uid="{F419C346-7CDE-4C55-B96A-56107F07CED7}"/>
    <cellStyle name="Comma 5 4 3 2 3 3" xfId="46512" xr:uid="{80E3A08B-A212-41CB-A8AA-4A2388A5B86F}"/>
    <cellStyle name="Comma 5 4 3 2 3 4" xfId="52172" xr:uid="{82020EFF-6FA2-483C-8F54-FD2D9E211C3F}"/>
    <cellStyle name="Comma 5 4 3 2 3 5" xfId="55188" xr:uid="{B04C3D2F-0571-4A4E-AFC0-FED40CCA898A}"/>
    <cellStyle name="Comma 5 4 3 2 3 6" xfId="19274" xr:uid="{C4FB2B60-0769-46DC-9877-459F8A95D43B}"/>
    <cellStyle name="Comma 5 4 3 2 4" xfId="15782" xr:uid="{4ABD9331-118B-4DE9-B315-EECF4D98AA19}"/>
    <cellStyle name="Comma 5 4 3 2 4 2" xfId="23311" xr:uid="{3757D9B2-5369-42F5-9B5F-B24E75C58C50}"/>
    <cellStyle name="Comma 5 4 3 2 4 3" xfId="47553" xr:uid="{059E251F-20A8-44B7-9CBA-CF5B63F8FBE8}"/>
    <cellStyle name="Comma 5 4 3 2 4 4" xfId="52649" xr:uid="{192D3EA4-BFCA-4CEF-8E32-57152C11DB1A}"/>
    <cellStyle name="Comma 5 4 3 2 4 5" xfId="55665" xr:uid="{E046377C-8A93-42E6-B8BB-639CFF1EBC40}"/>
    <cellStyle name="Comma 5 4 3 2 4 6" xfId="19419" xr:uid="{8CCCFB1B-18FE-4B6C-BC06-BC37878D7DEC}"/>
    <cellStyle name="Comma 5 4 3 2 5" xfId="12828" xr:uid="{248D5B2C-2757-4745-85F3-DFA2C15AB014}"/>
    <cellStyle name="Comma 5 4 3 2 5 2" xfId="47921" xr:uid="{8C27009B-BC85-4ECD-AD43-C020B755968B}"/>
    <cellStyle name="Comma 5 4 3 2 5 3" xfId="51218" xr:uid="{60082E7F-3ED6-4B48-AE80-B50C29E65F8F}"/>
    <cellStyle name="Comma 5 4 3 2 5 4" xfId="54234" xr:uid="{D47A7F21-FE9A-4D21-BDD7-3409AB355CE1}"/>
    <cellStyle name="Comma 5 4 3 2 5 5" xfId="21989" xr:uid="{4DAC537E-5E35-44E1-8387-23985E6F72BF}"/>
    <cellStyle name="Comma 5 4 3 2 6" xfId="47583" xr:uid="{7F348826-D1EF-405C-BBB3-3E0F9D7A51DB}"/>
    <cellStyle name="Comma 5 4 3 2 7" xfId="50112" xr:uid="{92185048-3667-46D1-AC99-1DB05F0F9CE8}"/>
    <cellStyle name="Comma 5 4 3 2 8" xfId="53128" xr:uid="{00590DE1-C135-4844-9BB4-5C9FAEC15CB3}"/>
    <cellStyle name="Comma 5 4 3 2 9" xfId="18920" xr:uid="{C1AA83F8-E698-4D1D-8690-B18044CF6A8D}"/>
    <cellStyle name="Comma 5 4 3 3" xfId="14598" xr:uid="{472D4363-3AF9-41D3-846D-252B4AC9140E}"/>
    <cellStyle name="Comma 5 4 3 3 2" xfId="22145" xr:uid="{C895DE65-2ABD-42D1-99A3-AF61B7835644}"/>
    <cellStyle name="Comma 5 4 3 3 3" xfId="47512" xr:uid="{58F20803-EC59-40E7-80D8-94E0DC41ED28}"/>
    <cellStyle name="Comma 5 4 3 3 4" xfId="51483" xr:uid="{DA068634-DD3A-404E-A41C-13245F108C42}"/>
    <cellStyle name="Comma 5 4 3 3 5" xfId="54499" xr:uid="{5020857D-424D-46AA-97A6-85EE9B088379}"/>
    <cellStyle name="Comma 5 4 3 3 6" xfId="19071" xr:uid="{8C63D55E-1630-4E68-B223-9156B081A441}"/>
    <cellStyle name="Comma 5 4 3 4" xfId="15083" xr:uid="{5F72C047-0B07-4110-B821-79004430AC23}"/>
    <cellStyle name="Comma 5 4 3 4 2" xfId="22622" xr:uid="{896985CF-CCBA-4290-BE44-040D3110B2AD}"/>
    <cellStyle name="Comma 5 4 3 4 3" xfId="48275" xr:uid="{A5F255C7-B087-4461-B367-48DF48B131B2}"/>
    <cellStyle name="Comma 5 4 3 4 4" xfId="51960" xr:uid="{9710D836-8CCA-499F-A822-82E68F4B1A8A}"/>
    <cellStyle name="Comma 5 4 3 4 5" xfId="54976" xr:uid="{C600173C-BC97-4D6A-9551-D843EEDCFC63}"/>
    <cellStyle name="Comma 5 4 3 4 6" xfId="19214" xr:uid="{C518B03F-327B-4482-BB7B-DEADDF861527}"/>
    <cellStyle name="Comma 5 4 3 5" xfId="15570" xr:uid="{E3CEFAA4-92E6-40E0-B97B-9E6C38A7A37E}"/>
    <cellStyle name="Comma 5 4 3 5 2" xfId="23099" xr:uid="{092550DA-06C3-445F-A5CF-794A74B234B7}"/>
    <cellStyle name="Comma 5 4 3 5 3" xfId="47726" xr:uid="{A3B78B90-EC41-4A00-B04D-A5967898B070}"/>
    <cellStyle name="Comma 5 4 3 5 4" xfId="52437" xr:uid="{29222594-0BED-44F5-AA79-9DD849C663FB}"/>
    <cellStyle name="Comma 5 4 3 5 5" xfId="55453" xr:uid="{4D06CAA9-1C93-42EC-BE23-ED6EA28358DA}"/>
    <cellStyle name="Comma 5 4 3 5 6" xfId="19359" xr:uid="{B5DE5F1D-8A26-472D-8606-D40D076A6B6D}"/>
    <cellStyle name="Comma 5 4 3 6" xfId="12525" xr:uid="{7B4BF71D-03B5-48F8-A4ED-439D594603A7}"/>
    <cellStyle name="Comma 5 4 3 6 2" xfId="36312" xr:uid="{7EBBCE73-0B06-4AF4-8793-EB2F6BB83872}"/>
    <cellStyle name="Comma 5 4 3 6 3" xfId="51006" xr:uid="{496F3628-6EAC-407B-9C10-4110BB724FAB}"/>
    <cellStyle name="Comma 5 4 3 6 4" xfId="54022" xr:uid="{CA5D681D-7D5F-4976-BF63-4B933809A68D}"/>
    <cellStyle name="Comma 5 4 3 6 5" xfId="21929" xr:uid="{7F8903BA-5CFD-46C0-9DAB-D4245483F83F}"/>
    <cellStyle name="Comma 5 4 3 7" xfId="47205" xr:uid="{D761C128-6C51-4964-8CDA-6B3821534C06}"/>
    <cellStyle name="Comma 5 4 3 8" xfId="49900" xr:uid="{2635AD35-178A-4118-946E-6E7F513D658F}"/>
    <cellStyle name="Comma 5 4 3 9" xfId="52916" xr:uid="{5F112D12-9B3A-49BD-B00B-A4DB22DE9F69}"/>
    <cellStyle name="Comma 5 4 4" xfId="10141" xr:uid="{FD7F70B2-54C6-4CDE-ADEE-9E86AA2613D3}"/>
    <cellStyle name="Comma 5 4 4 10" xfId="18803" xr:uid="{7B841085-BF0F-478B-ADE2-0E8508214CE1}"/>
    <cellStyle name="Comma 5 4 4 2" xfId="10455" xr:uid="{5EF0BC95-2926-480D-9092-687AD8A6AA2E}"/>
    <cellStyle name="Comma 5 4 4 2 2" xfId="14863" xr:uid="{207FEE10-17A8-4E50-A0E1-10187ABCE4EB}"/>
    <cellStyle name="Comma 5 4 4 2 2 2" xfId="22410" xr:uid="{C9EF12E7-1DBA-4C20-9B1F-E90F5FB57FC8}"/>
    <cellStyle name="Comma 5 4 4 2 2 3" xfId="48066" xr:uid="{45C0CF9E-697B-4A52-A869-098E3F90A17E}"/>
    <cellStyle name="Comma 5 4 4 2 2 4" xfId="51748" xr:uid="{4C6F5A81-53D0-4EAD-BD42-E5C12B925BB0}"/>
    <cellStyle name="Comma 5 4 4 2 2 5" xfId="54764" xr:uid="{66006CD4-051A-434D-87BD-BB1A1AD62616}"/>
    <cellStyle name="Comma 5 4 4 2 2 6" xfId="19146" xr:uid="{72D8F030-F87D-4DF1-A58D-E054968B6B28}"/>
    <cellStyle name="Comma 5 4 4 2 3" xfId="15348" xr:uid="{EE6CED55-B394-4BFE-87CE-BE0A7086F6C4}"/>
    <cellStyle name="Comma 5 4 4 2 3 2" xfId="22887" xr:uid="{F152E65A-1810-4B76-9365-3A96CD7EE926}"/>
    <cellStyle name="Comma 5 4 4 2 3 3" xfId="24173" xr:uid="{9EF72287-CAC8-4593-A578-7828C0BEAEA0}"/>
    <cellStyle name="Comma 5 4 4 2 3 4" xfId="52225" xr:uid="{320EDC16-2904-43FA-95C8-3AD0F708E03C}"/>
    <cellStyle name="Comma 5 4 4 2 3 5" xfId="55241" xr:uid="{7F1634A6-E12B-4AAD-99BE-2D17ECD6BF69}"/>
    <cellStyle name="Comma 5 4 4 2 3 6" xfId="19289" xr:uid="{D6DEDE92-E572-4584-A54F-A985E5DBED1F}"/>
    <cellStyle name="Comma 5 4 4 2 4" xfId="15835" xr:uid="{0C2CE56D-8B10-425D-98C3-1D221B4EB978}"/>
    <cellStyle name="Comma 5 4 4 2 4 2" xfId="23364" xr:uid="{6AF55E0A-62C1-4964-88D4-AE3A2747142B}"/>
    <cellStyle name="Comma 5 4 4 2 4 3" xfId="46594" xr:uid="{1D6578C9-FBFF-400E-8861-75D5A31A419A}"/>
    <cellStyle name="Comma 5 4 4 2 4 4" xfId="52702" xr:uid="{C49C7677-AE49-4EBE-B3F4-DF04EE6E271B}"/>
    <cellStyle name="Comma 5 4 4 2 4 5" xfId="55718" xr:uid="{4C884505-3777-4D48-9F21-23699566CE4F}"/>
    <cellStyle name="Comma 5 4 4 2 4 6" xfId="19434" xr:uid="{E7C62589-CACA-4C95-9249-91A5268DE0C8}"/>
    <cellStyle name="Comma 5 4 4 2 5" xfId="12908" xr:uid="{63BCF34D-AC38-4B2E-8F7F-355E3F405C86}"/>
    <cellStyle name="Comma 5 4 4 2 5 2" xfId="46368" xr:uid="{0B34359A-63D4-4E80-B3CC-BD4909E37C2B}"/>
    <cellStyle name="Comma 5 4 4 2 5 3" xfId="51271" xr:uid="{9C9301A6-7F88-4906-BB9B-368C9734F630}"/>
    <cellStyle name="Comma 5 4 4 2 5 4" xfId="54287" xr:uid="{23CDDAD1-69AF-4792-BBB3-8897CD2F42C8}"/>
    <cellStyle name="Comma 5 4 4 2 5 5" xfId="22004" xr:uid="{B30EFF41-738D-4F15-BB54-D31DF7D263D2}"/>
    <cellStyle name="Comma 5 4 4 2 6" xfId="48160" xr:uid="{8FDA1AF8-F3E3-4AC7-93E9-F20B6E277399}"/>
    <cellStyle name="Comma 5 4 4 2 7" xfId="50165" xr:uid="{4FA1BBCE-93DF-42E5-8BE2-4D9384A0303A}"/>
    <cellStyle name="Comma 5 4 4 2 8" xfId="53181" xr:uid="{93DA3674-F49F-4351-A925-2E3C83D2FFAD}"/>
    <cellStyle name="Comma 5 4 4 2 9" xfId="18962" xr:uid="{DFD197BD-335D-4369-97CB-D58E2DC49C05}"/>
    <cellStyle name="Comma 5 4 4 3" xfId="14651" xr:uid="{EA63F4DC-884F-475E-A36A-A6D3CB221E1B}"/>
    <cellStyle name="Comma 5 4 4 3 2" xfId="22198" xr:uid="{0F96C1BC-F4BA-4362-8665-593A0C068A9C}"/>
    <cellStyle name="Comma 5 4 4 3 3" xfId="47408" xr:uid="{9C18B50D-DB1F-4250-B037-A4DF5D5F0C6A}"/>
    <cellStyle name="Comma 5 4 4 3 4" xfId="51536" xr:uid="{7DA46ED2-5A63-49AC-8C9B-B0CA1359772F}"/>
    <cellStyle name="Comma 5 4 4 3 5" xfId="54552" xr:uid="{42CA9463-2C94-49CF-B29F-F22DCDA0AABA}"/>
    <cellStyle name="Comma 5 4 4 3 6" xfId="19086" xr:uid="{BDD4DF9A-846D-48F3-B010-E4EBBBEAE8D5}"/>
    <cellStyle name="Comma 5 4 4 4" xfId="15136" xr:uid="{A3043137-2007-42A6-861A-BD2DB4F4CC48}"/>
    <cellStyle name="Comma 5 4 4 4 2" xfId="22675" xr:uid="{1F6364BD-C598-43CB-B78A-A71A61A51D4D}"/>
    <cellStyle name="Comma 5 4 4 4 3" xfId="46885" xr:uid="{E1052BD5-1127-4C36-B282-953AE39B5BB5}"/>
    <cellStyle name="Comma 5 4 4 4 4" xfId="52013" xr:uid="{619905C6-EC0D-45B0-8EDB-1A31801E9E0D}"/>
    <cellStyle name="Comma 5 4 4 4 5" xfId="55029" xr:uid="{99D17DFC-8F19-4CC9-8E63-B8514A5417A9}"/>
    <cellStyle name="Comma 5 4 4 4 6" xfId="19229" xr:uid="{24484FA9-15E8-49D7-A82D-0EBD6C6F233A}"/>
    <cellStyle name="Comma 5 4 4 5" xfId="15623" xr:uid="{4CEA48DF-FA7A-40A5-BF1B-59E0FFD36561}"/>
    <cellStyle name="Comma 5 4 4 5 2" xfId="23152" xr:uid="{68368C10-7214-4020-8815-C1CC48715687}"/>
    <cellStyle name="Comma 5 4 4 5 3" xfId="46559" xr:uid="{2FF170DB-4B5D-410F-9E6F-F62B7EAB536C}"/>
    <cellStyle name="Comma 5 4 4 5 4" xfId="52490" xr:uid="{68A14ED3-637A-412F-B70F-EF8C69A10157}"/>
    <cellStyle name="Comma 5 4 4 5 5" xfId="55506" xr:uid="{FE63A844-73FA-4A1D-AD96-DDEDD6FDDCCE}"/>
    <cellStyle name="Comma 5 4 4 5 6" xfId="19374" xr:uid="{C485F14C-7DAA-4BA7-9427-4133BFE08E05}"/>
    <cellStyle name="Comma 5 4 4 6" xfId="12597" xr:uid="{1F91F18C-5D31-4905-9E68-81D427451748}"/>
    <cellStyle name="Comma 5 4 4 6 2" xfId="48197" xr:uid="{531C3030-A31D-4EB6-8125-8E1153A0B317}"/>
    <cellStyle name="Comma 5 4 4 6 3" xfId="51059" xr:uid="{B576A19A-CFE6-486A-8671-962C24A13AEF}"/>
    <cellStyle name="Comma 5 4 4 6 4" xfId="54075" xr:uid="{E27114A1-2208-45F9-87B0-2B48AB761C8D}"/>
    <cellStyle name="Comma 5 4 4 6 5" xfId="21944" xr:uid="{096ED0D7-E056-4563-AFAD-FB6A83A0E173}"/>
    <cellStyle name="Comma 5 4 4 7" xfId="47872" xr:uid="{4AD7ACD5-BB6E-482C-B783-E0F1B2D45C08}"/>
    <cellStyle name="Comma 5 4 4 8" xfId="49953" xr:uid="{49CA20B2-B93D-4149-A104-9F2510787407}"/>
    <cellStyle name="Comma 5 4 4 9" xfId="52969" xr:uid="{EF0AF75C-6EBC-41B3-AE50-960FF9DFA155}"/>
    <cellStyle name="Comma 5 4 5" xfId="10221" xr:uid="{851CC8E1-D4EC-413D-9D61-015ECA74443F}"/>
    <cellStyle name="Comma 5 4 5 2" xfId="14704" xr:uid="{C9047ED9-C75E-44FD-A699-FA5393B9FEDE}"/>
    <cellStyle name="Comma 5 4 5 2 2" xfId="22251" xr:uid="{83C3395C-A27A-40F9-B24F-5B32712C52FE}"/>
    <cellStyle name="Comma 5 4 5 2 3" xfId="24963" xr:uid="{05507BA5-954D-4F8C-83AF-EA0BBDF9CB71}"/>
    <cellStyle name="Comma 5 4 5 2 4" xfId="51589" xr:uid="{4AAC9DC7-8A75-4287-9643-08F7638986F4}"/>
    <cellStyle name="Comma 5 4 5 2 5" xfId="54605" xr:uid="{570D784A-8BE0-47C5-A241-31A0E2EBF091}"/>
    <cellStyle name="Comma 5 4 5 2 6" xfId="19101" xr:uid="{10A35BE8-4BF6-4C2C-A054-8DECA81D9A37}"/>
    <cellStyle name="Comma 5 4 5 3" xfId="15189" xr:uid="{7D63E0C0-1D4F-438F-AE87-1801DEBBBC67}"/>
    <cellStyle name="Comma 5 4 5 3 2" xfId="22728" xr:uid="{E6235116-ECA5-4D4A-9318-8145A65E7A10}"/>
    <cellStyle name="Comma 5 4 5 3 3" xfId="46494" xr:uid="{3394FD02-3E41-4FEE-9C95-13D8BE753A3E}"/>
    <cellStyle name="Comma 5 4 5 3 4" xfId="52066" xr:uid="{E9167D8B-801A-4DBD-BB6B-46FE4A7A9D26}"/>
    <cellStyle name="Comma 5 4 5 3 5" xfId="55082" xr:uid="{3FADC1EE-9BE4-4010-8614-1815626A1C2F}"/>
    <cellStyle name="Comma 5 4 5 3 6" xfId="19244" xr:uid="{22D364A4-5DE6-46D0-A624-24AAC547E0DB}"/>
    <cellStyle name="Comma 5 4 5 4" xfId="15676" xr:uid="{F6E76BA9-CF53-461E-94D6-DF973DEFD084}"/>
    <cellStyle name="Comma 5 4 5 4 2" xfId="23205" xr:uid="{827B358B-BA37-4545-A47C-498DAD11A9D2}"/>
    <cellStyle name="Comma 5 4 5 4 3" xfId="48309" xr:uid="{49B6931B-07C7-490F-AA25-20DB7BD01446}"/>
    <cellStyle name="Comma 5 4 5 4 4" xfId="52543" xr:uid="{F42AC149-49BB-4A7E-9317-1C2607F19221}"/>
    <cellStyle name="Comma 5 4 5 4 5" xfId="55559" xr:uid="{B553ACB3-5F85-4F4F-9941-84B6309A0766}"/>
    <cellStyle name="Comma 5 4 5 4 6" xfId="19389" xr:uid="{1C125921-2A64-47B8-A074-B0BDC4917713}"/>
    <cellStyle name="Comma 5 4 5 5" xfId="12674" xr:uid="{E957D5CE-0ECE-41DC-8B65-452A9D834731}"/>
    <cellStyle name="Comma 5 4 5 5 2" xfId="32426" xr:uid="{AA11317A-9F25-435C-94E1-AFC5366F8B3A}"/>
    <cellStyle name="Comma 5 4 5 5 3" xfId="51112" xr:uid="{CEACD443-B8F1-4758-83E3-AADA7E014CC8}"/>
    <cellStyle name="Comma 5 4 5 5 4" xfId="54128" xr:uid="{03C48911-3FF4-4647-9469-7A3AA3534B06}"/>
    <cellStyle name="Comma 5 4 5 5 5" xfId="21959" xr:uid="{B8E39E8F-AEED-449B-842A-42ED1CBE3969}"/>
    <cellStyle name="Comma 5 4 5 6" xfId="46068" xr:uid="{DD6A6163-0F8E-4C61-A1EA-C04096B38FFD}"/>
    <cellStyle name="Comma 5 4 5 7" xfId="50006" xr:uid="{21AD3F5B-3A54-4976-ABB4-155294991402}"/>
    <cellStyle name="Comma 5 4 5 8" xfId="53022" xr:uid="{40BE1033-7311-4FBE-9A15-FBF4D46305FE}"/>
    <cellStyle name="Comma 5 4 5 9" xfId="18842" xr:uid="{396E5219-8FD1-497C-9918-AAFDB7B52683}"/>
    <cellStyle name="Comma 5 4 6" xfId="10535" xr:uid="{104F8EC1-4C21-4A01-AE51-B6D03E7E9DBA}"/>
    <cellStyle name="Comma 5 4 6 2" xfId="14916" xr:uid="{6CBB4536-307C-465B-9588-328C81F3F55D}"/>
    <cellStyle name="Comma 5 4 6 2 2" xfId="22463" xr:uid="{3603871C-BB43-4F09-8EB8-DDDD978861FC}"/>
    <cellStyle name="Comma 5 4 6 2 3" xfId="24933" xr:uid="{F8F7575B-27D1-4B13-82F1-151F5778E456}"/>
    <cellStyle name="Comma 5 4 6 2 4" xfId="51801" xr:uid="{1E0C9E26-0588-483F-BFAC-AF201957C2F6}"/>
    <cellStyle name="Comma 5 4 6 2 5" xfId="54817" xr:uid="{794A1A94-8DBF-42A5-90E4-095CC28E5182}"/>
    <cellStyle name="Comma 5 4 6 2 6" xfId="19161" xr:uid="{E74A22FB-305A-4FFA-AA7E-5906A9F79C08}"/>
    <cellStyle name="Comma 5 4 6 3" xfId="15401" xr:uid="{60CA9B96-FBFB-4BC8-9DEE-708C969AB973}"/>
    <cellStyle name="Comma 5 4 6 3 2" xfId="22940" xr:uid="{5A3BC653-AAAA-4870-8AF2-DC5173928B8A}"/>
    <cellStyle name="Comma 5 4 6 3 3" xfId="46529" xr:uid="{58455213-348F-4B31-8F25-8B6E9AB32D4D}"/>
    <cellStyle name="Comma 5 4 6 3 4" xfId="52278" xr:uid="{2641CF6E-0F31-4DA0-B3FC-D15887FF4457}"/>
    <cellStyle name="Comma 5 4 6 3 5" xfId="55294" xr:uid="{62A82B28-F44B-4F27-91FC-C555B952FD29}"/>
    <cellStyle name="Comma 5 4 6 3 6" xfId="19304" xr:uid="{F4244E11-E558-4493-BCFE-3091F103FAC5}"/>
    <cellStyle name="Comma 5 4 6 4" xfId="15889" xr:uid="{AFA6A597-0554-42E6-89D4-32A4FF4A537B}"/>
    <cellStyle name="Comma 5 4 6 4 2" xfId="23417" xr:uid="{995A7535-F8E1-4A73-953C-B12074062FCF}"/>
    <cellStyle name="Comma 5 4 6 4 3" xfId="32357" xr:uid="{4BAC26FB-3D14-4394-9CC3-2044683F5482}"/>
    <cellStyle name="Comma 5 4 6 4 4" xfId="52755" xr:uid="{1CC43539-7F13-4CDD-A733-2648FB624B61}"/>
    <cellStyle name="Comma 5 4 6 4 5" xfId="55771" xr:uid="{96539893-B8F6-4313-81BC-EE33D9E4C79C}"/>
    <cellStyle name="Comma 5 4 6 4 6" xfId="19450" xr:uid="{FC951C75-CAF9-4DE4-A555-220A0FF5D227}"/>
    <cellStyle name="Comma 5 4 6 5" xfId="12988" xr:uid="{94666DA3-3268-4963-B91A-2081E986F744}"/>
    <cellStyle name="Comma 5 4 6 5 2" xfId="46819" xr:uid="{17069A94-6757-4854-B15B-27C018670432}"/>
    <cellStyle name="Comma 5 4 6 5 3" xfId="51324" xr:uid="{C223CBB1-2421-42E8-A8E2-6FFB36B26550}"/>
    <cellStyle name="Comma 5 4 6 5 4" xfId="54340" xr:uid="{B989208B-8E4D-4E9B-9045-341ED875DB53}"/>
    <cellStyle name="Comma 5 4 6 5 5" xfId="22019" xr:uid="{BF795996-7BB0-4EC7-BCEB-63769C9A9CCA}"/>
    <cellStyle name="Comma 5 4 6 6" xfId="46146" xr:uid="{CC81DB0F-AAB3-4405-804D-1BB2A64D6790}"/>
    <cellStyle name="Comma 5 4 6 7" xfId="50218" xr:uid="{974E61E0-1C1B-4DC8-8007-CC3A555ABEE4}"/>
    <cellStyle name="Comma 5 4 6 8" xfId="53234" xr:uid="{7D0FA43A-E324-4DE1-8881-61FA33694839}"/>
    <cellStyle name="Comma 5 4 6 9" xfId="19004" xr:uid="{4F19E544-4B54-450F-BE36-046CC7A759CF}"/>
    <cellStyle name="Comma 5 4 7" xfId="12423" xr:uid="{BD3E7626-34D1-4719-8639-09B7A3A0E814}"/>
    <cellStyle name="Comma 5 4 7 2" xfId="21908" xr:uid="{4124F64A-00D9-4084-B5EF-936A1B113697}"/>
    <cellStyle name="Comma 5 4 7 3" xfId="46306" xr:uid="{CAB23DAF-5886-4959-A3CE-612E81AA8D95}"/>
    <cellStyle name="Comma 5 4 7 4" xfId="50946" xr:uid="{CF96C50C-F9BD-4A3F-A5E7-055672F1D0C9}"/>
    <cellStyle name="Comma 5 4 7 5" xfId="53962" xr:uid="{A8638F3D-D566-4AE4-B2C6-6C5CA1B83781}"/>
    <cellStyle name="Comma 5 4 7 6" xfId="18730" xr:uid="{CBAE68F0-F477-48EB-8A91-7AE3C9E049CA}"/>
    <cellStyle name="Comma 5 4 8" xfId="14492" xr:uid="{26DA1C1E-7193-4DDF-A0AE-4708F3945547}"/>
    <cellStyle name="Comma 5 4 8 2" xfId="22039" xr:uid="{A0BCE9D4-CE7F-4E60-9FE2-53A39481C846}"/>
    <cellStyle name="Comma 5 4 8 3" xfId="47807" xr:uid="{BCAF6644-A518-4B44-838C-FB90559DD5A9}"/>
    <cellStyle name="Comma 5 4 8 4" xfId="51377" xr:uid="{28668FCE-5E2A-4F62-BAB1-2C02DC557A7E}"/>
    <cellStyle name="Comma 5 4 8 5" xfId="54393" xr:uid="{557B07A7-7F94-4470-BFB1-5BC2C94F9974}"/>
    <cellStyle name="Comma 5 4 8 6" xfId="19041" xr:uid="{AAF3B0F7-87EC-4ED9-B761-97C73CE49382}"/>
    <cellStyle name="Comma 5 4 9" xfId="14974" xr:uid="{23C417F8-F404-4F2F-B014-DE185539339F}"/>
    <cellStyle name="Comma 5 4 9 2" xfId="22516" xr:uid="{4CE416C4-BAED-4B17-A2FA-FE9E09138BF9}"/>
    <cellStyle name="Comma 5 4 9 3" xfId="32515" xr:uid="{93C7752B-7C91-493E-A9CB-E6B53A20C108}"/>
    <cellStyle name="Comma 5 4 9 4" xfId="51854" xr:uid="{EB735B00-0BF8-430E-9D50-26610755DBCB}"/>
    <cellStyle name="Comma 5 4 9 5" xfId="54870" xr:uid="{EBC73BDF-8E9E-472C-8E24-EE078B89B072}"/>
    <cellStyle name="Comma 5 4 9 6" xfId="19181" xr:uid="{8E4A5523-CB2C-46BB-8896-5D3B25D6264D}"/>
    <cellStyle name="Comma 5 5" xfId="9599" xr:uid="{107A845A-AF3A-4D6B-A58F-A150F3873C23}"/>
    <cellStyle name="Comma 5 5 2" xfId="23789" xr:uid="{BA76B635-7620-4E24-9632-C892411EE2B0}"/>
    <cellStyle name="Comma 5 5 3" xfId="48663" xr:uid="{122E04E5-FD0C-4C01-A5D2-48CE5CEE16A2}"/>
    <cellStyle name="Comma 5 5 4" xfId="49571" xr:uid="{83026679-ED28-46A4-9EF9-DA5574FD3BF3}"/>
    <cellStyle name="Comma 5 6" xfId="11231" xr:uid="{A61CE31F-3CBA-4126-9566-F16BB2DF3E26}"/>
    <cellStyle name="Comma 5 6 2" xfId="23790" xr:uid="{2211462F-53FE-418C-B327-D99726D3FA39}"/>
    <cellStyle name="Comma 5 7" xfId="10603" xr:uid="{6D298FF1-E647-4571-ADCB-DFE66D72FB21}"/>
    <cellStyle name="Comma 5 7 2" xfId="21248" xr:uid="{18D47275-7C89-450A-A7C2-A761196E9AEA}"/>
    <cellStyle name="Comma 5 7 3" xfId="48526" xr:uid="{F673B3BC-BD1E-440B-9897-53D0C719C748}"/>
    <cellStyle name="Comma 5 7 4" xfId="50266" xr:uid="{2AE18948-AF20-43E8-9BF7-82CCFCD355E0}"/>
    <cellStyle name="Comma 5 7 5" xfId="53282" xr:uid="{592B1F56-CD54-4BCF-9A30-CF21FDF5E1B6}"/>
    <cellStyle name="Comma 5 7 6" xfId="17716" xr:uid="{2058C3CB-9E07-43F0-A819-021A382E47D0}"/>
    <cellStyle name="Comma 5 8" xfId="19491" xr:uid="{4E4E9628-A34E-48DF-A978-782B7966B13D}"/>
    <cellStyle name="Comma 5 9" xfId="23778" xr:uid="{5EB670F5-3F44-4A30-A3F1-EBE4A1A6EC11}"/>
    <cellStyle name="Comma 6" xfId="1294" xr:uid="{00000000-0005-0000-0000-00005A000000}"/>
    <cellStyle name="Comma 6 10" xfId="49572" xr:uid="{8127ABCB-557C-45CA-A075-2FB82C288093}"/>
    <cellStyle name="Comma 6 11" xfId="7236" xr:uid="{6A5B3F6E-F134-46FE-894C-44AA5BBFA986}"/>
    <cellStyle name="Comma 6 2" xfId="4546" xr:uid="{8C8B61CA-89AE-47E9-946C-1D93A61ADF60}"/>
    <cellStyle name="Comma 6 2 10" xfId="15006" xr:uid="{89DE08FB-4C6D-4A07-98B0-8FAF44434698}"/>
    <cellStyle name="Comma 6 2 10 2" xfId="22546" xr:uid="{7DB502FC-303B-4CC2-9BC7-EA1B690B6501}"/>
    <cellStyle name="Comma 6 2 10 3" xfId="48211" xr:uid="{2214236F-D6CE-4EE9-9C2F-8A124812F106}"/>
    <cellStyle name="Comma 6 2 10 4" xfId="51884" xr:uid="{07CE6266-F98C-4440-A6DD-319BDE2A6061}"/>
    <cellStyle name="Comma 6 2 10 5" xfId="54900" xr:uid="{68C41F3C-A076-449C-B666-FF173452CDF8}"/>
    <cellStyle name="Comma 6 2 11" xfId="15493" xr:uid="{3719AF01-1C30-4D74-A531-DECC5ED9A25F}"/>
    <cellStyle name="Comma 6 2 11 2" xfId="23023" xr:uid="{E2EF10CF-26DF-4148-88DA-231F6EC546E4}"/>
    <cellStyle name="Comma 6 2 11 3" xfId="24170" xr:uid="{4B3F839E-22CC-4A63-BF5C-98A4E70ACFBE}"/>
    <cellStyle name="Comma 6 2 11 4" xfId="52361" xr:uid="{A44D119E-431F-4945-BB36-791FF115F3D8}"/>
    <cellStyle name="Comma 6 2 11 5" xfId="55377" xr:uid="{A67FC5FB-45CE-48DA-8009-4ECCD718E747}"/>
    <cellStyle name="Comma 6 2 12" xfId="11589" xr:uid="{0C8E2EE4-ADC1-40FB-A210-BE811822A16C}"/>
    <cellStyle name="Comma 6 2 12 2" xfId="21712" xr:uid="{FCEFCA9D-B2DD-4A73-B823-786DEBA856B4}"/>
    <cellStyle name="Comma 6 2 12 3" xfId="47563" xr:uid="{AD3FBD81-2A79-4869-AECB-B97E4905F222}"/>
    <cellStyle name="Comma 6 2 12 4" xfId="50736" xr:uid="{CF8C591B-92EB-4BD9-9016-5C6237F88E06}"/>
    <cellStyle name="Comma 6 2 12 5" xfId="53752" xr:uid="{3854EE7B-EB41-4FCD-B44D-F22E059DA87A}"/>
    <cellStyle name="Comma 6 2 13" xfId="23792" xr:uid="{3BA3C483-A6E3-410D-8EAB-2518A007D6D0}"/>
    <cellStyle name="Comma 6 2 14" xfId="48665" xr:uid="{397A8029-2302-411D-B45D-3D2E976F8BBB}"/>
    <cellStyle name="Comma 6 2 15" xfId="49573" xr:uid="{9AD50B25-0B54-427E-B8BF-46E7A2FA38C5}"/>
    <cellStyle name="Comma 6 2 16" xfId="49824" xr:uid="{909F81DC-8B60-4E6C-B713-3762616920D3}"/>
    <cellStyle name="Comma 6 2 17" xfId="52839" xr:uid="{5075C377-EF3A-4259-85DD-62D7EA251CB5}"/>
    <cellStyle name="Comma 6 2 18" xfId="8947" xr:uid="{682A5BD1-6000-405D-8AA1-90213AF4F32F}"/>
    <cellStyle name="Comma 6 2 2" xfId="8948" xr:uid="{4153133B-0400-47B8-AE5E-2471B4E27524}"/>
    <cellStyle name="Comma 6 2 2 10" xfId="11498" xr:uid="{CB62FE1A-6073-45AC-A0AA-C4C9E4A20DB8}"/>
    <cellStyle name="Comma 6 2 2 10 2" xfId="48531" xr:uid="{08BFBE83-98CC-47DB-B8EB-E00250859FA9}"/>
    <cellStyle name="Comma 6 2 2 10 3" xfId="50722" xr:uid="{CE4B551D-2693-47A6-A3CA-0EFD65D3762A}"/>
    <cellStyle name="Comma 6 2 2 10 4" xfId="53738" xr:uid="{D9461384-1056-441F-8245-F5846931E690}"/>
    <cellStyle name="Comma 6 2 2 11" xfId="23793" xr:uid="{1C884F41-6FDF-45E4-972D-D1FBBB0EA2A8}"/>
    <cellStyle name="Comma 6 2 2 12" xfId="48666" xr:uid="{32B43F81-A783-458F-9F2C-BBED9C209DEF}"/>
    <cellStyle name="Comma 6 2 2 13" xfId="49574" xr:uid="{902A4F2D-6874-4D66-ACA3-7608D463E1AC}"/>
    <cellStyle name="Comma 6 2 2 14" xfId="49825" xr:uid="{797E6DCC-5E57-4117-951D-590B245B5D92}"/>
    <cellStyle name="Comma 6 2 2 15" xfId="52840" xr:uid="{F6C275E9-5666-46A7-AEEF-200126345C88}"/>
    <cellStyle name="Comma 6 2 2 2" xfId="10035" xr:uid="{26540004-0194-48D1-82D5-F2EB4CF3E7DA}"/>
    <cellStyle name="Comma 6 2 2 2 2" xfId="10343" xr:uid="{D68F6E5F-5318-4497-9ADD-F372B43CF2B9}"/>
    <cellStyle name="Comma 6 2 2 2 2 2" xfId="14788" xr:uid="{15B7292D-4156-4BE3-9BD3-CC9C32E38EF1}"/>
    <cellStyle name="Comma 6 2 2 2 2 2 2" xfId="22335" xr:uid="{920B492F-7F7B-4021-AEAC-63AE9D0142E7}"/>
    <cellStyle name="Comma 6 2 2 2 2 2 3" xfId="47483" xr:uid="{3609A67B-466E-4332-B13A-74F6AF44D82B}"/>
    <cellStyle name="Comma 6 2 2 2 2 2 4" xfId="51673" xr:uid="{854CDF3D-6481-40A3-B9C8-8F88C233F8BC}"/>
    <cellStyle name="Comma 6 2 2 2 2 2 5" xfId="54689" xr:uid="{B7856A4C-F749-48C1-8CF3-671F2E19C5DE}"/>
    <cellStyle name="Comma 6 2 2 2 2 3" xfId="15273" xr:uid="{79FA8A2F-83BE-4FB4-9D05-604E6B5005EC}"/>
    <cellStyle name="Comma 6 2 2 2 2 3 2" xfId="22812" xr:uid="{87DC2FC1-8476-43A2-92F2-E1603AF5E0FC}"/>
    <cellStyle name="Comma 6 2 2 2 2 3 3" xfId="48072" xr:uid="{C93B29FA-E0B8-4C9D-85D8-477ADBAA90B5}"/>
    <cellStyle name="Comma 6 2 2 2 2 3 4" xfId="52150" xr:uid="{11DD4D54-09EB-4D70-9353-9CAB4420E5C6}"/>
    <cellStyle name="Comma 6 2 2 2 2 3 5" xfId="55166" xr:uid="{50484264-D3F6-4CD4-8EA4-68A052422322}"/>
    <cellStyle name="Comma 6 2 2 2 2 4" xfId="15760" xr:uid="{C2FEDAF2-E1E9-471A-A9E1-481A1A8E6E03}"/>
    <cellStyle name="Comma 6 2 2 2 2 4 2" xfId="23289" xr:uid="{C31FF788-2F79-4BB1-8872-7C23C5EA1711}"/>
    <cellStyle name="Comma 6 2 2 2 2 4 3" xfId="47672" xr:uid="{18155191-C062-4A9F-A506-C7CA9B1AA7D2}"/>
    <cellStyle name="Comma 6 2 2 2 2 4 4" xfId="52627" xr:uid="{ECB495FC-CAF0-404D-AB07-6A40DBC9027E}"/>
    <cellStyle name="Comma 6 2 2 2 2 4 5" xfId="55643" xr:uid="{876F8774-AFBE-444E-AB89-08E0FEC3ED78}"/>
    <cellStyle name="Comma 6 2 2 2 2 5" xfId="12796" xr:uid="{444615C5-0A83-4525-919F-5D25C4008ADD}"/>
    <cellStyle name="Comma 6 2 2 2 2 5 2" xfId="48495" xr:uid="{0C1B8E88-B4A7-41F4-9F8E-3AA8A1B69FC3}"/>
    <cellStyle name="Comma 6 2 2 2 2 5 3" xfId="51196" xr:uid="{F36C4CA1-73E0-403C-8DE1-EEED7A111D62}"/>
    <cellStyle name="Comma 6 2 2 2 2 5 4" xfId="54212" xr:uid="{FE4B0183-C00D-4AAA-B9A5-D71B4C9B2545}"/>
    <cellStyle name="Comma 6 2 2 2 2 6" xfId="46092" xr:uid="{4AC4E3D9-768C-491B-BCA3-FF5E3356E896}"/>
    <cellStyle name="Comma 6 2 2 2 2 7" xfId="50090" xr:uid="{0DE61224-5709-47D0-929A-29D7FD17BD4B}"/>
    <cellStyle name="Comma 6 2 2 2 2 8" xfId="53106" xr:uid="{C12430A7-6DB8-4E28-BF1E-34FD58EE2C4F}"/>
    <cellStyle name="Comma 6 2 2 2 3" xfId="14576" xr:uid="{80549A33-E7F7-4908-B567-B899EFA5BC7A}"/>
    <cellStyle name="Comma 6 2 2 2 3 2" xfId="22123" xr:uid="{8771D7AC-138E-4843-91EF-1D6ACF054B84}"/>
    <cellStyle name="Comma 6 2 2 2 3 3" xfId="46837" xr:uid="{DFDEBA08-5ABC-40A2-8D4A-84970B031E46}"/>
    <cellStyle name="Comma 6 2 2 2 3 4" xfId="51461" xr:uid="{E56E870F-B610-47F2-871D-A7BBD2CF192F}"/>
    <cellStyle name="Comma 6 2 2 2 3 5" xfId="54477" xr:uid="{2ACDD5CE-B66E-4C3F-96D3-3C7D79650910}"/>
    <cellStyle name="Comma 6 2 2 2 4" xfId="15060" xr:uid="{EF06B8FB-3EB9-42DF-834B-55E8CDDEB8F2}"/>
    <cellStyle name="Comma 6 2 2 2 4 2" xfId="22600" xr:uid="{AEDC0D66-B056-4260-80E9-F38643D18391}"/>
    <cellStyle name="Comma 6 2 2 2 4 3" xfId="47246" xr:uid="{6A5FC85D-B2AA-4F23-A2F7-B959882CA389}"/>
    <cellStyle name="Comma 6 2 2 2 4 4" xfId="51938" xr:uid="{2B93C7D0-A464-4AEC-ABEB-35931EEF3D10}"/>
    <cellStyle name="Comma 6 2 2 2 4 5" xfId="54954" xr:uid="{C7ED8A9F-7831-413C-AD7B-4AAECF182A7D}"/>
    <cellStyle name="Comma 6 2 2 2 5" xfId="15547" xr:uid="{56C4453B-570F-452C-8FE6-CD5C5562D5D6}"/>
    <cellStyle name="Comma 6 2 2 2 5 2" xfId="23077" xr:uid="{37851281-3A75-43DD-8AFF-089E4A1E9FC9}"/>
    <cellStyle name="Comma 6 2 2 2 5 3" xfId="47497" xr:uid="{A1A2A621-4579-4099-86C1-3B95938782C7}"/>
    <cellStyle name="Comma 6 2 2 2 5 4" xfId="52415" xr:uid="{AE2FF3EF-D89A-4DD5-AE81-8D631A238779}"/>
    <cellStyle name="Comma 6 2 2 2 5 5" xfId="55431" xr:uid="{97454570-2894-48BA-AA18-D636175106FA}"/>
    <cellStyle name="Comma 6 2 2 2 6" xfId="12495" xr:uid="{412C21B4-B50E-4E11-8E19-EABB69D94254}"/>
    <cellStyle name="Comma 6 2 2 2 6 2" xfId="46760" xr:uid="{AA47F975-36AA-4935-9865-6A2C9FFE489B}"/>
    <cellStyle name="Comma 6 2 2 2 6 3" xfId="50984" xr:uid="{F162CF50-3889-4745-B7DB-DEBF05DFB069}"/>
    <cellStyle name="Comma 6 2 2 2 6 4" xfId="54000" xr:uid="{7F7C302C-806B-40BA-BF0D-351E83ED51B6}"/>
    <cellStyle name="Comma 6 2 2 2 7" xfId="47274" xr:uid="{9FE69E4E-0C00-4624-8535-ED9DB306484F}"/>
    <cellStyle name="Comma 6 2 2 2 8" xfId="49878" xr:uid="{4391E8DE-46F8-465D-92E3-E6B33F94CDC5}"/>
    <cellStyle name="Comma 6 2 2 2 9" xfId="52894" xr:uid="{2A6BE79A-64BB-4968-B9F4-7D60C623EC9B}"/>
    <cellStyle name="Comma 6 2 2 3" xfId="10109" xr:uid="{066C76DE-87AB-428D-81D7-7EEED0F6C790}"/>
    <cellStyle name="Comma 6 2 2 3 2" xfId="10422" xr:uid="{EC7098A0-14B2-447B-B6D5-CC5B9CD253C7}"/>
    <cellStyle name="Comma 6 2 2 3 2 2" xfId="14841" xr:uid="{14F8F509-0990-460D-BEFE-07E8E6E8C138}"/>
    <cellStyle name="Comma 6 2 2 3 2 2 2" xfId="22388" xr:uid="{F4E6D632-99DC-48EC-8A78-BC4DAA61CA03}"/>
    <cellStyle name="Comma 6 2 2 3 2 2 3" xfId="46868" xr:uid="{0F094F67-6397-4EEA-AE62-4115CB678D0A}"/>
    <cellStyle name="Comma 6 2 2 3 2 2 4" xfId="51726" xr:uid="{95D2FD83-1E6C-405B-8DA8-D14BEC87355D}"/>
    <cellStyle name="Comma 6 2 2 3 2 2 5" xfId="54742" xr:uid="{EE719F12-13BC-4923-90EF-9C3A35A07093}"/>
    <cellStyle name="Comma 6 2 2 3 2 3" xfId="15326" xr:uid="{83B5264D-CD5D-4C03-B0AC-21ACE6DD2A82}"/>
    <cellStyle name="Comma 6 2 2 3 2 3 2" xfId="22865" xr:uid="{F429AC74-EC26-4EC3-880E-56F2DF2DB2E6}"/>
    <cellStyle name="Comma 6 2 2 3 2 3 3" xfId="47686" xr:uid="{F4583437-A145-42DE-9A2C-15B2B3897C87}"/>
    <cellStyle name="Comma 6 2 2 3 2 3 4" xfId="52203" xr:uid="{5AFEB69B-AB92-47A2-9122-73F773045137}"/>
    <cellStyle name="Comma 6 2 2 3 2 3 5" xfId="55219" xr:uid="{BA4400B4-9271-4B98-AECE-CDF2856B1AB3}"/>
    <cellStyle name="Comma 6 2 2 3 2 4" xfId="15813" xr:uid="{F9985FDB-D444-4D4C-9870-750F3F7215FC}"/>
    <cellStyle name="Comma 6 2 2 3 2 4 2" xfId="23342" xr:uid="{D1EDC624-C1A6-4A29-9B2B-85F4A8CA349D}"/>
    <cellStyle name="Comma 6 2 2 3 2 4 3" xfId="48425" xr:uid="{5F28055B-A1E2-44AC-A4DB-6B8522593511}"/>
    <cellStyle name="Comma 6 2 2 3 2 4 4" xfId="52680" xr:uid="{26A267BD-4161-465E-97A1-25387E1C68FE}"/>
    <cellStyle name="Comma 6 2 2 3 2 4 5" xfId="55696" xr:uid="{2DD8C94F-F917-4A06-99D0-759ECA1357FE}"/>
    <cellStyle name="Comma 6 2 2 3 2 5" xfId="12875" xr:uid="{A7C4E4C7-6B29-49A2-B546-05649C59BA9A}"/>
    <cellStyle name="Comma 6 2 2 3 2 5 2" xfId="47765" xr:uid="{0AEF66FD-8142-437F-9363-52D52A9DD6CA}"/>
    <cellStyle name="Comma 6 2 2 3 2 5 3" xfId="51249" xr:uid="{79EF0B6A-7433-45E0-9D0D-28EA7C6EA8A8}"/>
    <cellStyle name="Comma 6 2 2 3 2 5 4" xfId="54265" xr:uid="{F1088DC2-800F-4715-8DB6-4CF0B4C1C91D}"/>
    <cellStyle name="Comma 6 2 2 3 2 6" xfId="48458" xr:uid="{CACEA727-AA68-4959-914A-10F32B2647F7}"/>
    <cellStyle name="Comma 6 2 2 3 2 7" xfId="50143" xr:uid="{334D3C62-E878-496B-9279-35F38114412F}"/>
    <cellStyle name="Comma 6 2 2 3 2 8" xfId="53159" xr:uid="{C1447B1F-0223-4550-894A-5F5DFA7B2AF5}"/>
    <cellStyle name="Comma 6 2 2 3 3" xfId="14629" xr:uid="{3D1AC2D0-62DC-476C-9C22-25C3BF5AFAD5}"/>
    <cellStyle name="Comma 6 2 2 3 3 2" xfId="22176" xr:uid="{AA1D4F85-998F-4292-A617-F3D8C9258BC2}"/>
    <cellStyle name="Comma 6 2 2 3 3 3" xfId="46411" xr:uid="{A9C9F992-ADED-4AB8-80FC-5CD64F55CA5F}"/>
    <cellStyle name="Comma 6 2 2 3 3 4" xfId="51514" xr:uid="{2250E9CA-40BE-4321-8631-92989B10A761}"/>
    <cellStyle name="Comma 6 2 2 3 3 5" xfId="54530" xr:uid="{1BB98D8E-83DF-4780-93D7-8F95909C79A3}"/>
    <cellStyle name="Comma 6 2 2 3 4" xfId="15114" xr:uid="{A533F2F6-F89C-4B0E-878C-B4BE01FB7E95}"/>
    <cellStyle name="Comma 6 2 2 3 4 2" xfId="22653" xr:uid="{F718E6F9-2676-4DB3-A782-1B43185102A5}"/>
    <cellStyle name="Comma 6 2 2 3 4 3" xfId="24449" xr:uid="{2F89A5E4-2179-4F9C-AEBF-E571881C3AB5}"/>
    <cellStyle name="Comma 6 2 2 3 4 4" xfId="51991" xr:uid="{E8C81944-97CB-48B0-BE01-C34A7FF5F1E0}"/>
    <cellStyle name="Comma 6 2 2 3 4 5" xfId="55007" xr:uid="{7F719917-0167-4A6D-A9D6-A7FEEBA4949D}"/>
    <cellStyle name="Comma 6 2 2 3 5" xfId="15601" xr:uid="{8A048F2D-0D67-4F47-9D0C-5C6C9EAA19CC}"/>
    <cellStyle name="Comma 6 2 2 3 5 2" xfId="23130" xr:uid="{BF745B36-238C-4DB6-B785-BEEAAC62AE76}"/>
    <cellStyle name="Comma 6 2 2 3 5 3" xfId="46697" xr:uid="{84933863-4380-4670-ABBC-30E8F4CD81CE}"/>
    <cellStyle name="Comma 6 2 2 3 5 4" xfId="52468" xr:uid="{20BC0988-3793-4A79-9785-62CD897B22B3}"/>
    <cellStyle name="Comma 6 2 2 3 5 5" xfId="55484" xr:uid="{2D046427-E68F-46D7-8422-E25446FB3DC8}"/>
    <cellStyle name="Comma 6 2 2 3 6" xfId="12566" xr:uid="{7B6F4E15-3DC1-4468-B684-AEB1521CACD8}"/>
    <cellStyle name="Comma 6 2 2 3 6 2" xfId="47614" xr:uid="{EFE98CAF-DF44-44BD-B937-99B1A4603C0C}"/>
    <cellStyle name="Comma 6 2 2 3 6 3" xfId="51037" xr:uid="{CE27558B-D1A5-4086-8013-9B1A59CC62A1}"/>
    <cellStyle name="Comma 6 2 2 3 6 4" xfId="54053" xr:uid="{26221CA5-91CE-43A3-82F0-ABB4D0210746}"/>
    <cellStyle name="Comma 6 2 2 3 7" xfId="46050" xr:uid="{8F6A7536-72CC-479A-9649-0893287C7062}"/>
    <cellStyle name="Comma 6 2 2 3 8" xfId="49931" xr:uid="{0C10E487-80BC-4539-BE35-F4A7676D52C5}"/>
    <cellStyle name="Comma 6 2 2 3 9" xfId="52947" xr:uid="{90A59CC9-6E90-489A-AFE7-58686FAC1DD9}"/>
    <cellStyle name="Comma 6 2 2 4" xfId="10188" xr:uid="{094BB0DB-B659-4860-AC4C-18EAFE98A0B0}"/>
    <cellStyle name="Comma 6 2 2 4 2" xfId="10502" xr:uid="{758E5778-A228-4F68-AE2C-0D04284FBE10}"/>
    <cellStyle name="Comma 6 2 2 4 2 2" xfId="14894" xr:uid="{C796A771-D648-42B6-92A3-BA4C3B2AC3E2}"/>
    <cellStyle name="Comma 6 2 2 4 2 2 2" xfId="22441" xr:uid="{1F47EB6C-DF69-4672-BF8D-F20F372E3359}"/>
    <cellStyle name="Comma 6 2 2 4 2 2 3" xfId="32525" xr:uid="{CD82BE43-B9B1-4E75-81FB-C17A2BB0D1B0}"/>
    <cellStyle name="Comma 6 2 2 4 2 2 4" xfId="51779" xr:uid="{F095B887-49C7-4E90-AEF2-E43F727E461E}"/>
    <cellStyle name="Comma 6 2 2 4 2 2 5" xfId="54795" xr:uid="{38E454D6-7978-4307-AED9-FD60CD755C93}"/>
    <cellStyle name="Comma 6 2 2 4 2 3" xfId="15379" xr:uid="{8C4C8E08-F008-4871-BB75-7A8BDE7099C1}"/>
    <cellStyle name="Comma 6 2 2 4 2 3 2" xfId="22918" xr:uid="{AC0351F4-7734-4701-94D2-BC97C54AB7A8}"/>
    <cellStyle name="Comma 6 2 2 4 2 3 3" xfId="48221" xr:uid="{33CFBCBB-1AEF-49F4-A694-9D2F72A4C1C6}"/>
    <cellStyle name="Comma 6 2 2 4 2 3 4" xfId="52256" xr:uid="{69475893-B561-49E6-A100-380136345681}"/>
    <cellStyle name="Comma 6 2 2 4 2 3 5" xfId="55272" xr:uid="{D36EA8D8-E8A9-4715-806C-6D15DDCA28DF}"/>
    <cellStyle name="Comma 6 2 2 4 2 4" xfId="15866" xr:uid="{9EF60511-6235-4994-915A-49C2750C748D}"/>
    <cellStyle name="Comma 6 2 2 4 2 4 2" xfId="23395" xr:uid="{0B6FAF3A-0C1C-45F2-A207-5EDEA1E6B618}"/>
    <cellStyle name="Comma 6 2 2 4 2 4 3" xfId="23834" xr:uid="{FCDA61E3-93C9-4FB2-A5E9-56DBF57038A5}"/>
    <cellStyle name="Comma 6 2 2 4 2 4 4" xfId="52733" xr:uid="{5625F013-3F81-4BBC-B0AD-4A05B2E72BEA}"/>
    <cellStyle name="Comma 6 2 2 4 2 4 5" xfId="55749" xr:uid="{176F2F50-DBAE-425E-843E-333CE1876F72}"/>
    <cellStyle name="Comma 6 2 2 4 2 5" xfId="12955" xr:uid="{23209A6E-DB31-4142-926B-B3050F7C12DD}"/>
    <cellStyle name="Comma 6 2 2 4 2 5 2" xfId="46672" xr:uid="{95388FF1-AC1B-4BBE-9C92-D5E2731F30DD}"/>
    <cellStyle name="Comma 6 2 2 4 2 5 3" xfId="51302" xr:uid="{39920120-0DF0-4A9D-B2FA-E5B29166FE51}"/>
    <cellStyle name="Comma 6 2 2 4 2 5 4" xfId="54318" xr:uid="{6ACFD716-85BA-4DDF-91B1-C2628102FA7F}"/>
    <cellStyle name="Comma 6 2 2 4 2 6" xfId="47887" xr:uid="{DA3670EA-5556-45D4-A883-E2E7E5B4DD27}"/>
    <cellStyle name="Comma 6 2 2 4 2 7" xfId="50196" xr:uid="{7E15E0AA-79BA-48F1-BF52-8514FEF9AD97}"/>
    <cellStyle name="Comma 6 2 2 4 2 8" xfId="53212" xr:uid="{58C8B37F-ACA1-40F1-97B2-08622F1F6172}"/>
    <cellStyle name="Comma 6 2 2 4 3" xfId="14682" xr:uid="{7254D318-0377-41BE-BC50-6AC57B1ED52D}"/>
    <cellStyle name="Comma 6 2 2 4 3 2" xfId="22229" xr:uid="{6DC4496F-63B3-419C-A348-680E5C8F9793}"/>
    <cellStyle name="Comma 6 2 2 4 3 3" xfId="48349" xr:uid="{009B8330-33E5-449A-96CF-F2FA1E6B792E}"/>
    <cellStyle name="Comma 6 2 2 4 3 4" xfId="51567" xr:uid="{3D4E28F7-08D7-471B-87E1-53A48EDA1687}"/>
    <cellStyle name="Comma 6 2 2 4 3 5" xfId="54583" xr:uid="{FF85B62F-BAFB-4E89-9B28-BBC62AD9DF08}"/>
    <cellStyle name="Comma 6 2 2 4 4" xfId="15167" xr:uid="{7C3EF161-903E-4522-9B65-900F6E329520}"/>
    <cellStyle name="Comma 6 2 2 4 4 2" xfId="22706" xr:uid="{3F3F3B30-92ED-4CAA-AD4D-42DA8848FEBB}"/>
    <cellStyle name="Comma 6 2 2 4 4 3" xfId="48276" xr:uid="{66AD5701-D52B-4C2F-A719-3C8B57B7A53D}"/>
    <cellStyle name="Comma 6 2 2 4 4 4" xfId="52044" xr:uid="{2D26027C-050E-418D-87A3-29304BD83EAD}"/>
    <cellStyle name="Comma 6 2 2 4 4 5" xfId="55060" xr:uid="{FC47CE63-1BF4-4E64-8396-6767055256C5}"/>
    <cellStyle name="Comma 6 2 2 4 5" xfId="15654" xr:uid="{1438DF10-4347-4F57-9AAA-F82979DEB9F5}"/>
    <cellStyle name="Comma 6 2 2 4 5 2" xfId="23183" xr:uid="{AFDA3E29-3F85-4D3D-BEA2-1FAE39952451}"/>
    <cellStyle name="Comma 6 2 2 4 5 3" xfId="46565" xr:uid="{E868ECD8-1F56-417A-BC06-CB06C721BA0F}"/>
    <cellStyle name="Comma 6 2 2 4 5 4" xfId="52521" xr:uid="{23CC96D9-3F05-4F88-9DD3-3EE608B907F4}"/>
    <cellStyle name="Comma 6 2 2 4 5 5" xfId="55537" xr:uid="{C2122DD4-D889-4D32-AECD-3A3195545F6E}"/>
    <cellStyle name="Comma 6 2 2 4 6" xfId="12642" xr:uid="{B0DA8E79-45BB-4F08-80EF-A64F3C515135}"/>
    <cellStyle name="Comma 6 2 2 4 6 2" xfId="48559" xr:uid="{AE00A707-C619-4E2A-8CC2-31695DE28AA8}"/>
    <cellStyle name="Comma 6 2 2 4 6 3" xfId="51090" xr:uid="{6B42C2ED-E8AF-49CF-BF1F-4A0F259BAA27}"/>
    <cellStyle name="Comma 6 2 2 4 6 4" xfId="54106" xr:uid="{A52F1DE3-73C6-4301-967A-66938EDE2A7E}"/>
    <cellStyle name="Comma 6 2 2 4 7" xfId="46619" xr:uid="{B363C56B-75D5-45A0-9C0F-D7E90EACABD4}"/>
    <cellStyle name="Comma 6 2 2 4 8" xfId="49984" xr:uid="{DCAB4C93-CA38-4FCC-A79C-5AF34AACC478}"/>
    <cellStyle name="Comma 6 2 2 4 9" xfId="53000" xr:uid="{60FA5B0D-0182-4351-AA93-28413B4C17CD}"/>
    <cellStyle name="Comma 6 2 2 5" xfId="10268" xr:uid="{DE2E4EBF-830D-4163-BA35-AB6D3D8EF611}"/>
    <cellStyle name="Comma 6 2 2 5 2" xfId="14735" xr:uid="{99CF2CD3-CE50-4325-9E1C-FDB84CAF0027}"/>
    <cellStyle name="Comma 6 2 2 5 2 2" xfId="22282" xr:uid="{997C209C-AFCD-45EC-85CE-B95A75E74131}"/>
    <cellStyle name="Comma 6 2 2 5 2 3" xfId="47536" xr:uid="{B9B08B84-F8A9-4A3C-954F-4F730EC25BE1}"/>
    <cellStyle name="Comma 6 2 2 5 2 4" xfId="51620" xr:uid="{2542D3CE-5E4E-4111-A004-24F8E5D16988}"/>
    <cellStyle name="Comma 6 2 2 5 2 5" xfId="54636" xr:uid="{41A2F521-BCEB-4955-B24A-11C308074D1E}"/>
    <cellStyle name="Comma 6 2 2 5 3" xfId="15220" xr:uid="{0A7444B4-0681-4CE1-B65D-8B284E02AB80}"/>
    <cellStyle name="Comma 6 2 2 5 3 2" xfId="22759" xr:uid="{911B121B-2519-42B2-B94D-64C94636A298}"/>
    <cellStyle name="Comma 6 2 2 5 3 3" xfId="46497" xr:uid="{0F35E51D-6176-45B3-B743-088632A5C73F}"/>
    <cellStyle name="Comma 6 2 2 5 3 4" xfId="52097" xr:uid="{C7BCBA53-CF06-4491-A0B4-DC4021B5A1E2}"/>
    <cellStyle name="Comma 6 2 2 5 3 5" xfId="55113" xr:uid="{953297CD-4B03-4441-8A3B-34379698F5B0}"/>
    <cellStyle name="Comma 6 2 2 5 4" xfId="15707" xr:uid="{EBCFC1C7-42A5-4A2E-9FF4-E28BBE2A84FD}"/>
    <cellStyle name="Comma 6 2 2 5 4 2" xfId="23236" xr:uid="{25498AB1-D42E-4C29-A6E1-73C525281F34}"/>
    <cellStyle name="Comma 6 2 2 5 4 3" xfId="47255" xr:uid="{C2CA9EB3-B889-4B25-80B9-127F515D1D55}"/>
    <cellStyle name="Comma 6 2 2 5 4 4" xfId="52574" xr:uid="{8D39E03C-FEDF-4CF4-BAB8-8AEEBCD6BBDB}"/>
    <cellStyle name="Comma 6 2 2 5 4 5" xfId="55590" xr:uid="{AF3F3C51-FF0B-4AFD-9891-1A0F4D41753E}"/>
    <cellStyle name="Comma 6 2 2 5 5" xfId="12721" xr:uid="{22DE45D5-51CC-46F4-A147-42FEDD25EA11}"/>
    <cellStyle name="Comma 6 2 2 5 5 2" xfId="47267" xr:uid="{238DE556-EC98-41F6-AFB3-F11C1EAFE830}"/>
    <cellStyle name="Comma 6 2 2 5 5 3" xfId="51143" xr:uid="{428EC610-AA89-435A-8C88-0EECAF95C643}"/>
    <cellStyle name="Comma 6 2 2 5 5 4" xfId="54159" xr:uid="{24A6FE84-5046-40FE-AD99-D179D3AFA6DD}"/>
    <cellStyle name="Comma 6 2 2 5 6" xfId="46077" xr:uid="{98FC0238-E8AE-4F2E-9C6A-C1F1149F2989}"/>
    <cellStyle name="Comma 6 2 2 5 7" xfId="50037" xr:uid="{1E6A6D9A-6C5C-4FF1-9AC3-54E132C5D758}"/>
    <cellStyle name="Comma 6 2 2 5 8" xfId="53053" xr:uid="{EAD25454-6FE1-417F-893A-7F6E57EDFB73}"/>
    <cellStyle name="Comma 6 2 2 6" xfId="10582" xr:uid="{4501AD30-FC77-4B5E-8F53-54EB364BD348}"/>
    <cellStyle name="Comma 6 2 2 6 2" xfId="14947" xr:uid="{AC3EAD4E-4518-4E59-BF0C-555999B1AED0}"/>
    <cellStyle name="Comma 6 2 2 6 2 2" xfId="22494" xr:uid="{9FE63004-DC3A-408B-BAB2-F603A37B1346}"/>
    <cellStyle name="Comma 6 2 2 6 2 3" xfId="24927" xr:uid="{0002E01A-8A5A-476C-88F2-32A2A9EE6EB3}"/>
    <cellStyle name="Comma 6 2 2 6 2 4" xfId="51832" xr:uid="{0D802386-B443-4814-A312-7613D0BC51B2}"/>
    <cellStyle name="Comma 6 2 2 6 2 5" xfId="54848" xr:uid="{996BF237-0728-4217-815A-4C4B60D5BBF0}"/>
    <cellStyle name="Comma 6 2 2 6 3" xfId="15432" xr:uid="{758654EC-E35D-4711-8687-0F7F0FC829BA}"/>
    <cellStyle name="Comma 6 2 2 6 3 2" xfId="22971" xr:uid="{71A866EA-70F5-4A79-8F18-F41211A5A413}"/>
    <cellStyle name="Comma 6 2 2 6 3 3" xfId="47132" xr:uid="{3262890D-6EB6-48E1-932E-18CD888A2E5B}"/>
    <cellStyle name="Comma 6 2 2 6 3 4" xfId="52309" xr:uid="{20D6303F-314D-491C-957D-179716DD0DCE}"/>
    <cellStyle name="Comma 6 2 2 6 3 5" xfId="55325" xr:uid="{87159156-E4F6-49FC-9478-C44B27FA978D}"/>
    <cellStyle name="Comma 6 2 2 6 4" xfId="15920" xr:uid="{B0AA5848-35E4-4B3E-B23E-709DAF7FC375}"/>
    <cellStyle name="Comma 6 2 2 6 4 2" xfId="23448" xr:uid="{6938B668-193F-44BB-986C-82C3F16FAE2E}"/>
    <cellStyle name="Comma 6 2 2 6 4 3" xfId="24644" xr:uid="{14FC5179-79D7-410C-BD78-ABBF98CF803F}"/>
    <cellStyle name="Comma 6 2 2 6 4 4" xfId="52786" xr:uid="{45EF3C57-B405-4630-9E7D-789A96A42020}"/>
    <cellStyle name="Comma 6 2 2 6 4 5" xfId="55802" xr:uid="{B35C2CC7-57CE-47BB-A55E-A0029E7714C9}"/>
    <cellStyle name="Comma 6 2 2 6 5" xfId="13035" xr:uid="{D77DF31B-165A-4055-A84B-70F6B47C6D7E}"/>
    <cellStyle name="Comma 6 2 2 6 5 2" xfId="47026" xr:uid="{76765DF8-00E1-41A2-A928-58AA190B4B8C}"/>
    <cellStyle name="Comma 6 2 2 6 5 3" xfId="51355" xr:uid="{F3F0E648-D0B2-4DD6-93C0-C204A8A99AED}"/>
    <cellStyle name="Comma 6 2 2 6 5 4" xfId="54371" xr:uid="{716CCB7E-684A-464E-A9F5-D3EB85F701CD}"/>
    <cellStyle name="Comma 6 2 2 6 6" xfId="32472" xr:uid="{FD646080-69BB-47A6-B119-7F99FA643B47}"/>
    <cellStyle name="Comma 6 2 2 6 7" xfId="50249" xr:uid="{5F66E010-8176-48F5-85D8-A20F84B7AFEE}"/>
    <cellStyle name="Comma 6 2 2 6 8" xfId="53265" xr:uid="{4C7DD9DF-6C8A-4D8C-9A49-443278C9DEE5}"/>
    <cellStyle name="Comma 6 2 2 7" xfId="14523" xr:uid="{540A452E-40B4-4BF9-BC50-82189EA4D389}"/>
    <cellStyle name="Comma 6 2 2 7 2" xfId="22070" xr:uid="{AC15665B-638D-4A6B-BF41-2887ECB9E817}"/>
    <cellStyle name="Comma 6 2 2 7 3" xfId="47531" xr:uid="{B4AA1232-8C1F-479E-80D9-C99834F58802}"/>
    <cellStyle name="Comma 6 2 2 7 4" xfId="51408" xr:uid="{4FADF4B0-EB8C-4727-919E-5FD58C06B6F0}"/>
    <cellStyle name="Comma 6 2 2 7 5" xfId="54424" xr:uid="{80B5FCFB-0162-4572-ACA0-5800FD34B9BF}"/>
    <cellStyle name="Comma 6 2 2 8" xfId="15007" xr:uid="{EFA742C8-8D6F-4D7C-B44C-C488FE66EA91}"/>
    <cellStyle name="Comma 6 2 2 8 2" xfId="22547" xr:uid="{622F6D80-6796-4426-9D68-D00E6BFE2ECA}"/>
    <cellStyle name="Comma 6 2 2 8 3" xfId="46465" xr:uid="{E0C17D83-96CD-460A-B5B1-B9E157121045}"/>
    <cellStyle name="Comma 6 2 2 8 4" xfId="51885" xr:uid="{65CB4CF3-4630-4BFA-8E2F-7D253BEC4626}"/>
    <cellStyle name="Comma 6 2 2 8 5" xfId="54901" xr:uid="{36B38460-E02C-4FAC-8778-781E67366120}"/>
    <cellStyle name="Comma 6 2 2 9" xfId="15494" xr:uid="{4BD39FC7-67A7-4D7B-9B8F-D50153BA0CB8}"/>
    <cellStyle name="Comma 6 2 2 9 2" xfId="23024" xr:uid="{0AC82804-5251-4C5E-BCD5-18C3B2EF5504}"/>
    <cellStyle name="Comma 6 2 2 9 3" xfId="46540" xr:uid="{9E34EC9A-D2C1-4AF5-89FE-27F42E165421}"/>
    <cellStyle name="Comma 6 2 2 9 4" xfId="52362" xr:uid="{E2767B82-4976-4B7F-86E4-95D6071C8BDB}"/>
    <cellStyle name="Comma 6 2 2 9 5" xfId="55378" xr:uid="{D4170CB2-05AF-4794-A4BE-DEB624B4293E}"/>
    <cellStyle name="Comma 6 2 3" xfId="10034" xr:uid="{2EAD63AA-DE62-4E0C-94D9-A955AD9F9033}"/>
    <cellStyle name="Comma 6 2 3 10" xfId="49575" xr:uid="{6DB7507B-94D3-439D-A14C-EFF74E52400B}"/>
    <cellStyle name="Comma 6 2 3 11" xfId="49877" xr:uid="{7A069C7A-8AF1-4E47-9D27-F55DEE35CAD8}"/>
    <cellStyle name="Comma 6 2 3 12" xfId="52893" xr:uid="{04B02749-9870-4BD2-893D-5D96DB25AB2C}"/>
    <cellStyle name="Comma 6 2 3 2" xfId="10342" xr:uid="{869FEA02-29E4-427B-9435-E20AC4C4115F}"/>
    <cellStyle name="Comma 6 2 3 2 2" xfId="14787" xr:uid="{47EA1B99-2B8C-4EE6-AAE0-F390FDE1848F}"/>
    <cellStyle name="Comma 6 2 3 2 2 2" xfId="22334" xr:uid="{2106CC8A-6CA6-4104-A3BC-703A4D2DA1C1}"/>
    <cellStyle name="Comma 6 2 3 2 2 3" xfId="46864" xr:uid="{C062F17A-2427-4E6D-B481-9F3224B7994D}"/>
    <cellStyle name="Comma 6 2 3 2 2 4" xfId="51672" xr:uid="{AFD77B1D-4E07-422B-B6E3-8048C0C7E2E8}"/>
    <cellStyle name="Comma 6 2 3 2 2 5" xfId="54688" xr:uid="{DB0E5F3F-AA59-480C-8BF0-E63BB5D96DA5}"/>
    <cellStyle name="Comma 6 2 3 2 3" xfId="15272" xr:uid="{9A19800E-CF8C-43B4-A78E-AA64043D90C1}"/>
    <cellStyle name="Comma 6 2 3 2 3 2" xfId="22811" xr:uid="{53E1107B-28E7-4BB6-A473-EEA49D148917}"/>
    <cellStyle name="Comma 6 2 3 2 3 3" xfId="46900" xr:uid="{41BA8409-10E5-4AB7-B4C2-1446B5A7A9D9}"/>
    <cellStyle name="Comma 6 2 3 2 3 4" xfId="52149" xr:uid="{81671D8C-D046-4027-BF43-6BF28370778F}"/>
    <cellStyle name="Comma 6 2 3 2 3 5" xfId="55165" xr:uid="{831A8D9F-1509-469E-AB30-ECE3AA2BBC71}"/>
    <cellStyle name="Comma 6 2 3 2 4" xfId="15759" xr:uid="{B7C3CC5E-5B2C-446F-B914-74ACBB3374F0}"/>
    <cellStyle name="Comma 6 2 3 2 4 2" xfId="23288" xr:uid="{F8F94F0B-23F7-4DFA-964A-17F9A74B9B31}"/>
    <cellStyle name="Comma 6 2 3 2 4 3" xfId="24309" xr:uid="{10E8238A-B022-49EB-8D43-6E38A3860ADD}"/>
    <cellStyle name="Comma 6 2 3 2 4 4" xfId="52626" xr:uid="{4DB00429-04A4-46AA-B744-472212A15B9E}"/>
    <cellStyle name="Comma 6 2 3 2 4 5" xfId="55642" xr:uid="{EDC418B3-6EA2-47C1-9225-1B89800B94F0}"/>
    <cellStyle name="Comma 6 2 3 2 5" xfId="12795" xr:uid="{F3FF0371-B3E8-4126-AFF8-0DB5C5A791F4}"/>
    <cellStyle name="Comma 6 2 3 2 5 2" xfId="48052" xr:uid="{FC1805FF-A6A7-4A3D-A6AC-E7281620B25A}"/>
    <cellStyle name="Comma 6 2 3 2 5 3" xfId="51195" xr:uid="{65381E61-B4B9-4170-9776-A206133E8937}"/>
    <cellStyle name="Comma 6 2 3 2 5 4" xfId="54211" xr:uid="{447123A5-ED85-4AFC-A47C-FF7CC8D7E25F}"/>
    <cellStyle name="Comma 6 2 3 2 6" xfId="47284" xr:uid="{CBF41568-7173-4804-9DA5-49D2DBFE42DE}"/>
    <cellStyle name="Comma 6 2 3 2 7" xfId="50089" xr:uid="{7189BDFF-0B71-4248-9732-A2581782C881}"/>
    <cellStyle name="Comma 6 2 3 2 8" xfId="53105" xr:uid="{0F233287-D644-47A3-8E41-A2CAB1CF364A}"/>
    <cellStyle name="Comma 6 2 3 3" xfId="14575" xr:uid="{5BB8E2D1-C38D-4634-BD58-36592737FE27}"/>
    <cellStyle name="Comma 6 2 3 3 2" xfId="22122" xr:uid="{76777662-EC22-4AD6-A523-BCCE40A68AB0}"/>
    <cellStyle name="Comma 6 2 3 3 3" xfId="47236" xr:uid="{3C1826CB-D734-4926-AA5A-FBB4F9FE01DF}"/>
    <cellStyle name="Comma 6 2 3 3 4" xfId="51460" xr:uid="{D97338F4-32E7-4CAC-84A9-5D94F72EED92}"/>
    <cellStyle name="Comma 6 2 3 3 5" xfId="54476" xr:uid="{DE0AE3BF-CAEB-40F0-9DD3-E693B57ECDF6}"/>
    <cellStyle name="Comma 6 2 3 4" xfId="15059" xr:uid="{5CA202A8-4E09-438B-8E39-2630C1823DED}"/>
    <cellStyle name="Comma 6 2 3 4 2" xfId="22599" xr:uid="{31CCD920-D011-4122-9266-DFE421FA33C7}"/>
    <cellStyle name="Comma 6 2 3 4 3" xfId="24914" xr:uid="{7E772A1D-1085-46AC-A3AE-5D2ECD64A80E}"/>
    <cellStyle name="Comma 6 2 3 4 4" xfId="51937" xr:uid="{37E0B2EC-07EC-490F-9783-52BDD80654AC}"/>
    <cellStyle name="Comma 6 2 3 4 5" xfId="54953" xr:uid="{8E0756A6-793D-4D72-A058-B8C810BE025E}"/>
    <cellStyle name="Comma 6 2 3 5" xfId="15546" xr:uid="{802E1E2E-77A6-4A8D-93B2-4C7A1351CC06}"/>
    <cellStyle name="Comma 6 2 3 5 2" xfId="23076" xr:uid="{E140FB98-B445-49D3-8AC7-27DD287BB425}"/>
    <cellStyle name="Comma 6 2 3 5 3" xfId="46933" xr:uid="{DD41EB31-2877-4E12-91C9-AE8E3F7FC904}"/>
    <cellStyle name="Comma 6 2 3 5 4" xfId="52414" xr:uid="{CE2CB63A-B806-44A4-A53D-7990CA3DF819}"/>
    <cellStyle name="Comma 6 2 3 5 5" xfId="55430" xr:uid="{2F0E2574-3DCD-48B6-BBBB-F0EA09B5DAFA}"/>
    <cellStyle name="Comma 6 2 3 6" xfId="12494" xr:uid="{5F6DC586-DAB1-474E-AF09-E96D95282713}"/>
    <cellStyle name="Comma 6 2 3 6 2" xfId="47226" xr:uid="{8DE9A816-01C1-469B-A306-B55D69E6E8FC}"/>
    <cellStyle name="Comma 6 2 3 6 3" xfId="50983" xr:uid="{91F5C2C5-2A41-47C1-B728-5E3DF0A0303A}"/>
    <cellStyle name="Comma 6 2 3 6 4" xfId="53999" xr:uid="{B0380C9B-30E8-4999-B794-441116EE3B9D}"/>
    <cellStyle name="Comma 6 2 3 7" xfId="23794" xr:uid="{33A1308E-10EA-4F2C-80DA-A4B21DC3B56C}"/>
    <cellStyle name="Comma 6 2 3 8" xfId="46033" xr:uid="{F7BDEF38-6AB9-4A1E-B694-3E2EA32D4B4D}"/>
    <cellStyle name="Comma 6 2 3 9" xfId="48667" xr:uid="{20EA3C27-F3C5-433F-927C-7B553FA01008}"/>
    <cellStyle name="Comma 6 2 4" xfId="10108" xr:uid="{7A36C5B6-BD26-4BA8-9EC8-632AF6D26AD0}"/>
    <cellStyle name="Comma 6 2 4 10" xfId="49930" xr:uid="{44339727-69AD-48F6-9027-79C6151763A0}"/>
    <cellStyle name="Comma 6 2 4 11" xfId="52946" xr:uid="{FC1E60F9-4E7F-4555-928D-9DA072CD2926}"/>
    <cellStyle name="Comma 6 2 4 2" xfId="10421" xr:uid="{8E946AB5-551B-41B4-8B41-D8C96488D667}"/>
    <cellStyle name="Comma 6 2 4 2 2" xfId="14840" xr:uid="{F4C3C92F-D3D9-4041-B78E-1112922D04C4}"/>
    <cellStyle name="Comma 6 2 4 2 2 2" xfId="22387" xr:uid="{850F0D8D-88B0-408D-A60D-2ABF86DE17FE}"/>
    <cellStyle name="Comma 6 2 4 2 2 3" xfId="24455" xr:uid="{7DE6B360-80CC-44D3-AC9E-3AB60DFBE92E}"/>
    <cellStyle name="Comma 6 2 4 2 2 4" xfId="51725" xr:uid="{F31623F7-B3F3-4C2F-9A71-18C0A97149A9}"/>
    <cellStyle name="Comma 6 2 4 2 2 5" xfId="54741" xr:uid="{8A308FAE-7776-41EB-9C35-A3B2FDB19EF0}"/>
    <cellStyle name="Comma 6 2 4 2 3" xfId="15325" xr:uid="{F08391A6-484B-49C8-BBBC-8F2F9023546E}"/>
    <cellStyle name="Comma 6 2 4 2 3 2" xfId="22864" xr:uid="{44C8033D-486F-49EA-AB4F-B59C22A67ADC}"/>
    <cellStyle name="Comma 6 2 4 2 3 3" xfId="34475" xr:uid="{17036A6F-6D41-447C-A103-6D7DC1F7789A}"/>
    <cellStyle name="Comma 6 2 4 2 3 4" xfId="52202" xr:uid="{D4C45BB5-C526-4BD8-9158-E04E8E24D27D}"/>
    <cellStyle name="Comma 6 2 4 2 3 5" xfId="55218" xr:uid="{B0A3F910-68E4-477D-8867-6F1E6F03D1A4}"/>
    <cellStyle name="Comma 6 2 4 2 4" xfId="15812" xr:uid="{E7FEF4AE-7E2D-404C-ACA4-6B6973CF6DFC}"/>
    <cellStyle name="Comma 6 2 4 2 4 2" xfId="23341" xr:uid="{5C8C18DB-3EC8-4510-BDA9-5B00EEBF0C46}"/>
    <cellStyle name="Comma 6 2 4 2 4 3" xfId="47138" xr:uid="{78D27CE2-60B4-4098-8871-379220E880DD}"/>
    <cellStyle name="Comma 6 2 4 2 4 4" xfId="52679" xr:uid="{559D5671-66C4-41ED-AA66-FB14D6BC7CB0}"/>
    <cellStyle name="Comma 6 2 4 2 4 5" xfId="55695" xr:uid="{15166E53-8DEF-47B2-8518-7A1D60A99E3A}"/>
    <cellStyle name="Comma 6 2 4 2 5" xfId="12874" xr:uid="{F4FD209A-96DE-487A-98B0-E1FD29C909E4}"/>
    <cellStyle name="Comma 6 2 4 2 5 2" xfId="46803" xr:uid="{C7C448D1-937A-49BF-8583-EBCF27AFDF55}"/>
    <cellStyle name="Comma 6 2 4 2 5 3" xfId="51248" xr:uid="{534EFC4E-64A3-4C82-ABDB-550CAA3512B3}"/>
    <cellStyle name="Comma 6 2 4 2 5 4" xfId="54264" xr:uid="{D03AF6A3-D105-4350-8A51-26233CCCD2D4}"/>
    <cellStyle name="Comma 6 2 4 2 6" xfId="46119" xr:uid="{6A38FAB9-1F96-4581-A47F-F78045FB4920}"/>
    <cellStyle name="Comma 6 2 4 2 7" xfId="50142" xr:uid="{D0B2F815-8C08-4B8C-8962-C4E63C8D73B3}"/>
    <cellStyle name="Comma 6 2 4 2 8" xfId="53158" xr:uid="{108E5D77-C490-4620-A5A7-C5889C35A863}"/>
    <cellStyle name="Comma 6 2 4 3" xfId="14628" xr:uid="{131B2F84-8326-4C86-BD04-69E0D1A20826}"/>
    <cellStyle name="Comma 6 2 4 3 2" xfId="22175" xr:uid="{30E50982-B8D1-4B15-A515-5BFF6B327789}"/>
    <cellStyle name="Comma 6 2 4 3 3" xfId="47926" xr:uid="{55BCA85A-E36D-46D4-9837-6DBF459913AB}"/>
    <cellStyle name="Comma 6 2 4 3 4" xfId="51513" xr:uid="{0E4C3583-F146-49C2-874E-69212A01E95F}"/>
    <cellStyle name="Comma 6 2 4 3 5" xfId="54529" xr:uid="{D05B9B11-0604-44D3-9365-483056728710}"/>
    <cellStyle name="Comma 6 2 4 4" xfId="15113" xr:uid="{5D38D2E5-0AE2-49AF-81F7-7352A5B2D670}"/>
    <cellStyle name="Comma 6 2 4 4 2" xfId="22652" xr:uid="{64B5A7D4-F06A-49B8-9000-41D80B743A91}"/>
    <cellStyle name="Comma 6 2 4 4 3" xfId="48016" xr:uid="{331BBBCF-1DF2-42FC-8A8F-6E1FBC262941}"/>
    <cellStyle name="Comma 6 2 4 4 4" xfId="51990" xr:uid="{E6116562-1A0C-43E4-9F3A-8AB7D86DDF35}"/>
    <cellStyle name="Comma 6 2 4 4 5" xfId="55006" xr:uid="{210EC92C-F98C-4468-A6E4-54D0C3511ADE}"/>
    <cellStyle name="Comma 6 2 4 5" xfId="15600" xr:uid="{A6C83F58-6DB0-46B5-A547-33BCC6ACE30D}"/>
    <cellStyle name="Comma 6 2 4 5 2" xfId="23129" xr:uid="{9F32FCB8-9840-4640-9DAE-36BF964365FC}"/>
    <cellStyle name="Comma 6 2 4 5 3" xfId="24527" xr:uid="{B22C00ED-F4F6-455C-BE73-BC4F720DED46}"/>
    <cellStyle name="Comma 6 2 4 5 4" xfId="52467" xr:uid="{70716B38-C99D-4E10-9C34-C5AE9F6F2E86}"/>
    <cellStyle name="Comma 6 2 4 5 5" xfId="55483" xr:uid="{D772393C-B6B1-43CF-89D5-2763753BB150}"/>
    <cellStyle name="Comma 6 2 4 6" xfId="12565" xr:uid="{C459E7D5-FDC9-427B-927E-A9150F697A2B}"/>
    <cellStyle name="Comma 6 2 4 6 2" xfId="32367" xr:uid="{6ACA542D-06AB-4E7B-B983-B127602820A2}"/>
    <cellStyle name="Comma 6 2 4 6 3" xfId="51036" xr:uid="{B809D9D8-41F0-400D-8FC7-43F654820FC9}"/>
    <cellStyle name="Comma 6 2 4 6 4" xfId="54052" xr:uid="{D6F573B0-ED6F-46A7-BF1E-D7656EB75F30}"/>
    <cellStyle name="Comma 6 2 4 7" xfId="23795" xr:uid="{2D542BB0-8199-4A45-8D0D-420C682C7F98}"/>
    <cellStyle name="Comma 6 2 4 8" xfId="48668" xr:uid="{8A0071EA-59D0-4B75-B885-32B9C0A4E14E}"/>
    <cellStyle name="Comma 6 2 4 9" xfId="49576" xr:uid="{59576940-83E9-47D9-89E7-5D45CBB1EAB3}"/>
    <cellStyle name="Comma 6 2 5" xfId="10187" xr:uid="{D9230281-CAEB-464A-8A15-9127CFFA6EA1}"/>
    <cellStyle name="Comma 6 2 5 2" xfId="10501" xr:uid="{5CC684D0-8919-4F28-B345-1559E6AAD0CC}"/>
    <cellStyle name="Comma 6 2 5 2 2" xfId="14893" xr:uid="{2CFBBA57-C3FE-49F3-9F2A-6B93D1A51A8D}"/>
    <cellStyle name="Comma 6 2 5 2 2 2" xfId="22440" xr:uid="{78E93A60-546D-42AE-A333-627289249B25}"/>
    <cellStyle name="Comma 6 2 5 2 2 3" xfId="32327" xr:uid="{3ABD710E-5A41-4B31-82C1-A2B3F18C7479}"/>
    <cellStyle name="Comma 6 2 5 2 2 4" xfId="51778" xr:uid="{4EBB9DA4-2066-409B-98D6-EDDB1C54F3E2}"/>
    <cellStyle name="Comma 6 2 5 2 2 5" xfId="54794" xr:uid="{84E29753-DA07-4ADC-AD3E-E9FF79B2F995}"/>
    <cellStyle name="Comma 6 2 5 2 3" xfId="15378" xr:uid="{C5375E44-B46A-4A26-B46B-073B930ED1AA}"/>
    <cellStyle name="Comma 6 2 5 2 3 2" xfId="22917" xr:uid="{D2876C40-590C-4C88-A1E5-918D7DEB31B1}"/>
    <cellStyle name="Comma 6 2 5 2 3 3" xfId="33646" xr:uid="{179956E7-BC69-4E07-AF39-68BC837B80FD}"/>
    <cellStyle name="Comma 6 2 5 2 3 4" xfId="52255" xr:uid="{48A3996E-2FE3-4009-8139-59B7C1C4F144}"/>
    <cellStyle name="Comma 6 2 5 2 3 5" xfId="55271" xr:uid="{C96C7EA8-5EC3-4FF7-BDD9-EAEAA73A4676}"/>
    <cellStyle name="Comma 6 2 5 2 4" xfId="15865" xr:uid="{A4AF7097-CD00-4C59-9FD4-E3B7E7D48E59}"/>
    <cellStyle name="Comma 6 2 5 2 4 2" xfId="23394" xr:uid="{B82AA14E-F6A0-4A24-A016-D8CC6E470AE0}"/>
    <cellStyle name="Comma 6 2 5 2 4 3" xfId="36058" xr:uid="{97E36FEA-8A10-4938-B7A8-9A9DAE64B7AE}"/>
    <cellStyle name="Comma 6 2 5 2 4 4" xfId="52732" xr:uid="{0938B288-87B4-4BDB-B7B0-618A26B5D449}"/>
    <cellStyle name="Comma 6 2 5 2 4 5" xfId="55748" xr:uid="{60A3329F-C815-4E29-804D-70E97E49CC45}"/>
    <cellStyle name="Comma 6 2 5 2 5" xfId="12954" xr:uid="{79405FF8-F4D6-4A26-984F-37E5E6F1C871}"/>
    <cellStyle name="Comma 6 2 5 2 5 2" xfId="48094" xr:uid="{319854FB-9473-4F23-95D2-6DD1073ECA44}"/>
    <cellStyle name="Comma 6 2 5 2 5 3" xfId="51301" xr:uid="{C155EACF-C609-4836-BE62-2DA5BCCE632B}"/>
    <cellStyle name="Comma 6 2 5 2 5 4" xfId="54317" xr:uid="{03E457C0-6F27-48E6-B47D-A8A28D0FF225}"/>
    <cellStyle name="Comma 6 2 5 2 6" xfId="46139" xr:uid="{26E3F85F-A1D9-4A48-B139-0A99C7B6288B}"/>
    <cellStyle name="Comma 6 2 5 2 7" xfId="50195" xr:uid="{4B64815F-906C-45F6-9811-F9E81E7282F7}"/>
    <cellStyle name="Comma 6 2 5 2 8" xfId="53211" xr:uid="{C33ABDE9-E399-40B7-9885-AD254772CC44}"/>
    <cellStyle name="Comma 6 2 5 3" xfId="14681" xr:uid="{873AB36B-383F-46A1-B42F-93DA39040B76}"/>
    <cellStyle name="Comma 6 2 5 3 2" xfId="22228" xr:uid="{153AC2EB-1106-498C-99FE-02BF7AB9DAAF}"/>
    <cellStyle name="Comma 6 2 5 3 3" xfId="46847" xr:uid="{10B7B41A-5873-4ABB-9C7F-46C884BA727D}"/>
    <cellStyle name="Comma 6 2 5 3 4" xfId="51566" xr:uid="{FFAA0DD7-9654-4AA3-8132-D45E49C3616B}"/>
    <cellStyle name="Comma 6 2 5 3 5" xfId="54582" xr:uid="{45F58C1E-2112-4BB7-9002-C48FADDAA0F8}"/>
    <cellStyle name="Comma 6 2 5 4" xfId="15166" xr:uid="{78397968-5412-4D58-ADC9-2105C92F3A92}"/>
    <cellStyle name="Comma 6 2 5 4 2" xfId="22705" xr:uid="{268DF42B-0A77-40A5-9C33-C65A0F0DCD6D}"/>
    <cellStyle name="Comma 6 2 5 4 3" xfId="47434" xr:uid="{2BF843F9-AC6D-4945-BEC7-5C20F6E81338}"/>
    <cellStyle name="Comma 6 2 5 4 4" xfId="52043" xr:uid="{9B0AC3ED-EE59-41ED-9620-A2525EA97F11}"/>
    <cellStyle name="Comma 6 2 5 4 5" xfId="55059" xr:uid="{CA80A2E3-97BC-4DB8-8A1D-E912FB7F12C5}"/>
    <cellStyle name="Comma 6 2 5 5" xfId="15653" xr:uid="{C7FDA95F-C79A-4FC0-9F43-CAD9348C3977}"/>
    <cellStyle name="Comma 6 2 5 5 2" xfId="23182" xr:uid="{49A616BC-8977-4C0A-A0C9-9316A98C0FB9}"/>
    <cellStyle name="Comma 6 2 5 5 3" xfId="32281" xr:uid="{B9BFB1B8-7DEB-46DA-93FD-DD93BF8C72D9}"/>
    <cellStyle name="Comma 6 2 5 5 4" xfId="52520" xr:uid="{8D615DAE-2A32-495C-B6AE-AF4106D84ADE}"/>
    <cellStyle name="Comma 6 2 5 5 5" xfId="55536" xr:uid="{914DBC66-B882-4632-A6D1-515FB1C6A9BA}"/>
    <cellStyle name="Comma 6 2 5 6" xfId="12641" xr:uid="{58D8CC43-F993-4EFA-B8D5-A291960D96A0}"/>
    <cellStyle name="Comma 6 2 5 6 2" xfId="47017" xr:uid="{2BB9BDC8-BC59-4DE8-9F07-B70305899E74}"/>
    <cellStyle name="Comma 6 2 5 6 3" xfId="51089" xr:uid="{2D860C49-510D-4522-B178-A4BAF9C2A7CF}"/>
    <cellStyle name="Comma 6 2 5 6 4" xfId="54105" xr:uid="{298D7DDA-CE13-4BCF-9A46-B9F647417238}"/>
    <cellStyle name="Comma 6 2 5 7" xfId="47206" xr:uid="{5BA93C24-86D8-48E0-A4EC-B0F0398B12D1}"/>
    <cellStyle name="Comma 6 2 5 8" xfId="49983" xr:uid="{0FA1FD36-CC6C-4922-9E5D-6376482F555A}"/>
    <cellStyle name="Comma 6 2 5 9" xfId="52999" xr:uid="{32B82065-9656-4289-8E65-765D8067BC3E}"/>
    <cellStyle name="Comma 6 2 6" xfId="10267" xr:uid="{9226981C-2D9C-4AE7-B206-D292380A1BC3}"/>
    <cellStyle name="Comma 6 2 6 2" xfId="14734" xr:uid="{34C6A82C-08CB-4995-96EF-F11D3E670119}"/>
    <cellStyle name="Comma 6 2 6 2 2" xfId="22281" xr:uid="{CD02F664-A5B3-4B75-A66E-A77FCD0D43E1}"/>
    <cellStyle name="Comma 6 2 6 2 3" xfId="24957" xr:uid="{C4A95601-4BA2-40A5-98AD-59C808A0ABFE}"/>
    <cellStyle name="Comma 6 2 6 2 4" xfId="51619" xr:uid="{8BD137FF-C3AE-446C-B74D-869A26F6F8D2}"/>
    <cellStyle name="Comma 6 2 6 2 5" xfId="54635" xr:uid="{535AD1BC-F810-4380-B1AE-CC1C231ACCB2}"/>
    <cellStyle name="Comma 6 2 6 3" xfId="15219" xr:uid="{6BBC6D75-CBF4-48EB-91CC-CA1A166FB157}"/>
    <cellStyle name="Comma 6 2 6 3 2" xfId="22758" xr:uid="{322314B4-AB32-44BF-AA84-255FAD76B64B}"/>
    <cellStyle name="Comma 6 2 6 3 3" xfId="47341" xr:uid="{9D47FB9C-7FE1-46E9-9B75-67988DAF3658}"/>
    <cellStyle name="Comma 6 2 6 3 4" xfId="52096" xr:uid="{CD5B62B1-2309-41FA-8CAF-C16BDB5BF364}"/>
    <cellStyle name="Comma 6 2 6 3 5" xfId="55112" xr:uid="{B6A470A0-8F9E-478C-ADB3-9F0222DEC592}"/>
    <cellStyle name="Comma 6 2 6 4" xfId="15706" xr:uid="{D10A0A70-E94E-40D3-B942-D8682ACD6F5C}"/>
    <cellStyle name="Comma 6 2 6 4 2" xfId="23235" xr:uid="{B7AC338E-A913-4709-AA65-2CC3884D468B}"/>
    <cellStyle name="Comma 6 2 6 4 3" xfId="33994" xr:uid="{46061889-BEFD-4587-BFB8-17E6A31D4BA6}"/>
    <cellStyle name="Comma 6 2 6 4 4" xfId="52573" xr:uid="{886FFCF2-BB63-4B72-91B6-422E4E5E745E}"/>
    <cellStyle name="Comma 6 2 6 4 5" xfId="55589" xr:uid="{3ADC2164-F4D0-4931-90A6-C661BD2654D6}"/>
    <cellStyle name="Comma 6 2 6 5" xfId="12720" xr:uid="{591A2DE2-4A75-4807-88DB-38656CAE308C}"/>
    <cellStyle name="Comma 6 2 6 5 2" xfId="47146" xr:uid="{D4BB77EC-2331-4203-AD41-43EC9375BAAD}"/>
    <cellStyle name="Comma 6 2 6 5 3" xfId="51142" xr:uid="{471305C9-3FAA-41CA-88AD-756BB99E946F}"/>
    <cellStyle name="Comma 6 2 6 5 4" xfId="54158" xr:uid="{C99A16FA-347C-4ACC-9F95-E28FE4C234F3}"/>
    <cellStyle name="Comma 6 2 6 6" xfId="48284" xr:uid="{97D7EA04-B6E6-4D29-911F-49D00C4D0838}"/>
    <cellStyle name="Comma 6 2 6 7" xfId="50036" xr:uid="{8D2FE0E3-95F7-4B76-8487-A29880F5B0C2}"/>
    <cellStyle name="Comma 6 2 6 8" xfId="53052" xr:uid="{7564C89B-834B-4B9A-841E-B5DC39A64EC9}"/>
    <cellStyle name="Comma 6 2 7" xfId="10581" xr:uid="{D140E726-87F1-4ECF-B97D-90C91856B1BF}"/>
    <cellStyle name="Comma 6 2 7 2" xfId="14946" xr:uid="{BFC811A7-78A0-49EB-9828-7DB2562FF415}"/>
    <cellStyle name="Comma 6 2 7 2 2" xfId="22493" xr:uid="{A2ECCB89-8B8B-421C-9069-21D6C0ED707A}"/>
    <cellStyle name="Comma 6 2 7 2 3" xfId="46458" xr:uid="{0CC9E493-2B3B-4445-B235-E71DC2DA6D0C}"/>
    <cellStyle name="Comma 6 2 7 2 4" xfId="51831" xr:uid="{234CB331-3344-43F6-A7AC-F20494B7DC9C}"/>
    <cellStyle name="Comma 6 2 7 2 5" xfId="54847" xr:uid="{B5BBAFCB-9CBC-49FD-A972-408C7E9320B1}"/>
    <cellStyle name="Comma 6 2 7 3" xfId="15431" xr:uid="{80A3C374-8329-473F-B13A-3E5AC3162B57}"/>
    <cellStyle name="Comma 6 2 7 3 2" xfId="22970" xr:uid="{42E6CCB2-3ED4-45FF-89AE-E1DE5D3EAD0B}"/>
    <cellStyle name="Comma 6 2 7 3 3" xfId="48247" xr:uid="{B8CD665C-219E-4363-986F-EDC8623F8EA4}"/>
    <cellStyle name="Comma 6 2 7 3 4" xfId="52308" xr:uid="{78E0CE9B-C8F8-49AD-8B9B-A92A235F5442}"/>
    <cellStyle name="Comma 6 2 7 3 5" xfId="55324" xr:uid="{F6CA8832-1ACA-4376-B5E1-79CD7A0EBDA1}"/>
    <cellStyle name="Comma 6 2 7 4" xfId="15919" xr:uid="{F7017CD9-4095-4A08-A914-67E3BBA709DC}"/>
    <cellStyle name="Comma 6 2 7 4 2" xfId="23447" xr:uid="{F71E757A-16E3-4B4B-9C42-31136F2A5B1A}"/>
    <cellStyle name="Comma 6 2 7 4 3" xfId="32499" xr:uid="{2B5A39B2-B426-4CB9-AF0E-CCAAF7159B6A}"/>
    <cellStyle name="Comma 6 2 7 4 4" xfId="52785" xr:uid="{FA497C8D-8967-4E91-A451-240E9907C070}"/>
    <cellStyle name="Comma 6 2 7 4 5" xfId="55801" xr:uid="{71EE9E76-D5E3-4DBF-9C8E-EB811BEFD68A}"/>
    <cellStyle name="Comma 6 2 7 5" xfId="13034" xr:uid="{79D2630E-C616-4741-901C-A3C773ADA7D9}"/>
    <cellStyle name="Comma 6 2 7 5 2" xfId="47104" xr:uid="{19BE0F5A-7D36-4303-BA1D-90E57795F00B}"/>
    <cellStyle name="Comma 6 2 7 5 3" xfId="51354" xr:uid="{07A41075-1D5B-43B1-801A-6B9E17E1D526}"/>
    <cellStyle name="Comma 6 2 7 5 4" xfId="54370" xr:uid="{4CE612FC-BD19-4027-8B1A-CA93C04FE3B8}"/>
    <cellStyle name="Comma 6 2 7 6" xfId="24258" xr:uid="{2F648397-3B69-4168-8028-614F04E4B810}"/>
    <cellStyle name="Comma 6 2 7 7" xfId="50248" xr:uid="{C93E296B-1E3E-4299-9DEF-370126944A23}"/>
    <cellStyle name="Comma 6 2 7 8" xfId="53264" xr:uid="{4579390B-3389-44CF-AEAD-E4AB56E5F0C1}"/>
    <cellStyle name="Comma 6 2 8" xfId="11172" xr:uid="{B5846EC0-3128-407D-B8F4-4C6ED442B0FA}"/>
    <cellStyle name="Comma 6 2 9" xfId="14522" xr:uid="{B4CC3282-1ADB-408D-A0E3-B75D9D792894}"/>
    <cellStyle name="Comma 6 2 9 2" xfId="22069" xr:uid="{B98D8669-B16C-4060-B2A1-7DF99862ED1F}"/>
    <cellStyle name="Comma 6 2 9 3" xfId="37017" xr:uid="{C4D58834-21C6-481F-8A8F-79FC6E63412E}"/>
    <cellStyle name="Comma 6 2 9 4" xfId="51407" xr:uid="{173EEE99-08F2-4682-8F66-E0297F3E84C3}"/>
    <cellStyle name="Comma 6 2 9 5" xfId="54423" xr:uid="{6DB2FA37-2D8A-4474-A5B2-5A96FA73DDCE}"/>
    <cellStyle name="Comma 6 3" xfId="5827" xr:uid="{22EDCFFB-AE1F-4CBB-8ABD-74FAF2F53C5B}"/>
    <cellStyle name="Comma 6 3 10" xfId="15495" xr:uid="{7F1E04E6-4674-486F-99B7-12E430A8D8E0}"/>
    <cellStyle name="Comma 6 3 10 2" xfId="23025" xr:uid="{37ED2557-2934-4267-8FFF-84B8DE3E6774}"/>
    <cellStyle name="Comma 6 3 10 3" xfId="47384" xr:uid="{77D8021D-6A16-4D5F-ABC6-EB0AFC8C9637}"/>
    <cellStyle name="Comma 6 3 10 4" xfId="52363" xr:uid="{0F00D431-5E85-4283-8C1B-BB5888553CA8}"/>
    <cellStyle name="Comma 6 3 10 5" xfId="55379" xr:uid="{9ABB77E1-EAB4-49C9-B298-2C7182B202AB}"/>
    <cellStyle name="Comma 6 3 11" xfId="11702" xr:uid="{7B173847-51BF-40B4-A3D0-D35A9A45B411}"/>
    <cellStyle name="Comma 6 3 11 2" xfId="46283" xr:uid="{023D71B5-6C7A-4629-A8AF-81DFCA1DE966}"/>
    <cellStyle name="Comma 6 3 11 3" xfId="50749" xr:uid="{E9464976-17DA-4D86-8B22-B00E4606A0E5}"/>
    <cellStyle name="Comma 6 3 11 4" xfId="53765" xr:uid="{2973CB90-BD29-485E-9039-139990BAC7E5}"/>
    <cellStyle name="Comma 6 3 12" xfId="23796" xr:uid="{AFCBF18E-0F16-4409-9985-18344B9A0880}"/>
    <cellStyle name="Comma 6 3 13" xfId="48669" xr:uid="{727D447D-F09B-4913-878E-8B1CC43AB2AC}"/>
    <cellStyle name="Comma 6 3 14" xfId="49577" xr:uid="{D83F4716-4617-4CC0-8AF4-CD7702A67EA4}"/>
    <cellStyle name="Comma 6 3 15" xfId="49826" xr:uid="{ED79B4DB-99C3-42B0-9BE7-5C9556045A9F}"/>
    <cellStyle name="Comma 6 3 16" xfId="52841" xr:uid="{A4D43DCC-E66A-47DA-B85A-7EA5E3303330}"/>
    <cellStyle name="Comma 6 3 17" xfId="8949" xr:uid="{C54FF863-76AF-4812-B95E-F5879419A24E}"/>
    <cellStyle name="Comma 6 3 2" xfId="10036" xr:uid="{8EF3D2B8-30E0-4362-909E-8A5AF0576CB5}"/>
    <cellStyle name="Comma 6 3 2 2" xfId="10344" xr:uid="{5CBD6FBA-241A-4AE4-8CCF-D3C79A3CA61D}"/>
    <cellStyle name="Comma 6 3 2 2 2" xfId="14789" xr:uid="{5F6FD1FC-AD57-4A41-88F4-F59744F63FF2}"/>
    <cellStyle name="Comma 6 3 2 2 2 2" xfId="22336" xr:uid="{E24A10E6-2D7C-49CA-A7F2-92BAB65DEE36}"/>
    <cellStyle name="Comma 6 3 2 2 2 3" xfId="47931" xr:uid="{A8FF389F-2B50-49CD-8AD0-E8E4978CA679}"/>
    <cellStyle name="Comma 6 3 2 2 2 4" xfId="51674" xr:uid="{064CD963-C642-43EB-8948-65282B18BE5D}"/>
    <cellStyle name="Comma 6 3 2 2 2 5" xfId="54690" xr:uid="{FFA0FDD5-D2A6-4C35-9376-CEE5FEB7683B}"/>
    <cellStyle name="Comma 6 3 2 2 3" xfId="15274" xr:uid="{4A439BCE-E56C-4D20-9940-10199B7DB205}"/>
    <cellStyle name="Comma 6 3 2 2 3 2" xfId="22813" xr:uid="{603CF4FE-98EC-447E-B0E5-8F6656702993}"/>
    <cellStyle name="Comma 6 3 2 2 3 3" xfId="47637" xr:uid="{ED6D9D9F-749B-49EB-92C3-99531DF6482B}"/>
    <cellStyle name="Comma 6 3 2 2 3 4" xfId="52151" xr:uid="{7A5B4E6D-D7AC-4671-934A-5F1B97AD5183}"/>
    <cellStyle name="Comma 6 3 2 2 3 5" xfId="55167" xr:uid="{D75D561A-1313-4922-BA65-F284CFC8D9D8}"/>
    <cellStyle name="Comma 6 3 2 2 4" xfId="15761" xr:uid="{8EC2BE60-23D0-416C-9AAD-3E1ED6D541CE}"/>
    <cellStyle name="Comma 6 3 2 2 4 2" xfId="23290" xr:uid="{D2F83990-05E8-4AB8-ABC9-5389497256B3}"/>
    <cellStyle name="Comma 6 3 2 2 4 3" xfId="48249" xr:uid="{27C5D6C2-81F9-4BF8-8B4F-25183AC05CDA}"/>
    <cellStyle name="Comma 6 3 2 2 4 4" xfId="52628" xr:uid="{B634CA94-9560-417F-97B4-945D119EDA9C}"/>
    <cellStyle name="Comma 6 3 2 2 4 5" xfId="55644" xr:uid="{9CBB3F96-3982-4FA9-9F64-76D2A42A23EF}"/>
    <cellStyle name="Comma 6 3 2 2 5" xfId="12797" xr:uid="{57DDFE2B-4661-4F9D-A6DF-DE6FCC5B3160}"/>
    <cellStyle name="Comma 6 3 2 2 5 2" xfId="46354" xr:uid="{6D340C55-F6B5-4685-836B-29E997B3C496}"/>
    <cellStyle name="Comma 6 3 2 2 5 3" xfId="51197" xr:uid="{B9E45685-F33C-41C8-9C44-A3DC88287021}"/>
    <cellStyle name="Comma 6 3 2 2 5 4" xfId="54213" xr:uid="{1F6B4AC0-CAE7-42F6-8204-26C5FE73A57D}"/>
    <cellStyle name="Comma 6 3 2 2 6" xfId="47878" xr:uid="{6CF7F27E-9B1E-45F8-8EB8-AF75E555E3C4}"/>
    <cellStyle name="Comma 6 3 2 2 7" xfId="50091" xr:uid="{235D971E-5048-4D7D-8E45-7C8EA5221136}"/>
    <cellStyle name="Comma 6 3 2 2 8" xfId="53107" xr:uid="{04EE3858-3E33-4FEB-9789-E88521A5779B}"/>
    <cellStyle name="Comma 6 3 2 3" xfId="14577" xr:uid="{9CC8F345-8B0E-4263-A2DD-DE05C1716CCC}"/>
    <cellStyle name="Comma 6 3 2 3 2" xfId="22124" xr:uid="{FD5710F5-D2AB-4377-8044-5B206BA0F930}"/>
    <cellStyle name="Comma 6 3 2 3 3" xfId="36590" xr:uid="{B71C5C11-F308-42AD-B928-A36BB829D3E0}"/>
    <cellStyle name="Comma 6 3 2 3 4" xfId="51462" xr:uid="{038C1618-A5AB-4B9F-A843-45442AD2F5D9}"/>
    <cellStyle name="Comma 6 3 2 3 5" xfId="54478" xr:uid="{84D7CA6C-0BE5-46C3-8902-62537BBA3E45}"/>
    <cellStyle name="Comma 6 3 2 4" xfId="15061" xr:uid="{62D7A3BA-A008-4DD4-A864-5C992A54CD9B}"/>
    <cellStyle name="Comma 6 3 2 4 2" xfId="22601" xr:uid="{95110663-28C1-423F-8101-8621BD80BC29}"/>
    <cellStyle name="Comma 6 3 2 4 3" xfId="46879" xr:uid="{21233434-B09D-4908-AC80-34434EC7297B}"/>
    <cellStyle name="Comma 6 3 2 4 4" xfId="51939" xr:uid="{5337E7E0-9594-4002-B0FC-929A0E00EE47}"/>
    <cellStyle name="Comma 6 3 2 4 5" xfId="54955" xr:uid="{94888262-D965-4A6A-9BFB-2FA318431E42}"/>
    <cellStyle name="Comma 6 3 2 5" xfId="15548" xr:uid="{AE13899B-641F-4A0B-A20E-90C817B22733}"/>
    <cellStyle name="Comma 6 3 2 5 2" xfId="23078" xr:uid="{7729BEF0-B8DC-4666-973C-0088F9CD725D}"/>
    <cellStyle name="Comma 6 3 2 5 3" xfId="48517" xr:uid="{EA47D9B6-7E12-4282-B40A-46E9BDF5B140}"/>
    <cellStyle name="Comma 6 3 2 5 4" xfId="52416" xr:uid="{5002D267-399F-4DCE-B59F-6E7EE75B49BF}"/>
    <cellStyle name="Comma 6 3 2 5 5" xfId="55432" xr:uid="{321145E1-3C50-42B5-8D1D-B2F7364CA44C}"/>
    <cellStyle name="Comma 6 3 2 6" xfId="12496" xr:uid="{59FC0F13-E919-47CA-BC3A-609B8D107A56}"/>
    <cellStyle name="Comma 6 3 2 6 2" xfId="48334" xr:uid="{7AA077A4-7AA6-47D1-A9F8-C26C9E8C902E}"/>
    <cellStyle name="Comma 6 3 2 6 3" xfId="50985" xr:uid="{B4FD141B-A665-48FA-947C-12AC5A721FD4}"/>
    <cellStyle name="Comma 6 3 2 6 4" xfId="54001" xr:uid="{A7DD7570-DC97-4158-ABF6-345914D6EBB4}"/>
    <cellStyle name="Comma 6 3 2 7" xfId="46611" xr:uid="{B92F4B13-C3F0-47F4-9BE0-CEC1A85AFAEB}"/>
    <cellStyle name="Comma 6 3 2 8" xfId="49879" xr:uid="{7C95586D-A9BB-42DA-93F5-5BC71C395CB1}"/>
    <cellStyle name="Comma 6 3 2 9" xfId="52895" xr:uid="{74215A83-4CC1-473E-B7F9-59655B1E0B07}"/>
    <cellStyle name="Comma 6 3 3" xfId="10110" xr:uid="{EAA5D285-678C-442D-BC56-30328AB2C835}"/>
    <cellStyle name="Comma 6 3 3 2" xfId="10423" xr:uid="{9567F27D-4A0B-4FFC-AC34-7DF44C72F6B9}"/>
    <cellStyle name="Comma 6 3 3 2 2" xfId="14842" xr:uid="{69B4A8C4-6B18-4C14-9033-F70701B0D3A2}"/>
    <cellStyle name="Comma 6 3 3 2 2 2" xfId="22389" xr:uid="{71F762E1-1C4B-4684-9117-D4E1E02CB401}"/>
    <cellStyle name="Comma 6 3 3 2 2 3" xfId="47776" xr:uid="{0E39588A-62BF-49BC-8F6A-7B1732BB6D8D}"/>
    <cellStyle name="Comma 6 3 3 2 2 4" xfId="51727" xr:uid="{046AC602-29C0-4A25-A939-0384F458ACBF}"/>
    <cellStyle name="Comma 6 3 3 2 2 5" xfId="54743" xr:uid="{34DD6625-F2D4-4A31-BD9F-BADB5EC9E1EC}"/>
    <cellStyle name="Comma 6 3 3 2 3" xfId="15327" xr:uid="{DBE6B652-6FED-45B8-A8E3-574054B4E5D7}"/>
    <cellStyle name="Comma 6 3 3 2 3 2" xfId="22866" xr:uid="{5FD96E19-50F9-489C-908F-64A7EB478EAE}"/>
    <cellStyle name="Comma 6 3 3 2 3 3" xfId="32544" xr:uid="{3E1BCD8B-0265-420E-ACCF-4F671925ED43}"/>
    <cellStyle name="Comma 6 3 3 2 3 4" xfId="52204" xr:uid="{A925C59F-1D4D-4984-BAB1-B129A12EDDF2}"/>
    <cellStyle name="Comma 6 3 3 2 3 5" xfId="55220" xr:uid="{491898EA-12A6-4DDE-8010-3979C44D96FB}"/>
    <cellStyle name="Comma 6 3 3 2 4" xfId="15814" xr:uid="{FDA83136-3522-4166-BF20-8275C62F6F5A}"/>
    <cellStyle name="Comma 6 3 3 2 4 2" xfId="23343" xr:uid="{4B2C7512-48BB-4533-9CC7-8CAD60687AE5}"/>
    <cellStyle name="Comma 6 3 3 2 4 3" xfId="46969" xr:uid="{4C092636-2D5F-4AD9-9D1B-BB9D2075C59B}"/>
    <cellStyle name="Comma 6 3 3 2 4 4" xfId="52681" xr:uid="{E3367182-05E9-4F09-AE76-71E7B2BE44CE}"/>
    <cellStyle name="Comma 6 3 3 2 4 5" xfId="55697" xr:uid="{2A9ADA7B-23E0-40C2-B4AC-8B14BBBBDD3A}"/>
    <cellStyle name="Comma 6 3 3 2 5" xfId="12876" xr:uid="{6FD34222-7C80-4EAA-A45C-7D92712E97FC}"/>
    <cellStyle name="Comma 6 3 3 2 5 2" xfId="47325" xr:uid="{578DFF46-B9C8-479E-9F30-9C04D3F45300}"/>
    <cellStyle name="Comma 6 3 3 2 5 3" xfId="51250" xr:uid="{FA8416FE-6F23-4AAF-90FC-AD39E0C8F9F4}"/>
    <cellStyle name="Comma 6 3 3 2 5 4" xfId="54266" xr:uid="{252BE5CB-89AC-4C36-ACE2-6636091137EC}"/>
    <cellStyle name="Comma 6 3 3 2 6" xfId="46120" xr:uid="{6917EE62-4856-4328-8643-DB6865F291D8}"/>
    <cellStyle name="Comma 6 3 3 2 7" xfId="50144" xr:uid="{D62E6F2F-F368-4EC5-ABAB-AB93A9EF0B56}"/>
    <cellStyle name="Comma 6 3 3 2 8" xfId="53160" xr:uid="{E5952964-77B1-4A5E-80F1-5AF70381C79D}"/>
    <cellStyle name="Comma 6 3 3 3" xfId="14630" xr:uid="{7BF40F0E-3C85-4464-AA66-38C3995C187C}"/>
    <cellStyle name="Comma 6 3 3 3 2" xfId="22177" xr:uid="{10B0FFC2-D154-46A2-8543-E95630C16675}"/>
    <cellStyle name="Comma 6 3 3 3 3" xfId="32411" xr:uid="{776D61E1-33A7-4DF1-8930-586E97D51419}"/>
    <cellStyle name="Comma 6 3 3 3 4" xfId="51515" xr:uid="{6E4B745E-40B9-4812-A7BE-C57C2E97DBE9}"/>
    <cellStyle name="Comma 6 3 3 3 5" xfId="54531" xr:uid="{AC633AC8-91E8-4737-A61A-805A5B636D1E}"/>
    <cellStyle name="Comma 6 3 3 4" xfId="15115" xr:uid="{D5CA8DBC-5B26-48F7-9AD0-4BB4D09E37B1}"/>
    <cellStyle name="Comma 6 3 3 4 2" xfId="22654" xr:uid="{F1AB9054-FD31-41F2-86BC-CF58A231542D}"/>
    <cellStyle name="Comma 6 3 3 4 3" xfId="46882" xr:uid="{DC96C5AE-7CD3-41F9-B24F-BD64185CDC02}"/>
    <cellStyle name="Comma 6 3 3 4 4" xfId="51992" xr:uid="{7AD94D98-0477-48B6-AA76-1B7AA09DCF27}"/>
    <cellStyle name="Comma 6 3 3 4 5" xfId="55008" xr:uid="{54F8D069-1FD5-4182-B275-3B9B0C159282}"/>
    <cellStyle name="Comma 6 3 3 5" xfId="15602" xr:uid="{7E199B5C-DAEB-4182-B095-26E1BF93DA5E}"/>
    <cellStyle name="Comma 6 3 3 5 2" xfId="23131" xr:uid="{C51AC97C-10AC-4294-8BB0-DC768B4A946C}"/>
    <cellStyle name="Comma 6 3 3 5 3" xfId="47746" xr:uid="{8320A4B2-EB95-4B7B-9814-C5306CDE9916}"/>
    <cellStyle name="Comma 6 3 3 5 4" xfId="52469" xr:uid="{CF6E0D35-34A0-43BD-A692-8C2CD56DBD6C}"/>
    <cellStyle name="Comma 6 3 3 5 5" xfId="55485" xr:uid="{EE28A2AC-E48B-464C-BDB2-DF3338F3C80F}"/>
    <cellStyle name="Comma 6 3 3 6" xfId="12567" xr:uid="{A2E8F284-B42D-4B12-B2D1-7DF0DE271685}"/>
    <cellStyle name="Comma 6 3 3 6 2" xfId="46325" xr:uid="{C6A0F0E6-16BB-43D5-BCA0-D30227C5BC8B}"/>
    <cellStyle name="Comma 6 3 3 6 3" xfId="51038" xr:uid="{00663AE1-FBBE-4239-A5EA-A140C4E14DAC}"/>
    <cellStyle name="Comma 6 3 3 6 4" xfId="54054" xr:uid="{732A7B7E-34AF-4C82-A279-3EF1E9991078}"/>
    <cellStyle name="Comma 6 3 3 7" xfId="48152" xr:uid="{A1A947F8-D0BB-4155-BDA1-5231F6392FE7}"/>
    <cellStyle name="Comma 6 3 3 8" xfId="49932" xr:uid="{6D75B862-4A2C-4DB1-8BD7-8B185684321E}"/>
    <cellStyle name="Comma 6 3 3 9" xfId="52948" xr:uid="{777C2CCE-4FD5-4BB1-9A00-47DAE5CFCB36}"/>
    <cellStyle name="Comma 6 3 4" xfId="10189" xr:uid="{127FF367-8CCE-4811-B95D-82E4A22E1525}"/>
    <cellStyle name="Comma 6 3 4 2" xfId="10503" xr:uid="{1F9502F6-F902-42D6-B9C7-965B384F207C}"/>
    <cellStyle name="Comma 6 3 4 2 2" xfId="14895" xr:uid="{DAC33C18-6711-495C-8A04-B1A815539961}"/>
    <cellStyle name="Comma 6 3 4 2 2 2" xfId="22442" xr:uid="{68665052-0D3D-459B-8BA1-BA3CFD2ACE9E}"/>
    <cellStyle name="Comma 6 3 4 2 2 3" xfId="47777" xr:uid="{CAFD85BE-EBAE-42E2-83B2-FABEFC1A9EFA}"/>
    <cellStyle name="Comma 6 3 4 2 2 4" xfId="51780" xr:uid="{D54C715A-7343-4216-B8DB-66D6510F0975}"/>
    <cellStyle name="Comma 6 3 4 2 2 5" xfId="54796" xr:uid="{996D70B4-3115-44D2-9ACD-CE13645F121A}"/>
    <cellStyle name="Comma 6 3 4 2 3" xfId="15380" xr:uid="{96885F1D-E090-430B-8D32-CCE37016120E}"/>
    <cellStyle name="Comma 6 3 4 2 3 2" xfId="22919" xr:uid="{4E3257E0-10CD-4655-A08F-12E3E0E7BFE6}"/>
    <cellStyle name="Comma 6 3 4 2 3 3" xfId="46523" xr:uid="{7554A1B7-8CBE-4248-ABC9-F162442BC501}"/>
    <cellStyle name="Comma 6 3 4 2 3 4" xfId="52257" xr:uid="{85384EA7-D98D-4410-BE58-41728011C424}"/>
    <cellStyle name="Comma 6 3 4 2 3 5" xfId="55273" xr:uid="{34157C31-A7B2-4DBE-B61A-EE77EA594C70}"/>
    <cellStyle name="Comma 6 3 4 2 4" xfId="15867" xr:uid="{99C7B072-17A5-4040-A09D-F61937911EFF}"/>
    <cellStyle name="Comma 6 3 4 2 4 2" xfId="23396" xr:uid="{F1E1B26C-E53D-4160-81E4-2BE989CA6250}"/>
    <cellStyle name="Comma 6 3 4 2 4 3" xfId="46599" xr:uid="{11FA9925-D85A-445D-9120-F83C240675A4}"/>
    <cellStyle name="Comma 6 3 4 2 4 4" xfId="52734" xr:uid="{6D4FA593-2263-49F2-8C4D-AFF821F20325}"/>
    <cellStyle name="Comma 6 3 4 2 4 5" xfId="55750" xr:uid="{A415D22E-4B98-4629-BECC-B154B7B8C2DA}"/>
    <cellStyle name="Comma 6 3 4 2 5" xfId="12956" xr:uid="{79072A40-8E60-462F-A316-192C0D9E4DF6}"/>
    <cellStyle name="Comma 6 3 4 2 5 2" xfId="36708" xr:uid="{FEB3ACB4-F3E2-42A7-A806-352336EB745B}"/>
    <cellStyle name="Comma 6 3 4 2 5 3" xfId="51303" xr:uid="{38D40AF4-671B-4884-8539-38E3250984A0}"/>
    <cellStyle name="Comma 6 3 4 2 5 4" xfId="54319" xr:uid="{99FB8C47-79F4-430B-A255-4F951821C299}"/>
    <cellStyle name="Comma 6 3 4 2 6" xfId="48462" xr:uid="{8E6875E5-5EA9-4D4E-A7C3-8B6453209857}"/>
    <cellStyle name="Comma 6 3 4 2 7" xfId="50197" xr:uid="{2DB865F2-4C4A-44DB-BFF8-C14B1B32AD0A}"/>
    <cellStyle name="Comma 6 3 4 2 8" xfId="53213" xr:uid="{FBECD067-C503-4AE6-ABAF-B2803168E618}"/>
    <cellStyle name="Comma 6 3 4 3" xfId="14683" xr:uid="{92FBE27D-75E2-4BF9-BC29-C5B0D5E254BB}"/>
    <cellStyle name="Comma 6 3 4 3 2" xfId="22230" xr:uid="{4760BC6A-3287-41C1-9E2C-564442985DDF}"/>
    <cellStyle name="Comma 6 3 4 3 3" xfId="47927" xr:uid="{29B01361-9741-44B7-9370-D95AAE6A81B6}"/>
    <cellStyle name="Comma 6 3 4 3 4" xfId="51568" xr:uid="{79AD5063-1E75-41D7-A186-0EB45940DE0C}"/>
    <cellStyle name="Comma 6 3 4 3 5" xfId="54584" xr:uid="{E5AC0BB7-28F2-4105-8145-70EC12D29501}"/>
    <cellStyle name="Comma 6 3 4 4" xfId="15168" xr:uid="{B1426FBA-04A2-4A3B-BFEA-F5E5238595E4}"/>
    <cellStyle name="Comma 6 3 4 4 2" xfId="22707" xr:uid="{F6DF7629-0435-452A-B9E7-A988C7FA4380}"/>
    <cellStyle name="Comma 6 3 4 4 3" xfId="46888" xr:uid="{502907A5-8043-4710-AE47-B658888BEF1E}"/>
    <cellStyle name="Comma 6 3 4 4 4" xfId="52045" xr:uid="{B341B57C-FE45-42ED-A4C4-2E6EF2FEF472}"/>
    <cellStyle name="Comma 6 3 4 4 5" xfId="55061" xr:uid="{8BC40E9E-244C-40BF-BC04-5BCF005FCFC9}"/>
    <cellStyle name="Comma 6 3 4 5" xfId="15655" xr:uid="{404942CD-770E-4CFC-B65A-17D8109B4E0C}"/>
    <cellStyle name="Comma 6 3 4 5 2" xfId="23184" xr:uid="{20AADB35-B2EF-4D7C-9117-9EEA65304B78}"/>
    <cellStyle name="Comma 6 3 4 5 3" xfId="36943" xr:uid="{BCE72A93-4B8C-4288-BD7C-500CF817A422}"/>
    <cellStyle name="Comma 6 3 4 5 4" xfId="52522" xr:uid="{A3578DA9-1655-4F07-B3A4-345FE7647FDB}"/>
    <cellStyle name="Comma 6 3 4 5 5" xfId="55538" xr:uid="{6787D588-119C-4CBB-BBB4-53079173D74A}"/>
    <cellStyle name="Comma 6 3 4 6" xfId="12643" xr:uid="{0CC5B8D1-F896-497D-9F20-6AAF559F8F2A}"/>
    <cellStyle name="Comma 6 3 4 6 2" xfId="46779" xr:uid="{36717015-BF7D-4846-8AA3-F44E8AC9D1FE}"/>
    <cellStyle name="Comma 6 3 4 6 3" xfId="51091" xr:uid="{DB7E2000-5170-4348-B5DD-2F85A39C6B86}"/>
    <cellStyle name="Comma 6 3 4 6 4" xfId="54107" xr:uid="{33FA5B89-A7C9-488D-8E0A-D092F9F527A8}"/>
    <cellStyle name="Comma 6 3 4 7" xfId="47676" xr:uid="{BA68C64A-D9CA-4CCA-96F0-2443BE1686D5}"/>
    <cellStyle name="Comma 6 3 4 8" xfId="49985" xr:uid="{81C77EDE-C385-4D2C-B1CD-911E128B4FC4}"/>
    <cellStyle name="Comma 6 3 4 9" xfId="53001" xr:uid="{6D2B7A67-9F38-4975-9AA9-A7BC41E1184F}"/>
    <cellStyle name="Comma 6 3 5" xfId="10269" xr:uid="{B0F7DC79-F524-43AA-A544-D786F7364E30}"/>
    <cellStyle name="Comma 6 3 5 2" xfId="14736" xr:uid="{4C10287F-135C-4F0E-AA07-23CA9845A2E7}"/>
    <cellStyle name="Comma 6 3 5 2 2" xfId="22283" xr:uid="{85A0C741-CF7F-4017-BD41-83A119A3E236}"/>
    <cellStyle name="Comma 6 3 5 2 3" xfId="46856" xr:uid="{6F5686AB-08F7-448C-B791-B5F497F06D96}"/>
    <cellStyle name="Comma 6 3 5 2 4" xfId="51621" xr:uid="{18A157F4-F56C-4310-88D0-42ECC0FA94AB}"/>
    <cellStyle name="Comma 6 3 5 2 5" xfId="54637" xr:uid="{7197F1CF-C005-47A9-82A9-27D62BCFEEFD}"/>
    <cellStyle name="Comma 6 3 5 3" xfId="15221" xr:uid="{EF29370B-6AB3-46CF-ABB6-8331FD7738F9}"/>
    <cellStyle name="Comma 6 3 5 3 2" xfId="22760" xr:uid="{1A8286A2-1EC3-473C-85BF-22760100E250}"/>
    <cellStyle name="Comma 6 3 5 3 3" xfId="48542" xr:uid="{608A341F-CF66-4D07-8E4E-64D0D274D206}"/>
    <cellStyle name="Comma 6 3 5 3 4" xfId="52098" xr:uid="{49DFA0AB-41B8-46A8-95A5-B019246D2968}"/>
    <cellStyle name="Comma 6 3 5 3 5" xfId="55114" xr:uid="{10DA570E-EC79-4691-8894-090700D2F7FA}"/>
    <cellStyle name="Comma 6 3 5 4" xfId="15708" xr:uid="{856CE060-3683-41A2-B160-E15277194502}"/>
    <cellStyle name="Comma 6 3 5 4 2" xfId="23237" xr:uid="{1B8659DB-2727-4A07-8B2C-4F9EE502C6EA}"/>
    <cellStyle name="Comma 6 3 5 4 3" xfId="46955" xr:uid="{880201C7-A937-446E-915F-EC6819A63EDD}"/>
    <cellStyle name="Comma 6 3 5 4 4" xfId="52575" xr:uid="{D98598C1-4930-4619-AD68-E2CEFA0FC88A}"/>
    <cellStyle name="Comma 6 3 5 4 5" xfId="55591" xr:uid="{C53F1CAE-DDD6-4499-B8B5-CA2A0717B8E7}"/>
    <cellStyle name="Comma 6 3 5 5" xfId="12722" xr:uid="{D27746FB-94AD-49A3-8846-970C6AA9E5CE}"/>
    <cellStyle name="Comma 6 3 5 5 2" xfId="48240" xr:uid="{52B52CEF-0A34-4D64-9F91-F9B70AADF65C}"/>
    <cellStyle name="Comma 6 3 5 5 3" xfId="51144" xr:uid="{79024F86-0EB2-4353-B04B-AB6C185E1B75}"/>
    <cellStyle name="Comma 6 3 5 5 4" xfId="54160" xr:uid="{E1184591-43D3-4DF1-B3E5-8760357284FD}"/>
    <cellStyle name="Comma 6 3 5 6" xfId="47282" xr:uid="{780A1532-3503-4741-B2F5-3F691720FD2E}"/>
    <cellStyle name="Comma 6 3 5 7" xfId="50038" xr:uid="{0AA85395-6917-46F9-AB82-A3CE66AE4B98}"/>
    <cellStyle name="Comma 6 3 5 8" xfId="53054" xr:uid="{7DE67FC9-F001-4B81-9BA2-41241FD82C60}"/>
    <cellStyle name="Comma 6 3 6" xfId="10583" xr:uid="{954C2AA9-2ECD-4C1B-B0B5-DD85D671A710}"/>
    <cellStyle name="Comma 6 3 6 2" xfId="14948" xr:uid="{B73D6C76-6F37-410D-A947-ED8847403899}"/>
    <cellStyle name="Comma 6 3 6 2 2" xfId="22495" xr:uid="{47437564-0EC0-4716-9693-41C8B14509D8}"/>
    <cellStyle name="Comma 6 3 6 2 3" xfId="24454" xr:uid="{4B5A39FB-17E0-487C-9D54-1C0EE108029E}"/>
    <cellStyle name="Comma 6 3 6 2 4" xfId="51833" xr:uid="{305FD375-36B6-4776-A50E-D1256A2EC8B6}"/>
    <cellStyle name="Comma 6 3 6 2 5" xfId="54849" xr:uid="{C4AE743B-C658-403C-9E33-73A9F05A25F8}"/>
    <cellStyle name="Comma 6 3 6 3" xfId="15433" xr:uid="{9120C151-44B8-4006-87F4-51427A494655}"/>
    <cellStyle name="Comma 6 3 6 3 2" xfId="22972" xr:uid="{52AE7161-CA52-4C65-BD08-DEE142E57B18}"/>
    <cellStyle name="Comma 6 3 6 3 3" xfId="48565" xr:uid="{F17E37C6-D6A6-4263-A884-7B1D4E1BCD4C}"/>
    <cellStyle name="Comma 6 3 6 3 4" xfId="52310" xr:uid="{02808B91-94EB-4E32-9BD3-FDE55B1D8340}"/>
    <cellStyle name="Comma 6 3 6 3 5" xfId="55326" xr:uid="{1CA68D01-1246-4B91-A7F2-1B506F3EA67E}"/>
    <cellStyle name="Comma 6 3 6 4" xfId="15921" xr:uid="{13DC207C-5170-4480-B067-6FB24D667663}"/>
    <cellStyle name="Comma 6 3 6 4 2" xfId="23449" xr:uid="{F7E60C4E-E392-42F9-B6EE-F5F1ACB0699A}"/>
    <cellStyle name="Comma 6 3 6 4 3" xfId="48582" xr:uid="{930940B7-65AC-422C-80B9-FA585DA425CA}"/>
    <cellStyle name="Comma 6 3 6 4 4" xfId="52787" xr:uid="{3D36E41E-7407-4FFE-A1AE-FA1059B34670}"/>
    <cellStyle name="Comma 6 3 6 4 5" xfId="55803" xr:uid="{8B3FDEB4-9F91-46C9-B571-6866F25DD55C}"/>
    <cellStyle name="Comma 6 3 6 5" xfId="13036" xr:uid="{71AABA3A-E7B2-49C1-907E-745382B19CDB}"/>
    <cellStyle name="Comma 6 3 6 5 2" xfId="47530" xr:uid="{A00A146E-E6C2-4C0F-9CBE-B441DC39F83D}"/>
    <cellStyle name="Comma 6 3 6 5 3" xfId="51356" xr:uid="{D7E6D52B-82F8-4DC9-B7E0-619C51CDAC54}"/>
    <cellStyle name="Comma 6 3 6 5 4" xfId="54372" xr:uid="{F034A13F-F738-4B7C-8210-B75A78DAE134}"/>
    <cellStyle name="Comma 6 3 6 6" xfId="48088" xr:uid="{B8ACB2FA-C2E9-46B8-9A50-FD7DDD56A61B}"/>
    <cellStyle name="Comma 6 3 6 7" xfId="50250" xr:uid="{8FA8E80E-838A-4488-A259-2F82A7A1E70B}"/>
    <cellStyle name="Comma 6 3 6 8" xfId="53266" xr:uid="{5F4C3D2B-C1A0-44CA-A9B7-DB6BE12109A5}"/>
    <cellStyle name="Comma 6 3 7" xfId="13376" xr:uid="{15D12331-7F7F-4967-88D7-5EC8F93B8E2C}"/>
    <cellStyle name="Comma 6 3 8" xfId="14524" xr:uid="{91BA8B81-0B16-430A-8D86-3867320B9B91}"/>
    <cellStyle name="Comma 6 3 8 2" xfId="22071" xr:uid="{F4E68240-34A9-4EFD-8E3E-391DF08C8953}"/>
    <cellStyle name="Comma 6 3 8 3" xfId="32533" xr:uid="{425EA413-D024-463D-B94E-5D8E4C2B0863}"/>
    <cellStyle name="Comma 6 3 8 4" xfId="51409" xr:uid="{5E4B8051-5927-4EC9-BE38-FFED94161960}"/>
    <cellStyle name="Comma 6 3 8 5" xfId="54425" xr:uid="{62C0FA1B-503D-4552-8DAF-FAFF8881C62C}"/>
    <cellStyle name="Comma 6 3 9" xfId="15008" xr:uid="{8B9FC8D0-AAEA-4B1C-BEC3-34A77FBFB77E}"/>
    <cellStyle name="Comma 6 3 9 2" xfId="22548" xr:uid="{6F9F4B91-E6DA-4ECA-A8B9-5A44A3B82C25}"/>
    <cellStyle name="Comma 6 3 9 3" xfId="24922" xr:uid="{F2D35C27-4C33-44CA-844D-B168E0DCDF51}"/>
    <cellStyle name="Comma 6 3 9 4" xfId="51886" xr:uid="{87B79008-3B3A-4523-A16C-EFB11711C9BA}"/>
    <cellStyle name="Comma 6 3 9 5" xfId="54902" xr:uid="{1AB45968-1AE2-4C4C-8647-3346C7BBF6AD}"/>
    <cellStyle name="Comma 6 4" xfId="2630" xr:uid="{B3775D92-7E98-436A-A203-3F9DEDE40BCB}"/>
    <cellStyle name="Comma 6 4 2" xfId="21695" xr:uid="{3299A523-11F7-4F28-AE8F-1AC47BCFF73D}"/>
    <cellStyle name="Comma 6 4 3" xfId="23797" xr:uid="{EB73BDA7-3567-42E5-BDF3-CE3FA1A77449}"/>
    <cellStyle name="Comma 6 4 4" xfId="48670" xr:uid="{16385199-DB28-4AC4-BE2C-A08ADED5537F}"/>
    <cellStyle name="Comma 6 4 5" xfId="49578" xr:uid="{8ACF534A-7863-448F-B56E-D352770B47DD}"/>
    <cellStyle name="Comma 6 4 6" xfId="50712" xr:uid="{4DAAEDAE-5A8E-442D-A913-20B43CC0E91A}"/>
    <cellStyle name="Comma 6 4 7" xfId="53728" xr:uid="{1C2F3622-404D-4BCB-B1E2-9C1C798F07B3}"/>
    <cellStyle name="Comma 6 4 8" xfId="11199" xr:uid="{8C8B2FF2-D3D7-45F3-8C1F-EFC6B3E8E360}"/>
    <cellStyle name="Comma 6 5" xfId="12268" xr:uid="{768D6845-00BB-4FDB-AE27-CE730920F681}"/>
    <cellStyle name="Comma 6 5 2" xfId="23798" xr:uid="{F6E5CEB8-AAEB-4CBB-8196-463E41CC60AC}"/>
    <cellStyle name="Comma 6 6" xfId="17744" xr:uid="{C6A5C53B-727E-43A2-9F57-AADB648EEE39}"/>
    <cellStyle name="Comma 6 6 2" xfId="21252" xr:uid="{AE4D16C7-9C1B-41B2-A792-EC299DAFFA6F}"/>
    <cellStyle name="Comma 6 7" xfId="19495" xr:uid="{B5551F86-91FB-4431-A429-E423790738C3}"/>
    <cellStyle name="Comma 6 8" xfId="23791" xr:uid="{F9F41E68-603D-46CD-A2B5-29A72C7973E6}"/>
    <cellStyle name="Comma 6 9" xfId="48664" xr:uid="{0B8B5E86-1426-4D2F-8680-0B0FC60BA89D}"/>
    <cellStyle name="Comma 7" xfId="2631" xr:uid="{3D91D855-D38D-4FA3-9771-C444BDFA2F69}"/>
    <cellStyle name="Comma 7 2" xfId="4547" xr:uid="{9CD68069-D787-45BC-BC32-B236893F674D}"/>
    <cellStyle name="Comma 7 2 10" xfId="15009" xr:uid="{F4C69349-3887-49C2-B038-C85D002C6F90}"/>
    <cellStyle name="Comma 7 2 10 2" xfId="22549" xr:uid="{F071F8FA-B942-4656-B4B9-AC9A896F7FF9}"/>
    <cellStyle name="Comma 7 2 10 3" xfId="47542" xr:uid="{D6006AD4-96E2-4A0C-BF36-2F283685ED0A}"/>
    <cellStyle name="Comma 7 2 10 4" xfId="51887" xr:uid="{EF596B4B-1559-4FF1-92B0-A3AD012866FB}"/>
    <cellStyle name="Comma 7 2 10 5" xfId="54903" xr:uid="{4B95AC8E-40AC-438F-A32D-40886FB5797E}"/>
    <cellStyle name="Comma 7 2 10 6" xfId="19190" xr:uid="{9609135E-6467-4DF7-AF9B-C3DA805070B4}"/>
    <cellStyle name="Comma 7 2 11" xfId="15496" xr:uid="{644C052A-94A8-4E44-B523-7F4164B9B249}"/>
    <cellStyle name="Comma 7 2 11 2" xfId="23026" xr:uid="{D8CA7039-7E0E-4651-95C2-D62071E21722}"/>
    <cellStyle name="Comma 7 2 11 3" xfId="48566" xr:uid="{508B8682-FE15-4DD5-85CB-AD0DBC86FC7E}"/>
    <cellStyle name="Comma 7 2 11 4" xfId="52364" xr:uid="{6238E041-2F04-49EE-8D11-CA527FCC7870}"/>
    <cellStyle name="Comma 7 2 11 5" xfId="55380" xr:uid="{5A1E8C2B-A786-449F-B5B8-7D48D2AFA3AD}"/>
    <cellStyle name="Comma 7 2 11 6" xfId="19335" xr:uid="{64D98708-0EF7-4180-9C47-2064D32057BC}"/>
    <cellStyle name="Comma 7 2 12" xfId="11677" xr:uid="{2219630E-6D0F-413F-A706-5B83E4A0C4FC}"/>
    <cellStyle name="Comma 7 2 12 2" xfId="21714" xr:uid="{32EBE75A-143D-4C9A-B225-561A4BC2F007}"/>
    <cellStyle name="Comma 7 2 12 3" xfId="47907" xr:uid="{4CF0323B-23E8-4824-B500-F1238A7901F2}"/>
    <cellStyle name="Comma 7 2 12 4" xfId="50739" xr:uid="{E2EA3B48-CC71-4BF4-B45B-B5C84E8E794B}"/>
    <cellStyle name="Comma 7 2 12 5" xfId="53755" xr:uid="{13BF962F-EDEC-4FEA-BEFA-30664B12B7CF}"/>
    <cellStyle name="Comma 7 2 12 6" xfId="18298" xr:uid="{2AD55D44-30B2-4C89-AB52-72103077F2C5}"/>
    <cellStyle name="Comma 7 2 13" xfId="23800" xr:uid="{4558FF0E-6916-40B9-B404-06E1E494190C}"/>
    <cellStyle name="Comma 7 2 14" xfId="48014" xr:uid="{247C17D3-3054-4D6D-87CF-6CB4F127B377}"/>
    <cellStyle name="Comma 7 2 15" xfId="48671" xr:uid="{D9BA4743-2EDA-42D7-BF1E-6E760915F730}"/>
    <cellStyle name="Comma 7 2 16" xfId="49579" xr:uid="{F25A21BE-C442-4C44-A6D2-80031614D2AC}"/>
    <cellStyle name="Comma 7 2 17" xfId="49827" xr:uid="{7DEC20B8-6269-4ADC-A2AF-E6E77322753B}"/>
    <cellStyle name="Comma 7 2 18" xfId="52842" xr:uid="{6F1B47B1-BE1F-4732-A577-2CA2DBCF79F6}"/>
    <cellStyle name="Comma 7 2 19" xfId="8950" xr:uid="{6211325B-E326-4216-8218-35CD10148FA1}"/>
    <cellStyle name="Comma 7 2 2" xfId="8951" xr:uid="{F952F884-F861-4C2A-94FE-A0D55467DC97}"/>
    <cellStyle name="Comma 7 2 2 10" xfId="11515" xr:uid="{7EF01E4A-CBB1-4700-B839-AB7C81C181C8}"/>
    <cellStyle name="Comma 7 2 2 10 2" xfId="48186" xr:uid="{C2F5A7E0-8C59-4533-930F-F9D61EB5C687}"/>
    <cellStyle name="Comma 7 2 2 10 3" xfId="50725" xr:uid="{39810216-3F6A-4C88-BD04-8108C3720E8C}"/>
    <cellStyle name="Comma 7 2 2 10 4" xfId="53741" xr:uid="{4B5BBAA4-AAF4-49CC-A5D4-45BC32897833}"/>
    <cellStyle name="Comma 7 2 2 10 5" xfId="21702" xr:uid="{E2913F90-DFB6-44F6-90A8-92ABB42A7660}"/>
    <cellStyle name="Comma 7 2 2 11" xfId="23801" xr:uid="{F3A11060-31B5-4D2F-AFE2-855525C4A151}"/>
    <cellStyle name="Comma 7 2 2 12" xfId="48429" xr:uid="{EB61C776-5E95-4A3B-9564-B92396150AB3}"/>
    <cellStyle name="Comma 7 2 2 13" xfId="48672" xr:uid="{C7C7D979-FA5B-4508-AB0B-29A071EB0ABF}"/>
    <cellStyle name="Comma 7 2 2 14" xfId="49580" xr:uid="{F4DFCB13-989D-4BDC-8533-44376A989922}"/>
    <cellStyle name="Comma 7 2 2 15" xfId="49828" xr:uid="{60FD49B2-9D5E-456F-9FBD-9FDC38A19A4C}"/>
    <cellStyle name="Comma 7 2 2 16" xfId="52843" xr:uid="{E097504B-209F-4EA3-94C8-A9E73F08F7EF}"/>
    <cellStyle name="Comma 7 2 2 17" xfId="18148" xr:uid="{09EFBCBA-410E-4BE5-A8F2-E46814AA4A73}"/>
    <cellStyle name="Comma 7 2 2 2" xfId="10038" xr:uid="{C9FC4E4A-E73E-448C-BFA4-887161072AD9}"/>
    <cellStyle name="Comma 7 2 2 2 10" xfId="18754" xr:uid="{D62E43AD-48B5-4DA0-913C-7F306105C47E}"/>
    <cellStyle name="Comma 7 2 2 2 2" xfId="10346" xr:uid="{8DDC4F5A-D04B-4964-85FA-A59851163D6F}"/>
    <cellStyle name="Comma 7 2 2 2 2 2" xfId="14791" xr:uid="{5C54871B-550A-4713-B423-61916B018DE9}"/>
    <cellStyle name="Comma 7 2 2 2 2 2 2" xfId="22338" xr:uid="{D88AD29B-4525-4AEB-8B5B-18E081715A69}"/>
    <cellStyle name="Comma 7 2 2 2 2 2 3" xfId="47537" xr:uid="{983D58AB-2CCF-45B1-8AE8-8FEE2D05A4B8}"/>
    <cellStyle name="Comma 7 2 2 2 2 2 4" xfId="51676" xr:uid="{029F0282-C8BE-4E35-99BA-DD1F21CE2175}"/>
    <cellStyle name="Comma 7 2 2 2 2 2 5" xfId="54692" xr:uid="{3F2BE771-AF41-497A-9DAA-255240FF5940}"/>
    <cellStyle name="Comma 7 2 2 2 2 2 6" xfId="19124" xr:uid="{4DCE433F-7A1F-4D8F-BD16-305C9336573B}"/>
    <cellStyle name="Comma 7 2 2 2 2 3" xfId="15276" xr:uid="{CE41780F-7DA2-44FD-95C5-59C059B9DFB6}"/>
    <cellStyle name="Comma 7 2 2 2 2 3 2" xfId="22815" xr:uid="{73E937A9-D980-4217-AFA1-92DE300AA506}"/>
    <cellStyle name="Comma 7 2 2 2 2 3 3" xfId="47129" xr:uid="{58DF7445-C129-448C-8BC3-61EF29B11C22}"/>
    <cellStyle name="Comma 7 2 2 2 2 3 4" xfId="52153" xr:uid="{5F53E3FA-8D0A-4C30-A0EC-A4647914ED52}"/>
    <cellStyle name="Comma 7 2 2 2 2 3 5" xfId="55169" xr:uid="{E5981CBE-5FDE-49D9-B894-57C10457413F}"/>
    <cellStyle name="Comma 7 2 2 2 2 3 6" xfId="19267" xr:uid="{7A34A27C-002E-4FC8-A243-EBBA95312C58}"/>
    <cellStyle name="Comma 7 2 2 2 2 4" xfId="15763" xr:uid="{93F4A782-FC8E-47EC-A025-AB75CC075BD2}"/>
    <cellStyle name="Comma 7 2 2 2 2 4 2" xfId="23292" xr:uid="{5563BB34-5091-4A7F-94DF-1AC65C81B001}"/>
    <cellStyle name="Comma 7 2 2 2 2 4 3" xfId="48026" xr:uid="{507C8EC1-72CC-4B9D-B4B1-F44A1904C0E0}"/>
    <cellStyle name="Comma 7 2 2 2 2 4 4" xfId="52630" xr:uid="{496AD550-0AC6-4CBD-85E8-396226595B0E}"/>
    <cellStyle name="Comma 7 2 2 2 2 4 5" xfId="55646" xr:uid="{94660E6B-278B-4EF4-BB44-488AC0E1B9C5}"/>
    <cellStyle name="Comma 7 2 2 2 2 4 6" xfId="19412" xr:uid="{3847BA4C-F520-4D77-AF7F-DEF923C83986}"/>
    <cellStyle name="Comma 7 2 2 2 2 5" xfId="12799" xr:uid="{4BEE70F6-CE93-410D-B1A8-509A56686EE3}"/>
    <cellStyle name="Comma 7 2 2 2 2 5 2" xfId="24480" xr:uid="{1FC42926-3A9A-4FC0-BAA8-1868DFEE26CE}"/>
    <cellStyle name="Comma 7 2 2 2 2 5 3" xfId="51199" xr:uid="{A71A5A54-9187-4F88-8B3A-C8296495306E}"/>
    <cellStyle name="Comma 7 2 2 2 2 5 4" xfId="54215" xr:uid="{9B69FA4D-9901-4C5F-8A32-1861BEA6F70D}"/>
    <cellStyle name="Comma 7 2 2 2 2 5 5" xfId="21982" xr:uid="{D9CD3F5A-6AB2-42EB-B3C9-5C57DBB4BC99}"/>
    <cellStyle name="Comma 7 2 2 2 2 6" xfId="48454" xr:uid="{B335E223-F4BB-42E1-BFDF-E0A294BCC715}"/>
    <cellStyle name="Comma 7 2 2 2 2 7" xfId="50093" xr:uid="{7144C7B7-623F-4B0D-8356-8FADE8456471}"/>
    <cellStyle name="Comma 7 2 2 2 2 8" xfId="53109" xr:uid="{5827DC8B-D369-4FF4-85F9-5A772B6A54B5}"/>
    <cellStyle name="Comma 7 2 2 2 2 9" xfId="18903" xr:uid="{30FA9742-224A-4791-9D87-9A80B0D9D2EC}"/>
    <cellStyle name="Comma 7 2 2 2 3" xfId="14579" xr:uid="{29592475-FB6B-4073-BE2A-2F953D9AD67A}"/>
    <cellStyle name="Comma 7 2 2 2 3 2" xfId="22126" xr:uid="{7C10E016-910C-4D70-8C75-E5D02F20086E}"/>
    <cellStyle name="Comma 7 2 2 2 3 3" xfId="46403" xr:uid="{386295C0-EE31-4452-8AFD-BFD3B44BD970}"/>
    <cellStyle name="Comma 7 2 2 2 3 4" xfId="51464" xr:uid="{9108ADFB-B88A-4E02-BFF5-B8F24A50ECFA}"/>
    <cellStyle name="Comma 7 2 2 2 3 5" xfId="54480" xr:uid="{F2D1F107-2B30-4010-8868-036D2AAAA7EF}"/>
    <cellStyle name="Comma 7 2 2 2 3 6" xfId="19064" xr:uid="{4655A8F7-5939-4E11-980F-5BB37BA5D139}"/>
    <cellStyle name="Comma 7 2 2 2 4" xfId="15063" xr:uid="{380B014F-1EDC-424F-984D-FABE60732AA7}"/>
    <cellStyle name="Comma 7 2 2 2 4 2" xfId="22603" xr:uid="{C44147C4-9E57-4FB7-8FA0-190F8513DB4F}"/>
    <cellStyle name="Comma 7 2 2 2 4 3" xfId="48509" xr:uid="{2EAABC8D-4C50-4C91-9839-C47D813DF87E}"/>
    <cellStyle name="Comma 7 2 2 2 4 4" xfId="51941" xr:uid="{42046838-FA9A-4A56-A567-F7DF57B8DEC7}"/>
    <cellStyle name="Comma 7 2 2 2 4 5" xfId="54957" xr:uid="{A28CDE20-ED51-450F-871D-310953156749}"/>
    <cellStyle name="Comma 7 2 2 2 4 6" xfId="19206" xr:uid="{5DD38D74-74A1-4D7B-A03A-870C4E641BC1}"/>
    <cellStyle name="Comma 7 2 2 2 5" xfId="15550" xr:uid="{0DC89503-8A14-4C9E-836A-C2D0DCE8B6B7}"/>
    <cellStyle name="Comma 7 2 2 2 5 2" xfId="23080" xr:uid="{8903176D-2B19-4CC3-A071-F2D0FDA6D158}"/>
    <cellStyle name="Comma 7 2 2 2 5 3" xfId="48022" xr:uid="{4DBD1DBB-A74E-4772-A6BF-0EF10F13E461}"/>
    <cellStyle name="Comma 7 2 2 2 5 4" xfId="52418" xr:uid="{C2B63287-1CED-4234-A6FB-A90DCD3872CC}"/>
    <cellStyle name="Comma 7 2 2 2 5 5" xfId="55434" xr:uid="{6E52D284-19B6-4BD3-9168-9D1B33AD3B5F}"/>
    <cellStyle name="Comma 7 2 2 2 5 6" xfId="19351" xr:uid="{11D0FDA6-B433-447E-B4C7-E17689F5E5AD}"/>
    <cellStyle name="Comma 7 2 2 2 6" xfId="12498" xr:uid="{2A143B18-FC75-4159-94DE-2EBB35EF9F86}"/>
    <cellStyle name="Comma 7 2 2 2 6 2" xfId="46314" xr:uid="{6A761578-5ACD-4922-BA81-1CE01AA44267}"/>
    <cellStyle name="Comma 7 2 2 2 6 3" xfId="50987" xr:uid="{4E6FBE34-2CDA-4A8C-8D02-8E23AF8375F7}"/>
    <cellStyle name="Comma 7 2 2 2 6 4" xfId="54003" xr:uid="{21931014-7B87-4B0D-8FC8-D4CCF376455B}"/>
    <cellStyle name="Comma 7 2 2 2 6 5" xfId="21921" xr:uid="{DB4A0725-A2DC-48EF-8294-0D4DD4D55662}"/>
    <cellStyle name="Comma 7 2 2 2 7" xfId="46614" xr:uid="{57DB6DD4-5601-4149-AA2A-E2572D1B2EAD}"/>
    <cellStyle name="Comma 7 2 2 2 8" xfId="49881" xr:uid="{E6EA5DDB-71C7-47DE-A888-9F36935A1B2A}"/>
    <cellStyle name="Comma 7 2 2 2 9" xfId="52897" xr:uid="{AB510987-7415-4028-B776-342DA4CFA7C3}"/>
    <cellStyle name="Comma 7 2 2 3" xfId="10112" xr:uid="{61C809ED-6BCE-449C-A7F4-A5BA9F97ED8E}"/>
    <cellStyle name="Comma 7 2 2 3 10" xfId="18787" xr:uid="{7EC7D5C1-DDD0-46B2-B92C-896B164A92EE}"/>
    <cellStyle name="Comma 7 2 2 3 2" xfId="10425" xr:uid="{59E6471C-C0D0-45F3-B39F-A835B1079648}"/>
    <cellStyle name="Comma 7 2 2 3 2 2" xfId="14844" xr:uid="{BD81CE75-DD9B-4179-A3F7-90776C3C7FF1}"/>
    <cellStyle name="Comma 7 2 2 3 2 2 2" xfId="22391" xr:uid="{E4E621B4-BAFF-4CB0-9EEA-5B71F4ABF317}"/>
    <cellStyle name="Comma 7 2 2 3 2 2 3" xfId="46443" xr:uid="{5DE0C6DC-AA6C-44AA-885E-A6F1B835469E}"/>
    <cellStyle name="Comma 7 2 2 3 2 2 4" xfId="51729" xr:uid="{2546C6AE-31D9-4C9F-9AA9-3D01A0322817}"/>
    <cellStyle name="Comma 7 2 2 3 2 2 5" xfId="54745" xr:uid="{64911CEA-EFD0-4782-BE84-C26F232B97DD}"/>
    <cellStyle name="Comma 7 2 2 3 2 2 6" xfId="19139" xr:uid="{0080E859-B9B6-4C75-B577-101CA347E4E5}"/>
    <cellStyle name="Comma 7 2 2 3 2 3" xfId="15329" xr:uid="{07E403D3-B8E3-4265-9E25-4937914BC605}"/>
    <cellStyle name="Comma 7 2 2 3 2 3 2" xfId="22868" xr:uid="{AB418327-1726-4DE6-9EC4-0E1B612763DC}"/>
    <cellStyle name="Comma 7 2 2 3 2 3 3" xfId="47270" xr:uid="{172BCEB5-9A3A-443C-A5B7-E898EADB9838}"/>
    <cellStyle name="Comma 7 2 2 3 2 3 4" xfId="52206" xr:uid="{3DCE5AF0-5437-4A63-9AB4-973A82E7B7D1}"/>
    <cellStyle name="Comma 7 2 2 3 2 3 5" xfId="55222" xr:uid="{3D07B516-A567-48BA-AB5D-E0B91CC2F970}"/>
    <cellStyle name="Comma 7 2 2 3 2 3 6" xfId="19282" xr:uid="{AC16728E-F155-4789-968C-E47F995AC1DC}"/>
    <cellStyle name="Comma 7 2 2 3 2 4" xfId="15816" xr:uid="{75EE0EAF-8FA3-485B-A296-989270EA8E27}"/>
    <cellStyle name="Comma 7 2 2 3 2 4 2" xfId="23345" xr:uid="{D2E68DD7-9365-4922-B6CC-F28DF0B54F49}"/>
    <cellStyle name="Comma 7 2 2 3 2 4 3" xfId="47949" xr:uid="{75A0479B-ABA3-4BE5-992E-E9218C8CD937}"/>
    <cellStyle name="Comma 7 2 2 3 2 4 4" xfId="52683" xr:uid="{771DC76A-5ED7-40C0-B981-2B3B89F49757}"/>
    <cellStyle name="Comma 7 2 2 3 2 4 5" xfId="55699" xr:uid="{81ECD015-0F2E-4C4A-8AED-387F46C065CE}"/>
    <cellStyle name="Comma 7 2 2 3 2 4 6" xfId="19427" xr:uid="{472FDD8A-D0A9-4F95-AB06-2919B0B11C52}"/>
    <cellStyle name="Comma 7 2 2 3 2 5" xfId="12878" xr:uid="{4386C6C9-A84D-4674-9B4A-368FF8F5B67F}"/>
    <cellStyle name="Comma 7 2 2 3 2 5 2" xfId="37106" xr:uid="{7FD2391C-C6DC-424B-B73F-3807A2268DD9}"/>
    <cellStyle name="Comma 7 2 2 3 2 5 3" xfId="51252" xr:uid="{C1191A73-9170-44AF-83A1-B5C3AFC54DA2}"/>
    <cellStyle name="Comma 7 2 2 3 2 5 4" xfId="54268" xr:uid="{85972959-0C2F-44F3-8680-4F47BA371643}"/>
    <cellStyle name="Comma 7 2 2 3 2 5 5" xfId="21997" xr:uid="{05D34DD7-3282-48CC-8F9C-68287422BE59}"/>
    <cellStyle name="Comma 7 2 2 3 2 6" xfId="34567" xr:uid="{5AEDC72F-9D69-4A3C-A1FD-89BA8F4E81AD}"/>
    <cellStyle name="Comma 7 2 2 3 2 7" xfId="50146" xr:uid="{519B0593-2E75-4D4D-A3B3-D2F9281C83D6}"/>
    <cellStyle name="Comma 7 2 2 3 2 8" xfId="53162" xr:uid="{22C965DF-5167-4939-8FF3-3161CD075156}"/>
    <cellStyle name="Comma 7 2 2 3 2 9" xfId="18944" xr:uid="{D5D43B0F-87BE-4D87-A199-1D33F0D9516B}"/>
    <cellStyle name="Comma 7 2 2 3 3" xfId="14632" xr:uid="{4DCB4090-7F18-4A44-85D5-F6F1C9CAFE49}"/>
    <cellStyle name="Comma 7 2 2 3 3 2" xfId="22179" xr:uid="{3CD5CCB5-1358-4FA3-BF99-CDA854ACCD37}"/>
    <cellStyle name="Comma 7 2 2 3 3 3" xfId="46844" xr:uid="{E411B307-C5FB-4BBE-9081-F12FD354D962}"/>
    <cellStyle name="Comma 7 2 2 3 3 4" xfId="51517" xr:uid="{F0F68A77-9DCD-420D-91A5-29FDEE373BAE}"/>
    <cellStyle name="Comma 7 2 2 3 3 5" xfId="54533" xr:uid="{670205D3-D44F-4B20-8F3C-B03090D35EDC}"/>
    <cellStyle name="Comma 7 2 2 3 3 6" xfId="19079" xr:uid="{7C735DFC-3381-4116-9B05-30CA23553E73}"/>
    <cellStyle name="Comma 7 2 2 3 4" xfId="15117" xr:uid="{FC0DFFA2-160A-4B18-9EA4-7169E8F41641}"/>
    <cellStyle name="Comma 7 2 2 3 4 2" xfId="22656" xr:uid="{9EDB32D8-92B1-4A8C-A897-A0C2ED4A14D1}"/>
    <cellStyle name="Comma 7 2 2 3 4 3" xfId="47418" xr:uid="{CB516ED5-A7B5-46A5-9DB8-64ED3B1FC2C7}"/>
    <cellStyle name="Comma 7 2 2 3 4 4" xfId="51994" xr:uid="{4FB386C4-1F32-48E5-9B54-08F4FF474728}"/>
    <cellStyle name="Comma 7 2 2 3 4 5" xfId="55010" xr:uid="{3E5A4069-6DF4-43B6-AA11-E2B6BE52B288}"/>
    <cellStyle name="Comma 7 2 2 3 4 6" xfId="19222" xr:uid="{BD86C47A-1F06-4E52-BE17-C30EC03A5362}"/>
    <cellStyle name="Comma 7 2 2 3 5" xfId="15604" xr:uid="{6B2D30BE-8ED8-489D-A9AD-4A5096082BBF}"/>
    <cellStyle name="Comma 7 2 2 3 5 2" xfId="23133" xr:uid="{CC412ECB-B25B-4783-9CBA-6BD7A4B30B46}"/>
    <cellStyle name="Comma 7 2 2 3 5 3" xfId="47671" xr:uid="{56815691-3C56-4043-BDB2-C282A7CFA6F2}"/>
    <cellStyle name="Comma 7 2 2 3 5 4" xfId="52471" xr:uid="{F2C740EA-A1B9-4FF3-AAFB-2B303267F74E}"/>
    <cellStyle name="Comma 7 2 2 3 5 5" xfId="55487" xr:uid="{3A34DD1D-020F-4BA7-B623-A9692153ABA0}"/>
    <cellStyle name="Comma 7 2 2 3 5 6" xfId="19367" xr:uid="{35F0548D-D35D-4207-A4E0-8BD1747CE6CA}"/>
    <cellStyle name="Comma 7 2 2 3 6" xfId="12569" xr:uid="{FE266579-CBDD-4A15-80B7-0ACED1B7F625}"/>
    <cellStyle name="Comma 7 2 2 3 6 2" xfId="48271" xr:uid="{5B82FEF7-EAE0-42C0-94ED-3BBEFABD9E36}"/>
    <cellStyle name="Comma 7 2 2 3 6 3" xfId="51040" xr:uid="{D60FEC65-B7B1-4C9A-83BA-2190FA8F8A21}"/>
    <cellStyle name="Comma 7 2 2 3 6 4" xfId="54056" xr:uid="{5D04A63F-6BB4-42AE-B5A7-0B6A5E3A6228}"/>
    <cellStyle name="Comma 7 2 2 3 6 5" xfId="21937" xr:uid="{6C909A52-B35C-46C1-8FBC-E555678B50F6}"/>
    <cellStyle name="Comma 7 2 2 3 7" xfId="32304" xr:uid="{3135245A-F8F1-4794-9EF6-E0A3BF98F02E}"/>
    <cellStyle name="Comma 7 2 2 3 8" xfId="49934" xr:uid="{C6DA1858-D2F0-4DBF-A8E0-4008BB52F593}"/>
    <cellStyle name="Comma 7 2 2 3 9" xfId="52950" xr:uid="{61CB4AB7-C2EB-4369-AF08-EBAF63C3AB70}"/>
    <cellStyle name="Comma 7 2 2 4" xfId="10191" xr:uid="{F53494FF-E6AF-4A27-949A-DA46B1225F28}"/>
    <cellStyle name="Comma 7 2 2 4 10" xfId="18825" xr:uid="{46B2E7D1-93CE-4638-AE4B-869F3BE5DF4E}"/>
    <cellStyle name="Comma 7 2 2 4 2" xfId="10505" xr:uid="{DB887A6D-31CB-498A-9C04-D515E40F5A74}"/>
    <cellStyle name="Comma 7 2 2 4 2 2" xfId="14897" xr:uid="{7CE7BBFE-30DA-4D6E-8B21-A97CB4474547}"/>
    <cellStyle name="Comma 7 2 2 4 2 2 2" xfId="22444" xr:uid="{672EF867-D198-483B-8047-5861E3AE9559}"/>
    <cellStyle name="Comma 7 2 2 4 2 2 3" xfId="46453" xr:uid="{49075AEA-A572-413E-8604-79879882735A}"/>
    <cellStyle name="Comma 7 2 2 4 2 2 4" xfId="51782" xr:uid="{1DC76FBC-68EF-4254-8DBC-A4FE91E2D1FE}"/>
    <cellStyle name="Comma 7 2 2 4 2 2 5" xfId="54798" xr:uid="{CC941ABE-7650-46D3-8FDC-3AA5FE4E26FA}"/>
    <cellStyle name="Comma 7 2 2 4 2 2 6" xfId="19154" xr:uid="{F0858E1E-BD4B-4166-8EF2-CDD77D9F94DD}"/>
    <cellStyle name="Comma 7 2 2 4 2 3" xfId="15382" xr:uid="{5204B2B7-73EC-4696-9E22-41279AD9F87F}"/>
    <cellStyle name="Comma 7 2 2 4 2 3 2" xfId="22921" xr:uid="{F37E4B8A-F65E-457F-A7C5-2842BB520899}"/>
    <cellStyle name="Comma 7 2 2 4 2 3 3" xfId="48418" xr:uid="{52A44A71-9297-48CB-8B90-300F1AEB5294}"/>
    <cellStyle name="Comma 7 2 2 4 2 3 4" xfId="52259" xr:uid="{8037959C-95D3-49D9-82AB-AED916FE9BF3}"/>
    <cellStyle name="Comma 7 2 2 4 2 3 5" xfId="55275" xr:uid="{C39A3D3E-A986-482E-9B2A-543F5F0C2A13}"/>
    <cellStyle name="Comma 7 2 2 4 2 3 6" xfId="19297" xr:uid="{47BB5705-2A8C-4911-A78A-36470A33C53E}"/>
    <cellStyle name="Comma 7 2 2 4 2 4" xfId="15869" xr:uid="{78977903-7D69-45CA-81F4-C2B0632BA9AC}"/>
    <cellStyle name="Comma 7 2 2 4 2 4 2" xfId="23398" xr:uid="{38A63F25-8AEF-455E-B71A-08CDBF1B35F6}"/>
    <cellStyle name="Comma 7 2 2 4 2 4 3" xfId="48136" xr:uid="{03CBB31B-1081-4749-AC5F-9568E01D6341}"/>
    <cellStyle name="Comma 7 2 2 4 2 4 4" xfId="52736" xr:uid="{1C984B23-9A9A-4F7B-98BF-93D24D5E62DB}"/>
    <cellStyle name="Comma 7 2 2 4 2 4 5" xfId="55752" xr:uid="{FAD65C36-A722-4839-B3DA-14FDE6B91585}"/>
    <cellStyle name="Comma 7 2 2 4 2 4 6" xfId="19442" xr:uid="{893823BF-271D-4EC7-90B6-2EE86ED8BE65}"/>
    <cellStyle name="Comma 7 2 2 4 2 5" xfId="12958" xr:uid="{3E0553EB-3C71-4793-AA8C-534EC8B80CF1}"/>
    <cellStyle name="Comma 7 2 2 4 2 5 2" xfId="23987" xr:uid="{2016AB62-DB97-4944-B2C9-C660A2A0FFCD}"/>
    <cellStyle name="Comma 7 2 2 4 2 5 3" xfId="51305" xr:uid="{E05DFFF9-CE3D-4A17-9AE6-21211A232CB6}"/>
    <cellStyle name="Comma 7 2 2 4 2 5 4" xfId="54321" xr:uid="{8DCC58A3-0C26-4DF2-BD79-A0D2964FF094}"/>
    <cellStyle name="Comma 7 2 2 4 2 5 5" xfId="22012" xr:uid="{0FC32D90-C770-4E8D-9529-442AF0857CC7}"/>
    <cellStyle name="Comma 7 2 2 4 2 6" xfId="47589" xr:uid="{FA4F1773-8CDF-4340-A3B7-D4596227F773}"/>
    <cellStyle name="Comma 7 2 2 4 2 7" xfId="50199" xr:uid="{8A3C9982-B4BA-41A8-908B-821B6EB0B34C}"/>
    <cellStyle name="Comma 7 2 2 4 2 8" xfId="53215" xr:uid="{E44E80F1-FF31-495F-AE80-B2D324984290}"/>
    <cellStyle name="Comma 7 2 2 4 2 9" xfId="18986" xr:uid="{88FD0AD6-428A-4637-892A-A00791F04CA0}"/>
    <cellStyle name="Comma 7 2 2 4 3" xfId="14685" xr:uid="{71B4C223-7CDF-4729-8CB5-7902CF2335AE}"/>
    <cellStyle name="Comma 7 2 2 4 3 2" xfId="22232" xr:uid="{AE96A74A-B94A-42C9-8B07-0E67E5622427}"/>
    <cellStyle name="Comma 7 2 2 4 3 3" xfId="32410" xr:uid="{0898D412-CD26-49C8-A09A-11BF9942EE3E}"/>
    <cellStyle name="Comma 7 2 2 4 3 4" xfId="51570" xr:uid="{5C5D3C49-2851-473B-879F-CC55C3DE697B}"/>
    <cellStyle name="Comma 7 2 2 4 3 5" xfId="54586" xr:uid="{B226D4D6-BDEC-46B5-8B4A-4292BA041677}"/>
    <cellStyle name="Comma 7 2 2 4 3 6" xfId="19094" xr:uid="{278A6806-ABB0-4943-A420-A04179CB4C8A}"/>
    <cellStyle name="Comma 7 2 2 4 4" xfId="15170" xr:uid="{8AAF54CB-A0EC-40FB-AAC4-43C04AD27B52}"/>
    <cellStyle name="Comma 7 2 2 4 4 2" xfId="22709" xr:uid="{DE1F4586-A069-4241-8A39-249469B2C1C2}"/>
    <cellStyle name="Comma 7 2 2 4 4 3" xfId="47936" xr:uid="{5640A8F6-E309-4EF5-BAA6-5D050A755C17}"/>
    <cellStyle name="Comma 7 2 2 4 4 4" xfId="52047" xr:uid="{76C50B14-EB5A-4D8F-B87A-40CA68DCE63F}"/>
    <cellStyle name="Comma 7 2 2 4 4 5" xfId="55063" xr:uid="{48C860C6-138F-400A-84C6-5D1CC201DB71}"/>
    <cellStyle name="Comma 7 2 2 4 4 6" xfId="19237" xr:uid="{CD513D78-EB99-4F60-BA7D-5F5124910479}"/>
    <cellStyle name="Comma 7 2 2 4 5" xfId="15657" xr:uid="{6B018D66-ECFC-4ADF-8F6F-5D811DC42C53}"/>
    <cellStyle name="Comma 7 2 2 4 5 2" xfId="23186" xr:uid="{22C1C26C-27A5-4AF7-84CD-7AFC7833D0A8}"/>
    <cellStyle name="Comma 7 2 2 4 5 3" xfId="46949" xr:uid="{C04676FA-2329-4667-AB83-FA80F648A53A}"/>
    <cellStyle name="Comma 7 2 2 4 5 4" xfId="52524" xr:uid="{B4F1F075-0BED-4B21-BE01-2CEB530B82B9}"/>
    <cellStyle name="Comma 7 2 2 4 5 5" xfId="55540" xr:uid="{2039AE46-A9A3-4513-A51D-4F077DBDA288}"/>
    <cellStyle name="Comma 7 2 2 4 5 6" xfId="19382" xr:uid="{AECA22AC-BC30-40C8-8B15-D01BF5011931}"/>
    <cellStyle name="Comma 7 2 2 4 6" xfId="12645" xr:uid="{F57388B9-B04F-4864-BC71-7954138FF75D}"/>
    <cellStyle name="Comma 7 2 2 4 6 2" xfId="48491" xr:uid="{E9467D5B-D778-4410-B6BF-A4C7A0992345}"/>
    <cellStyle name="Comma 7 2 2 4 6 3" xfId="51093" xr:uid="{A530520D-B83B-42C8-9039-733E38BD52F1}"/>
    <cellStyle name="Comma 7 2 2 4 6 4" xfId="54109" xr:uid="{3EC86D9F-1473-497C-AB4B-CA1C9AD43FF8}"/>
    <cellStyle name="Comma 7 2 2 4 6 5" xfId="21952" xr:uid="{AD614F3C-BF91-4E06-BD32-D7EED53C2F80}"/>
    <cellStyle name="Comma 7 2 2 4 7" xfId="24004" xr:uid="{8D9549F4-97BE-42F6-8FFA-F15A06AA8870}"/>
    <cellStyle name="Comma 7 2 2 4 8" xfId="49987" xr:uid="{E1E6B275-A7FD-41D6-8A5F-80D50728DBC0}"/>
    <cellStyle name="Comma 7 2 2 4 9" xfId="53003" xr:uid="{8333268B-9B0F-429B-A310-61E97A3ABE25}"/>
    <cellStyle name="Comma 7 2 2 5" xfId="10271" xr:uid="{0759457F-E7A0-45ED-A7EF-B6AAAFE8F5DC}"/>
    <cellStyle name="Comma 7 2 2 5 2" xfId="14738" xr:uid="{E2987464-AAFB-48CE-A07B-F8651DB5DD27}"/>
    <cellStyle name="Comma 7 2 2 5 2 2" xfId="22285" xr:uid="{7623261A-AAFC-470F-B5A8-F6CF2A8CAA3E}"/>
    <cellStyle name="Comma 7 2 2 5 2 3" xfId="48209" xr:uid="{A057A7F4-1699-4D4B-949F-023F042D31DD}"/>
    <cellStyle name="Comma 7 2 2 5 2 4" xfId="51623" xr:uid="{59590D8B-1345-423A-8CF1-71EF55EC7D08}"/>
    <cellStyle name="Comma 7 2 2 5 2 5" xfId="54639" xr:uid="{7B4EA619-F7EC-4765-B3D1-A1928E9B6AD9}"/>
    <cellStyle name="Comma 7 2 2 5 2 6" xfId="19109" xr:uid="{3628C936-C999-4169-A1B0-A12C126A0C11}"/>
    <cellStyle name="Comma 7 2 2 5 3" xfId="15223" xr:uid="{14F59E36-79D1-42A9-A79B-5BF31220AF6E}"/>
    <cellStyle name="Comma 7 2 2 5 3 2" xfId="22762" xr:uid="{63E9C4AA-3142-46ED-8017-0233F419E403}"/>
    <cellStyle name="Comma 7 2 2 5 3 3" xfId="46894" xr:uid="{903410A2-00E0-4CFA-84F8-23253BB2B547}"/>
    <cellStyle name="Comma 7 2 2 5 3 4" xfId="52100" xr:uid="{93178E53-085C-4B86-BFE0-32F1DC4CCDC8}"/>
    <cellStyle name="Comma 7 2 2 5 3 5" xfId="55116" xr:uid="{F70F054A-8444-4AC6-9443-3BED83CD8AFC}"/>
    <cellStyle name="Comma 7 2 2 5 3 6" xfId="19252" xr:uid="{D8C2763D-314D-4A7B-BD9A-CBCCB12F6891}"/>
    <cellStyle name="Comma 7 2 2 5 4" xfId="15710" xr:uid="{B68AD23D-72B5-44A0-8F31-B346B5F6D721}"/>
    <cellStyle name="Comma 7 2 2 5 4 2" xfId="23239" xr:uid="{C4E81523-F47F-46E6-90E8-9309E0DD6626}"/>
    <cellStyle name="Comma 7 2 2 5 4 3" xfId="24162" xr:uid="{87578AE5-E42E-40B3-80F6-AFEB6A5BE5C4}"/>
    <cellStyle name="Comma 7 2 2 5 4 4" xfId="52577" xr:uid="{C615EEA3-9881-4E97-96B8-0E4A5D9EA71B}"/>
    <cellStyle name="Comma 7 2 2 5 4 5" xfId="55593" xr:uid="{96DA100E-FE31-4969-B2E2-22C96C88D596}"/>
    <cellStyle name="Comma 7 2 2 5 4 6" xfId="19397" xr:uid="{B9215473-BF23-458C-8222-F21D761593D8}"/>
    <cellStyle name="Comma 7 2 2 5 5" xfId="12724" xr:uid="{64D2E433-F328-49B9-AC79-D5ED086D2DD8}"/>
    <cellStyle name="Comma 7 2 2 5 5 2" xfId="47019" xr:uid="{700CED4C-4C1A-4419-9278-2A7DB52712BE}"/>
    <cellStyle name="Comma 7 2 2 5 5 3" xfId="51146" xr:uid="{613C1966-A2D0-4F98-B75A-275ACE8E1A06}"/>
    <cellStyle name="Comma 7 2 2 5 5 4" xfId="54162" xr:uid="{0001BD39-5679-43E9-B920-0E42F98F7A0B}"/>
    <cellStyle name="Comma 7 2 2 5 5 5" xfId="21967" xr:uid="{075DCDA5-93F6-48F0-9996-DAE0700F4EDC}"/>
    <cellStyle name="Comma 7 2 2 5 6" xfId="47877" xr:uid="{5FB8120B-F828-4589-8E85-34CB0A64349D}"/>
    <cellStyle name="Comma 7 2 2 5 7" xfId="50040" xr:uid="{AEA4DF80-C759-4F68-8CB1-421338C7BD36}"/>
    <cellStyle name="Comma 7 2 2 5 8" xfId="53056" xr:uid="{F74A0E25-837D-4089-BBF4-AA489B0951EE}"/>
    <cellStyle name="Comma 7 2 2 5 9" xfId="18866" xr:uid="{D87DC7A7-8422-4DD3-9477-DF1DE69913D6}"/>
    <cellStyle name="Comma 7 2 2 6" xfId="10585" xr:uid="{9AF22860-06DB-48F6-AFE9-38DAFCEA5358}"/>
    <cellStyle name="Comma 7 2 2 6 2" xfId="14950" xr:uid="{0ECBCCD2-1A41-4991-BEF7-C228E28B0945}"/>
    <cellStyle name="Comma 7 2 2 6 2 2" xfId="22497" xr:uid="{64E02EB6-F26B-41FE-9BFD-2235E183B5FB}"/>
    <cellStyle name="Comma 7 2 2 6 2 3" xfId="47778" xr:uid="{B677FE54-9F1F-4891-A95C-B6F7583BE4A7}"/>
    <cellStyle name="Comma 7 2 2 6 2 4" xfId="51835" xr:uid="{A9792CDF-FBE0-4E7C-9960-0BA1889C1F25}"/>
    <cellStyle name="Comma 7 2 2 6 2 5" xfId="54851" xr:uid="{A2521F4A-B00D-42E2-9657-F7F59CC46154}"/>
    <cellStyle name="Comma 7 2 2 6 2 6" xfId="19169" xr:uid="{C05DC11B-A25E-4270-91CD-DDFBC0CCB167}"/>
    <cellStyle name="Comma 7 2 2 6 3" xfId="15435" xr:uid="{2106614F-7A10-4758-9FB6-E03E513B49B0}"/>
    <cellStyle name="Comma 7 2 2 6 3 2" xfId="22974" xr:uid="{A1918C11-7391-4786-AFA6-5E96C368BE5E}"/>
    <cellStyle name="Comma 7 2 2 6 3 3" xfId="47193" xr:uid="{29950754-4237-412E-AC82-24AA46D1A11C}"/>
    <cellStyle name="Comma 7 2 2 6 3 4" xfId="52312" xr:uid="{549D9F2D-5C6F-478E-9849-B1F0BD110524}"/>
    <cellStyle name="Comma 7 2 2 6 3 5" xfId="55328" xr:uid="{DA571EA9-66C4-4E24-987F-9D76D2F88F77}"/>
    <cellStyle name="Comma 7 2 2 6 3 6" xfId="19312" xr:uid="{33041401-A2AD-47B9-8C3E-762964238F45}"/>
    <cellStyle name="Comma 7 2 2 6 4" xfId="15923" xr:uid="{91A380FE-5968-46E4-A716-473EF4FAFF5B}"/>
    <cellStyle name="Comma 7 2 2 6 4 2" xfId="23451" xr:uid="{87E89D85-DB94-4C91-96EF-41A4A5316BD3}"/>
    <cellStyle name="Comma 7 2 2 6 4 3" xfId="33990" xr:uid="{D354C1C4-4342-4887-BBBE-D62EFD07BAA7}"/>
    <cellStyle name="Comma 7 2 2 6 4 4" xfId="52789" xr:uid="{1E540848-1C8A-4C06-BCF8-15CF904ECB6D}"/>
    <cellStyle name="Comma 7 2 2 6 4 5" xfId="55805" xr:uid="{DCD14776-D206-4882-8D45-3BECEDAA04A4}"/>
    <cellStyle name="Comma 7 2 2 6 4 6" xfId="19458" xr:uid="{DABC5539-F1B8-4C47-BF4F-A3F2CB7EBBC3}"/>
    <cellStyle name="Comma 7 2 2 6 5" xfId="13038" xr:uid="{5FC2EA89-BA11-460C-B131-82AF74657E8D}"/>
    <cellStyle name="Comma 7 2 2 6 5 2" xfId="47035" xr:uid="{600EE608-8151-4654-ADF4-4D495475A1D7}"/>
    <cellStyle name="Comma 7 2 2 6 5 3" xfId="51358" xr:uid="{0496B755-A5C4-4EDC-82CB-779173A9DA95}"/>
    <cellStyle name="Comma 7 2 2 6 5 4" xfId="54374" xr:uid="{68BA7A53-4B36-4FDA-AD18-FE002695163B}"/>
    <cellStyle name="Comma 7 2 2 6 5 5" xfId="22027" xr:uid="{369F1084-90A5-48BA-AC51-7518BC2BDF80}"/>
    <cellStyle name="Comma 7 2 2 6 6" xfId="24765" xr:uid="{FDF81A1F-DFF7-4107-B372-44609C58A65D}"/>
    <cellStyle name="Comma 7 2 2 6 7" xfId="50252" xr:uid="{98BCA570-32C0-42D3-81A2-3538717BF7A3}"/>
    <cellStyle name="Comma 7 2 2 6 8" xfId="53268" xr:uid="{4A0A7274-7CC5-47BD-A35B-A1132E236993}"/>
    <cellStyle name="Comma 7 2 2 6 9" xfId="19028" xr:uid="{73829E6B-301C-4EE0-919A-EECB2D6334AD}"/>
    <cellStyle name="Comma 7 2 2 7" xfId="14526" xr:uid="{41472848-5210-4EF8-9166-3E736C0F1F1F}"/>
    <cellStyle name="Comma 7 2 2 7 2" xfId="22073" xr:uid="{DB540E07-E11C-4065-9C6C-CFA6A24C41ED}"/>
    <cellStyle name="Comma 7 2 2 7 3" xfId="47924" xr:uid="{BA46033D-567B-4D10-A501-1EB0A8B33E91}"/>
    <cellStyle name="Comma 7 2 2 7 4" xfId="51411" xr:uid="{3399B709-51A9-4AF2-84F3-5AEC06934671}"/>
    <cellStyle name="Comma 7 2 2 7 5" xfId="54427" xr:uid="{2CED8CE1-3645-4977-9AC7-9C8E8F663870}"/>
    <cellStyle name="Comma 7 2 2 7 6" xfId="19049" xr:uid="{E27D4554-5DC4-417B-B7E1-ADCB5B1941BC}"/>
    <cellStyle name="Comma 7 2 2 8" xfId="15010" xr:uid="{643C8BEC-1BA5-43C4-9E3F-3AB84FFBF31D}"/>
    <cellStyle name="Comma 7 2 2 8 2" xfId="22550" xr:uid="{99F89591-73EC-442C-9F65-000A35422410}"/>
    <cellStyle name="Comma 7 2 2 8 3" xfId="32509" xr:uid="{79EBF673-D508-4462-9C52-5941DCE78270}"/>
    <cellStyle name="Comma 7 2 2 8 4" xfId="51888" xr:uid="{D203C826-109D-40FB-814D-06B5F789EA2E}"/>
    <cellStyle name="Comma 7 2 2 8 5" xfId="54904" xr:uid="{9C4CE3FF-42E6-4CC3-A98A-84DBE0957213}"/>
    <cellStyle name="Comma 7 2 2 8 6" xfId="19191" xr:uid="{0CF7428A-497C-482E-910B-1F3BCD432BA8}"/>
    <cellStyle name="Comma 7 2 2 9" xfId="15497" xr:uid="{6C11AC9C-A2DA-4845-9935-C4E94F48D51E}"/>
    <cellStyle name="Comma 7 2 2 9 2" xfId="23027" xr:uid="{CE53FE22-6980-4F40-9415-EBE0F412904C}"/>
    <cellStyle name="Comma 7 2 2 9 3" xfId="46927" xr:uid="{50A5ADDF-8A7E-41FF-A4E9-57B5EB658088}"/>
    <cellStyle name="Comma 7 2 2 9 4" xfId="52365" xr:uid="{9F2A7A68-5460-4E41-91EC-6BFA14838C0D}"/>
    <cellStyle name="Comma 7 2 2 9 5" xfId="55381" xr:uid="{38E6F906-D7BD-4E55-85B9-E0CA2B60A3E2}"/>
    <cellStyle name="Comma 7 2 2 9 6" xfId="19336" xr:uid="{A02EEC4C-C093-48BE-A4C3-0CBFC42DACAE}"/>
    <cellStyle name="Comma 7 2 3" xfId="10037" xr:uid="{EDAC0BA2-8DF2-41E7-B564-925153BB3F59}"/>
    <cellStyle name="Comma 7 2 3 10" xfId="49581" xr:uid="{A06C92B5-D36F-486E-9C5D-8231B03826F7}"/>
    <cellStyle name="Comma 7 2 3 11" xfId="49880" xr:uid="{6313612F-8F32-4251-B498-890048072C1B}"/>
    <cellStyle name="Comma 7 2 3 12" xfId="52896" xr:uid="{312C8D52-5278-4ECC-9743-F6F666E6C080}"/>
    <cellStyle name="Comma 7 2 3 13" xfId="18753" xr:uid="{EBF106D5-9B80-44F7-A5B5-F2AEEBB2F12D}"/>
    <cellStyle name="Comma 7 2 3 2" xfId="10345" xr:uid="{AAAA12CD-3F31-4BE8-8C29-63494226D257}"/>
    <cellStyle name="Comma 7 2 3 2 2" xfId="14790" xr:uid="{19532521-7823-4E07-AD3A-C432C5BCC98D}"/>
    <cellStyle name="Comma 7 2 3 2 2 2" xfId="22337" xr:uid="{02CCF6A2-F475-46D7-ACAE-B0EDB5A2550B}"/>
    <cellStyle name="Comma 7 2 3 2 2 3" xfId="24949" xr:uid="{5995805E-440D-444D-945E-A237426FCD68}"/>
    <cellStyle name="Comma 7 2 3 2 2 4" xfId="51675" xr:uid="{631BBD58-7D82-4B52-A20A-52E510DB5BDA}"/>
    <cellStyle name="Comma 7 2 3 2 2 5" xfId="54691" xr:uid="{5EFE5C6B-F748-41A2-B730-0E73585BA8AD}"/>
    <cellStyle name="Comma 7 2 3 2 2 6" xfId="19123" xr:uid="{D79B7217-47CA-405F-B58D-23735A406719}"/>
    <cellStyle name="Comma 7 2 3 2 3" xfId="15275" xr:uid="{970D3BA8-E1E9-4C56-A8F5-CD5BC7894CC9}"/>
    <cellStyle name="Comma 7 2 3 2 3 2" xfId="22814" xr:uid="{8DC923C4-ECF1-4C05-9611-F7E293B2DC00}"/>
    <cellStyle name="Comma 7 2 3 2 3 3" xfId="46507" xr:uid="{76FEC331-7351-4996-9DE6-EEA4EA4BBBAE}"/>
    <cellStyle name="Comma 7 2 3 2 3 4" xfId="52152" xr:uid="{E598C606-E250-4D78-9EE6-325B28BE707B}"/>
    <cellStyle name="Comma 7 2 3 2 3 5" xfId="55168" xr:uid="{0963A074-75D8-48B9-BD8C-4BFA92C3A040}"/>
    <cellStyle name="Comma 7 2 3 2 3 6" xfId="19266" xr:uid="{8FB63018-DCCB-44F1-AE9F-5995E6C79DE8}"/>
    <cellStyle name="Comma 7 2 3 2 4" xfId="15762" xr:uid="{41F77561-DA3F-477A-B851-EAB64DCAE1EC}"/>
    <cellStyle name="Comma 7 2 3 2 4 2" xfId="23291" xr:uid="{F6E5DB1B-0B17-41A5-B63D-A6EF9287CB80}"/>
    <cellStyle name="Comma 7 2 3 2 4 3" xfId="46581" xr:uid="{767FC574-E1DE-414A-A5DC-79208FEAF203}"/>
    <cellStyle name="Comma 7 2 3 2 4 4" xfId="52629" xr:uid="{267D58AA-CB4B-423F-9795-77CC9D517D3B}"/>
    <cellStyle name="Comma 7 2 3 2 4 5" xfId="55645" xr:uid="{63624EF1-B99F-4A15-896D-C7EE59DE60EE}"/>
    <cellStyle name="Comma 7 2 3 2 4 6" xfId="19411" xr:uid="{E49487A0-F224-4FCD-A211-88D2E7790A67}"/>
    <cellStyle name="Comma 7 2 3 2 5" xfId="12798" xr:uid="{050E8902-A702-460C-B25E-5476CC9FE7F7}"/>
    <cellStyle name="Comma 7 2 3 2 5 2" xfId="25054" xr:uid="{9CED7D05-D7C3-4AC6-8BED-BB82846EF680}"/>
    <cellStyle name="Comma 7 2 3 2 5 3" xfId="51198" xr:uid="{FD4AACA4-FF61-4E6A-A032-1D8CFDCACA44}"/>
    <cellStyle name="Comma 7 2 3 2 5 4" xfId="54214" xr:uid="{B1FABB64-0CE3-4CA0-870B-B1E29A09583E}"/>
    <cellStyle name="Comma 7 2 3 2 5 5" xfId="21981" xr:uid="{C7B767F6-FF3B-43AD-8BC2-8621B71B0FA9}"/>
    <cellStyle name="Comma 7 2 3 2 6" xfId="46093" xr:uid="{D71FAE51-93E1-44DD-BE5F-148EAFF9C678}"/>
    <cellStyle name="Comma 7 2 3 2 7" xfId="50092" xr:uid="{6551431C-76D5-4E74-9F50-4CD75332585F}"/>
    <cellStyle name="Comma 7 2 3 2 8" xfId="53108" xr:uid="{9EF4F559-7B9E-42C2-BB4D-DDF0DB9DFBAA}"/>
    <cellStyle name="Comma 7 2 3 2 9" xfId="18902" xr:uid="{91638DDC-D99E-491B-AF68-B21A25A336A9}"/>
    <cellStyle name="Comma 7 2 3 3" xfId="14578" xr:uid="{D11492A8-BBB2-4DF6-B0BE-A9896094BA29}"/>
    <cellStyle name="Comma 7 2 3 3 2" xfId="22125" xr:uid="{DCE04429-9088-4B23-9A8D-E2F819EF4F85}"/>
    <cellStyle name="Comma 7 2 3 3 3" xfId="47925" xr:uid="{2BA41897-C4BB-433C-87C5-779D3AA24E02}"/>
    <cellStyle name="Comma 7 2 3 3 4" xfId="51463" xr:uid="{C235C18E-C893-43EC-A968-0C5142278BF8}"/>
    <cellStyle name="Comma 7 2 3 3 5" xfId="54479" xr:uid="{3AF9E28A-B119-44DD-8452-6C8C08D57A32}"/>
    <cellStyle name="Comma 7 2 3 3 6" xfId="19063" xr:uid="{89E01F2A-6D75-4B34-AB62-5B64F6CA4860}"/>
    <cellStyle name="Comma 7 2 3 4" xfId="15062" xr:uid="{97ECC998-43AC-41C8-B02A-448A3629F97D}"/>
    <cellStyle name="Comma 7 2 3 4 2" xfId="22602" xr:uid="{87C55F82-BEB8-4CCE-B6AD-C7EED05EDE23}"/>
    <cellStyle name="Comma 7 2 3 4 3" xfId="48549" xr:uid="{5663B7AF-E13E-4D72-B248-06C994E30960}"/>
    <cellStyle name="Comma 7 2 3 4 4" xfId="51940" xr:uid="{0B09B769-D794-4546-AFCC-343FA93ABD30}"/>
    <cellStyle name="Comma 7 2 3 4 5" xfId="54956" xr:uid="{E1D151A9-7660-419E-8E25-534DAF8C22EF}"/>
    <cellStyle name="Comma 7 2 3 4 6" xfId="19205" xr:uid="{DEB2B427-284B-4826-B8D3-0ACAA289A287}"/>
    <cellStyle name="Comma 7 2 3 5" xfId="15549" xr:uid="{D5790444-13F4-48F6-8BBD-7A58B9B3B5B6}"/>
    <cellStyle name="Comma 7 2 3 5 2" xfId="23079" xr:uid="{C9419385-5257-4EA5-BF2E-84A29B2DE739}"/>
    <cellStyle name="Comma 7 2 3 5 3" xfId="46549" xr:uid="{AA153663-98FB-419B-A2A4-B86A8BD29BD9}"/>
    <cellStyle name="Comma 7 2 3 5 4" xfId="52417" xr:uid="{36EBB0C9-E0B5-4A32-88A5-4AAA69E13915}"/>
    <cellStyle name="Comma 7 2 3 5 5" xfId="55433" xr:uid="{17D37487-1F3B-41FE-9080-F34C46BAEA87}"/>
    <cellStyle name="Comma 7 2 3 5 6" xfId="19350" xr:uid="{E6C7E434-735E-458A-A18A-FCFA2D806921}"/>
    <cellStyle name="Comma 7 2 3 6" xfId="12497" xr:uid="{5B4E1E8A-8234-49AB-90C5-E83F43803C1E}"/>
    <cellStyle name="Comma 7 2 3 6 2" xfId="47914" xr:uid="{6F177343-CD2C-453B-9B97-ED84DE928799}"/>
    <cellStyle name="Comma 7 2 3 6 3" xfId="50986" xr:uid="{57EB2A22-229E-4F15-9341-B6F9936A2287}"/>
    <cellStyle name="Comma 7 2 3 6 4" xfId="54002" xr:uid="{6243B62B-34E3-442E-A880-41F070091E75}"/>
    <cellStyle name="Comma 7 2 3 6 5" xfId="21920" xr:uid="{0D3A8CC8-AA8E-426A-B7E5-22996C60D068}"/>
    <cellStyle name="Comma 7 2 3 7" xfId="23802" xr:uid="{2018C2C0-D6D4-49C4-9CB1-71BA87B4117D}"/>
    <cellStyle name="Comma 7 2 3 8" xfId="48087" xr:uid="{07D14F0B-5ECD-4184-9C1D-5791AEF69018}"/>
    <cellStyle name="Comma 7 2 3 9" xfId="48673" xr:uid="{7430AFB3-095D-4B50-80EC-D3D8699A8832}"/>
    <cellStyle name="Comma 7 2 4" xfId="10111" xr:uid="{BBFC8DDB-2E2C-40D6-9268-DAA2B7E3E8B1}"/>
    <cellStyle name="Comma 7 2 4 10" xfId="18786" xr:uid="{B58A18A1-3914-4B96-A611-A6DECB62C7AD}"/>
    <cellStyle name="Comma 7 2 4 2" xfId="10424" xr:uid="{86B6E211-8A83-4853-B693-4291BABEE9E7}"/>
    <cellStyle name="Comma 7 2 4 2 2" xfId="14843" xr:uid="{15189E8A-5D03-494F-8D51-35D3C744F52C}"/>
    <cellStyle name="Comma 7 2 4 2 2 2" xfId="22390" xr:uid="{5EE9D28B-1534-462C-B9B1-41F983974DBE}"/>
    <cellStyle name="Comma 7 2 4 2 2 3" xfId="47336" xr:uid="{069B67E1-EDEA-44D8-96F8-24E3B2B43B77}"/>
    <cellStyle name="Comma 7 2 4 2 2 4" xfId="51728" xr:uid="{1C733717-0EE9-4CEB-91EE-B59CCC1A8DB3}"/>
    <cellStyle name="Comma 7 2 4 2 2 5" xfId="54744" xr:uid="{F51F206C-EB65-46F6-9446-687AEE128C63}"/>
    <cellStyle name="Comma 7 2 4 2 2 6" xfId="19138" xr:uid="{2ECC0FB9-CB98-4DF7-86F7-F2ED185AB986}"/>
    <cellStyle name="Comma 7 2 4 2 3" xfId="15328" xr:uid="{30D11ACE-69F2-4EC5-AE8A-BDE3CF3D9D67}"/>
    <cellStyle name="Comma 7 2 4 2 3 2" xfId="22867" xr:uid="{A3C7C5BF-C068-4576-A584-4B342D7FD6C2}"/>
    <cellStyle name="Comma 7 2 4 2 3 3" xfId="47153" xr:uid="{A0D11710-4FBA-4D60-AB0F-B6BC079871E4}"/>
    <cellStyle name="Comma 7 2 4 2 3 4" xfId="52205" xr:uid="{306F309F-19C3-4A3A-8F2D-C54BF9AC2F61}"/>
    <cellStyle name="Comma 7 2 4 2 3 5" xfId="55221" xr:uid="{4FB7FAAC-32EF-41BA-80F0-C5C876E041C6}"/>
    <cellStyle name="Comma 7 2 4 2 3 6" xfId="19281" xr:uid="{F1085AE0-63AD-47CD-9DD6-3E66E37337D2}"/>
    <cellStyle name="Comma 7 2 4 2 4" xfId="15815" xr:uid="{39789BD2-508C-43E7-B11F-DB8A1E4261F4}"/>
    <cellStyle name="Comma 7 2 4 2 4 2" xfId="23344" xr:uid="{62D20452-427F-4B45-92DC-D4DA87EB398D}"/>
    <cellStyle name="Comma 7 2 4 2 4 3" xfId="48371" xr:uid="{8F72E39E-AB41-431F-824D-4EE8AD437752}"/>
    <cellStyle name="Comma 7 2 4 2 4 4" xfId="52682" xr:uid="{ED85FD00-5B5E-4DB3-B269-6E057FBC998E}"/>
    <cellStyle name="Comma 7 2 4 2 4 5" xfId="55698" xr:uid="{12A5E368-7461-497F-9899-9DD26AD31DA5}"/>
    <cellStyle name="Comma 7 2 4 2 4 6" xfId="19426" xr:uid="{C7519C83-A7BE-4E1F-BF01-590229854528}"/>
    <cellStyle name="Comma 7 2 4 2 5" xfId="12877" xr:uid="{00A07775-7DAA-44F9-9EAA-A0E6520736A2}"/>
    <cellStyle name="Comma 7 2 4 2 5 2" xfId="46365" xr:uid="{2FD227F3-30E8-4128-9192-52CD36ACB6ED}"/>
    <cellStyle name="Comma 7 2 4 2 5 3" xfId="51251" xr:uid="{D33F1875-4ADC-44C7-B0F5-658C98714314}"/>
    <cellStyle name="Comma 7 2 4 2 5 4" xfId="54267" xr:uid="{7E6C9C19-6A1D-4F4B-997E-ADAAE5000F1C}"/>
    <cellStyle name="Comma 7 2 4 2 5 5" xfId="21996" xr:uid="{A1E0BA6D-4E66-4E96-BC80-0F4ABCE85792}"/>
    <cellStyle name="Comma 7 2 4 2 6" xfId="47585" xr:uid="{AD92A2E1-FCAE-46A2-A50A-91EA87E62981}"/>
    <cellStyle name="Comma 7 2 4 2 7" xfId="50145" xr:uid="{83A72E4F-E83D-4F94-A4C2-AC4C64B77EE9}"/>
    <cellStyle name="Comma 7 2 4 2 8" xfId="53161" xr:uid="{769259B2-4BF8-4FD9-AD8B-007B14E3CF58}"/>
    <cellStyle name="Comma 7 2 4 2 9" xfId="18943" xr:uid="{9E5CB217-3E7F-48F5-9084-DAE8C21A5C90}"/>
    <cellStyle name="Comma 7 2 4 3" xfId="14631" xr:uid="{4DAD2B5C-3CBF-4A57-9BC2-19FF61ECF20D}"/>
    <cellStyle name="Comma 7 2 4 3 2" xfId="22178" xr:uid="{9514C1E9-34F3-4A5D-9ACA-011171F45A1E}"/>
    <cellStyle name="Comma 7 2 4 3 3" xfId="47829" xr:uid="{D3E1CC15-07AB-4444-BB5B-09AD09163439}"/>
    <cellStyle name="Comma 7 2 4 3 4" xfId="51516" xr:uid="{2DD1FEFC-6ECB-4515-9D0C-28B1E61F5142}"/>
    <cellStyle name="Comma 7 2 4 3 5" xfId="54532" xr:uid="{BC427647-DC62-4F48-A7E9-467A1652E4DA}"/>
    <cellStyle name="Comma 7 2 4 3 6" xfId="19078" xr:uid="{47C3B390-6E4C-4225-8BC3-F40F5F45B887}"/>
    <cellStyle name="Comma 7 2 4 4" xfId="15116" xr:uid="{00731319-0643-4005-A6A1-DFFC78D5D36A}"/>
    <cellStyle name="Comma 7 2 4 4 2" xfId="22655" xr:uid="{CB99D408-FF44-4CF3-9EF5-6EC3DF9EE366}"/>
    <cellStyle name="Comma 7 2 4 4 3" xfId="48358" xr:uid="{670F9333-99E9-48A5-9BF1-00B3DAE16239}"/>
    <cellStyle name="Comma 7 2 4 4 4" xfId="51993" xr:uid="{1BC1C07D-6121-4470-AE25-1BCD6198B423}"/>
    <cellStyle name="Comma 7 2 4 4 5" xfId="55009" xr:uid="{0EA58DB9-36ED-47AD-96E0-2E9B05C38F03}"/>
    <cellStyle name="Comma 7 2 4 4 6" xfId="19221" xr:uid="{96665515-0188-4EBE-B04E-F5BDCE585A9D}"/>
    <cellStyle name="Comma 7 2 4 5" xfId="15603" xr:uid="{5D8C2111-EB3D-4E03-91DC-560C7F2A7175}"/>
    <cellStyle name="Comma 7 2 4 5 2" xfId="23132" xr:uid="{D5D4F8F4-8EFE-44AE-9AAF-516C60418479}"/>
    <cellStyle name="Comma 7 2 4 5 3" xfId="47864" xr:uid="{9F69EA9F-4D28-4A23-BC8F-374A7C58E511}"/>
    <cellStyle name="Comma 7 2 4 5 4" xfId="52470" xr:uid="{8FC9E64E-2E34-43F7-A8F0-2B06D938C8BA}"/>
    <cellStyle name="Comma 7 2 4 5 5" xfId="55486" xr:uid="{212EEC72-3C85-4DF5-BD38-F3F2A7F1577C}"/>
    <cellStyle name="Comma 7 2 4 5 6" xfId="19366" xr:uid="{251700BD-2C55-41AF-891F-9D28A3E90CD1}"/>
    <cellStyle name="Comma 7 2 4 6" xfId="12568" xr:uid="{C2E4CC96-FA9F-4747-8782-E7A211E3A76D}"/>
    <cellStyle name="Comma 7 2 4 6 2" xfId="25075" xr:uid="{AD350CE7-515B-4F77-B964-D807C9ED9E66}"/>
    <cellStyle name="Comma 7 2 4 6 3" xfId="51039" xr:uid="{25F70CFB-7620-4779-98F2-62C920A3900C}"/>
    <cellStyle name="Comma 7 2 4 6 4" xfId="54055" xr:uid="{41C9D863-3DE4-45DA-92F7-9A04EDCA7F53}"/>
    <cellStyle name="Comma 7 2 4 6 5" xfId="21936" xr:uid="{3E6A9B95-5AB7-436A-AE9B-D1DFB7267268}"/>
    <cellStyle name="Comma 7 2 4 7" xfId="46051" xr:uid="{FBDC20E3-B069-4755-B6DE-89198AF9DC79}"/>
    <cellStyle name="Comma 7 2 4 8" xfId="49933" xr:uid="{7E71BC37-7012-40DF-BAC1-D5B6F3D6DD12}"/>
    <cellStyle name="Comma 7 2 4 9" xfId="52949" xr:uid="{D4315D1A-DB4E-4DF7-B6EB-0CDAF8C1A8BE}"/>
    <cellStyle name="Comma 7 2 5" xfId="10190" xr:uid="{3C44AAB5-DD69-4C83-ADAA-4CDE08EE75FF}"/>
    <cellStyle name="Comma 7 2 5 10" xfId="18824" xr:uid="{010438F6-B6F8-4DDA-A530-B78FA973D5C4}"/>
    <cellStyle name="Comma 7 2 5 2" xfId="10504" xr:uid="{552A56BA-608D-4978-A9C3-4596351DC23B}"/>
    <cellStyle name="Comma 7 2 5 2 2" xfId="14896" xr:uid="{1BEBE06E-848D-4DFE-B8ED-6BCACDEC1FCC}"/>
    <cellStyle name="Comma 7 2 5 2 2 2" xfId="22443" xr:uid="{FC394457-C0D8-4605-A40C-483374EA0BCB}"/>
    <cellStyle name="Comma 7 2 5 2 2 3" xfId="47337" xr:uid="{018E6449-E605-466A-9D5C-6F37828415E3}"/>
    <cellStyle name="Comma 7 2 5 2 2 4" xfId="51781" xr:uid="{725A674F-C376-407A-9D49-7DFB919616F0}"/>
    <cellStyle name="Comma 7 2 5 2 2 5" xfId="54797" xr:uid="{95FE89F9-7FF7-4F8B-A194-74374940238B}"/>
    <cellStyle name="Comma 7 2 5 2 2 6" xfId="19153" xr:uid="{22782128-996F-4EDA-BF6B-B637F4EF777F}"/>
    <cellStyle name="Comma 7 2 5 2 3" xfId="15381" xr:uid="{2085037B-2071-4914-991B-3E45A37D4FA1}"/>
    <cellStyle name="Comma 7 2 5 2 3 2" xfId="22920" xr:uid="{33CE3C7D-1623-496D-B621-2DE63E5F115B}"/>
    <cellStyle name="Comma 7 2 5 2 3 3" xfId="47723" xr:uid="{10BAB97A-1A42-4E30-A347-F2EBCCAC54C2}"/>
    <cellStyle name="Comma 7 2 5 2 3 4" xfId="52258" xr:uid="{E964C97F-483F-4D9D-9455-9C93C85F83FC}"/>
    <cellStyle name="Comma 7 2 5 2 3 5" xfId="55274" xr:uid="{00F4CD77-07E7-4027-8D4F-02C929BDD524}"/>
    <cellStyle name="Comma 7 2 5 2 3 6" xfId="19296" xr:uid="{4757B92A-DAE2-4B79-BCD7-48A9F6E9D94B}"/>
    <cellStyle name="Comma 7 2 5 2 4" xfId="15868" xr:uid="{7CEE8030-CD57-49C0-91EE-B1F1E8D5FA72}"/>
    <cellStyle name="Comma 7 2 5 2 4 2" xfId="23397" xr:uid="{A5A0DC24-676C-4798-AF42-F814B338DCCA}"/>
    <cellStyle name="Comma 7 2 5 2 4 3" xfId="48312" xr:uid="{97DDC876-67A9-4AC9-83B0-74BCDDF2966B}"/>
    <cellStyle name="Comma 7 2 5 2 4 4" xfId="52735" xr:uid="{34B5FC94-78E4-4E0F-98ED-3D7887B3CD93}"/>
    <cellStyle name="Comma 7 2 5 2 4 5" xfId="55751" xr:uid="{D310C00D-37B4-4754-97CD-8CCFB580EEE8}"/>
    <cellStyle name="Comma 7 2 5 2 4 6" xfId="19441" xr:uid="{69D88397-E200-4A74-874B-0ED81E033A4E}"/>
    <cellStyle name="Comma 7 2 5 2 5" xfId="12957" xr:uid="{5DD5A2F6-4A70-4379-915C-9D0D870F9E17}"/>
    <cellStyle name="Comma 7 2 5 2 5 2" xfId="32310" xr:uid="{377285F5-6E47-460C-B3EB-2DA3655ED223}"/>
    <cellStyle name="Comma 7 2 5 2 5 3" xfId="51304" xr:uid="{11F83FF0-0FF3-4F83-961B-71B618DAA696}"/>
    <cellStyle name="Comma 7 2 5 2 5 4" xfId="54320" xr:uid="{07CD6226-2FB0-4D0D-A034-7A06824EB54A}"/>
    <cellStyle name="Comma 7 2 5 2 5 5" xfId="22011" xr:uid="{3C1256FC-BD67-44F5-B96D-D05E47567B23}"/>
    <cellStyle name="Comma 7 2 5 2 6" xfId="46140" xr:uid="{AD8BE06F-CF33-4D50-A9D8-9E107950B609}"/>
    <cellStyle name="Comma 7 2 5 2 7" xfId="50198" xr:uid="{70692415-6C70-4E82-9059-176114D64B38}"/>
    <cellStyle name="Comma 7 2 5 2 8" xfId="53214" xr:uid="{1C5C6023-8A17-4EC0-A223-160A07706DFA}"/>
    <cellStyle name="Comma 7 2 5 2 9" xfId="18985" xr:uid="{E6F05C8B-A5D7-4FBD-866D-688029963F66}"/>
    <cellStyle name="Comma 7 2 5 3" xfId="14684" xr:uid="{1A997AFD-7289-4B7B-ABC1-18B63C12E9B9}"/>
    <cellStyle name="Comma 7 2 5 3 2" xfId="22231" xr:uid="{59788F4D-7DF7-47C8-8341-64070438C2B4}"/>
    <cellStyle name="Comma 7 2 5 3 3" xfId="46417" xr:uid="{862E7DC7-821E-436B-A45B-FCC766BB8158}"/>
    <cellStyle name="Comma 7 2 5 3 4" xfId="51569" xr:uid="{A5C81BD7-ED42-4B22-BBC9-F5DC19EB7B91}"/>
    <cellStyle name="Comma 7 2 5 3 5" xfId="54585" xr:uid="{3390B2A0-E334-4C8D-B422-BC73EBC05195}"/>
    <cellStyle name="Comma 7 2 5 3 6" xfId="19093" xr:uid="{2A18B973-51FB-4757-81DF-3A4A32479D96}"/>
    <cellStyle name="Comma 7 2 5 4" xfId="15169" xr:uid="{F91838CD-839D-4BA0-8831-650AA8305900}"/>
    <cellStyle name="Comma 7 2 5 4 2" xfId="22708" xr:uid="{8C1214D5-6D2C-4FDE-A935-0B4FD87B228B}"/>
    <cellStyle name="Comma 7 2 5 4 3" xfId="47980" xr:uid="{CCFB87AB-AD71-4E16-B5F7-63DDE28B6FA2}"/>
    <cellStyle name="Comma 7 2 5 4 4" xfId="52046" xr:uid="{F45E3F67-7E63-4CBA-93A7-872DF56D9053}"/>
    <cellStyle name="Comma 7 2 5 4 5" xfId="55062" xr:uid="{2E6699B9-6580-41BC-A3F6-3CF81E1EE8BB}"/>
    <cellStyle name="Comma 7 2 5 4 6" xfId="19236" xr:uid="{EB205606-00E4-4DE5-B370-C82EC32B8B70}"/>
    <cellStyle name="Comma 7 2 5 5" xfId="15656" xr:uid="{8BDB6BC9-35C5-4B66-B961-D6AD9208FB77}"/>
    <cellStyle name="Comma 7 2 5 5 2" xfId="23185" xr:uid="{9DE8CD74-2D9A-43D4-B63D-E29A38713AAF}"/>
    <cellStyle name="Comma 7 2 5 5 3" xfId="47551" xr:uid="{88E2EFE6-BCD2-4F97-830D-D4E00C094EE9}"/>
    <cellStyle name="Comma 7 2 5 5 4" xfId="52523" xr:uid="{2F10D6F2-16D0-4E1C-847E-9D3564462A01}"/>
    <cellStyle name="Comma 7 2 5 5 5" xfId="55539" xr:uid="{B5D8215C-6605-4661-BC20-ECB6CF9A9DCA}"/>
    <cellStyle name="Comma 7 2 5 5 6" xfId="19381" xr:uid="{523EA2BF-6D0B-4E57-AE59-74B05F8E325E}"/>
    <cellStyle name="Comma 7 2 5 6" xfId="12644" xr:uid="{A5369DDA-353E-4F55-8D20-A674808BCFB1}"/>
    <cellStyle name="Comma 7 2 5 6 2" xfId="47468" xr:uid="{5CAA927F-C1C0-4D40-98D6-38D662D2A415}"/>
    <cellStyle name="Comma 7 2 5 6 3" xfId="51092" xr:uid="{987EBABC-21A4-4F3C-8997-5B6705CDA748}"/>
    <cellStyle name="Comma 7 2 5 6 4" xfId="54108" xr:uid="{F151ABB6-025C-4F8B-A344-7C65A0C52BC0}"/>
    <cellStyle name="Comma 7 2 5 6 5" xfId="21951" xr:uid="{E545EACC-8554-4A3E-B1F7-0AE9D3E5E201}"/>
    <cellStyle name="Comma 7 2 5 7" xfId="47700" xr:uid="{648A71EA-52CF-422D-8EF5-ED271027B715}"/>
    <cellStyle name="Comma 7 2 5 8" xfId="49986" xr:uid="{52DD4249-42D8-498B-B7C5-5BCBB78353ED}"/>
    <cellStyle name="Comma 7 2 5 9" xfId="53002" xr:uid="{8B75BE11-A886-42BA-BB5A-609D98D2363C}"/>
    <cellStyle name="Comma 7 2 6" xfId="10270" xr:uid="{D54AD388-9AFA-45A6-85F7-A54030927CD1}"/>
    <cellStyle name="Comma 7 2 6 2" xfId="14737" xr:uid="{1205C72F-F724-4BE6-9919-BD21878ECE8F}"/>
    <cellStyle name="Comma 7 2 6 2 2" xfId="22284" xr:uid="{9FD2E44C-9DE4-4FB6-8DAE-043242BE7160}"/>
    <cellStyle name="Comma 7 2 6 2 3" xfId="24667" xr:uid="{E9F043C2-A250-46E1-AE5D-F11963ACFA08}"/>
    <cellStyle name="Comma 7 2 6 2 4" xfId="51622" xr:uid="{A2AB2BDB-8138-435F-98FD-094BA1504B47}"/>
    <cellStyle name="Comma 7 2 6 2 5" xfId="54638" xr:uid="{72A52BC3-0829-4637-AA2B-47959163C5B1}"/>
    <cellStyle name="Comma 7 2 6 2 6" xfId="19108" xr:uid="{43CF4816-C3E5-4480-9D28-77680F26C5BD}"/>
    <cellStyle name="Comma 7 2 6 3" xfId="15222" xr:uid="{0E5FDDD0-517A-426D-AC9F-7170CC2DDB93}"/>
    <cellStyle name="Comma 7 2 6 3 2" xfId="22761" xr:uid="{E67AED7B-7AC0-4282-8D4A-FC32DD0E2C40}"/>
    <cellStyle name="Comma 7 2 6 3 3" xfId="33361" xr:uid="{B63CFA3E-A3B6-4884-BD01-805C0B5AE3FA}"/>
    <cellStyle name="Comma 7 2 6 3 4" xfId="52099" xr:uid="{0E2D9553-BDB1-49ED-A2AD-4434C31A7D66}"/>
    <cellStyle name="Comma 7 2 6 3 5" xfId="55115" xr:uid="{7D7B2C49-7457-45FE-A8BC-BFCDD51A7AB0}"/>
    <cellStyle name="Comma 7 2 6 3 6" xfId="19251" xr:uid="{BF16B985-4C8A-46A9-BBE9-49F7A97FBE08}"/>
    <cellStyle name="Comma 7 2 6 4" xfId="15709" xr:uid="{87652A2E-0AA0-445E-B772-3E302E304544}"/>
    <cellStyle name="Comma 7 2 6 4 2" xfId="23238" xr:uid="{49F51294-5717-4E81-AE4C-6B5A18936B44}"/>
    <cellStyle name="Comma 7 2 6 4 3" xfId="47199" xr:uid="{3F633BEE-C991-40FC-AA21-2170596454DD}"/>
    <cellStyle name="Comma 7 2 6 4 4" xfId="52576" xr:uid="{6C8ADBA0-D895-4776-B1FC-7C98FD0C1ADE}"/>
    <cellStyle name="Comma 7 2 6 4 5" xfId="55592" xr:uid="{80EF63D9-00A9-43FE-A31E-2F3FD4FB2090}"/>
    <cellStyle name="Comma 7 2 6 4 6" xfId="19396" xr:uid="{A2C3C8C0-7446-4A72-8ABF-B222D10AA6BB}"/>
    <cellStyle name="Comma 7 2 6 5" xfId="12723" xr:uid="{2422063C-AB25-40BF-9B92-14A52E60F310}"/>
    <cellStyle name="Comma 7 2 6 5 2" xfId="46346" xr:uid="{CFE439B9-9097-4D3F-80AF-E068863DAE9F}"/>
    <cellStyle name="Comma 7 2 6 5 3" xfId="51145" xr:uid="{173CC878-6B6E-4737-AE4C-578DA16DDFD9}"/>
    <cellStyle name="Comma 7 2 6 5 4" xfId="54161" xr:uid="{4FB4019B-5374-4400-B711-96A89B9C7041}"/>
    <cellStyle name="Comma 7 2 6 5 5" xfId="21966" xr:uid="{B2AB15BD-C737-4FE6-AD07-E51C3048E0C9}"/>
    <cellStyle name="Comma 7 2 6 6" xfId="46078" xr:uid="{10DB647B-E2FD-46B3-A14B-EC20881296A5}"/>
    <cellStyle name="Comma 7 2 6 7" xfId="50039" xr:uid="{9A85E188-58FF-4B3D-9AA7-245BD9CA0352}"/>
    <cellStyle name="Comma 7 2 6 8" xfId="53055" xr:uid="{755A05E2-5BF1-4171-8B5A-B3E3BFD42596}"/>
    <cellStyle name="Comma 7 2 6 9" xfId="18865" xr:uid="{7CA1AB62-F5C7-4550-8E22-E4C1A387D510}"/>
    <cellStyle name="Comma 7 2 7" xfId="10584" xr:uid="{34CE1AFA-F8CF-4804-A448-929C8DAA30D5}"/>
    <cellStyle name="Comma 7 2 7 2" xfId="14949" xr:uid="{609DA48B-132E-42FF-8918-7296B8C1D781}"/>
    <cellStyle name="Comma 7 2 7 2 2" xfId="22496" xr:uid="{F98C9522-E988-4A3F-A6E4-8364B4B9F296}"/>
    <cellStyle name="Comma 7 2 7 2 3" xfId="32519" xr:uid="{82690535-435E-41BD-B59B-0BFD530CCC90}"/>
    <cellStyle name="Comma 7 2 7 2 4" xfId="51834" xr:uid="{185C2D70-E480-4EBD-8431-90376A5FBEB7}"/>
    <cellStyle name="Comma 7 2 7 2 5" xfId="54850" xr:uid="{3AE55E0E-65DB-40E0-9EF6-39A5C276EE71}"/>
    <cellStyle name="Comma 7 2 7 2 6" xfId="19168" xr:uid="{5AE2D99E-D351-4856-ACB1-07E7F6CD67DE}"/>
    <cellStyle name="Comma 7 2 7 3" xfId="15434" xr:uid="{A3221ED7-BD40-4445-BB25-644BFC6F2433}"/>
    <cellStyle name="Comma 7 2 7 3 2" xfId="22973" xr:uid="{08672A7C-EAA2-4BFD-AD45-A155AC867D16}"/>
    <cellStyle name="Comma 7 2 7 3 3" xfId="46921" xr:uid="{9B3F32B8-5B2C-4804-8CA0-85F0EF1ADD28}"/>
    <cellStyle name="Comma 7 2 7 3 4" xfId="52311" xr:uid="{1B2BBDA7-5389-4041-B97E-73E37992747D}"/>
    <cellStyle name="Comma 7 2 7 3 5" xfId="55327" xr:uid="{DAFDF975-F910-40BF-B47E-DE6576BC7DDB}"/>
    <cellStyle name="Comma 7 2 7 3 6" xfId="19311" xr:uid="{5D4FBF0A-655D-4DC8-B1DC-A8550ABCA60F}"/>
    <cellStyle name="Comma 7 2 7 4" xfId="15922" xr:uid="{22067A7E-469D-452C-9BE2-BF243B33910C}"/>
    <cellStyle name="Comma 7 2 7 4 2" xfId="23450" xr:uid="{37F347F5-F260-4F19-AB03-0C72127C78FE}"/>
    <cellStyle name="Comma 7 2 7 4 3" xfId="46607" xr:uid="{31F55AE4-15D7-45D7-B452-FA61599701F9}"/>
    <cellStyle name="Comma 7 2 7 4 4" xfId="52788" xr:uid="{A085A46A-D677-433F-9FB6-60D325124AD6}"/>
    <cellStyle name="Comma 7 2 7 4 5" xfId="55804" xr:uid="{EE46033F-EBB8-4E12-99A1-21EB95A946ED}"/>
    <cellStyle name="Comma 7 2 7 4 6" xfId="19457" xr:uid="{FB0A5503-71D4-4B39-9233-F5E52CA0C8AD}"/>
    <cellStyle name="Comma 7 2 7 5" xfId="13037" xr:uid="{B11523ED-9442-457E-AFBD-C42D1AF78542}"/>
    <cellStyle name="Comma 7 2 7 5 2" xfId="46824" xr:uid="{B1AE13A0-17DA-4784-8E49-7DCE1E9D576B}"/>
    <cellStyle name="Comma 7 2 7 5 3" xfId="51357" xr:uid="{776CF8D9-4EB7-429F-8480-6B6AEA851A61}"/>
    <cellStyle name="Comma 7 2 7 5 4" xfId="54373" xr:uid="{98375056-0BB3-45FE-A837-DA718DB0CE62}"/>
    <cellStyle name="Comma 7 2 7 5 5" xfId="22026" xr:uid="{FD96A9CA-355B-430E-BA83-E617295E4231}"/>
    <cellStyle name="Comma 7 2 7 6" xfId="46632" xr:uid="{71C19419-B2FD-4E30-ADD4-EF21CC9613A7}"/>
    <cellStyle name="Comma 7 2 7 7" xfId="50251" xr:uid="{06F02CDA-343A-41EA-867A-3AA42ED45898}"/>
    <cellStyle name="Comma 7 2 7 8" xfId="53267" xr:uid="{F6793E54-E343-4334-A4B4-610060A35824}"/>
    <cellStyle name="Comma 7 2 7 9" xfId="19027" xr:uid="{E156B25C-0D6B-4DC4-BA20-07E1BCBDF99C}"/>
    <cellStyle name="Comma 7 2 8" xfId="14179" xr:uid="{DD9EC279-E3F7-4264-80A3-EFCFE25A6672}"/>
    <cellStyle name="Comma 7 2 9" xfId="14525" xr:uid="{011DE29D-21F1-4B93-8921-C06737FCF98A}"/>
    <cellStyle name="Comma 7 2 9 2" xfId="22072" xr:uid="{0A9CE401-AC73-4D52-B3F7-3530C2D34567}"/>
    <cellStyle name="Comma 7 2 9 3" xfId="48346" xr:uid="{8A6F0D92-65BC-4282-99D9-83E4B3A75348}"/>
    <cellStyle name="Comma 7 2 9 4" xfId="51410" xr:uid="{09027355-78F7-4006-91CB-527FA16429DB}"/>
    <cellStyle name="Comma 7 2 9 5" xfId="54426" xr:uid="{D5AEB9F6-0AA0-4457-A680-FE20BB7324C8}"/>
    <cellStyle name="Comma 7 2 9 6" xfId="19048" xr:uid="{BE7272FF-831E-435B-BD38-0D7DDCC830CC}"/>
    <cellStyle name="Comma 7 3" xfId="5828" xr:uid="{B0E218BA-79FA-4D7C-88C4-20821E2A9CF4}"/>
    <cellStyle name="Comma 7 3 10" xfId="12179" xr:uid="{2406A6CB-C404-47AC-9B96-06664ECFE194}"/>
    <cellStyle name="Comma 7 3 10 2" xfId="48044" xr:uid="{A7E1F10A-D2F8-4436-8326-9CE24EE3299A}"/>
    <cellStyle name="Comma 7 3 10 3" xfId="50936" xr:uid="{5EB03BA9-6C79-43B5-A3D7-F8ACED5F1232}"/>
    <cellStyle name="Comma 7 3 10 4" xfId="53952" xr:uid="{3751A2A8-33B2-4CA5-9505-21668CEEE8F3}"/>
    <cellStyle name="Comma 7 3 10 5" xfId="21904" xr:uid="{2CB26E11-E77A-4C06-9917-472A8FEBD516}"/>
    <cellStyle name="Comma 7 3 11" xfId="23803" xr:uid="{F572EF32-E8AA-4A75-A2DA-15B93A7FF375}"/>
    <cellStyle name="Comma 7 3 12" xfId="47356" xr:uid="{590C49D5-723F-4C03-87FE-6AA5E7184401}"/>
    <cellStyle name="Comma 7 3 13" xfId="48674" xr:uid="{20AD38F6-6493-448B-B55A-73B8D6DEBE8A}"/>
    <cellStyle name="Comma 7 3 14" xfId="49582" xr:uid="{216C1055-2990-42DA-9997-0846592C76BF}"/>
    <cellStyle name="Comma 7 3 15" xfId="49829" xr:uid="{CB59C9E5-14F5-412B-95D0-6DE42582EF57}"/>
    <cellStyle name="Comma 7 3 16" xfId="52844" xr:uid="{0F9A2EDE-2AA7-47AE-AD01-E237069F6834}"/>
    <cellStyle name="Comma 7 3 17" xfId="18566" xr:uid="{6A8F541C-40DA-4684-9C8E-7C0AC714AD85}"/>
    <cellStyle name="Comma 7 3 18" xfId="8952" xr:uid="{A85EECCF-4A13-455D-AFA0-6D27CBB0FB94}"/>
    <cellStyle name="Comma 7 3 2" xfId="10039" xr:uid="{6B7E6935-9244-48CC-9FC6-D81F4039CD34}"/>
    <cellStyle name="Comma 7 3 2 10" xfId="18755" xr:uid="{DC2E544F-79DC-4592-8060-7E12614F83DD}"/>
    <cellStyle name="Comma 7 3 2 2" xfId="10347" xr:uid="{04867D83-2834-43F8-9F31-9A0405F15E8B}"/>
    <cellStyle name="Comma 7 3 2 2 2" xfId="14792" xr:uid="{D565F302-FFA6-4A29-BDF8-73C81D98D488}"/>
    <cellStyle name="Comma 7 3 2 2 2 2" xfId="22339" xr:uid="{A7E92EC5-9983-4DC5-B432-73320B303964}"/>
    <cellStyle name="Comma 7 3 2 2 2 3" xfId="46862" xr:uid="{F521C4C3-7DDA-4EE2-B312-5144CB37FD02}"/>
    <cellStyle name="Comma 7 3 2 2 2 4" xfId="51677" xr:uid="{26DA1FCC-82F2-4B43-94C8-D8ED7D2C6734}"/>
    <cellStyle name="Comma 7 3 2 2 2 5" xfId="54693" xr:uid="{693899CF-D4E1-4F95-A42D-DF87FAE9B5B7}"/>
    <cellStyle name="Comma 7 3 2 2 2 6" xfId="19125" xr:uid="{0CF968E2-97BA-48FA-AA09-70CFBBE7D073}"/>
    <cellStyle name="Comma 7 3 2 2 3" xfId="15277" xr:uid="{EA3CF829-B8A2-4F87-899D-A8AF71BCBFDD}"/>
    <cellStyle name="Comma 7 3 2 2 3 2" xfId="22816" xr:uid="{11F47D1C-6C53-4413-B236-BF0E4FDB4AD7}"/>
    <cellStyle name="Comma 7 3 2 2 3 3" xfId="48416" xr:uid="{D1A46D4D-6111-4D1B-B182-59A6F22B5B93}"/>
    <cellStyle name="Comma 7 3 2 2 3 4" xfId="52154" xr:uid="{BA0907FA-3632-4257-8E58-EE1F6E38A422}"/>
    <cellStyle name="Comma 7 3 2 2 3 5" xfId="55170" xr:uid="{67BF3F6B-1A7C-4336-88C7-594F55C9706A}"/>
    <cellStyle name="Comma 7 3 2 2 3 6" xfId="19268" xr:uid="{5AECA354-601F-4683-9F53-97AA72EEA20E}"/>
    <cellStyle name="Comma 7 3 2 2 4" xfId="15764" xr:uid="{BE4A1CEA-27B0-43E7-AEC3-5414116881D1}"/>
    <cellStyle name="Comma 7 3 2 2 4 2" xfId="23293" xr:uid="{6B459495-39DC-4440-8A67-F9364CC2BD45}"/>
    <cellStyle name="Comma 7 3 2 2 4 3" xfId="47256" xr:uid="{AEB86C42-44C9-4212-AEBC-A08D99FAE9B9}"/>
    <cellStyle name="Comma 7 3 2 2 4 4" xfId="52631" xr:uid="{96274523-582D-4F7F-A076-9B8CD9669057}"/>
    <cellStyle name="Comma 7 3 2 2 4 5" xfId="55647" xr:uid="{3C1F1C62-3F3C-4EC8-AD11-11D58B93690E}"/>
    <cellStyle name="Comma 7 3 2 2 4 6" xfId="19413" xr:uid="{4284A570-DBD3-4389-A095-4C89C309B2A0}"/>
    <cellStyle name="Comma 7 3 2 2 5" xfId="12800" xr:uid="{D290806C-499B-4876-9C62-E43D282B5136}"/>
    <cellStyle name="Comma 7 3 2 2 5 2" xfId="46796" xr:uid="{F1945019-1FE7-4A9B-A4B3-D5D0C1F61FA8}"/>
    <cellStyle name="Comma 7 3 2 2 5 3" xfId="51200" xr:uid="{27303DE0-B4C9-460B-89C3-72DB9904B4D3}"/>
    <cellStyle name="Comma 7 3 2 2 5 4" xfId="54216" xr:uid="{8F3351A1-2040-40BE-987C-577A03C7CC6A}"/>
    <cellStyle name="Comma 7 3 2 2 5 5" xfId="21983" xr:uid="{3A621583-8E84-419F-BCF5-635863A369EA}"/>
    <cellStyle name="Comma 7 3 2 2 6" xfId="46094" xr:uid="{B4A68F8E-5677-4817-877B-5569C338BDDD}"/>
    <cellStyle name="Comma 7 3 2 2 7" xfId="50094" xr:uid="{F92A76CF-1B94-411B-A9A6-2E6C625D3636}"/>
    <cellStyle name="Comma 7 3 2 2 8" xfId="53110" xr:uid="{BCF8FABB-7166-4F25-B4B5-B6218B116896}"/>
    <cellStyle name="Comma 7 3 2 2 9" xfId="18904" xr:uid="{13F8E4D3-FE9F-47BD-B0FA-A42CB32DF13B}"/>
    <cellStyle name="Comma 7 3 2 3" xfId="14580" xr:uid="{0CE3F0BF-438C-481F-8FF3-14FD1042E1DB}"/>
    <cellStyle name="Comma 7 3 2 3 2" xfId="22127" xr:uid="{F79B3AAA-948A-4DCE-8119-F49BD413FF42}"/>
    <cellStyle name="Comma 7 3 2 3 3" xfId="24972" xr:uid="{771CEC82-CB01-43F9-968D-6AE9087D6075}"/>
    <cellStyle name="Comma 7 3 2 3 4" xfId="51465" xr:uid="{53361D5E-EE8D-4AF2-B6A3-437DD96586CF}"/>
    <cellStyle name="Comma 7 3 2 3 5" xfId="54481" xr:uid="{458CDE09-74E3-4C08-9A87-4DFACC9E099A}"/>
    <cellStyle name="Comma 7 3 2 3 6" xfId="19065" xr:uid="{49290E1D-7033-4FE7-8622-F1029F0B5D4A}"/>
    <cellStyle name="Comma 7 3 2 4" xfId="15064" xr:uid="{15A993D0-BFBB-4EA8-B875-B16EA2AF98F9}"/>
    <cellStyle name="Comma 7 3 2 4 2" xfId="22604" xr:uid="{7AC78722-FFC2-4C0D-A8FC-EF9AAD860E18}"/>
    <cellStyle name="Comma 7 3 2 4 3" xfId="32399" xr:uid="{ACD747AE-824E-41A7-9DEF-BA21E0224FB7}"/>
    <cellStyle name="Comma 7 3 2 4 4" xfId="51942" xr:uid="{1AA6769C-D56F-4349-A3F6-E4D12339F89C}"/>
    <cellStyle name="Comma 7 3 2 4 5" xfId="54958" xr:uid="{D287D167-410D-426E-A6BE-EE2B8EF7367A}"/>
    <cellStyle name="Comma 7 3 2 4 6" xfId="19207" xr:uid="{6AD4DC86-E89A-4C19-BAFD-9599661F4D9B}"/>
    <cellStyle name="Comma 7 3 2 5" xfId="15551" xr:uid="{8CCB5E9A-C7C5-4A65-9193-4596005DBDA4}"/>
    <cellStyle name="Comma 7 3 2 5 2" xfId="23081" xr:uid="{9454E7BF-7E3A-4788-8A26-DD4578B5DB83}"/>
    <cellStyle name="Comma 7 3 2 5 3" xfId="47252" xr:uid="{36832454-A6D9-439B-8A34-4E47CCBE9C78}"/>
    <cellStyle name="Comma 7 3 2 5 4" xfId="52419" xr:uid="{018D160F-A63B-4D28-9575-98851AB8100E}"/>
    <cellStyle name="Comma 7 3 2 5 5" xfId="55435" xr:uid="{C0015411-ED62-463B-9D34-3BBD2EBC5835}"/>
    <cellStyle name="Comma 7 3 2 5 6" xfId="19352" xr:uid="{0EE90FD2-DEFF-41E6-9096-0B2D8D507D9A}"/>
    <cellStyle name="Comma 7 3 2 6" xfId="12499" xr:uid="{2123BA3B-7C0C-4A0C-87A2-9E013FFA798B}"/>
    <cellStyle name="Comma 7 3 2 6 2" xfId="25087" xr:uid="{D38E8539-3DA1-46E9-B24E-F3921A9E3ACF}"/>
    <cellStyle name="Comma 7 3 2 6 3" xfId="50988" xr:uid="{1384F662-4187-438E-AFA4-1D9286409050}"/>
    <cellStyle name="Comma 7 3 2 6 4" xfId="54004" xr:uid="{CE8A0E11-72D2-41C5-BC9F-B335CF547979}"/>
    <cellStyle name="Comma 7 3 2 6 5" xfId="21922" xr:uid="{EA4FBF43-F5F6-486E-BA53-187298F63BAC}"/>
    <cellStyle name="Comma 7 3 2 7" xfId="47732" xr:uid="{8CB01D83-9221-4F6E-ADDC-E2A5F29E9C1B}"/>
    <cellStyle name="Comma 7 3 2 8" xfId="49882" xr:uid="{0B78D7D4-161A-4F2F-A1F3-8D09E8965FE7}"/>
    <cellStyle name="Comma 7 3 2 9" xfId="52898" xr:uid="{F27C5520-560F-4749-AC28-03886B52A49A}"/>
    <cellStyle name="Comma 7 3 3" xfId="10113" xr:uid="{3F4A9F8A-061F-4E64-A6CF-676090B2A974}"/>
    <cellStyle name="Comma 7 3 3 10" xfId="18788" xr:uid="{EC2FBD79-260C-460D-A10D-98F08670FF6B}"/>
    <cellStyle name="Comma 7 3 3 2" xfId="10426" xr:uid="{DD3F048D-1494-499D-93A9-5D1159C5DD0A}"/>
    <cellStyle name="Comma 7 3 3 2 2" xfId="14845" xr:uid="{95A318C9-2D57-4E52-9FEC-149434DC2097}"/>
    <cellStyle name="Comma 7 3 3 2 2 2" xfId="22392" xr:uid="{DB4FA15F-1D3E-4427-B649-124FEC05F37D}"/>
    <cellStyle name="Comma 7 3 3 2 2 3" xfId="46444" xr:uid="{431D0FF8-71BB-4380-8166-4D745B9539C7}"/>
    <cellStyle name="Comma 7 3 3 2 2 4" xfId="51730" xr:uid="{1A7C313D-2AED-446D-9481-E78B87EA827F}"/>
    <cellStyle name="Comma 7 3 3 2 2 5" xfId="54746" xr:uid="{94A478E7-8348-4F1E-A694-9B8F0AA504AA}"/>
    <cellStyle name="Comma 7 3 3 2 2 6" xfId="19140" xr:uid="{46201CA2-3B35-435C-A160-F3379E60408E}"/>
    <cellStyle name="Comma 7 3 3 2 3" xfId="15330" xr:uid="{AC394F15-308C-45F6-A9BC-F01DB90F5887}"/>
    <cellStyle name="Comma 7 3 3 2 3 2" xfId="22869" xr:uid="{F48BA5A3-BDD6-4670-9756-9868D150AD56}"/>
    <cellStyle name="Comma 7 3 3 2 3 3" xfId="47968" xr:uid="{A8148442-0425-4D8D-BE3E-96B2378F395E}"/>
    <cellStyle name="Comma 7 3 3 2 3 4" xfId="52207" xr:uid="{432F955A-AD99-4EA1-8E07-F82CDA18AB23}"/>
    <cellStyle name="Comma 7 3 3 2 3 5" xfId="55223" xr:uid="{DABBF9AA-45C3-40BD-96DB-DBB53008174C}"/>
    <cellStyle name="Comma 7 3 3 2 3 6" xfId="19283" xr:uid="{CEFC90C6-C3EA-4376-99F1-9029EF9E036D}"/>
    <cellStyle name="Comma 7 3 3 2 4" xfId="15817" xr:uid="{18BC2AC2-54B3-43A8-B492-36C4990D59CB}"/>
    <cellStyle name="Comma 7 3 3 2 4 2" xfId="23346" xr:uid="{B1D691FC-0B38-4619-8E21-C89B8BD445A4}"/>
    <cellStyle name="Comma 7 3 3 2 4 3" xfId="46591" xr:uid="{00DB3225-B51B-4EA8-A21D-D8BC4F0F7BCB}"/>
    <cellStyle name="Comma 7 3 3 2 4 4" xfId="52684" xr:uid="{DF210D44-3244-4C8E-B494-23107A1A29D5}"/>
    <cellStyle name="Comma 7 3 3 2 4 5" xfId="55700" xr:uid="{3332C0BD-F495-4051-B427-5101F21C254C}"/>
    <cellStyle name="Comma 7 3 3 2 4 6" xfId="19428" xr:uid="{DA8378BD-AAF9-4DB4-A9AF-F90BEFCCBD78}"/>
    <cellStyle name="Comma 7 3 3 2 5" xfId="12879" xr:uid="{8B3E0128-DA34-4E50-B7BB-4B0EF89A9B10}"/>
    <cellStyle name="Comma 7 3 3 2 5 2" xfId="48400" xr:uid="{2732223A-0FB6-4F27-A82C-CF5A76342F4E}"/>
    <cellStyle name="Comma 7 3 3 2 5 3" xfId="51253" xr:uid="{B0F229D4-1196-4131-BB3F-2EF8BC0E753E}"/>
    <cellStyle name="Comma 7 3 3 2 5 4" xfId="54269" xr:uid="{3B5CB64B-CCE6-4A97-B599-14869B31FD60}"/>
    <cellStyle name="Comma 7 3 3 2 5 5" xfId="21998" xr:uid="{B706D0E9-075A-49B5-8F92-DAC9DD15C5E6}"/>
    <cellStyle name="Comma 7 3 3 2 6" xfId="47207" xr:uid="{16F91C5F-235F-4866-89CD-A9B783D4AB1A}"/>
    <cellStyle name="Comma 7 3 3 2 7" xfId="50147" xr:uid="{57F4F8BE-BF95-46C5-97FE-5CC31158C5BD}"/>
    <cellStyle name="Comma 7 3 3 2 8" xfId="53163" xr:uid="{4F22E093-7A64-43C7-85A0-0682F9F1DB24}"/>
    <cellStyle name="Comma 7 3 3 2 9" xfId="18945" xr:uid="{64D0974A-B9D5-41E3-AD00-074541D11E05}"/>
    <cellStyle name="Comma 7 3 3 3" xfId="14633" xr:uid="{7418D741-9A15-49E8-822F-DF63BBFEBCA1}"/>
    <cellStyle name="Comma 7 3 3 3 2" xfId="22180" xr:uid="{26E0B7BD-7864-4A4A-88BF-8C0695A80620}"/>
    <cellStyle name="Comma 7 3 3 3 3" xfId="47479" xr:uid="{A5705FF8-B2A7-4F5C-86EB-EE27C8993DF3}"/>
    <cellStyle name="Comma 7 3 3 3 4" xfId="51518" xr:uid="{C88E4D7F-DF5D-4670-A328-7649A579CB5F}"/>
    <cellStyle name="Comma 7 3 3 3 5" xfId="54534" xr:uid="{C2B62783-EA99-495A-BF74-4B83D329B07F}"/>
    <cellStyle name="Comma 7 3 3 3 6" xfId="19080" xr:uid="{3A7B74FF-3712-4900-91C8-787728517B9B}"/>
    <cellStyle name="Comma 7 3 3 4" xfId="15118" xr:uid="{66B86B76-965E-4299-8856-87BAF49B4B64}"/>
    <cellStyle name="Comma 7 3 3 4 2" xfId="22657" xr:uid="{B068A44D-79A5-47FF-BA10-D43A22C21175}"/>
    <cellStyle name="Comma 7 3 3 4 3" xfId="46482" xr:uid="{26B9BFE2-B656-4412-95E0-17C56B815997}"/>
    <cellStyle name="Comma 7 3 3 4 4" xfId="51995" xr:uid="{80DAD098-B475-444C-A585-42B0D8F5AC37}"/>
    <cellStyle name="Comma 7 3 3 4 5" xfId="55011" xr:uid="{6ECEB9F1-9B5C-4AFA-BA71-A49459851653}"/>
    <cellStyle name="Comma 7 3 3 4 6" xfId="19223" xr:uid="{945E824C-64ED-41D4-94AB-7AE70125AD28}"/>
    <cellStyle name="Comma 7 3 3 5" xfId="15605" xr:uid="{2A64E529-793B-4D8D-841C-09A9A474732B}"/>
    <cellStyle name="Comma 7 3 3 5 2" xfId="23134" xr:uid="{E1367338-4093-459B-B917-E2D7A5044BE9}"/>
    <cellStyle name="Comma 7 3 3 5 3" xfId="48248" xr:uid="{31861EB5-BEA8-4071-AAD8-16524A4BB125}"/>
    <cellStyle name="Comma 7 3 3 5 4" xfId="52472" xr:uid="{CE987DE5-27E6-405D-94A2-DA938E2B71D2}"/>
    <cellStyle name="Comma 7 3 3 5 5" xfId="55488" xr:uid="{888C5C0C-F8C8-4F3A-B59A-A2A8769037A6}"/>
    <cellStyle name="Comma 7 3 3 5 6" xfId="19368" xr:uid="{32E2ADF3-D3F9-4C74-A2EC-8BD609CF8CD7}"/>
    <cellStyle name="Comma 7 3 3 6" xfId="12570" xr:uid="{F7190F3B-8E5A-4897-828E-0A4BB6746600}"/>
    <cellStyle name="Comma 7 3 3 6 2" xfId="46769" xr:uid="{79AFC94B-065B-418F-82D5-9CB152242180}"/>
    <cellStyle name="Comma 7 3 3 6 3" xfId="51041" xr:uid="{7952980F-35A0-463B-9479-9BFCB1EB4030}"/>
    <cellStyle name="Comma 7 3 3 6 4" xfId="54057" xr:uid="{AAE4CC46-0B72-4B9E-BD7E-063EF2CE466B}"/>
    <cellStyle name="Comma 7 3 3 6 5" xfId="21938" xr:uid="{53C567B6-A056-4FEA-B545-7D772335A62D}"/>
    <cellStyle name="Comma 7 3 3 7" xfId="46052" xr:uid="{47011C97-D4D1-4E99-871A-B4E6A2D8F885}"/>
    <cellStyle name="Comma 7 3 3 8" xfId="49935" xr:uid="{4CD721C8-5227-4E4D-945D-530D56F2E407}"/>
    <cellStyle name="Comma 7 3 3 9" xfId="52951" xr:uid="{6152E665-4A4C-4E12-8F6D-7079C78014F2}"/>
    <cellStyle name="Comma 7 3 4" xfId="10192" xr:uid="{B73DDA61-AF85-4E3D-B847-7CEB558A71B1}"/>
    <cellStyle name="Comma 7 3 4 10" xfId="18826" xr:uid="{5376D5BB-2028-429C-9B36-BF0E5ABB3552}"/>
    <cellStyle name="Comma 7 3 4 2" xfId="10506" xr:uid="{37C7A027-87B3-4CE1-806D-1E3C2856123F}"/>
    <cellStyle name="Comma 7 3 4 2 2" xfId="14898" xr:uid="{DDE7CA53-6C84-42F1-B107-E83A14369C09}"/>
    <cellStyle name="Comma 7 3 4 2 2 2" xfId="22445" xr:uid="{5458C053-B2CB-46D6-84CD-4EC50DDD34E5}"/>
    <cellStyle name="Comma 7 3 4 2 2 3" xfId="24934" xr:uid="{D303E3FE-272B-42B6-84B3-AA600A6CDAC1}"/>
    <cellStyle name="Comma 7 3 4 2 2 4" xfId="51783" xr:uid="{AC00CA06-2D67-426F-8FDE-109E33478741}"/>
    <cellStyle name="Comma 7 3 4 2 2 5" xfId="54799" xr:uid="{31B30D12-E5E0-41B0-9BB4-E9D743919396}"/>
    <cellStyle name="Comma 7 3 4 2 2 6" xfId="19155" xr:uid="{0B17A422-703A-4A3E-B386-4009A055ACA4}"/>
    <cellStyle name="Comma 7 3 4 2 3" xfId="15383" xr:uid="{BE07C320-B562-4614-82AA-FE9FA3DD8B4F}"/>
    <cellStyle name="Comma 7 3 4 2 3 2" xfId="22922" xr:uid="{0F3C2379-4EAB-409A-ABEB-5B291C76801A}"/>
    <cellStyle name="Comma 7 3 4 2 3 3" xfId="46915" xr:uid="{C7579A8D-9591-44C9-A6DF-E9A6F0930C5E}"/>
    <cellStyle name="Comma 7 3 4 2 3 4" xfId="52260" xr:uid="{A3E6752A-F11F-405E-8585-FC92C099E556}"/>
    <cellStyle name="Comma 7 3 4 2 3 5" xfId="55276" xr:uid="{152E9E4E-E5EE-4757-B9FA-9817BC45F449}"/>
    <cellStyle name="Comma 7 3 4 2 3 6" xfId="19298" xr:uid="{29EB98DD-955C-45F8-B011-22C8F68D5925}"/>
    <cellStyle name="Comma 7 3 4 2 4" xfId="15870" xr:uid="{7872B8C5-3E7D-4EB3-A64D-CD76530E7111}"/>
    <cellStyle name="Comma 7 3 4 2 4 2" xfId="23399" xr:uid="{CB0A0A18-55AE-482C-98E5-2BDBAC293225}"/>
    <cellStyle name="Comma 7 3 4 2 4 3" xfId="46977" xr:uid="{67EC1D99-CBF1-4999-B4E7-78AC35D67962}"/>
    <cellStyle name="Comma 7 3 4 2 4 4" xfId="52737" xr:uid="{AE0E4113-2117-433B-86B6-ABC1DD09533E}"/>
    <cellStyle name="Comma 7 3 4 2 4 5" xfId="55753" xr:uid="{CB7A0F3E-37E3-4C4A-81C5-FFA1835A4669}"/>
    <cellStyle name="Comma 7 3 4 2 4 6" xfId="19443" xr:uid="{3D2C22CE-D9BB-49F0-9442-D95AFBDD511D}"/>
    <cellStyle name="Comma 7 3 4 2 5" xfId="12959" xr:uid="{5180D069-CBE0-45E1-8260-5F68E66743AD}"/>
    <cellStyle name="Comma 7 3 4 2 5 2" xfId="46377" xr:uid="{0E823F0D-DD07-4142-971E-EDB2095F5EB4}"/>
    <cellStyle name="Comma 7 3 4 2 5 3" xfId="51306" xr:uid="{36F727D0-8E7F-40EF-8E88-8D8C2FEB726B}"/>
    <cellStyle name="Comma 7 3 4 2 5 4" xfId="54322" xr:uid="{58284FB6-89B7-468D-A11C-2D54640B7198}"/>
    <cellStyle name="Comma 7 3 4 2 5 5" xfId="22013" xr:uid="{8F5BA2E7-FD6A-4146-B68B-D72533A6D651}"/>
    <cellStyle name="Comma 7 3 4 2 6" xfId="46141" xr:uid="{81CF83F7-D828-4C3C-8722-6FE85C97E395}"/>
    <cellStyle name="Comma 7 3 4 2 7" xfId="50200" xr:uid="{C9152958-1778-4F37-82FD-59A40C915A09}"/>
    <cellStyle name="Comma 7 3 4 2 8" xfId="53216" xr:uid="{671F72FF-CC4B-4EC5-B125-1E854980A1A9}"/>
    <cellStyle name="Comma 7 3 4 2 9" xfId="18987" xr:uid="{0D2D6979-676B-4A47-B5D1-2058C5A54643}"/>
    <cellStyle name="Comma 7 3 4 3" xfId="14686" xr:uid="{A626D952-2F1B-44E9-A80D-42682FDBF2ED}"/>
    <cellStyle name="Comma 7 3 4 3 2" xfId="22233" xr:uid="{D557134D-93D6-4B80-A818-D5B4A1786F01}"/>
    <cellStyle name="Comma 7 3 4 3 3" xfId="47830" xr:uid="{F6154101-72DD-4605-8840-E417CCA040C2}"/>
    <cellStyle name="Comma 7 3 4 3 4" xfId="51571" xr:uid="{DEF75CEB-8640-4C6F-AFE9-E9EF397EDEC3}"/>
    <cellStyle name="Comma 7 3 4 3 5" xfId="54587" xr:uid="{5D465569-855C-4C80-9AEB-B8B9D13914EB}"/>
    <cellStyle name="Comma 7 3 4 3 6" xfId="19095" xr:uid="{ADECAB1E-1FA6-4E38-89AB-6DB84C74559F}"/>
    <cellStyle name="Comma 7 3 4 4" xfId="15171" xr:uid="{33FA8452-34B7-4A74-A36D-1EC56E093110}"/>
    <cellStyle name="Comma 7 3 4 4 2" xfId="22710" xr:uid="{BFEABAC6-1B0D-4033-8E6A-E9DF3C18928C}"/>
    <cellStyle name="Comma 7 3 4 4 3" xfId="46493" xr:uid="{3D600115-D6D6-4093-8C26-C82DE3281042}"/>
    <cellStyle name="Comma 7 3 4 4 4" xfId="52048" xr:uid="{64705E13-FFE6-45FD-BC6E-4F47235D6522}"/>
    <cellStyle name="Comma 7 3 4 4 5" xfId="55064" xr:uid="{B55FD0EF-A624-49AA-9C7A-B3FABAEAD96C}"/>
    <cellStyle name="Comma 7 3 4 4 6" xfId="19238" xr:uid="{0BA52BAC-0368-4270-AB28-3BED039AF32C}"/>
    <cellStyle name="Comma 7 3 4 5" xfId="15658" xr:uid="{14ED8010-B7C9-4E1B-8EBF-D9859B06656D}"/>
    <cellStyle name="Comma 7 3 4 5 2" xfId="23187" xr:uid="{7B659469-E232-47CF-89B4-84577D44B628}"/>
    <cellStyle name="Comma 7 3 4 5 3" xfId="47791" xr:uid="{91EFAC93-B268-4FB6-A71C-CC753D6523D6}"/>
    <cellStyle name="Comma 7 3 4 5 4" xfId="52525" xr:uid="{98DB3477-F79B-44CA-8FF3-A423C1E09458}"/>
    <cellStyle name="Comma 7 3 4 5 5" xfId="55541" xr:uid="{7526D2DA-E16A-47AD-9FE0-6FAC1C23553B}"/>
    <cellStyle name="Comma 7 3 4 5 6" xfId="19383" xr:uid="{5ECC17CD-5A09-47B9-90E1-3DDA4CF41048}"/>
    <cellStyle name="Comma 7 3 4 6" xfId="12646" xr:uid="{ED8E4ECF-FDD3-4A99-8FCC-C953944FF345}"/>
    <cellStyle name="Comma 7 3 4 6 2" xfId="46335" xr:uid="{B7BC556B-D2FF-40C4-8BE3-F39C9EE6B335}"/>
    <cellStyle name="Comma 7 3 4 6 3" xfId="51094" xr:uid="{AD0471CD-DBD2-484F-A281-CF48C972A7A2}"/>
    <cellStyle name="Comma 7 3 4 6 4" xfId="54110" xr:uid="{2F9BAD3C-02F0-4D2D-AC84-3CD1FDCB392E}"/>
    <cellStyle name="Comma 7 3 4 6 5" xfId="21953" xr:uid="{3917972D-23F9-4FCF-B9CB-1EADC4B732D8}"/>
    <cellStyle name="Comma 7 3 4 7" xfId="46064" xr:uid="{DA2761EF-6FEA-4FD4-BCA5-682DF893C63F}"/>
    <cellStyle name="Comma 7 3 4 8" xfId="49988" xr:uid="{E1A18308-380D-405B-BDE1-AB118D4D982D}"/>
    <cellStyle name="Comma 7 3 4 9" xfId="53004" xr:uid="{008312A4-8E37-4624-8E9C-946EDC90EAD4}"/>
    <cellStyle name="Comma 7 3 5" xfId="10272" xr:uid="{444052EB-248D-41C2-AB3B-04CACA8A9965}"/>
    <cellStyle name="Comma 7 3 5 2" xfId="14739" xr:uid="{3DFAF113-EC0C-4D4C-B3B6-B26EBC015568}"/>
    <cellStyle name="Comma 7 3 5 2 2" xfId="22286" xr:uid="{875D0535-5B01-4BB5-A179-A4F902693791}"/>
    <cellStyle name="Comma 7 3 5 2 3" xfId="46426" xr:uid="{80F40843-80C8-4EFA-A8AA-32EA90AFBA96}"/>
    <cellStyle name="Comma 7 3 5 2 4" xfId="51624" xr:uid="{70253789-E04C-4AF4-BB61-D224153BD790}"/>
    <cellStyle name="Comma 7 3 5 2 5" xfId="54640" xr:uid="{9AD2D4B0-FB05-4AD6-9B79-75308331C0BC}"/>
    <cellStyle name="Comma 7 3 5 2 6" xfId="19110" xr:uid="{3F4AADE9-B323-43E8-9ACB-B759FA4F9229}"/>
    <cellStyle name="Comma 7 3 5 3" xfId="15224" xr:uid="{049F1472-5269-4C3C-B370-5A4AF3116927}"/>
    <cellStyle name="Comma 7 3 5 3 2" xfId="22763" xr:uid="{B4A85126-3966-4A46-A0E2-1FD52485DB31}"/>
    <cellStyle name="Comma 7 3 5 3 3" xfId="48359" xr:uid="{EE7797AC-108E-489F-9C0C-3EDA33A69024}"/>
    <cellStyle name="Comma 7 3 5 3 4" xfId="52101" xr:uid="{322A9E4A-C43D-45EA-932B-2D035F232BC5}"/>
    <cellStyle name="Comma 7 3 5 3 5" xfId="55117" xr:uid="{C95AB598-E407-448E-A63A-65BA4BE864F4}"/>
    <cellStyle name="Comma 7 3 5 3 6" xfId="19253" xr:uid="{63DCE7D6-DE27-41B6-A521-8A32A49A8C6F}"/>
    <cellStyle name="Comma 7 3 5 4" xfId="15711" xr:uid="{E17CC8B9-AFF6-4DAF-AE5A-7F21424EF188}"/>
    <cellStyle name="Comma 7 3 5 4 2" xfId="23240" xr:uid="{9417309B-66DE-4CB9-B78F-4EA84C4DD28A}"/>
    <cellStyle name="Comma 7 3 5 4 3" xfId="46574" xr:uid="{22F9C5A4-B17B-4268-82D4-2AB2693E64A2}"/>
    <cellStyle name="Comma 7 3 5 4 4" xfId="52578" xr:uid="{AD1F8864-C7DB-4F55-9213-EB68FA838D57}"/>
    <cellStyle name="Comma 7 3 5 4 5" xfId="55594" xr:uid="{113393EA-21B2-4517-A4D9-E3640D4F1874}"/>
    <cellStyle name="Comma 7 3 5 4 6" xfId="19398" xr:uid="{B413F311-5DB7-4851-8F49-FCB597DAEE50}"/>
    <cellStyle name="Comma 7 3 5 5" xfId="12725" xr:uid="{3E9E78E6-D01F-4075-9B61-4B2E1460958D}"/>
    <cellStyle name="Comma 7 3 5 5 2" xfId="47399" xr:uid="{2025D20F-D6C7-42E5-9E79-C0DA756E6E7B}"/>
    <cellStyle name="Comma 7 3 5 5 3" xfId="51147" xr:uid="{AD0B8661-9798-4EF4-BE34-299CFC2E361C}"/>
    <cellStyle name="Comma 7 3 5 5 4" xfId="54163" xr:uid="{DC392E9B-7B71-45CC-AE42-4196EA03AD6F}"/>
    <cellStyle name="Comma 7 3 5 5 5" xfId="21968" xr:uid="{70AA4BE1-63BB-4EA6-8050-E1394FA6826B}"/>
    <cellStyle name="Comma 7 3 5 6" xfId="46079" xr:uid="{C3D6EC25-E98B-407C-92D9-5786567CE036}"/>
    <cellStyle name="Comma 7 3 5 7" xfId="50041" xr:uid="{64F589B8-B5C6-496F-A0B8-626A25126137}"/>
    <cellStyle name="Comma 7 3 5 8" xfId="53057" xr:uid="{1B290A4C-3E03-4979-AA34-CF43898082B1}"/>
    <cellStyle name="Comma 7 3 5 9" xfId="18867" xr:uid="{903968B2-4A12-450C-AED9-15FEB3727738}"/>
    <cellStyle name="Comma 7 3 6" xfId="10586" xr:uid="{405EC696-40AE-4C0B-805C-5B1A052F4FA0}"/>
    <cellStyle name="Comma 7 3 6 2" xfId="14951" xr:uid="{CDA1703F-2333-49DA-9162-50A043A4DB4B}"/>
    <cellStyle name="Comma 7 3 6 2 2" xfId="22498" xr:uid="{33B61EFE-F25A-4ADA-B2D7-DF3EF257F22D}"/>
    <cellStyle name="Comma 7 3 6 2 3" xfId="47338" xr:uid="{D2DEEA88-030B-4B00-AD14-BCFE8F631F11}"/>
    <cellStyle name="Comma 7 3 6 2 4" xfId="51836" xr:uid="{C0897DDC-525C-4E9F-B1C3-8608ADB779E2}"/>
    <cellStyle name="Comma 7 3 6 2 5" xfId="54852" xr:uid="{74FA5192-4E90-4595-BD80-8760AE396F95}"/>
    <cellStyle name="Comma 7 3 6 2 6" xfId="19170" xr:uid="{8A5F7151-533C-432F-B566-2D10EF8C31B1}"/>
    <cellStyle name="Comma 7 3 6 3" xfId="15436" xr:uid="{A0E250B7-7A89-4BD8-A892-E356A13E828B}"/>
    <cellStyle name="Comma 7 3 6 3 2" xfId="22975" xr:uid="{2DAA7ACE-F391-4E96-A8AB-4908BAF02302}"/>
    <cellStyle name="Comma 7 3 6 3 3" xfId="24171" xr:uid="{6D4300EF-E2DD-40BF-9EC2-835AD93EE0EF}"/>
    <cellStyle name="Comma 7 3 6 3 4" xfId="52313" xr:uid="{FA7896DD-2E3C-4018-8B60-6B4A6FDC1FFE}"/>
    <cellStyle name="Comma 7 3 6 3 5" xfId="55329" xr:uid="{B2E8F202-E537-4345-A2BD-AC182D4065F8}"/>
    <cellStyle name="Comma 7 3 6 3 6" xfId="19313" xr:uid="{76AF7329-972F-422A-800C-AF44301965EF}"/>
    <cellStyle name="Comma 7 3 6 4" xfId="15924" xr:uid="{37B523F7-40A6-4118-9A24-EE1BECB34C6D}"/>
    <cellStyle name="Comma 7 3 6 4 2" xfId="23452" xr:uid="{598CAFD9-1810-4F71-99C1-763463FC5C24}"/>
    <cellStyle name="Comma 7 3 6 4 3" xfId="24429" xr:uid="{1FFDBC31-385B-42BE-95B3-FAC7A8AB29C4}"/>
    <cellStyle name="Comma 7 3 6 4 4" xfId="52790" xr:uid="{D7D89351-1A1F-4141-A3EA-BAA93768517C}"/>
    <cellStyle name="Comma 7 3 6 4 5" xfId="55806" xr:uid="{69E2FADF-6D35-4FBE-96A4-03516E0C3DAD}"/>
    <cellStyle name="Comma 7 3 6 4 6" xfId="19459" xr:uid="{12D37B64-295D-4282-8027-313974CEB045}"/>
    <cellStyle name="Comma 7 3 6 5" xfId="13039" xr:uid="{A9515636-18CA-4009-AD9C-7AC43B1EAE6D}"/>
    <cellStyle name="Comma 7 3 6 5 2" xfId="47711" xr:uid="{B488E225-D76C-42D1-B6C3-2AB703097E36}"/>
    <cellStyle name="Comma 7 3 6 5 3" xfId="51359" xr:uid="{DF4E28EB-2CC5-4913-B006-A6D06F4622D6}"/>
    <cellStyle name="Comma 7 3 6 5 4" xfId="54375" xr:uid="{B54F4EEB-FFBF-450D-92A8-76A8F686B943}"/>
    <cellStyle name="Comma 7 3 6 5 5" xfId="22028" xr:uid="{95263EAF-E79E-4056-8377-31A37CBEE998}"/>
    <cellStyle name="Comma 7 3 6 6" xfId="24327" xr:uid="{06B72689-5C97-43BC-B634-A22D9DB9B5C2}"/>
    <cellStyle name="Comma 7 3 6 7" xfId="50253" xr:uid="{CE453338-3573-47A3-A2B0-90EEBE1BF3F6}"/>
    <cellStyle name="Comma 7 3 6 8" xfId="53269" xr:uid="{E9483B30-4951-4581-855F-217E4496FDA7}"/>
    <cellStyle name="Comma 7 3 6 9" xfId="19029" xr:uid="{74843F52-53FA-43FA-A266-550AFA1F62C7}"/>
    <cellStyle name="Comma 7 3 7" xfId="14527" xr:uid="{750F2E63-9CEF-4B2D-A81C-18DF6C9CB5E6}"/>
    <cellStyle name="Comma 7 3 7 2" xfId="22074" xr:uid="{1E8FB7CB-0444-40E4-AB18-0AC482C1B297}"/>
    <cellStyle name="Comma 7 3 7 3" xfId="46392" xr:uid="{530003A5-DF04-4FC3-80DF-2DB37B2069F3}"/>
    <cellStyle name="Comma 7 3 7 4" xfId="51412" xr:uid="{7630DF80-739F-46C3-8776-77F8A5D4EF20}"/>
    <cellStyle name="Comma 7 3 7 5" xfId="54428" xr:uid="{A8446917-0E3F-44CC-81DA-E916A6BA0C63}"/>
    <cellStyle name="Comma 7 3 7 6" xfId="19050" xr:uid="{9EAAB9FD-F672-469F-AE0B-C0A7E1E0DEBF}"/>
    <cellStyle name="Comma 7 3 8" xfId="15011" xr:uid="{155978DD-6871-4EBC-8728-34C6727774F0}"/>
    <cellStyle name="Comma 7 3 8 2" xfId="22551" xr:uid="{37430751-A2AA-41BA-B345-6F8A60EEC3E2}"/>
    <cellStyle name="Comma 7 3 8 3" xfId="47182" xr:uid="{154E1ECF-3454-4742-9102-15951BB977FB}"/>
    <cellStyle name="Comma 7 3 8 4" xfId="51889" xr:uid="{CA6DFB7E-5089-4D89-AE0B-4C82DDFF1202}"/>
    <cellStyle name="Comma 7 3 8 5" xfId="54905" xr:uid="{888DC96E-F683-4230-A846-847846FAE7B9}"/>
    <cellStyle name="Comma 7 3 8 6" xfId="19192" xr:uid="{AE8E5BBE-CC7F-4791-AD9D-8B88E5107CF2}"/>
    <cellStyle name="Comma 7 3 9" xfId="15498" xr:uid="{17AF0A9F-23AD-4777-91C3-5BC8B0659FFE}"/>
    <cellStyle name="Comma 7 3 9 2" xfId="23028" xr:uid="{323B1D77-0E8A-4CE4-9098-15C5FC7DC578}"/>
    <cellStyle name="Comma 7 3 9 3" xfId="47787" xr:uid="{91940990-89D7-4312-AA64-A1A49EBF6A73}"/>
    <cellStyle name="Comma 7 3 9 4" xfId="52366" xr:uid="{91D81068-C873-4A7C-8EDD-BFF001CCC2D7}"/>
    <cellStyle name="Comma 7 3 9 5" xfId="55382" xr:uid="{B5FCFF7A-5BB8-4D10-9FCC-BC2F33CC49B6}"/>
    <cellStyle name="Comma 7 3 9 6" xfId="19337" xr:uid="{ADEDA3F4-EDFB-4179-83ED-5023E43A75D5}"/>
    <cellStyle name="Comma 7 4" xfId="11663" xr:uid="{2730F853-E187-4795-9EFD-83D940C084D3}"/>
    <cellStyle name="Comma 7 4 2" xfId="23804" xr:uid="{E962FEDA-3957-40D8-BA1C-27D3CCC756D3}"/>
    <cellStyle name="Comma 7 4 3" xfId="48675" xr:uid="{D3FDB70B-C3CA-4C59-9841-AC56E2FEDC8D}"/>
    <cellStyle name="Comma 7 4 4" xfId="49583" xr:uid="{C5BB3E8A-0C44-412D-B5A6-B4CEEA3D46CD}"/>
    <cellStyle name="Comma 7 5" xfId="11579" xr:uid="{4B21A595-2106-46E5-AAA7-A1EA452E3665}"/>
    <cellStyle name="Comma 7 5 2" xfId="21703" xr:uid="{8A169108-7D7B-42E5-BA4E-40E30BDBADF2}"/>
    <cellStyle name="Comma 7 5 3" xfId="23805" xr:uid="{C597DF74-C931-4844-9AF3-070E2D9A82FD}"/>
    <cellStyle name="Comma 7 5 4" xfId="46280" xr:uid="{4DD58827-F79F-4B18-B89C-E10D8032C89D}"/>
    <cellStyle name="Comma 7 5 5" xfId="48676" xr:uid="{9996AFA6-BA48-40B9-BD76-90B18187D1E3}"/>
    <cellStyle name="Comma 7 5 6" xfId="49584" xr:uid="{EC743FF3-0008-4C92-B218-FEDD69809A9A}"/>
    <cellStyle name="Comma 7 5 7" xfId="50726" xr:uid="{97163EC0-3B0D-4D66-9A05-E3BE692070BB}"/>
    <cellStyle name="Comma 7 5 8" xfId="53742" xr:uid="{42B74358-A2FD-41D9-A351-3AB3C0DD1CFE}"/>
    <cellStyle name="Comma 7 5 9" xfId="18159" xr:uid="{A8BC11E3-38B7-40E3-9795-82E72AFAA1FB}"/>
    <cellStyle name="Comma 7 6" xfId="19496" xr:uid="{85F90779-45BD-40C5-BFC2-955841FE4F71}"/>
    <cellStyle name="Comma 7 7" xfId="23799" xr:uid="{3C49F4F9-9E47-4CF8-9494-274C3942F345}"/>
    <cellStyle name="Comma 7 8" xfId="15947" xr:uid="{BB5D0B64-6EAD-475D-A4FB-EE732809AB3C}"/>
    <cellStyle name="Comma 7 9" xfId="8180" xr:uid="{9E7C87B0-66AD-4C79-A04B-83DE02C97E28}"/>
    <cellStyle name="Comma 8" xfId="2632" xr:uid="{CA941864-E587-4009-9E67-7E6C77ABA12A}"/>
    <cellStyle name="Comma 8 10" xfId="11103" xr:uid="{F61900B1-7A1A-457A-94A7-39D580C1055A}"/>
    <cellStyle name="Comma 8 10 2" xfId="21673" xr:uid="{27167396-82A7-4D7C-9D42-D3969118A3C6}"/>
    <cellStyle name="Comma 8 10 3" xfId="46653" xr:uid="{E4F9BA82-26BB-4B08-8823-B1D2F7332D9D}"/>
    <cellStyle name="Comma 8 10 4" xfId="50688" xr:uid="{CE052616-A4C0-4B2B-92D8-F194FD263CE4}"/>
    <cellStyle name="Comma 8 10 5" xfId="53704" xr:uid="{EB81D338-3A85-4F4B-8CF1-9781A2042DDE}"/>
    <cellStyle name="Comma 8 10 6" xfId="18011" xr:uid="{E4A9FD09-253C-418D-B22A-C235ABE08C8F}"/>
    <cellStyle name="Comma 8 11" xfId="19497" xr:uid="{3F6DFBF3-92CE-4EA9-A4B4-2CA973868239}"/>
    <cellStyle name="Comma 8 12" xfId="23806" xr:uid="{F0519B5E-3697-4217-BBDC-4E7B331BE04A}"/>
    <cellStyle name="Comma 8 13" xfId="48252" xr:uid="{978C4A0B-4B1A-48E4-B658-1F7D3CB57357}"/>
    <cellStyle name="Comma 8 14" xfId="48677" xr:uid="{D2B0765C-32FD-4706-BE2C-6858AA302D75}"/>
    <cellStyle name="Comma 8 15" xfId="49585" xr:uid="{036DCB45-DA3B-496A-A49F-58EEC279E832}"/>
    <cellStyle name="Comma 8 16" xfId="49793" xr:uid="{AC864AD5-F0E4-4561-8E52-68D4CF047F90}"/>
    <cellStyle name="Comma 8 17" xfId="52808" xr:uid="{5EC63FF5-B33A-4312-8C0A-81A363F4F0C4}"/>
    <cellStyle name="Comma 8 18" xfId="15948" xr:uid="{6D9BE269-1CB5-411B-98BD-A5E104B71F54}"/>
    <cellStyle name="Comma 8 2" xfId="9876" xr:uid="{A0B055E7-D252-4D7C-955C-DCEF324591D9}"/>
    <cellStyle name="Comma 8 2 10" xfId="49586" xr:uid="{627311AC-B29F-449E-9910-69A59ED3FE00}"/>
    <cellStyle name="Comma 8 2 11" xfId="49846" xr:uid="{FEABB341-5D7A-4C0B-B8FB-B160F3CB9DE6}"/>
    <cellStyle name="Comma 8 2 12" xfId="52862" xr:uid="{0C27B7C4-3CCA-4814-BCA8-150CFA46B748}"/>
    <cellStyle name="Comma 8 2 13" xfId="18737" xr:uid="{AA4F1B00-796B-422C-B310-DFC1A2D9AF93}"/>
    <cellStyle name="Comma 8 2 2" xfId="10299" xr:uid="{93D7797A-9177-492C-B316-A0B218767E03}"/>
    <cellStyle name="Comma 8 2 2 2" xfId="14756" xr:uid="{F1E884C8-D4AB-4180-9792-FED71891A19A}"/>
    <cellStyle name="Comma 8 2 2 2 2" xfId="22303" xr:uid="{4ED1E0DE-B985-42EE-A061-4868BD8C6773}"/>
    <cellStyle name="Comma 8 2 2 2 3" xfId="46859" xr:uid="{A435E356-CEBA-498F-A5D0-7C5BC22959AB}"/>
    <cellStyle name="Comma 8 2 2 2 4" xfId="51641" xr:uid="{5748C147-EC2E-4BFD-82FC-2B8505A9FFAC}"/>
    <cellStyle name="Comma 8 2 2 2 5" xfId="54657" xr:uid="{EED06023-E439-4BB6-A8F6-D485FB36556D}"/>
    <cellStyle name="Comma 8 2 2 2 6" xfId="19115" xr:uid="{97F1BCB0-5A39-48F8-9B1E-4A2E42E75BC1}"/>
    <cellStyle name="Comma 8 2 2 3" xfId="15241" xr:uid="{68B5CBE7-4785-4B7A-8875-035FC3604F2B}"/>
    <cellStyle name="Comma 8 2 2 3 2" xfId="22780" xr:uid="{B9A51773-15C0-4A7C-96C7-79F7C383E0F1}"/>
    <cellStyle name="Comma 8 2 2 3 3" xfId="32504" xr:uid="{6C4B6E3A-4B16-454C-9431-CFB21920FD01}"/>
    <cellStyle name="Comma 8 2 2 3 4" xfId="52118" xr:uid="{F25F2E2B-A1E3-416B-A485-BB4EF94BEC7F}"/>
    <cellStyle name="Comma 8 2 2 3 5" xfId="55134" xr:uid="{F1FEB2A6-A3AF-4C3F-A882-0E269C3EF605}"/>
    <cellStyle name="Comma 8 2 2 3 6" xfId="19258" xr:uid="{D3104422-3AC6-438C-9885-D75AC27BD6A6}"/>
    <cellStyle name="Comma 8 2 2 4" xfId="15728" xr:uid="{08404703-2508-44CE-907B-D8B88693D33A}"/>
    <cellStyle name="Comma 8 2 2 4 2" xfId="23257" xr:uid="{68415199-B18D-4225-A76A-D96A53F6F283}"/>
    <cellStyle name="Comma 8 2 2 4 3" xfId="46958" xr:uid="{14DD86C6-EAED-4940-B0EA-94A77CC96B3E}"/>
    <cellStyle name="Comma 8 2 2 4 4" xfId="52595" xr:uid="{E47570AB-1AD3-4094-9C68-89CEF1A96D10}"/>
    <cellStyle name="Comma 8 2 2 4 5" xfId="55611" xr:uid="{9C7C6CD9-E5F9-4682-A74E-04E1475C1881}"/>
    <cellStyle name="Comma 8 2 2 4 6" xfId="19403" xr:uid="{EC72A659-DF99-4928-B58B-F2FBC11B15B6}"/>
    <cellStyle name="Comma 8 2 2 5" xfId="12752" xr:uid="{4FC2B933-C49A-4A68-847E-0400DE90EC25}"/>
    <cellStyle name="Comma 8 2 2 5 2" xfId="47470" xr:uid="{E896E4F9-EA16-4FBF-83B0-472F79841EF9}"/>
    <cellStyle name="Comma 8 2 2 5 3" xfId="51164" xr:uid="{A490B0D6-6736-4FDD-AD73-F7CE8FB3EC6B}"/>
    <cellStyle name="Comma 8 2 2 5 4" xfId="54180" xr:uid="{293333B2-6CA4-4BC3-A1ED-286B13FEA9F5}"/>
    <cellStyle name="Comma 8 2 2 5 5" xfId="21973" xr:uid="{ED725F02-1919-463D-A8B8-D8FA46DE58EA}"/>
    <cellStyle name="Comma 8 2 2 6" xfId="47446" xr:uid="{6E49124A-8A22-4294-B617-F0904446B726}"/>
    <cellStyle name="Comma 8 2 2 7" xfId="50058" xr:uid="{3D841D7A-5FC6-4F9A-A92E-E5A053208641}"/>
    <cellStyle name="Comma 8 2 2 8" xfId="53074" xr:uid="{C5698EAC-36CE-4CFA-95A6-4C8FB02DE802}"/>
    <cellStyle name="Comma 8 2 2 9" xfId="18882" xr:uid="{7B56AEA1-34A1-4F31-8367-F64901C38B1D}"/>
    <cellStyle name="Comma 8 2 3" xfId="14544" xr:uid="{63C92691-AB95-470D-8C38-086709F40049}"/>
    <cellStyle name="Comma 8 2 3 2" xfId="22091" xr:uid="{81CF48A3-77D3-4495-99FA-D2E2F8CA71E8}"/>
    <cellStyle name="Comma 8 2 3 3" xfId="47176" xr:uid="{D7F8F6D7-0D98-4C28-A0F9-A33FBEB52484}"/>
    <cellStyle name="Comma 8 2 3 4" xfId="51429" xr:uid="{E26AB7AC-C90F-413B-A782-AC942B3F829B}"/>
    <cellStyle name="Comma 8 2 3 5" xfId="54445" xr:uid="{5309804E-E663-4745-A8DB-110F76077731}"/>
    <cellStyle name="Comma 8 2 3 6" xfId="19055" xr:uid="{3A3C184F-2665-47DB-9FCD-25B1226D20E3}"/>
    <cellStyle name="Comma 8 2 4" xfId="15028" xr:uid="{6921632D-DFCB-4C7F-AF5C-36C4B7DD13CF}"/>
    <cellStyle name="Comma 8 2 4 2" xfId="22568" xr:uid="{BEBD2C4A-427E-45CA-91F7-645AFE7278FB}"/>
    <cellStyle name="Comma 8 2 4 3" xfId="24920" xr:uid="{71B01345-93F3-4CCE-9864-34F73B77C897}"/>
    <cellStyle name="Comma 8 2 4 4" xfId="51906" xr:uid="{1AAD507B-C353-43A6-B9AB-A281A5EBCC6A}"/>
    <cellStyle name="Comma 8 2 4 5" xfId="54922" xr:uid="{E3ABBFA9-FC06-418B-8D8C-94A2074A289F}"/>
    <cellStyle name="Comma 8 2 4 6" xfId="19197" xr:uid="{467BD41B-8609-4558-A240-6A21E62DC47D}"/>
    <cellStyle name="Comma 8 2 5" xfId="15515" xr:uid="{1DAC85C0-0D8D-4ABC-B694-27D0A3952A06}"/>
    <cellStyle name="Comma 8 2 5 2" xfId="23045" xr:uid="{685F0A1C-6F06-4FFB-A9D0-A208A67CB4AF}"/>
    <cellStyle name="Comma 8 2 5 3" xfId="46929" xr:uid="{952F4CAF-D686-4205-B237-101A6D44A1BC}"/>
    <cellStyle name="Comma 8 2 5 4" xfId="52383" xr:uid="{C89FF225-D855-4CA4-ABA6-ADB945469878}"/>
    <cellStyle name="Comma 8 2 5 5" xfId="55399" xr:uid="{50A6411E-AFAA-46B9-9400-40320A3B7744}"/>
    <cellStyle name="Comma 8 2 5 6" xfId="19342" xr:uid="{35F566F0-D3E6-45D3-831C-BB53A14CDF72}"/>
    <cellStyle name="Comma 8 2 6" xfId="12455" xr:uid="{110E987E-7246-4865-A364-3E3F4AD6DBF7}"/>
    <cellStyle name="Comma 8 2 6 2" xfId="46994" xr:uid="{9800CFEE-A2A1-4841-9AD3-3E2BCFC503C6}"/>
    <cellStyle name="Comma 8 2 6 3" xfId="50952" xr:uid="{6A1852B5-9A3E-46D0-8621-B79D2B53EC5E}"/>
    <cellStyle name="Comma 8 2 6 4" xfId="53968" xr:uid="{0490B171-357E-4CCB-948C-715816CAE041}"/>
    <cellStyle name="Comma 8 2 6 5" xfId="21911" xr:uid="{769663D1-6FC7-4CD0-BEBB-83E4E07B8927}"/>
    <cellStyle name="Comma 8 2 7" xfId="23807" xr:uid="{00DD756C-FE94-4A98-B8F2-C343B4E2AA20}"/>
    <cellStyle name="Comma 8 2 8" xfId="36083" xr:uid="{F7D388EB-33E7-4DB8-930F-C6681B1DED0A}"/>
    <cellStyle name="Comma 8 2 9" xfId="48678" xr:uid="{75C0257F-8D9E-4FA0-B62F-D65FB6A6D40E}"/>
    <cellStyle name="Comma 8 3" xfId="10065" xr:uid="{3BE5021D-542C-4F39-8B14-2584A92CCDD8}"/>
    <cellStyle name="Comma 8 3 10" xfId="18768" xr:uid="{A22770F8-0840-4DFC-A1F3-5ABDCB275D52}"/>
    <cellStyle name="Comma 8 3 2" xfId="10374" xr:uid="{E4410200-B868-4C90-B86B-05C985DA596F}"/>
    <cellStyle name="Comma 8 3 2 2" xfId="14809" xr:uid="{4DDAF9F4-895A-4459-A107-B3A8F24B3759}"/>
    <cellStyle name="Comma 8 3 2 2 2" xfId="22356" xr:uid="{1D3EB208-26C1-4CD7-BEC5-32F1FA652221}"/>
    <cellStyle name="Comma 8 3 2 2 3" xfId="32328" xr:uid="{F087E7C2-FC15-4E68-87CD-F183D1115C56}"/>
    <cellStyle name="Comma 8 3 2 2 4" xfId="51694" xr:uid="{C8CD3013-AA63-4001-988E-BDA0D38C6C9A}"/>
    <cellStyle name="Comma 8 3 2 2 5" xfId="54710" xr:uid="{75ABA7F8-C487-47FC-830D-3310B929BE26}"/>
    <cellStyle name="Comma 8 3 2 2 6" xfId="19130" xr:uid="{E03D31B6-7E45-43BB-8200-02E6C4B9CD79}"/>
    <cellStyle name="Comma 8 3 2 3" xfId="15294" xr:uid="{3D807D41-EA24-4DC3-A92C-DAE5D5358DB0}"/>
    <cellStyle name="Comma 8 3 2 3 2" xfId="22833" xr:uid="{CABB2500-2598-42CE-8ABE-1526AAA46E49}"/>
    <cellStyle name="Comma 8 3 2 3 3" xfId="47343" xr:uid="{F5C07042-8767-4A91-BBB7-9691657D1634}"/>
    <cellStyle name="Comma 8 3 2 3 4" xfId="52171" xr:uid="{321EB500-902A-4902-99DC-7169411740A9}"/>
    <cellStyle name="Comma 8 3 2 3 5" xfId="55187" xr:uid="{24977C76-4255-468A-AEDB-5199FF6D58D9}"/>
    <cellStyle name="Comma 8 3 2 3 6" xfId="19273" xr:uid="{4D8E70F1-60FC-463E-84FE-828E7E36BA51}"/>
    <cellStyle name="Comma 8 3 2 4" xfId="15781" xr:uid="{C4F01FF0-C60E-474D-B0DD-DA5795AA7696}"/>
    <cellStyle name="Comma 8 3 2 4 2" xfId="23310" xr:uid="{624E2006-E653-4878-8DB9-401EE94E7BFB}"/>
    <cellStyle name="Comma 8 3 2 4 3" xfId="47385" xr:uid="{5F69AD2C-6F0F-4B3C-AE69-3CD1ECED60F6}"/>
    <cellStyle name="Comma 8 3 2 4 4" xfId="52648" xr:uid="{F8714754-BF5F-413B-84C1-031F2D88ABC9}"/>
    <cellStyle name="Comma 8 3 2 4 5" xfId="55664" xr:uid="{06F45624-FEEF-411A-BB67-F31CA4AF9949}"/>
    <cellStyle name="Comma 8 3 2 4 6" xfId="19418" xr:uid="{18F27E42-3F49-4296-9F5C-DD346B213B72}"/>
    <cellStyle name="Comma 8 3 2 5" xfId="12827" xr:uid="{082FB0C0-8FC0-485E-80B9-2D48277E0FB9}"/>
    <cellStyle name="Comma 8 3 2 5 2" xfId="48342" xr:uid="{F1FE0B01-D99E-42C3-8AA3-219DB33D39E4}"/>
    <cellStyle name="Comma 8 3 2 5 3" xfId="51217" xr:uid="{FFD7E0E6-E8ED-4AA0-84A3-959409231F7E}"/>
    <cellStyle name="Comma 8 3 2 5 4" xfId="54233" xr:uid="{87169C70-CED2-4566-8A87-8C651C1A8265}"/>
    <cellStyle name="Comma 8 3 2 5 5" xfId="21988" xr:uid="{CE3BCFEB-4063-432A-8B41-74D9A7CD430A}"/>
    <cellStyle name="Comma 8 3 2 6" xfId="46104" xr:uid="{DEEF3169-35CD-45F9-981D-00B3269F2410}"/>
    <cellStyle name="Comma 8 3 2 7" xfId="50111" xr:uid="{0D26AD31-84B9-43DC-A25C-CAAB5DB605C6}"/>
    <cellStyle name="Comma 8 3 2 8" xfId="53127" xr:uid="{B0FB67F3-8437-49B5-9957-990F0AB5E2D7}"/>
    <cellStyle name="Comma 8 3 2 9" xfId="18919" xr:uid="{F7E73E22-1479-4EC1-B8B7-4D9C930E88EB}"/>
    <cellStyle name="Comma 8 3 3" xfId="14597" xr:uid="{26433D8F-03FD-46C4-A984-15E7E32CCC2E}"/>
    <cellStyle name="Comma 8 3 3 2" xfId="22144" xr:uid="{05851E48-1541-4DD6-B01F-7F669662C31E}"/>
    <cellStyle name="Comma 8 3 3 3" xfId="25308" xr:uid="{3C354481-35FE-48FB-B6FE-58015EEA4C77}"/>
    <cellStyle name="Comma 8 3 3 4" xfId="51482" xr:uid="{C56E230D-DCFC-4186-AB52-44DA5774E0E8}"/>
    <cellStyle name="Comma 8 3 3 5" xfId="54498" xr:uid="{2F5A1539-79CB-48E9-9763-8F9C27EAF00F}"/>
    <cellStyle name="Comma 8 3 3 6" xfId="19070" xr:uid="{2D399C1B-69F2-4DF4-B963-B3F4422041A3}"/>
    <cellStyle name="Comma 8 3 4" xfId="15082" xr:uid="{EBA5551E-E7B0-4156-9F22-204737A80AF7}"/>
    <cellStyle name="Comma 8 3 4 2" xfId="22621" xr:uid="{BC57471D-5E28-4A81-B1F5-30D09CB63E6A}"/>
    <cellStyle name="Comma 8 3 4 3" xfId="34010" xr:uid="{0A0E0723-C723-43DD-98DD-3079E85F6DD6}"/>
    <cellStyle name="Comma 8 3 4 4" xfId="51959" xr:uid="{C0D4D20E-11C8-4885-B7C6-C8C19E903F0D}"/>
    <cellStyle name="Comma 8 3 4 5" xfId="54975" xr:uid="{7D5690A1-711E-4FC3-B96B-A2CF266B801D}"/>
    <cellStyle name="Comma 8 3 4 6" xfId="19213" xr:uid="{445B7C03-6084-4793-96EE-AE51121E4494}"/>
    <cellStyle name="Comma 8 3 5" xfId="15569" xr:uid="{B3046262-16E8-4BD0-B213-BA5F415266B2}"/>
    <cellStyle name="Comma 8 3 5 2" xfId="23098" xr:uid="{CDA284BA-7A42-4BAA-A414-8D0B218D1932}"/>
    <cellStyle name="Comma 8 3 5 3" xfId="46553" xr:uid="{31802B3B-2D0E-4343-82A4-954498CD35DF}"/>
    <cellStyle name="Comma 8 3 5 4" xfId="52436" xr:uid="{1B8421F8-E0E9-4A72-BFE9-DC57F0D3B6E7}"/>
    <cellStyle name="Comma 8 3 5 5" xfId="55452" xr:uid="{C306CA31-1981-4661-8E15-7AA64B606A5A}"/>
    <cellStyle name="Comma 8 3 5 6" xfId="19358" xr:uid="{55BC4E94-824A-4CCF-A80D-04742FA83BFC}"/>
    <cellStyle name="Comma 8 3 6" xfId="12524" xr:uid="{5585E08D-DA3C-4278-B9E1-8CFCB519E38B}"/>
    <cellStyle name="Comma 8 3 6 2" xfId="47014" xr:uid="{1AFE0375-26E3-46BD-B87A-5E9AC16081C8}"/>
    <cellStyle name="Comma 8 3 6 3" xfId="51005" xr:uid="{A5E7B7C7-5A88-4044-8F93-610F6C92BD7F}"/>
    <cellStyle name="Comma 8 3 6 4" xfId="54021" xr:uid="{5A9B30C5-33A1-4429-8302-9D7842170540}"/>
    <cellStyle name="Comma 8 3 6 5" xfId="21928" xr:uid="{F6B1769C-D104-4B98-940E-34990CBA1AE4}"/>
    <cellStyle name="Comma 8 3 7" xfId="25382" xr:uid="{BBFB25A7-3C75-4877-835A-419A9B2B86D1}"/>
    <cellStyle name="Comma 8 3 8" xfId="49899" xr:uid="{F27618AF-556E-42F4-9430-BD8B1E72DBC2}"/>
    <cellStyle name="Comma 8 3 9" xfId="52915" xr:uid="{9F1E236A-A1BA-4811-A5ED-9D6734EF82FE}"/>
    <cellStyle name="Comma 8 4" xfId="10140" xr:uid="{52400443-9850-48A2-91F8-CDC49FDB082C}"/>
    <cellStyle name="Comma 8 4 10" xfId="18802" xr:uid="{C6512311-4AC7-43A8-9AEE-8804257C9DD6}"/>
    <cellStyle name="Comma 8 4 2" xfId="10454" xr:uid="{023ECBBD-0A67-4984-8B1B-99D2D1E2AC48}"/>
    <cellStyle name="Comma 8 4 2 2" xfId="14862" xr:uid="{4E58FAB1-48E1-4204-98D9-0D0B83823A57}"/>
    <cellStyle name="Comma 8 4 2 2 2" xfId="22409" xr:uid="{1D7D42F9-53DD-47F3-A8E0-6C6D1ADA3B91}"/>
    <cellStyle name="Comma 8 4 2 2 3" xfId="46871" xr:uid="{163DA368-3977-4B6B-B8AC-D3C253E9FBB4}"/>
    <cellStyle name="Comma 8 4 2 2 4" xfId="51747" xr:uid="{1D907ADC-441A-4B81-9944-BB1BF1CE2FAF}"/>
    <cellStyle name="Comma 8 4 2 2 5" xfId="54763" xr:uid="{38870117-17DC-4742-B1ED-F8CB4F04BE3C}"/>
    <cellStyle name="Comma 8 4 2 2 6" xfId="19145" xr:uid="{7BFF9432-9F39-41C3-B569-CCD1CA792AAF}"/>
    <cellStyle name="Comma 8 4 2 3" xfId="15347" xr:uid="{409037BB-D890-431F-B613-00C4E3721506}"/>
    <cellStyle name="Comma 8 4 2 3 2" xfId="22886" xr:uid="{BDD6AFAD-A0CD-46AB-ACD2-EB480F2FB89A}"/>
    <cellStyle name="Comma 8 4 2 3 3" xfId="47784" xr:uid="{16DB4B35-C738-4B2C-B424-AD30EC0D3701}"/>
    <cellStyle name="Comma 8 4 2 3 4" xfId="52224" xr:uid="{56F14442-4FCA-4922-9666-34F9D64F606D}"/>
    <cellStyle name="Comma 8 4 2 3 5" xfId="55240" xr:uid="{17E385BD-AECC-43DC-89AA-BB55544D56AB}"/>
    <cellStyle name="Comma 8 4 2 3 6" xfId="19288" xr:uid="{FEBAE823-090F-4EC9-8E85-A2D4A6E64B52}"/>
    <cellStyle name="Comma 8 4 2 4" xfId="15834" xr:uid="{FADA8FAB-E3E0-4740-9FCE-D58A41904C85}"/>
    <cellStyle name="Comma 8 4 2 4 2" xfId="23363" xr:uid="{B383901A-20C8-4663-9C87-D838F47925F1}"/>
    <cellStyle name="Comma 8 4 2 4 3" xfId="48231" xr:uid="{4D845664-2DF2-45F3-B2A4-B02EADDFDC33}"/>
    <cellStyle name="Comma 8 4 2 4 4" xfId="52701" xr:uid="{051083C9-1D40-48CF-B8A4-8822F7344E4C}"/>
    <cellStyle name="Comma 8 4 2 4 5" xfId="55717" xr:uid="{513D57F9-091E-47B2-A3D7-68025511FAC1}"/>
    <cellStyle name="Comma 8 4 2 4 6" xfId="19433" xr:uid="{A3EFDE3B-86D1-4614-BED5-C6C61762D0F7}"/>
    <cellStyle name="Comma 8 4 2 5" xfId="12907" xr:uid="{C54702D2-9823-46C1-82CD-304C620C33CE}"/>
    <cellStyle name="Comma 8 4 2 5 2" xfId="47326" xr:uid="{0E75689B-E249-4B53-A53E-589CAF9BC7AA}"/>
    <cellStyle name="Comma 8 4 2 5 3" xfId="51270" xr:uid="{C1EA4933-34B8-4279-A600-0DAE31807659}"/>
    <cellStyle name="Comma 8 4 2 5 4" xfId="54286" xr:uid="{898AECF7-67EF-4687-99C1-85A5D615EEFF}"/>
    <cellStyle name="Comma 8 4 2 5 5" xfId="22003" xr:uid="{AA7E1051-354D-4566-BFFD-E249D4800B83}"/>
    <cellStyle name="Comma 8 4 2 6" xfId="46124" xr:uid="{CFE1DD8E-D800-4CF8-ADF2-1BD576103489}"/>
    <cellStyle name="Comma 8 4 2 7" xfId="50164" xr:uid="{2802178B-6E8F-4874-9D45-7C01E6B96074}"/>
    <cellStyle name="Comma 8 4 2 8" xfId="53180" xr:uid="{729BE883-ADE9-4AE7-B8C6-CFBADF50722A}"/>
    <cellStyle name="Comma 8 4 2 9" xfId="18961" xr:uid="{1704B28C-5EF3-4055-8EAF-DF97887F9357}"/>
    <cellStyle name="Comma 8 4 3" xfId="14650" xr:uid="{E402A3E0-C3E1-46A4-9DC4-8529BEC5BAFC}"/>
    <cellStyle name="Comma 8 4 3 2" xfId="22197" xr:uid="{A61C2395-BA92-40FF-8F2D-D68EEBE1BEA2}"/>
    <cellStyle name="Comma 8 4 3 3" xfId="48322" xr:uid="{734A9B44-775F-4266-8192-3D0186198052}"/>
    <cellStyle name="Comma 8 4 3 4" xfId="51535" xr:uid="{DCAD1DB8-922F-4D23-805B-D606A19A4D14}"/>
    <cellStyle name="Comma 8 4 3 5" xfId="54551" xr:uid="{E3233B77-91A4-4934-ACCF-86CE8E9F1C80}"/>
    <cellStyle name="Comma 8 4 3 6" xfId="19085" xr:uid="{A761A14C-AE21-48D0-BC93-AA06C2A9581F}"/>
    <cellStyle name="Comma 8 4 4" xfId="15135" xr:uid="{376FB9D1-9CE8-4743-92FF-C743B48B5D96}"/>
    <cellStyle name="Comma 8 4 4 2" xfId="22674" xr:uid="{9EED9CA1-7F64-4184-8A57-A8296722E57A}"/>
    <cellStyle name="Comma 8 4 4 3" xfId="47992" xr:uid="{41F751C3-FAD9-475D-857B-F80B5AF5D46E}"/>
    <cellStyle name="Comma 8 4 4 4" xfId="52012" xr:uid="{3A62E311-BC7F-460A-920A-ABD1C7F56539}"/>
    <cellStyle name="Comma 8 4 4 5" xfId="55028" xr:uid="{4D7A8672-9D30-4D29-94F5-C90C3D4B35BD}"/>
    <cellStyle name="Comma 8 4 4 6" xfId="19228" xr:uid="{A22BF3FF-B230-4555-A72C-76731C457FEE}"/>
    <cellStyle name="Comma 8 4 5" xfId="15622" xr:uid="{915A2DC9-2B08-4F5E-AE92-98E490C225FE}"/>
    <cellStyle name="Comma 8 4 5 2" xfId="23151" xr:uid="{ADD936E3-EB76-495E-85C2-91E2AF9258CB}"/>
    <cellStyle name="Comma 8 4 5 3" xfId="24164" xr:uid="{1DE7924A-0D5E-4EC5-8F46-3E526DB8FD6E}"/>
    <cellStyle name="Comma 8 4 5 4" xfId="52489" xr:uid="{3411AF9E-B939-4588-9676-C0577284F750}"/>
    <cellStyle name="Comma 8 4 5 5" xfId="55505" xr:uid="{A793FFEC-FACA-42AA-BB18-41ECE16EF4C7}"/>
    <cellStyle name="Comma 8 4 5 6" xfId="19373" xr:uid="{174CF407-48CD-4648-A2AA-D48B5B1B81D5}"/>
    <cellStyle name="Comma 8 4 6" xfId="12596" xr:uid="{3B63A4CD-D799-4CBE-9065-EF24041FDFF9}"/>
    <cellStyle name="Comma 8 4 6 2" xfId="32366" xr:uid="{E12CD811-0A9C-4672-B8B9-6EE82ABE3D98}"/>
    <cellStyle name="Comma 8 4 6 3" xfId="51058" xr:uid="{CD211157-79C2-4DD7-B501-BE53A3A7B3CA}"/>
    <cellStyle name="Comma 8 4 6 4" xfId="54074" xr:uid="{90856758-2866-4F63-9B91-AE64F94B919A}"/>
    <cellStyle name="Comma 8 4 6 5" xfId="21943" xr:uid="{63C8C75E-DBD7-411C-823F-DC866562E654}"/>
    <cellStyle name="Comma 8 4 7" xfId="47279" xr:uid="{1FDB9475-AA54-47BB-B7EA-183C59A06287}"/>
    <cellStyle name="Comma 8 4 8" xfId="49952" xr:uid="{E525F9AC-6BA5-44CA-BBD3-285F3FE78F1C}"/>
    <cellStyle name="Comma 8 4 9" xfId="52968" xr:uid="{93618FF1-BEE4-43E2-991C-1EAA65ED9516}"/>
    <cellStyle name="Comma 8 5" xfId="10220" xr:uid="{71C3C589-83BE-4A69-891A-BB575887E26E}"/>
    <cellStyle name="Comma 8 5 2" xfId="14703" xr:uid="{36AD933D-9E66-463B-B111-DD04528BB833}"/>
    <cellStyle name="Comma 8 5 2 2" xfId="22250" xr:uid="{CE3DA3E9-2159-40B5-963F-1F4B1168F30B}"/>
    <cellStyle name="Comma 8 5 2 3" xfId="46420" xr:uid="{55AD0EB0-590F-4824-A55E-59ED6FB62D23}"/>
    <cellStyle name="Comma 8 5 2 4" xfId="51588" xr:uid="{476473F9-E131-46E0-AEBC-17E6FB8F3CD5}"/>
    <cellStyle name="Comma 8 5 2 5" xfId="54604" xr:uid="{B7AC04E7-A504-414C-9583-A320C6412A5B}"/>
    <cellStyle name="Comma 8 5 2 6" xfId="19100" xr:uid="{FC6A0EE9-867E-4DA6-8AE7-A7FBAF3D4267}"/>
    <cellStyle name="Comma 8 5 3" xfId="15188" xr:uid="{507FDBFC-401B-4533-ACF6-A1647B7DF887}"/>
    <cellStyle name="Comma 8 5 3 2" xfId="22727" xr:uid="{4BA105FB-F49E-4691-91A3-C9B4B81C13F9}"/>
    <cellStyle name="Comma 8 5 3 3" xfId="48538" xr:uid="{457F0073-EDBF-4797-84EC-9A6E9EA75DBB}"/>
    <cellStyle name="Comma 8 5 3 4" xfId="52065" xr:uid="{80B244B9-BC46-46CE-B34A-561D70FE31AB}"/>
    <cellStyle name="Comma 8 5 3 5" xfId="55081" xr:uid="{1696367B-9863-497C-835F-130E9F16CB4F}"/>
    <cellStyle name="Comma 8 5 3 6" xfId="19243" xr:uid="{F709762D-B3CE-400B-A650-D0995C6B215B}"/>
    <cellStyle name="Comma 8 5 4" xfId="15675" xr:uid="{747D998E-A446-4DEC-A258-2C6E4D9F9057}"/>
    <cellStyle name="Comma 8 5 4 2" xfId="23204" xr:uid="{30B6F0B5-3E68-458A-9671-BE0D15397B29}"/>
    <cellStyle name="Comma 8 5 4 3" xfId="46570" xr:uid="{2F465D93-6043-463C-BC64-A52EA935BA5D}"/>
    <cellStyle name="Comma 8 5 4 4" xfId="52542" xr:uid="{499374B1-D860-4993-9701-84BCE242A5EF}"/>
    <cellStyle name="Comma 8 5 4 5" xfId="55558" xr:uid="{29CC9044-1038-4C3A-BEA5-569DB2B5B43D}"/>
    <cellStyle name="Comma 8 5 4 6" xfId="19388" xr:uid="{AC410484-83ED-46C2-ABC4-326C035D13F7}"/>
    <cellStyle name="Comma 8 5 5" xfId="12673" xr:uid="{6B952A5D-EAF9-4800-A161-4EE249D48D42}"/>
    <cellStyle name="Comma 8 5 5 2" xfId="46340" xr:uid="{3AB97123-B713-4630-8ED3-4B7A604FB4CC}"/>
    <cellStyle name="Comma 8 5 5 3" xfId="51111" xr:uid="{4344C6FB-130A-4BDB-BBCD-6CDF590BAC81}"/>
    <cellStyle name="Comma 8 5 5 4" xfId="54127" xr:uid="{F2FE91B3-7B6C-4DF9-A525-10FDDBAB7DFE}"/>
    <cellStyle name="Comma 8 5 5 5" xfId="21958" xr:uid="{FC03F113-E711-4BE0-9689-8E1B76D7B425}"/>
    <cellStyle name="Comma 8 5 6" xfId="46067" xr:uid="{099A5151-DFC7-4F8A-B050-D5255678C315}"/>
    <cellStyle name="Comma 8 5 7" xfId="50005" xr:uid="{E252A3B8-77AF-4BFF-B8A2-F038DEE7CE82}"/>
    <cellStyle name="Comma 8 5 8" xfId="53021" xr:uid="{06564194-1190-4448-8BCE-F84EDCD1E312}"/>
    <cellStyle name="Comma 8 5 9" xfId="18841" xr:uid="{742F669C-9D1A-4AF9-AE37-0B1BFE029CC5}"/>
    <cellStyle name="Comma 8 6" xfId="10534" xr:uid="{DC813086-0899-498F-8B98-99CD775D137F}"/>
    <cellStyle name="Comma 8 6 2" xfId="14915" xr:uid="{F4176D5A-775C-46F8-B0CE-82160200A516}"/>
    <cellStyle name="Comma 8 6 2 2" xfId="22462" xr:uid="{AB0A488A-3D1A-4B5C-BCC9-1930705BA2DA}"/>
    <cellStyle name="Comma 8 6 2 3" xfId="46455" xr:uid="{042CD2DA-00C1-4170-BEE5-E678CF6A106A}"/>
    <cellStyle name="Comma 8 6 2 4" xfId="51800" xr:uid="{2BCFD39B-2157-416E-9D4D-C367A63D241D}"/>
    <cellStyle name="Comma 8 6 2 5" xfId="54816" xr:uid="{B7BEA063-7EF9-416A-A419-E2A823D72AC8}"/>
    <cellStyle name="Comma 8 6 2 6" xfId="19160" xr:uid="{6FFE4D4A-598B-41AC-84A6-374B95C5D36C}"/>
    <cellStyle name="Comma 8 6 3" xfId="15400" xr:uid="{ACD0C409-2732-4B86-B03B-3EAFB8733EEA}"/>
    <cellStyle name="Comma 8 6 3 2" xfId="22939" xr:uid="{4BDF829A-4638-48AA-BEE9-0039237B7C83}"/>
    <cellStyle name="Comma 8 6 3 3" xfId="47941" xr:uid="{334DCD7E-66B6-4631-A49A-FF01B15B38D9}"/>
    <cellStyle name="Comma 8 6 3 4" xfId="52277" xr:uid="{AFACEA37-E108-4E78-8F4D-7CC05DC541FC}"/>
    <cellStyle name="Comma 8 6 3 5" xfId="55293" xr:uid="{04012255-0960-40F5-B3A5-30DBB2EADAD0}"/>
    <cellStyle name="Comma 8 6 3 6" xfId="19303" xr:uid="{86FDD25E-ABF2-46F4-BC05-258296855E77}"/>
    <cellStyle name="Comma 8 6 4" xfId="15888" xr:uid="{D33F1D3C-E7DA-4810-8F4A-CB829EC71CD6}"/>
    <cellStyle name="Comma 8 6 4 2" xfId="23416" xr:uid="{BA1A66A2-8E25-4A77-956A-045BF5736CE9}"/>
    <cellStyle name="Comma 8 6 4 3" xfId="46978" xr:uid="{5961CDD8-FECC-4A98-AAC5-3B8EBBB0F1F6}"/>
    <cellStyle name="Comma 8 6 4 4" xfId="52754" xr:uid="{FF75E087-15FF-4DA7-87E0-282A4A33EA4E}"/>
    <cellStyle name="Comma 8 6 4 5" xfId="55770" xr:uid="{56314FBA-67DC-4EEC-BE1D-12CFC341FC60}"/>
    <cellStyle name="Comma 8 6 4 6" xfId="19449" xr:uid="{344523F7-203A-40C1-9820-45FD28D9CB93}"/>
    <cellStyle name="Comma 8 6 5" xfId="12987" xr:uid="{B350F8EE-B06F-42EA-B4D7-C305AD7141DF}"/>
    <cellStyle name="Comma 8 6 5 2" xfId="48274" xr:uid="{D2920ECD-3FBD-41B5-8B84-8B5F47C74C19}"/>
    <cellStyle name="Comma 8 6 5 3" xfId="51323" xr:uid="{676CD0F7-FC01-45D2-A2E0-22F1E45BAF6A}"/>
    <cellStyle name="Comma 8 6 5 4" xfId="54339" xr:uid="{3E07EF84-373F-4BBB-A247-023167AB1B94}"/>
    <cellStyle name="Comma 8 6 5 5" xfId="22018" xr:uid="{B72C7282-0551-4379-A15B-CF9DD9A1EFD7}"/>
    <cellStyle name="Comma 8 6 6" xfId="46145" xr:uid="{664C2A6D-273E-4E71-80D9-1731532DEBD3}"/>
    <cellStyle name="Comma 8 6 7" xfId="50217" xr:uid="{37B1821F-5263-48CF-BFAF-87D0C0C2EDD4}"/>
    <cellStyle name="Comma 8 6 8" xfId="53233" xr:uid="{78D776EE-445E-46D5-A356-099764764C04}"/>
    <cellStyle name="Comma 8 6 9" xfId="19003" xr:uid="{4AD5F62E-C48A-44C3-A3C5-558F18BF0E0D}"/>
    <cellStyle name="Comma 8 7" xfId="14491" xr:uid="{3D45938D-02E5-4919-8B36-5DCD93643B6A}"/>
    <cellStyle name="Comma 8 7 2" xfId="22038" xr:uid="{4B500A46-F9FA-433F-9BBA-13784736A6D4}"/>
    <cellStyle name="Comma 8 7 3" xfId="46997" xr:uid="{DD9C5EC3-EEDC-4651-8FD0-615CDE902808}"/>
    <cellStyle name="Comma 8 7 4" xfId="51376" xr:uid="{BC95BCB2-8119-4C97-A871-7F77C426F763}"/>
    <cellStyle name="Comma 8 7 5" xfId="54392" xr:uid="{ACCD1BD9-8E96-4706-B223-BFA72B89CF82}"/>
    <cellStyle name="Comma 8 7 6" xfId="19040" xr:uid="{216193F7-CE4A-439B-ADAF-D2C90FB47332}"/>
    <cellStyle name="Comma 8 8" xfId="14973" xr:uid="{AAE290E6-3FAD-4163-8A91-44E04448E5A1}"/>
    <cellStyle name="Comma 8 8 2" xfId="22515" xr:uid="{BE618030-DACD-4CE1-963B-066A8865F02A}"/>
    <cellStyle name="Comma 8 8 3" xfId="47541" xr:uid="{C0964C64-F48A-4797-BEA2-7A649A3E0EC6}"/>
    <cellStyle name="Comma 8 8 4" xfId="51853" xr:uid="{FC56CE94-800B-4211-9AF7-355FFEF0C7F4}"/>
    <cellStyle name="Comma 8 8 5" xfId="54869" xr:uid="{B7FA611A-02D0-4CE4-B864-E42FE8CD51D1}"/>
    <cellStyle name="Comma 8 8 6" xfId="19180" xr:uid="{873ACA17-44B1-4B8F-8AF4-AE0E95ED0D33}"/>
    <cellStyle name="Comma 8 9" xfId="15460" xr:uid="{48FB888E-D541-496F-99AD-5570D66AAA7F}"/>
    <cellStyle name="Comma 8 9 2" xfId="22992" xr:uid="{01870DAB-B451-45A2-BE07-2CE24820C9E2}"/>
    <cellStyle name="Comma 8 9 3" xfId="47455" xr:uid="{32B4FF69-8A72-4EE5-A0A6-8224B988596F}"/>
    <cellStyle name="Comma 8 9 4" xfId="52330" xr:uid="{C94A2435-FDA5-4071-81BF-D5FB79C4034D}"/>
    <cellStyle name="Comma 8 9 5" xfId="55346" xr:uid="{2BE22C74-64AC-48F3-AA72-4E376EDD4614}"/>
    <cellStyle name="Comma 8 9 6" xfId="19325" xr:uid="{F75F0D8C-A3B3-461C-A124-091FE4373A76}"/>
    <cellStyle name="Comma 9" xfId="12231" xr:uid="{191C6732-291E-408C-A127-2EDF80A5707D}"/>
    <cellStyle name="Comma 9 10" xfId="48679" xr:uid="{E8B645AA-5F31-4EA8-8CF8-E51BDB34DC20}"/>
    <cellStyle name="Comma 9 11" xfId="49587" xr:uid="{62C09281-7A3B-4451-B087-FA1DD9891981}"/>
    <cellStyle name="Comma 9 12" xfId="15949" xr:uid="{DC5919F1-FCA9-4279-89AC-B3ADEE2ABF17}"/>
    <cellStyle name="Comma 9 2" xfId="18623" xr:uid="{E82D6BA1-3B8F-46E1-99F0-D71369F25BAA}"/>
    <cellStyle name="Comma 9 2 2" xfId="23810" xr:uid="{D4596FE3-98A3-401B-8A20-E5F7D4A69BDB}"/>
    <cellStyle name="Comma 9 2 2 2" xfId="23811" xr:uid="{477D2967-4EDD-46E0-89F9-0952D3B18FFE}"/>
    <cellStyle name="Comma 9 2 2 2 2" xfId="48682" xr:uid="{A8D50B0E-5A5B-4FE6-9DB0-12157AAB36BE}"/>
    <cellStyle name="Comma 9 2 2 2 3" xfId="49590" xr:uid="{6B2B559D-20BF-4480-884A-7CEFB7A9007C}"/>
    <cellStyle name="Comma 9 2 2 3" xfId="48681" xr:uid="{D5219CF1-A289-430A-BEB5-C268FB597A71}"/>
    <cellStyle name="Comma 9 2 2 4" xfId="49589" xr:uid="{27088813-4FB4-450E-A0B9-E8E3A0630254}"/>
    <cellStyle name="Comma 9 2 3" xfId="23812" xr:uid="{27FE0A95-3D63-429F-992E-F3EE73A7A8F4}"/>
    <cellStyle name="Comma 9 2 3 2" xfId="23813" xr:uid="{E9106F25-6E16-4BC5-806A-F33E18542D00}"/>
    <cellStyle name="Comma 9 2 3 2 2" xfId="48684" xr:uid="{5F1D3E75-2C68-4A5D-9034-8CCF8554E09E}"/>
    <cellStyle name="Comma 9 2 3 2 3" xfId="49592" xr:uid="{3F10411B-F683-44CD-8909-E0E15D868F0B}"/>
    <cellStyle name="Comma 9 2 3 3" xfId="48683" xr:uid="{3DEF60E8-B379-44B8-9062-B052216BA731}"/>
    <cellStyle name="Comma 9 2 3 4" xfId="49591" xr:uid="{983B997A-E1B8-4B31-A9C3-A7F556D371C0}"/>
    <cellStyle name="Comma 9 2 4" xfId="23814" xr:uid="{A7EACD55-8805-403E-B1FE-449DB0D813F5}"/>
    <cellStyle name="Comma 9 2 4 2" xfId="48685" xr:uid="{6E0FD435-91C6-4237-8F59-61239CD7F2D4}"/>
    <cellStyle name="Comma 9 2 4 3" xfId="49593" xr:uid="{C50426A3-E5E2-4604-B146-1F07F1D0C22D}"/>
    <cellStyle name="Comma 9 2 5" xfId="23809" xr:uid="{3F7DE144-CCD7-497D-BD61-511147344703}"/>
    <cellStyle name="Comma 9 2 6" xfId="48680" xr:uid="{01FDAA3D-0AD1-425E-BC34-A3555F7ABFE7}"/>
    <cellStyle name="Comma 9 2 7" xfId="49588" xr:uid="{ECEACFC7-08B8-4963-975D-5A359F8EEED9}"/>
    <cellStyle name="Comma 9 3" xfId="19498" xr:uid="{9265027B-BDE1-49BB-B23A-A139429DA367}"/>
    <cellStyle name="Comma 9 3 2" xfId="23816" xr:uid="{6F32D601-A7AA-4066-9428-277BF4241D11}"/>
    <cellStyle name="Comma 9 3 2 2" xfId="48687" xr:uid="{182F8C38-0FE1-496A-9334-7186E86A126F}"/>
    <cellStyle name="Comma 9 3 2 3" xfId="49595" xr:uid="{0961E3E1-CDDA-4640-A4D4-58348E376C2F}"/>
    <cellStyle name="Comma 9 3 3" xfId="23815" xr:uid="{D337D3B3-EE3F-4EA1-8C4C-6D6C1EAA2FBE}"/>
    <cellStyle name="Comma 9 3 4" xfId="48686" xr:uid="{05FB58B2-32A7-4FE4-AE8E-3E6D86A406F5}"/>
    <cellStyle name="Comma 9 3 5" xfId="49594" xr:uid="{DDF47412-203F-4FF6-8D34-26EB8DDAE39B}"/>
    <cellStyle name="Comma 9 4" xfId="23817" xr:uid="{3925C2AD-839F-468D-B082-CE69DC37763E}"/>
    <cellStyle name="Comma 9 4 2" xfId="23818" xr:uid="{C41D3863-3D1C-4BA7-A46A-D4132F5531E5}"/>
    <cellStyle name="Comma 9 4 2 2" xfId="48689" xr:uid="{11D70145-C2F4-4C07-AFC1-9542858BFC82}"/>
    <cellStyle name="Comma 9 4 2 3" xfId="49597" xr:uid="{20FE2BF5-4E08-47C0-BBB7-A0CA528E0C87}"/>
    <cellStyle name="Comma 9 4 3" xfId="48688" xr:uid="{C0AF3D2B-E8FC-4C64-8A68-33D9D4395245}"/>
    <cellStyle name="Comma 9 4 4" xfId="49596" xr:uid="{CC33915C-5541-4D4A-B54C-E2C2C3BC7849}"/>
    <cellStyle name="Comma 9 5" xfId="23819" xr:uid="{72B21F1B-62AF-46F0-9021-38619B61AD06}"/>
    <cellStyle name="Comma 9 5 2" xfId="23820" xr:uid="{12DCE16B-2EE6-4FC0-A6B8-C5771F26DCD4}"/>
    <cellStyle name="Comma 9 5 2 2" xfId="48691" xr:uid="{39E2FC6D-D3F6-41CC-AE43-1BF224E67693}"/>
    <cellStyle name="Comma 9 5 2 3" xfId="49599" xr:uid="{3780480E-ABB3-4F09-9EF7-6BDD5664DC70}"/>
    <cellStyle name="Comma 9 5 3" xfId="48690" xr:uid="{44AEAF13-20B1-4EF3-A956-DBBECB66A74E}"/>
    <cellStyle name="Comma 9 5 4" xfId="49598" xr:uid="{DE4A3083-EBBC-49BF-84CD-5839B0AED769}"/>
    <cellStyle name="Comma 9 6" xfId="23821" xr:uid="{7FE59EF3-E3D2-4912-B7C4-7A25FBD82D2B}"/>
    <cellStyle name="Comma 9 6 2" xfId="48692" xr:uid="{A0097E1B-BAE8-49F7-B563-1B01BF14DE07}"/>
    <cellStyle name="Comma 9 6 3" xfId="49600" xr:uid="{74634EAE-D774-47C0-A968-BE5AD568B5EF}"/>
    <cellStyle name="Comma 9 7" xfId="23822" xr:uid="{6020BFC7-FA6A-479E-A4F8-6631C23FA854}"/>
    <cellStyle name="Comma 9 7 2" xfId="48693" xr:uid="{69B694D4-D057-42D9-8398-83F94B1FF598}"/>
    <cellStyle name="Comma 9 7 3" xfId="49601" xr:uid="{AF2F913A-6618-4569-88C9-EC72AE68D4DF}"/>
    <cellStyle name="Comma 9 8" xfId="23823" xr:uid="{516CA0E2-48CF-4862-AEE8-E950ADA6BA29}"/>
    <cellStyle name="Comma 9 8 2" xfId="32701" xr:uid="{FB836316-530A-44F9-8533-14F10C9FE981}"/>
    <cellStyle name="Comma 9 8 3" xfId="48694" xr:uid="{A629F561-819D-4E20-9B90-D8BCCDD45490}"/>
    <cellStyle name="Comma 9 8 4" xfId="49602" xr:uid="{3EF529CB-10F3-46A6-A90D-02DAE9E5A49C}"/>
    <cellStyle name="Comma 9 9" xfId="23808" xr:uid="{7FB30C84-A9D6-4047-8441-911E39C5BEA7}"/>
    <cellStyle name="Comma0" xfId="32263" xr:uid="{19F99CA8-8CCE-406B-8636-C3E514F185C5}"/>
    <cellStyle name="Comma0 - Type3" xfId="55" xr:uid="{00000000-0005-0000-0000-00005B000000}"/>
    <cellStyle name="Comma0 - Typografi1" xfId="32264" xr:uid="{4B045405-7C34-49C0-8A07-150231FA0BA8}"/>
    <cellStyle name="Comma0 - Typografi1 2" xfId="32265" xr:uid="{531AC95C-D3FF-44CB-9625-230491217C7E}"/>
    <cellStyle name="Comma0 - Typografi1 2 2" xfId="32266" xr:uid="{630935BA-1E30-4C9B-AC0A-76CDEB139CB5}"/>
    <cellStyle name="Comma0 - Typografi1 3" xfId="32267" xr:uid="{5FDA2D66-6C34-4427-B602-2DBB0D69FD2C}"/>
    <cellStyle name="Comma0 - Typografi1 4" xfId="32268" xr:uid="{2E1AB264-C9A4-417C-B41B-EEC8E89A777B}"/>
    <cellStyle name="Comma1 - Typografi1" xfId="32269" xr:uid="{F9D1E7F4-9E4F-465F-B437-D07210519202}"/>
    <cellStyle name="Constants" xfId="30233" xr:uid="{F0F961A8-89A9-4B4D-BDC8-6FBA60A3B298}"/>
    <cellStyle name="Currency0" xfId="32270" xr:uid="{CE452AD4-E5D9-4C57-B561-D18C292DF963}"/>
    <cellStyle name="CustomizationCells" xfId="56" xr:uid="{00000000-0005-0000-0000-00005C000000}"/>
    <cellStyle name="CustomizationCells 2" xfId="57" xr:uid="{00000000-0005-0000-0000-00005D000000}"/>
    <cellStyle name="CustomizationCells 2 2" xfId="17480" xr:uid="{E8700639-7ED7-4486-B26F-7BF447BAAFE3}"/>
    <cellStyle name="CustomizationCells 2 2 2" xfId="21244" xr:uid="{C962E7F3-AE09-479B-8642-8EAD84312A65}"/>
    <cellStyle name="CustomizationCells 2 3" xfId="17702" xr:uid="{C749AE0A-6FC3-4921-9B2E-3A4F930EA1A3}"/>
    <cellStyle name="CustomizationCells 2 3 2" xfId="35067" xr:uid="{E75185DE-DE41-4A66-9908-2B015AC82A36}"/>
    <cellStyle name="CustomizationCells 2 4" xfId="32703" xr:uid="{915E5650-600D-4195-949E-3C3B82EE7F56}"/>
    <cellStyle name="CustomizationCells 3" xfId="2633" xr:uid="{146D01EB-6F1B-4F18-8F69-CC4AF91F5D02}"/>
    <cellStyle name="CustomizationCells 3 2" xfId="17708" xr:uid="{DDC4A8AB-E393-4383-8DCC-91624502DD4F}"/>
    <cellStyle name="CustomizationCells 3 2 2" xfId="35068" xr:uid="{E64303B3-FFA5-4346-926A-8645B19EB83E}"/>
    <cellStyle name="CustomizationCells 3 3" xfId="32704" xr:uid="{D68C32D4-1E50-4BE1-95A8-6A59D7421A01}"/>
    <cellStyle name="CustomizationCells 4" xfId="8953" xr:uid="{15C16EAE-A2BD-4D04-99D3-6A11E0EA3C1C}"/>
    <cellStyle name="CustomizationCells 4 2" xfId="32619" xr:uid="{1C0EBD78-D768-4005-AF8A-5208EE9DAB1A}"/>
    <cellStyle name="CustomizationCells 4 2 2" xfId="35568" xr:uid="{4BA62B6F-AAB0-429D-B12B-61B32CF58FD1}"/>
    <cellStyle name="CustomizationCells 4 3" xfId="32705" xr:uid="{A4B4484D-4F98-47EC-8DF9-F6B142148D6C}"/>
    <cellStyle name="CustomizationCells 5" xfId="8954" xr:uid="{011FBF54-4632-4406-9CD7-FC09ADF61145}"/>
    <cellStyle name="CustomizationCells 5 2" xfId="32620" xr:uid="{398E82CA-9BDA-4C59-B0BF-6F308EA85E24}"/>
    <cellStyle name="CustomizationCells 5 2 2" xfId="35569" xr:uid="{8ED9CB0C-0AD6-4E7C-8C25-54445163CA49}"/>
    <cellStyle name="CustomizationCells 5 3" xfId="32706" xr:uid="{31FE5F15-C5CC-4BE4-830D-A664A9949791}"/>
    <cellStyle name="CustomizationCells 6" xfId="8955" xr:uid="{FD542DBE-47F8-41BC-B97B-5AE3104C1435}"/>
    <cellStyle name="CustomizationCells 6 2" xfId="32621" xr:uid="{CE10CFE0-871C-4589-9447-5096DA8B3500}"/>
    <cellStyle name="CustomizationCells 6 2 2" xfId="35570" xr:uid="{B79825D8-0A36-4F3F-811D-B965D1D8A5DB}"/>
    <cellStyle name="CustomizationCells 6 3" xfId="32707" xr:uid="{6912C1FC-9F3D-441F-8E8D-B17A0FC0CB8C}"/>
    <cellStyle name="CustomizationCells 7" xfId="32622" xr:uid="{23F6CA4E-B36B-4A0D-9F1A-8D4190869B82}"/>
    <cellStyle name="CustomizationCells 7 2" xfId="35571" xr:uid="{3FCADD36-E34F-4361-AA3D-EEEFC4426B84}"/>
    <cellStyle name="CustomizationCells 8" xfId="32702" xr:uid="{4A49FCBD-049D-4924-8B15-C2ADCCA0C150}"/>
    <cellStyle name="Date" xfId="32271" xr:uid="{41F48BA8-655D-4406-B953-D87B59B24B04}"/>
    <cellStyle name="Date - Typografi3" xfId="32272" xr:uid="{5D941885-C177-4AAB-9552-B4D2B72889D9}"/>
    <cellStyle name="DocBox_EmptyRow" xfId="30234" xr:uid="{EF6A2F0F-9ADD-49AA-A186-5AF99912625A}"/>
    <cellStyle name="Empty_B_border" xfId="30235" xr:uid="{BCA60B99-43F2-4210-8B8D-F5F22D13ABB3}"/>
    <cellStyle name="Euro" xfId="58" xr:uid="{00000000-0005-0000-0000-00005E000000}"/>
    <cellStyle name="Euro 10" xfId="59" xr:uid="{00000000-0005-0000-0000-00005F000000}"/>
    <cellStyle name="Euro 10 2" xfId="60" xr:uid="{00000000-0005-0000-0000-000060000000}"/>
    <cellStyle name="Euro 10 2 2" xfId="2634" xr:uid="{1EDEA218-6934-4CF5-A2E3-7C8FC104EB45}"/>
    <cellStyle name="Euro 10 2 2 2" xfId="13378" xr:uid="{CBD6504B-D4BC-4B5F-A836-34FAA5A86924}"/>
    <cellStyle name="Euro 10 2 3" xfId="13058" xr:uid="{291D0FE2-6FAF-435C-BE54-82B38A5E5E51}"/>
    <cellStyle name="Euro 10 3" xfId="61" xr:uid="{00000000-0005-0000-0000-000061000000}"/>
    <cellStyle name="Euro 10 3 2" xfId="62" xr:uid="{00000000-0005-0000-0000-000062000000}"/>
    <cellStyle name="Euro 10 3 2 2" xfId="1295" xr:uid="{00000000-0005-0000-0000-000063000000}"/>
    <cellStyle name="Euro 10 3 2 3" xfId="7720" xr:uid="{381505E0-497F-4A3D-9B42-BC26202A1630}"/>
    <cellStyle name="Euro 10 3 2 3 2" xfId="13840" xr:uid="{C77F51C1-A7BA-4562-AE7A-34BCFC877C76}"/>
    <cellStyle name="Euro 10 3 3" xfId="2635" xr:uid="{C828FBB5-3AD2-41BF-9ACD-064A6D11F400}"/>
    <cellStyle name="Euro 10 3 3 2" xfId="8956" xr:uid="{67FB978E-4124-4993-B861-FAFE7D0AD038}"/>
    <cellStyle name="Euro 10 3 4" xfId="2636" xr:uid="{E7B3121A-8F02-42CA-B0FE-2FF50EF7B100}"/>
    <cellStyle name="Euro 10 3 4 2" xfId="13372" xr:uid="{AD0E0AC7-302C-44DE-B50A-D09916C40854}"/>
    <cellStyle name="Euro 10 3 5" xfId="12157" xr:uid="{1A9B4E58-87CB-4CF7-B0BF-F46619B0F377}"/>
    <cellStyle name="Euro 10 4" xfId="1296" xr:uid="{00000000-0005-0000-0000-000064000000}"/>
    <cellStyle name="Euro 10 4 2" xfId="1297" xr:uid="{00000000-0005-0000-0000-000065000000}"/>
    <cellStyle name="Euro 10 4 2 2" xfId="8957" xr:uid="{5F7290A8-911A-4D0D-88DC-8F848EF1A741}"/>
    <cellStyle name="Euro 10 4 2 3" xfId="17745" xr:uid="{EB08DE78-3479-4ADE-88C2-D2E742CA48C6}"/>
    <cellStyle name="Euro 10 4 2 4" xfId="17476" xr:uid="{1076346C-A676-47C9-916E-3C5E0A3213AF}"/>
    <cellStyle name="Euro 10 4 3" xfId="8958" xr:uid="{53FF7FF5-1043-48C1-B74F-9A86DF0D4F91}"/>
    <cellStyle name="Euro 10 5" xfId="1298" xr:uid="{00000000-0005-0000-0000-000066000000}"/>
    <cellStyle name="Euro 10 6" xfId="2637" xr:uid="{DFDC68DE-66EF-4A3A-8273-D936E0F346FA}"/>
    <cellStyle name="Euro 10 6 2" xfId="9603" xr:uid="{A54670A6-47C9-425D-9302-E6B0F8848218}"/>
    <cellStyle name="Euro 11" xfId="63" xr:uid="{00000000-0005-0000-0000-000067000000}"/>
    <cellStyle name="Euro 11 2" xfId="64" xr:uid="{00000000-0005-0000-0000-000068000000}"/>
    <cellStyle name="Euro 11 2 2" xfId="2638" xr:uid="{331925C2-6CAE-4C5F-B6DC-A8C8721A51B7}"/>
    <cellStyle name="Euro 11 2 2 2" xfId="13379" xr:uid="{F122CD09-7982-4192-867D-F727A39B8472}"/>
    <cellStyle name="Euro 11 2 3" xfId="13059" xr:uid="{B7C53E86-E0E0-4659-AE84-59A2E9B5A51E}"/>
    <cellStyle name="Euro 11 3" xfId="65" xr:uid="{00000000-0005-0000-0000-000069000000}"/>
    <cellStyle name="Euro 11 3 2" xfId="66" xr:uid="{00000000-0005-0000-0000-00006A000000}"/>
    <cellStyle name="Euro 11 3 2 2" xfId="1299" xr:uid="{00000000-0005-0000-0000-00006B000000}"/>
    <cellStyle name="Euro 11 3 2 3" xfId="7721" xr:uid="{7F611391-1F7D-478B-9728-62496F847196}"/>
    <cellStyle name="Euro 11 3 2 3 2" xfId="13841" xr:uid="{7378873B-3CE4-4AF2-80F0-DDCAE7E995BB}"/>
    <cellStyle name="Euro 11 3 3" xfId="2639" xr:uid="{9F1C7BCA-893D-465D-B2F8-B8886B3AF40D}"/>
    <cellStyle name="Euro 11 3 3 2" xfId="8959" xr:uid="{563EAFB4-A044-4E2E-9539-709B120B9441}"/>
    <cellStyle name="Euro 11 3 4" xfId="2640" xr:uid="{220F82BE-8871-4B76-BA7E-09F0EC9348BF}"/>
    <cellStyle name="Euro 11 3 4 2" xfId="13370" xr:uid="{41ABF63B-7E4C-4FA5-A18E-7FDE8D599BB4}"/>
    <cellStyle name="Euro 11 3 5" xfId="11503" xr:uid="{1FD53367-DEC6-4268-A699-309B3BFDB7DD}"/>
    <cellStyle name="Euro 11 4" xfId="1300" xr:uid="{00000000-0005-0000-0000-00006C000000}"/>
    <cellStyle name="Euro 11 4 2" xfId="1301" xr:uid="{00000000-0005-0000-0000-00006D000000}"/>
    <cellStyle name="Euro 11 4 2 2" xfId="8960" xr:uid="{0713F582-80D1-4731-B0EE-283EB38CC3AD}"/>
    <cellStyle name="Euro 11 4 2 3" xfId="17746" xr:uid="{81795266-44C9-488F-8ACE-76CE33866FE8}"/>
    <cellStyle name="Euro 11 4 2 4" xfId="17475" xr:uid="{E04F53A3-9B42-4002-892D-3963CFDC0C8A}"/>
    <cellStyle name="Euro 11 4 3" xfId="8961" xr:uid="{C8F4566C-9FE7-47B9-A1B2-10447E5C2C99}"/>
    <cellStyle name="Euro 11 5" xfId="1302" xr:uid="{00000000-0005-0000-0000-00006E000000}"/>
    <cellStyle name="Euro 11 6" xfId="2641" xr:uid="{8D2FD16C-1E65-4DA3-928C-91F79A8EE1F1}"/>
    <cellStyle name="Euro 11 6 2" xfId="9604" xr:uid="{8B36E616-D5CA-4C8F-A5F7-531374CCDF6E}"/>
    <cellStyle name="Euro 12" xfId="67" xr:uid="{00000000-0005-0000-0000-00006F000000}"/>
    <cellStyle name="Euro 12 2" xfId="68" xr:uid="{00000000-0005-0000-0000-000070000000}"/>
    <cellStyle name="Euro 12 2 2" xfId="2642" xr:uid="{E1DB87D4-09AA-40E0-AF5D-B5EF2EC94131}"/>
    <cellStyle name="Euro 12 2 2 2" xfId="13380" xr:uid="{4AD26069-9FE2-4B2D-B016-4A142A549551}"/>
    <cellStyle name="Euro 12 2 3" xfId="13060" xr:uid="{8F4887B6-5C30-4D94-AAAC-FFDF2EA748A9}"/>
    <cellStyle name="Euro 12 3" xfId="69" xr:uid="{00000000-0005-0000-0000-000071000000}"/>
    <cellStyle name="Euro 12 3 2" xfId="70" xr:uid="{00000000-0005-0000-0000-000072000000}"/>
    <cellStyle name="Euro 12 3 2 2" xfId="1303" xr:uid="{00000000-0005-0000-0000-000073000000}"/>
    <cellStyle name="Euro 12 3 2 3" xfId="7722" xr:uid="{662D0E2B-6430-4C2C-A6C0-74A846B72B89}"/>
    <cellStyle name="Euro 12 3 2 3 2" xfId="13842" xr:uid="{CC04CA3B-3B91-4BD5-A14C-C97C7DB142F4}"/>
    <cellStyle name="Euro 12 3 3" xfId="2643" xr:uid="{8201B9F2-DA16-4705-A1B2-772E2805E52C}"/>
    <cellStyle name="Euro 12 3 3 2" xfId="8962" xr:uid="{67A8FBB4-A489-47C4-9A22-EF6B25EED43F}"/>
    <cellStyle name="Euro 12 3 4" xfId="2644" xr:uid="{BEBB773B-6963-4C25-9DF1-114B7DCAC88B}"/>
    <cellStyle name="Euro 12 3 4 2" xfId="13369" xr:uid="{9EB0184C-22BC-4590-9BAC-56AD74A5A98E}"/>
    <cellStyle name="Euro 12 3 5" xfId="12169" xr:uid="{E784C573-6118-4991-B5D2-C8A3270EB475}"/>
    <cellStyle name="Euro 12 4" xfId="1304" xr:uid="{00000000-0005-0000-0000-000074000000}"/>
    <cellStyle name="Euro 12 4 2" xfId="1305" xr:uid="{00000000-0005-0000-0000-000075000000}"/>
    <cellStyle name="Euro 12 4 2 2" xfId="8963" xr:uid="{6E0FA135-60CA-46E4-B36D-08BDBC45EDB0}"/>
    <cellStyle name="Euro 12 4 2 3" xfId="17747" xr:uid="{88693ABB-983F-446B-BFAF-E986D9A3714A}"/>
    <cellStyle name="Euro 12 4 2 4" xfId="17474" xr:uid="{F448DCBB-2D92-45DD-AD5C-DB8586D3F649}"/>
    <cellStyle name="Euro 12 4 3" xfId="8964" xr:uid="{F666E61D-7955-4435-B8DC-EEB88467E895}"/>
    <cellStyle name="Euro 12 5" xfId="1306" xr:uid="{00000000-0005-0000-0000-000076000000}"/>
    <cellStyle name="Euro 12 6" xfId="2645" xr:uid="{3473EA4D-3D37-4829-9E57-6152F0314504}"/>
    <cellStyle name="Euro 12 6 2" xfId="9605" xr:uid="{CF9876AB-1907-45FB-89BF-52D482D1445B}"/>
    <cellStyle name="Euro 13" xfId="71" xr:uid="{00000000-0005-0000-0000-000077000000}"/>
    <cellStyle name="Euro 13 2" xfId="72" xr:uid="{00000000-0005-0000-0000-000078000000}"/>
    <cellStyle name="Euro 13 2 2" xfId="2646" xr:uid="{680A9CAA-9020-4B94-AE95-89D403E71CEF}"/>
    <cellStyle name="Euro 13 2 2 2" xfId="13381" xr:uid="{8BC405D5-C020-4B60-A437-E0EA74A30E75}"/>
    <cellStyle name="Euro 13 2 3" xfId="13061" xr:uid="{34B1766E-8BCE-4F7D-8113-DCE09B755CEF}"/>
    <cellStyle name="Euro 13 3" xfId="73" xr:uid="{00000000-0005-0000-0000-000079000000}"/>
    <cellStyle name="Euro 13 3 2" xfId="74" xr:uid="{00000000-0005-0000-0000-00007A000000}"/>
    <cellStyle name="Euro 13 3 2 2" xfId="1307" xr:uid="{00000000-0005-0000-0000-00007B000000}"/>
    <cellStyle name="Euro 13 3 2 3" xfId="7723" xr:uid="{3F0B475B-4AD3-4305-B7C3-DC9915492A8B}"/>
    <cellStyle name="Euro 13 3 2 3 2" xfId="13843" xr:uid="{82F4AFA9-92BE-4504-88BC-17F8DF6C7417}"/>
    <cellStyle name="Euro 13 3 3" xfId="2647" xr:uid="{CC55402C-95D2-440D-8FE6-8172EDE9172F}"/>
    <cellStyle name="Euro 13 3 3 2" xfId="8965" xr:uid="{1509F91B-A769-497E-A2F0-558935BC282F}"/>
    <cellStyle name="Euro 13 3 4" xfId="2648" xr:uid="{73C0E437-9AB2-424A-9939-E6B2D5E3D54B}"/>
    <cellStyle name="Euro 13 3 4 2" xfId="13631" xr:uid="{396B5E79-116C-4FAC-B5AB-9C4FADADE325}"/>
    <cellStyle name="Euro 13 3 5" xfId="12425" xr:uid="{93071657-0CD6-4F84-88B9-3419C6824768}"/>
    <cellStyle name="Euro 13 4" xfId="1308" xr:uid="{00000000-0005-0000-0000-00007C000000}"/>
    <cellStyle name="Euro 13 4 2" xfId="1309" xr:uid="{00000000-0005-0000-0000-00007D000000}"/>
    <cellStyle name="Euro 13 4 2 2" xfId="8966" xr:uid="{B38437D7-F67B-4C39-B2DD-D2F3428F1348}"/>
    <cellStyle name="Euro 13 4 2 3" xfId="17748" xr:uid="{B754459F-ABC3-4116-B837-FC035E75964B}"/>
    <cellStyle name="Euro 13 4 2 4" xfId="17473" xr:uid="{797C66EA-21E6-4DA9-A0F5-03832E6415B1}"/>
    <cellStyle name="Euro 13 4 3" xfId="8967" xr:uid="{AD480366-C4D4-4D78-8B4B-46B1C7ED1E70}"/>
    <cellStyle name="Euro 13 5" xfId="1310" xr:uid="{00000000-0005-0000-0000-00007E000000}"/>
    <cellStyle name="Euro 13 6" xfId="2649" xr:uid="{D2518D39-A69F-4A55-9B00-B5EE0CD816B6}"/>
    <cellStyle name="Euro 13 6 2" xfId="9606" xr:uid="{EBBCD008-F274-48C8-9CD9-72922F056063}"/>
    <cellStyle name="Euro 14" xfId="75" xr:uid="{00000000-0005-0000-0000-00007F000000}"/>
    <cellStyle name="Euro 14 2" xfId="76" xr:uid="{00000000-0005-0000-0000-000080000000}"/>
    <cellStyle name="Euro 14 2 2" xfId="2650" xr:uid="{EE797687-1F32-42C6-8F11-E3ED55DE2706}"/>
    <cellStyle name="Euro 14 2 2 2" xfId="13382" xr:uid="{D1E83B99-B35B-46BC-A938-50E000D506BB}"/>
    <cellStyle name="Euro 14 2 3" xfId="13062" xr:uid="{CA2B2627-F050-45AE-9F01-B6C1DD2C5AD7}"/>
    <cellStyle name="Euro 14 3" xfId="77" xr:uid="{00000000-0005-0000-0000-000081000000}"/>
    <cellStyle name="Euro 14 3 2" xfId="78" xr:uid="{00000000-0005-0000-0000-000082000000}"/>
    <cellStyle name="Euro 14 3 2 2" xfId="1311" xr:uid="{00000000-0005-0000-0000-000083000000}"/>
    <cellStyle name="Euro 14 3 2 3" xfId="7724" xr:uid="{3776CF11-9490-4602-85AF-3A49F2C4B26A}"/>
    <cellStyle name="Euro 14 3 2 3 2" xfId="13844" xr:uid="{90406BCD-FF18-4ED3-9BA5-351BF54E5009}"/>
    <cellStyle name="Euro 14 3 3" xfId="2651" xr:uid="{05A7F513-95F6-47C1-938A-53BD109AC640}"/>
    <cellStyle name="Euro 14 3 3 2" xfId="8968" xr:uid="{58FF3C3A-172F-4F43-ABA7-F6B7A841ADAD}"/>
    <cellStyle name="Euro 14 3 4" xfId="2652" xr:uid="{A7DCC8A8-53B6-4611-9828-277C1CD2DA0C}"/>
    <cellStyle name="Euro 14 3 4 2" xfId="13632" xr:uid="{71C2A52B-E6B7-4F37-9FF2-7FED6F40A80D}"/>
    <cellStyle name="Euro 14 3 5" xfId="11502" xr:uid="{6C7D4066-8C56-45F7-914F-EA7928F887D3}"/>
    <cellStyle name="Euro 14 4" xfId="1312" xr:uid="{00000000-0005-0000-0000-000084000000}"/>
    <cellStyle name="Euro 14 4 2" xfId="1313" xr:uid="{00000000-0005-0000-0000-000085000000}"/>
    <cellStyle name="Euro 14 4 2 2" xfId="8969" xr:uid="{31DF38FB-EE5A-494E-847A-E54FE8931A61}"/>
    <cellStyle name="Euro 14 4 2 3" xfId="17749" xr:uid="{7E30DA46-0087-45E4-8056-A2CFE66F29C3}"/>
    <cellStyle name="Euro 14 4 2 4" xfId="17472" xr:uid="{DAC937FC-CC2B-4DEC-85EE-E19128DECCB1}"/>
    <cellStyle name="Euro 14 4 3" xfId="8970" xr:uid="{F393D52E-DAF0-478D-9EFA-113E7E15F833}"/>
    <cellStyle name="Euro 14 5" xfId="1314" xr:uid="{00000000-0005-0000-0000-000086000000}"/>
    <cellStyle name="Euro 14 6" xfId="2653" xr:uid="{9CCA283E-AB64-49A5-B3E7-5442BE444A2C}"/>
    <cellStyle name="Euro 14 6 2" xfId="9607" xr:uid="{162A14FE-FCD8-4383-9FB6-C14EC6B1CEEF}"/>
    <cellStyle name="Euro 15" xfId="79" xr:uid="{00000000-0005-0000-0000-000087000000}"/>
    <cellStyle name="Euro 15 2" xfId="80" xr:uid="{00000000-0005-0000-0000-000088000000}"/>
    <cellStyle name="Euro 15 2 2" xfId="2654" xr:uid="{5E5702C8-6CE0-4949-A91E-AF89A080D9FE}"/>
    <cellStyle name="Euro 15 2 2 2" xfId="13383" xr:uid="{F193E444-5DE4-483B-8AEA-936D66476529}"/>
    <cellStyle name="Euro 15 2 3" xfId="13063" xr:uid="{E26D53A5-3B8E-4546-8ABF-249985D5603C}"/>
    <cellStyle name="Euro 15 3" xfId="81" xr:uid="{00000000-0005-0000-0000-000089000000}"/>
    <cellStyle name="Euro 15 3 2" xfId="82" xr:uid="{00000000-0005-0000-0000-00008A000000}"/>
    <cellStyle name="Euro 15 3 2 2" xfId="1315" xr:uid="{00000000-0005-0000-0000-00008B000000}"/>
    <cellStyle name="Euro 15 3 2 3" xfId="7725" xr:uid="{7F1FEC3B-980A-4675-AD78-AC31381862F6}"/>
    <cellStyle name="Euro 15 3 2 3 2" xfId="13845" xr:uid="{200E2726-D5E7-46FD-B99E-2CEB76C2FCAB}"/>
    <cellStyle name="Euro 15 3 3" xfId="2655" xr:uid="{B83CC740-E139-42C0-8BA1-57FAE3C5229F}"/>
    <cellStyle name="Euro 15 3 3 2" xfId="8971" xr:uid="{16DB75B1-80AD-48BB-A71E-6A0D717332F9}"/>
    <cellStyle name="Euro 15 3 4" xfId="2656" xr:uid="{A0740F92-99B8-4233-A480-AD3345542EEE}"/>
    <cellStyle name="Euro 15 3 4 2" xfId="13633" xr:uid="{83BA2FD3-6086-4539-9527-A5972B18A437}"/>
    <cellStyle name="Euro 15 3 5" xfId="11541" xr:uid="{2520387D-CBC1-446F-BFC6-E3D2219848E3}"/>
    <cellStyle name="Euro 15 4" xfId="1316" xr:uid="{00000000-0005-0000-0000-00008C000000}"/>
    <cellStyle name="Euro 15 4 2" xfId="1317" xr:uid="{00000000-0005-0000-0000-00008D000000}"/>
    <cellStyle name="Euro 15 4 2 2" xfId="8972" xr:uid="{9A26239E-0357-4252-B3DA-55DADA112EFA}"/>
    <cellStyle name="Euro 15 4 2 3" xfId="17750" xr:uid="{3AEBFBA4-D983-4E53-9169-8502D52F7505}"/>
    <cellStyle name="Euro 15 4 2 4" xfId="17471" xr:uid="{6E015974-D8EE-4187-90E5-2265499BFE8E}"/>
    <cellStyle name="Euro 15 4 3" xfId="8973" xr:uid="{7F3A27BE-8CE7-4AD9-A3B5-AC441062BCC5}"/>
    <cellStyle name="Euro 15 5" xfId="1318" xr:uid="{00000000-0005-0000-0000-00008E000000}"/>
    <cellStyle name="Euro 15 6" xfId="2657" xr:uid="{5FDB20AF-A1BC-4AAA-B4F4-5567D2F2E219}"/>
    <cellStyle name="Euro 15 6 2" xfId="9608" xr:uid="{CD1B803E-1D32-47E6-87BD-AE8DF0965C3C}"/>
    <cellStyle name="Euro 16" xfId="83" xr:uid="{00000000-0005-0000-0000-00008F000000}"/>
    <cellStyle name="Euro 16 2" xfId="84" xr:uid="{00000000-0005-0000-0000-000090000000}"/>
    <cellStyle name="Euro 16 2 2" xfId="2658" xr:uid="{F49E82B6-DE35-4F24-85DC-B38CDE23003B}"/>
    <cellStyle name="Euro 16 2 2 2" xfId="13384" xr:uid="{E45D09E3-40E9-4C84-893F-E20FAFB0A148}"/>
    <cellStyle name="Euro 16 2 3" xfId="13064" xr:uid="{69BC91D7-6CA0-4173-8092-2A0EAE034A3C}"/>
    <cellStyle name="Euro 16 3" xfId="85" xr:uid="{00000000-0005-0000-0000-000091000000}"/>
    <cellStyle name="Euro 16 3 2" xfId="86" xr:uid="{00000000-0005-0000-0000-000092000000}"/>
    <cellStyle name="Euro 16 3 2 2" xfId="1319" xr:uid="{00000000-0005-0000-0000-000093000000}"/>
    <cellStyle name="Euro 16 3 2 3" xfId="7726" xr:uid="{2307D866-22A4-495E-9E0B-AA54729D2222}"/>
    <cellStyle name="Euro 16 3 2 3 2" xfId="13846" xr:uid="{236C6348-27C1-4F68-A5A7-7F6B0E024B95}"/>
    <cellStyle name="Euro 16 3 3" xfId="2659" xr:uid="{8A3C2048-4A6A-4D62-A337-77C0D3D9F33C}"/>
    <cellStyle name="Euro 16 3 3 2" xfId="8974" xr:uid="{83AD4C86-8983-40E3-AA1C-CEF990790D0F}"/>
    <cellStyle name="Euro 16 3 4" xfId="2660" xr:uid="{E873FE57-590D-4331-B576-ABD032879413}"/>
    <cellStyle name="Euro 16 3 4 2" xfId="13634" xr:uid="{18CE9A62-70C2-4642-86CB-1636042397BB}"/>
    <cellStyle name="Euro 16 3 5" xfId="11126" xr:uid="{C71D0D57-D657-4ED0-968F-59FF0FD0E75D}"/>
    <cellStyle name="Euro 16 4" xfId="1320" xr:uid="{00000000-0005-0000-0000-000094000000}"/>
    <cellStyle name="Euro 16 4 2" xfId="1321" xr:uid="{00000000-0005-0000-0000-000095000000}"/>
    <cellStyle name="Euro 16 4 2 2" xfId="8975" xr:uid="{43361E87-3425-4FD6-88F9-E2DD0691E788}"/>
    <cellStyle name="Euro 16 4 2 3" xfId="17751" xr:uid="{A1D6D2DD-DA65-4A69-AF65-5AD691C98B8F}"/>
    <cellStyle name="Euro 16 4 2 4" xfId="17470" xr:uid="{C29556FE-BBC2-451C-8A77-2804F707E88E}"/>
    <cellStyle name="Euro 16 4 3" xfId="8976" xr:uid="{CACA097E-2A90-497D-AF10-B811ED0D07CB}"/>
    <cellStyle name="Euro 16 5" xfId="1322" xr:uid="{00000000-0005-0000-0000-000096000000}"/>
    <cellStyle name="Euro 16 6" xfId="2661" xr:uid="{E1516FBE-F6C8-4946-BCA8-08FA79ADFE19}"/>
    <cellStyle name="Euro 16 6 2" xfId="9609" xr:uid="{DEB7A759-1494-4690-A16D-E1EC67CCF73D}"/>
    <cellStyle name="Euro 17" xfId="87" xr:uid="{00000000-0005-0000-0000-000097000000}"/>
    <cellStyle name="Euro 17 2" xfId="88" xr:uid="{00000000-0005-0000-0000-000098000000}"/>
    <cellStyle name="Euro 17 2 2" xfId="2662" xr:uid="{0A5D3732-C88C-4EDA-A018-4EA80FD69FC7}"/>
    <cellStyle name="Euro 17 2 2 2" xfId="13385" xr:uid="{306B8DE1-74DC-45DB-9415-84FE489D12AD}"/>
    <cellStyle name="Euro 17 2 3" xfId="13065" xr:uid="{76A757E3-B4EE-43F3-9F4C-9F6BA4F306B3}"/>
    <cellStyle name="Euro 17 3" xfId="89" xr:uid="{00000000-0005-0000-0000-000099000000}"/>
    <cellStyle name="Euro 17 3 2" xfId="90" xr:uid="{00000000-0005-0000-0000-00009A000000}"/>
    <cellStyle name="Euro 17 3 2 2" xfId="1323" xr:uid="{00000000-0005-0000-0000-00009B000000}"/>
    <cellStyle name="Euro 17 3 2 3" xfId="7727" xr:uid="{08986EFB-ADFB-4F4B-9C8B-8F1CA11A98CF}"/>
    <cellStyle name="Euro 17 3 2 3 2" xfId="13847" xr:uid="{CDBAA141-11A0-43FE-B456-5524BB01FDDC}"/>
    <cellStyle name="Euro 17 3 3" xfId="2663" xr:uid="{A8648A47-2CCF-4FCF-8309-74F052EAAF7A}"/>
    <cellStyle name="Euro 17 3 3 2" xfId="8977" xr:uid="{E5C0E140-E546-47E9-BB5D-1A2E76081806}"/>
    <cellStyle name="Euro 17 3 4" xfId="2664" xr:uid="{2B5F9414-3BAD-409A-B6A9-8142BA3C80DC}"/>
    <cellStyle name="Euro 17 3 4 2" xfId="13635" xr:uid="{23A07F43-DC65-4251-B81E-8EA770E56E07}"/>
    <cellStyle name="Euro 17 3 5" xfId="12232" xr:uid="{15961703-510E-4393-AD46-4EF01DB308C9}"/>
    <cellStyle name="Euro 17 4" xfId="1324" xr:uid="{00000000-0005-0000-0000-00009C000000}"/>
    <cellStyle name="Euro 17 4 2" xfId="1325" xr:uid="{00000000-0005-0000-0000-00009D000000}"/>
    <cellStyle name="Euro 17 4 2 2" xfId="8978" xr:uid="{78D5E8D3-F1BC-45BA-B8E4-0613869272A7}"/>
    <cellStyle name="Euro 17 4 2 3" xfId="17752" xr:uid="{FE0447C8-B3D7-4FD4-B8AB-8572457C699A}"/>
    <cellStyle name="Euro 17 4 2 4" xfId="17469" xr:uid="{7A378CBC-A1A1-4CF0-BA3A-0D8446FA16AC}"/>
    <cellStyle name="Euro 17 4 3" xfId="8979" xr:uid="{2BBE8F38-E9A3-40FE-B8BE-F6FE9DD4C7AA}"/>
    <cellStyle name="Euro 17 5" xfId="1326" xr:uid="{00000000-0005-0000-0000-00009E000000}"/>
    <cellStyle name="Euro 17 6" xfId="2665" xr:uid="{B0C92C5E-DD11-4102-8032-ADE2BA48EF4B}"/>
    <cellStyle name="Euro 17 6 2" xfId="9610" xr:uid="{775B13BD-EF34-4028-B8F1-9F9CC8D0AA04}"/>
    <cellStyle name="Euro 18" xfId="91" xr:uid="{00000000-0005-0000-0000-00009F000000}"/>
    <cellStyle name="Euro 18 2" xfId="92" xr:uid="{00000000-0005-0000-0000-0000A0000000}"/>
    <cellStyle name="Euro 18 2 2" xfId="2666" xr:uid="{170EC77F-3FBB-4CED-A07E-2FD3B613E388}"/>
    <cellStyle name="Euro 18 2 2 2" xfId="13386" xr:uid="{9C4EF99A-DC8A-4687-8C62-A6DFB76D021B}"/>
    <cellStyle name="Euro 18 2 3" xfId="13066" xr:uid="{E28D4C6E-8294-4236-968A-90149D0E70CD}"/>
    <cellStyle name="Euro 18 3" xfId="93" xr:uid="{00000000-0005-0000-0000-0000A1000000}"/>
    <cellStyle name="Euro 18 3 2" xfId="94" xr:uid="{00000000-0005-0000-0000-0000A2000000}"/>
    <cellStyle name="Euro 18 3 2 2" xfId="1327" xr:uid="{00000000-0005-0000-0000-0000A3000000}"/>
    <cellStyle name="Euro 18 3 2 3" xfId="7728" xr:uid="{F166163C-4332-44ED-8F2F-8D4E5D05FD13}"/>
    <cellStyle name="Euro 18 3 2 3 2" xfId="13848" xr:uid="{50252487-5FCA-4B82-8FD9-CCE855CAC6B7}"/>
    <cellStyle name="Euro 18 3 3" xfId="2667" xr:uid="{291A26A0-E010-4D40-AACF-128993C94151}"/>
    <cellStyle name="Euro 18 3 3 2" xfId="8980" xr:uid="{547EA8C8-F099-46B7-83B4-59B826325790}"/>
    <cellStyle name="Euro 18 3 4" xfId="2668" xr:uid="{F6314749-1347-4A19-BAEC-00EADEAA6F4B}"/>
    <cellStyle name="Euro 18 3 4 2" xfId="13636" xr:uid="{E7478272-0883-4A8E-BE86-1F8F7D25EE05}"/>
    <cellStyle name="Euro 18 3 5" xfId="12272" xr:uid="{ECC32074-CD53-45A0-81A8-CB3A751BA570}"/>
    <cellStyle name="Euro 18 4" xfId="1328" xr:uid="{00000000-0005-0000-0000-0000A4000000}"/>
    <cellStyle name="Euro 18 4 2" xfId="1329" xr:uid="{00000000-0005-0000-0000-0000A5000000}"/>
    <cellStyle name="Euro 18 4 2 2" xfId="8981" xr:uid="{2505784C-6EEB-48C4-A5CB-8679E782D5CE}"/>
    <cellStyle name="Euro 18 4 2 3" xfId="17753" xr:uid="{C61B4DD3-4BF4-42E4-B230-635B309654CE}"/>
    <cellStyle name="Euro 18 4 2 4" xfId="17467" xr:uid="{10FEE159-9A04-43B3-AADA-6DA5D95CDFF3}"/>
    <cellStyle name="Euro 18 4 3" xfId="8982" xr:uid="{9C56152F-5C95-4878-A2F8-5C43EB5AC8AF}"/>
    <cellStyle name="Euro 18 5" xfId="1330" xr:uid="{00000000-0005-0000-0000-0000A6000000}"/>
    <cellStyle name="Euro 18 6" xfId="2669" xr:uid="{E4A462D4-8C57-4E28-8EB6-79E01CBC064F}"/>
    <cellStyle name="Euro 18 6 2" xfId="9611" xr:uid="{B8BFDBD3-CEA9-4E02-817E-206E15279F3B}"/>
    <cellStyle name="Euro 19" xfId="95" xr:uid="{00000000-0005-0000-0000-0000A7000000}"/>
    <cellStyle name="Euro 19 2" xfId="96" xr:uid="{00000000-0005-0000-0000-0000A8000000}"/>
    <cellStyle name="Euro 19 2 2" xfId="2670" xr:uid="{90E03497-86E7-499C-8618-AE9BB6581498}"/>
    <cellStyle name="Euro 19 2 2 2" xfId="13387" xr:uid="{CA1956BD-4E85-4A76-8739-65BBBB1BF1F1}"/>
    <cellStyle name="Euro 19 2 3" xfId="13067" xr:uid="{EEFC9FCB-F3E3-4A70-869C-3C73F0E4B661}"/>
    <cellStyle name="Euro 19 3" xfId="97" xr:uid="{00000000-0005-0000-0000-0000A9000000}"/>
    <cellStyle name="Euro 19 3 2" xfId="98" xr:uid="{00000000-0005-0000-0000-0000AA000000}"/>
    <cellStyle name="Euro 19 3 2 2" xfId="1331" xr:uid="{00000000-0005-0000-0000-0000AB000000}"/>
    <cellStyle name="Euro 19 3 2 3" xfId="7729" xr:uid="{9D3C6A87-E1C0-4BAB-8567-690418C691AE}"/>
    <cellStyle name="Euro 19 3 2 3 2" xfId="13849" xr:uid="{0FA8119F-D38D-41D3-BFDA-4EDA5EB5F413}"/>
    <cellStyle name="Euro 19 3 3" xfId="2671" xr:uid="{7F3427F6-1472-46E9-94A9-635F8F6F7CA8}"/>
    <cellStyle name="Euro 19 3 3 2" xfId="8983" xr:uid="{07EE67F9-1E79-432A-A4DF-3CE742AADCCA}"/>
    <cellStyle name="Euro 19 3 4" xfId="2672" xr:uid="{F7B1939E-0A03-40E8-954B-33BD11B02C9A}"/>
    <cellStyle name="Euro 19 3 4 2" xfId="13637" xr:uid="{07F00BD2-6493-416C-8051-2B38054820A5}"/>
    <cellStyle name="Euro 19 3 5" xfId="12233" xr:uid="{4F0434CD-2868-4F45-AB35-CFF3522D3B8B}"/>
    <cellStyle name="Euro 19 4" xfId="1332" xr:uid="{00000000-0005-0000-0000-0000AC000000}"/>
    <cellStyle name="Euro 19 4 2" xfId="1333" xr:uid="{00000000-0005-0000-0000-0000AD000000}"/>
    <cellStyle name="Euro 19 4 2 2" xfId="8984" xr:uid="{8FF8B24D-EBE8-4C88-9659-397E779C0E61}"/>
    <cellStyle name="Euro 19 4 2 3" xfId="17754" xr:uid="{C7F193D7-CD80-4A3E-AE0E-F9618E150B59}"/>
    <cellStyle name="Euro 19 4 2 4" xfId="17466" xr:uid="{117F0345-34AD-49D4-BC84-853355558400}"/>
    <cellStyle name="Euro 19 4 3" xfId="8985" xr:uid="{4B9DB130-6D35-4A05-A576-C1CFE9DF71DA}"/>
    <cellStyle name="Euro 19 5" xfId="1334" xr:uid="{00000000-0005-0000-0000-0000AE000000}"/>
    <cellStyle name="Euro 19 6" xfId="2673" xr:uid="{39E6090D-7D34-436A-A546-E8DE96CE574A}"/>
    <cellStyle name="Euro 19 6 2" xfId="9612" xr:uid="{A9E75766-3143-429B-B3B2-7E1768FEC0FC}"/>
    <cellStyle name="Euro 2" xfId="99" xr:uid="{00000000-0005-0000-0000-0000AF000000}"/>
    <cellStyle name="Euro 2 2" xfId="100" xr:uid="{00000000-0005-0000-0000-0000B0000000}"/>
    <cellStyle name="Euro 2 2 2" xfId="2674" xr:uid="{0E18AF62-9E79-42C6-8CC9-6470CB952FDC}"/>
    <cellStyle name="Euro 2 2 2 2" xfId="13388" xr:uid="{60F26FDC-F9FD-4AE9-AAB6-B178A4411759}"/>
    <cellStyle name="Euro 2 2 3" xfId="13068" xr:uid="{E8609C30-2590-4F79-9A57-CBD1B535C473}"/>
    <cellStyle name="Euro 2 3" xfId="101" xr:uid="{00000000-0005-0000-0000-0000B1000000}"/>
    <cellStyle name="Euro 2 3 2" xfId="102" xr:uid="{00000000-0005-0000-0000-0000B2000000}"/>
    <cellStyle name="Euro 2 3 2 2" xfId="1335" xr:uid="{00000000-0005-0000-0000-0000B3000000}"/>
    <cellStyle name="Euro 2 3 2 3" xfId="7730" xr:uid="{667AEDEE-E632-49DD-85A7-C83AA0B9DBA3}"/>
    <cellStyle name="Euro 2 3 2 3 2" xfId="13850" xr:uid="{B63957B8-B4F3-4BB1-8FF2-C8A509C88D9F}"/>
    <cellStyle name="Euro 2 3 3" xfId="2675" xr:uid="{87448957-AA65-4C29-B29B-6D4156D7EE85}"/>
    <cellStyle name="Euro 2 3 3 2" xfId="8986" xr:uid="{426BF751-9C0C-4DB9-8C43-5C73A55DF4F5}"/>
    <cellStyle name="Euro 2 3 4" xfId="2676" xr:uid="{BA144953-A22B-4C5E-9E99-CC3E8AD8551C}"/>
    <cellStyle name="Euro 2 3 4 2" xfId="13638" xr:uid="{78A765A7-6511-4915-92DF-57DE1FFBB432}"/>
    <cellStyle name="Euro 2 3 5" xfId="12271" xr:uid="{42CF0AA2-A7DE-442C-8D8A-8667493D28E3}"/>
    <cellStyle name="Euro 2 4" xfId="1336" xr:uid="{00000000-0005-0000-0000-0000B4000000}"/>
    <cellStyle name="Euro 2 4 2" xfId="1337" xr:uid="{00000000-0005-0000-0000-0000B5000000}"/>
    <cellStyle name="Euro 2 4 2 2" xfId="8987" xr:uid="{0A314D0B-28B1-4901-AFDC-403746EECD41}"/>
    <cellStyle name="Euro 2 4 2 3" xfId="17755" xr:uid="{5F07F70D-F834-4482-838F-67B267BAC456}"/>
    <cellStyle name="Euro 2 4 2 4" xfId="17465" xr:uid="{614029A6-5A18-4D67-BD76-D431EA6B4D27}"/>
    <cellStyle name="Euro 2 4 3" xfId="8988" xr:uid="{E0035C38-305E-49FE-B9FA-35ACFB417070}"/>
    <cellStyle name="Euro 2 5" xfId="1338" xr:uid="{00000000-0005-0000-0000-0000B6000000}"/>
    <cellStyle name="Euro 2 6" xfId="2677" xr:uid="{7F215AB3-C351-4CE4-B8CC-C1B0D27FD038}"/>
    <cellStyle name="Euro 2 6 2" xfId="9613" xr:uid="{CE6239AA-A5B8-44E6-A188-C65CF8AA6978}"/>
    <cellStyle name="Euro 20" xfId="103" xr:uid="{00000000-0005-0000-0000-0000B7000000}"/>
    <cellStyle name="Euro 20 2" xfId="104" xr:uid="{00000000-0005-0000-0000-0000B8000000}"/>
    <cellStyle name="Euro 20 2 2" xfId="2678" xr:uid="{FBA05471-7C11-4AC9-80EE-84F0B5EF0054}"/>
    <cellStyle name="Euro 20 2 2 2" xfId="13389" xr:uid="{52288046-0EEC-4F2E-BB56-80747569798E}"/>
    <cellStyle name="Euro 20 2 3" xfId="13069" xr:uid="{27370BBC-35E3-458E-9EA0-1BCD24B278C8}"/>
    <cellStyle name="Euro 20 3" xfId="105" xr:uid="{00000000-0005-0000-0000-0000B9000000}"/>
    <cellStyle name="Euro 20 3 2" xfId="106" xr:uid="{00000000-0005-0000-0000-0000BA000000}"/>
    <cellStyle name="Euro 20 3 2 2" xfId="1339" xr:uid="{00000000-0005-0000-0000-0000BB000000}"/>
    <cellStyle name="Euro 20 3 2 3" xfId="7731" xr:uid="{721626D3-E044-43B7-8587-047AC6BA2E8A}"/>
    <cellStyle name="Euro 20 3 2 3 2" xfId="13851" xr:uid="{0C2C3471-CC39-4799-A2E4-4976CB507936}"/>
    <cellStyle name="Euro 20 3 3" xfId="2679" xr:uid="{CF3097BD-D466-4F64-9A16-E78FCE6E0F1F}"/>
    <cellStyle name="Euro 20 3 3 2" xfId="8989" xr:uid="{39FC48D5-7DED-4895-8C08-49D0B960FA6C}"/>
    <cellStyle name="Euro 20 3 4" xfId="2680" xr:uid="{7F88354C-CFF2-4BA3-96EB-54AA16EFE55A}"/>
    <cellStyle name="Euro 20 3 4 2" xfId="13639" xr:uid="{35624CE8-7727-4253-BDB1-9778C2749A8A}"/>
    <cellStyle name="Euro 20 3 5" xfId="11154" xr:uid="{818F3B70-04D8-47ED-A7AB-9E5C93EA7DDB}"/>
    <cellStyle name="Euro 20 4" xfId="1340" xr:uid="{00000000-0005-0000-0000-0000BC000000}"/>
    <cellStyle name="Euro 20 4 2" xfId="1341" xr:uid="{00000000-0005-0000-0000-0000BD000000}"/>
    <cellStyle name="Euro 20 4 2 2" xfId="8990" xr:uid="{282FA0E2-83E7-457F-A7DB-3178E38463D7}"/>
    <cellStyle name="Euro 20 4 2 3" xfId="17756" xr:uid="{8087F2B6-81C8-4977-B7E3-C520564B015D}"/>
    <cellStyle name="Euro 20 4 2 4" xfId="17464" xr:uid="{DA3E9680-3981-42AF-9F35-AB1BA04269BA}"/>
    <cellStyle name="Euro 20 4 3" xfId="8991" xr:uid="{E2CCB520-03C1-4309-94B7-8E8C588417EE}"/>
    <cellStyle name="Euro 20 5" xfId="1342" xr:uid="{00000000-0005-0000-0000-0000BE000000}"/>
    <cellStyle name="Euro 20 6" xfId="2681" xr:uid="{B2120D1B-40EB-42F5-9F7D-5BF72FDFC8B3}"/>
    <cellStyle name="Euro 20 6 2" xfId="9614" xr:uid="{77A1494C-5BE6-4A9A-B8B3-BEEF98254F20}"/>
    <cellStyle name="Euro 21" xfId="107" xr:uid="{00000000-0005-0000-0000-0000BF000000}"/>
    <cellStyle name="Euro 21 2" xfId="108" xr:uid="{00000000-0005-0000-0000-0000C0000000}"/>
    <cellStyle name="Euro 21 2 2" xfId="2682" xr:uid="{58F7FCB7-54EA-49C3-82A3-A0B842E39078}"/>
    <cellStyle name="Euro 21 2 2 2" xfId="13390" xr:uid="{D3D1AEB7-F000-4185-B19E-26D9271A73B8}"/>
    <cellStyle name="Euro 21 2 3" xfId="13070" xr:uid="{8A3F4A7D-ED07-4248-9EA9-61FCCF12590A}"/>
    <cellStyle name="Euro 21 3" xfId="109" xr:uid="{00000000-0005-0000-0000-0000C1000000}"/>
    <cellStyle name="Euro 21 3 2" xfId="110" xr:uid="{00000000-0005-0000-0000-0000C2000000}"/>
    <cellStyle name="Euro 21 3 2 2" xfId="1343" xr:uid="{00000000-0005-0000-0000-0000C3000000}"/>
    <cellStyle name="Euro 21 3 2 3" xfId="7732" xr:uid="{DB0F4D53-B983-4D70-AD24-9CE12D2BB81E}"/>
    <cellStyle name="Euro 21 3 2 3 2" xfId="13852" xr:uid="{D67767F1-163F-40E0-BCC3-AF1CC06E6B6A}"/>
    <cellStyle name="Euro 21 3 3" xfId="2683" xr:uid="{E0E03CBA-DA8D-4AEC-83F9-88AD427C3C50}"/>
    <cellStyle name="Euro 21 3 3 2" xfId="8992" xr:uid="{E43F24F3-CDAA-4924-908A-8D8EAD3FD26C}"/>
    <cellStyle name="Euro 21 3 4" xfId="2684" xr:uid="{384B87F9-49EF-4A33-9B92-3422E3C414B6}"/>
    <cellStyle name="Euro 21 3 4 2" xfId="13640" xr:uid="{C7B14DAA-4D50-45EE-B302-9EF4E0B1C056}"/>
    <cellStyle name="Euro 21 3 5" xfId="11096" xr:uid="{72CFDF9D-C3D2-4AB8-B1C2-E40F13B764C3}"/>
    <cellStyle name="Euro 21 4" xfId="1344" xr:uid="{00000000-0005-0000-0000-0000C4000000}"/>
    <cellStyle name="Euro 21 4 2" xfId="1345" xr:uid="{00000000-0005-0000-0000-0000C5000000}"/>
    <cellStyle name="Euro 21 4 2 2" xfId="8993" xr:uid="{3C0B0944-9F62-4870-B659-F0A65D3E9B53}"/>
    <cellStyle name="Euro 21 4 2 3" xfId="17757" xr:uid="{DE3723D6-D21E-4839-BF3C-02E1831130D7}"/>
    <cellStyle name="Euro 21 4 2 4" xfId="17463" xr:uid="{2F41656E-2304-4AE0-8D5C-CB2C72C7D5B1}"/>
    <cellStyle name="Euro 21 4 3" xfId="8994" xr:uid="{53D92748-826B-44DD-959C-FF6E1F5742DD}"/>
    <cellStyle name="Euro 21 5" xfId="1346" xr:uid="{00000000-0005-0000-0000-0000C6000000}"/>
    <cellStyle name="Euro 21 6" xfId="2685" xr:uid="{F76F4CDE-361A-4965-9436-12F2A306F611}"/>
    <cellStyle name="Euro 21 6 2" xfId="9615" xr:uid="{A7A59F01-F393-4EC2-9C7B-82A1B9D1F7D0}"/>
    <cellStyle name="Euro 22" xfId="111" xr:uid="{00000000-0005-0000-0000-0000C7000000}"/>
    <cellStyle name="Euro 22 2" xfId="112" xr:uid="{00000000-0005-0000-0000-0000C8000000}"/>
    <cellStyle name="Euro 22 2 2" xfId="2686" xr:uid="{42A1A8EC-9210-4BE0-BF2E-F255F17C295A}"/>
    <cellStyle name="Euro 22 2 2 2" xfId="13391" xr:uid="{2FDB9627-3F97-4D1A-B783-9BC3DBD60FA2}"/>
    <cellStyle name="Euro 22 2 3" xfId="13071" xr:uid="{A8EDB673-653A-4320-B3F2-6869F40886CA}"/>
    <cellStyle name="Euro 22 3" xfId="113" xr:uid="{00000000-0005-0000-0000-0000C9000000}"/>
    <cellStyle name="Euro 22 3 2" xfId="114" xr:uid="{00000000-0005-0000-0000-0000CA000000}"/>
    <cellStyle name="Euro 22 3 2 2" xfId="1347" xr:uid="{00000000-0005-0000-0000-0000CB000000}"/>
    <cellStyle name="Euro 22 3 2 3" xfId="7733" xr:uid="{76E71B3C-9378-4558-9EFA-AF4F62E0624A}"/>
    <cellStyle name="Euro 22 3 2 3 2" xfId="13853" xr:uid="{B288664C-AC8F-48B4-8FAE-FAE4C4427C41}"/>
    <cellStyle name="Euro 22 3 3" xfId="2687" xr:uid="{598F09EA-8CC2-4872-8D15-6747F9563DD5}"/>
    <cellStyle name="Euro 22 3 3 2" xfId="8995" xr:uid="{35E07C60-0ED4-4A7E-B5EC-BEB540AD49F6}"/>
    <cellStyle name="Euro 22 3 4" xfId="2688" xr:uid="{CF638226-B2D2-41FB-BBB2-CBFF505F77A3}"/>
    <cellStyle name="Euro 22 3 4 2" xfId="13641" xr:uid="{111229BE-70EA-45CF-A395-89EA80157D54}"/>
    <cellStyle name="Euro 22 3 5" xfId="12236" xr:uid="{1EBBC978-CE9B-4D4B-B570-44BD4CCA4FA6}"/>
    <cellStyle name="Euro 22 4" xfId="1348" xr:uid="{00000000-0005-0000-0000-0000CC000000}"/>
    <cellStyle name="Euro 22 4 2" xfId="1349" xr:uid="{00000000-0005-0000-0000-0000CD000000}"/>
    <cellStyle name="Euro 22 4 2 2" xfId="8996" xr:uid="{CCA14DF4-ED98-4EED-81EF-7502C20CA526}"/>
    <cellStyle name="Euro 22 4 2 3" xfId="17758" xr:uid="{338BC3DC-4A59-4B33-AA92-EE4C5D9CCA4A}"/>
    <cellStyle name="Euro 22 4 2 4" xfId="17461" xr:uid="{B8BC023F-9180-4EE2-A2F9-730FD7A4E9CE}"/>
    <cellStyle name="Euro 22 4 3" xfId="8997" xr:uid="{71F449B4-A56D-4A01-B545-24AC55C1C9C1}"/>
    <cellStyle name="Euro 22 5" xfId="1350" xr:uid="{00000000-0005-0000-0000-0000CE000000}"/>
    <cellStyle name="Euro 22 6" xfId="2689" xr:uid="{AAA5F09E-FB5F-42D9-A8C3-37318C6BA195}"/>
    <cellStyle name="Euro 22 6 2" xfId="9616" xr:uid="{FCD9AC37-72C1-4433-9539-F6E104650268}"/>
    <cellStyle name="Euro 23" xfId="115" xr:uid="{00000000-0005-0000-0000-0000CF000000}"/>
    <cellStyle name="Euro 23 2" xfId="116" xr:uid="{00000000-0005-0000-0000-0000D0000000}"/>
    <cellStyle name="Euro 23 2 2" xfId="2690" xr:uid="{880AEAA4-7EA0-4158-B5E9-EDC7886BFC0D}"/>
    <cellStyle name="Euro 23 2 2 2" xfId="13392" xr:uid="{7FAF7BE2-7FA9-422C-A108-8FBC2226F7DF}"/>
    <cellStyle name="Euro 23 2 3" xfId="13072" xr:uid="{78FDF60C-4C6B-4EF0-AAC2-D609E33DFC39}"/>
    <cellStyle name="Euro 23 3" xfId="117" xr:uid="{00000000-0005-0000-0000-0000D1000000}"/>
    <cellStyle name="Euro 23 3 2" xfId="118" xr:uid="{00000000-0005-0000-0000-0000D2000000}"/>
    <cellStyle name="Euro 23 3 2 2" xfId="1351" xr:uid="{00000000-0005-0000-0000-0000D3000000}"/>
    <cellStyle name="Euro 23 3 2 3" xfId="7734" xr:uid="{0F23B326-FE33-4F23-ACCA-52FF1FA9C917}"/>
    <cellStyle name="Euro 23 3 2 3 2" xfId="13854" xr:uid="{8BFC2948-2497-4856-A259-4376F2C69AA5}"/>
    <cellStyle name="Euro 23 3 3" xfId="2691" xr:uid="{4A5B6CB2-17C5-48D3-BB52-67C166B845AB}"/>
    <cellStyle name="Euro 23 3 3 2" xfId="8998" xr:uid="{B9DAA4C5-09B4-4EA3-B0E7-06659F004A67}"/>
    <cellStyle name="Euro 23 3 4" xfId="2692" xr:uid="{AFEF329C-6B2A-474A-B4E6-1461FAC2DAFE}"/>
    <cellStyle name="Euro 23 3 4 2" xfId="13642" xr:uid="{BDB35EB6-DCC6-4EFB-824A-2743BE2FE5F3}"/>
    <cellStyle name="Euro 23 3 5" xfId="11501" xr:uid="{DE6527A6-9E09-4FE6-9ECE-5067A0A5502F}"/>
    <cellStyle name="Euro 23 4" xfId="1352" xr:uid="{00000000-0005-0000-0000-0000D4000000}"/>
    <cellStyle name="Euro 23 4 2" xfId="1353" xr:uid="{00000000-0005-0000-0000-0000D5000000}"/>
    <cellStyle name="Euro 23 4 2 2" xfId="8999" xr:uid="{5419DD35-7540-431A-A8C7-AB1CF1534A41}"/>
    <cellStyle name="Euro 23 4 2 3" xfId="17759" xr:uid="{5D378151-4C4D-41DE-8D49-8BA29D9D17D0}"/>
    <cellStyle name="Euro 23 4 2 4" xfId="17460" xr:uid="{B447BB1B-1C9A-4F49-B5E6-A65B4255E34B}"/>
    <cellStyle name="Euro 23 4 3" xfId="9000" xr:uid="{3FE16817-C3F0-420F-9E7F-3C3BF7FB4968}"/>
    <cellStyle name="Euro 23 5" xfId="1354" xr:uid="{00000000-0005-0000-0000-0000D6000000}"/>
    <cellStyle name="Euro 23 6" xfId="2693" xr:uid="{FA76A8E0-FAAF-4B31-AE2A-3D19760E009C}"/>
    <cellStyle name="Euro 23 6 2" xfId="9617" xr:uid="{FC098829-14B8-4023-BEEA-F8D623B94355}"/>
    <cellStyle name="Euro 24" xfId="119" xr:uid="{00000000-0005-0000-0000-0000D7000000}"/>
    <cellStyle name="Euro 24 2" xfId="120" xr:uid="{00000000-0005-0000-0000-0000D8000000}"/>
    <cellStyle name="Euro 24 2 2" xfId="2694" xr:uid="{FE019703-0AF5-4DE0-8FF4-69A104E028BF}"/>
    <cellStyle name="Euro 24 2 2 2" xfId="13393" xr:uid="{BCDD1B76-28F6-4E91-9419-0A2FB8E01D00}"/>
    <cellStyle name="Euro 24 2 3" xfId="13073" xr:uid="{05E9F746-CDF8-4FA0-9867-ACBFAC1D06C0}"/>
    <cellStyle name="Euro 24 3" xfId="121" xr:uid="{00000000-0005-0000-0000-0000D9000000}"/>
    <cellStyle name="Euro 24 3 2" xfId="122" xr:uid="{00000000-0005-0000-0000-0000DA000000}"/>
    <cellStyle name="Euro 24 3 2 2" xfId="1355" xr:uid="{00000000-0005-0000-0000-0000DB000000}"/>
    <cellStyle name="Euro 24 3 2 3" xfId="7735" xr:uid="{FA25EDDA-7512-4E00-A567-8E9E1253E601}"/>
    <cellStyle name="Euro 24 3 2 3 2" xfId="13855" xr:uid="{63E562AF-2860-40D6-8967-C97653A0506A}"/>
    <cellStyle name="Euro 24 3 3" xfId="2695" xr:uid="{A1C4E74E-6992-498C-8EBC-E4B4438FB842}"/>
    <cellStyle name="Euro 24 3 3 2" xfId="9001" xr:uid="{28C12F90-1802-4704-8BC3-81CB67331BB3}"/>
    <cellStyle name="Euro 24 3 4" xfId="2696" xr:uid="{2BBBCCB6-CF10-442C-AFB3-F52B2D49D461}"/>
    <cellStyle name="Euro 24 3 4 2" xfId="13643" xr:uid="{A37C6160-3693-4E5B-B3C9-0C0143438A02}"/>
    <cellStyle name="Euro 24 3 5" xfId="11171" xr:uid="{CEC578BF-63A4-436E-8EE3-97C84B06BD74}"/>
    <cellStyle name="Euro 24 4" xfId="1356" xr:uid="{00000000-0005-0000-0000-0000DC000000}"/>
    <cellStyle name="Euro 24 4 2" xfId="1357" xr:uid="{00000000-0005-0000-0000-0000DD000000}"/>
    <cellStyle name="Euro 24 4 2 2" xfId="9002" xr:uid="{88522E51-5468-4A12-88A5-B053DFF23B02}"/>
    <cellStyle name="Euro 24 4 2 3" xfId="17760" xr:uid="{3EDE217B-C112-4EF5-90FB-193EDC92582F}"/>
    <cellStyle name="Euro 24 4 2 4" xfId="17459" xr:uid="{16244C4B-3262-4AB1-A8E3-9F72A471F4E9}"/>
    <cellStyle name="Euro 24 4 3" xfId="9003" xr:uid="{65CF6504-6EEB-4650-8213-4E8F3705C79F}"/>
    <cellStyle name="Euro 24 5" xfId="1358" xr:uid="{00000000-0005-0000-0000-0000DE000000}"/>
    <cellStyle name="Euro 24 6" xfId="2697" xr:uid="{702B47EB-746B-49F9-BFAF-2BDD85CB7ADB}"/>
    <cellStyle name="Euro 24 6 2" xfId="9618" xr:uid="{620ECFD2-F30C-4B01-A77B-93E12FB42D80}"/>
    <cellStyle name="Euro 25" xfId="123" xr:uid="{00000000-0005-0000-0000-0000DF000000}"/>
    <cellStyle name="Euro 25 2" xfId="124" xr:uid="{00000000-0005-0000-0000-0000E0000000}"/>
    <cellStyle name="Euro 25 2 2" xfId="2698" xr:uid="{C75D7263-6F45-4A28-818F-C56907F398D4}"/>
    <cellStyle name="Euro 25 2 2 2" xfId="13394" xr:uid="{8C5095B9-01AC-4601-AAD0-7032128A1ED1}"/>
    <cellStyle name="Euro 25 2 3" xfId="13074" xr:uid="{35B1F6A5-EA7C-40BB-A3C6-BCD1F4D9A204}"/>
    <cellStyle name="Euro 25 3" xfId="125" xr:uid="{00000000-0005-0000-0000-0000E1000000}"/>
    <cellStyle name="Euro 25 3 2" xfId="126" xr:uid="{00000000-0005-0000-0000-0000E2000000}"/>
    <cellStyle name="Euro 25 3 2 2" xfId="1359" xr:uid="{00000000-0005-0000-0000-0000E3000000}"/>
    <cellStyle name="Euro 25 3 2 3" xfId="7736" xr:uid="{6AD97E50-D189-4C1D-9840-649E4674C506}"/>
    <cellStyle name="Euro 25 3 2 3 2" xfId="13856" xr:uid="{13A3F3AA-D377-4A88-B93B-09631A0BB32E}"/>
    <cellStyle name="Euro 25 3 3" xfId="2699" xr:uid="{AC3590E8-9D7E-49FA-818B-8AB7CA73EA8D}"/>
    <cellStyle name="Euro 25 3 3 2" xfId="9004" xr:uid="{D95A47C1-ACBE-467C-9941-F6FAE7FFADD2}"/>
    <cellStyle name="Euro 25 3 4" xfId="2700" xr:uid="{AD24C7A4-6705-4788-9A92-B4C1FF90404C}"/>
    <cellStyle name="Euro 25 3 4 2" xfId="13644" xr:uid="{B5B21D2D-3687-40AD-80FF-C95BD1398F80}"/>
    <cellStyle name="Euro 25 3 5" xfId="12190" xr:uid="{BEDA86BD-05CA-4F71-9E5F-6BF493502BB7}"/>
    <cellStyle name="Euro 25 4" xfId="1360" xr:uid="{00000000-0005-0000-0000-0000E4000000}"/>
    <cellStyle name="Euro 25 4 2" xfId="1361" xr:uid="{00000000-0005-0000-0000-0000E5000000}"/>
    <cellStyle name="Euro 25 4 2 2" xfId="9005" xr:uid="{1CF96FE6-683E-4FB4-AB00-22B741E45394}"/>
    <cellStyle name="Euro 25 4 2 3" xfId="17761" xr:uid="{5E09C8D6-7FEC-4A4A-9568-429922FE14C1}"/>
    <cellStyle name="Euro 25 4 2 4" xfId="17458" xr:uid="{388A4261-DB38-4780-A060-242535F111CF}"/>
    <cellStyle name="Euro 25 4 3" xfId="9006" xr:uid="{BD29294C-BED4-4D62-AC53-7CBE11DDC0BF}"/>
    <cellStyle name="Euro 25 5" xfId="1362" xr:uid="{00000000-0005-0000-0000-0000E6000000}"/>
    <cellStyle name="Euro 25 6" xfId="2701" xr:uid="{33F33BE8-3FD4-4570-AFAB-9EBF27F17449}"/>
    <cellStyle name="Euro 25 6 2" xfId="9619" xr:uid="{317D033A-519C-4992-98C8-5FD93B194E9F}"/>
    <cellStyle name="Euro 26" xfId="127" xr:uid="{00000000-0005-0000-0000-0000E7000000}"/>
    <cellStyle name="Euro 26 2" xfId="128" xr:uid="{00000000-0005-0000-0000-0000E8000000}"/>
    <cellStyle name="Euro 26 2 2" xfId="2702" xr:uid="{4D0D7CB8-8102-4B57-AFC8-511569225417}"/>
    <cellStyle name="Euro 26 2 2 2" xfId="13395" xr:uid="{55FC77E8-0DBB-42DD-A1C6-8F90CFC15C60}"/>
    <cellStyle name="Euro 26 2 3" xfId="13075" xr:uid="{2B7A3EF7-052B-47BB-9B00-D6FE7E231928}"/>
    <cellStyle name="Euro 26 3" xfId="129" xr:uid="{00000000-0005-0000-0000-0000E9000000}"/>
    <cellStyle name="Euro 26 3 2" xfId="130" xr:uid="{00000000-0005-0000-0000-0000EA000000}"/>
    <cellStyle name="Euro 26 3 2 2" xfId="1363" xr:uid="{00000000-0005-0000-0000-0000EB000000}"/>
    <cellStyle name="Euro 26 3 2 3" xfId="7737" xr:uid="{551CDD77-F6E5-459F-8AC6-740A011CD000}"/>
    <cellStyle name="Euro 26 3 2 3 2" xfId="13857" xr:uid="{A5184821-30F8-47CD-B9E8-57DF27CF6A54}"/>
    <cellStyle name="Euro 26 3 3" xfId="2703" xr:uid="{540FBB34-6C1B-4354-A037-2DED92BB5CED}"/>
    <cellStyle name="Euro 26 3 3 2" xfId="9007" xr:uid="{4A2774CD-7798-47C9-A0E9-BC1E168F6FEF}"/>
    <cellStyle name="Euro 26 3 4" xfId="2704" xr:uid="{E2B01B84-E1D2-4C91-8342-0E0BE9808E45}"/>
    <cellStyle name="Euro 26 3 4 2" xfId="13645" xr:uid="{E050C55C-8096-4120-B2C9-99E9D3C37C93}"/>
    <cellStyle name="Euro 26 3 5" xfId="12313" xr:uid="{CA2F5144-4AE3-4C86-8580-BF93763C5C66}"/>
    <cellStyle name="Euro 26 4" xfId="1364" xr:uid="{00000000-0005-0000-0000-0000EC000000}"/>
    <cellStyle name="Euro 26 4 2" xfId="1365" xr:uid="{00000000-0005-0000-0000-0000ED000000}"/>
    <cellStyle name="Euro 26 4 2 2" xfId="9008" xr:uid="{67308D3C-F658-4495-9873-A0A73460E262}"/>
    <cellStyle name="Euro 26 4 2 3" xfId="17762" xr:uid="{D425F5A3-C2C1-40F4-9C66-884D22D667DC}"/>
    <cellStyle name="Euro 26 4 2 4" xfId="17457" xr:uid="{3AC67336-7F3E-4200-9FCA-01D10B3F31E3}"/>
    <cellStyle name="Euro 26 4 3" xfId="9009" xr:uid="{52A36834-A978-475A-AA53-E43E2A69EF6A}"/>
    <cellStyle name="Euro 26 5" xfId="1366" xr:uid="{00000000-0005-0000-0000-0000EE000000}"/>
    <cellStyle name="Euro 26 6" xfId="2705" xr:uid="{40BF3909-6F13-49F9-A21B-77A7060E71FA}"/>
    <cellStyle name="Euro 26 6 2" xfId="9620" xr:uid="{9FCF047E-5AE5-4F0D-ADEF-CDF50E95526D}"/>
    <cellStyle name="Euro 27" xfId="131" xr:uid="{00000000-0005-0000-0000-0000EF000000}"/>
    <cellStyle name="Euro 27 2" xfId="132" xr:uid="{00000000-0005-0000-0000-0000F0000000}"/>
    <cellStyle name="Euro 27 2 2" xfId="2706" xr:uid="{4520C66C-8411-459D-9C2C-9268F54F6A07}"/>
    <cellStyle name="Euro 27 2 2 2" xfId="13396" xr:uid="{AE6EC3E7-B154-4F1C-A582-A3121CF9AC9F}"/>
    <cellStyle name="Euro 27 2 3" xfId="13076" xr:uid="{F953FDD1-ABFE-46DD-9E4A-98E0AB70ECC6}"/>
    <cellStyle name="Euro 27 3" xfId="133" xr:uid="{00000000-0005-0000-0000-0000F1000000}"/>
    <cellStyle name="Euro 27 3 2" xfId="134" xr:uid="{00000000-0005-0000-0000-0000F2000000}"/>
    <cellStyle name="Euro 27 3 2 2" xfId="1367" xr:uid="{00000000-0005-0000-0000-0000F3000000}"/>
    <cellStyle name="Euro 27 3 2 3" xfId="7738" xr:uid="{0B118C78-FEF8-493A-B3E8-63BFB176EC6F}"/>
    <cellStyle name="Euro 27 3 2 3 2" xfId="13858" xr:uid="{A33FCDC6-4393-44BB-8548-3268C4BF16C2}"/>
    <cellStyle name="Euro 27 3 3" xfId="2707" xr:uid="{B7EC0180-69BD-41A9-8860-689A797CBC24}"/>
    <cellStyle name="Euro 27 3 3 2" xfId="9010" xr:uid="{A1A05AC1-3337-4D48-82CC-7D42572B3FE0}"/>
    <cellStyle name="Euro 27 3 4" xfId="2708" xr:uid="{BC10AAC0-2B6F-42C9-8940-6D63A63EFF17}"/>
    <cellStyle name="Euro 27 3 4 2" xfId="13646" xr:uid="{7EFD5438-19A1-4743-A2A5-AF92363D2AB4}"/>
    <cellStyle name="Euro 27 3 5" xfId="11690" xr:uid="{3BDD2E60-C649-421A-97E0-8182CD9E5B0B}"/>
    <cellStyle name="Euro 27 4" xfId="1368" xr:uid="{00000000-0005-0000-0000-0000F4000000}"/>
    <cellStyle name="Euro 27 4 2" xfId="1369" xr:uid="{00000000-0005-0000-0000-0000F5000000}"/>
    <cellStyle name="Euro 27 4 2 2" xfId="9011" xr:uid="{36EEAC47-27E2-4AFC-9F91-58F4E52B3A6C}"/>
    <cellStyle name="Euro 27 4 2 3" xfId="17763" xr:uid="{4A774D8B-E42D-465B-89A6-94BF68AA6099}"/>
    <cellStyle name="Euro 27 4 2 4" xfId="17456" xr:uid="{28B21990-6C1E-441E-B62D-C69696D74E4D}"/>
    <cellStyle name="Euro 27 4 3" xfId="9012" xr:uid="{6212357C-BD60-4531-9508-7A0087D1C776}"/>
    <cellStyle name="Euro 27 5" xfId="1370" xr:uid="{00000000-0005-0000-0000-0000F6000000}"/>
    <cellStyle name="Euro 27 6" xfId="2709" xr:uid="{8272CA44-52B6-4A6D-A15C-73EDF87356AD}"/>
    <cellStyle name="Euro 27 6 2" xfId="9621" xr:uid="{52F6EC48-1E0C-497F-A256-5D5DA16EFDE8}"/>
    <cellStyle name="Euro 28" xfId="135" xr:uid="{00000000-0005-0000-0000-0000F7000000}"/>
    <cellStyle name="Euro 28 2" xfId="136" xr:uid="{00000000-0005-0000-0000-0000F8000000}"/>
    <cellStyle name="Euro 28 2 2" xfId="2710" xr:uid="{DD3268E3-FAA3-4F0D-A8F7-BBAC0C7AA4D7}"/>
    <cellStyle name="Euro 28 2 2 2" xfId="13397" xr:uid="{5BF98C05-601B-44C5-A166-01A58FDCB1FA}"/>
    <cellStyle name="Euro 28 2 3" xfId="13077" xr:uid="{E612E110-9388-4FF6-B5A4-3A107462199C}"/>
    <cellStyle name="Euro 28 3" xfId="137" xr:uid="{00000000-0005-0000-0000-0000F9000000}"/>
    <cellStyle name="Euro 28 3 2" xfId="138" xr:uid="{00000000-0005-0000-0000-0000FA000000}"/>
    <cellStyle name="Euro 28 3 2 2" xfId="1371" xr:uid="{00000000-0005-0000-0000-0000FB000000}"/>
    <cellStyle name="Euro 28 3 2 3" xfId="7739" xr:uid="{3AECD5C7-1182-445C-A638-287CC8B831E5}"/>
    <cellStyle name="Euro 28 3 2 3 2" xfId="13859" xr:uid="{BEC64FC0-4E7D-494A-AA89-0EDD24757A91}"/>
    <cellStyle name="Euro 28 3 3" xfId="2711" xr:uid="{CA019CE7-3EE7-43EA-A83E-437A87CB33EC}"/>
    <cellStyle name="Euro 28 3 3 2" xfId="9013" xr:uid="{83D226FD-2D60-4A9D-810C-9ACA874FB1C1}"/>
    <cellStyle name="Euro 28 3 4" xfId="2712" xr:uid="{E434B639-9134-4B5E-8F95-149BC2421D05}"/>
    <cellStyle name="Euro 28 3 4 2" xfId="13647" xr:uid="{9558CD03-637D-4978-82F3-D5C860C9E224}"/>
    <cellStyle name="Euro 28 3 5" xfId="12234" xr:uid="{3C922C34-4142-4D2A-812F-2EB55D6E8A3B}"/>
    <cellStyle name="Euro 28 4" xfId="1372" xr:uid="{00000000-0005-0000-0000-0000FC000000}"/>
    <cellStyle name="Euro 28 4 2" xfId="1373" xr:uid="{00000000-0005-0000-0000-0000FD000000}"/>
    <cellStyle name="Euro 28 4 2 2" xfId="9014" xr:uid="{6745AC59-B985-4D79-A8DF-3863A628A8E3}"/>
    <cellStyle name="Euro 28 4 2 3" xfId="17764" xr:uid="{54740142-2661-490C-96BB-40363D44418C}"/>
    <cellStyle name="Euro 28 4 2 4" xfId="17455" xr:uid="{C09F50A0-E081-4D0A-BAC1-C928E88EE8BF}"/>
    <cellStyle name="Euro 28 4 3" xfId="9015" xr:uid="{9C0F2C2B-5511-4E64-8503-B6426351A3F1}"/>
    <cellStyle name="Euro 28 5" xfId="1374" xr:uid="{00000000-0005-0000-0000-0000FE000000}"/>
    <cellStyle name="Euro 28 6" xfId="2713" xr:uid="{EAD2B4C3-CAA7-43BC-9CE0-EE04E10C7481}"/>
    <cellStyle name="Euro 28 6 2" xfId="9622" xr:uid="{19AA8CBF-E369-4CF3-A326-260E5AE8E065}"/>
    <cellStyle name="Euro 29" xfId="139" xr:uid="{00000000-0005-0000-0000-0000FF000000}"/>
    <cellStyle name="Euro 29 2" xfId="140" xr:uid="{00000000-0005-0000-0000-000000010000}"/>
    <cellStyle name="Euro 29 2 2" xfId="2714" xr:uid="{582D9CDA-A8E0-43AC-8BBD-894105C28170}"/>
    <cellStyle name="Euro 29 2 2 2" xfId="13398" xr:uid="{82DFB296-C8CB-4E02-9DA5-8238F49EB14D}"/>
    <cellStyle name="Euro 29 2 3" xfId="13078" xr:uid="{70B9577F-DB68-410E-9EAD-50D6DDB73B64}"/>
    <cellStyle name="Euro 29 3" xfId="141" xr:uid="{00000000-0005-0000-0000-000001010000}"/>
    <cellStyle name="Euro 29 3 2" xfId="142" xr:uid="{00000000-0005-0000-0000-000002010000}"/>
    <cellStyle name="Euro 29 3 2 2" xfId="1375" xr:uid="{00000000-0005-0000-0000-000003010000}"/>
    <cellStyle name="Euro 29 3 2 3" xfId="7740" xr:uid="{8C7DCA82-5771-4114-B0EB-32063614A29D}"/>
    <cellStyle name="Euro 29 3 2 3 2" xfId="13860" xr:uid="{04B27711-F7C5-4D7A-AC2E-3D81CC5047CB}"/>
    <cellStyle name="Euro 29 3 3" xfId="2715" xr:uid="{E0DEC5B4-CD53-4246-8688-D0E1074888FA}"/>
    <cellStyle name="Euro 29 3 3 2" xfId="9016" xr:uid="{3D2F52B9-C00A-4F7E-8A5D-9025ED1FB38D}"/>
    <cellStyle name="Euro 29 3 4" xfId="2716" xr:uid="{0510A841-8B04-4D7C-918E-B75C81C6E396}"/>
    <cellStyle name="Euro 29 3 4 2" xfId="13648" xr:uid="{884D7E41-E2BF-4FCC-B168-11D9E45B0BDA}"/>
    <cellStyle name="Euro 29 3 5" xfId="11543" xr:uid="{6DDBE86D-B4CA-4222-8AEB-E3B1FCFBA376}"/>
    <cellStyle name="Euro 29 4" xfId="1376" xr:uid="{00000000-0005-0000-0000-000004010000}"/>
    <cellStyle name="Euro 29 4 2" xfId="1377" xr:uid="{00000000-0005-0000-0000-000005010000}"/>
    <cellStyle name="Euro 29 4 2 2" xfId="9017" xr:uid="{0FF334D1-F6FA-47FE-8171-45B8C82F58F0}"/>
    <cellStyle name="Euro 29 4 2 3" xfId="17765" xr:uid="{FF53EF00-566A-4184-9086-5FEF26B8629E}"/>
    <cellStyle name="Euro 29 4 2 4" xfId="17454" xr:uid="{79540C27-C968-445D-BEE1-21853B482F5C}"/>
    <cellStyle name="Euro 29 4 3" xfId="9018" xr:uid="{3B197BD8-BB9F-49D8-9702-FE486A209EE0}"/>
    <cellStyle name="Euro 29 5" xfId="1378" xr:uid="{00000000-0005-0000-0000-000006010000}"/>
    <cellStyle name="Euro 29 6" xfId="2717" xr:uid="{7CFA3418-25AA-49AD-A875-C650174521FF}"/>
    <cellStyle name="Euro 29 6 2" xfId="9623" xr:uid="{0CFAA3AB-CD93-4F89-938C-89CDA00FA986}"/>
    <cellStyle name="Euro 3" xfId="143" xr:uid="{00000000-0005-0000-0000-000007010000}"/>
    <cellStyle name="Euro 3 2" xfId="144" xr:uid="{00000000-0005-0000-0000-000008010000}"/>
    <cellStyle name="Euro 3 2 2" xfId="2718" xr:uid="{7842479A-6192-4A05-A076-3F99CB6A2C1B}"/>
    <cellStyle name="Euro 3 2 2 2" xfId="13399" xr:uid="{58F9B56A-A861-4BE8-9C2C-010CD6BFA22F}"/>
    <cellStyle name="Euro 3 2 3" xfId="13079" xr:uid="{78824466-C1EE-46EE-802F-21266CB9B19E}"/>
    <cellStyle name="Euro 3 3" xfId="145" xr:uid="{00000000-0005-0000-0000-000009010000}"/>
    <cellStyle name="Euro 3 3 2" xfId="146" xr:uid="{00000000-0005-0000-0000-00000A010000}"/>
    <cellStyle name="Euro 3 3 2 2" xfId="1379" xr:uid="{00000000-0005-0000-0000-00000B010000}"/>
    <cellStyle name="Euro 3 3 2 3" xfId="7741" xr:uid="{8646EFF2-ADAF-4DB9-AB42-C0C472CF9214}"/>
    <cellStyle name="Euro 3 3 2 3 2" xfId="13861" xr:uid="{34664AA9-EA93-4982-B742-38FE4F7F9E62}"/>
    <cellStyle name="Euro 3 3 3" xfId="2719" xr:uid="{E2BC4866-779A-4CBA-B602-FF25D795FE98}"/>
    <cellStyle name="Euro 3 3 3 2" xfId="9019" xr:uid="{D13F69C4-2A90-496D-879C-E18DD13138D8}"/>
    <cellStyle name="Euro 3 3 4" xfId="2720" xr:uid="{0380DA26-A941-406D-A874-6ECB9BA2B621}"/>
    <cellStyle name="Euro 3 3 4 2" xfId="13649" xr:uid="{F00D1690-B85C-4D1A-B6C3-C75936E2CE39}"/>
    <cellStyle name="Euro 3 3 5" xfId="12314" xr:uid="{8EDE0D64-EF73-4DE5-AD25-5282E775C1A5}"/>
    <cellStyle name="Euro 3 4" xfId="1380" xr:uid="{00000000-0005-0000-0000-00000C010000}"/>
    <cellStyle name="Euro 3 4 2" xfId="1381" xr:uid="{00000000-0005-0000-0000-00000D010000}"/>
    <cellStyle name="Euro 3 4 2 2" xfId="9020" xr:uid="{9D622E24-C772-4826-B26E-078BD2358644}"/>
    <cellStyle name="Euro 3 4 2 3" xfId="17766" xr:uid="{804E236F-23AE-4DE9-9560-12E154685557}"/>
    <cellStyle name="Euro 3 4 2 4" xfId="17453" xr:uid="{8944CDAB-2BB3-4BAC-90AF-2767E1883DB1}"/>
    <cellStyle name="Euro 3 4 3" xfId="9021" xr:uid="{581FF8D1-186A-41DF-A161-AE322BA0356A}"/>
    <cellStyle name="Euro 3 5" xfId="1382" xr:uid="{00000000-0005-0000-0000-00000E010000}"/>
    <cellStyle name="Euro 3 6" xfId="2721" xr:uid="{F2C1D668-F89B-4B89-B4AE-ADB3F2017056}"/>
    <cellStyle name="Euro 3 6 2" xfId="9624" xr:uid="{0B876D59-537C-43E6-8152-7158F0D49949}"/>
    <cellStyle name="Euro 30" xfId="147" xr:uid="{00000000-0005-0000-0000-00000F010000}"/>
    <cellStyle name="Euro 30 2" xfId="148" xr:uid="{00000000-0005-0000-0000-000010010000}"/>
    <cellStyle name="Euro 30 2 2" xfId="2722" xr:uid="{32CD2FED-26DF-4E91-8164-1EFDA740E819}"/>
    <cellStyle name="Euro 30 2 2 2" xfId="13400" xr:uid="{ED588BBD-7E49-4C78-958E-931CFED30BC2}"/>
    <cellStyle name="Euro 30 2 3" xfId="13080" xr:uid="{20243734-62C4-4A0C-A216-73E53581EA39}"/>
    <cellStyle name="Euro 30 3" xfId="149" xr:uid="{00000000-0005-0000-0000-000011010000}"/>
    <cellStyle name="Euro 30 3 2" xfId="150" xr:uid="{00000000-0005-0000-0000-000012010000}"/>
    <cellStyle name="Euro 30 3 2 2" xfId="1383" xr:uid="{00000000-0005-0000-0000-000013010000}"/>
    <cellStyle name="Euro 30 3 2 3" xfId="7742" xr:uid="{5A4A3FA1-FEED-4167-B483-22C116BC5A75}"/>
    <cellStyle name="Euro 30 3 2 3 2" xfId="13862" xr:uid="{BFFA4E3D-39FF-4287-8B06-00CAAFD07411}"/>
    <cellStyle name="Euro 30 3 3" xfId="2723" xr:uid="{C1069973-7C3B-4E50-8069-C512C20CF5F5}"/>
    <cellStyle name="Euro 30 3 3 2" xfId="9022" xr:uid="{21F3EA85-84CE-4CBC-B6D1-FBAFB0941F7C}"/>
    <cellStyle name="Euro 30 3 4" xfId="2724" xr:uid="{91FAD84C-3C15-4073-A180-6273190039FF}"/>
    <cellStyle name="Euro 30 3 4 2" xfId="13650" xr:uid="{1B1CD2F9-7E56-4729-8E4E-575BC001282D}"/>
    <cellStyle name="Euro 30 3 5" xfId="12235" xr:uid="{30C4F26B-EDAE-492D-AB8A-8F85A22A6769}"/>
    <cellStyle name="Euro 30 4" xfId="1384" xr:uid="{00000000-0005-0000-0000-000014010000}"/>
    <cellStyle name="Euro 30 4 2" xfId="1385" xr:uid="{00000000-0005-0000-0000-000015010000}"/>
    <cellStyle name="Euro 30 4 2 2" xfId="9023" xr:uid="{4BEE630D-618D-4BB2-8FB8-ECE8D0F4F827}"/>
    <cellStyle name="Euro 30 4 2 3" xfId="17767" xr:uid="{4753FFCF-1A8B-468C-BF58-F95798097DA2}"/>
    <cellStyle name="Euro 30 4 2 4" xfId="17452" xr:uid="{573FD7F2-2924-44E3-83B7-8375AA44ED5D}"/>
    <cellStyle name="Euro 30 4 3" xfId="9024" xr:uid="{447BB661-4660-421E-928D-DA33365AFC8D}"/>
    <cellStyle name="Euro 30 5" xfId="1386" xr:uid="{00000000-0005-0000-0000-000016010000}"/>
    <cellStyle name="Euro 30 6" xfId="2725" xr:uid="{B990D8D1-F729-421B-A0AC-9D0DBBE58806}"/>
    <cellStyle name="Euro 30 6 2" xfId="9625" xr:uid="{1991F453-D277-4CBB-937C-244B87AD5ACA}"/>
    <cellStyle name="Euro 31" xfId="151" xr:uid="{00000000-0005-0000-0000-000017010000}"/>
    <cellStyle name="Euro 31 2" xfId="152" xr:uid="{00000000-0005-0000-0000-000018010000}"/>
    <cellStyle name="Euro 31 2 2" xfId="2726" xr:uid="{703387C0-C48D-4B43-8840-32C11040AEAC}"/>
    <cellStyle name="Euro 31 2 2 2" xfId="13401" xr:uid="{255A3A06-0E83-494E-90E0-90F15AA4C751}"/>
    <cellStyle name="Euro 31 2 3" xfId="13081" xr:uid="{9B1B0B5D-E92D-4584-8A7C-C5424C380ABA}"/>
    <cellStyle name="Euro 31 3" xfId="153" xr:uid="{00000000-0005-0000-0000-000019010000}"/>
    <cellStyle name="Euro 31 3 2" xfId="154" xr:uid="{00000000-0005-0000-0000-00001A010000}"/>
    <cellStyle name="Euro 31 3 2 2" xfId="1387" xr:uid="{00000000-0005-0000-0000-00001B010000}"/>
    <cellStyle name="Euro 31 3 2 3" xfId="7743" xr:uid="{90A6C802-9143-4F9A-A2AF-A0B8BCB184CE}"/>
    <cellStyle name="Euro 31 3 2 3 2" xfId="13863" xr:uid="{9573C9BB-B81E-46DB-9EBF-800A38BC82EF}"/>
    <cellStyle name="Euro 31 3 3" xfId="2727" xr:uid="{1A4F0AA8-E15D-465A-9CD0-AFD3B519C456}"/>
    <cellStyle name="Euro 31 3 3 2" xfId="9025" xr:uid="{B30C3681-B56F-45D7-B665-5B3B5531D81A}"/>
    <cellStyle name="Euro 31 3 4" xfId="2728" xr:uid="{2285BFDC-3494-4492-8F52-03C195897CBD}"/>
    <cellStyle name="Euro 31 3 4 2" xfId="13651" xr:uid="{B2027239-542D-4C1A-B1FE-AF850275C38C}"/>
    <cellStyle name="Euro 31 3 5" xfId="11111" xr:uid="{2AD36901-EEED-4592-8EC7-2CE973ADCAE6}"/>
    <cellStyle name="Euro 31 4" xfId="1388" xr:uid="{00000000-0005-0000-0000-00001C010000}"/>
    <cellStyle name="Euro 31 4 2" xfId="1389" xr:uid="{00000000-0005-0000-0000-00001D010000}"/>
    <cellStyle name="Euro 31 4 2 2" xfId="9026" xr:uid="{7F3183FE-B7C9-4DF3-9C91-6138D98E59B4}"/>
    <cellStyle name="Euro 31 4 2 3" xfId="17768" xr:uid="{21E22636-711E-4159-8B55-45F497FCD17E}"/>
    <cellStyle name="Euro 31 4 2 4" xfId="17451" xr:uid="{3D2EEE54-78EE-494E-97AF-288F36EB107B}"/>
    <cellStyle name="Euro 31 4 3" xfId="9027" xr:uid="{0597A8BA-A48E-4417-9648-236F1DC37141}"/>
    <cellStyle name="Euro 31 5" xfId="1390" xr:uid="{00000000-0005-0000-0000-00001E010000}"/>
    <cellStyle name="Euro 31 6" xfId="2729" xr:uid="{4E3EFAA0-846A-4C22-A0C7-58DC8870394E}"/>
    <cellStyle name="Euro 31 6 2" xfId="9626" xr:uid="{FDE9C6BE-A317-4596-B481-FBDC7E16FB33}"/>
    <cellStyle name="Euro 32" xfId="155" xr:uid="{00000000-0005-0000-0000-00001F010000}"/>
    <cellStyle name="Euro 32 2" xfId="156" xr:uid="{00000000-0005-0000-0000-000020010000}"/>
    <cellStyle name="Euro 32 2 2" xfId="2730" xr:uid="{B14ED377-514D-40F7-92DE-F67FDC3E21B5}"/>
    <cellStyle name="Euro 32 2 2 2" xfId="13402" xr:uid="{1FD1C9EF-31E4-45EE-9613-D8C0C3B20CE4}"/>
    <cellStyle name="Euro 32 2 3" xfId="13082" xr:uid="{CB9A9B55-898D-4E07-A577-15C97965B7CB}"/>
    <cellStyle name="Euro 32 3" xfId="157" xr:uid="{00000000-0005-0000-0000-000021010000}"/>
    <cellStyle name="Euro 32 3 2" xfId="158" xr:uid="{00000000-0005-0000-0000-000022010000}"/>
    <cellStyle name="Euro 32 3 2 2" xfId="1391" xr:uid="{00000000-0005-0000-0000-000023010000}"/>
    <cellStyle name="Euro 32 3 2 3" xfId="7744" xr:uid="{E1363617-BCFB-48D5-B4F0-E119331460D9}"/>
    <cellStyle name="Euro 32 3 2 3 2" xfId="13864" xr:uid="{F0126CBA-4884-4FBE-A8E0-3986E669B438}"/>
    <cellStyle name="Euro 32 3 3" xfId="2731" xr:uid="{6A290810-16DE-4AD3-B01F-D0644D605390}"/>
    <cellStyle name="Euro 32 3 3 2" xfId="9028" xr:uid="{0A0EA427-F563-478F-A1A5-A0B88DC9A18C}"/>
    <cellStyle name="Euro 32 3 4" xfId="2732" xr:uid="{9F3403EF-684C-4A21-B1E7-37D702DDF410}"/>
    <cellStyle name="Euro 32 3 4 2" xfId="13652" xr:uid="{08A6DA29-F444-46B4-B637-EEBD46CDFAEB}"/>
    <cellStyle name="Euro 32 3 5" xfId="12200" xr:uid="{58501936-5127-46F7-B2E5-40B20F6637E7}"/>
    <cellStyle name="Euro 32 4" xfId="1392" xr:uid="{00000000-0005-0000-0000-000024010000}"/>
    <cellStyle name="Euro 32 4 2" xfId="1393" xr:uid="{00000000-0005-0000-0000-000025010000}"/>
    <cellStyle name="Euro 32 4 2 2" xfId="9029" xr:uid="{651538AA-7883-4EA0-89F9-CA21ECD1B172}"/>
    <cellStyle name="Euro 32 4 2 3" xfId="17769" xr:uid="{13372584-7092-4BC3-86E9-46FDCFB99146}"/>
    <cellStyle name="Euro 32 4 2 4" xfId="17450" xr:uid="{F2232309-5C8B-4D6A-AFED-B89D9E614B20}"/>
    <cellStyle name="Euro 32 4 3" xfId="9030" xr:uid="{9962509C-2F33-4FBC-B505-8AEF2E7EDFF0}"/>
    <cellStyle name="Euro 32 5" xfId="1394" xr:uid="{00000000-0005-0000-0000-000026010000}"/>
    <cellStyle name="Euro 32 6" xfId="2733" xr:uid="{F4568375-EE0C-4897-981B-D61D8965453A}"/>
    <cellStyle name="Euro 32 6 2" xfId="9627" xr:uid="{6A5A2A7D-099F-45AC-8EE3-131AF0ECCB87}"/>
    <cellStyle name="Euro 33" xfId="159" xr:uid="{00000000-0005-0000-0000-000027010000}"/>
    <cellStyle name="Euro 33 2" xfId="160" xr:uid="{00000000-0005-0000-0000-000028010000}"/>
    <cellStyle name="Euro 33 2 2" xfId="2734" xr:uid="{F8E392CF-5595-46E0-BC24-2CE6C61869A0}"/>
    <cellStyle name="Euro 33 2 2 2" xfId="13403" xr:uid="{6320BCFE-CF0F-484A-8A9B-8D71EADCE3EA}"/>
    <cellStyle name="Euro 33 2 3" xfId="13083" xr:uid="{CE6D326F-4E57-48E9-B516-A881E6226784}"/>
    <cellStyle name="Euro 33 3" xfId="161" xr:uid="{00000000-0005-0000-0000-000029010000}"/>
    <cellStyle name="Euro 33 3 2" xfId="162" xr:uid="{00000000-0005-0000-0000-00002A010000}"/>
    <cellStyle name="Euro 33 3 2 2" xfId="1395" xr:uid="{00000000-0005-0000-0000-00002B010000}"/>
    <cellStyle name="Euro 33 3 2 3" xfId="7745" xr:uid="{1125FB1A-D373-49D3-BB8B-38AF26FFBAB5}"/>
    <cellStyle name="Euro 33 3 2 3 2" xfId="13865" xr:uid="{BE6F0D6B-706D-488D-BF40-0B65E546C04E}"/>
    <cellStyle name="Euro 33 3 3" xfId="2735" xr:uid="{ABB5720B-388D-45ED-9E91-6A6D62BCCE9E}"/>
    <cellStyle name="Euro 33 3 3 2" xfId="9031" xr:uid="{494F5E1A-6D85-43A1-A338-BAD0C49BF688}"/>
    <cellStyle name="Euro 33 3 4" xfId="2736" xr:uid="{03BCC889-9EB4-4E25-80DD-E9635791F2AA}"/>
    <cellStyle name="Euro 33 3 4 2" xfId="13653" xr:uid="{72CF3EB3-EE8A-48C5-A0D9-EB22EE884D9E}"/>
    <cellStyle name="Euro 33 3 5" xfId="11130" xr:uid="{336E3014-BF79-4830-AD8E-E98FAF9D6C47}"/>
    <cellStyle name="Euro 33 4" xfId="1396" xr:uid="{00000000-0005-0000-0000-00002C010000}"/>
    <cellStyle name="Euro 33 4 2" xfId="1397" xr:uid="{00000000-0005-0000-0000-00002D010000}"/>
    <cellStyle name="Euro 33 4 2 2" xfId="9032" xr:uid="{0501F22F-4E39-4262-9A34-417D3D63D0C1}"/>
    <cellStyle name="Euro 33 4 2 3" xfId="17770" xr:uid="{046B2451-2FAC-4819-8088-FE84521F53EA}"/>
    <cellStyle name="Euro 33 4 2 4" xfId="17449" xr:uid="{A8636EDA-4501-46B2-97AB-7A6B6E6E64C7}"/>
    <cellStyle name="Euro 33 4 3" xfId="9033" xr:uid="{EFAD4521-D038-464C-A6C6-29600DDC3B8E}"/>
    <cellStyle name="Euro 33 5" xfId="1398" xr:uid="{00000000-0005-0000-0000-00002E010000}"/>
    <cellStyle name="Euro 33 6" xfId="2737" xr:uid="{CDB4F35D-6F29-493B-82B7-C3AB16514BD7}"/>
    <cellStyle name="Euro 33 6 2" xfId="9628" xr:uid="{1A0B7A89-7D52-41D4-B8A2-1325A3C4637C}"/>
    <cellStyle name="Euro 34" xfId="163" xr:uid="{00000000-0005-0000-0000-00002F010000}"/>
    <cellStyle name="Euro 34 2" xfId="164" xr:uid="{00000000-0005-0000-0000-000030010000}"/>
    <cellStyle name="Euro 34 2 2" xfId="2738" xr:uid="{C4CE7A7B-5507-4854-9A7F-77AA5EEDADDA}"/>
    <cellStyle name="Euro 34 2 2 2" xfId="13404" xr:uid="{45D0CFD0-2189-46AB-BA70-81868657FB83}"/>
    <cellStyle name="Euro 34 2 3" xfId="13084" xr:uid="{A9E8A642-8497-4CAF-A164-EAE7CDB07AF7}"/>
    <cellStyle name="Euro 34 3" xfId="165" xr:uid="{00000000-0005-0000-0000-000031010000}"/>
    <cellStyle name="Euro 34 3 2" xfId="166" xr:uid="{00000000-0005-0000-0000-000032010000}"/>
    <cellStyle name="Euro 34 3 2 2" xfId="1399" xr:uid="{00000000-0005-0000-0000-000033010000}"/>
    <cellStyle name="Euro 34 3 2 3" xfId="7746" xr:uid="{07BFB06F-5AAB-4833-9D79-A79FE7D49C81}"/>
    <cellStyle name="Euro 34 3 2 3 2" xfId="13866" xr:uid="{76BA87C7-DC6D-4D75-B016-2E0455A3F3AA}"/>
    <cellStyle name="Euro 34 3 3" xfId="2739" xr:uid="{0C6029EB-E2A2-4B6E-A443-4666D7C7EDA2}"/>
    <cellStyle name="Euro 34 3 3 2" xfId="9034" xr:uid="{4D944345-9166-4181-A214-A7BD524191D9}"/>
    <cellStyle name="Euro 34 3 4" xfId="2740" xr:uid="{A752ED59-8DFE-4AE3-98FC-32F3AA5E3B86}"/>
    <cellStyle name="Euro 34 3 4 2" xfId="13654" xr:uid="{DC6D5127-FD07-4678-BE10-367B01119105}"/>
    <cellStyle name="Euro 34 3 5" xfId="12274" xr:uid="{BE9A5554-A26C-4BE7-B64E-1D208E1FEAF0}"/>
    <cellStyle name="Euro 34 4" xfId="1400" xr:uid="{00000000-0005-0000-0000-000034010000}"/>
    <cellStyle name="Euro 34 4 2" xfId="1401" xr:uid="{00000000-0005-0000-0000-000035010000}"/>
    <cellStyle name="Euro 34 4 2 2" xfId="9035" xr:uid="{5148D283-42D0-4A5C-9E40-D5042FEFFFF4}"/>
    <cellStyle name="Euro 34 4 2 3" xfId="17771" xr:uid="{9B77D00F-648E-4E7C-9797-21AD94633B2F}"/>
    <cellStyle name="Euro 34 4 2 4" xfId="17447" xr:uid="{BC3484E5-58E3-44A9-BB49-AE438C62A620}"/>
    <cellStyle name="Euro 34 4 3" xfId="9036" xr:uid="{502E5F9D-E9FE-444B-988F-D28D78F0D4FF}"/>
    <cellStyle name="Euro 34 5" xfId="1402" xr:uid="{00000000-0005-0000-0000-000036010000}"/>
    <cellStyle name="Euro 34 6" xfId="2741" xr:uid="{55A9E201-F218-4B57-BA59-0A3065C9D442}"/>
    <cellStyle name="Euro 34 6 2" xfId="9629" xr:uid="{9191992E-042E-4599-904A-E41D0252210F}"/>
    <cellStyle name="Euro 35" xfId="167" xr:uid="{00000000-0005-0000-0000-000037010000}"/>
    <cellStyle name="Euro 35 2" xfId="168" xr:uid="{00000000-0005-0000-0000-000038010000}"/>
    <cellStyle name="Euro 35 2 2" xfId="2742" xr:uid="{F0B4A86B-26D5-4D2B-87C6-D94914D4B03F}"/>
    <cellStyle name="Euro 35 2 2 2" xfId="13405" xr:uid="{5C58D123-E88C-4B0F-92EB-6167CA7EE80C}"/>
    <cellStyle name="Euro 35 2 3" xfId="13085" xr:uid="{FD4B7FF8-6762-4028-934A-4503DCBCDE22}"/>
    <cellStyle name="Euro 35 3" xfId="169" xr:uid="{00000000-0005-0000-0000-000039010000}"/>
    <cellStyle name="Euro 35 3 2" xfId="170" xr:uid="{00000000-0005-0000-0000-00003A010000}"/>
    <cellStyle name="Euro 35 3 2 2" xfId="1403" xr:uid="{00000000-0005-0000-0000-00003B010000}"/>
    <cellStyle name="Euro 35 3 2 3" xfId="7747" xr:uid="{32F016B1-DF13-48A1-8C7C-22D080C6C708}"/>
    <cellStyle name="Euro 35 3 2 3 2" xfId="13867" xr:uid="{6E337E4C-C185-47B5-ABF7-E107B160A51E}"/>
    <cellStyle name="Euro 35 3 3" xfId="2743" xr:uid="{2000A90D-8912-41B3-A6AD-B05ADFD8FD1A}"/>
    <cellStyle name="Euro 35 3 3 2" xfId="9037" xr:uid="{087B24B4-1960-4226-9B3F-677CE81F36E8}"/>
    <cellStyle name="Euro 35 3 4" xfId="2744" xr:uid="{7A83A180-7A43-48B0-99E9-0C9E7E75A693}"/>
    <cellStyle name="Euro 35 3 4 2" xfId="13655" xr:uid="{35377454-ED12-460A-8F1B-C4DBA6A75B12}"/>
    <cellStyle name="Euro 35 3 5" xfId="11540" xr:uid="{FE50A477-33E1-497F-9F44-FB6976EEBCEE}"/>
    <cellStyle name="Euro 35 4" xfId="1404" xr:uid="{00000000-0005-0000-0000-00003C010000}"/>
    <cellStyle name="Euro 35 4 2" xfId="1405" xr:uid="{00000000-0005-0000-0000-00003D010000}"/>
    <cellStyle name="Euro 35 4 2 2" xfId="9038" xr:uid="{46F4FBF4-A33F-40C8-9E34-60F9416B0B1A}"/>
    <cellStyle name="Euro 35 4 2 3" xfId="17772" xr:uid="{A7BBEEE1-38BA-4531-B1C6-F459AEDA4AFC}"/>
    <cellStyle name="Euro 35 4 2 4" xfId="17444" xr:uid="{F16714C2-7026-406A-89BE-95AD8E4FED99}"/>
    <cellStyle name="Euro 35 4 3" xfId="9039" xr:uid="{03D26B11-F158-4DEF-8797-BE4F1C18684C}"/>
    <cellStyle name="Euro 35 5" xfId="1406" xr:uid="{00000000-0005-0000-0000-00003E010000}"/>
    <cellStyle name="Euro 35 6" xfId="2745" xr:uid="{53521B25-13C8-4C1E-AF1E-26A90BA7AE5C}"/>
    <cellStyle name="Euro 35 6 2" xfId="9630" xr:uid="{D12A5F14-27E3-4F64-8BDF-21373260FBE4}"/>
    <cellStyle name="Euro 36" xfId="171" xr:uid="{00000000-0005-0000-0000-00003F010000}"/>
    <cellStyle name="Euro 36 2" xfId="172" xr:uid="{00000000-0005-0000-0000-000040010000}"/>
    <cellStyle name="Euro 36 2 2" xfId="2746" xr:uid="{B9584DE4-8A71-45A4-A229-333313AC54A9}"/>
    <cellStyle name="Euro 36 2 2 2" xfId="13406" xr:uid="{45CFF8C3-D0D9-42AA-860D-FD7B70780BA0}"/>
    <cellStyle name="Euro 36 2 3" xfId="13086" xr:uid="{E63D0BC8-FC9F-48BC-A41D-E38F37F35CC1}"/>
    <cellStyle name="Euro 36 3" xfId="173" xr:uid="{00000000-0005-0000-0000-000041010000}"/>
    <cellStyle name="Euro 36 3 2" xfId="174" xr:uid="{00000000-0005-0000-0000-000042010000}"/>
    <cellStyle name="Euro 36 3 2 2" xfId="1407" xr:uid="{00000000-0005-0000-0000-000043010000}"/>
    <cellStyle name="Euro 36 3 2 3" xfId="7748" xr:uid="{BCC89AFB-6C03-4B23-8FBE-2712D5372B6E}"/>
    <cellStyle name="Euro 36 3 2 3 2" xfId="13868" xr:uid="{E4D70D99-5F47-4C46-9A0F-8BB7512E8672}"/>
    <cellStyle name="Euro 36 3 3" xfId="2747" xr:uid="{30887B0A-BF65-4BB9-8C5B-FF885973C679}"/>
    <cellStyle name="Euro 36 3 3 2" xfId="9040" xr:uid="{A42C4D31-55AC-4B4E-908A-BF9625198C2F}"/>
    <cellStyle name="Euro 36 3 4" xfId="2748" xr:uid="{02DDE347-B7A0-4595-9C23-F699A0BC904A}"/>
    <cellStyle name="Euro 36 3 4 2" xfId="13656" xr:uid="{2AA58EE2-9370-4BA1-ADF3-FD58463422CC}"/>
    <cellStyle name="Euro 36 3 5" xfId="12273" xr:uid="{8EB27C54-F17F-4CA5-94EC-74FEF03251F9}"/>
    <cellStyle name="Euro 36 4" xfId="1408" xr:uid="{00000000-0005-0000-0000-000044010000}"/>
    <cellStyle name="Euro 36 4 2" xfId="1409" xr:uid="{00000000-0005-0000-0000-000045010000}"/>
    <cellStyle name="Euro 36 4 2 2" xfId="9041" xr:uid="{F9F51EF6-6EA9-404E-91CC-36CBD31B9920}"/>
    <cellStyle name="Euro 36 4 2 3" xfId="17773" xr:uid="{0F3250EA-4778-4EA4-9734-6C694A5B2037}"/>
    <cellStyle name="Euro 36 4 2 4" xfId="17443" xr:uid="{CF5EB8AE-C73A-4657-9546-3752D98F7AF3}"/>
    <cellStyle name="Euro 36 4 3" xfId="9042" xr:uid="{A0AA8BB2-825F-4319-B6FA-CC9FB05BE4F9}"/>
    <cellStyle name="Euro 36 5" xfId="1410" xr:uid="{00000000-0005-0000-0000-000046010000}"/>
    <cellStyle name="Euro 36 6" xfId="2749" xr:uid="{81FCC6A1-61F8-43FE-8165-B4F7B4DB2CE5}"/>
    <cellStyle name="Euro 36 6 2" xfId="9631" xr:uid="{87F864B2-3625-40F1-8994-4FE2E508CDBC}"/>
    <cellStyle name="Euro 37" xfId="175" xr:uid="{00000000-0005-0000-0000-000047010000}"/>
    <cellStyle name="Euro 37 2" xfId="176" xr:uid="{00000000-0005-0000-0000-000048010000}"/>
    <cellStyle name="Euro 37 2 2" xfId="2750" xr:uid="{E04E70E3-A6B6-4C9E-9A24-34AC3E435677}"/>
    <cellStyle name="Euro 37 2 2 2" xfId="13407" xr:uid="{7BD7DC8D-8122-49C4-8598-A0E5C9BB16A5}"/>
    <cellStyle name="Euro 37 2 3" xfId="13087" xr:uid="{2AF3F411-65DD-4E12-9854-8DC26827EC3D}"/>
    <cellStyle name="Euro 37 3" xfId="177" xr:uid="{00000000-0005-0000-0000-000049010000}"/>
    <cellStyle name="Euro 37 3 2" xfId="178" xr:uid="{00000000-0005-0000-0000-00004A010000}"/>
    <cellStyle name="Euro 37 3 2 2" xfId="1411" xr:uid="{00000000-0005-0000-0000-00004B010000}"/>
    <cellStyle name="Euro 37 3 2 3" xfId="7749" xr:uid="{237E32C4-0F69-4C17-A859-447DAA536D5C}"/>
    <cellStyle name="Euro 37 3 2 3 2" xfId="13869" xr:uid="{C8C134EC-0429-4FA6-8892-6F96618C4E79}"/>
    <cellStyle name="Euro 37 3 3" xfId="2751" xr:uid="{A6F22637-26EE-4071-B06F-9A77816F49B0}"/>
    <cellStyle name="Euro 37 3 3 2" xfId="9043" xr:uid="{77B75B29-0B34-4FA9-B7AC-B5151F554694}"/>
    <cellStyle name="Euro 37 3 4" xfId="2752" xr:uid="{590A254F-E152-49F6-B86E-FB2ABDAF27C6}"/>
    <cellStyle name="Euro 37 3 4 2" xfId="13657" xr:uid="{4A4EAF02-0753-479C-931F-AC5D2FD309D1}"/>
    <cellStyle name="Euro 37 3 5" xfId="11226" xr:uid="{4D20B028-21B9-4306-9F0F-BAC77D006F38}"/>
    <cellStyle name="Euro 37 4" xfId="1412" xr:uid="{00000000-0005-0000-0000-00004C010000}"/>
    <cellStyle name="Euro 37 4 2" xfId="1413" xr:uid="{00000000-0005-0000-0000-00004D010000}"/>
    <cellStyle name="Euro 37 4 2 2" xfId="9044" xr:uid="{EC103EBC-8B13-4025-8A88-641B9F5D1D07}"/>
    <cellStyle name="Euro 37 4 2 3" xfId="17774" xr:uid="{82289B0C-2F97-4713-B8B3-3D8B8A6A7D0D}"/>
    <cellStyle name="Euro 37 4 2 4" xfId="17442" xr:uid="{B2D02E51-2DE6-4E8E-B40B-F1F27249580A}"/>
    <cellStyle name="Euro 37 4 3" xfId="9045" xr:uid="{266D11AE-089B-49D6-8767-1052BCCD6F99}"/>
    <cellStyle name="Euro 37 5" xfId="1414" xr:uid="{00000000-0005-0000-0000-00004E010000}"/>
    <cellStyle name="Euro 37 6" xfId="2753" xr:uid="{457C010B-FF35-4DA0-BD44-564D4177A3E2}"/>
    <cellStyle name="Euro 37 6 2" xfId="9632" xr:uid="{B3D70F7B-EB04-4816-AA77-3B09971F1CE9}"/>
    <cellStyle name="Euro 38" xfId="179" xr:uid="{00000000-0005-0000-0000-00004F010000}"/>
    <cellStyle name="Euro 38 2" xfId="180" xr:uid="{00000000-0005-0000-0000-000050010000}"/>
    <cellStyle name="Euro 38 2 2" xfId="2754" xr:uid="{AEBF3F9D-7647-43CF-A5C2-F78ABE523F0D}"/>
    <cellStyle name="Euro 38 2 2 2" xfId="13408" xr:uid="{F0BC6312-E13C-4394-B45E-6BC0E7A97D33}"/>
    <cellStyle name="Euro 38 2 3" xfId="13088" xr:uid="{3CEAAFB1-C5D8-4EE5-8F44-3FE44270DFBE}"/>
    <cellStyle name="Euro 38 3" xfId="181" xr:uid="{00000000-0005-0000-0000-000051010000}"/>
    <cellStyle name="Euro 38 3 2" xfId="182" xr:uid="{00000000-0005-0000-0000-000052010000}"/>
    <cellStyle name="Euro 38 3 2 2" xfId="1415" xr:uid="{00000000-0005-0000-0000-000053010000}"/>
    <cellStyle name="Euro 38 3 2 3" xfId="7750" xr:uid="{B4065625-3F44-4112-B12C-8E6377B30592}"/>
    <cellStyle name="Euro 38 3 2 3 2" xfId="13870" xr:uid="{9B50877A-FE87-4097-B4D5-3BB7A49EFB22}"/>
    <cellStyle name="Euro 38 3 3" xfId="2755" xr:uid="{08DB3719-4E57-4C41-BBEA-2BB1D5E1D312}"/>
    <cellStyle name="Euro 38 3 3 2" xfId="9046" xr:uid="{358C0CBA-AD94-4269-B39C-9EE7B144F388}"/>
    <cellStyle name="Euro 38 3 4" xfId="2756" xr:uid="{7F6BB06B-11EC-499C-A7D4-9B95D9C53BE9}"/>
    <cellStyle name="Euro 38 3 4 2" xfId="13658" xr:uid="{976DB2AD-5EC0-4ADE-B7EB-789E5F3E23E8}"/>
    <cellStyle name="Euro 38 3 5" xfId="11520" xr:uid="{106E0B21-B5F5-4074-9D55-21900018470C}"/>
    <cellStyle name="Euro 38 4" xfId="1416" xr:uid="{00000000-0005-0000-0000-000054010000}"/>
    <cellStyle name="Euro 38 4 2" xfId="1417" xr:uid="{00000000-0005-0000-0000-000055010000}"/>
    <cellStyle name="Euro 38 4 2 2" xfId="9047" xr:uid="{F5643C78-35D3-4826-85AB-065062516B7E}"/>
    <cellStyle name="Euro 38 4 2 3" xfId="17775" xr:uid="{66798258-7BDB-47D1-8CFC-84C8DC3A2A4B}"/>
    <cellStyle name="Euro 38 4 2 4" xfId="17441" xr:uid="{B4B1389C-BDAB-43E3-AD6B-9330E3FDDA72}"/>
    <cellStyle name="Euro 38 4 3" xfId="9048" xr:uid="{7D8278C6-F483-4524-A9F1-58FEB25DED55}"/>
    <cellStyle name="Euro 38 5" xfId="1418" xr:uid="{00000000-0005-0000-0000-000056010000}"/>
    <cellStyle name="Euro 38 6" xfId="2757" xr:uid="{BE8D73F1-14AB-4158-B91A-3FD62EC6FCD4}"/>
    <cellStyle name="Euro 38 6 2" xfId="9633" xr:uid="{F721972A-D64B-433E-966D-A89BD27FE6EF}"/>
    <cellStyle name="Euro 39" xfId="183" xr:uid="{00000000-0005-0000-0000-000057010000}"/>
    <cellStyle name="Euro 39 2" xfId="184" xr:uid="{00000000-0005-0000-0000-000058010000}"/>
    <cellStyle name="Euro 39 2 2" xfId="2758" xr:uid="{D9057C53-7D7E-4F22-8607-B7DABF636F34}"/>
    <cellStyle name="Euro 39 2 2 2" xfId="13409" xr:uid="{FC82C8A7-59FE-4973-AD8A-F2AB73D4680F}"/>
    <cellStyle name="Euro 39 2 3" xfId="13089" xr:uid="{44474754-F341-41C9-A5A2-742ACCD3AB28}"/>
    <cellStyle name="Euro 39 3" xfId="185" xr:uid="{00000000-0005-0000-0000-000059010000}"/>
    <cellStyle name="Euro 39 3 2" xfId="186" xr:uid="{00000000-0005-0000-0000-00005A010000}"/>
    <cellStyle name="Euro 39 3 2 2" xfId="1419" xr:uid="{00000000-0005-0000-0000-00005B010000}"/>
    <cellStyle name="Euro 39 3 2 3" xfId="7751" xr:uid="{AD0968A3-9894-421A-917C-BD2E8E1DB978}"/>
    <cellStyle name="Euro 39 3 2 3 2" xfId="13871" xr:uid="{C329EACF-7D1B-4C77-A9D1-07DFCCC3D04A}"/>
    <cellStyle name="Euro 39 3 3" xfId="2759" xr:uid="{57D9087A-1D30-48FD-BB65-8C09DFD442E5}"/>
    <cellStyle name="Euro 39 3 3 2" xfId="9049" xr:uid="{0D1C1060-828E-46B7-90E9-63DE42E03249}"/>
    <cellStyle name="Euro 39 3 4" xfId="2760" xr:uid="{995C539C-7F7D-47D8-90DA-226CB2422EF3}"/>
    <cellStyle name="Euro 39 3 4 2" xfId="13659" xr:uid="{3FD5A229-8D3E-4AE2-9952-540A6F3BF617}"/>
    <cellStyle name="Euro 39 3 5" xfId="11508" xr:uid="{72257588-B14E-42E1-80D3-78E89C85F1DD}"/>
    <cellStyle name="Euro 39 4" xfId="1420" xr:uid="{00000000-0005-0000-0000-00005C010000}"/>
    <cellStyle name="Euro 39 4 2" xfId="1421" xr:uid="{00000000-0005-0000-0000-00005D010000}"/>
    <cellStyle name="Euro 39 4 2 2" xfId="9050" xr:uid="{076DB321-3C5C-46C1-A267-A3705E5747BA}"/>
    <cellStyle name="Euro 39 4 2 3" xfId="17776" xr:uid="{DF995862-856A-420C-A7E3-58AD9A4B91BB}"/>
    <cellStyle name="Euro 39 4 2 4" xfId="17440" xr:uid="{AED7C4A5-78BF-4D5A-8B81-445E16715E43}"/>
    <cellStyle name="Euro 39 4 3" xfId="9051" xr:uid="{18874FE5-49B0-458C-BD0B-70B22359E0E6}"/>
    <cellStyle name="Euro 39 5" xfId="1422" xr:uid="{00000000-0005-0000-0000-00005E010000}"/>
    <cellStyle name="Euro 39 6" xfId="2761" xr:uid="{96BEC250-9C31-4C49-857B-968E840864E9}"/>
    <cellStyle name="Euro 39 6 2" xfId="9634" xr:uid="{E13404EB-CDCD-481C-8777-FB337AE207A9}"/>
    <cellStyle name="Euro 4" xfId="187" xr:uid="{00000000-0005-0000-0000-00005F010000}"/>
    <cellStyle name="Euro 4 2" xfId="188" xr:uid="{00000000-0005-0000-0000-000060010000}"/>
    <cellStyle name="Euro 4 2 2" xfId="2762" xr:uid="{A3482B85-0F02-43C0-A434-FE690A8CD09F}"/>
    <cellStyle name="Euro 4 2 2 2" xfId="13410" xr:uid="{0B5F4722-C432-42F4-9757-1D17942E02B7}"/>
    <cellStyle name="Euro 4 2 3" xfId="13090" xr:uid="{EDC1562F-945B-41D5-9D0D-43E3A82FA0BB}"/>
    <cellStyle name="Euro 4 3" xfId="189" xr:uid="{00000000-0005-0000-0000-000061010000}"/>
    <cellStyle name="Euro 4 3 2" xfId="190" xr:uid="{00000000-0005-0000-0000-000062010000}"/>
    <cellStyle name="Euro 4 3 2 2" xfId="1423" xr:uid="{00000000-0005-0000-0000-000063010000}"/>
    <cellStyle name="Euro 4 3 2 3" xfId="7752" xr:uid="{51B914DC-028F-450E-B73C-B19AA0DEC3CE}"/>
    <cellStyle name="Euro 4 3 2 3 2" xfId="13872" xr:uid="{5FC3FA2B-ED37-42A9-8203-DDD3BD6AB7D0}"/>
    <cellStyle name="Euro 4 3 3" xfId="2763" xr:uid="{3BD4257B-C9E3-4A88-8108-0DE78A87560E}"/>
    <cellStyle name="Euro 4 3 3 2" xfId="9052" xr:uid="{35C40E93-1041-4559-875F-E888713A9EDB}"/>
    <cellStyle name="Euro 4 3 4" xfId="2764" xr:uid="{BC93E2D0-9AAF-4A54-B97B-B1809099C469}"/>
    <cellStyle name="Euro 4 3 4 2" xfId="13660" xr:uid="{0632A5D6-3983-4F17-9B49-168980D4B0EA}"/>
    <cellStyle name="Euro 4 3 5" xfId="11538" xr:uid="{4618DAB9-B9C6-4784-934F-2FE18B04E245}"/>
    <cellStyle name="Euro 4 4" xfId="1424" xr:uid="{00000000-0005-0000-0000-000064010000}"/>
    <cellStyle name="Euro 4 4 2" xfId="1425" xr:uid="{00000000-0005-0000-0000-000065010000}"/>
    <cellStyle name="Euro 4 4 2 2" xfId="9053" xr:uid="{07AA1854-AC11-4B17-B185-9836CB05574F}"/>
    <cellStyle name="Euro 4 4 2 3" xfId="17777" xr:uid="{E2A8FCC6-66FA-4A85-B047-B13EFE9D07F3}"/>
    <cellStyle name="Euro 4 4 2 4" xfId="17439" xr:uid="{38B27B04-CC98-4E67-8F8E-81E2E05DA591}"/>
    <cellStyle name="Euro 4 4 3" xfId="9054" xr:uid="{1A494FF2-78DD-4894-BAFD-D4B34FEF7DCD}"/>
    <cellStyle name="Euro 4 5" xfId="1426" xr:uid="{00000000-0005-0000-0000-000066010000}"/>
    <cellStyle name="Euro 4 6" xfId="2765" xr:uid="{D2B3C8F7-E7A5-4ECF-9F74-C564C6A51716}"/>
    <cellStyle name="Euro 4 6 2" xfId="9635" xr:uid="{367612B7-B5A3-48F0-9FB1-650E6A194FEC}"/>
    <cellStyle name="Euro 40" xfId="191" xr:uid="{00000000-0005-0000-0000-000067010000}"/>
    <cellStyle name="Euro 40 2" xfId="192" xr:uid="{00000000-0005-0000-0000-000068010000}"/>
    <cellStyle name="Euro 40 2 2" xfId="2766" xr:uid="{DC3492BA-6EA2-49E6-BB10-CD9BA4593D3D}"/>
    <cellStyle name="Euro 40 2 2 2" xfId="13411" xr:uid="{09972E95-F5FA-4B54-A9C1-4B52B69C6E07}"/>
    <cellStyle name="Euro 40 2 3" xfId="13091" xr:uid="{0905A938-A187-46F7-AB9E-02DFED935AB8}"/>
    <cellStyle name="Euro 40 3" xfId="193" xr:uid="{00000000-0005-0000-0000-000069010000}"/>
    <cellStyle name="Euro 40 3 2" xfId="194" xr:uid="{00000000-0005-0000-0000-00006A010000}"/>
    <cellStyle name="Euro 40 3 2 2" xfId="1427" xr:uid="{00000000-0005-0000-0000-00006B010000}"/>
    <cellStyle name="Euro 40 3 2 3" xfId="7753" xr:uid="{598CAC36-86AE-4256-B415-3756119C8D07}"/>
    <cellStyle name="Euro 40 3 2 3 2" xfId="13873" xr:uid="{19BEE157-EDF6-4584-A6D6-3CD0AA6CC8DB}"/>
    <cellStyle name="Euro 40 3 3" xfId="2767" xr:uid="{9B3908D0-8E9D-46FD-A78C-5FDC3ADDB1FC}"/>
    <cellStyle name="Euro 40 3 3 2" xfId="9055" xr:uid="{C03A9D0D-C666-421F-BE9C-D92029017FD9}"/>
    <cellStyle name="Euro 40 3 4" xfId="2768" xr:uid="{CBCBC6FA-B88E-4D61-8CC7-15CCA14E5581}"/>
    <cellStyle name="Euro 40 3 4 2" xfId="13661" xr:uid="{36E998B9-1796-4D90-931D-F088606EBCAE}"/>
    <cellStyle name="Euro 40 3 5" xfId="11539" xr:uid="{3AC50155-A6FC-498C-B310-A64FCB90E484}"/>
    <cellStyle name="Euro 40 4" xfId="1428" xr:uid="{00000000-0005-0000-0000-00006C010000}"/>
    <cellStyle name="Euro 40 4 2" xfId="1429" xr:uid="{00000000-0005-0000-0000-00006D010000}"/>
    <cellStyle name="Euro 40 4 2 2" xfId="9056" xr:uid="{8BDDC46E-6D5D-419F-A55A-088BAB92F15D}"/>
    <cellStyle name="Euro 40 4 2 3" xfId="17778" xr:uid="{734D3CA1-7F14-47CE-AE92-7B94D3896404}"/>
    <cellStyle name="Euro 40 4 2 4" xfId="17438" xr:uid="{57C1DD9C-C2E7-4603-9BED-6FED29BE5860}"/>
    <cellStyle name="Euro 40 4 3" xfId="9057" xr:uid="{68030D1C-B706-49F6-847D-81D8CF5443A7}"/>
    <cellStyle name="Euro 40 5" xfId="1430" xr:uid="{00000000-0005-0000-0000-00006E010000}"/>
    <cellStyle name="Euro 40 6" xfId="2769" xr:uid="{96EF9291-FF9D-4E63-B4DB-CE7995090597}"/>
    <cellStyle name="Euro 40 6 2" xfId="9636" xr:uid="{07F33BE3-A840-4ECD-A352-50EE64581E65}"/>
    <cellStyle name="Euro 41" xfId="195" xr:uid="{00000000-0005-0000-0000-00006F010000}"/>
    <cellStyle name="Euro 41 2" xfId="196" xr:uid="{00000000-0005-0000-0000-000070010000}"/>
    <cellStyle name="Euro 41 2 2" xfId="2770" xr:uid="{C97650D4-752D-4E55-956E-7B208AF13EE7}"/>
    <cellStyle name="Euro 41 2 2 2" xfId="13412" xr:uid="{02F097E9-A955-4BB3-8882-11ECADF86874}"/>
    <cellStyle name="Euro 41 2 3" xfId="13092" xr:uid="{BCBAF8C7-3367-4C0F-8F87-2C9AC34024FE}"/>
    <cellStyle name="Euro 41 3" xfId="197" xr:uid="{00000000-0005-0000-0000-000071010000}"/>
    <cellStyle name="Euro 41 3 2" xfId="198" xr:uid="{00000000-0005-0000-0000-000072010000}"/>
    <cellStyle name="Euro 41 3 2 2" xfId="1431" xr:uid="{00000000-0005-0000-0000-000073010000}"/>
    <cellStyle name="Euro 41 3 2 3" xfId="7754" xr:uid="{47AA4BA4-8ED9-4D42-B185-D5156A4D072F}"/>
    <cellStyle name="Euro 41 3 2 3 2" xfId="13874" xr:uid="{0AEF13C9-A5B2-4E91-835E-A8B0FD1BA8C3}"/>
    <cellStyle name="Euro 41 3 3" xfId="2771" xr:uid="{2557ADB5-E29D-4646-89FB-BD4C6110D934}"/>
    <cellStyle name="Euro 41 3 3 2" xfId="9058" xr:uid="{76991EB2-DCF2-485B-983B-ED3533FB1E21}"/>
    <cellStyle name="Euro 41 3 4" xfId="2772" xr:uid="{B1404088-A954-4710-A7AA-96266A2639BD}"/>
    <cellStyle name="Euro 41 3 4 2" xfId="13662" xr:uid="{32DFD588-A475-4682-B5AD-7AE8DA9030B8}"/>
    <cellStyle name="Euro 41 3 5" xfId="12275" xr:uid="{DB80E547-FE94-4AC5-B658-D8E03E0D3CEF}"/>
    <cellStyle name="Euro 41 4" xfId="1432" xr:uid="{00000000-0005-0000-0000-000074010000}"/>
    <cellStyle name="Euro 41 4 2" xfId="1433" xr:uid="{00000000-0005-0000-0000-000075010000}"/>
    <cellStyle name="Euro 41 4 2 2" xfId="9059" xr:uid="{3BD39EE9-5CB8-4A27-9A3A-87E177C6CE90}"/>
    <cellStyle name="Euro 41 4 2 3" xfId="17779" xr:uid="{3E025108-D25B-4C93-9A57-9E9F54A740CF}"/>
    <cellStyle name="Euro 41 4 2 4" xfId="17437" xr:uid="{3EEB89BE-0151-4FD3-ACA8-D972364A5EEF}"/>
    <cellStyle name="Euro 41 4 3" xfId="9060" xr:uid="{50D63496-F61F-4EBE-AA7C-DE9D9C7919BC}"/>
    <cellStyle name="Euro 41 5" xfId="1434" xr:uid="{00000000-0005-0000-0000-000076010000}"/>
    <cellStyle name="Euro 41 6" xfId="2773" xr:uid="{5E1BB319-D45F-4C84-AC87-6E351EF4F86F}"/>
    <cellStyle name="Euro 41 6 2" xfId="9637" xr:uid="{7E9CC084-27EB-46D5-A19E-63A063FFE85B}"/>
    <cellStyle name="Euro 42" xfId="199" xr:uid="{00000000-0005-0000-0000-000077010000}"/>
    <cellStyle name="Euro 42 2" xfId="200" xr:uid="{00000000-0005-0000-0000-000078010000}"/>
    <cellStyle name="Euro 42 2 2" xfId="2774" xr:uid="{D32EC4B1-0FF1-4A30-8429-17524946B732}"/>
    <cellStyle name="Euro 42 2 2 2" xfId="13413" xr:uid="{20FC44AF-C3FB-441C-A52F-FBB1F0BA4DA9}"/>
    <cellStyle name="Euro 42 2 3" xfId="13093" xr:uid="{A53262C1-00FE-4032-B04B-94AF1FAFA311}"/>
    <cellStyle name="Euro 42 3" xfId="201" xr:uid="{00000000-0005-0000-0000-000079010000}"/>
    <cellStyle name="Euro 42 3 2" xfId="202" xr:uid="{00000000-0005-0000-0000-00007A010000}"/>
    <cellStyle name="Euro 42 3 2 2" xfId="1435" xr:uid="{00000000-0005-0000-0000-00007B010000}"/>
    <cellStyle name="Euro 42 3 2 3" xfId="7755" xr:uid="{371F0057-61D2-4A6B-8FB3-7AADE82E9119}"/>
    <cellStyle name="Euro 42 3 2 3 2" xfId="13875" xr:uid="{947525FC-5BA4-40ED-A681-AC660B8C5B0C}"/>
    <cellStyle name="Euro 42 3 3" xfId="2775" xr:uid="{F012731B-4967-46AB-A7F7-2B4726A8670B}"/>
    <cellStyle name="Euro 42 3 3 2" xfId="9061" xr:uid="{FFBC5C3B-894D-4229-809D-7BDBFA0E446F}"/>
    <cellStyle name="Euro 42 3 4" xfId="2776" xr:uid="{4F3FE6A1-3053-4916-9913-33CD7EAD6365}"/>
    <cellStyle name="Euro 42 3 4 2" xfId="13663" xr:uid="{F806B68B-4A2C-43B7-8DBA-B5C7B1C824B1}"/>
    <cellStyle name="Euro 42 3 5" xfId="12237" xr:uid="{688D92A6-8B58-4825-A962-A9C163621D29}"/>
    <cellStyle name="Euro 42 4" xfId="1436" xr:uid="{00000000-0005-0000-0000-00007C010000}"/>
    <cellStyle name="Euro 42 4 2" xfId="1437" xr:uid="{00000000-0005-0000-0000-00007D010000}"/>
    <cellStyle name="Euro 42 4 2 2" xfId="9062" xr:uid="{C3C869CF-518B-457F-9A2A-D7A664FD99C0}"/>
    <cellStyle name="Euro 42 4 2 3" xfId="17780" xr:uid="{03EA794D-31C7-470B-BFB0-0D0C9F507C73}"/>
    <cellStyle name="Euro 42 4 2 4" xfId="17436" xr:uid="{7C9615EA-7E88-4170-8803-3302BF1E8BC6}"/>
    <cellStyle name="Euro 42 4 3" xfId="9063" xr:uid="{1699FBAC-ABA0-4E6A-953B-0100C4387555}"/>
    <cellStyle name="Euro 42 5" xfId="1438" xr:uid="{00000000-0005-0000-0000-00007E010000}"/>
    <cellStyle name="Euro 42 6" xfId="2777" xr:uid="{7EB66470-5D1D-41E2-A21C-074E1D426E16}"/>
    <cellStyle name="Euro 42 6 2" xfId="9638" xr:uid="{C15BBDD7-3619-4B91-8C4A-7251FD2C69A0}"/>
    <cellStyle name="Euro 43" xfId="203" xr:uid="{00000000-0005-0000-0000-00007F010000}"/>
    <cellStyle name="Euro 43 2" xfId="204" xr:uid="{00000000-0005-0000-0000-000080010000}"/>
    <cellStyle name="Euro 43 2 2" xfId="2778" xr:uid="{2CEE256B-2478-4FA5-904B-F9EC08CE3B55}"/>
    <cellStyle name="Euro 43 2 2 2" xfId="13414" xr:uid="{4A5BCAA1-03FB-4F1A-A7E0-8A005E6624BB}"/>
    <cellStyle name="Euro 43 2 3" xfId="13094" xr:uid="{F5B30EF4-9A5A-4FB0-B71E-6AAE4E4E8BF7}"/>
    <cellStyle name="Euro 43 3" xfId="205" xr:uid="{00000000-0005-0000-0000-000081010000}"/>
    <cellStyle name="Euro 43 3 2" xfId="206" xr:uid="{00000000-0005-0000-0000-000082010000}"/>
    <cellStyle name="Euro 43 3 2 2" xfId="1439" xr:uid="{00000000-0005-0000-0000-000083010000}"/>
    <cellStyle name="Euro 43 3 2 3" xfId="7756" xr:uid="{E179D5C3-741A-439C-9B5C-C8456DD80B36}"/>
    <cellStyle name="Euro 43 3 2 3 2" xfId="13876" xr:uid="{58726FF5-5AD8-45C1-992D-0A3DA61179B4}"/>
    <cellStyle name="Euro 43 3 3" xfId="2779" xr:uid="{FF869E05-9B77-441F-979C-BDFCF7BDDF11}"/>
    <cellStyle name="Euro 43 3 3 2" xfId="9064" xr:uid="{C382DC5E-0955-42F4-A8CF-8E2B07AAF1C1}"/>
    <cellStyle name="Euro 43 3 4" xfId="2780" xr:uid="{C925B9E8-48C2-428A-BFCF-5E2D71A7516B}"/>
    <cellStyle name="Euro 43 3 4 2" xfId="13664" xr:uid="{036767EB-443D-4436-B44A-F24763C1920E}"/>
    <cellStyle name="Euro 43 3 5" xfId="11225" xr:uid="{D874F628-6066-438A-9A10-DC8BC7698A4B}"/>
    <cellStyle name="Euro 43 4" xfId="1440" xr:uid="{00000000-0005-0000-0000-000084010000}"/>
    <cellStyle name="Euro 43 4 2" xfId="1441" xr:uid="{00000000-0005-0000-0000-000085010000}"/>
    <cellStyle name="Euro 43 4 2 2" xfId="9065" xr:uid="{5CABC535-01CF-4347-BF01-E12BF479E10C}"/>
    <cellStyle name="Euro 43 4 2 3" xfId="17781" xr:uid="{6BED0B78-4BD0-4750-96B1-48EE6E83E131}"/>
    <cellStyle name="Euro 43 4 2 4" xfId="17435" xr:uid="{911CF1AE-63B3-47EF-A729-8BC0DE36FAC6}"/>
    <cellStyle name="Euro 43 4 3" xfId="9066" xr:uid="{53E12142-B043-41BD-B0DB-7734D3B4422A}"/>
    <cellStyle name="Euro 43 5" xfId="1442" xr:uid="{00000000-0005-0000-0000-000086010000}"/>
    <cellStyle name="Euro 43 6" xfId="2781" xr:uid="{6A7A5863-F133-4EEF-8E2E-E7D986BF8635}"/>
    <cellStyle name="Euro 43 6 2" xfId="9639" xr:uid="{2BECFEA7-23AB-4B79-8E74-A5A2DF3417EC}"/>
    <cellStyle name="Euro 44" xfId="207" xr:uid="{00000000-0005-0000-0000-000087010000}"/>
    <cellStyle name="Euro 44 2" xfId="208" xr:uid="{00000000-0005-0000-0000-000088010000}"/>
    <cellStyle name="Euro 44 2 2" xfId="2782" xr:uid="{EB62E236-BAB2-417E-933D-71DC3CBC12B0}"/>
    <cellStyle name="Euro 44 2 2 2" xfId="13415" xr:uid="{CD596E45-C8D6-4C0A-9F76-831C1D4DC85E}"/>
    <cellStyle name="Euro 44 2 3" xfId="13095" xr:uid="{8F8E5E43-3433-4F22-9135-13D0B64424A0}"/>
    <cellStyle name="Euro 44 3" xfId="209" xr:uid="{00000000-0005-0000-0000-000089010000}"/>
    <cellStyle name="Euro 44 3 2" xfId="210" xr:uid="{00000000-0005-0000-0000-00008A010000}"/>
    <cellStyle name="Euro 44 3 2 2" xfId="1443" xr:uid="{00000000-0005-0000-0000-00008B010000}"/>
    <cellStyle name="Euro 44 3 2 3" xfId="7757" xr:uid="{F681CC20-8948-43C0-9165-B7E51AD9E383}"/>
    <cellStyle name="Euro 44 3 2 3 2" xfId="13877" xr:uid="{4B8923FC-F3AB-4E60-9B25-A55F4E6E638E}"/>
    <cellStyle name="Euro 44 3 3" xfId="2783" xr:uid="{D82C0626-F081-4427-B078-739EEDCEEF35}"/>
    <cellStyle name="Euro 44 3 3 2" xfId="9067" xr:uid="{F081D97A-A4F8-4E62-8158-E3EB0BF8577E}"/>
    <cellStyle name="Euro 44 3 4" xfId="2784" xr:uid="{0AEF48BD-DD17-44C6-BBE6-0F16FDC661BB}"/>
    <cellStyle name="Euro 44 3 4 2" xfId="13665" xr:uid="{FC9F55D8-4B49-4F55-97FC-1E273394E240}"/>
    <cellStyle name="Euro 44 3 5" xfId="11224" xr:uid="{E86D00BD-FB23-47F6-93EF-DAED140D2DA1}"/>
    <cellStyle name="Euro 44 4" xfId="1444" xr:uid="{00000000-0005-0000-0000-00008C010000}"/>
    <cellStyle name="Euro 44 4 2" xfId="1445" xr:uid="{00000000-0005-0000-0000-00008D010000}"/>
    <cellStyle name="Euro 44 4 2 2" xfId="9068" xr:uid="{D9889E26-3DC4-4056-9F55-1156AD7B1445}"/>
    <cellStyle name="Euro 44 4 2 3" xfId="17782" xr:uid="{CE4AF6B2-9532-4A7B-9ACB-B9CA55E1B4A5}"/>
    <cellStyle name="Euro 44 4 2 4" xfId="17434" xr:uid="{0BAE2BAA-CF70-466F-A95F-98D37F03E489}"/>
    <cellStyle name="Euro 44 4 3" xfId="9069" xr:uid="{74839028-77C0-4890-9DA6-02059526F61A}"/>
    <cellStyle name="Euro 44 5" xfId="1446" xr:uid="{00000000-0005-0000-0000-00008E010000}"/>
    <cellStyle name="Euro 44 6" xfId="2785" xr:uid="{BDF4F773-6D67-438F-84CA-F2916CB7326D}"/>
    <cellStyle name="Euro 44 6 2" xfId="9640" xr:uid="{8C8F27DF-F330-4BCF-89DD-18B042F10FB3}"/>
    <cellStyle name="Euro 45" xfId="211" xr:uid="{00000000-0005-0000-0000-00008F010000}"/>
    <cellStyle name="Euro 45 2" xfId="212" xr:uid="{00000000-0005-0000-0000-000090010000}"/>
    <cellStyle name="Euro 45 2 2" xfId="9070" xr:uid="{C7FB60F1-629E-4025-80F8-83B5E4DCCE6A}"/>
    <cellStyle name="Euro 45 2 2 2" xfId="13416" xr:uid="{FED80493-14A5-48E8-BD4D-E61E5FF182F5}"/>
    <cellStyle name="Euro 45 2 3" xfId="11708" xr:uid="{49F16A09-4BF6-400F-B5F6-92D402E9840D}"/>
    <cellStyle name="Euro 45 2 4" xfId="11229" xr:uid="{D42B178B-EF4A-4F8E-AA6D-6A73787CC04D}"/>
    <cellStyle name="Euro 45 3" xfId="2787" xr:uid="{1C29E9DF-CB16-4C99-907F-3A203DA31AA9}"/>
    <cellStyle name="Euro 45 4" xfId="2786" xr:uid="{3B7C3440-34CB-42FB-A379-1FA90B9C90BC}"/>
    <cellStyle name="Euro 45 4 2" xfId="18054" xr:uid="{1A339584-B6F1-4AAD-8EB3-8AEE7058727E}"/>
    <cellStyle name="Euro 45 4 3" xfId="17564" xr:uid="{A92C5ABD-4975-4D0E-BFB5-6FFB5DF0B6D0}"/>
    <cellStyle name="Euro 45 4 4" xfId="11228" xr:uid="{44D4948E-A97C-4A5A-BB42-751A813EC9ED}"/>
    <cellStyle name="Euro 45 5" xfId="11709" xr:uid="{1FA585E2-0DD2-4496-9BAD-E30DAC526D72}"/>
    <cellStyle name="Euro 45 6" xfId="11147" xr:uid="{6F20C8F8-6012-4415-B593-8DD3EEB92EB7}"/>
    <cellStyle name="Euro 45 7" xfId="23824" xr:uid="{7B31380D-D870-4975-AF13-C6BCA8A65B92}"/>
    <cellStyle name="Euro 46" xfId="213" xr:uid="{00000000-0005-0000-0000-000091010000}"/>
    <cellStyle name="Euro 46 2" xfId="214" xr:uid="{00000000-0005-0000-0000-000092010000}"/>
    <cellStyle name="Euro 46 2 2" xfId="13417" xr:uid="{85532EFD-9D3A-4D84-837C-FEE16FD728F0}"/>
    <cellStyle name="Euro 46 3" xfId="13096" xr:uid="{03DBB346-0109-44E5-8E24-791ED7A971B5}"/>
    <cellStyle name="Euro 47" xfId="215" xr:uid="{00000000-0005-0000-0000-000093010000}"/>
    <cellStyle name="Euro 47 2" xfId="216" xr:uid="{00000000-0005-0000-0000-000094010000}"/>
    <cellStyle name="Euro 47 2 2" xfId="1447" xr:uid="{00000000-0005-0000-0000-000095010000}"/>
    <cellStyle name="Euro 47 2 3" xfId="7758" xr:uid="{5DF12432-3814-467A-9515-63E706D2461A}"/>
    <cellStyle name="Euro 47 2 3 2" xfId="13878" xr:uid="{50B39EB8-CA15-431D-B8D2-AA6A1DEFBC1D}"/>
    <cellStyle name="Euro 47 3" xfId="2788" xr:uid="{2D373E04-786B-437F-B74E-9CD65F822A7A}"/>
    <cellStyle name="Euro 47 3 2" xfId="9071" xr:uid="{FA7B224A-B192-4B82-8F2E-86370A4B6151}"/>
    <cellStyle name="Euro 47 4" xfId="2789" xr:uid="{041FD63F-E2F3-43B4-B998-9533EB526FF8}"/>
    <cellStyle name="Euro 47 4 2" xfId="13666" xr:uid="{D33C01EB-2AA9-4FA0-9DD1-F54BADDD193C}"/>
    <cellStyle name="Euro 47 5" xfId="12438" xr:uid="{A3E65754-8BCC-43DB-9324-9999E258ADE5}"/>
    <cellStyle name="Euro 48" xfId="217" xr:uid="{00000000-0005-0000-0000-000096010000}"/>
    <cellStyle name="Euro 48 2" xfId="2790" xr:uid="{3B2C8E0C-850F-4944-87BB-E0864CBE5FCD}"/>
    <cellStyle name="Euro 48 2 2" xfId="13418" xr:uid="{9EDFAD3D-B7F6-40E2-B913-33F9850D257F}"/>
    <cellStyle name="Euro 48 3" xfId="13097" xr:uid="{9AC38BCC-0A92-4C92-9A7C-BB8993726E26}"/>
    <cellStyle name="Euro 49" xfId="1448" xr:uid="{00000000-0005-0000-0000-000097010000}"/>
    <cellStyle name="Euro 49 2" xfId="1449" xr:uid="{00000000-0005-0000-0000-000098010000}"/>
    <cellStyle name="Euro 49 2 2" xfId="9072" xr:uid="{1BD0BFED-A625-455B-919E-A1CC1AA92817}"/>
    <cellStyle name="Euro 49 2 3" xfId="17783" xr:uid="{15C85AD7-056D-483A-8F47-73E5230EC6CC}"/>
    <cellStyle name="Euro 49 2 4" xfId="17433" xr:uid="{05A23142-3A4B-4C1C-90B0-2445DC494AFF}"/>
    <cellStyle name="Euro 49 3" xfId="9073" xr:uid="{DC82413E-1991-4F99-94CF-29DB060E171F}"/>
    <cellStyle name="Euro 5" xfId="218" xr:uid="{00000000-0005-0000-0000-000099010000}"/>
    <cellStyle name="Euro 5 2" xfId="219" xr:uid="{00000000-0005-0000-0000-00009A010000}"/>
    <cellStyle name="Euro 5 2 2" xfId="2791" xr:uid="{9AAED175-3C19-4561-B62E-CA396A36D3DB}"/>
    <cellStyle name="Euro 5 2 2 2" xfId="13419" xr:uid="{7836D486-A69E-435D-9880-739DCA8BF6A4}"/>
    <cellStyle name="Euro 5 2 3" xfId="13098" xr:uid="{8546964F-4D2C-42A1-8211-2CC286ED586F}"/>
    <cellStyle name="Euro 5 3" xfId="220" xr:uid="{00000000-0005-0000-0000-00009B010000}"/>
    <cellStyle name="Euro 5 3 2" xfId="221" xr:uid="{00000000-0005-0000-0000-00009C010000}"/>
    <cellStyle name="Euro 5 3 2 2" xfId="1450" xr:uid="{00000000-0005-0000-0000-00009D010000}"/>
    <cellStyle name="Euro 5 3 2 3" xfId="7759" xr:uid="{4171F243-9E9E-4BD3-AF88-5EBFE4C579DF}"/>
    <cellStyle name="Euro 5 3 2 3 2" xfId="13879" xr:uid="{5B21F382-E803-43ED-930A-3EBB612E8A94}"/>
    <cellStyle name="Euro 5 3 3" xfId="2792" xr:uid="{75DF7CAC-087A-4374-A763-8282155D222A}"/>
    <cellStyle name="Euro 5 3 3 2" xfId="9074" xr:uid="{B0E82183-CF61-4C94-BEE9-129F529D344C}"/>
    <cellStyle name="Euro 5 3 4" xfId="2793" xr:uid="{EC43CB9C-0685-4992-96F3-89230F8CC3FC}"/>
    <cellStyle name="Euro 5 3 4 2" xfId="13667" xr:uid="{6EAA4B76-D3D8-4A72-A185-423696818698}"/>
    <cellStyle name="Euro 5 3 5" xfId="12239" xr:uid="{F464185C-2C85-4B8A-88D7-491828ECE33A}"/>
    <cellStyle name="Euro 5 4" xfId="1451" xr:uid="{00000000-0005-0000-0000-00009E010000}"/>
    <cellStyle name="Euro 5 4 2" xfId="1452" xr:uid="{00000000-0005-0000-0000-00009F010000}"/>
    <cellStyle name="Euro 5 4 2 2" xfId="9075" xr:uid="{4FC5E85C-2E0A-4599-8A88-4ABE09AB9607}"/>
    <cellStyle name="Euro 5 4 2 3" xfId="17784" xr:uid="{D1246FA5-20FD-41CB-8528-D90266574894}"/>
    <cellStyle name="Euro 5 4 2 4" xfId="17432" xr:uid="{83B36503-428D-4F33-81F9-5EDF7E3B9EA0}"/>
    <cellStyle name="Euro 5 4 3" xfId="9076" xr:uid="{73A9275B-6F65-40F4-A760-F251BF5AA0AA}"/>
    <cellStyle name="Euro 5 5" xfId="1453" xr:uid="{00000000-0005-0000-0000-0000A0010000}"/>
    <cellStyle name="Euro 5 6" xfId="2794" xr:uid="{C3883014-11A2-4879-947D-D664061B6402}"/>
    <cellStyle name="Euro 5 6 2" xfId="9641" xr:uid="{4B6CEFF0-8362-4A05-A6C1-5321FB7D1861}"/>
    <cellStyle name="Euro 50" xfId="1454" xr:uid="{00000000-0005-0000-0000-0000A1010000}"/>
    <cellStyle name="Euro 51" xfId="2795" xr:uid="{5CD19968-DF78-42F1-B008-0E0FD898890A}"/>
    <cellStyle name="Euro 51 2" xfId="9077" xr:uid="{C81C8E6E-89D5-4640-844C-0F90AE824461}"/>
    <cellStyle name="Euro 51 2 2" xfId="13377" xr:uid="{F637DB30-7134-4B10-9FE2-8278561F106D}"/>
    <cellStyle name="Euro 51 2 3" xfId="18162" xr:uid="{1DBD5060-9857-4A6B-ACB5-8FC5E309184F}"/>
    <cellStyle name="Euro 51 3" xfId="9602" xr:uid="{48783788-82ED-4F2D-B18F-03BD8F17DB7F}"/>
    <cellStyle name="Euro 51 4" xfId="11232" xr:uid="{5D8E77C8-1CF2-4D5D-93A4-CD2C9D53FA66}"/>
    <cellStyle name="Euro 51 5" xfId="18055" xr:uid="{EE22C441-5DA7-4795-AAD3-4B7DA930D43C}"/>
    <cellStyle name="Euro 6" xfId="222" xr:uid="{00000000-0005-0000-0000-0000A2010000}"/>
    <cellStyle name="Euro 6 2" xfId="223" xr:uid="{00000000-0005-0000-0000-0000A3010000}"/>
    <cellStyle name="Euro 6 2 2" xfId="2796" xr:uid="{EAA83E63-2EC4-431E-A3E3-FD65E9AE501F}"/>
    <cellStyle name="Euro 6 2 2 2" xfId="13420" xr:uid="{841B1187-3203-4BEE-BDA7-970ECE9633A2}"/>
    <cellStyle name="Euro 6 2 3" xfId="13099" xr:uid="{D8E4F83C-883C-4EF5-9C66-718BCF7900B4}"/>
    <cellStyle name="Euro 6 3" xfId="224" xr:uid="{00000000-0005-0000-0000-0000A4010000}"/>
    <cellStyle name="Euro 6 3 2" xfId="225" xr:uid="{00000000-0005-0000-0000-0000A5010000}"/>
    <cellStyle name="Euro 6 3 2 2" xfId="1455" xr:uid="{00000000-0005-0000-0000-0000A6010000}"/>
    <cellStyle name="Euro 6 3 2 3" xfId="7760" xr:uid="{C6BE2BBF-C0B0-4D94-A74A-0B06508EA967}"/>
    <cellStyle name="Euro 6 3 2 3 2" xfId="13880" xr:uid="{FF822028-6507-474B-8519-FECC04C13091}"/>
    <cellStyle name="Euro 6 3 3" xfId="2797" xr:uid="{E0B013FC-7BBE-42DE-BC33-7AF187AE6ED3}"/>
    <cellStyle name="Euro 6 3 3 2" xfId="9078" xr:uid="{11252954-28DA-4CCA-AE3D-0516BEDA5810}"/>
    <cellStyle name="Euro 6 3 4" xfId="2798" xr:uid="{C998797A-1F5B-4715-B4C0-1BA4CC778D4A}"/>
    <cellStyle name="Euro 6 3 4 2" xfId="13668" xr:uid="{CE31641C-32C9-448F-BA76-80FA2CB615EA}"/>
    <cellStyle name="Euro 6 3 5" xfId="12238" xr:uid="{6A65ECB3-6159-4920-BB12-2DA3423D923E}"/>
    <cellStyle name="Euro 6 4" xfId="1456" xr:uid="{00000000-0005-0000-0000-0000A7010000}"/>
    <cellStyle name="Euro 6 4 2" xfId="1457" xr:uid="{00000000-0005-0000-0000-0000A8010000}"/>
    <cellStyle name="Euro 6 4 2 2" xfId="9079" xr:uid="{63B52224-52EE-48F8-A059-912567C49646}"/>
    <cellStyle name="Euro 6 4 2 3" xfId="17785" xr:uid="{EDBD69A2-878A-4E0A-9DF1-F7FE5E18735A}"/>
    <cellStyle name="Euro 6 4 2 4" xfId="17431" xr:uid="{1C2CE145-E0CE-4041-A46B-122B393CCB47}"/>
    <cellStyle name="Euro 6 4 3" xfId="9080" xr:uid="{B32FB0B5-6562-46EB-9689-98F3795C04F9}"/>
    <cellStyle name="Euro 6 5" xfId="1458" xr:uid="{00000000-0005-0000-0000-0000A9010000}"/>
    <cellStyle name="Euro 6 6" xfId="2799" xr:uid="{DDC6D7BB-7C13-44AE-80B9-4209F77B16F4}"/>
    <cellStyle name="Euro 6 6 2" xfId="9642" xr:uid="{E9AEE392-452D-4D21-98AE-7AE8D824F21A}"/>
    <cellStyle name="Euro 7" xfId="226" xr:uid="{00000000-0005-0000-0000-0000AA010000}"/>
    <cellStyle name="Euro 7 2" xfId="227" xr:uid="{00000000-0005-0000-0000-0000AB010000}"/>
    <cellStyle name="Euro 7 2 2" xfId="2800" xr:uid="{CC454D83-CD78-4CAD-B372-0706F963DFFA}"/>
    <cellStyle name="Euro 7 2 2 2" xfId="13421" xr:uid="{5EA578F7-F6E9-4620-8EAC-E118586C8A20}"/>
    <cellStyle name="Euro 7 2 3" xfId="13100" xr:uid="{C313982F-DE11-4692-BE89-01D1AA37E103}"/>
    <cellStyle name="Euro 7 3" xfId="228" xr:uid="{00000000-0005-0000-0000-0000AC010000}"/>
    <cellStyle name="Euro 7 3 2" xfId="229" xr:uid="{00000000-0005-0000-0000-0000AD010000}"/>
    <cellStyle name="Euro 7 3 2 2" xfId="1459" xr:uid="{00000000-0005-0000-0000-0000AE010000}"/>
    <cellStyle name="Euro 7 3 2 3" xfId="7761" xr:uid="{C36354D4-0429-4799-A155-2516B6F38BA0}"/>
    <cellStyle name="Euro 7 3 2 3 2" xfId="13881" xr:uid="{8173A1F5-93F7-47D2-9F98-D14799A20D58}"/>
    <cellStyle name="Euro 7 3 3" xfId="2801" xr:uid="{BF10C45E-0E6B-4DBC-A46D-699F2601D1C8}"/>
    <cellStyle name="Euro 7 3 3 2" xfId="9081" xr:uid="{70A9E195-9259-4A5F-9ED0-1E9C474FE85F}"/>
    <cellStyle name="Euro 7 3 4" xfId="2802" xr:uid="{584E6976-125C-48CD-AAFE-FBE4CAE3C356}"/>
    <cellStyle name="Euro 7 3 4 2" xfId="13669" xr:uid="{6F005D91-267F-4927-B077-86407CFDF430}"/>
    <cellStyle name="Euro 7 3 5" xfId="11707" xr:uid="{61D31B28-5287-4250-996C-CC17E9DE366E}"/>
    <cellStyle name="Euro 7 4" xfId="1460" xr:uid="{00000000-0005-0000-0000-0000AF010000}"/>
    <cellStyle name="Euro 7 4 2" xfId="1461" xr:uid="{00000000-0005-0000-0000-0000B0010000}"/>
    <cellStyle name="Euro 7 4 2 2" xfId="9082" xr:uid="{E65AB352-DC2E-4646-9E33-61753AD1268A}"/>
    <cellStyle name="Euro 7 4 2 3" xfId="17786" xr:uid="{47C54A38-2368-45E1-90D2-1334E514F2D1}"/>
    <cellStyle name="Euro 7 4 2 4" xfId="17430" xr:uid="{CD0BB12E-5A3D-4D68-8060-CB1EA9F0593E}"/>
    <cellStyle name="Euro 7 4 3" xfId="9083" xr:uid="{DBFEDDD4-E4A4-4B4A-8630-0C6ADF37D62D}"/>
    <cellStyle name="Euro 7 5" xfId="1462" xr:uid="{00000000-0005-0000-0000-0000B1010000}"/>
    <cellStyle name="Euro 7 6" xfId="2803" xr:uid="{A2FDC9C4-D79D-4E8D-A66F-5DD100B06AB1}"/>
    <cellStyle name="Euro 7 6 2" xfId="9643" xr:uid="{02CCC245-BF44-4B66-8DA1-B611D17ACF0C}"/>
    <cellStyle name="Euro 8" xfId="230" xr:uid="{00000000-0005-0000-0000-0000B2010000}"/>
    <cellStyle name="Euro 8 2" xfId="231" xr:uid="{00000000-0005-0000-0000-0000B3010000}"/>
    <cellStyle name="Euro 8 2 2" xfId="2804" xr:uid="{3F3E1FB7-8983-41DB-BCA2-279AE1E5490B}"/>
    <cellStyle name="Euro 8 2 2 2" xfId="13422" xr:uid="{2B2DC066-F8EA-46F5-9457-C6C40FD9A2D7}"/>
    <cellStyle name="Euro 8 2 3" xfId="13101" xr:uid="{1DA852B3-05A5-4CFF-AB67-1A471D0C0B88}"/>
    <cellStyle name="Euro 8 3" xfId="232" xr:uid="{00000000-0005-0000-0000-0000B4010000}"/>
    <cellStyle name="Euro 8 3 2" xfId="233" xr:uid="{00000000-0005-0000-0000-0000B5010000}"/>
    <cellStyle name="Euro 8 3 2 2" xfId="1463" xr:uid="{00000000-0005-0000-0000-0000B6010000}"/>
    <cellStyle name="Euro 8 3 2 3" xfId="7762" xr:uid="{DED7CF59-91CA-4BA4-A468-F93875C8D5E5}"/>
    <cellStyle name="Euro 8 3 2 3 2" xfId="13882" xr:uid="{D50C9790-2142-4183-A403-4229BE304D1F}"/>
    <cellStyle name="Euro 8 3 3" xfId="2805" xr:uid="{0774113B-D4CD-4E75-A7A6-14263932FD40}"/>
    <cellStyle name="Euro 8 3 3 2" xfId="9084" xr:uid="{10F4C8B1-1B42-49B6-9BFE-B24EF90E9B82}"/>
    <cellStyle name="Euro 8 3 4" xfId="2806" xr:uid="{98042DA7-A808-4894-BD7F-67CE9B680396}"/>
    <cellStyle name="Euro 8 3 4 2" xfId="13670" xr:uid="{6CCF93ED-399B-4224-8C8C-F79F858FCE09}"/>
    <cellStyle name="Euro 8 3 5" xfId="12168" xr:uid="{12203702-E672-4FF9-A2D3-05B1A13B28DE}"/>
    <cellStyle name="Euro 8 4" xfId="1464" xr:uid="{00000000-0005-0000-0000-0000B7010000}"/>
    <cellStyle name="Euro 8 4 2" xfId="1465" xr:uid="{00000000-0005-0000-0000-0000B8010000}"/>
    <cellStyle name="Euro 8 4 2 2" xfId="9085" xr:uid="{63B66D20-A868-48C0-9BCF-6C00C8CB2ADA}"/>
    <cellStyle name="Euro 8 4 2 3" xfId="17787" xr:uid="{BFA1C69D-7ED8-4560-87A5-48CE050854E2}"/>
    <cellStyle name="Euro 8 4 2 4" xfId="17429" xr:uid="{60915237-9F7A-4610-B9C9-EE00581567E9}"/>
    <cellStyle name="Euro 8 4 3" xfId="9086" xr:uid="{3D301C84-19EA-44B4-8FB2-D62FF3BFD916}"/>
    <cellStyle name="Euro 8 5" xfId="1466" xr:uid="{00000000-0005-0000-0000-0000B9010000}"/>
    <cellStyle name="Euro 8 6" xfId="2807" xr:uid="{F0A6F14F-DB48-403B-B5A7-DD529AD7368B}"/>
    <cellStyle name="Euro 8 6 2" xfId="9644" xr:uid="{ED393FA8-9621-4FDD-91CB-454D4F15B5AF}"/>
    <cellStyle name="Euro 9" xfId="234" xr:uid="{00000000-0005-0000-0000-0000BA010000}"/>
    <cellStyle name="Euro 9 2" xfId="235" xr:uid="{00000000-0005-0000-0000-0000BB010000}"/>
    <cellStyle name="Euro 9 2 2" xfId="2808" xr:uid="{883CFC32-AF9F-4156-B184-D2E8CC2A726B}"/>
    <cellStyle name="Euro 9 2 2 2" xfId="13423" xr:uid="{3FCD1F98-8279-42CB-97FF-93D45E4587B1}"/>
    <cellStyle name="Euro 9 2 3" xfId="13102" xr:uid="{9923ED03-DF20-47DC-B700-878BC3188377}"/>
    <cellStyle name="Euro 9 3" xfId="236" xr:uid="{00000000-0005-0000-0000-0000BC010000}"/>
    <cellStyle name="Euro 9 3 2" xfId="237" xr:uid="{00000000-0005-0000-0000-0000BD010000}"/>
    <cellStyle name="Euro 9 3 2 2" xfId="1467" xr:uid="{00000000-0005-0000-0000-0000BE010000}"/>
    <cellStyle name="Euro 9 3 2 3" xfId="7763" xr:uid="{98B68C2D-4CF8-4162-A72C-BE544D66256B}"/>
    <cellStyle name="Euro 9 3 2 3 2" xfId="13883" xr:uid="{C9699F19-D175-4A81-BD69-98BB9B4BE7C8}"/>
    <cellStyle name="Euro 9 3 3" xfId="2809" xr:uid="{8D99E67A-5527-4696-9534-C18DB320C3A5}"/>
    <cellStyle name="Euro 9 3 3 2" xfId="9087" xr:uid="{7C5ECF63-C302-4D78-9610-BEE2567B63DD}"/>
    <cellStyle name="Euro 9 3 4" xfId="2810" xr:uid="{36FFD0E8-7D5E-4D70-8C8B-7DF530B645C2}"/>
    <cellStyle name="Euro 9 3 4 2" xfId="13671" xr:uid="{FA699BC5-D64C-4278-B3D8-155E12518492}"/>
    <cellStyle name="Euro 9 3 5" xfId="12277" xr:uid="{CEE00C91-C7C3-45C2-8EB5-1ED1816F19E2}"/>
    <cellStyle name="Euro 9 4" xfId="1468" xr:uid="{00000000-0005-0000-0000-0000BF010000}"/>
    <cellStyle name="Euro 9 4 2" xfId="1469" xr:uid="{00000000-0005-0000-0000-0000C0010000}"/>
    <cellStyle name="Euro 9 4 2 2" xfId="9088" xr:uid="{6DBB9F09-4075-4273-996A-5BB5AD9A91A4}"/>
    <cellStyle name="Euro 9 4 2 3" xfId="17788" xr:uid="{9274C356-E27E-48F3-92C6-B6F497D86BBA}"/>
    <cellStyle name="Euro 9 4 2 4" xfId="17428" xr:uid="{3022F5E8-44C8-49A2-97C8-43FDEE9D4DC5}"/>
    <cellStyle name="Euro 9 4 3" xfId="9089" xr:uid="{F3B125C2-FCE2-440D-8139-2DEBC7FE70FB}"/>
    <cellStyle name="Euro 9 5" xfId="1470" xr:uid="{00000000-0005-0000-0000-0000C1010000}"/>
    <cellStyle name="Euro 9 6" xfId="2811" xr:uid="{21BC70AD-71F4-4186-AF5E-A6C6D4637D6C}"/>
    <cellStyle name="Euro 9 6 2" xfId="9645" xr:uid="{F7D012B1-2E2C-4486-9689-CEF6A806171C}"/>
    <cellStyle name="Explanatory Text 2" xfId="1253" xr:uid="{00000000-0005-0000-0000-0000C2010000}"/>
    <cellStyle name="Explanatory Text 2 2" xfId="23825" xr:uid="{BFE34264-3946-4BDD-A813-CF18472F6E53}"/>
    <cellStyle name="Fixed" xfId="32273" xr:uid="{39826939-4703-4FD0-A551-840E1E9EEC4E}"/>
    <cellStyle name="Fixed2 - Type2" xfId="238" xr:uid="{00000000-0005-0000-0000-0000C3010000}"/>
    <cellStyle name="Good 2" xfId="1471" xr:uid="{00000000-0005-0000-0000-0000C4010000}"/>
    <cellStyle name="Good 2 2" xfId="23826" xr:uid="{B8E24522-BA63-41D9-B3A2-92CBEB2D6747}"/>
    <cellStyle name="Heading 1 2" xfId="1254" xr:uid="{00000000-0005-0000-0000-0000C5010000}"/>
    <cellStyle name="Heading 1 2 2" xfId="23827" xr:uid="{474ED899-1DA8-4AF7-9DEE-2671709E01E3}"/>
    <cellStyle name="Heading 1 3" xfId="1255" xr:uid="{00000000-0005-0000-0000-0000C6010000}"/>
    <cellStyle name="Heading 2 2" xfId="1256" xr:uid="{00000000-0005-0000-0000-0000C7010000}"/>
    <cellStyle name="Heading 2 2 2" xfId="23828" xr:uid="{ACC1E28D-B92F-4701-B16C-888087F42E99}"/>
    <cellStyle name="Heading 3 2" xfId="23829" xr:uid="{4B4F4F95-358E-4A97-8A18-ED215D9CBF8C}"/>
    <cellStyle name="Heading 4 2" xfId="23830" xr:uid="{2892199B-1DED-4E05-8B5D-C7D5C26A341D}"/>
    <cellStyle name="Headline" xfId="30236" xr:uid="{C9C11F8A-0143-49B0-BE1F-C94A2D40534C}"/>
    <cellStyle name="Hyperlink" xfId="1257" builtinId="8"/>
    <cellStyle name="Hyperlink 2" xfId="1472" xr:uid="{00000000-0005-0000-0000-0000C9010000}"/>
    <cellStyle name="Hyperlink 2 2" xfId="11710" xr:uid="{D870EF83-0527-4625-9F50-DABC2963ECC8}"/>
    <cellStyle name="Hyperlink 2 2 2" xfId="23831" xr:uid="{8F85E33E-3DA4-4BC8-AF7B-8660EDFE2D21}"/>
    <cellStyle name="Hyperlink 2 3" xfId="11233" xr:uid="{06386FD7-70BA-41A2-A891-461D20006B33}"/>
    <cellStyle name="Hyperlink 2 4" xfId="12193" xr:uid="{2042FE49-CA64-4E4D-B7B8-E7E945F76D32}"/>
    <cellStyle name="Hyperlink 2 5" xfId="10616" xr:uid="{39CF92D8-0B57-448B-9409-1BDDABF0035A}"/>
    <cellStyle name="Hyperlink 2 6" xfId="9090" xr:uid="{FFD2F9AB-A4BD-459B-9FE5-F506D9844EFB}"/>
    <cellStyle name="Hyperlink 3" xfId="6978" xr:uid="{6D9180E0-72F8-4B64-9472-57AAB153B8FC}"/>
    <cellStyle name="Hyperlink 3 2" xfId="23832" xr:uid="{E6AE486F-0079-4C85-9BE9-7312FDF02E9F}"/>
    <cellStyle name="Input 2" xfId="239" xr:uid="{00000000-0005-0000-0000-0000CA010000}"/>
    <cellStyle name="Input 2 10" xfId="32708" xr:uid="{7F71A6A0-CFC6-45FD-8E5C-3DEDF33B50B5}"/>
    <cellStyle name="Input 2 2" xfId="240" xr:uid="{00000000-0005-0000-0000-0000CB010000}"/>
    <cellStyle name="Input 2 2 2" xfId="1473" xr:uid="{00000000-0005-0000-0000-0000CC010000}"/>
    <cellStyle name="Input 2 2 2 2" xfId="17789" xr:uid="{A8FFBA0C-5AA8-4AB8-B5E3-9A277F663F1F}"/>
    <cellStyle name="Input 2 2 2 2 2" xfId="35572" xr:uid="{A7E68ADA-FD70-4237-8715-E7E447B8BE54}"/>
    <cellStyle name="Input 2 2 2 3" xfId="32710" xr:uid="{E2D4152E-736F-4DE6-92C4-566BB9200F6F}"/>
    <cellStyle name="Input 2 2 3" xfId="17707" xr:uid="{77C48FEA-D388-41CE-B7FA-FB91F0F99C6C}"/>
    <cellStyle name="Input 2 2 3 2" xfId="35057" xr:uid="{6213A8DF-60FF-4D5F-8D12-AF0F731DF361}"/>
    <cellStyle name="Input 2 2 4" xfId="30244" xr:uid="{B1DA42C3-7A1A-4AFA-B606-77422487F0C0}"/>
    <cellStyle name="Input 2 2 4 2" xfId="35058" xr:uid="{DB79899C-E4B6-4889-A015-F90F59179454}"/>
    <cellStyle name="Input 2 2 5" xfId="30245" xr:uid="{531E4C9D-03CD-4316-AAA0-05E10A10F511}"/>
    <cellStyle name="Input 2 2 5 2" xfId="35059" xr:uid="{B21F105C-1441-4034-882C-764138A66255}"/>
    <cellStyle name="Input 2 2 6" xfId="32709" xr:uid="{EA047669-B027-4EB8-A3B9-56342A6E922E}"/>
    <cellStyle name="Input 2 3" xfId="1474" xr:uid="{00000000-0005-0000-0000-0000CD010000}"/>
    <cellStyle name="Input 2 3 2" xfId="17701" xr:uid="{4668ACC9-5A86-4824-8F2F-6339F04EC724}"/>
    <cellStyle name="Input 2 3 2 2" xfId="35069" xr:uid="{21235F4A-40E2-4D87-8171-A6239F7833EA}"/>
    <cellStyle name="Input 2 3 3" xfId="32711" xr:uid="{C840B38A-B9D2-448C-A274-6B50DFA40076}"/>
    <cellStyle name="Input 2 4" xfId="9091" xr:uid="{E15EE4A9-D3F8-4022-A507-A9B567D75E7F}"/>
    <cellStyle name="Input 2 4 2" xfId="32623" xr:uid="{5744BD8B-A866-48F0-BD30-E37EB9D6F158}"/>
    <cellStyle name="Input 2 4 2 2" xfId="35573" xr:uid="{1A5B1314-6805-4881-AAB1-E26997E095EE}"/>
    <cellStyle name="Input 2 4 3" xfId="32712" xr:uid="{421505B6-3A2E-4342-8C5A-128EF35328DB}"/>
    <cellStyle name="Input 2 5" xfId="9092" xr:uid="{90196352-EE0A-40EC-96F1-BBCFFBAB7FAB}"/>
    <cellStyle name="Input 2 5 2" xfId="32624" xr:uid="{BAF2CD1E-7C3A-42CB-A39B-9284D3DF3AC5}"/>
    <cellStyle name="Input 2 5 2 2" xfId="35574" xr:uid="{1B3E53F9-D770-4741-A883-F6BE28A259BA}"/>
    <cellStyle name="Input 2 5 3" xfId="32713" xr:uid="{429704E0-8749-4E44-9AFC-F77864AD21F1}"/>
    <cellStyle name="Input 2 6" xfId="9093" xr:uid="{7DAE3F3B-AA19-40D7-9AB0-C0014A25585F}"/>
    <cellStyle name="Input 2 6 2" xfId="32625" xr:uid="{00CBA800-1E38-4BCF-84A4-2CE7AE55755D}"/>
    <cellStyle name="Input 2 6 2 2" xfId="35575" xr:uid="{F976C1E6-EA73-4756-8F2F-854A558C16EA}"/>
    <cellStyle name="Input 2 6 3" xfId="32714" xr:uid="{CAF8437F-A8C8-439A-BA47-0D07E4535DB4}"/>
    <cellStyle name="Input 2 7" xfId="9094" xr:uid="{4BEB6259-C0E2-4FFE-A18A-3878D1D02720}"/>
    <cellStyle name="Input 2 7 2" xfId="32626" xr:uid="{B41C46F3-EB9A-4A93-879B-360C42365D93}"/>
    <cellStyle name="Input 2 7 2 2" xfId="35576" xr:uid="{81E5EFE2-B725-4A3C-B40F-F9431302A38A}"/>
    <cellStyle name="Input 2 7 3" xfId="32715" xr:uid="{F210A871-9983-4C08-BC47-2BBDCCA7DC16}"/>
    <cellStyle name="Input 2 8" xfId="23833" xr:uid="{BBFFDD57-7DEC-4B20-9C86-02D6EC60E4E2}"/>
    <cellStyle name="Input 2 8 2" xfId="32627" xr:uid="{AB2FBEF2-077A-4AE2-BAEF-B8D2DB9C13AC}"/>
    <cellStyle name="Input 2 8 2 2" xfId="35577" xr:uid="{DE38578A-EED8-4B75-A87F-A50386CDDC5A}"/>
    <cellStyle name="Input 2 8 3" xfId="32716" xr:uid="{12DD70F5-A928-479F-9480-65CE75BF0BB1}"/>
    <cellStyle name="Input 2 9" xfId="32628" xr:uid="{5FDDAA63-0559-4105-9236-B0CA03D11312}"/>
    <cellStyle name="Input 2 9 2" xfId="35578" xr:uid="{4B0C2EC9-2F87-4F30-A7D2-4D07416AF170}"/>
    <cellStyle name="Input 3" xfId="241" xr:uid="{00000000-0005-0000-0000-0000CE010000}"/>
    <cellStyle name="Input 3 2" xfId="1475" xr:uid="{00000000-0005-0000-0000-0000CF010000}"/>
    <cellStyle name="Input 3 2 2" xfId="2812" xr:uid="{EF4791D3-2837-44D6-9F1E-8B294D314839}"/>
    <cellStyle name="Input 3 2 2 2" xfId="35579" xr:uid="{C4D2D2BF-CD6F-43F8-96A2-D599A4ED2A93}"/>
    <cellStyle name="Input 3 2 2 3" xfId="32629" xr:uid="{D39187F5-6DFB-4926-8EBC-9BF49F2539B0}"/>
    <cellStyle name="Input 3 2 3" xfId="10617" xr:uid="{A23077EF-3BEE-4232-AF33-1A6648AC1356}"/>
    <cellStyle name="Input 3 3" xfId="7764" xr:uid="{F2A59D17-11E4-4075-94F0-6E5F66BC6896}"/>
    <cellStyle name="Input 3 3 2" xfId="12162" xr:uid="{A1194578-315E-4685-9B92-721F3790953B}"/>
    <cellStyle name="Input 3 3 3" xfId="11711" xr:uid="{121742E5-C038-42A5-A5D0-EA5FBEB38F27}"/>
    <cellStyle name="Input 3 4" xfId="9095" xr:uid="{C5F6B28A-5B03-4F9A-B238-DB70EB7C7E14}"/>
    <cellStyle name="Input 3 4 2" xfId="11499" xr:uid="{9FF8AD37-6AC0-49D0-950C-E5219CA68631}"/>
    <cellStyle name="Input 3 4 2 2" xfId="35580" xr:uid="{E80339B2-3C73-4BA6-BB85-213D5D4544A6}"/>
    <cellStyle name="Input 3 4 3" xfId="11234" xr:uid="{507B8995-EF7F-4AFF-8352-E9901E78AE36}"/>
    <cellStyle name="Input 3 4 3 2" xfId="32718" xr:uid="{C41F4BFE-3DB6-474A-878A-D69D8314DF8E}"/>
    <cellStyle name="Input 3 5" xfId="9096" xr:uid="{599FAAD2-D003-458E-A78E-B3C2B7368166}"/>
    <cellStyle name="Input 3 5 2" xfId="32630" xr:uid="{873B1056-FF0F-43D7-B74F-98BC29925DEF}"/>
    <cellStyle name="Input 3 5 2 2" xfId="35581" xr:uid="{2E749988-948C-4564-B2DF-DF91E27DA1A3}"/>
    <cellStyle name="Input 3 5 3" xfId="32719" xr:uid="{B7F72FEE-762D-4C17-9B19-0DA6B28073DC}"/>
    <cellStyle name="Input 3 6" xfId="9097" xr:uid="{ECA7494D-C346-4FF2-BEB7-67BEECD405EE}"/>
    <cellStyle name="Input 3 6 2" xfId="32631" xr:uid="{AF5FF29A-2998-46A5-9A48-3CDC24EDA7F6}"/>
    <cellStyle name="Input 3 6 2 2" xfId="35582" xr:uid="{FC63643E-06EC-4BBE-9FD4-A601A7CFB634}"/>
    <cellStyle name="Input 3 6 3" xfId="32720" xr:uid="{3CFB08FC-5A37-4F55-9766-33759B513E69}"/>
    <cellStyle name="Input 3 7" xfId="23836" xr:uid="{93F7E831-2301-4B90-9085-A4D2CE167662}"/>
    <cellStyle name="Input 3 8" xfId="32632" xr:uid="{FD8E3543-81A5-4D88-9CAD-59F7FE41FECC}"/>
    <cellStyle name="Input 3 8 2" xfId="35583" xr:uid="{71184BEC-FD0C-4BD8-AF3E-D4826CD69E7E}"/>
    <cellStyle name="Input 3 9" xfId="32717" xr:uid="{09F6595D-FB0F-403E-9F39-00524E394964}"/>
    <cellStyle name="Input 4" xfId="9098" xr:uid="{ABD91A54-7A61-46BE-A44E-6ACE74D143F0}"/>
    <cellStyle name="Input 4 2" xfId="18036" xr:uid="{BBDAF0C3-A143-4D9B-92D8-3F6094F79B0A}"/>
    <cellStyle name="Input 4 2 2" xfId="35584" xr:uid="{B6714024-053A-4AC0-A8BC-F947B112C266}"/>
    <cellStyle name="Input 4 3" xfId="32721" xr:uid="{3BC45B3B-4F07-4946-99F7-C0C5448B649A}"/>
    <cellStyle name="InputCells" xfId="242" xr:uid="{00000000-0005-0000-0000-0000D0010000}"/>
    <cellStyle name="InputCells12_BBorder" xfId="30237" xr:uid="{B31086C5-C159-4D21-8A3C-D44DCE9812C4}"/>
    <cellStyle name="Komma 10" xfId="23839" xr:uid="{9EFBF389-645F-495A-A1EF-FF108DA4534B}"/>
    <cellStyle name="Komma 10 2" xfId="23840" xr:uid="{4ADC485A-6071-4A78-BD8E-C8977CAF1F9C}"/>
    <cellStyle name="Komma 10 2 2" xfId="48696" xr:uid="{1CF62CA9-AC7E-41B5-A487-DC84A804C516}"/>
    <cellStyle name="Komma 10 2 3" xfId="49604" xr:uid="{C1FDC9C1-C8A6-44EF-B26A-1870F8864DC3}"/>
    <cellStyle name="Komma 10 3" xfId="48695" xr:uid="{CEFFC0E7-05C2-4AB4-A444-279BE66547F0}"/>
    <cellStyle name="Komma 10 4" xfId="49603" xr:uid="{6AF6965B-7B6D-4587-BB28-7BEF5211C6A4}"/>
    <cellStyle name="Komma 11" xfId="23841" xr:uid="{969D2678-BAA2-4F80-BE4B-3D5D3AE5F07F}"/>
    <cellStyle name="Komma 11 2" xfId="48697" xr:uid="{F0A70F9C-01FE-43DA-AD06-3C42B411A00B}"/>
    <cellStyle name="Komma 11 3" xfId="49605" xr:uid="{21D36CDE-F8B1-4FF3-9519-B4262E7D9A10}"/>
    <cellStyle name="Komma 2" xfId="1476" xr:uid="{00000000-0005-0000-0000-0000D1010000}"/>
    <cellStyle name="Komma 2 10" xfId="14972" xr:uid="{223AF3EC-D5B1-4CED-9D26-08F3EA6ABFB0}"/>
    <cellStyle name="Komma 2 10 2" xfId="22514" xr:uid="{F761B4F7-DCE2-46F9-9C03-6890EEAAACF5}"/>
    <cellStyle name="Komma 2 10 3" xfId="32403" xr:uid="{C74C2BFE-B08C-4883-A6A9-43CE85A286F4}"/>
    <cellStyle name="Komma 2 10 4" xfId="51852" xr:uid="{CB2B434F-BEF8-488C-9964-7BC8C281A355}"/>
    <cellStyle name="Komma 2 10 5" xfId="54868" xr:uid="{5E1AF604-665F-46D6-9E1D-36DE3BF6A2A9}"/>
    <cellStyle name="Komma 2 11" xfId="15459" xr:uid="{343F928E-8D94-4F5C-9077-414B81907A9A}"/>
    <cellStyle name="Komma 2 11 2" xfId="22991" xr:uid="{6DD5BD2D-1770-4CC9-94D6-A2B03DDC3B76}"/>
    <cellStyle name="Komma 2 11 3" xfId="46693" xr:uid="{9D267C0C-3EAB-435C-9E6B-CE185C4ACBA6}"/>
    <cellStyle name="Komma 2 11 4" xfId="52329" xr:uid="{8428FAE6-2E48-4D07-8C83-AED18E314DE8}"/>
    <cellStyle name="Komma 2 11 5" xfId="55345" xr:uid="{61CD7D4C-DAC3-4812-A38C-AFA9B3539CA1}"/>
    <cellStyle name="Komma 2 12" xfId="10618" xr:uid="{3789FCAA-2E2B-4507-B866-B8E081BC0776}"/>
    <cellStyle name="Komma 2 12 2" xfId="21253" xr:uid="{F8AB18BC-B79C-40EC-9E20-D9B0C515DA69}"/>
    <cellStyle name="Komma 2 12 3" xfId="47560" xr:uid="{0CD46DA6-EF3F-484A-9419-F830FB15BDDF}"/>
    <cellStyle name="Komma 2 12 4" xfId="50268" xr:uid="{5F25B996-8558-42FF-ABEB-765CDDD6A99C}"/>
    <cellStyle name="Komma 2 12 5" xfId="53284" xr:uid="{9337ABF7-8DE5-48B0-BD13-8160FCDA7119}"/>
    <cellStyle name="Komma 2 13" xfId="19499" xr:uid="{567797AA-8618-482B-886C-D4601FFDC79A}"/>
    <cellStyle name="Komma 2 14" xfId="23842" xr:uid="{93670982-3F1D-4B68-80E0-D7411E52BEBF}"/>
    <cellStyle name="Komma 2 15" xfId="48698" xr:uid="{C9E66FA2-8CAB-4DBD-9F0F-50DD1C6F768B}"/>
    <cellStyle name="Komma 2 16" xfId="49606" xr:uid="{8431C1E4-5A7F-4EE5-86BE-86CED4D5A828}"/>
    <cellStyle name="Komma 2 17" xfId="49792" xr:uid="{DF7B4766-EDA5-42C3-BC4A-4029ECC45DE1}"/>
    <cellStyle name="Komma 2 18" xfId="52807" xr:uid="{DAD08A32-A16A-43D0-A6CC-6091D5C4D518}"/>
    <cellStyle name="Komma 2 2" xfId="2813" xr:uid="{3B8F8072-1FFC-430B-A0F4-6C721347CCFC}"/>
    <cellStyle name="Komma 2 2 10" xfId="15499" xr:uid="{F52EB95A-D6D1-4577-A45C-A38EF6588B04}"/>
    <cellStyle name="Komma 2 2 10 2" xfId="23029" xr:uid="{AED60F6E-0897-4DE9-8222-5324B5C11C86}"/>
    <cellStyle name="Komma 2 2 10 3" xfId="47347" xr:uid="{1D13422C-A540-4D9E-8C53-A672B727FC04}"/>
    <cellStyle name="Komma 2 2 10 4" xfId="52367" xr:uid="{1123ECA9-EC12-4317-9614-9D5D35C7A273}"/>
    <cellStyle name="Komma 2 2 10 5" xfId="55383" xr:uid="{8B5F09C8-9791-4D0C-812C-E77C7FE8DD77}"/>
    <cellStyle name="Komma 2 2 11" xfId="11236" xr:uid="{08CF095F-8A29-4B09-9A25-9D5139973957}"/>
    <cellStyle name="Komma 2 2 11 2" xfId="46279" xr:uid="{4554A073-F04B-43B0-B653-FCC0BB8ADA89}"/>
    <cellStyle name="Komma 2 2 11 3" xfId="50715" xr:uid="{FBE5DFD4-1A1D-428A-9B9D-C729AD85616A}"/>
    <cellStyle name="Komma 2 2 11 4" xfId="53731" xr:uid="{BF01F49E-9822-492E-8392-568C99E69BE1}"/>
    <cellStyle name="Komma 2 2 12" xfId="23843" xr:uid="{0873259C-D48D-4786-A1C5-004B190AF251}"/>
    <cellStyle name="Komma 2 2 13" xfId="48699" xr:uid="{1FB19D9C-4620-4FD9-9D39-4F2B18E66FBE}"/>
    <cellStyle name="Komma 2 2 14" xfId="49607" xr:uid="{B6D9A2A2-ACA2-40D8-A0DB-33E891B41E60}"/>
    <cellStyle name="Komma 2 2 15" xfId="49830" xr:uid="{BCA4E409-908D-4395-BE63-B754A9EDDB6A}"/>
    <cellStyle name="Komma 2 2 16" xfId="52845" xr:uid="{7552C780-88D5-4572-8680-D6872410E41B}"/>
    <cellStyle name="Komma 2 2 2" xfId="9099" xr:uid="{EE308707-EA12-481B-B003-BE62B3CA39F0}"/>
    <cellStyle name="Komma 2 2 2 10" xfId="12164" xr:uid="{9D312770-AE5C-42E5-AD9D-FF03C9C632AC}"/>
    <cellStyle name="Komma 2 2 2 10 2" xfId="46305" xr:uid="{05FF3C81-8C4D-41FD-B1E9-E556EA65BBDE}"/>
    <cellStyle name="Komma 2 2 2 10 3" xfId="50933" xr:uid="{A63E7EB2-6AA0-4781-9024-15BFFE4C87F6}"/>
    <cellStyle name="Komma 2 2 2 10 4" xfId="53949" xr:uid="{A6B575A2-B669-41A4-B959-9158EA61265C}"/>
    <cellStyle name="Komma 2 2 2 11" xfId="23844" xr:uid="{C25FD3F9-374E-4E11-A560-5024DF7A17C9}"/>
    <cellStyle name="Komma 2 2 2 12" xfId="48700" xr:uid="{A1B34CD7-F8AE-4FC5-B343-1ACFDC8516D7}"/>
    <cellStyle name="Komma 2 2 2 13" xfId="49608" xr:uid="{98F3FFC3-8E0F-4037-9AC9-D15B2F03C300}"/>
    <cellStyle name="Komma 2 2 2 14" xfId="49831" xr:uid="{87B2CA32-8DC6-43FD-8DB4-9CEA39B215D2}"/>
    <cellStyle name="Komma 2 2 2 15" xfId="52846" xr:uid="{73C39D2A-D8D2-4857-85D9-FA85F4AEC2B8}"/>
    <cellStyle name="Komma 2 2 2 2" xfId="10041" xr:uid="{C42621ED-86B9-43D6-AEC8-4E19157CBB86}"/>
    <cellStyle name="Komma 2 2 2 2 2" xfId="10349" xr:uid="{B9298C12-E32B-42A1-BC7F-70588CD382B7}"/>
    <cellStyle name="Komma 2 2 2 2 2 2" xfId="14794" xr:uid="{3C71AD2E-8A44-4C32-B08B-705347F08834}"/>
    <cellStyle name="Komma 2 2 2 2 2 2 2" xfId="22341" xr:uid="{4A5FBD4D-1D30-405A-8186-AE6586D3413F}"/>
    <cellStyle name="Komma 2 2 2 2 2 2 3" xfId="48210" xr:uid="{3C5B128D-5A66-442A-BF4D-36FA896CCE2F}"/>
    <cellStyle name="Komma 2 2 2 2 2 2 4" xfId="51679" xr:uid="{60647824-2B39-44C2-91C2-2BDB333016CC}"/>
    <cellStyle name="Komma 2 2 2 2 2 2 5" xfId="54695" xr:uid="{467BC4BD-2105-4BDE-939A-D2F9BB13CB69}"/>
    <cellStyle name="Komma 2 2 2 2 2 3" xfId="15279" xr:uid="{9C877B93-DD3E-4822-99FB-258FE1BCAF77}"/>
    <cellStyle name="Komma 2 2 2 2 2 3 2" xfId="22818" xr:uid="{522F90A6-1E5B-4D7E-8843-1F7EB21C34B7}"/>
    <cellStyle name="Komma 2 2 2 2 2 3 3" xfId="24659" xr:uid="{09AEA0F5-DDFF-4387-BB83-D72670496713}"/>
    <cellStyle name="Komma 2 2 2 2 2 3 4" xfId="52156" xr:uid="{3650644D-6074-40DC-9C84-5B5AFD9C3973}"/>
    <cellStyle name="Komma 2 2 2 2 2 3 5" xfId="55172" xr:uid="{9FFA5082-B807-4A6F-9DC9-DD956F7A0DF5}"/>
    <cellStyle name="Komma 2 2 2 2 2 4" xfId="15766" xr:uid="{873B1ADA-2EC2-4A90-A920-56A3E3341C96}"/>
    <cellStyle name="Komma 2 2 2 2 2 4 2" xfId="23295" xr:uid="{EF77F576-3F91-4D8E-B20E-AD56DCCAEE2C}"/>
    <cellStyle name="Komma 2 2 2 2 2 4 3" xfId="47200" xr:uid="{D859862D-3833-4248-A7C5-191AD83DBE5E}"/>
    <cellStyle name="Komma 2 2 2 2 2 4 4" xfId="52633" xr:uid="{D457E49F-C657-429D-9F6F-13C6E67910CF}"/>
    <cellStyle name="Komma 2 2 2 2 2 4 5" xfId="55649" xr:uid="{B14534E5-7420-484B-B24E-61CF62A51FA7}"/>
    <cellStyle name="Komma 2 2 2 2 2 5" xfId="12802" xr:uid="{8B1F90EE-6071-4FAD-A217-DA04B5CEBA7D}"/>
    <cellStyle name="Komma 2 2 2 2 2 5 2" xfId="47620" xr:uid="{2B955B14-649A-4413-B514-BC5B54400C26}"/>
    <cellStyle name="Komma 2 2 2 2 2 5 3" xfId="51202" xr:uid="{51474FB9-734D-4F24-9D47-79590B3A0996}"/>
    <cellStyle name="Komma 2 2 2 2 2 5 4" xfId="54218" xr:uid="{BC992FF6-795C-4E2F-9487-D901AFA487F2}"/>
    <cellStyle name="Komma 2 2 2 2 2 6" xfId="46095" xr:uid="{DA28C31E-A713-4097-A35E-895D042619A5}"/>
    <cellStyle name="Komma 2 2 2 2 2 7" xfId="50096" xr:uid="{F2E5199C-1BF1-45BD-8DE7-BB6090C3A632}"/>
    <cellStyle name="Komma 2 2 2 2 2 8" xfId="53112" xr:uid="{8246009A-34CA-43CD-B373-D216ED02DFEE}"/>
    <cellStyle name="Komma 2 2 2 2 3" xfId="14582" xr:uid="{446A2608-DA03-4A7B-B8C8-617C79E829E0}"/>
    <cellStyle name="Komma 2 2 2 2 3 2" xfId="22129" xr:uid="{2BB87012-3706-4081-A984-B605FBD4E612}"/>
    <cellStyle name="Komma 2 2 2 2 3 3" xfId="46838" xr:uid="{92083FB2-EBBE-4B70-9FF5-3023EE80F199}"/>
    <cellStyle name="Komma 2 2 2 2 3 4" xfId="51467" xr:uid="{251D83D4-B3F8-4709-A22F-83DB8F65B9A9}"/>
    <cellStyle name="Komma 2 2 2 2 3 5" xfId="54483" xr:uid="{87258AA4-3933-406E-8B3E-4F0E09241513}"/>
    <cellStyle name="Komma 2 2 2 2 4" xfId="15066" xr:uid="{F9160C92-016E-44D3-8664-F4D3D04F3919}"/>
    <cellStyle name="Komma 2 2 2 2 4 2" xfId="22606" xr:uid="{1D9706B8-2485-4F04-A2F4-6A73CFF6D481}"/>
    <cellStyle name="Komma 2 2 2 2 4 3" xfId="46876" xr:uid="{79E13506-8EF3-4BA4-9E00-E22B74F22CD6}"/>
    <cellStyle name="Komma 2 2 2 2 4 4" xfId="51944" xr:uid="{34CF4ADF-66C9-4D5E-B73F-1966544AE25E}"/>
    <cellStyle name="Komma 2 2 2 2 4 5" xfId="54960" xr:uid="{30C046F0-5442-42B0-8E4F-20B3317CE165}"/>
    <cellStyle name="Komma 2 2 2 2 5" xfId="15553" xr:uid="{B5C7E075-DD38-4284-85A2-1D874C7C50E2}"/>
    <cellStyle name="Komma 2 2 2 2 5 2" xfId="23083" xr:uid="{BFF3A105-8339-4987-8602-446A972EE617}"/>
    <cellStyle name="Komma 2 2 2 2 5 3" xfId="48078" xr:uid="{C8A65F5A-FE30-41A2-891E-50058B780239}"/>
    <cellStyle name="Komma 2 2 2 2 5 4" xfId="52421" xr:uid="{4C314DCA-AFDB-40A1-8980-34A048D1894B}"/>
    <cellStyle name="Komma 2 2 2 2 5 5" xfId="55437" xr:uid="{8460DADA-F5B1-4055-BFBF-09F586277C4B}"/>
    <cellStyle name="Komma 2 2 2 2 6" xfId="12501" xr:uid="{6B871243-A0AF-4B8E-A819-22EC808869A2}"/>
    <cellStyle name="Komma 2 2 2 2 6 2" xfId="46761" xr:uid="{CD1C8880-3F96-464D-9C51-F44C0B0CA203}"/>
    <cellStyle name="Komma 2 2 2 2 6 3" xfId="50990" xr:uid="{9251FD13-E824-4A6E-B10B-F29E7A8E028D}"/>
    <cellStyle name="Komma 2 2 2 2 6 4" xfId="54006" xr:uid="{EBA014DE-3B6C-4354-960A-E2B4216C2885}"/>
    <cellStyle name="Komma 2 2 2 2 7" xfId="47357" xr:uid="{FB9A68B7-4A82-4AA1-9D90-403BE0BDDA7A}"/>
    <cellStyle name="Komma 2 2 2 2 8" xfId="49884" xr:uid="{06441210-F1DD-4095-9FDB-B28F26D58200}"/>
    <cellStyle name="Komma 2 2 2 2 9" xfId="52900" xr:uid="{C1749CA5-8EC0-4F6F-B996-432D3C6D5CC7}"/>
    <cellStyle name="Komma 2 2 2 3" xfId="10115" xr:uid="{0BC79BD2-5C1B-4010-990A-DE46CE8D71FB}"/>
    <cellStyle name="Komma 2 2 2 3 2" xfId="10428" xr:uid="{10EB45F3-EA0A-4249-920A-FB775E61C870}"/>
    <cellStyle name="Komma 2 2 2 3 2 2" xfId="14847" xr:uid="{75B49FB3-7F80-4B16-8253-025209A7A36B}"/>
    <cellStyle name="Komma 2 2 2 3 2 2 2" xfId="22394" xr:uid="{2F8905E7-30E8-4C95-908E-128FA64D323A}"/>
    <cellStyle name="Komma 2 2 2 3 2 2 3" xfId="47107" xr:uid="{F0EF4061-4E9E-45C6-B29A-A98C53732EF7}"/>
    <cellStyle name="Komma 2 2 2 3 2 2 4" xfId="51732" xr:uid="{0FD103DA-715E-43E2-8F91-6978E53E7CEB}"/>
    <cellStyle name="Komma 2 2 2 3 2 2 5" xfId="54748" xr:uid="{2DE4904C-F1B9-43E1-A56C-377D5A0B2361}"/>
    <cellStyle name="Komma 2 2 2 3 2 3" xfId="15332" xr:uid="{30C27817-9138-42EE-A26B-EA65DA5BF167}"/>
    <cellStyle name="Komma 2 2 2 3 2 3 2" xfId="22871" xr:uid="{16C59773-9243-4733-A3FB-CB0220D5D342}"/>
    <cellStyle name="Komma 2 2 2 3 2 3 3" xfId="46516" xr:uid="{A154F279-EAA7-4DAC-8567-A335BC9F196C}"/>
    <cellStyle name="Komma 2 2 2 3 2 3 4" xfId="52209" xr:uid="{6F068C6C-CE5D-49EA-A3DC-618B403CD372}"/>
    <cellStyle name="Komma 2 2 2 3 2 3 5" xfId="55225" xr:uid="{293CDF6E-A6C8-48FC-A88D-7F0F40609E43}"/>
    <cellStyle name="Komma 2 2 2 3 2 4" xfId="15819" xr:uid="{DEF72972-1E51-413C-A92A-39B37BDAE409}"/>
    <cellStyle name="Komma 2 2 2 3 2 4 2" xfId="23348" xr:uid="{5EBABADA-E669-4640-8101-E3D55CFA599D}"/>
    <cellStyle name="Komma 2 2 2 3 2 4 3" xfId="47554" xr:uid="{7C30921E-45FF-4502-833C-3FA168D193AA}"/>
    <cellStyle name="Komma 2 2 2 3 2 4 4" xfId="52686" xr:uid="{BBEBDBEC-C22E-4451-AECF-2CAE9340A173}"/>
    <cellStyle name="Komma 2 2 2 3 2 4 5" xfId="55702" xr:uid="{62D7B3D7-9290-4171-9445-3D7DC67B410F}"/>
    <cellStyle name="Komma 2 2 2 3 2 5" xfId="12881" xr:uid="{1CA081F4-C4ED-42EE-830C-3864BEF09009}"/>
    <cellStyle name="Komma 2 2 2 3 2 5 2" xfId="48343" xr:uid="{679A5F08-DF9A-49C2-BDD2-B8849D53D899}"/>
    <cellStyle name="Komma 2 2 2 3 2 5 3" xfId="51255" xr:uid="{A2E2B1FC-3D81-456E-8C50-412EF6FF932C}"/>
    <cellStyle name="Komma 2 2 2 3 2 5 4" xfId="54271" xr:uid="{9317BF59-6D4F-46DD-8274-CF77FA5AA07C}"/>
    <cellStyle name="Komma 2 2 2 3 2 6" xfId="48030" xr:uid="{3861D9A7-32FC-4424-8759-5661D0A5AED7}"/>
    <cellStyle name="Komma 2 2 2 3 2 7" xfId="50149" xr:uid="{7F0CD24D-6318-41FC-84FE-A750198FA363}"/>
    <cellStyle name="Komma 2 2 2 3 2 8" xfId="53165" xr:uid="{8EFE6EE5-0BF3-4AF1-8BB5-437AB77D1C8D}"/>
    <cellStyle name="Komma 2 2 2 3 3" xfId="14635" xr:uid="{85034593-A872-4BDE-84B2-82D1E14291DB}"/>
    <cellStyle name="Komma 2 2 2 3 3 2" xfId="22182" xr:uid="{849059AC-A44C-45D1-BF99-022FDB6AD077}"/>
    <cellStyle name="Komma 2 2 2 3 3 3" xfId="25303" xr:uid="{31EA6A2A-AF30-41C2-88E4-8AFB89127E19}"/>
    <cellStyle name="Komma 2 2 2 3 3 4" xfId="51520" xr:uid="{4746A9EA-E230-41D8-84AA-CCBED683780B}"/>
    <cellStyle name="Komma 2 2 2 3 3 5" xfId="54536" xr:uid="{7B229813-1C95-4832-87EB-A6BA2195AF88}"/>
    <cellStyle name="Komma 2 2 2 3 4" xfId="15120" xr:uid="{B7BEB705-889B-48C5-812C-138A5565AF66}"/>
    <cellStyle name="Komma 2 2 2 3 4 2" xfId="22659" xr:uid="{5C5DE9DC-02FC-41D8-839B-ACCD2CDD34F4}"/>
    <cellStyle name="Komma 2 2 2 3 4 3" xfId="46484" xr:uid="{6606F60F-403E-40F7-BD35-D55BBAF3A0CE}"/>
    <cellStyle name="Komma 2 2 2 3 4 4" xfId="51997" xr:uid="{303D285B-BCDE-4712-901D-296A6484B542}"/>
    <cellStyle name="Komma 2 2 2 3 4 5" xfId="55013" xr:uid="{44B86FCB-D6DD-47B8-858E-6A911306185C}"/>
    <cellStyle name="Komma 2 2 2 3 5" xfId="15607" xr:uid="{DC8A3535-F964-4C93-9D86-A5F9FACAA179}"/>
    <cellStyle name="Komma 2 2 2 3 5 2" xfId="23136" xr:uid="{28508A8E-6249-4710-AC61-7B0CE674EB99}"/>
    <cellStyle name="Komma 2 2 2 3 5 3" xfId="48020" xr:uid="{464200EA-2A7C-470D-9465-9B9CAA436756}"/>
    <cellStyle name="Komma 2 2 2 3 5 4" xfId="52474" xr:uid="{32F74D68-3A30-4DCB-96C8-197062B1F1EB}"/>
    <cellStyle name="Komma 2 2 2 3 5 5" xfId="55490" xr:uid="{8D64B9B3-25D1-4F61-B4F5-D44E4B4DB7FB}"/>
    <cellStyle name="Komma 2 2 2 3 6" xfId="12572" xr:uid="{01C18950-9E34-4D8F-8197-D8D005817E5B}"/>
    <cellStyle name="Komma 2 2 2 3 6 2" xfId="48196" xr:uid="{C04A18D2-1D1A-4C72-9D1A-0DE67BCDB9A9}"/>
    <cellStyle name="Komma 2 2 2 3 6 3" xfId="51043" xr:uid="{E3BA1E47-C38F-4E36-99D3-5ACEF831CA1F}"/>
    <cellStyle name="Komma 2 2 2 3 6 4" xfId="54059" xr:uid="{EE7947FC-D433-4B22-9994-894E95033F97}"/>
    <cellStyle name="Komma 2 2 2 3 7" xfId="34574" xr:uid="{D7DF3A08-0FBB-4A3F-81D2-F84E44E2A8FE}"/>
    <cellStyle name="Komma 2 2 2 3 8" xfId="49937" xr:uid="{B8ED4905-F95D-4C8F-847E-E2DD906F0A9A}"/>
    <cellStyle name="Komma 2 2 2 3 9" xfId="52953" xr:uid="{F6C5996E-7505-43B3-A2E2-69100A6E6ADC}"/>
    <cellStyle name="Komma 2 2 2 4" xfId="10194" xr:uid="{0178CEB8-041E-48B5-A733-63AC80EC8D3D}"/>
    <cellStyle name="Komma 2 2 2 4 2" xfId="10508" xr:uid="{5C225131-E0CB-4792-8EBA-BEA1C358C697}"/>
    <cellStyle name="Komma 2 2 2 4 2 2" xfId="14900" xr:uid="{41B298A9-1698-4307-BC9A-25C98668DE60}"/>
    <cellStyle name="Komma 2 2 2 4 2 2 2" xfId="22447" xr:uid="{97840F8A-F7E9-4519-9B9F-D13410049D8E}"/>
    <cellStyle name="Komma 2 2 2 4 2 2 3" xfId="32524" xr:uid="{712D250D-6B3C-4858-80DF-1F1C6A125590}"/>
    <cellStyle name="Komma 2 2 2 4 2 2 4" xfId="51785" xr:uid="{77F93E99-60FF-4CAD-8EFD-DC15380177FD}"/>
    <cellStyle name="Komma 2 2 2 4 2 2 5" xfId="54801" xr:uid="{F8D0C82D-1AC8-40F2-92B1-7172F89297D3}"/>
    <cellStyle name="Komma 2 2 2 4 2 3" xfId="15385" xr:uid="{0542129B-C5AE-4C6A-A313-036273B1E137}"/>
    <cellStyle name="Komma 2 2 2 4 2 3 2" xfId="22924" xr:uid="{63ACF765-07FC-4D1C-BBC7-837A9E7E109B}"/>
    <cellStyle name="Komma 2 2 2 4 2 3 3" xfId="32282" xr:uid="{45CFF1CB-5E0E-4E3D-A581-784EC943F79B}"/>
    <cellStyle name="Komma 2 2 2 4 2 3 4" xfId="52262" xr:uid="{6ADD74DD-98F9-47BD-A422-CB56969C1BB6}"/>
    <cellStyle name="Komma 2 2 2 4 2 3 5" xfId="55278" xr:uid="{3C61E238-9E99-4E69-AFA8-3B74FC1CD2CC}"/>
    <cellStyle name="Komma 2 2 2 4 2 4" xfId="15872" xr:uid="{2B160122-6E92-4C9C-AF3E-5148857714C0}"/>
    <cellStyle name="Komma 2 2 2 4 2 4 2" xfId="23401" xr:uid="{AF895362-A86E-4F65-8613-BB2948EFBAB1}"/>
    <cellStyle name="Komma 2 2 2 4 2 4 3" xfId="47650" xr:uid="{2F792D8F-C253-4E4C-AB84-6F38F2441741}"/>
    <cellStyle name="Komma 2 2 2 4 2 4 4" xfId="52739" xr:uid="{8E7CE04F-983A-4D3F-8CF3-893A9E93375F}"/>
    <cellStyle name="Komma 2 2 2 4 2 4 5" xfId="55755" xr:uid="{D46F1415-EE6F-4A2C-9531-FBD7F32DF47B}"/>
    <cellStyle name="Komma 2 2 2 4 2 5" xfId="12961" xr:uid="{E4C73ECF-4551-4944-ACB8-E627DBBC4E2F}"/>
    <cellStyle name="Komma 2 2 2 4 2 5 2" xfId="36379" xr:uid="{90ECB1B0-B390-4517-A86A-A1ED225EFF08}"/>
    <cellStyle name="Komma 2 2 2 4 2 5 3" xfId="51308" xr:uid="{C6B405A7-1B24-4A85-8D38-A6E06A14582B}"/>
    <cellStyle name="Komma 2 2 2 4 2 5 4" xfId="54324" xr:uid="{2DEEC442-19E1-4BC5-BBAA-B85973A602B2}"/>
    <cellStyle name="Komma 2 2 2 4 2 6" xfId="46142" xr:uid="{0ECB5588-06FA-4362-813A-CAEA5800CE12}"/>
    <cellStyle name="Komma 2 2 2 4 2 7" xfId="50202" xr:uid="{279A796C-BDA1-47DF-B1F7-174EE63A677A}"/>
    <cellStyle name="Komma 2 2 2 4 2 8" xfId="53218" xr:uid="{41401243-EBE7-4466-A2B8-679EBEF9965E}"/>
    <cellStyle name="Komma 2 2 2 4 3" xfId="14688" xr:uid="{FF17A2F1-67B9-46FB-9B2B-66F555E5C38F}"/>
    <cellStyle name="Komma 2 2 2 4 3 2" xfId="22235" xr:uid="{198D20D6-E1AB-41AF-8FBE-192AA6DB20C8}"/>
    <cellStyle name="Komma 2 2 2 4 3 3" xfId="47480" xr:uid="{7697212A-A961-4DAE-8BD1-3629DE4635F4}"/>
    <cellStyle name="Komma 2 2 2 4 3 4" xfId="51573" xr:uid="{72D8D9CA-3C33-460A-BFB2-E9673222C2EE}"/>
    <cellStyle name="Komma 2 2 2 4 3 5" xfId="54589" xr:uid="{834C0330-5C5C-4C96-A274-C34FA4ABA0A6}"/>
    <cellStyle name="Komma 2 2 2 4 4" xfId="15173" xr:uid="{2497557A-8DFE-47A6-AFF1-66ACE2EF426F}"/>
    <cellStyle name="Komma 2 2 2 4 4 2" xfId="22712" xr:uid="{BC057868-F69C-484C-B198-8BD2676F3F39}"/>
    <cellStyle name="Komma 2 2 2 4 4 3" xfId="47247" xr:uid="{0C60555F-0322-41DA-BF65-FA38911AFE12}"/>
    <cellStyle name="Komma 2 2 2 4 4 4" xfId="52050" xr:uid="{E934793E-4069-48BF-9D8A-643303EF4123}"/>
    <cellStyle name="Komma 2 2 2 4 4 5" xfId="55066" xr:uid="{D72651A7-16F1-41DA-9BA1-4CD1851E253A}"/>
    <cellStyle name="Komma 2 2 2 4 5" xfId="15660" xr:uid="{39487EDD-20BC-48FF-A63A-48595F937525}"/>
    <cellStyle name="Komma 2 2 2 4 5 2" xfId="23189" xr:uid="{6401BDC9-9EBC-4472-8206-8424CEDC2466}"/>
    <cellStyle name="Komma 2 2 2 4 5 3" xfId="46566" xr:uid="{A4C302FD-7237-4E39-B9A0-84E625E12FD3}"/>
    <cellStyle name="Komma 2 2 2 4 5 4" xfId="52527" xr:uid="{E856F1AC-6F0B-49C7-859A-443AE4B4A95A}"/>
    <cellStyle name="Komma 2 2 2 4 5 5" xfId="55543" xr:uid="{87580844-DD54-4963-9ECC-D6902C0A9C32}"/>
    <cellStyle name="Komma 2 2 2 4 6" xfId="12648" xr:uid="{C05E0767-0695-49A3-8113-87E71BDDA594}"/>
    <cellStyle name="Komma 2 2 2 4 6 2" xfId="47693" xr:uid="{00A7406D-3C6C-4866-B65D-31FF90536878}"/>
    <cellStyle name="Komma 2 2 2 4 6 3" xfId="51096" xr:uid="{6DE696F2-6186-4A3D-A33F-9873236D5B41}"/>
    <cellStyle name="Komma 2 2 2 4 6 4" xfId="54112" xr:uid="{7CBD9D7E-4E5A-4A5D-9AD3-8AB0F5998CCB}"/>
    <cellStyle name="Komma 2 2 2 4 7" xfId="25378" xr:uid="{798366C3-B273-4D8E-B37C-57B7908B76B2}"/>
    <cellStyle name="Komma 2 2 2 4 8" xfId="49990" xr:uid="{F126A1B1-647C-4B8B-98A5-211558415863}"/>
    <cellStyle name="Komma 2 2 2 4 9" xfId="53006" xr:uid="{0DDE7203-18E5-4B18-ACD4-D9BF527BB485}"/>
    <cellStyle name="Komma 2 2 2 5" xfId="10274" xr:uid="{BE451B64-6065-4F1B-817B-C3757E1A06EF}"/>
    <cellStyle name="Komma 2 2 2 5 2" xfId="14741" xr:uid="{269FB44E-2A8B-4222-B07C-F05D39607DD3}"/>
    <cellStyle name="Komma 2 2 2 5 2 2" xfId="22288" xr:uid="{D355E02D-2D11-48D4-A705-6F58F7DBD88A}"/>
    <cellStyle name="Komma 2 2 2 5 2 3" xfId="46428" xr:uid="{5884F47E-98D9-4637-8BF9-E3A8D18DDC96}"/>
    <cellStyle name="Komma 2 2 2 5 2 4" xfId="51626" xr:uid="{C3BD4CB4-64C9-4B2F-AA34-0F3DEEE4497D}"/>
    <cellStyle name="Komma 2 2 2 5 2 5" xfId="54642" xr:uid="{01F40301-2360-47D8-9EF1-E86AD854A856}"/>
    <cellStyle name="Komma 2 2 2 5 3" xfId="15226" xr:uid="{3CA71284-B23E-47EF-98A1-E8811C2F2917}"/>
    <cellStyle name="Komma 2 2 2 5 3 2" xfId="22765" xr:uid="{876C7F95-1F2F-4715-A5F7-C4A7B91F9F4E}"/>
    <cellStyle name="Komma 2 2 2 5 3 3" xfId="46498" xr:uid="{67EBE3FD-D1F9-4821-B083-FA106E4EF870}"/>
    <cellStyle name="Komma 2 2 2 5 3 4" xfId="52103" xr:uid="{15272327-8A1C-4E86-B3DE-C16D2DBB1179}"/>
    <cellStyle name="Komma 2 2 2 5 3 5" xfId="55119" xr:uid="{6739D6D8-148B-46F0-BF08-5534E71A54A7}"/>
    <cellStyle name="Komma 2 2 2 5 4" xfId="15713" xr:uid="{641E76D0-604C-444F-9435-DA71A2A8DEE5}"/>
    <cellStyle name="Komma 2 2 2 5 4 2" xfId="23242" xr:uid="{68986F66-8A58-4D7D-AD48-F881823AF5EC}"/>
    <cellStyle name="Komma 2 2 2 5 4 3" xfId="46576" xr:uid="{4982A4A5-1C53-42D7-B491-2F2EA355A505}"/>
    <cellStyle name="Komma 2 2 2 5 4 4" xfId="52580" xr:uid="{EAF6BE03-60C2-4704-8889-003B925AC837}"/>
    <cellStyle name="Komma 2 2 2 5 4 5" xfId="55596" xr:uid="{437E48FE-E5FC-4FA3-8291-B4C2B3113FE4}"/>
    <cellStyle name="Komma 2 2 2 5 5" xfId="12727" xr:uid="{DFF9D5F6-E2C6-4CBE-B79D-F44C57583430}"/>
    <cellStyle name="Komma 2 2 2 5 5 2" xfId="47761" xr:uid="{376862D4-D5D2-4469-B9E3-DB7D665BD123}"/>
    <cellStyle name="Komma 2 2 2 5 5 3" xfId="51149" xr:uid="{647B8626-3769-4BA5-946F-BFFC7F9FAC36}"/>
    <cellStyle name="Komma 2 2 2 5 5 4" xfId="54165" xr:uid="{7626B5A0-706B-449E-938C-B9226EC14D59}"/>
    <cellStyle name="Komma 2 2 2 5 6" xfId="48572" xr:uid="{928E9001-0B12-4611-AC34-93857C41B448}"/>
    <cellStyle name="Komma 2 2 2 5 7" xfId="50043" xr:uid="{8C6B88BD-3448-4915-80BD-5BB4160F886E}"/>
    <cellStyle name="Komma 2 2 2 5 8" xfId="53059" xr:uid="{F89DE091-A3A0-4457-9E27-68E6B34A8B30}"/>
    <cellStyle name="Komma 2 2 2 6" xfId="10588" xr:uid="{E4FA0DD9-D36F-4CBD-A20D-AE6E92AA00AF}"/>
    <cellStyle name="Komma 2 2 2 6 2" xfId="14953" xr:uid="{323071FC-D40B-4E97-8805-78160F70A126}"/>
    <cellStyle name="Komma 2 2 2 6 2 2" xfId="22500" xr:uid="{EA7D941D-8DDC-418F-A7BB-D8DC53596AA0}"/>
    <cellStyle name="Komma 2 2 2 6 2 3" xfId="36971" xr:uid="{5BD0E645-ED19-45D1-855E-65CD48381549}"/>
    <cellStyle name="Komma 2 2 2 6 2 4" xfId="51838" xr:uid="{91276FDD-DB3D-4233-A5C4-5BAE9C714964}"/>
    <cellStyle name="Komma 2 2 2 6 2 5" xfId="54854" xr:uid="{3004D0BA-CE66-43BD-8C3B-5FE0D8982A12}"/>
    <cellStyle name="Komma 2 2 2 6 3" xfId="15438" xr:uid="{8DDC864F-2910-47DC-9602-50340133BDE1}"/>
    <cellStyle name="Komma 2 2 2 6 3 2" xfId="22977" xr:uid="{C0D76E69-8351-457B-931F-E1A911B67FB2}"/>
    <cellStyle name="Komma 2 2 2 6 3 3" xfId="46534" xr:uid="{F56E2044-FE1C-475C-AA93-8270ED237062}"/>
    <cellStyle name="Komma 2 2 2 6 3 4" xfId="52315" xr:uid="{6D59C060-79CD-475D-9742-AB661C1AD93E}"/>
    <cellStyle name="Komma 2 2 2 6 3 5" xfId="55331" xr:uid="{7A848AD9-202B-47C1-9DD0-742D62225A57}"/>
    <cellStyle name="Komma 2 2 2 6 4" xfId="15926" xr:uid="{FFD02A2D-60AB-463A-B5E1-5483C8967A20}"/>
    <cellStyle name="Komma 2 2 2 6 4 2" xfId="23454" xr:uid="{E7DB907F-FB88-44F5-AEB2-4397BD255A95}"/>
    <cellStyle name="Komma 2 2 2 6 4 3" xfId="47040" xr:uid="{68D9FD1F-4CC3-4265-868E-2BE219E44625}"/>
    <cellStyle name="Komma 2 2 2 6 4 4" xfId="52792" xr:uid="{FF5E7A43-829F-4EE1-8CDE-D9AD9E30E0F0}"/>
    <cellStyle name="Komma 2 2 2 6 4 5" xfId="55808" xr:uid="{74997ADF-75C0-4910-A14C-72FD032F7DBA}"/>
    <cellStyle name="Komma 2 2 2 6 5" xfId="13041" xr:uid="{61208090-FE87-4164-ABDE-56196FC19432}"/>
    <cellStyle name="Komma 2 2 2 6 5 2" xfId="25028" xr:uid="{CF6FE368-74E1-4323-9B20-B21A848A324B}"/>
    <cellStyle name="Komma 2 2 2 6 5 3" xfId="51361" xr:uid="{91701FC5-209B-4F29-9C2A-DDCC77364D42}"/>
    <cellStyle name="Komma 2 2 2 6 5 4" xfId="54377" xr:uid="{0FEA5A84-1EFC-4A3E-B9F4-405AFA6C2239}"/>
    <cellStyle name="Komma 2 2 2 6 6" xfId="46156" xr:uid="{A3E5139C-D232-4876-81A0-9489B8ABBDD0}"/>
    <cellStyle name="Komma 2 2 2 6 7" xfId="50255" xr:uid="{63EA43AC-8473-4433-AE23-F36FBF2E2887}"/>
    <cellStyle name="Komma 2 2 2 6 8" xfId="53271" xr:uid="{6B5C2F70-93A0-4DE1-99DD-8392774CE22B}"/>
    <cellStyle name="Komma 2 2 2 7" xfId="14529" xr:uid="{F468D129-4D29-40EA-A478-F7A629F61A7F}"/>
    <cellStyle name="Komma 2 2 2 7 2" xfId="22076" xr:uid="{90434C5D-F21F-425D-9228-955CF91EC397}"/>
    <cellStyle name="Komma 2 2 2 7 3" xfId="48112" xr:uid="{FBC84301-2563-4065-B976-96FBBFD7A531}"/>
    <cellStyle name="Komma 2 2 2 7 4" xfId="51414" xr:uid="{2B6F2A03-5A56-453F-90E9-EF0B5B1DE4DB}"/>
    <cellStyle name="Komma 2 2 2 7 5" xfId="54430" xr:uid="{9044F474-0D32-4C12-BA1C-91B60BDFED86}"/>
    <cellStyle name="Komma 2 2 2 8" xfId="15013" xr:uid="{1FEC5BAC-D9EC-4A9D-9D03-40E40E1CBC8D}"/>
    <cellStyle name="Komma 2 2 2 8 2" xfId="22553" xr:uid="{B75FA44A-D547-47D6-8731-C11EF029F919}"/>
    <cellStyle name="Komma 2 2 2 8 3" xfId="46466" xr:uid="{211D7D5D-D47F-46FD-B2FD-E552AAC612EA}"/>
    <cellStyle name="Komma 2 2 2 8 4" xfId="51891" xr:uid="{069ED766-9CEB-49FE-986E-A5F3353C4A41}"/>
    <cellStyle name="Komma 2 2 2 8 5" xfId="54907" xr:uid="{630468CD-1AE2-4E96-B059-ED3F316E1D66}"/>
    <cellStyle name="Komma 2 2 2 9" xfId="15500" xr:uid="{311D89ED-5079-4DEC-8AA9-8E6BF48CB238}"/>
    <cellStyle name="Komma 2 2 2 9 2" xfId="23030" xr:uid="{7C4FC4E0-941E-4825-B357-A0459B6CA89C}"/>
    <cellStyle name="Komma 2 2 2 9 3" xfId="46541" xr:uid="{F500C213-DC49-4F2D-BBB7-ECCEDDF82D96}"/>
    <cellStyle name="Komma 2 2 2 9 4" xfId="52368" xr:uid="{45B73F36-0106-41D1-92DB-745CC6DA5516}"/>
    <cellStyle name="Komma 2 2 2 9 5" xfId="55384" xr:uid="{E50C8C55-3C55-4547-9871-DD35D3ECE591}"/>
    <cellStyle name="Komma 2 2 3" xfId="10040" xr:uid="{EF8A8F4B-66BE-4F43-945F-3306E44A1592}"/>
    <cellStyle name="Komma 2 2 3 10" xfId="49609" xr:uid="{ABD2C343-E0A1-4047-961F-2C826DB97798}"/>
    <cellStyle name="Komma 2 2 3 11" xfId="49883" xr:uid="{E382FEDC-DFA7-4A75-86ED-11D08249126D}"/>
    <cellStyle name="Komma 2 2 3 12" xfId="52899" xr:uid="{F8F4D89C-9C94-48C8-A823-2B73736BD2DE}"/>
    <cellStyle name="Komma 2 2 3 2" xfId="10348" xr:uid="{4C8C9210-1873-4E8E-AAB1-63CEA510133F}"/>
    <cellStyle name="Komma 2 2 3 2 2" xfId="14793" xr:uid="{00B1E579-3D7D-44AA-8541-8A5ABDC5F72A}"/>
    <cellStyle name="Komma 2 2 3 2 2 2" xfId="22340" xr:uid="{17F35780-C26F-4D26-B898-08E5B8276289}"/>
    <cellStyle name="Komma 2 2 3 2 2 3" xfId="24664" xr:uid="{A9533F0C-5E97-4FC7-90A9-6CA4ACA4344A}"/>
    <cellStyle name="Komma 2 2 3 2 2 4" xfId="51678" xr:uid="{CEF3C4F4-1657-409F-A3A5-BDE781799A20}"/>
    <cellStyle name="Komma 2 2 3 2 2 5" xfId="54694" xr:uid="{2A49C6D0-3C20-426A-89BF-3CAC0FD1ADD4}"/>
    <cellStyle name="Komma 2 2 3 2 3" xfId="15278" xr:uid="{58B728CF-D801-4044-90B5-056F8305E677}"/>
    <cellStyle name="Komma 2 2 3 2 3 2" xfId="22817" xr:uid="{FF2C14E4-7377-4AE0-AF20-7CD0D7A42D44}"/>
    <cellStyle name="Komma 2 2 3 2 3 3" xfId="46901" xr:uid="{1D013420-5135-4C99-9194-5F1E49D8D02B}"/>
    <cellStyle name="Komma 2 2 3 2 3 4" xfId="52155" xr:uid="{6357774F-8485-44A1-878C-837E0D7484E9}"/>
    <cellStyle name="Komma 2 2 3 2 3 5" xfId="55171" xr:uid="{DAF19BE2-4A51-41F2-B78A-476E83CF64D1}"/>
    <cellStyle name="Komma 2 2 3 2 4" xfId="15765" xr:uid="{68F14199-2596-4E7B-8BBE-81C814966E04}"/>
    <cellStyle name="Komma 2 2 3 2 4 2" xfId="23294" xr:uid="{A53BE87F-E208-4AE7-976B-21898513EBE1}"/>
    <cellStyle name="Komma 2 2 3 2 4 3" xfId="46961" xr:uid="{FE423595-DF9B-4AF8-BBD9-E9AE320A16BB}"/>
    <cellStyle name="Komma 2 2 3 2 4 4" xfId="52632" xr:uid="{099FD788-FA8B-420C-8E4F-27167A05C846}"/>
    <cellStyle name="Komma 2 2 3 2 4 5" xfId="55648" xr:uid="{49B3FAC7-4917-45E2-83ED-D44BD9BF1C7D}"/>
    <cellStyle name="Komma 2 2 3 2 5" xfId="12801" xr:uid="{76F6D1C3-2E44-4CB4-89C5-5C9958447AEF}"/>
    <cellStyle name="Komma 2 2 3 2 5 2" xfId="33688" xr:uid="{1B3792BF-61A3-4D36-93AB-3E0A088A9A68}"/>
    <cellStyle name="Komma 2 2 3 2 5 3" xfId="51201" xr:uid="{ABEA8280-5D5E-47E1-A70E-9768DFAF8427}"/>
    <cellStyle name="Komma 2 2 3 2 5 4" xfId="54217" xr:uid="{4ACEE88E-AD8C-4742-85D3-9458267ACBFB}"/>
    <cellStyle name="Komma 2 2 3 2 6" xfId="47582" xr:uid="{DBB83A85-2C1A-4344-9126-FE37BD81BC0B}"/>
    <cellStyle name="Komma 2 2 3 2 7" xfId="50095" xr:uid="{5CC38AA9-31D4-4814-8385-203F3C469DB9}"/>
    <cellStyle name="Komma 2 2 3 2 8" xfId="53111" xr:uid="{110366F6-0177-4790-BBD2-F97C31DC2670}"/>
    <cellStyle name="Komma 2 2 3 3" xfId="14581" xr:uid="{0CB8962D-3A85-4BF1-8852-91FAF9EB68DC}"/>
    <cellStyle name="Komma 2 2 3 3 2" xfId="22128" xr:uid="{5A5F83E4-58C5-4B61-B05E-9DE62FF079DE}"/>
    <cellStyle name="Komma 2 2 3 3 3" xfId="47828" xr:uid="{55B06378-AE5F-45E8-8957-370DB266BC92}"/>
    <cellStyle name="Komma 2 2 3 3 4" xfId="51466" xr:uid="{2B2D909E-555C-4CDC-B114-ED555AFA3CD8}"/>
    <cellStyle name="Komma 2 2 3 3 5" xfId="54482" xr:uid="{394C0208-4768-4645-A021-77B848711402}"/>
    <cellStyle name="Komma 2 2 3 4" xfId="15065" xr:uid="{A8082900-F10A-499F-BDE6-7EC2F334B855}"/>
    <cellStyle name="Komma 2 2 3 4 2" xfId="22605" xr:uid="{B23AD9E2-540E-4DBE-BDDB-B9459D4CC084}"/>
    <cellStyle name="Komma 2 2 3 4 3" xfId="47991" xr:uid="{0BFED373-2A53-46F6-B1F7-41668B92812C}"/>
    <cellStyle name="Komma 2 2 3 4 4" xfId="51943" xr:uid="{EAB5FD7A-3AF9-43D4-943D-2E5198C33CA3}"/>
    <cellStyle name="Komma 2 2 3 4 5" xfId="54959" xr:uid="{530458A4-E223-4006-A352-DAA581B9F7C7}"/>
    <cellStyle name="Komma 2 2 3 5" xfId="15552" xr:uid="{2E049960-24CF-43D7-B49B-1A2370EB97A7}"/>
    <cellStyle name="Komma 2 2 3 5 2" xfId="23082" xr:uid="{2AF9E8EB-A70C-4ACF-BC0E-354206A4EBE6}"/>
    <cellStyle name="Komma 2 2 3 5 3" xfId="46934" xr:uid="{B729D01E-44C1-400C-9DE3-FB9D40900A6A}"/>
    <cellStyle name="Komma 2 2 3 5 4" xfId="52420" xr:uid="{2180B97A-F154-4ED7-8646-0405C4D4A04E}"/>
    <cellStyle name="Komma 2 2 3 5 5" xfId="55436" xr:uid="{9CE39A9B-C86B-41FD-8447-46202DFEBFC4}"/>
    <cellStyle name="Komma 2 2 3 6" xfId="12500" xr:uid="{82FD309F-E463-4D9D-A365-D5AAD2521982}"/>
    <cellStyle name="Komma 2 2 3 6 2" xfId="47819" xr:uid="{30860B87-0063-47C7-AF9D-F8C933305773}"/>
    <cellStyle name="Komma 2 2 3 6 3" xfId="50989" xr:uid="{AEA41A33-0DDE-48B5-A8E7-D5A462D8F158}"/>
    <cellStyle name="Komma 2 2 3 6 4" xfId="54005" xr:uid="{604B4927-E078-4FA5-994A-C1080FB86433}"/>
    <cellStyle name="Komma 2 2 3 7" xfId="23845" xr:uid="{7237D534-D9CD-4C32-AD6E-21722CD6FE59}"/>
    <cellStyle name="Komma 2 2 3 8" xfId="47852" xr:uid="{50EAD75B-EC47-4A6E-A900-A783DA7EF552}"/>
    <cellStyle name="Komma 2 2 3 9" xfId="48701" xr:uid="{C0D577F3-5949-445E-8594-31646E257243}"/>
    <cellStyle name="Komma 2 2 4" xfId="10114" xr:uid="{910D93FE-CA20-4067-90E4-269B80687180}"/>
    <cellStyle name="Komma 2 2 4 2" xfId="10427" xr:uid="{B308DB8B-E7DF-4F17-9EEB-ED0DBFB93F00}"/>
    <cellStyle name="Komma 2 2 4 2 2" xfId="14846" xr:uid="{DCF24804-3A90-43B0-A135-3213F5A001FB}"/>
    <cellStyle name="Komma 2 2 4 2 2 2" xfId="22393" xr:uid="{8E7AEBD1-82A7-4BCC-9B68-DCCF0DE809FC}"/>
    <cellStyle name="Komma 2 2 4 2 2 3" xfId="46445" xr:uid="{70D618E3-D8F6-4D6A-985F-3D17BCFFFBA3}"/>
    <cellStyle name="Komma 2 2 4 2 2 4" xfId="51731" xr:uid="{7F3A3E87-C994-482B-8C98-C90FEA4BA50F}"/>
    <cellStyle name="Komma 2 2 4 2 2 5" xfId="54747" xr:uid="{9BB8DB48-B0D8-4C21-807A-F8D81E883D17}"/>
    <cellStyle name="Komma 2 2 4 2 3" xfId="15331" xr:uid="{B6086826-FD36-4949-8534-BF553DBC8B31}"/>
    <cellStyle name="Komma 2 2 4 2 3 2" xfId="22870" xr:uid="{748ACA32-5AE4-440B-A06C-173A506A7149}"/>
    <cellStyle name="Komma 2 2 4 2 3 3" xfId="48539" xr:uid="{378F2CFA-84F3-4401-91F1-9B210122C05B}"/>
    <cellStyle name="Komma 2 2 4 2 3 4" xfId="52208" xr:uid="{41B9125C-A7CC-4058-AF3A-026E35F5235C}"/>
    <cellStyle name="Komma 2 2 4 2 3 5" xfId="55224" xr:uid="{73912AB8-BF49-45A2-A0E4-266E93884AB2}"/>
    <cellStyle name="Komma 2 2 4 2 4" xfId="15818" xr:uid="{74FFC370-16AA-4C53-A927-959EF422B09C}"/>
    <cellStyle name="Komma 2 2 4 2 4 2" xfId="23347" xr:uid="{91D80F57-1CF1-484A-8EFE-BA1941A9950A}"/>
    <cellStyle name="Komma 2 2 4 2 4 3" xfId="47730" xr:uid="{9F980992-3D46-4755-9A21-DCB1EFAADC89}"/>
    <cellStyle name="Komma 2 2 4 2 4 4" xfId="52685" xr:uid="{BA6F50B1-38A3-4603-98C4-1F09D590BCD5}"/>
    <cellStyle name="Komma 2 2 4 2 4 5" xfId="55701" xr:uid="{37CAD7B5-4136-4EF6-9879-363EBCD664B9}"/>
    <cellStyle name="Komma 2 2 4 2 5" xfId="12880" xr:uid="{8D9DB73A-778F-42A9-8F23-B3011E9A8DEE}"/>
    <cellStyle name="Komma 2 2 4 2 5 2" xfId="46804" xr:uid="{D97450B7-8910-4D27-9457-8FC244FDE892}"/>
    <cellStyle name="Komma 2 2 4 2 5 3" xfId="51254" xr:uid="{F4B3362C-6031-4449-A310-1ED651E2AB5C}"/>
    <cellStyle name="Komma 2 2 4 2 5 4" xfId="54270" xr:uid="{5E77A661-2F68-47B9-B6A3-00BB39AF0E39}"/>
    <cellStyle name="Komma 2 2 4 2 6" xfId="46626" xr:uid="{FC147540-F6A3-43EC-A098-2ACFC5EE3113}"/>
    <cellStyle name="Komma 2 2 4 2 7" xfId="50148" xr:uid="{C58B63EA-67FC-456B-82AE-B7F4E87F4A71}"/>
    <cellStyle name="Komma 2 2 4 2 8" xfId="53164" xr:uid="{40F4A7AF-3C6F-48E2-A8F5-6645FFA073F5}"/>
    <cellStyle name="Komma 2 2 4 3" xfId="14634" xr:uid="{469EC101-415F-47DE-8B88-8021C6D03A0A}"/>
    <cellStyle name="Komma 2 2 4 3 2" xfId="22181" xr:uid="{DCAC8E90-52FC-4AAD-AB18-6D15DE818B37}"/>
    <cellStyle name="Komma 2 2 4 3 3" xfId="48501" xr:uid="{BFAF4B27-95FE-4C04-B25E-2A00E62FBEC9}"/>
    <cellStyle name="Komma 2 2 4 3 4" xfId="51519" xr:uid="{4102C30A-C7AB-48F5-839D-D59EAD071935}"/>
    <cellStyle name="Komma 2 2 4 3 5" xfId="54535" xr:uid="{7A6ACFB3-590E-43B3-B884-FD5B1DF652FB}"/>
    <cellStyle name="Komma 2 2 4 4" xfId="15119" xr:uid="{5067F8F2-669F-4ECF-85BE-48E22018920F}"/>
    <cellStyle name="Komma 2 2 4 4 2" xfId="22658" xr:uid="{C526F57A-7420-45FF-AF79-D83737687751}"/>
    <cellStyle name="Komma 2 2 4 4 3" xfId="46483" xr:uid="{B1E7E1AC-7EC2-4460-A621-53ECBD713999}"/>
    <cellStyle name="Komma 2 2 4 4 4" xfId="51996" xr:uid="{D7E5C2D2-BD52-4B83-B166-CB08977A6AA7}"/>
    <cellStyle name="Komma 2 2 4 4 5" xfId="55012" xr:uid="{497EEA6D-C2A3-4AB2-A33D-9A734E4E2F69}"/>
    <cellStyle name="Komma 2 2 4 5" xfId="15606" xr:uid="{5D79DF45-7E5D-4FC4-A9B1-5A7ABF37907E}"/>
    <cellStyle name="Komma 2 2 4 5 2" xfId="23135" xr:uid="{EE469527-2B57-4287-992A-4B260E96FDEC}"/>
    <cellStyle name="Komma 2 2 4 5 3" xfId="46557" xr:uid="{AAC283DB-0361-48CF-A453-5BAF6A6BB551}"/>
    <cellStyle name="Komma 2 2 4 5 4" xfId="52473" xr:uid="{CC79853E-9C0C-471B-B429-0A39B0089B02}"/>
    <cellStyle name="Komma 2 2 4 5 5" xfId="55489" xr:uid="{4216965B-4583-46F8-AC17-2BC18E86A33D}"/>
    <cellStyle name="Komma 2 2 4 6" xfId="12571" xr:uid="{8BB2AADD-70CF-4B6C-A4AD-FDF5B3226E16}"/>
    <cellStyle name="Komma 2 2 4 6 2" xfId="24696" xr:uid="{3A963C44-3500-4D76-8858-D6B86F92C99D}"/>
    <cellStyle name="Komma 2 2 4 6 3" xfId="51042" xr:uid="{F530509D-1336-423F-A4E8-6A318B6A2D2F}"/>
    <cellStyle name="Komma 2 2 4 6 4" xfId="54058" xr:uid="{3EBDF250-38CF-4EAD-A027-BBB53163CC43}"/>
    <cellStyle name="Komma 2 2 4 7" xfId="47277" xr:uid="{F93A9FF6-7D40-46D1-87D5-01818CAF7A00}"/>
    <cellStyle name="Komma 2 2 4 8" xfId="49936" xr:uid="{B8689959-2055-4400-A1C8-2A46F0D40BBE}"/>
    <cellStyle name="Komma 2 2 4 9" xfId="52952" xr:uid="{0A3C7463-E653-4B53-9799-D6AE1532307D}"/>
    <cellStyle name="Komma 2 2 5" xfId="10193" xr:uid="{43601A1A-D948-4254-BF16-7C945AC269C2}"/>
    <cellStyle name="Komma 2 2 5 2" xfId="10507" xr:uid="{7B057934-16DD-4337-8D2D-80564AA3C8E7}"/>
    <cellStyle name="Komma 2 2 5 2 2" xfId="14899" xr:uid="{7AE6C7FE-4CC9-449B-8BE1-782FBD3AAB7A}"/>
    <cellStyle name="Komma 2 2 5 2 2 2" xfId="22446" xr:uid="{CFCF651A-16C5-4BB5-B85D-24634073E7B5}"/>
    <cellStyle name="Komma 2 2 5 2 2 3" xfId="47243" xr:uid="{C9C59A57-C4D7-443F-B53E-2B0641C1D281}"/>
    <cellStyle name="Komma 2 2 5 2 2 4" xfId="51784" xr:uid="{A8CACC7A-43D4-4D20-88F4-2C1E23C860EB}"/>
    <cellStyle name="Komma 2 2 5 2 2 5" xfId="54800" xr:uid="{CC90DFE2-C2B7-4D40-812B-04ECBA6B1F23}"/>
    <cellStyle name="Komma 2 2 5 2 3" xfId="15384" xr:uid="{61C2295D-F804-4D49-9A4C-6C60F5833F43}"/>
    <cellStyle name="Komma 2 2 5 2 3 2" xfId="22923" xr:uid="{3829BAB3-B0D3-482E-BDA4-D1EF3BFD1258}"/>
    <cellStyle name="Komma 2 2 5 2 3 3" xfId="47192" xr:uid="{654253CA-23AD-4A3B-B0D7-55F828C6CDC8}"/>
    <cellStyle name="Komma 2 2 5 2 3 4" xfId="52261" xr:uid="{9866CBA6-2F62-4912-BC00-8ECD6042E895}"/>
    <cellStyle name="Komma 2 2 5 2 3 5" xfId="55277" xr:uid="{547DFFFD-E23D-48A8-A476-678FD24370C5}"/>
    <cellStyle name="Komma 2 2 5 2 4" xfId="15871" xr:uid="{1E2ADB32-D5F0-4392-A7F7-FA1C1982D1BB}"/>
    <cellStyle name="Komma 2 2 5 2 4 2" xfId="23400" xr:uid="{BB20025D-2559-45B8-A4E6-20519A1FFA5D}"/>
    <cellStyle name="Komma 2 2 5 2 4 3" xfId="48085" xr:uid="{23D2EBAE-8CDD-4A00-B2A3-6C93B1CCD3D4}"/>
    <cellStyle name="Komma 2 2 5 2 4 4" xfId="52738" xr:uid="{7562CCF1-DECF-4013-B9D6-BFE5D9E62C9E}"/>
    <cellStyle name="Komma 2 2 5 2 4 5" xfId="55754" xr:uid="{85A51188-FC48-499D-BE5A-410886198D67}"/>
    <cellStyle name="Komma 2 2 5 2 5" xfId="12960" xr:uid="{8D96FF7F-4166-46B7-B8AF-E058A274CC6B}"/>
    <cellStyle name="Komma 2 2 5 2 5 2" xfId="25323" xr:uid="{874712A1-775A-45C9-B668-0D81F806295D}"/>
    <cellStyle name="Komma 2 2 5 2 5 3" xfId="51307" xr:uid="{09D7673C-6B8D-48E4-BDE2-8B12C5FA908C}"/>
    <cellStyle name="Komma 2 2 5 2 5 4" xfId="54323" xr:uid="{D8F9E15D-7E0A-41F0-A872-D9CF28C18EBA}"/>
    <cellStyle name="Komma 2 2 5 2 6" xfId="48163" xr:uid="{8A191121-67EB-4EAD-AF6A-085666C901CC}"/>
    <cellStyle name="Komma 2 2 5 2 7" xfId="50201" xr:uid="{E4C3A2C1-D6D6-4F9D-9F19-A167B5BD9A3A}"/>
    <cellStyle name="Komma 2 2 5 2 8" xfId="53217" xr:uid="{5140859A-73FC-4C48-88DC-BC490D71F5CC}"/>
    <cellStyle name="Komma 2 2 5 3" xfId="14687" xr:uid="{5E0F9D77-3AEF-4D62-9FDE-C3D1C5466A1B}"/>
    <cellStyle name="Komma 2 2 5 3 2" xfId="22234" xr:uid="{53A222A9-5869-426D-84C9-CBDDFF6BF25C}"/>
    <cellStyle name="Komma 2 2 5 3 3" xfId="46848" xr:uid="{54D3B3B2-DAB0-4DA6-9540-DDBF0AC71A49}"/>
    <cellStyle name="Komma 2 2 5 3 4" xfId="51572" xr:uid="{BB8278CA-E666-4D5E-9861-B5350906F13B}"/>
    <cellStyle name="Komma 2 2 5 3 5" xfId="54588" xr:uid="{1489D118-C453-4960-98BF-47073C59292B}"/>
    <cellStyle name="Komma 2 2 5 4" xfId="15172" xr:uid="{7A51D7A5-CDF2-4EBF-88E1-47BB9317F729}"/>
    <cellStyle name="Komma 2 2 5 4 2" xfId="22711" xr:uid="{FFB8AFEB-71DB-4444-8A78-B45B0D32B174}"/>
    <cellStyle name="Komma 2 2 5 4 3" xfId="48017" xr:uid="{A9993713-E6D0-41EC-8466-6C0FAC9F2F38}"/>
    <cellStyle name="Komma 2 2 5 4 4" xfId="52049" xr:uid="{6C6C6D04-2442-4456-A635-7321B74E0203}"/>
    <cellStyle name="Komma 2 2 5 4 5" xfId="55065" xr:uid="{18EE357A-860E-44B7-9D85-7E7EEBB86D2F}"/>
    <cellStyle name="Komma 2 2 5 5" xfId="15659" xr:uid="{455A5067-3048-4268-8A45-B066CB3074F7}"/>
    <cellStyle name="Komma 2 2 5 5 2" xfId="23188" xr:uid="{498E8CC5-94A9-4ABB-B50D-F175599AB932}"/>
    <cellStyle name="Komma 2 2 5 5 3" xfId="24163" xr:uid="{FD81376C-2DA9-4CFC-A585-B6AEC523DB29}"/>
    <cellStyle name="Komma 2 2 5 5 4" xfId="52526" xr:uid="{E33A3A9E-B403-435F-81BA-A7D28C199ED3}"/>
    <cellStyle name="Komma 2 2 5 5 5" xfId="55542" xr:uid="{E264FBE9-68FF-46C1-9B07-B13808FF1402}"/>
    <cellStyle name="Komma 2 2 5 6" xfId="12647" xr:uid="{1A7CECE8-0235-459D-BED0-D608E346FE60}"/>
    <cellStyle name="Komma 2 2 5 6 2" xfId="34169" xr:uid="{D9855B27-2FF5-48B8-8D6E-82C5D7970A21}"/>
    <cellStyle name="Komma 2 2 5 6 3" xfId="51095" xr:uid="{74FD97E0-536E-48B5-96A1-4F5F90C48CB6}"/>
    <cellStyle name="Komma 2 2 5 6 4" xfId="54111" xr:uid="{8B1480CF-2215-4509-BF55-813701D32227}"/>
    <cellStyle name="Komma 2 2 5 7" xfId="47281" xr:uid="{B88766DC-965C-4572-AA96-5F08135218B1}"/>
    <cellStyle name="Komma 2 2 5 8" xfId="49989" xr:uid="{0EE01640-712C-4571-869A-5CE805B43BF3}"/>
    <cellStyle name="Komma 2 2 5 9" xfId="53005" xr:uid="{F92C9A10-53C7-4590-8894-5461FDDC8CB8}"/>
    <cellStyle name="Komma 2 2 6" xfId="10273" xr:uid="{DFA38F3D-93F1-4F51-8A29-3FE96ECDF2FE}"/>
    <cellStyle name="Komma 2 2 6 2" xfId="14740" xr:uid="{B5E71092-B62D-4F77-B0A1-19F52664CEDB}"/>
    <cellStyle name="Komma 2 2 6 2 2" xfId="22287" xr:uid="{B4B25430-F327-4FE0-B48A-9DEB2FD4279B}"/>
    <cellStyle name="Komma 2 2 6 2 3" xfId="46427" xr:uid="{1104C605-0EEB-4EC3-9313-AEB1991097B8}"/>
    <cellStyle name="Komma 2 2 6 2 4" xfId="51625" xr:uid="{E9C23FC0-291E-4AB5-8CFE-FB501292F805}"/>
    <cellStyle name="Komma 2 2 6 2 5" xfId="54641" xr:uid="{FDDC5BA8-5D6A-4259-A4B2-B0150D4D874F}"/>
    <cellStyle name="Komma 2 2 6 3" xfId="15225" xr:uid="{2894ECB1-59B7-432B-8AEB-652D73E80B75}"/>
    <cellStyle name="Komma 2 2 6 3 2" xfId="22764" xr:uid="{40E4E1DE-4079-47CA-9939-E9F9F34C8326}"/>
    <cellStyle name="Komma 2 2 6 3 3" xfId="47937" xr:uid="{6A5218C5-D64A-407C-A0DF-4CDBA57B1045}"/>
    <cellStyle name="Komma 2 2 6 3 4" xfId="52102" xr:uid="{A9B91AC0-2943-44FB-9AAD-FD5569F53919}"/>
    <cellStyle name="Komma 2 2 6 3 5" xfId="55118" xr:uid="{64EC38F4-FD76-4D15-B059-65CF3E525F75}"/>
    <cellStyle name="Komma 2 2 6 4" xfId="15712" xr:uid="{728A81F7-01AB-4422-B86C-57775F43CF9F}"/>
    <cellStyle name="Komma 2 2 6 4 2" xfId="23241" xr:uid="{9B6C4EEE-F99C-4739-BACF-6C21660C7544}"/>
    <cellStyle name="Komma 2 2 6 4 3" xfId="46575" xr:uid="{3C626441-E281-43B9-8C8C-44C079591D70}"/>
    <cellStyle name="Komma 2 2 6 4 4" xfId="52579" xr:uid="{DABFC73D-EFD6-44E5-8748-1218FF588832}"/>
    <cellStyle name="Komma 2 2 6 4 5" xfId="55595" xr:uid="{13B0D221-E41C-4A99-9D1B-255BE41752D4}"/>
    <cellStyle name="Komma 2 2 6 5" xfId="12726" xr:uid="{DC78E3A3-00F4-428C-B0B6-3409577FC40B}"/>
    <cellStyle name="Komma 2 2 6 5 2" xfId="46786" xr:uid="{396528C8-32BA-469B-9F65-51D6BA7E784C}"/>
    <cellStyle name="Komma 2 2 6 5 3" xfId="51148" xr:uid="{03D0FA96-B1EE-447C-9A43-2ADE6429DE13}"/>
    <cellStyle name="Komma 2 2 6 5 4" xfId="54164" xr:uid="{668E80C7-11EE-4136-95E4-45349AF04825}"/>
    <cellStyle name="Komma 2 2 6 6" xfId="46080" xr:uid="{B23AF19F-53C7-423E-84DC-63DE3124589B}"/>
    <cellStyle name="Komma 2 2 6 7" xfId="50042" xr:uid="{4F6F3188-5557-4FBD-85A7-8CD60B7FA62F}"/>
    <cellStyle name="Komma 2 2 6 8" xfId="53058" xr:uid="{FF9CE6F1-F6B1-42C8-BC7C-D3638A5D2B81}"/>
    <cellStyle name="Komma 2 2 7" xfId="10587" xr:uid="{AB14A700-6DE1-4E90-91B1-5456A6B13CC6}"/>
    <cellStyle name="Komma 2 2 7 2" xfId="14952" xr:uid="{83E1B0E4-4ADA-43D0-A672-D7E15BA6324A}"/>
    <cellStyle name="Komma 2 2 7 2 2" xfId="22499" xr:uid="{0DABC6CF-E93A-45BE-8E1E-A2D629A6B9E3}"/>
    <cellStyle name="Komma 2 2 7 2 3" xfId="46459" xr:uid="{452E8F6E-3D93-4B10-99C2-61D5FB4BC645}"/>
    <cellStyle name="Komma 2 2 7 2 4" xfId="51837" xr:uid="{A1787FFE-8A81-4A14-9D9E-ED9E69F5BA99}"/>
    <cellStyle name="Komma 2 2 7 2 5" xfId="54853" xr:uid="{A58736FA-4A45-4244-8931-CB5E3E932D58}"/>
    <cellStyle name="Komma 2 2 7 3" xfId="15437" xr:uid="{F1170597-6920-4F28-9AD3-0663C565FBBD}"/>
    <cellStyle name="Komma 2 2 7 3 2" xfId="22976" xr:uid="{E356CC0F-40D7-46AF-A6B8-AFE381D8DF81}"/>
    <cellStyle name="Komma 2 2 7 3 3" xfId="46533" xr:uid="{3241C76E-B79A-491E-8DB8-ED34143D4F88}"/>
    <cellStyle name="Komma 2 2 7 3 4" xfId="52314" xr:uid="{63CB3420-EF19-44F6-9DA7-232A89FF4021}"/>
    <cellStyle name="Komma 2 2 7 3 5" xfId="55330" xr:uid="{A7148ED0-825F-4BEF-94A2-5CDBEA897959}"/>
    <cellStyle name="Komma 2 2 7 4" xfId="15925" xr:uid="{F09203EC-FA0D-4057-8957-C79C4E01E2CA}"/>
    <cellStyle name="Komma 2 2 7 4 2" xfId="23453" xr:uid="{5A3B769F-ECE9-4A30-87F0-509A0299CF35}"/>
    <cellStyle name="Komma 2 2 7 4 3" xfId="32498" xr:uid="{328F381A-7B5B-4643-8626-459B1945746A}"/>
    <cellStyle name="Komma 2 2 7 4 4" xfId="52791" xr:uid="{6C8D2CFA-22FA-4CC3-AC4F-A8A9355272C3}"/>
    <cellStyle name="Komma 2 2 7 4 5" xfId="55807" xr:uid="{72BFC2E6-6B85-4270-86F8-B474860F08E1}"/>
    <cellStyle name="Komma 2 2 7 5" xfId="13040" xr:uid="{D129619E-18E9-48DC-A638-51CA1B270393}"/>
    <cellStyle name="Komma 2 2 7 5 2" xfId="46385" xr:uid="{C3D4CB2A-42D4-422A-9129-7A08D6C7F73A}"/>
    <cellStyle name="Komma 2 2 7 5 3" xfId="51360" xr:uid="{1F80FAE0-D657-4787-9120-AEBF6A40E08C}"/>
    <cellStyle name="Komma 2 2 7 5 4" xfId="54376" xr:uid="{700597E4-4FF6-4883-97D1-5B63D8D2CA7C}"/>
    <cellStyle name="Komma 2 2 7 6" xfId="47361" xr:uid="{39FF4F6F-F6EE-497C-8537-101589762380}"/>
    <cellStyle name="Komma 2 2 7 7" xfId="50254" xr:uid="{FFBE77EB-165D-4C3F-A39C-239DCE695A6A}"/>
    <cellStyle name="Komma 2 2 7 8" xfId="53270" xr:uid="{8B01B3A7-9143-46C2-930A-CFB427790CF8}"/>
    <cellStyle name="Komma 2 2 8" xfId="14528" xr:uid="{D07A6EBF-22F6-4CB2-A447-98537B2747E9}"/>
    <cellStyle name="Komma 2 2 8 2" xfId="22075" xr:uid="{3820A587-27E4-4FB7-A4E7-C026A5685B47}"/>
    <cellStyle name="Komma 2 2 8 3" xfId="34068" xr:uid="{D61CFC31-BE5E-48A3-8A28-8EB0ABBB1853}"/>
    <cellStyle name="Komma 2 2 8 4" xfId="51413" xr:uid="{4E77AE01-C817-4F3A-AA18-5BFD0742AD87}"/>
    <cellStyle name="Komma 2 2 8 5" xfId="54429" xr:uid="{A44CC12C-7FF4-4A0B-84E5-8E24DF4A7A9E}"/>
    <cellStyle name="Komma 2 2 9" xfId="15012" xr:uid="{EA312A85-55E6-43C9-BF8B-344B0E862881}"/>
    <cellStyle name="Komma 2 2 9 2" xfId="22552" xr:uid="{A4491E2B-37D4-4791-B43E-2712F10A4E33}"/>
    <cellStyle name="Komma 2 2 9 3" xfId="24181" xr:uid="{F23FB679-7969-408C-94A8-BB6CA591DD6B}"/>
    <cellStyle name="Komma 2 2 9 4" xfId="51890" xr:uid="{B4EE75D6-172B-4174-BE8C-DA5E69C5E3FA}"/>
    <cellStyle name="Komma 2 2 9 5" xfId="54906" xr:uid="{638C6D76-0E96-48B5-97B6-833ABA2E123E}"/>
    <cellStyle name="Komma 2 3" xfId="9100" xr:uid="{4EDF592C-B92F-45BE-850F-E4B80958CA36}"/>
    <cellStyle name="Komma 2 3 10" xfId="11235" xr:uid="{581144AC-8765-4F69-93BA-774914DBF6D4}"/>
    <cellStyle name="Komma 2 3 10 2" xfId="48185" xr:uid="{348756EE-697C-40BB-9747-DAD66F67B521}"/>
    <cellStyle name="Komma 2 3 10 3" xfId="50714" xr:uid="{A3A49A9A-5F67-4673-B65E-6827CEEA706C}"/>
    <cellStyle name="Komma 2 3 10 4" xfId="53730" xr:uid="{EFAB5A30-53EF-4B9A-BCBF-C3677E03AC21}"/>
    <cellStyle name="Komma 2 3 11" xfId="23846" xr:uid="{556E82C1-9634-47C3-802D-7BEB0F1462F4}"/>
    <cellStyle name="Komma 2 3 12" xfId="46013" xr:uid="{572B05C6-3307-45E3-BFB7-F4BD1A151EC2}"/>
    <cellStyle name="Komma 2 3 13" xfId="49832" xr:uid="{17688DD8-85C7-4653-A6E7-17B5B0BCE4F6}"/>
    <cellStyle name="Komma 2 3 14" xfId="52847" xr:uid="{55D4FDEC-D716-4DCD-B2C7-8A95D008D2FF}"/>
    <cellStyle name="Komma 2 3 2" xfId="10042" xr:uid="{90EBD008-FEFC-40C5-B235-09AE872E8BEF}"/>
    <cellStyle name="Komma 2 3 2 10" xfId="49610" xr:uid="{F89C29B0-2942-4193-9905-7B6BA7BCE94E}"/>
    <cellStyle name="Komma 2 3 2 11" xfId="49885" xr:uid="{C5351914-73BA-4D70-AACB-09498D25C870}"/>
    <cellStyle name="Komma 2 3 2 12" xfId="52901" xr:uid="{656EDBF2-2A11-4C4E-8B95-F4FE78D10ECE}"/>
    <cellStyle name="Komma 2 3 2 2" xfId="10350" xr:uid="{3D91AB5E-EBA3-4DE3-9830-B09A58DFF8DC}"/>
    <cellStyle name="Komma 2 3 2 2 2" xfId="14795" xr:uid="{E494F4EA-CD55-47F0-B586-3AC5F950EAF1}"/>
    <cellStyle name="Komma 2 3 2 2 2 2" xfId="22342" xr:uid="{EB2BAD0E-B698-4F88-926B-CA12CFFA7EC5}"/>
    <cellStyle name="Komma 2 3 2 2 2 3" xfId="46434" xr:uid="{4EA71C86-2320-4D81-9A54-593285FC25F0}"/>
    <cellStyle name="Komma 2 3 2 2 2 4" xfId="51680" xr:uid="{C0AD9759-8CE0-4F26-BBDC-D024D8EFD4C6}"/>
    <cellStyle name="Komma 2 3 2 2 2 5" xfId="54696" xr:uid="{376060EB-D564-43D9-AFF2-2EFA317414E6}"/>
    <cellStyle name="Komma 2 3 2 2 3" xfId="15280" xr:uid="{6C06D7B5-E7B1-4F2D-9A40-55D075F5E11D}"/>
    <cellStyle name="Komma 2 3 2 2 3 2" xfId="22819" xr:uid="{528335A1-76AD-4BC8-9836-4A670C433D48}"/>
    <cellStyle name="Komma 2 3 2 2 3 3" xfId="48219" xr:uid="{EDD2A5E3-8D67-4A87-9DD0-C939A55C56B6}"/>
    <cellStyle name="Komma 2 3 2 2 3 4" xfId="52157" xr:uid="{953D1337-8FD8-450E-95ED-87C6E78C1DBB}"/>
    <cellStyle name="Komma 2 3 2 2 3 5" xfId="55173" xr:uid="{3CEA49AD-558F-415D-B0D8-385AE21E7098}"/>
    <cellStyle name="Komma 2 3 2 2 4" xfId="15767" xr:uid="{C8D9E99D-916B-4E00-A718-D949C9C4AA62}"/>
    <cellStyle name="Komma 2 3 2 2 4 2" xfId="23296" xr:uid="{4A54CB8D-C123-497D-A0D6-FB9DDC204AC4}"/>
    <cellStyle name="Komma 2 3 2 2 4 3" xfId="24160" xr:uid="{7E8ABF87-0C39-4C7E-B161-07704741F2C9}"/>
    <cellStyle name="Komma 2 3 2 2 4 4" xfId="52634" xr:uid="{13CB1BEB-E934-48EF-9EAA-115341DC363D}"/>
    <cellStyle name="Komma 2 3 2 2 4 5" xfId="55650" xr:uid="{215D7A1E-79CA-4422-818A-369B66D7FEE0}"/>
    <cellStyle name="Komma 2 3 2 2 5" xfId="12803" xr:uid="{0B640B8E-3C7A-47BF-BAA1-7C140A64D792}"/>
    <cellStyle name="Komma 2 3 2 2 5 2" xfId="46355" xr:uid="{77ECB97F-B412-4064-8430-4FC90E5E6521}"/>
    <cellStyle name="Komma 2 3 2 2 5 3" xfId="51203" xr:uid="{78CD0CD5-C32B-45A1-9158-8319B6920C09}"/>
    <cellStyle name="Komma 2 3 2 2 5 4" xfId="54219" xr:uid="{9DE9D51E-1A1E-4DD2-B71B-F1DF5E608C4B}"/>
    <cellStyle name="Komma 2 3 2 2 6" xfId="46096" xr:uid="{8559C7D1-3C4D-435B-93AC-C429E9F098EA}"/>
    <cellStyle name="Komma 2 3 2 2 7" xfId="50097" xr:uid="{AC16ACB6-0112-4A7B-9BD6-8B46A435D2C7}"/>
    <cellStyle name="Komma 2 3 2 2 8" xfId="53113" xr:uid="{20ABF62B-4BC7-4B02-B9D2-68A038211FE3}"/>
    <cellStyle name="Komma 2 3 2 3" xfId="14583" xr:uid="{7A91C5CF-B426-45A9-9129-8B62111DF6FC}"/>
    <cellStyle name="Komma 2 3 2 3 2" xfId="22130" xr:uid="{5B71BD22-2615-458B-9173-A8516B2A855C}"/>
    <cellStyle name="Komma 2 3 2 3 3" xfId="33661" xr:uid="{9A4B1FC1-E905-4400-BA9B-A94892555EF0}"/>
    <cellStyle name="Komma 2 3 2 3 4" xfId="51468" xr:uid="{00A763DF-89C4-4C86-998B-F00943BE49C5}"/>
    <cellStyle name="Komma 2 3 2 3 5" xfId="54484" xr:uid="{8758CEC2-4E88-4057-BE47-E46CB3A6B5EC}"/>
    <cellStyle name="Komma 2 3 2 4" xfId="15067" xr:uid="{C1486CDD-4195-4D80-A1AD-8A096025148A}"/>
    <cellStyle name="Komma 2 3 2 4 2" xfId="22607" xr:uid="{4C3A2B62-4BB4-4093-9BC9-2DFB8D4A9DDF}"/>
    <cellStyle name="Komma 2 3 2 4 3" xfId="47037" xr:uid="{DC21B1CD-889B-4E87-85A8-2D779BF1A5B6}"/>
    <cellStyle name="Komma 2 3 2 4 4" xfId="51945" xr:uid="{52FA124C-4AD2-42AC-97BF-466976F0E166}"/>
    <cellStyle name="Komma 2 3 2 4 5" xfId="54961" xr:uid="{BA92CB49-47D4-4CBF-A298-D408551D2B5E}"/>
    <cellStyle name="Komma 2 3 2 5" xfId="15554" xr:uid="{8390BCFA-2361-47F6-8A4D-53984003696A}"/>
    <cellStyle name="Komma 2 3 2 5 2" xfId="23084" xr:uid="{EEC06665-0CE9-4D62-92CF-DF503283EBA1}"/>
    <cellStyle name="Komma 2 3 2 5 3" xfId="47643" xr:uid="{A4716888-B421-4DD9-9CCF-0A5416816F70}"/>
    <cellStyle name="Komma 2 3 2 5 4" xfId="52422" xr:uid="{9B85C0E1-7981-4EC7-918C-1295DEB1C7F2}"/>
    <cellStyle name="Komma 2 3 2 5 5" xfId="55438" xr:uid="{63B7B0DF-5883-4BA4-A2F5-98134AD60A27}"/>
    <cellStyle name="Komma 2 3 2 6" xfId="12502" xr:uid="{4D87DB32-C9B0-42D6-AAD3-749F5B4092A2}"/>
    <cellStyle name="Komma 2 3 2 6 2" xfId="47465" xr:uid="{C716B1B2-91E2-4D88-9F4B-1D57DE0E6EAD}"/>
    <cellStyle name="Komma 2 3 2 6 3" xfId="50991" xr:uid="{BDA1D3ED-CD81-44FF-8F35-3F9436C332BD}"/>
    <cellStyle name="Komma 2 3 2 6 4" xfId="54007" xr:uid="{D99B4806-E01C-404D-99D1-2998A6D23F58}"/>
    <cellStyle name="Komma 2 3 2 7" xfId="23847" xr:uid="{1D63EBCC-D54C-41D6-BF4B-74AC7E44788D}"/>
    <cellStyle name="Komma 2 3 2 8" xfId="46034" xr:uid="{131E070F-72B8-4A6D-A593-2A57F58AC1DB}"/>
    <cellStyle name="Komma 2 3 2 9" xfId="48702" xr:uid="{813A957D-732F-4071-AA01-8570009CB21F}"/>
    <cellStyle name="Komma 2 3 3" xfId="10116" xr:uid="{BB908392-601A-42B4-B351-EAA6E5695D84}"/>
    <cellStyle name="Komma 2 3 3 10" xfId="52954" xr:uid="{FB3CDF17-E3D3-433D-BF62-DE482207B010}"/>
    <cellStyle name="Komma 2 3 3 2" xfId="10429" xr:uid="{CAFE75D6-0185-4685-A219-DB3DD40196D8}"/>
    <cellStyle name="Komma 2 3 3 2 2" xfId="14848" xr:uid="{7022C871-2CE5-47DC-91E7-62E1D12D83D8}"/>
    <cellStyle name="Komma 2 3 3 2 2 2" xfId="22395" xr:uid="{F7C813D8-C7EC-4354-9A9F-550BE9F71A66}"/>
    <cellStyle name="Komma 2 3 3 2 2 3" xfId="36980" xr:uid="{0B539B61-48D8-4708-A041-7A85EA42D7E3}"/>
    <cellStyle name="Komma 2 3 3 2 2 4" xfId="51733" xr:uid="{78735937-54E2-42E3-962B-B85A86D39DA8}"/>
    <cellStyle name="Komma 2 3 3 2 2 5" xfId="54749" xr:uid="{8EEEBC1A-0A41-47D1-BB40-ED9A4806BC0D}"/>
    <cellStyle name="Komma 2 3 3 2 3" xfId="15333" xr:uid="{85B2885E-C7FB-4C1E-A0A7-C8A4403AC94F}"/>
    <cellStyle name="Komma 2 3 3 2 3 2" xfId="22872" xr:uid="{5784984E-C04D-4EB1-933D-5F082004C09E}"/>
    <cellStyle name="Komma 2 3 3 2 3 3" xfId="24906" xr:uid="{6449D178-B2A2-4371-9E83-85D95D9E193B}"/>
    <cellStyle name="Komma 2 3 3 2 3 4" xfId="52210" xr:uid="{07440869-D69A-4AC2-9212-2A1B0F959687}"/>
    <cellStyle name="Komma 2 3 3 2 3 5" xfId="55226" xr:uid="{362BE9C1-4DB2-4734-A9E8-735FD990256A}"/>
    <cellStyle name="Komma 2 3 3 2 4" xfId="15820" xr:uid="{382C8A8E-AA10-47A6-87C0-D0A46AD18AB9}"/>
    <cellStyle name="Komma 2 3 3 2 4 2" xfId="23349" xr:uid="{BA232501-F247-4BD0-BBBC-E204A9B10A90}"/>
    <cellStyle name="Komma 2 3 3 2 4 3" xfId="46970" xr:uid="{D40A694D-3BBA-413C-A31C-79CCCCA747BC}"/>
    <cellStyle name="Komma 2 3 3 2 4 4" xfId="52687" xr:uid="{3E4995FF-F0A8-46FB-AA17-C5FB9A59DB50}"/>
    <cellStyle name="Komma 2 3 3 2 4 5" xfId="55703" xr:uid="{6B71775A-C9BE-427D-B096-55B6449F8681}"/>
    <cellStyle name="Komma 2 3 3 2 5" xfId="12882" xr:uid="{F21C873D-FA08-41A9-8155-3299A032522B}"/>
    <cellStyle name="Komma 2 3 3 2 5 2" xfId="47922" xr:uid="{E999B07C-4C55-423E-9675-5D6EAC5A3A8A}"/>
    <cellStyle name="Komma 2 3 3 2 5 3" xfId="51256" xr:uid="{D0B25609-B662-4405-9F06-C9EE00CF649B}"/>
    <cellStyle name="Komma 2 3 3 2 5 4" xfId="54272" xr:uid="{19C2FA27-8EDC-416A-B38B-8D4A7F0FEA12}"/>
    <cellStyle name="Komma 2 3 3 2 6" xfId="38075" xr:uid="{4B601643-2372-4AC6-B7D2-5DFE30337826}"/>
    <cellStyle name="Komma 2 3 3 2 7" xfId="48138" xr:uid="{F48C9EA8-8446-4607-A8F1-9367E6CAEC50}"/>
    <cellStyle name="Komma 2 3 3 2 8" xfId="50150" xr:uid="{E21561DE-8D0F-4DD8-8308-444C6B74DBE9}"/>
    <cellStyle name="Komma 2 3 3 2 9" xfId="53166" xr:uid="{3254F9FB-5387-4CF7-80F6-910E685B174E}"/>
    <cellStyle name="Komma 2 3 3 3" xfId="14636" xr:uid="{99D78595-0EDB-4684-A726-4FCD91AA0CE4}"/>
    <cellStyle name="Komma 2 3 3 3 2" xfId="22183" xr:uid="{0B9FA9EC-DF90-47E0-8FC8-85B9725C883D}"/>
    <cellStyle name="Komma 2 3 3 3 3" xfId="43377" xr:uid="{F885387C-AE53-4220-990D-A12A0DE286D2}"/>
    <cellStyle name="Komma 2 3 3 3 4" xfId="24531" xr:uid="{1727D2A3-1B34-4826-87BE-9E80C7D7EA8B}"/>
    <cellStyle name="Komma 2 3 3 3 5" xfId="51521" xr:uid="{A51330C1-D15D-4DAB-BD3D-CCFE6B9062C3}"/>
    <cellStyle name="Komma 2 3 3 3 6" xfId="54537" xr:uid="{E564B7C7-3E7D-4CC6-856A-71B6A65C3565}"/>
    <cellStyle name="Komma 2 3 3 4" xfId="15121" xr:uid="{758EDEFC-4B58-4250-BC44-7C43CFFF73D7}"/>
    <cellStyle name="Komma 2 3 3 4 2" xfId="22660" xr:uid="{E3C455CB-D5FC-4668-BFFD-7CDC9C39C5AF}"/>
    <cellStyle name="Komma 2 3 3 4 3" xfId="46485" xr:uid="{A9517D74-A2CA-460C-A90C-58B9EF776C5E}"/>
    <cellStyle name="Komma 2 3 3 4 4" xfId="51998" xr:uid="{91D4DE1D-BA9D-4E86-AB3D-1D6BFA325D13}"/>
    <cellStyle name="Komma 2 3 3 4 5" xfId="55014" xr:uid="{F5F0E4C6-66F0-459B-9ED9-4E6F31E0D244}"/>
    <cellStyle name="Komma 2 3 3 5" xfId="15608" xr:uid="{8880248C-B764-4ACB-8CA7-5BDECD88884D}"/>
    <cellStyle name="Komma 2 3 3 5 2" xfId="23137" xr:uid="{6AE7B11D-612C-4660-B198-3D3555F58C9C}"/>
    <cellStyle name="Komma 2 3 3 5 3" xfId="36260" xr:uid="{815173FF-4C17-4464-BA41-B8840C7F9DD0}"/>
    <cellStyle name="Komma 2 3 3 5 4" xfId="52475" xr:uid="{14EF6F44-B29B-4908-AF0B-2E1E6859F5D9}"/>
    <cellStyle name="Komma 2 3 3 5 5" xfId="55491" xr:uid="{B929F4EE-E174-4878-A6D4-C55EACB55CB9}"/>
    <cellStyle name="Komma 2 3 3 6" xfId="12573" xr:uid="{58A4BBEC-9ECB-4D28-A102-CCCC68D0139D}"/>
    <cellStyle name="Komma 2 3 3 6 2" xfId="25331" xr:uid="{30D0426B-B9C6-4D4F-B66A-7ED1B351E404}"/>
    <cellStyle name="Komma 2 3 3 6 3" xfId="51044" xr:uid="{5A7D0B0A-9AB7-46D9-B0DE-FF8E61EFA719}"/>
    <cellStyle name="Komma 2 3 3 6 4" xfId="54060" xr:uid="{15FA7D0B-A5DA-42DE-9BF6-9377FD14E0CB}"/>
    <cellStyle name="Komma 2 3 3 7" xfId="32722" xr:uid="{9063C3BA-84BD-4401-897B-1A6F1917F84A}"/>
    <cellStyle name="Komma 2 3 3 8" xfId="48375" xr:uid="{C1153A9F-A61D-401F-8B93-A5118BE3B73F}"/>
    <cellStyle name="Komma 2 3 3 9" xfId="49938" xr:uid="{D2F4B1F3-28E8-478E-AA2C-4D34C69A075E}"/>
    <cellStyle name="Komma 2 3 4" xfId="10195" xr:uid="{042A62EB-846E-49AA-BEAD-9943E8357FC0}"/>
    <cellStyle name="Komma 2 3 4 10" xfId="53007" xr:uid="{9E0967AA-75B1-490F-B56B-311494C8EDE2}"/>
    <cellStyle name="Komma 2 3 4 2" xfId="10509" xr:uid="{88F697EE-01B8-42E1-9AC9-8AF8B0C620B0}"/>
    <cellStyle name="Komma 2 3 4 2 2" xfId="14901" xr:uid="{DFC61971-D9DD-420A-A20D-FE7E2CC5B62D}"/>
    <cellStyle name="Komma 2 3 4 2 2 2" xfId="22448" xr:uid="{07EB5517-9B35-4A68-A321-65FE32283B2E}"/>
    <cellStyle name="Komma 2 3 4 2 2 3" xfId="48355" xr:uid="{D5907C83-B701-4F8A-B898-5D40E82C6E83}"/>
    <cellStyle name="Komma 2 3 4 2 2 4" xfId="51786" xr:uid="{407D2140-C8BD-4BF0-82E5-1E24B1388A47}"/>
    <cellStyle name="Komma 2 3 4 2 2 5" xfId="54802" xr:uid="{CD7C37CE-2A03-4A5F-985C-EDBB27A7E9A7}"/>
    <cellStyle name="Komma 2 3 4 2 3" xfId="15386" xr:uid="{93652026-8840-4923-9DFD-36C66718019E}"/>
    <cellStyle name="Komma 2 3 4 2 3 2" xfId="22925" xr:uid="{75271AAA-5E4E-4456-B2E1-F7DEDA38085D}"/>
    <cellStyle name="Komma 2 3 4 2 3 3" xfId="46524" xr:uid="{30B59BE1-F8AF-42EE-91FE-F040978988B7}"/>
    <cellStyle name="Komma 2 3 4 2 3 4" xfId="52263" xr:uid="{A04B96DA-77E3-4CC5-A249-A6965D0AB5AB}"/>
    <cellStyle name="Komma 2 3 4 2 3 5" xfId="55279" xr:uid="{2CA4B1E5-02CB-4679-842C-F3CE792B2D85}"/>
    <cellStyle name="Komma 2 3 4 2 4" xfId="15873" xr:uid="{F5BAE75D-1A1C-4CB1-8694-F963593207CE}"/>
    <cellStyle name="Komma 2 3 4 2 4 2" xfId="23402" xr:uid="{6ECBF6E9-9BE4-49A2-871A-77870618BE2D}"/>
    <cellStyle name="Komma 2 3 4 2 4 3" xfId="34466" xr:uid="{52A50EA1-ED97-4145-ABE7-FC8BA79AB69C}"/>
    <cellStyle name="Komma 2 3 4 2 4 4" xfId="52740" xr:uid="{E24C8B78-69D6-4860-A7C7-D023478E3CBD}"/>
    <cellStyle name="Komma 2 3 4 2 4 5" xfId="55756" xr:uid="{5DA77F89-2992-40F1-8ED3-D9B0A56B0C13}"/>
    <cellStyle name="Komma 2 3 4 2 5" xfId="12962" xr:uid="{95E2050A-1232-4B4F-A24E-C6BFB3DE4903}"/>
    <cellStyle name="Komma 2 3 4 2 5 2" xfId="46673" xr:uid="{26FD9211-B57B-4A4F-A372-861BFA1F8AAE}"/>
    <cellStyle name="Komma 2 3 4 2 5 3" xfId="51309" xr:uid="{05FF9A5A-E68C-4753-80A2-5D59145807F5}"/>
    <cellStyle name="Komma 2 3 4 2 5 4" xfId="54325" xr:uid="{59EEC905-736F-4B31-8641-FBD954055493}"/>
    <cellStyle name="Komma 2 3 4 2 6" xfId="24260" xr:uid="{4344C6CB-85A0-4CD2-8607-708841160970}"/>
    <cellStyle name="Komma 2 3 4 2 7" xfId="50203" xr:uid="{A3885C00-5F45-4673-9E75-3E1E67F1FCC4}"/>
    <cellStyle name="Komma 2 3 4 2 8" xfId="53219" xr:uid="{BB84AE07-41DE-4CD7-BBB7-239FEC0F6D2E}"/>
    <cellStyle name="Komma 2 3 4 3" xfId="14689" xr:uid="{5E5EB796-9B67-40FB-99DD-363C330280E6}"/>
    <cellStyle name="Komma 2 3 4 3 2" xfId="22236" xr:uid="{6A57A22E-88BA-4ACB-AB0B-88043820EEA9}"/>
    <cellStyle name="Komma 2 3 4 3 3" xfId="48502" xr:uid="{6F068638-85CE-463B-A284-58604E09695C}"/>
    <cellStyle name="Komma 2 3 4 3 4" xfId="51574" xr:uid="{C93DE7C7-4652-4B5E-AE4F-70A2A3325702}"/>
    <cellStyle name="Komma 2 3 4 3 5" xfId="54590" xr:uid="{3F7133E6-842A-44F1-B4C3-CBB057B652DE}"/>
    <cellStyle name="Komma 2 3 4 4" xfId="15174" xr:uid="{DC5BA5A2-2A75-489B-8DC0-50B3E92D06A0}"/>
    <cellStyle name="Komma 2 3 4 4 2" xfId="22713" xr:uid="{15199F93-A33C-4134-A093-506275E7FE80}"/>
    <cellStyle name="Komma 2 3 4 4 3" xfId="46889" xr:uid="{DBCADE43-6DE8-4FD1-91B8-78DCED728FC0}"/>
    <cellStyle name="Komma 2 3 4 4 4" xfId="52051" xr:uid="{CA3440A6-C442-4E36-AD68-8C058741D40F}"/>
    <cellStyle name="Komma 2 3 4 4 5" xfId="55067" xr:uid="{F3373482-2199-4CEA-A8E9-37216C41845A}"/>
    <cellStyle name="Komma 2 3 4 5" xfId="15661" xr:uid="{4D188056-6C30-4A54-BB09-44C722BCC45C}"/>
    <cellStyle name="Komma 2 3 4 5 2" xfId="23190" xr:uid="{CCC47464-EFC6-46C7-B99D-140437FDECDB}"/>
    <cellStyle name="Komma 2 3 4 5 3" xfId="47136" xr:uid="{585D250A-37D5-4CC4-8935-E90961CB2F56}"/>
    <cellStyle name="Komma 2 3 4 5 4" xfId="52528" xr:uid="{B93FC8A2-FB6E-4932-97E7-D26457FA7EA4}"/>
    <cellStyle name="Komma 2 3 4 5 5" xfId="55544" xr:uid="{95E715D9-F635-4E71-84E6-ACA5CC3C1908}"/>
    <cellStyle name="Komma 2 3 4 6" xfId="12649" xr:uid="{56D0A798-1899-4ED3-BB5C-6B54A91D5F6D}"/>
    <cellStyle name="Komma 2 3 4 6 2" xfId="46780" xr:uid="{452B5F3E-3CEA-4EA1-8B17-EF4548D24F55}"/>
    <cellStyle name="Komma 2 3 4 6 3" xfId="51097" xr:uid="{CE81AC21-8615-4EBD-8185-F23943105068}"/>
    <cellStyle name="Komma 2 3 4 6 4" xfId="54113" xr:uid="{69F33748-4697-4810-951D-2B6B6897C657}"/>
    <cellStyle name="Komma 2 3 4 7" xfId="35610" xr:uid="{5B6956D9-002E-4C08-A68C-EC67A250DB99}"/>
    <cellStyle name="Komma 2 3 4 8" xfId="47797" xr:uid="{F51E6FBE-CC4A-4632-8225-D07CB08EB947}"/>
    <cellStyle name="Komma 2 3 4 9" xfId="49991" xr:uid="{D94F602E-B1D5-421E-99C8-17710D6FA48E}"/>
    <cellStyle name="Komma 2 3 5" xfId="10275" xr:uid="{4BC599D3-DA8B-4A3F-9C68-C81442793E70}"/>
    <cellStyle name="Komma 2 3 5 2" xfId="14742" xr:uid="{53AB23D5-4225-40A0-A05C-24A5C9CA933A}"/>
    <cellStyle name="Komma 2 3 5 2 2" xfId="22289" xr:uid="{91C6713D-48ED-41A7-82C9-FCABFF75EEE4}"/>
    <cellStyle name="Komma 2 3 5 2 3" xfId="24953" xr:uid="{060FB549-4503-4E04-9004-5CF3F02DFDD7}"/>
    <cellStyle name="Komma 2 3 5 2 4" xfId="51627" xr:uid="{A54614A8-BBA1-4EC0-8C26-64E68BD8D5CF}"/>
    <cellStyle name="Komma 2 3 5 2 5" xfId="54643" xr:uid="{6CB1B16F-2666-4B21-996D-06798A79CBD9}"/>
    <cellStyle name="Komma 2 3 5 3" xfId="15227" xr:uid="{CDB5E46A-5766-4D5E-84E7-6F88C07BDDC9}"/>
    <cellStyle name="Komma 2 3 5 3 2" xfId="22766" xr:uid="{0D8688C1-45FD-4AD9-AA74-E0E7AC0F6DD2}"/>
    <cellStyle name="Komma 2 3 5 3 3" xfId="47673" xr:uid="{A90FE955-F200-473A-9179-6DADB3A99AFC}"/>
    <cellStyle name="Komma 2 3 5 3 4" xfId="52104" xr:uid="{F0115641-6C75-4F06-B109-1DE7ED53F084}"/>
    <cellStyle name="Komma 2 3 5 3 5" xfId="55120" xr:uid="{50036D49-993D-4B54-8B83-DE04E5A0478B}"/>
    <cellStyle name="Komma 2 3 5 4" xfId="15714" xr:uid="{E3EF93BF-AF6E-4ABB-880B-0E7B2A1B7C2E}"/>
    <cellStyle name="Komma 2 3 5 4 2" xfId="23243" xr:uid="{F95BC4BE-6792-48B2-B9C2-CAA3450E0E23}"/>
    <cellStyle name="Komma 2 3 5 4 3" xfId="24895" xr:uid="{F1F5C97A-B354-4E50-8F66-E3E32DC7A444}"/>
    <cellStyle name="Komma 2 3 5 4 4" xfId="52581" xr:uid="{CB56C7C9-F560-4669-B713-A668C946A75D}"/>
    <cellStyle name="Komma 2 3 5 4 5" xfId="55597" xr:uid="{667DABBF-868A-424E-A5A5-55E97B95FBAC}"/>
    <cellStyle name="Komma 2 3 5 5" xfId="12728" xr:uid="{69E44821-C11F-4AA2-839B-F87DB5F91EE6}"/>
    <cellStyle name="Komma 2 3 5 5 2" xfId="47321" xr:uid="{C27ED208-F9A8-4341-9397-293006B1A08F}"/>
    <cellStyle name="Komma 2 3 5 5 3" xfId="51150" xr:uid="{D9A45CDC-80B8-4BC9-B0D1-8686C04A1E9E}"/>
    <cellStyle name="Komma 2 3 5 5 4" xfId="54166" xr:uid="{44BD42BB-F494-4477-A774-6574F4D0D6C2}"/>
    <cellStyle name="Komma 2 3 5 6" xfId="40726" xr:uid="{A9ACE18A-B7BA-4332-BD55-9F3ED7D0A636}"/>
    <cellStyle name="Komma 2 3 5 7" xfId="47580" xr:uid="{E149E4C7-4E20-4863-B6EC-5B4A8C05B98B}"/>
    <cellStyle name="Komma 2 3 5 8" xfId="50044" xr:uid="{8E44DB81-79CF-4DB9-9212-87AFB6015BAB}"/>
    <cellStyle name="Komma 2 3 5 9" xfId="53060" xr:uid="{EB0E21B8-0FB9-4217-B343-815E6C23396A}"/>
    <cellStyle name="Komma 2 3 6" xfId="10589" xr:uid="{2EFFD187-8A12-43A0-9C31-711D9B5F5253}"/>
    <cellStyle name="Komma 2 3 6 2" xfId="14954" xr:uid="{528260F5-9F73-499C-B386-8E40626B349F}"/>
    <cellStyle name="Komma 2 3 6 2 2" xfId="22501" xr:uid="{A702F3F0-ED70-4E2D-A9AC-9A9E81139B4C}"/>
    <cellStyle name="Komma 2 3 6 2 3" xfId="47244" xr:uid="{E26175CB-716F-454A-9493-1373BA55D470}"/>
    <cellStyle name="Komma 2 3 6 2 4" xfId="51839" xr:uid="{C4A480EE-8BC4-42F7-B641-171B194BED44}"/>
    <cellStyle name="Komma 2 3 6 2 5" xfId="54855" xr:uid="{30FC2460-F256-42B8-B34C-604D71839E40}"/>
    <cellStyle name="Komma 2 3 6 3" xfId="15439" xr:uid="{A4560CEE-6496-45A3-AFDF-704FD14D45E5}"/>
    <cellStyle name="Komma 2 3 6 3 2" xfId="22978" xr:uid="{CB12B53E-D306-4123-9895-032DC26BE751}"/>
    <cellStyle name="Komma 2 3 6 3 3" xfId="46535" xr:uid="{0805FB4B-96EA-492A-B591-E45DEFB7D555}"/>
    <cellStyle name="Komma 2 3 6 3 4" xfId="52316" xr:uid="{DF9C80C9-48BC-4EBC-8C9A-94D6B81D3C70}"/>
    <cellStyle name="Komma 2 3 6 3 5" xfId="55332" xr:uid="{EAEF4EE6-8E45-4A43-A310-FBDE3E29EEB2}"/>
    <cellStyle name="Komma 2 3 6 4" xfId="15927" xr:uid="{0A39709D-719A-4BF3-9A4D-AF8B50301C0A}"/>
    <cellStyle name="Komma 2 3 6 4 2" xfId="23455" xr:uid="{98CBB567-4B3C-4D38-A078-5F78FA763088}"/>
    <cellStyle name="Komma 2 3 6 4 3" xfId="47714" xr:uid="{08E3474D-1E12-472E-B34B-D6D3D76C3A96}"/>
    <cellStyle name="Komma 2 3 6 4 4" xfId="52793" xr:uid="{ECAA7591-4A27-4E3D-A722-65C87A19B31C}"/>
    <cellStyle name="Komma 2 3 6 4 5" xfId="55809" xr:uid="{1496B708-8980-4823-8441-6B278D0197C2}"/>
    <cellStyle name="Komma 2 3 6 5" xfId="13042" xr:uid="{203F2E71-9D84-4584-9154-AC6FEAF37E80}"/>
    <cellStyle name="Komma 2 3 6 5 2" xfId="48111" xr:uid="{792011D6-6B13-4CAA-AFAC-E66BFD2FAD04}"/>
    <cellStyle name="Komma 2 3 6 5 3" xfId="51362" xr:uid="{E1661167-7CE8-42D8-B59C-A2716EBA47D3}"/>
    <cellStyle name="Komma 2 3 6 5 4" xfId="54378" xr:uid="{D745172D-862B-4824-9D06-FC01EBC7F20F}"/>
    <cellStyle name="Komma 2 3 6 6" xfId="47068" xr:uid="{399AACA4-D4A3-4991-9644-300DF926A0E1}"/>
    <cellStyle name="Komma 2 3 6 7" xfId="50256" xr:uid="{A6056099-3F81-4082-BB53-DE57021A394E}"/>
    <cellStyle name="Komma 2 3 6 8" xfId="53272" xr:uid="{91F2DE21-E2FE-4247-9EDE-5A80BCCEB6CB}"/>
    <cellStyle name="Komma 2 3 7" xfId="14530" xr:uid="{6C1C4F4D-8AAF-4611-9DB4-E3B73B620947}"/>
    <cellStyle name="Komma 2 3 7 2" xfId="22077" xr:uid="{6B7D59E2-4FD9-4C4E-8F5F-73666B136CF3}"/>
    <cellStyle name="Komma 2 3 7 3" xfId="32532" xr:uid="{28BACC8D-62D1-4420-9E2D-BA83559CFEDB}"/>
    <cellStyle name="Komma 2 3 7 4" xfId="51415" xr:uid="{ECEBD9EB-BDED-4601-8661-437E8B4B3D2A}"/>
    <cellStyle name="Komma 2 3 7 5" xfId="54431" xr:uid="{63899E44-5DCC-4719-BD0F-5094E075C7C3}"/>
    <cellStyle name="Komma 2 3 8" xfId="15014" xr:uid="{84EE7916-8DF3-4F2C-8E14-12DB0D775A74}"/>
    <cellStyle name="Komma 2 3 8 2" xfId="22554" xr:uid="{6647DF25-AA1C-4E0F-A1A1-9927C67E66DB}"/>
    <cellStyle name="Komma 2 3 8 3" xfId="46467" xr:uid="{9EB4DEB7-F29B-4076-8639-C80BD9F5B621}"/>
    <cellStyle name="Komma 2 3 8 4" xfId="51892" xr:uid="{80B70CBB-EDF4-4978-92B6-0D71EFE01C1B}"/>
    <cellStyle name="Komma 2 3 8 5" xfId="54908" xr:uid="{4C38AE7E-AF2B-4FB1-9126-D162D9BC334E}"/>
    <cellStyle name="Komma 2 3 9" xfId="15501" xr:uid="{754A43DA-6C06-40A2-A7BD-E3DA02FA2128}"/>
    <cellStyle name="Komma 2 3 9 2" xfId="23031" xr:uid="{CC3F032D-4C8E-48D3-B7C3-C3828D1FB350}"/>
    <cellStyle name="Komma 2 3 9 3" xfId="47973" xr:uid="{2BC0306F-CE0E-4CC3-87C8-D748C636A9B5}"/>
    <cellStyle name="Komma 2 3 9 4" xfId="52369" xr:uid="{9A646B6E-4FA8-43FF-81EB-BC8465814D1B}"/>
    <cellStyle name="Komma 2 3 9 5" xfId="55385" xr:uid="{C88121B7-9E0F-4E74-B169-1A17A2B729ED}"/>
    <cellStyle name="Komma 2 4" xfId="9874" xr:uid="{16E29590-B254-4B38-B695-EB5E226AF9E2}"/>
    <cellStyle name="Komma 2 4 10" xfId="49845" xr:uid="{B457BB06-AB4B-40FC-9457-4180FB384D9C}"/>
    <cellStyle name="Komma 2 4 11" xfId="52861" xr:uid="{AFEE2F42-648F-496E-8D2A-DAF20C881BE1}"/>
    <cellStyle name="Komma 2 4 12" xfId="18301" xr:uid="{755C740D-E023-49DC-A86E-5D3FDC9133AF}"/>
    <cellStyle name="Komma 2 4 2" xfId="10297" xr:uid="{70444F9F-04F5-4741-8C83-CB00D75DDE5B}"/>
    <cellStyle name="Komma 2 4 2 10" xfId="53073" xr:uid="{C8B68809-9572-4551-A2BB-0EDE91DDECFD}"/>
    <cellStyle name="Komma 2 4 2 2" xfId="14755" xr:uid="{EC1124BD-1B7C-4BB0-AB24-EF2379ED3A55}"/>
    <cellStyle name="Komma 2 4 2 2 2" xfId="22302" xr:uid="{08553D0E-1C3B-4569-8286-7F1D649573FE}"/>
    <cellStyle name="Komma 2 4 2 2 3" xfId="47240" xr:uid="{545586DD-0519-4452-8D05-C26D68B2E94D}"/>
    <cellStyle name="Komma 2 4 2 2 4" xfId="51640" xr:uid="{8A280D96-4006-4DCC-9FCC-375AB893E2C2}"/>
    <cellStyle name="Komma 2 4 2 2 5" xfId="54656" xr:uid="{7D7CB17A-D272-4C56-B80B-2693B22FEE29}"/>
    <cellStyle name="Komma 2 4 2 3" xfId="15240" xr:uid="{040E6768-8CC3-4373-B5F7-0563AFCD2E41}"/>
    <cellStyle name="Komma 2 4 2 3 2" xfId="22779" xr:uid="{D5FF28C5-6881-44AC-A1CC-60EB925C0857}"/>
    <cellStyle name="Komma 2 4 2 3 3" xfId="47993" xr:uid="{E11E40AA-4359-45F6-8698-AEBA50689989}"/>
    <cellStyle name="Komma 2 4 2 3 4" xfId="52117" xr:uid="{B78075EB-F5AB-4AA9-B0F2-1AB8929F1E83}"/>
    <cellStyle name="Komma 2 4 2 3 5" xfId="55133" xr:uid="{213824A6-1F8A-41DA-B0DC-87E30B178444}"/>
    <cellStyle name="Komma 2 4 2 4" xfId="15727" xr:uid="{1DADD38A-FB43-4D7F-A0B9-3F6C991CC7CE}"/>
    <cellStyle name="Komma 2 4 2 4 2" xfId="23256" xr:uid="{C3653F4E-E149-4D8B-B779-1771C90539FD}"/>
    <cellStyle name="Komma 2 4 2 4 3" xfId="47552" xr:uid="{E8D9E189-EEBA-44CC-8DD4-D86507EBAEDE}"/>
    <cellStyle name="Komma 2 4 2 4 4" xfId="52594" xr:uid="{950F52FF-1045-4338-BCFE-77F9DFB97203}"/>
    <cellStyle name="Komma 2 4 2 4 5" xfId="55610" xr:uid="{5F874E90-75CF-4F59-B0BF-C1899B0DDD1D}"/>
    <cellStyle name="Komma 2 4 2 5" xfId="12750" xr:uid="{616D5FEA-8B04-4F1F-AACD-232FA0DAB60B}"/>
    <cellStyle name="Komma 2 4 2 5 2" xfId="48560" xr:uid="{C913823A-06F8-4208-8B7E-952B839BE16B}"/>
    <cellStyle name="Komma 2 4 2 5 3" xfId="51163" xr:uid="{C341B703-EACF-4DC1-ADF9-2C958A19BB5D}"/>
    <cellStyle name="Komma 2 4 2 5 4" xfId="54179" xr:uid="{DED321B1-B17E-4576-93D6-75ADD77CA493}"/>
    <cellStyle name="Komma 2 4 2 6" xfId="23849" xr:uid="{B4C8C6D2-0197-446B-8A26-98CBA1531EB6}"/>
    <cellStyle name="Komma 2 4 2 7" xfId="48704" xr:uid="{36CAA009-6D5E-4DE0-976B-E8DA97ED7BFB}"/>
    <cellStyle name="Komma 2 4 2 8" xfId="49612" xr:uid="{4A49E392-62DD-44ED-8A1B-FC51C0898C79}"/>
    <cellStyle name="Komma 2 4 2 9" xfId="50057" xr:uid="{44BC4F97-DB4A-40E4-8321-0BD079F6F53A}"/>
    <cellStyle name="Komma 2 4 3" xfId="12453" xr:uid="{E9BD2A03-0AD2-40BF-ADC1-DDA2EB60C800}"/>
    <cellStyle name="Komma 2 4 3 2" xfId="21910" xr:uid="{15BBE580-3853-4E2F-8AE3-AA1DA1F1F4BE}"/>
    <cellStyle name="Komma 2 4 3 3" xfId="23850" xr:uid="{A0C39524-AD44-49EC-A73F-00FB97A8A354}"/>
    <cellStyle name="Komma 2 4 3 4" xfId="48705" xr:uid="{334B3C65-4B55-4010-BE48-4AF93E9640FF}"/>
    <cellStyle name="Komma 2 4 3 5" xfId="49613" xr:uid="{9203D480-F47A-4572-834A-89B69FD2B8C9}"/>
    <cellStyle name="Komma 2 4 3 6" xfId="50951" xr:uid="{24D1AF7A-D458-4A0A-B24E-D459DABE3CCC}"/>
    <cellStyle name="Komma 2 4 3 7" xfId="53967" xr:uid="{1A1CBE8E-5CE9-4624-9F97-DE4B97EFCC8E}"/>
    <cellStyle name="Komma 2 4 4" xfId="14543" xr:uid="{69D79854-261A-4AF7-8FD5-97430956B3B9}"/>
    <cellStyle name="Komma 2 4 4 2" xfId="22090" xr:uid="{C5F8416E-F429-42F1-8192-9198786C4B28}"/>
    <cellStyle name="Komma 2 4 4 3" xfId="46832" xr:uid="{B4E8F12B-83D2-4A30-B955-84AA6CC1CDE5}"/>
    <cellStyle name="Komma 2 4 4 4" xfId="51428" xr:uid="{08C901A6-A10C-4A47-A325-AAC6D5660C3D}"/>
    <cellStyle name="Komma 2 4 4 5" xfId="54444" xr:uid="{387C950D-F82A-45A7-91B8-A53E0BEFF4F7}"/>
    <cellStyle name="Komma 2 4 5" xfId="15027" xr:uid="{916E2002-A882-4794-8647-5E79DFFCE339}"/>
    <cellStyle name="Komma 2 4 5 2" xfId="22567" xr:uid="{3AEEFBB2-D03F-4D55-85BD-9D34E8D9594C}"/>
    <cellStyle name="Komma 2 4 5 3" xfId="46469" xr:uid="{95325C1F-8E84-490E-A940-B519975B0E92}"/>
    <cellStyle name="Komma 2 4 5 4" xfId="51905" xr:uid="{1290473A-D302-43C5-B810-1E13BC864BE9}"/>
    <cellStyle name="Komma 2 4 5 5" xfId="54921" xr:uid="{54F847D8-4017-467A-B6E2-956B6B47C986}"/>
    <cellStyle name="Komma 2 4 6" xfId="15514" xr:uid="{E07D220F-17A2-4312-BA14-9C2047F54A46}"/>
    <cellStyle name="Komma 2 4 6 2" xfId="23044" xr:uid="{CC398384-F62E-40C7-BF38-434B281FCE6C}"/>
    <cellStyle name="Komma 2 4 6 3" xfId="47251" xr:uid="{A1FD7A52-C0F1-44A6-BF4D-A5F5F14D67F3}"/>
    <cellStyle name="Komma 2 4 6 4" xfId="52382" xr:uid="{ECE531C3-EA0C-4EFA-92DA-4CA1DB9EB181}"/>
    <cellStyle name="Komma 2 4 6 5" xfId="55398" xr:uid="{481E4BEA-E098-4A70-AE48-7159BF00E684}"/>
    <cellStyle name="Komma 2 4 7" xfId="11712" xr:uid="{49BE37FA-CA9D-4C97-94AF-C1D1380882A4}"/>
    <cellStyle name="Komma 2 4 7 2" xfId="47461" xr:uid="{DC0D5712-28FE-4BE8-B27D-7BE1EB09BD23}"/>
    <cellStyle name="Komma 2 4 7 3" xfId="23848" xr:uid="{FA836193-7F0C-4A06-B48E-82E7573E1E72}"/>
    <cellStyle name="Komma 2 4 8" xfId="48703" xr:uid="{45335373-2FBE-4DFD-9E18-719CDF7350D5}"/>
    <cellStyle name="Komma 2 4 9" xfId="49611" xr:uid="{A8E18B87-6F8B-4532-BAFE-95A965EC4385}"/>
    <cellStyle name="Komma 2 5" xfId="10063" xr:uid="{5863C6F3-7402-455D-8CD9-11FC20D03B2F}"/>
    <cellStyle name="Komma 2 5 10" xfId="49614" xr:uid="{D3749A7D-BA27-42C3-B6F9-39CA9634CC0E}"/>
    <cellStyle name="Komma 2 5 11" xfId="49898" xr:uid="{BBD9FF5E-D50F-4850-8E64-32CC5E209876}"/>
    <cellStyle name="Komma 2 5 12" xfId="52914" xr:uid="{6E879AA6-382B-4826-8D54-E0FC0463E029}"/>
    <cellStyle name="Komma 2 5 13" xfId="18043" xr:uid="{9E68684F-78E1-400E-A87E-01A66B6726C2}"/>
    <cellStyle name="Komma 2 5 2" xfId="10372" xr:uid="{7BEC3F93-32D3-4B42-BBC3-7C4603885E4C}"/>
    <cellStyle name="Komma 2 5 2 2" xfId="14808" xr:uid="{768AC5C9-15D0-4FA1-B048-695F5A2B9B71}"/>
    <cellStyle name="Komma 2 5 2 2 2" xfId="22355" xr:uid="{C1F654D7-743B-4EFB-AE52-696122739983}"/>
    <cellStyle name="Komma 2 5 2 2 3" xfId="34037" xr:uid="{F900348B-C470-442B-A214-9E754181E98A}"/>
    <cellStyle name="Komma 2 5 2 2 4" xfId="51693" xr:uid="{678928AD-43DB-4BC5-AFE3-88340448B2E0}"/>
    <cellStyle name="Komma 2 5 2 2 5" xfId="54709" xr:uid="{9EF2397B-D6F7-4A4D-86A1-C11A932FE3A4}"/>
    <cellStyle name="Komma 2 5 2 3" xfId="15293" xr:uid="{EC3829F6-7F6D-4667-850E-B42D6ED8E9C8}"/>
    <cellStyle name="Komma 2 5 2 3 2" xfId="22832" xr:uid="{73D9DDC2-7D6B-4719-94E3-1BDE045B9A3D}"/>
    <cellStyle name="Komma 2 5 2 3 3" xfId="47783" xr:uid="{AE75F716-22F0-4A05-99FE-83181821BC0C}"/>
    <cellStyle name="Komma 2 5 2 3 4" xfId="52170" xr:uid="{F0C59905-00AC-47AC-B0F1-2FBA6D029121}"/>
    <cellStyle name="Komma 2 5 2 3 5" xfId="55186" xr:uid="{49E41C78-625B-45B9-ABBF-44A52A5C2A9A}"/>
    <cellStyle name="Komma 2 5 2 4" xfId="15780" xr:uid="{B95EC1B8-9512-462B-AD29-A25A9E4F86BD}"/>
    <cellStyle name="Komma 2 5 2 4 2" xfId="23309" xr:uid="{7E04114A-FF3D-4998-87BC-DE275D74481A}"/>
    <cellStyle name="Komma 2 5 2 4 3" xfId="46584" xr:uid="{5385E5A1-14EE-4A93-A8B9-49783DD35E4C}"/>
    <cellStyle name="Komma 2 5 2 4 4" xfId="52647" xr:uid="{017DC820-E55B-4AF8-91DA-8A3E92F11FA2}"/>
    <cellStyle name="Komma 2 5 2 4 5" xfId="55663" xr:uid="{8214E2FA-3F3C-4343-B75B-8AF3C86058D4}"/>
    <cellStyle name="Komma 2 5 2 5" xfId="12825" xr:uid="{6C48B870-F90B-4542-A2AC-993A3668520D}"/>
    <cellStyle name="Komma 2 5 2 5 2" xfId="47527" xr:uid="{D62A53C7-25F3-4C71-B789-2BB388300740}"/>
    <cellStyle name="Komma 2 5 2 5 3" xfId="51216" xr:uid="{AF099AD0-4413-4321-8680-4567FB5FCD84}"/>
    <cellStyle name="Komma 2 5 2 5 4" xfId="54232" xr:uid="{CC405F29-447A-4F5E-AD7C-61E5F5F79517}"/>
    <cellStyle name="Komma 2 5 2 6" xfId="32274" xr:uid="{E86352AD-AE3C-465E-8454-D8F65EA46ECB}"/>
    <cellStyle name="Komma 2 5 2 7" xfId="46103" xr:uid="{7AA65154-06F8-4546-A1A1-A476650DE3A0}"/>
    <cellStyle name="Komma 2 5 2 8" xfId="50110" xr:uid="{9A09B609-7F8F-4726-AB2C-53081131320B}"/>
    <cellStyle name="Komma 2 5 2 9" xfId="53126" xr:uid="{BEC411F4-3181-4139-BCF6-8617BFB96DD4}"/>
    <cellStyle name="Komma 2 5 3" xfId="12522" xr:uid="{4591F741-67C2-4B77-988E-7C8349DE2345}"/>
    <cellStyle name="Komma 2 5 3 2" xfId="21927" xr:uid="{C75B8743-D3BA-42C5-9D16-D5453AB59D2B}"/>
    <cellStyle name="Komma 2 5 3 3" xfId="32275" xr:uid="{233F2177-75FE-4845-BCCC-36F3B57B96A7}"/>
    <cellStyle name="Komma 2 5 3 4" xfId="32292" xr:uid="{D8DBA71D-1856-448A-A5F0-E809F3336691}"/>
    <cellStyle name="Komma 2 5 3 5" xfId="51004" xr:uid="{8D0E9333-4538-465C-8498-CBA71BA185F2}"/>
    <cellStyle name="Komma 2 5 3 6" xfId="54020" xr:uid="{17E7143A-A67A-4AC5-A5AD-1355505B35FF}"/>
    <cellStyle name="Komma 2 5 4" xfId="14596" xr:uid="{1047D8C0-3861-4152-80E7-7C9C10AD74F4}"/>
    <cellStyle name="Komma 2 5 4 2" xfId="22143" xr:uid="{07D3EE5C-9E4E-4A64-B9D2-414C3EA89578}"/>
    <cellStyle name="Komma 2 5 4 3" xfId="48206" xr:uid="{641B35EE-0D8B-4EDA-81FB-4F5E4AB2A252}"/>
    <cellStyle name="Komma 2 5 4 4" xfId="51481" xr:uid="{C7624E9E-DBFE-4236-B8A8-6BD750ABF849}"/>
    <cellStyle name="Komma 2 5 4 5" xfId="54497" xr:uid="{8AFC4682-E965-40D1-8EAD-B1899AA73AC3}"/>
    <cellStyle name="Komma 2 5 5" xfId="15081" xr:uid="{3BB3D005-DC1C-4503-A3FC-17F4DD77A71B}"/>
    <cellStyle name="Komma 2 5 5 2" xfId="22620" xr:uid="{3BAAAB15-8481-4D7E-873D-98F26794DF0A}"/>
    <cellStyle name="Komma 2 5 5 3" xfId="46475" xr:uid="{34E8C83F-C6E6-43E3-BB63-D6C46BC4E60E}"/>
    <cellStyle name="Komma 2 5 5 4" xfId="51958" xr:uid="{6AD95CB1-D665-43F5-A3B0-08197BDE28C5}"/>
    <cellStyle name="Komma 2 5 5 5" xfId="54974" xr:uid="{716F7ED1-8EDB-41C9-9B73-2813F42A3928}"/>
    <cellStyle name="Komma 2 5 6" xfId="15568" xr:uid="{CD3BBDA5-F6DC-4D89-858C-2ED6D32D7F1F}"/>
    <cellStyle name="Komma 2 5 6 2" xfId="23097" xr:uid="{EA86088F-4245-4ACD-9FD6-DC6907F2A894}"/>
    <cellStyle name="Komma 2 5 6 3" xfId="24165" xr:uid="{76CE44B0-FD41-4551-9971-AD8DC61A6C6A}"/>
    <cellStyle name="Komma 2 5 6 4" xfId="52435" xr:uid="{3A22D88D-D6A1-4236-81D5-8012ACB0DC8F}"/>
    <cellStyle name="Komma 2 5 6 5" xfId="55451" xr:uid="{EE0FE5D0-3A67-4616-BCCD-AD1FA32452A7}"/>
    <cellStyle name="Komma 2 5 7" xfId="11144" xr:uid="{7FC5BAA9-048B-4438-BE37-C825C524C1D4}"/>
    <cellStyle name="Komma 2 5 7 2" xfId="46273" xr:uid="{1926706F-E5D0-426E-9ED0-D4186A1B647F}"/>
    <cellStyle name="Komma 2 5 7 3" xfId="23851" xr:uid="{D9B82CFD-8599-4948-B8D5-D72417A909FD}"/>
    <cellStyle name="Komma 2 5 8" xfId="46035" xr:uid="{E1852AEB-BBDD-4ED8-9820-43F309F94AAE}"/>
    <cellStyle name="Komma 2 5 9" xfId="48706" xr:uid="{173568BE-D547-4D3D-88C5-C930315592AF}"/>
    <cellStyle name="Komma 2 6" xfId="10138" xr:uid="{827AB66F-774A-4CBE-BE6D-698173BBD2BB}"/>
    <cellStyle name="Komma 2 6 10" xfId="49951" xr:uid="{3C7E650F-046A-4CF2-961D-370C3532D6FF}"/>
    <cellStyle name="Komma 2 6 11" xfId="52967" xr:uid="{F7543BED-AF66-4D7C-B7E4-6B9C09FA4456}"/>
    <cellStyle name="Komma 2 6 2" xfId="10452" xr:uid="{8E916317-D446-4F6D-864F-80F3F600C8E5}"/>
    <cellStyle name="Komma 2 6 2 2" xfId="14861" xr:uid="{790ABCA7-6859-4551-AA55-210B3BE9E10D}"/>
    <cellStyle name="Komma 2 6 2 2 2" xfId="22408" xr:uid="{2D7F8F4F-66EB-4643-8D6C-BB3982385E10}"/>
    <cellStyle name="Komma 2 6 2 2 3" xfId="48410" xr:uid="{45B2976D-8CDB-42DB-9E7D-DC03DA138C42}"/>
    <cellStyle name="Komma 2 6 2 2 4" xfId="51746" xr:uid="{5D29C909-2EF1-464C-B8E0-2004DA2CB732}"/>
    <cellStyle name="Komma 2 6 2 2 5" xfId="54762" xr:uid="{B19C3442-4B2D-4A9C-8C10-92C2BE9E4F01}"/>
    <cellStyle name="Komma 2 6 2 3" xfId="15346" xr:uid="{8863053A-5E8A-42BB-8332-022B1B99BD8B}"/>
    <cellStyle name="Komma 2 6 2 3 2" xfId="22885" xr:uid="{5AC534A2-F691-41D8-997D-4C94E4AA2049}"/>
    <cellStyle name="Komma 2 6 2 3 3" xfId="46909" xr:uid="{D3EB03C8-5866-48A8-A367-B53C6D1D3D04}"/>
    <cellStyle name="Komma 2 6 2 3 4" xfId="52223" xr:uid="{5D7C679C-23AE-4125-BCA4-2D3ED9D9EDD4}"/>
    <cellStyle name="Komma 2 6 2 3 5" xfId="55239" xr:uid="{F2E94A1F-3507-47CF-B80B-9513228B4545}"/>
    <cellStyle name="Komma 2 6 2 4" xfId="15833" xr:uid="{D941FA85-1C81-4643-BF28-2C15C743B7A2}"/>
    <cellStyle name="Komma 2 6 2 4 2" xfId="23362" xr:uid="{83710A33-ACF5-48C6-8DA5-DCF0FBF8CC7D}"/>
    <cellStyle name="Komma 2 6 2 4 3" xfId="24645" xr:uid="{889D748B-D882-4B5E-A001-459E114D8DDD}"/>
    <cellStyle name="Komma 2 6 2 4 4" xfId="52700" xr:uid="{AEA80100-653D-4FFF-A017-EAF99171CC53}"/>
    <cellStyle name="Komma 2 6 2 4 5" xfId="55716" xr:uid="{1609E4B9-711E-49DE-A8BA-243864DEC58A}"/>
    <cellStyle name="Komma 2 6 2 5" xfId="12905" xr:uid="{4D567306-48BA-41FE-BF42-D3E8AC0242A9}"/>
    <cellStyle name="Komma 2 6 2 5 2" xfId="46809" xr:uid="{B3122795-C9BE-49EB-BE29-B018659AF41C}"/>
    <cellStyle name="Komma 2 6 2 5 3" xfId="51269" xr:uid="{7E99E300-133E-4AE4-988E-68DB2B06E467}"/>
    <cellStyle name="Komma 2 6 2 5 4" xfId="54285" xr:uid="{D60979B8-FCB0-440D-BD14-08C7228C1662}"/>
    <cellStyle name="Komma 2 6 2 6" xfId="47262" xr:uid="{26231CF8-3ED1-4F11-B140-DECBAF3055E8}"/>
    <cellStyle name="Komma 2 6 2 7" xfId="50163" xr:uid="{C7120145-A1C5-4837-BBA8-0F2A4212B3C0}"/>
    <cellStyle name="Komma 2 6 2 8" xfId="53179" xr:uid="{4CE9E5A6-5C66-426D-B71A-3F6C7AAAE3FB}"/>
    <cellStyle name="Komma 2 6 3" xfId="14649" xr:uid="{DEE27B54-A21C-40D8-9619-B47104B0B2EB}"/>
    <cellStyle name="Komma 2 6 3 2" xfId="22196" xr:uid="{98D62D4D-B960-4C9A-B6C7-0C5D4ED4B474}"/>
    <cellStyle name="Komma 2 6 3 3" xfId="46678" xr:uid="{4F43C802-7BE6-440A-BA6B-B479F5642DA3}"/>
    <cellStyle name="Komma 2 6 3 4" xfId="51534" xr:uid="{9F44BCA4-D586-4114-B122-6198B6106F98}"/>
    <cellStyle name="Komma 2 6 3 5" xfId="54550" xr:uid="{B95F7D90-BF62-4F91-A23C-8221A1D15FA1}"/>
    <cellStyle name="Komma 2 6 4" xfId="15134" xr:uid="{62C7D777-A5BB-4163-B931-79AEFE1CDC8C}"/>
    <cellStyle name="Komma 2 6 4 2" xfId="22673" xr:uid="{9A85CFCD-C464-4796-B531-02D32E1A57C2}"/>
    <cellStyle name="Komma 2 6 4 3" xfId="47127" xr:uid="{0EC00DE5-0175-403D-8D1C-81276CF22004}"/>
    <cellStyle name="Komma 2 6 4 4" xfId="52011" xr:uid="{34727BD6-5B84-4E19-8B44-D0A09C5C3578}"/>
    <cellStyle name="Komma 2 6 4 5" xfId="55027" xr:uid="{95A8DC6A-EE73-4F27-B0A6-DBB384F84BBA}"/>
    <cellStyle name="Komma 2 6 5" xfId="15621" xr:uid="{E01925A5-D0A1-4F6E-9215-8A737E384C4E}"/>
    <cellStyle name="Komma 2 6 5 2" xfId="23150" xr:uid="{9DB1D160-99CD-44BE-8F8C-F64F13997238}"/>
    <cellStyle name="Komma 2 6 5 3" xfId="47197" xr:uid="{7BC8607C-07B8-4D83-9128-B0C5CC42C423}"/>
    <cellStyle name="Komma 2 6 5 4" xfId="52488" xr:uid="{FF09E442-99B7-4E89-816F-4F9FEA154B65}"/>
    <cellStyle name="Komma 2 6 5 5" xfId="55504" xr:uid="{C19357D4-9491-44CB-995F-ED22C1CEF4A6}"/>
    <cellStyle name="Komma 2 6 6" xfId="12594" xr:uid="{A81C32CF-B473-4CF2-A33D-1A86836F093F}"/>
    <cellStyle name="Komma 2 6 6 2" xfId="33401" xr:uid="{121F76B3-20DD-4AD2-99B7-CE89555A4EEF}"/>
    <cellStyle name="Komma 2 6 6 3" xfId="51057" xr:uid="{A8D35940-490A-42B0-BBC0-B6DA2BC9CF03}"/>
    <cellStyle name="Komma 2 6 6 4" xfId="54073" xr:uid="{8EBA535C-D2F0-4C11-982C-568A715AF414}"/>
    <cellStyle name="Komma 2 6 7" xfId="23852" xr:uid="{8E183DD6-30E9-44F1-8F75-4C3D69E33F23}"/>
    <cellStyle name="Komma 2 6 8" xfId="48707" xr:uid="{A031EB6B-1633-460F-805C-BA0E83C8F8A1}"/>
    <cellStyle name="Komma 2 6 9" xfId="49615" xr:uid="{F08367E9-B5F7-49F4-AE3C-7F8442CD4213}"/>
    <cellStyle name="Komma 2 7" xfId="10218" xr:uid="{A1905E97-5B75-4E4C-8976-E59F6FBA3BD2}"/>
    <cellStyle name="Komma 2 7 10" xfId="53020" xr:uid="{D820182A-C7EE-4AE3-BCCB-AA77435CDE17}"/>
    <cellStyle name="Komma 2 7 2" xfId="14702" xr:uid="{F4BABD99-5BED-44F8-980F-501C89ABF812}"/>
    <cellStyle name="Komma 2 7 2 2" xfId="22249" xr:uid="{5E4DE7B8-B8E4-4343-8A07-64E64FD71B54}"/>
    <cellStyle name="Komma 2 7 2 3" xfId="48208" xr:uid="{47B1E204-FD5A-4591-95DE-0CD7D19F7765}"/>
    <cellStyle name="Komma 2 7 2 4" xfId="51587" xr:uid="{B6B71F77-FAD7-4BAB-807B-11982E30ADAE}"/>
    <cellStyle name="Komma 2 7 2 5" xfId="54603" xr:uid="{3FCE57E2-628C-4B75-80B7-1F107698FBB8}"/>
    <cellStyle name="Komma 2 7 3" xfId="15187" xr:uid="{702065F6-0961-4E96-B21D-52A327DEF7E5}"/>
    <cellStyle name="Komma 2 7 3 2" xfId="22726" xr:uid="{59570C6B-A4D4-4E58-B6A9-993692E4E4BE}"/>
    <cellStyle name="Komma 2 7 3 3" xfId="48442" xr:uid="{BB0E6A19-6B39-4DC7-B26B-0B71102A687E}"/>
    <cellStyle name="Komma 2 7 3 4" xfId="52064" xr:uid="{EA2923CB-1758-4149-8234-ECF584548E98}"/>
    <cellStyle name="Komma 2 7 3 5" xfId="55080" xr:uid="{827B4F7C-94C8-49D4-A00E-30CB0EC11FF8}"/>
    <cellStyle name="Komma 2 7 4" xfId="15674" xr:uid="{7A1018CB-EFA3-4AB8-8742-BC375FCE08FF}"/>
    <cellStyle name="Komma 2 7 4 2" xfId="23203" xr:uid="{0178EE8D-F182-4126-A381-D77AD1FD97DB}"/>
    <cellStyle name="Komma 2 7 4 3" xfId="47946" xr:uid="{7A75526E-AF7D-44E2-B0DE-8189C5E6C25D}"/>
    <cellStyle name="Komma 2 7 4 4" xfId="52541" xr:uid="{F6DD0DC7-54C1-43FB-813D-C272364F765D}"/>
    <cellStyle name="Komma 2 7 4 5" xfId="55557" xr:uid="{1CBC2EC0-C27C-47AA-9805-EBBFEC44B251}"/>
    <cellStyle name="Komma 2 7 5" xfId="12671" xr:uid="{36566C38-85C5-4268-A586-F8D8222CA550}"/>
    <cellStyle name="Komma 2 7 5 2" xfId="47760" xr:uid="{4F7778B5-16E7-421F-8019-8D00631F0F28}"/>
    <cellStyle name="Komma 2 7 5 3" xfId="51110" xr:uid="{BA0747E6-BC7F-4FE6-9DEA-053124623460}"/>
    <cellStyle name="Komma 2 7 5 4" xfId="54126" xr:uid="{E1809FCD-A405-47A9-9C06-AF4AA721E136}"/>
    <cellStyle name="Komma 2 7 6" xfId="23853" xr:uid="{C36C3BF7-C32C-4B46-AA5D-015BA1C63914}"/>
    <cellStyle name="Komma 2 7 7" xfId="48708" xr:uid="{04411F98-E12E-4BB1-AF4E-AC68ADDDE20C}"/>
    <cellStyle name="Komma 2 7 8" xfId="49616" xr:uid="{7B01A15C-7BC4-4302-8E2D-17B114980C7C}"/>
    <cellStyle name="Komma 2 7 9" xfId="50004" xr:uid="{43B35BB5-1F30-44FC-889E-F38E696C08DD}"/>
    <cellStyle name="Komma 2 8" xfId="10532" xr:uid="{BD4ECD5D-AFBE-4188-9ED2-180F9BF63CD9}"/>
    <cellStyle name="Komma 2 8 10" xfId="53232" xr:uid="{3CAD4A57-5DC9-4046-8F1B-5146AA50FDD6}"/>
    <cellStyle name="Komma 2 8 2" xfId="14914" xr:uid="{90F64A7C-DD9A-45E8-849F-824EFABF45DE}"/>
    <cellStyle name="Komma 2 8 2 2" xfId="22461" xr:uid="{2C9FC4DC-F4CB-46B0-98E2-87E179189B8A}"/>
    <cellStyle name="Komma 2 8 2 3" xfId="32723" xr:uid="{7E39E11F-FB29-4EE8-B198-347503C92458}"/>
    <cellStyle name="Komma 2 8 2 4" xfId="51799" xr:uid="{2CD8E949-E878-4AFA-9B9A-0222F050A131}"/>
    <cellStyle name="Komma 2 8 2 5" xfId="54815" xr:uid="{945AA853-39BC-4BDE-81DD-7CA6B7037DBA}"/>
    <cellStyle name="Komma 2 8 3" xfId="15399" xr:uid="{56F19E0D-8F29-458D-944E-1474FFF0258E}"/>
    <cellStyle name="Komma 2 8 3 2" xfId="22938" xr:uid="{A8C5BA67-4B9B-4EE6-A15E-4DE1454016ED}"/>
    <cellStyle name="Komma 2 8 3 3" xfId="48363" xr:uid="{F0D73622-1A4D-43A9-A935-84FC2B55FAEB}"/>
    <cellStyle name="Komma 2 8 3 4" xfId="52276" xr:uid="{8A1B3306-9142-4444-9FC5-A0D67B237790}"/>
    <cellStyle name="Komma 2 8 3 5" xfId="55292" xr:uid="{C7104224-F9CE-415D-B75B-7FFEE4485751}"/>
    <cellStyle name="Komma 2 8 4" xfId="15887" xr:uid="{C4953D1D-2369-4C38-89C2-9B95859AD582}"/>
    <cellStyle name="Komma 2 8 4 2" xfId="23415" xr:uid="{C33C1992-23B6-43C1-9172-81B2CAE734D3}"/>
    <cellStyle name="Komma 2 8 4 3" xfId="36254" xr:uid="{636A6932-B632-43E5-B961-BC127891201C}"/>
    <cellStyle name="Komma 2 8 4 4" xfId="52753" xr:uid="{0DC8FA2B-A67A-4698-9973-60E55E0EBA17}"/>
    <cellStyle name="Komma 2 8 4 5" xfId="55769" xr:uid="{2990B112-5368-481B-959B-CA7D7747F514}"/>
    <cellStyle name="Komma 2 8 5" xfId="12985" xr:uid="{AF3A543F-2DD5-4F2A-93C9-842904937CCA}"/>
    <cellStyle name="Komma 2 8 5 2" xfId="46380" xr:uid="{1F320973-EB17-4FB1-989B-1BB6501776C2}"/>
    <cellStyle name="Komma 2 8 5 3" xfId="51322" xr:uid="{3596A864-30F0-4B67-B036-7460C848317D}"/>
    <cellStyle name="Komma 2 8 5 4" xfId="54338" xr:uid="{F70C045C-39E1-4877-BBDD-8DC509BF9078}"/>
    <cellStyle name="Komma 2 8 6" xfId="23854" xr:uid="{25B5AE03-B0A7-44A2-9976-14F731F54075}"/>
    <cellStyle name="Komma 2 8 7" xfId="48709" xr:uid="{6FE66FAE-A152-4BAA-8A64-D606F9D45E68}"/>
    <cellStyle name="Komma 2 8 8" xfId="49617" xr:uid="{849B895F-2A3D-4BFB-8B6B-132C4FB25BF2}"/>
    <cellStyle name="Komma 2 8 9" xfId="50216" xr:uid="{0D661020-589D-4269-B1DB-AB11D19AF647}"/>
    <cellStyle name="Komma 2 9" xfId="14490" xr:uid="{92D3DC77-7AE3-445E-9C82-CA38FE73D7B7}"/>
    <cellStyle name="Komma 2 9 2" xfId="22037" xr:uid="{01108B0D-E510-4EDF-859A-FBE6FE5E7B7C}"/>
    <cellStyle name="Komma 2 9 3" xfId="23855" xr:uid="{936F42CD-6B46-44EB-9D1F-CC2915DEE619}"/>
    <cellStyle name="Komma 2 9 4" xfId="51375" xr:uid="{50251EEA-4487-4497-874D-7FEE22BF76D5}"/>
    <cellStyle name="Komma 2 9 5" xfId="54391" xr:uid="{890C1D9B-EB3B-4A2B-B228-38824DFB5028}"/>
    <cellStyle name="Komma 3" xfId="2814" xr:uid="{074034F4-947A-4275-9599-349D952D4503}"/>
    <cellStyle name="Komma 3 10" xfId="23857" xr:uid="{32FC7893-CF22-4BA7-9DA6-9C04D4099323}"/>
    <cellStyle name="Komma 3 10 2" xfId="48711" xr:uid="{CAACABAF-81B6-4D11-9D33-1DB96CEB095E}"/>
    <cellStyle name="Komma 3 10 3" xfId="49619" xr:uid="{A515E9DA-897F-4340-B8F4-3B7A314E19FD}"/>
    <cellStyle name="Komma 3 11" xfId="23858" xr:uid="{ED290BB6-3C70-4CE5-ABFC-4B56C7D6C177}"/>
    <cellStyle name="Komma 3 11 2" xfId="32724" xr:uid="{251BCA5E-D727-4CEF-8321-4EEBF8A1A481}"/>
    <cellStyle name="Komma 3 11 2 2" xfId="38076" xr:uid="{E987853B-B42E-4F34-A7B9-2DDCA60482D0}"/>
    <cellStyle name="Komma 3 11 2 3" xfId="43378" xr:uid="{DA2BAAEC-F1FF-4C98-A854-AC8E4825FE77}"/>
    <cellStyle name="Komma 3 11 3" xfId="35611" xr:uid="{EE235526-5CCF-42B5-B53C-CFD216EA1DF8}"/>
    <cellStyle name="Komma 3 11 4" xfId="40727" xr:uid="{6EE0FA59-1767-40BD-AB59-2CA5894BF65F}"/>
    <cellStyle name="Komma 3 12" xfId="23859" xr:uid="{29BD93A4-9AD0-452E-9D3B-23B334CF6E88}"/>
    <cellStyle name="Komma 3 12 2" xfId="48712" xr:uid="{970603A2-FB94-4279-874E-1300DFEE7354}"/>
    <cellStyle name="Komma 3 12 3" xfId="49620" xr:uid="{AAF511D0-FA3C-4791-9C84-B2AE1032D01C}"/>
    <cellStyle name="Komma 3 13" xfId="23860" xr:uid="{1F048BB6-AD8A-4040-A14D-A38C7964286D}"/>
    <cellStyle name="Komma 3 13 2" xfId="32725" xr:uid="{2A76261F-523E-48EC-BC39-00C0C519C738}"/>
    <cellStyle name="Komma 3 13 3" xfId="48713" xr:uid="{F751A5B2-E2A2-4312-B204-6FAFD6E6E236}"/>
    <cellStyle name="Komma 3 13 4" xfId="49621" xr:uid="{F87BE368-FB1F-4BBC-B52F-5037F629127F}"/>
    <cellStyle name="Komma 3 14" xfId="23856" xr:uid="{8FE820FE-8800-45C9-9C31-D8CA8B5BE476}"/>
    <cellStyle name="Komma 3 15" xfId="48710" xr:uid="{2EC313A2-5EBC-4C4F-9292-9D2767688CAE}"/>
    <cellStyle name="Komma 3 16" xfId="49618" xr:uid="{3534C6C2-33D2-4130-8485-1F21B3D8772E}"/>
    <cellStyle name="Komma 3 17" xfId="15950" xr:uid="{5CC7AB1A-3262-4988-82E3-4DC158C27617}"/>
    <cellStyle name="Komma 3 18" xfId="7656" xr:uid="{1D0CE5CC-6F70-4A71-81A0-378E923B23B8}"/>
    <cellStyle name="Komma 3 2" xfId="4548" xr:uid="{7A437492-B734-4BCC-8E9E-E00AA9D364D2}"/>
    <cellStyle name="Komma 3 2 10" xfId="15951" xr:uid="{45AB8D95-D048-4004-AEAF-15587184CFDF}"/>
    <cellStyle name="Komma 3 2 11" xfId="8846" xr:uid="{9C03A228-B3CC-4390-BE42-FF73468CEDE4}"/>
    <cellStyle name="Komma 3 2 2" xfId="18056" xr:uid="{BAB0C906-0D8C-4317-9E7F-FB54EC139083}"/>
    <cellStyle name="Komma 3 2 2 2" xfId="23863" xr:uid="{43A1A665-8605-42BE-800C-4A909A1073FB}"/>
    <cellStyle name="Komma 3 2 2 2 2" xfId="23864" xr:uid="{282267A5-01BF-4728-A670-D0CE5C171E93}"/>
    <cellStyle name="Komma 3 2 2 2 2 2" xfId="48716" xr:uid="{C94B831F-0530-45F0-A09C-2F2EEE5DE6FA}"/>
    <cellStyle name="Komma 3 2 2 2 2 3" xfId="49624" xr:uid="{B9EDF570-DCF4-4106-8876-8E1C56FF52BA}"/>
    <cellStyle name="Komma 3 2 2 2 3" xfId="48715" xr:uid="{C048C5FC-04C8-4EA0-9A01-89ED024B1013}"/>
    <cellStyle name="Komma 3 2 2 2 4" xfId="49623" xr:uid="{AB17039F-20B9-46B3-816F-8EFA8FC4E7F4}"/>
    <cellStyle name="Komma 3 2 2 3" xfId="23865" xr:uid="{73E1DC42-E66E-4DE0-ACE4-0F0FEA22A3C5}"/>
    <cellStyle name="Komma 3 2 2 3 2" xfId="48717" xr:uid="{8B4D3AAD-28C5-40C7-85D8-9A4B3C89234E}"/>
    <cellStyle name="Komma 3 2 2 3 3" xfId="49625" xr:uid="{54BE7934-2437-4EDA-A568-56A16A25EB33}"/>
    <cellStyle name="Komma 3 2 2 4" xfId="23862" xr:uid="{7CBC5F93-FB2F-4E02-BB29-801846A07C8A}"/>
    <cellStyle name="Komma 3 2 2 5" xfId="48714" xr:uid="{409AFD47-4E80-46AD-A5B8-D5D6335CE10F}"/>
    <cellStyle name="Komma 3 2 2 6" xfId="49622" xr:uid="{05C8F096-FB60-4802-8ED1-26C57E6F3FD1}"/>
    <cellStyle name="Komma 3 2 3" xfId="19501" xr:uid="{4C5C2F3A-C75F-4097-9829-A85380B3807F}"/>
    <cellStyle name="Komma 3 2 3 2" xfId="23867" xr:uid="{F7A868F5-1A1C-4B02-9B80-5D5D80D06148}"/>
    <cellStyle name="Komma 3 2 3 2 2" xfId="23868" xr:uid="{AB192512-2672-4749-B29C-8B9B185DBF92}"/>
    <cellStyle name="Komma 3 2 3 2 2 2" xfId="48720" xr:uid="{D16E8918-5AAD-4203-9BE5-D29FECBF91EA}"/>
    <cellStyle name="Komma 3 2 3 2 2 3" xfId="49628" xr:uid="{BAA0AF35-D7D1-4825-B1A0-C7E5094E53B9}"/>
    <cellStyle name="Komma 3 2 3 2 3" xfId="48719" xr:uid="{3AAD5F18-A484-4D58-BCDA-0CBD92760CC5}"/>
    <cellStyle name="Komma 3 2 3 2 4" xfId="49627" xr:uid="{C9B9F1B0-317B-4808-AFB8-111D1CC01C09}"/>
    <cellStyle name="Komma 3 2 3 3" xfId="23869" xr:uid="{89A9772E-DB88-42E4-8C17-7B5973FBB2FF}"/>
    <cellStyle name="Komma 3 2 3 3 2" xfId="48721" xr:uid="{8F079F7F-D0DF-4937-8DB9-E10117B49840}"/>
    <cellStyle name="Komma 3 2 3 3 3" xfId="49629" xr:uid="{DE622834-605E-4B85-8B46-EE5F04F3436B}"/>
    <cellStyle name="Komma 3 2 3 4" xfId="23866" xr:uid="{858F2108-A7FF-46C9-8104-7F1EE4D7ED30}"/>
    <cellStyle name="Komma 3 2 3 5" xfId="48718" xr:uid="{89747706-CF4C-434C-83E9-4A513C3F6EA2}"/>
    <cellStyle name="Komma 3 2 3 6" xfId="49626" xr:uid="{C3918F3F-FD1B-480C-93C0-780D07E7D959}"/>
    <cellStyle name="Komma 3 2 4" xfId="23870" xr:uid="{1146C0EC-5F4F-4C54-8346-4AB32864EDD7}"/>
    <cellStyle name="Komma 3 2 4 2" xfId="23871" xr:uid="{7631C446-B5E8-4D55-AFE8-22C91707A7EC}"/>
    <cellStyle name="Komma 3 2 4 2 2" xfId="48723" xr:uid="{72A2FC2B-9A71-42E9-8AAD-C5D95158D97E}"/>
    <cellStyle name="Komma 3 2 4 2 3" xfId="49631" xr:uid="{62816C23-4044-47EE-8F4F-9321297393E2}"/>
    <cellStyle name="Komma 3 2 4 3" xfId="48722" xr:uid="{8C3B9BB5-E98E-45D8-A972-9944FF759594}"/>
    <cellStyle name="Komma 3 2 4 4" xfId="49630" xr:uid="{9BC355C5-2B9F-4FDF-B10C-76616465B1B0}"/>
    <cellStyle name="Komma 3 2 5" xfId="23872" xr:uid="{6AAE2804-071D-4942-8CAC-F03ABBA897EA}"/>
    <cellStyle name="Komma 3 2 5 2" xfId="48724" xr:uid="{AD2504DD-4C4F-4D2F-9BC1-2183C9E9C3AD}"/>
    <cellStyle name="Komma 3 2 5 3" xfId="49632" xr:uid="{EB6EE651-CE4A-4FE7-9297-3BFF62F06A90}"/>
    <cellStyle name="Komma 3 2 6" xfId="23873" xr:uid="{B0E8CF52-FA7E-4307-A726-C078F046220A}"/>
    <cellStyle name="Komma 3 2 6 2" xfId="48725" xr:uid="{22CA20D8-1967-4A71-8513-2C93A23C8445}"/>
    <cellStyle name="Komma 3 2 6 3" xfId="49633" xr:uid="{1FB13C8E-AD04-486C-9994-BEEA66E862CE}"/>
    <cellStyle name="Komma 3 2 7" xfId="32726" xr:uid="{21FBD1BA-6531-4396-97D1-62D8CFF45099}"/>
    <cellStyle name="Komma 3 2 7 2" xfId="38077" xr:uid="{68FC7E8C-69B3-4C30-8B3F-22652E693A18}"/>
    <cellStyle name="Komma 3 2 7 3" xfId="43379" xr:uid="{FA16E089-70EF-4DF7-A3CF-D8D0C60CB050}"/>
    <cellStyle name="Komma 3 2 8" xfId="35612" xr:uid="{D81997A0-2C41-43CC-8742-67DA5EBE1CC6}"/>
    <cellStyle name="Komma 3 2 9" xfId="40728" xr:uid="{6A1E894E-A1C8-4D6B-88CC-0777BE50DC24}"/>
    <cellStyle name="Komma 3 3" xfId="5829" xr:uid="{26212406-E667-4EBB-99D9-0462CD66396B}"/>
    <cellStyle name="Komma 3 3 2" xfId="23875" xr:uid="{4409DF48-D13A-4F89-AEB0-31D7273E0FB5}"/>
    <cellStyle name="Komma 3 3 2 2" xfId="23876" xr:uid="{DCEFB652-F82E-49DC-A3A7-92AF948AF3F8}"/>
    <cellStyle name="Komma 3 3 2 2 2" xfId="48728" xr:uid="{4B7DBC9F-2AFB-4AF9-88ED-7DFA56F4B6CA}"/>
    <cellStyle name="Komma 3 3 2 2 3" xfId="49636" xr:uid="{993D3171-0AEF-4F72-81B6-EAFFE60D98BF}"/>
    <cellStyle name="Komma 3 3 2 3" xfId="48727" xr:uid="{20EE3EC7-6C4C-46D8-813F-E6F01E8D0802}"/>
    <cellStyle name="Komma 3 3 2 4" xfId="49635" xr:uid="{0666E638-FAB2-4B7E-AFFD-19F4AF3F5B95}"/>
    <cellStyle name="Komma 3 3 3" xfId="23877" xr:uid="{462FAFEE-C3E7-4536-BA0A-642E957FA5CC}"/>
    <cellStyle name="Komma 3 3 3 2" xfId="48729" xr:uid="{AE8EEAF8-1E9D-4AD2-9CB6-AD5E2C65EA22}"/>
    <cellStyle name="Komma 3 3 3 3" xfId="49637" xr:uid="{4B166F36-DFAE-45CF-9DC3-1B9494713A44}"/>
    <cellStyle name="Komma 3 3 4" xfId="23874" xr:uid="{97596E52-033D-440A-A9E6-F9E2BBDF5FDC}"/>
    <cellStyle name="Komma 3 3 5" xfId="48726" xr:uid="{83340C59-29DD-414B-94FE-EEC42534B421}"/>
    <cellStyle name="Komma 3 3 6" xfId="49634" xr:uid="{7F4EE828-7EDD-4D7E-A73B-C32E5FBB766E}"/>
    <cellStyle name="Komma 3 3 7" xfId="11237" xr:uid="{7016E711-8A53-4C5D-B4A1-52C22E4C46F7}"/>
    <cellStyle name="Komma 3 4" xfId="11230" xr:uid="{7E7902B0-FF17-4144-BC59-FF43CAED8CC9}"/>
    <cellStyle name="Komma 3 4 2" xfId="21696" xr:uid="{E237C295-F489-489C-A343-206B1015C5B0}"/>
    <cellStyle name="Komma 3 4 2 2" xfId="23880" xr:uid="{5276BDF4-AAC4-430C-A240-979C7F8E94B2}"/>
    <cellStyle name="Komma 3 4 2 2 2" xfId="48732" xr:uid="{C3958131-264E-45B3-BCBC-8BACAEB2BBA3}"/>
    <cellStyle name="Komma 3 4 2 2 3" xfId="49640" xr:uid="{EC2316D6-96C7-4B0E-B569-7B40CAB192F7}"/>
    <cellStyle name="Komma 3 4 2 3" xfId="23879" xr:uid="{7C94ACFD-F212-4CA7-BEC3-FE2074858BE4}"/>
    <cellStyle name="Komma 3 4 2 4" xfId="48731" xr:uid="{A901BF80-F1B9-4CDC-988D-98E8262D8470}"/>
    <cellStyle name="Komma 3 4 2 5" xfId="49639" xr:uid="{BA287A19-6D08-4136-8572-059188AA8C3A}"/>
    <cellStyle name="Komma 3 4 3" xfId="23881" xr:uid="{B1A5DD13-BC0A-4FC1-8BB7-427071C80733}"/>
    <cellStyle name="Komma 3 4 3 2" xfId="48733" xr:uid="{C07FB210-31B9-49D3-B98B-11AA467DA31E}"/>
    <cellStyle name="Komma 3 4 3 3" xfId="49641" xr:uid="{16133D90-B461-4C2D-AAA8-37E41200A1B0}"/>
    <cellStyle name="Komma 3 4 4" xfId="23878" xr:uid="{4474965F-411C-45E9-9C7E-060F7F1EF816}"/>
    <cellStyle name="Komma 3 4 5" xfId="48481" xr:uid="{1A3FA6B0-E9E0-4C15-AF62-9BEC551991A5}"/>
    <cellStyle name="Komma 3 4 6" xfId="48730" xr:uid="{2DB92C85-C84B-4AD9-B80E-F5B7D2006133}"/>
    <cellStyle name="Komma 3 4 7" xfId="49638" xr:uid="{B1928BC9-A218-41FC-BCE4-61675E2FD8F4}"/>
    <cellStyle name="Komma 3 4 8" xfId="50713" xr:uid="{2A29A1EE-5C3E-49B3-9345-AA99471ECF4C}"/>
    <cellStyle name="Komma 3 4 9" xfId="53729" xr:uid="{A1866C5D-B632-4927-A35C-3AC1E891DC2C}"/>
    <cellStyle name="Komma 3 5" xfId="11145" xr:uid="{905823E4-FDD1-4DAD-B0EA-A0B90F62DF35}"/>
    <cellStyle name="Komma 3 5 2" xfId="21676" xr:uid="{E9E14895-1ED6-44D2-94A3-F5384624B76A}"/>
    <cellStyle name="Komma 3 5 2 2" xfId="23883" xr:uid="{26DE2568-D16C-4F54-9A9D-9181E228367E}"/>
    <cellStyle name="Komma 3 5 2 3" xfId="48735" xr:uid="{2F339283-51A2-48FD-A813-A0C86D4E9F00}"/>
    <cellStyle name="Komma 3 5 2 4" xfId="49643" xr:uid="{8F7247B9-1823-4AD6-AE86-1321F7AC1217}"/>
    <cellStyle name="Komma 3 5 3" xfId="23882" xr:uid="{0F1B1ACA-BD3C-4FD2-A39B-BA4BA8BD02D3}"/>
    <cellStyle name="Komma 3 5 4" xfId="25164" xr:uid="{E6D67CE9-2986-4A6C-AA18-00F4543D501B}"/>
    <cellStyle name="Komma 3 5 5" xfId="48734" xr:uid="{8AAA527D-A926-4143-A76E-4EE491D3EE08}"/>
    <cellStyle name="Komma 3 5 6" xfId="49642" xr:uid="{53190E26-139F-41B3-BE05-1248D648EA21}"/>
    <cellStyle name="Komma 3 5 7" xfId="50692" xr:uid="{CEE18BAF-F786-4B00-A509-C91ED83E6C7F}"/>
    <cellStyle name="Komma 3 5 8" xfId="53708" xr:uid="{ACCF71BE-8885-4DC6-9D28-B5BACD93FDC2}"/>
    <cellStyle name="Komma 3 6" xfId="19500" xr:uid="{088F8F0E-A9C0-415A-B545-1D6DBCAF8106}"/>
    <cellStyle name="Komma 3 6 2" xfId="23884" xr:uid="{C5DFF40C-E043-4C37-9D9A-68FA7075DDBB}"/>
    <cellStyle name="Komma 3 6 3" xfId="48736" xr:uid="{6D11E5BD-95C1-4C23-86B9-D43A491CA4D2}"/>
    <cellStyle name="Komma 3 6 4" xfId="49644" xr:uid="{BD0302FF-E805-4740-859D-2FADC96C9921}"/>
    <cellStyle name="Komma 3 7" xfId="23885" xr:uid="{182B9160-E819-441A-B70C-1EFF04118978}"/>
    <cellStyle name="Komma 3 7 2" xfId="23886" xr:uid="{7091862F-FF19-4FD1-8D86-93E028E38BAF}"/>
    <cellStyle name="Komma 3 7 2 2" xfId="48738" xr:uid="{0AD14F11-7612-4524-B71F-C95C36B0973B}"/>
    <cellStyle name="Komma 3 7 2 3" xfId="49646" xr:uid="{908BDCEF-52B0-4E9E-9E5D-E1D4925CAEB1}"/>
    <cellStyle name="Komma 3 7 3" xfId="48737" xr:uid="{B86B7A89-C6F8-49CF-A5F3-93B0BEF71AA9}"/>
    <cellStyle name="Komma 3 7 4" xfId="49645" xr:uid="{66641A38-FCC8-4286-95AA-3495D195488D}"/>
    <cellStyle name="Komma 3 8" xfId="23887" xr:uid="{782FADF0-F3C8-42D3-852E-8145FC9D8B2C}"/>
    <cellStyle name="Komma 3 8 2" xfId="48739" xr:uid="{CD5F222B-D696-4875-802E-54D27D951204}"/>
    <cellStyle name="Komma 3 8 3" xfId="49647" xr:uid="{BD2B1008-DFC7-4EFF-9538-C1DB21B4B7E1}"/>
    <cellStyle name="Komma 3 9" xfId="23888" xr:uid="{3B83DC17-B6C3-438F-9E92-B546B9AD4F8C}"/>
    <cellStyle name="Komma 3 9 2" xfId="48740" xr:uid="{46DE425F-B00E-4CD7-AA87-4AA6CE3EF44C}"/>
    <cellStyle name="Komma 3 9 3" xfId="49648" xr:uid="{11BA9FF9-0F1D-456E-99FF-E04AA8D47698}"/>
    <cellStyle name="Komma 4" xfId="9101" xr:uid="{86B1E8B3-C1EC-48FC-BEE1-741B5F182423}"/>
    <cellStyle name="Komma 4 10" xfId="14531" xr:uid="{B26EFA05-7B09-48E7-AE3B-26ED7D0455DA}"/>
    <cellStyle name="Komma 4 10 2" xfId="22078" xr:uid="{F1DB1085-9863-4E55-AFBE-27ED3BAC1F7A}"/>
    <cellStyle name="Komma 4 10 2 2" xfId="38079" xr:uid="{A275C082-1F04-4A64-B689-D4F6B907A26C}"/>
    <cellStyle name="Komma 4 10 2 3" xfId="43381" xr:uid="{732D9DEE-A9DC-4BD2-9EBD-A07CBDB601FA}"/>
    <cellStyle name="Komma 4 10 2 4" xfId="32728" xr:uid="{D78C76D1-90E5-4E79-8129-125E12C8A09D}"/>
    <cellStyle name="Komma 4 10 3" xfId="35614" xr:uid="{A4CB3DE0-1972-42E9-B509-9F70445E36C7}"/>
    <cellStyle name="Komma 4 10 4" xfId="40730" xr:uid="{880C9506-CBD4-4486-8A15-93D31195C795}"/>
    <cellStyle name="Komma 4 10 5" xfId="23890" xr:uid="{A1720C58-DD08-4D0E-B331-A521156597A7}"/>
    <cellStyle name="Komma 4 10 6" xfId="47477" xr:uid="{9095F25F-98B5-4888-AA31-45B4C770454B}"/>
    <cellStyle name="Komma 4 10 7" xfId="51416" xr:uid="{32E82426-E6CA-407A-A052-C2F92A9C5BCA}"/>
    <cellStyle name="Komma 4 10 8" xfId="54432" xr:uid="{A5A71035-9A4C-4CC7-B49F-73E53EA69D65}"/>
    <cellStyle name="Komma 4 10 9" xfId="19051" xr:uid="{B52EA358-1222-4492-9C3E-2D9129E3A101}"/>
    <cellStyle name="Komma 4 11" xfId="15015" xr:uid="{2CF2C115-2DF2-4733-80A6-85FB2AE3E136}"/>
    <cellStyle name="Komma 4 11 10" xfId="19193" xr:uid="{1B20B051-1CC6-48D6-BAAD-D4124C3CC422}"/>
    <cellStyle name="Komma 4 11 2" xfId="22555" xr:uid="{59096435-B55D-4E0A-B4F9-B6BB428FF259}"/>
    <cellStyle name="Komma 4 11 2 2" xfId="38080" xr:uid="{44F3C86D-F263-410B-9B68-E8436F349E8C}"/>
    <cellStyle name="Komma 4 11 2 3" xfId="43382" xr:uid="{96BA76C2-61B2-4487-8717-5EE1CA46017D}"/>
    <cellStyle name="Komma 4 11 2 4" xfId="32729" xr:uid="{B4985440-9760-4339-B5D9-4DB3C96FC85F}"/>
    <cellStyle name="Komma 4 11 3" xfId="35615" xr:uid="{A84B3E26-C45F-4799-9D1E-CCB611195FEE}"/>
    <cellStyle name="Komma 4 11 4" xfId="40731" xr:uid="{E43048A4-6496-4E66-B79F-35C4E99D193A}"/>
    <cellStyle name="Komma 4 11 5" xfId="23891" xr:uid="{39088389-1863-4889-AC45-B2E2EBABD588}"/>
    <cellStyle name="Komma 4 11 6" xfId="47108" xr:uid="{29F39222-9AD9-41E9-B853-8890ED410F96}"/>
    <cellStyle name="Komma 4 11 7" xfId="48741" xr:uid="{815C91A4-C022-47B9-8D35-9F6696A03BF9}"/>
    <cellStyle name="Komma 4 11 8" xfId="51893" xr:uid="{B4C42CEC-FC52-4E55-AED1-3DBB99E5CBDC}"/>
    <cellStyle name="Komma 4 11 9" xfId="54909" xr:uid="{0EA68C5C-2A31-44CF-B0FB-836959EFC835}"/>
    <cellStyle name="Komma 4 12" xfId="15502" xr:uid="{887CD785-1B45-4CFB-A018-AC5898261E23}"/>
    <cellStyle name="Komma 4 12 10" xfId="19338" xr:uid="{BF24620F-B318-4EF2-8B9E-7527F98D1DE2}"/>
    <cellStyle name="Komma 4 12 2" xfId="23032" xr:uid="{15B59A4D-2B02-40AE-A1BE-F4E8FF9B27DC}"/>
    <cellStyle name="Komma 4 12 2 2" xfId="38081" xr:uid="{A3D769D4-31AE-416C-B01D-6039B112AECD}"/>
    <cellStyle name="Komma 4 12 2 3" xfId="43383" xr:uid="{9F6B67C1-EF88-484F-B0C3-F3FF6E10DE93}"/>
    <cellStyle name="Komma 4 12 2 4" xfId="32730" xr:uid="{75FB4715-2E1A-44D5-8434-B24832FF2C63}"/>
    <cellStyle name="Komma 4 12 3" xfId="35616" xr:uid="{38412AC5-5D89-4590-9FE2-EFB047B8DAF2}"/>
    <cellStyle name="Komma 4 12 4" xfId="40732" xr:uid="{23CCC7CD-6071-41B8-87E8-7198D4A1F4B8}"/>
    <cellStyle name="Komma 4 12 5" xfId="23892" xr:uid="{3A308067-7216-4E55-A200-1C1B0BA6CC1C}"/>
    <cellStyle name="Komma 4 12 6" xfId="47699" xr:uid="{F3719C40-441A-4ACA-8003-21F1EA26287D}"/>
    <cellStyle name="Komma 4 12 7" xfId="48742" xr:uid="{8B36086D-D3F9-4667-B630-EF50F725A18C}"/>
    <cellStyle name="Komma 4 12 8" xfId="52370" xr:uid="{8B58C70D-38B8-4E13-AE80-28CF47166FB0}"/>
    <cellStyle name="Komma 4 12 9" xfId="55386" xr:uid="{7F4A4C0A-3740-4937-A20C-3FE67A0A7227}"/>
    <cellStyle name="Komma 4 13" xfId="11238" xr:uid="{1922DAE1-D5F7-4577-84A9-583175F20B52}"/>
    <cellStyle name="Komma 4 13 2" xfId="38078" xr:uid="{4E161BB3-BED8-45AC-BDFF-2BCB46C306C6}"/>
    <cellStyle name="Komma 4 13 3" xfId="43380" xr:uid="{02CCA4D3-6472-4677-B55A-54FA96B524A9}"/>
    <cellStyle name="Komma 4 13 4" xfId="32727" xr:uid="{7474F113-AFE6-430D-8037-7C7B43ADAD50}"/>
    <cellStyle name="Komma 4 13 5" xfId="48389" xr:uid="{9934A49C-E080-4EA3-974B-409970F895EC}"/>
    <cellStyle name="Komma 4 13 6" xfId="50716" xr:uid="{37442507-C37F-4D6A-81F7-4F8CFB718C8E}"/>
    <cellStyle name="Komma 4 13 7" xfId="53732" xr:uid="{FF9BF814-9BD3-4377-AD09-FD1265B23AA6}"/>
    <cellStyle name="Komma 4 13 8" xfId="21697" xr:uid="{D2398773-788C-4CBF-A424-EC79922A02A6}"/>
    <cellStyle name="Komma 4 14" xfId="35613" xr:uid="{81F4E023-DDB1-4D66-8260-B29802CFF19C}"/>
    <cellStyle name="Komma 4 15" xfId="40729" xr:uid="{105219C4-5E7B-42F0-9568-7F403E9DBBFB}"/>
    <cellStyle name="Komma 4 16" xfId="23889" xr:uid="{5E6933FF-D5F8-4222-AFC0-088EFE1C1D8D}"/>
    <cellStyle name="Komma 4 17" xfId="47381" xr:uid="{501C4E31-A28C-46AC-A0BA-736953805912}"/>
    <cellStyle name="Komma 4 18" xfId="49833" xr:uid="{5A9FEF6A-3C45-4FDB-B5DA-509BD561550B}"/>
    <cellStyle name="Komma 4 19" xfId="52848" xr:uid="{CA28FF2D-F625-420F-B002-21F641968789}"/>
    <cellStyle name="Komma 4 2" xfId="9102" xr:uid="{9D7C5FAF-43F6-4833-B9DE-554A541B2B74}"/>
    <cellStyle name="Komma 4 2 10" xfId="15503" xr:uid="{2091A211-4A76-4D3D-83A0-F9BF31BF5688}"/>
    <cellStyle name="Komma 4 2 10 2" xfId="23033" xr:uid="{6CF6C3D2-9FD4-4FEA-B7CE-6ED194792851}"/>
    <cellStyle name="Komma 4 2 10 3" xfId="40733" xr:uid="{AA98A723-D51C-4168-B295-FEEAF220032C}"/>
    <cellStyle name="Komma 4 2 10 4" xfId="46928" xr:uid="{BAF2320F-6C12-4907-818F-0E0A7F8D2FBB}"/>
    <cellStyle name="Komma 4 2 10 5" xfId="52371" xr:uid="{5CC98739-CCEB-4ACF-9A80-8AC203A78B4B}"/>
    <cellStyle name="Komma 4 2 10 6" xfId="55387" xr:uid="{167937CC-B456-45BC-B120-C7C83B1F82C9}"/>
    <cellStyle name="Komma 4 2 10 7" xfId="19339" xr:uid="{E2F10D88-4F81-406D-9064-EF14C6CD4E0E}"/>
    <cellStyle name="Komma 4 2 11" xfId="11590" xr:uid="{40205128-2D6C-4DFD-9320-0CA4EB16EB70}"/>
    <cellStyle name="Komma 4 2 11 2" xfId="47661" xr:uid="{5A615E12-2254-43E5-8AAD-1556EF3F1E27}"/>
    <cellStyle name="Komma 4 2 11 3" xfId="50737" xr:uid="{A41385D5-B6F8-41C7-9637-3E04EDA90E4E}"/>
    <cellStyle name="Komma 4 2 11 4" xfId="53753" xr:uid="{64D2F9F1-8B16-4FE4-B80A-42EBE79DFA6B}"/>
    <cellStyle name="Komma 4 2 11 5" xfId="21713" xr:uid="{2191CF44-D682-4C62-B770-14A4C5AEA856}"/>
    <cellStyle name="Komma 4 2 12" xfId="23893" xr:uid="{F07CDCE4-B0E0-4633-925E-0DF9FD6FA63D}"/>
    <cellStyle name="Komma 4 2 13" xfId="46014" xr:uid="{4C3542AF-A124-44BC-B524-B4A430063499}"/>
    <cellStyle name="Komma 4 2 14" xfId="49834" xr:uid="{4CD99F51-CEA3-4FBC-8244-1134A953B233}"/>
    <cellStyle name="Komma 4 2 15" xfId="52849" xr:uid="{9AD12557-4FAC-4267-B676-0AEAA5CC5209}"/>
    <cellStyle name="Komma 4 2 16" xfId="18163" xr:uid="{B7A6B9EC-CDDE-4DB9-97A4-1B7FA7DEEE2B}"/>
    <cellStyle name="Komma 4 2 2" xfId="9103" xr:uid="{5C438930-DC72-47CA-BD69-E93357557F76}"/>
    <cellStyle name="Komma 4 2 2 10" xfId="12192" xr:uid="{6323C86E-57FF-4D3F-886A-ADFBE2682B10}"/>
    <cellStyle name="Komma 4 2 2 10 2" xfId="48193" xr:uid="{AB00C84D-A19D-4AAF-B8C4-D4C9E951DB8C}"/>
    <cellStyle name="Komma 4 2 2 10 3" xfId="50938" xr:uid="{4ACF20A0-678B-45DF-A8A4-ABF3694B98C2}"/>
    <cellStyle name="Komma 4 2 2 10 4" xfId="53954" xr:uid="{72EAAD83-6BC6-4FE6-AF80-D6188D5E0B44}"/>
    <cellStyle name="Komma 4 2 2 10 5" xfId="21905" xr:uid="{10E4B5CB-3659-49E7-BDB9-DD6642D97ECB}"/>
    <cellStyle name="Komma 4 2 2 11" xfId="23894" xr:uid="{5091BFBB-1D92-4129-9F07-8673B314E8CF}"/>
    <cellStyle name="Komma 4 2 2 12" xfId="47382" xr:uid="{8819F630-CC90-4395-AAC7-A36AA1724346}"/>
    <cellStyle name="Komma 4 2 2 13" xfId="48743" xr:uid="{E52F0058-5CF8-49F6-9949-7D3A31FB76F1}"/>
    <cellStyle name="Komma 4 2 2 14" xfId="49649" xr:uid="{A604C170-FE12-45A6-A0AE-8A4A740CE22D}"/>
    <cellStyle name="Komma 4 2 2 15" xfId="49835" xr:uid="{9FADC81C-41C6-4BD8-8F2A-A50DA35998A6}"/>
    <cellStyle name="Komma 4 2 2 16" xfId="52850" xr:uid="{F4AE5C05-323E-473A-9A5D-F3014C1EB054}"/>
    <cellStyle name="Komma 4 2 2 17" xfId="18569" xr:uid="{85A31FC4-6878-4F0A-BD21-1FACAE27DD1B}"/>
    <cellStyle name="Komma 4 2 2 2" xfId="10045" xr:uid="{E025266D-A543-437F-AE7D-5FEBCDD36D25}"/>
    <cellStyle name="Komma 4 2 2 2 10" xfId="49650" xr:uid="{7EEEAD7C-5D57-4EC7-BED9-867E4791A3CF}"/>
    <cellStyle name="Komma 4 2 2 2 11" xfId="49888" xr:uid="{6E554822-F108-41AF-88A6-13535591FFD5}"/>
    <cellStyle name="Komma 4 2 2 2 12" xfId="52904" xr:uid="{15CE8A8D-98EC-4B33-9E8D-97FCFBAB6571}"/>
    <cellStyle name="Komma 4 2 2 2 13" xfId="18758" xr:uid="{FD135C74-43BC-475F-9228-15E55D169390}"/>
    <cellStyle name="Komma 4 2 2 2 2" xfId="10353" xr:uid="{0E75F555-8090-485B-89D4-7E0ED3EB8F30}"/>
    <cellStyle name="Komma 4 2 2 2 2 2" xfId="14798" xr:uid="{ACC16F9B-96D9-4052-81E0-7940F3FB367F}"/>
    <cellStyle name="Komma 4 2 2 2 2 2 2" xfId="22345" xr:uid="{CAAF9404-FB2D-47F8-B55F-DAB701E20613}"/>
    <cellStyle name="Komma 4 2 2 2 2 2 3" xfId="46863" xr:uid="{94A10677-9F97-4862-89F7-C4F36B883DCF}"/>
    <cellStyle name="Komma 4 2 2 2 2 2 4" xfId="51683" xr:uid="{393D48AA-B919-467E-8313-7E2FDB8CF03D}"/>
    <cellStyle name="Komma 4 2 2 2 2 2 5" xfId="54699" xr:uid="{9F055F33-1431-4A15-BDE6-9F456C5EE737}"/>
    <cellStyle name="Komma 4 2 2 2 2 2 6" xfId="19128" xr:uid="{38BB8E62-C017-499B-AFFE-06C90A77923C}"/>
    <cellStyle name="Komma 4 2 2 2 2 3" xfId="15283" xr:uid="{E250AE92-1424-4068-A19A-FD0DC1EB5EDF}"/>
    <cellStyle name="Komma 4 2 2 2 2 3 2" xfId="22822" xr:uid="{D26277F8-CC8E-4159-A0D6-09CB81F5F50A}"/>
    <cellStyle name="Komma 4 2 2 2 2 3 3" xfId="47545" xr:uid="{DA288D80-D7A8-4E44-AB58-FA14BFB0DF49}"/>
    <cellStyle name="Komma 4 2 2 2 2 3 4" xfId="52160" xr:uid="{CFE3FBA7-16D9-4C9A-A6B0-95479D1089EE}"/>
    <cellStyle name="Komma 4 2 2 2 2 3 5" xfId="55176" xr:uid="{1B5F177D-AE00-4FEF-B8B9-AB7BED19302E}"/>
    <cellStyle name="Komma 4 2 2 2 2 3 6" xfId="19271" xr:uid="{FB3D7EA8-B5A4-4495-B7A8-7BAA1D0FA51F}"/>
    <cellStyle name="Komma 4 2 2 2 2 4" xfId="15770" xr:uid="{823D7C9F-75CA-4652-AB4F-3244E201828C}"/>
    <cellStyle name="Komma 4 2 2 2 2 4 2" xfId="23299" xr:uid="{3C5E928C-DF30-4842-908D-C39FF02A1850}"/>
    <cellStyle name="Komma 4 2 2 2 2 4 3" xfId="47848" xr:uid="{C0DF9AA4-672F-4395-BF05-F9BB6DE7BBD0}"/>
    <cellStyle name="Komma 4 2 2 2 2 4 4" xfId="52637" xr:uid="{9241C50A-9007-4BE0-8374-A40A8934A435}"/>
    <cellStyle name="Komma 4 2 2 2 2 4 5" xfId="55653" xr:uid="{631846FA-3899-4184-8BA2-0BFC8EF17423}"/>
    <cellStyle name="Komma 4 2 2 2 2 4 6" xfId="19416" xr:uid="{9FCC9DA7-9F59-4D52-880A-BDD024CD2C48}"/>
    <cellStyle name="Komma 4 2 2 2 2 5" xfId="12806" xr:uid="{C1FBFC6D-074B-4B06-989D-265D688CA103}"/>
    <cellStyle name="Komma 4 2 2 2 2 5 2" xfId="46797" xr:uid="{2C943A16-A26A-4C3D-B5D5-2B88FB930B8D}"/>
    <cellStyle name="Komma 4 2 2 2 2 5 3" xfId="51206" xr:uid="{6433C79F-6018-48AB-B18A-6E23E4F29487}"/>
    <cellStyle name="Komma 4 2 2 2 2 5 4" xfId="54222" xr:uid="{0C3CAE51-AE2D-4408-B4B0-FF727BC8925B}"/>
    <cellStyle name="Komma 4 2 2 2 2 5 5" xfId="21986" xr:uid="{E02733F8-C24C-44F2-9510-16870BD68208}"/>
    <cellStyle name="Komma 4 2 2 2 2 6" xfId="46097" xr:uid="{2E42ADB1-C510-4CFE-AD06-D72A9802BB2A}"/>
    <cellStyle name="Komma 4 2 2 2 2 7" xfId="50100" xr:uid="{814E79FE-2E7F-4204-9B18-F6F79BAC2BB8}"/>
    <cellStyle name="Komma 4 2 2 2 2 8" xfId="53116" xr:uid="{0806D236-F422-487C-BA48-F6DD546D53F5}"/>
    <cellStyle name="Komma 4 2 2 2 2 9" xfId="18907" xr:uid="{B319F6A6-0757-4AC4-A3B5-E7CF7A10703C}"/>
    <cellStyle name="Komma 4 2 2 2 3" xfId="14586" xr:uid="{A3E3AA3F-106E-42BC-95D9-F88EADF8D0E4}"/>
    <cellStyle name="Komma 4 2 2 2 3 2" xfId="22133" xr:uid="{A006879E-E75C-4201-AEB6-D2666A9F0463}"/>
    <cellStyle name="Komma 4 2 2 2 3 3" xfId="37008" xr:uid="{ADB063DC-F307-4708-8703-070C6F2ECFAF}"/>
    <cellStyle name="Komma 4 2 2 2 3 4" xfId="51471" xr:uid="{185074B3-2648-4D47-9709-A3AD0869270A}"/>
    <cellStyle name="Komma 4 2 2 2 3 5" xfId="54487" xr:uid="{524D9769-C512-4CC6-B4D8-F2DA17DB749D}"/>
    <cellStyle name="Komma 4 2 2 2 3 6" xfId="19068" xr:uid="{A43E9113-147E-45D4-9910-88BCA8C02616}"/>
    <cellStyle name="Komma 4 2 2 2 4" xfId="15070" xr:uid="{FA40348A-C47D-43E7-B8E6-3BF4E7E0500B}"/>
    <cellStyle name="Komma 4 2 2 2 4 2" xfId="22610" xr:uid="{E476A8A8-90C7-481B-BEBB-1B512C6C3C24}"/>
    <cellStyle name="Komma 4 2 2 2 4 3" xfId="24918" xr:uid="{7B875593-0406-4621-8373-EF50F1971B97}"/>
    <cellStyle name="Komma 4 2 2 2 4 4" xfId="51948" xr:uid="{53EE9BBA-9580-4860-9149-41BDB98F8EFA}"/>
    <cellStyle name="Komma 4 2 2 2 4 5" xfId="54964" xr:uid="{692C2204-86A0-466D-851D-2EBA0938BAF9}"/>
    <cellStyle name="Komma 4 2 2 2 4 6" xfId="19210" xr:uid="{9BF2286B-898B-4882-A5DF-258A43A8B94D}"/>
    <cellStyle name="Komma 4 2 2 2 5" xfId="15557" xr:uid="{ADF1454A-7906-4737-87FE-06DE54E7C8B6}"/>
    <cellStyle name="Komma 4 2 2 2 5 2" xfId="23087" xr:uid="{38F4D87D-B4CB-4D0C-B5D4-BA12C955E11C}"/>
    <cellStyle name="Komma 4 2 2 2 5 3" xfId="47844" xr:uid="{5D4908A1-8B97-4936-BE5C-5500CA4FE7B3}"/>
    <cellStyle name="Komma 4 2 2 2 5 4" xfId="52425" xr:uid="{848E714D-C15D-46FA-BF37-D4C8A28ECEC1}"/>
    <cellStyle name="Komma 4 2 2 2 5 5" xfId="55441" xr:uid="{6A3A7593-8FAA-4E6A-A5E3-0DC031DBF26F}"/>
    <cellStyle name="Komma 4 2 2 2 5 6" xfId="19355" xr:uid="{0A36A592-3E30-4A63-8767-2F04C414BD63}"/>
    <cellStyle name="Komma 4 2 2 2 6" xfId="12505" xr:uid="{6AF0BBE1-C1B3-40E9-ABB8-5D332820634F}"/>
    <cellStyle name="Komma 4 2 2 2 6 2" xfId="46316" xr:uid="{3CBE04F8-1AC0-40C8-A753-08B739534E68}"/>
    <cellStyle name="Komma 4 2 2 2 6 3" xfId="50994" xr:uid="{7FAB4F55-F781-445C-BA70-DD2D00E48482}"/>
    <cellStyle name="Komma 4 2 2 2 6 4" xfId="54010" xr:uid="{7CB7FB9C-BE4B-4227-9420-19A5ED34907A}"/>
    <cellStyle name="Komma 4 2 2 2 6 5" xfId="21925" xr:uid="{7A3C449E-B529-4AE8-83DB-7D32CB13206A}"/>
    <cellStyle name="Komma 4 2 2 2 7" xfId="23895" xr:uid="{D1D69809-653E-4F78-B3C7-2494A103F460}"/>
    <cellStyle name="Komma 4 2 2 2 8" xfId="24544" xr:uid="{555C9FE1-B237-44C0-939F-B09B98995DCB}"/>
    <cellStyle name="Komma 4 2 2 2 9" xfId="48744" xr:uid="{57C50B22-C1CA-4CE7-A73B-A4EFC94E7A99}"/>
    <cellStyle name="Komma 4 2 2 3" xfId="10119" xr:uid="{B83AB449-A158-4602-BC2C-E64BABB76E1D}"/>
    <cellStyle name="Komma 4 2 2 3 10" xfId="49651" xr:uid="{E0BDFE58-DE6A-4C26-AD58-D461F7A40D4B}"/>
    <cellStyle name="Komma 4 2 2 3 11" xfId="49941" xr:uid="{9C09F62B-B11E-4AF9-9367-78631BB70FFA}"/>
    <cellStyle name="Komma 4 2 2 3 12" xfId="52957" xr:uid="{8C927D10-E63D-4991-B700-2E14251007F3}"/>
    <cellStyle name="Komma 4 2 2 3 13" xfId="18791" xr:uid="{9CDF3EF3-1A1B-4EC0-80EA-FA36DDAF36DA}"/>
    <cellStyle name="Komma 4 2 2 3 2" xfId="10432" xr:uid="{050699B7-8B19-49A1-A367-215A0F926514}"/>
    <cellStyle name="Komma 4 2 2 3 2 2" xfId="14851" xr:uid="{2BE4874F-915D-4B80-9270-EC57B47985B6}"/>
    <cellStyle name="Komma 4 2 2 3 2 2 2" xfId="22398" xr:uid="{943973BA-7620-4728-9E0D-56D63286EA68}"/>
    <cellStyle name="Komma 4 2 2 3 2 2 3" xfId="48354" xr:uid="{15CAA261-4631-439D-AEAB-F64F78955771}"/>
    <cellStyle name="Komma 4 2 2 3 2 2 4" xfId="51736" xr:uid="{896AEA85-A69F-4056-BFF0-DA2A6AF00404}"/>
    <cellStyle name="Komma 4 2 2 3 2 2 5" xfId="54752" xr:uid="{5C421038-BF8B-46C4-8649-2127B05CD2B6}"/>
    <cellStyle name="Komma 4 2 2 3 2 2 6" xfId="19143" xr:uid="{81317202-915F-4AFE-A3FF-A49E79E0E174}"/>
    <cellStyle name="Komma 4 2 2 3 2 3" xfId="15336" xr:uid="{9232483C-1826-47E5-A6F3-0897A46600B1}"/>
    <cellStyle name="Komma 4 2 2 3 2 3 2" xfId="22875" xr:uid="{D800438B-E6A2-427A-BC49-3A0D015D17A2}"/>
    <cellStyle name="Komma 4 2 2 3 2 3 3" xfId="48074" xr:uid="{B54AAE2F-93F2-4DCD-8BA5-5D3281E87E36}"/>
    <cellStyle name="Komma 4 2 2 3 2 3 4" xfId="52213" xr:uid="{D96782D4-0A5F-4683-B525-A3D09ABACC06}"/>
    <cellStyle name="Komma 4 2 2 3 2 3 5" xfId="55229" xr:uid="{4912D403-87A8-43C0-AA9B-BCB1BF77543C}"/>
    <cellStyle name="Komma 4 2 2 3 2 3 6" xfId="19286" xr:uid="{07AE8826-20C5-4E35-8475-9A37086116A8}"/>
    <cellStyle name="Komma 4 2 2 3 2 4" xfId="15823" xr:uid="{923C0849-58EE-4310-8BEA-4B6FB45C3A0A}"/>
    <cellStyle name="Komma 4 2 2 3 2 4 2" xfId="23352" xr:uid="{6F30AF43-FFF3-44AE-8254-F11CB6F280BE}"/>
    <cellStyle name="Komma 4 2 2 3 2 4 3" xfId="46592" xr:uid="{12C894EF-1EAA-4202-A79D-A7D8CF6BBA8B}"/>
    <cellStyle name="Komma 4 2 2 3 2 4 4" xfId="52690" xr:uid="{168CDE21-590A-4CB7-A66D-202736E2F327}"/>
    <cellStyle name="Komma 4 2 2 3 2 4 5" xfId="55706" xr:uid="{DA86CDAC-2881-474B-877A-45758C7BFB40}"/>
    <cellStyle name="Komma 4 2 2 3 2 4 6" xfId="19431" xr:uid="{FCAFE731-9FC9-4EE8-AA4C-6E459AC6397D}"/>
    <cellStyle name="Komma 4 2 2 3 2 5" xfId="12885" xr:uid="{4F3D1856-9F16-4F11-835F-0488204763A8}"/>
    <cellStyle name="Komma 4 2 2 3 2 5 2" xfId="47529" xr:uid="{4148FB68-B22E-4D92-B0CB-120AA1A3BA92}"/>
    <cellStyle name="Komma 4 2 2 3 2 5 3" xfId="51259" xr:uid="{18DFFD8E-F509-4311-B268-85155F01A5CF}"/>
    <cellStyle name="Komma 4 2 2 3 2 5 4" xfId="54275" xr:uid="{7BD630C9-197B-4AB8-AABA-31C867699DAA}"/>
    <cellStyle name="Komma 4 2 2 3 2 5 5" xfId="22001" xr:uid="{774BAE59-6B5F-414A-8584-89F36CFE8C7E}"/>
    <cellStyle name="Komma 4 2 2 3 2 6" xfId="24264" xr:uid="{EE774EEF-714B-47BD-B379-B45DE3C7314B}"/>
    <cellStyle name="Komma 4 2 2 3 2 7" xfId="50153" xr:uid="{BC496FE0-3E79-465D-A015-268BB000F838}"/>
    <cellStyle name="Komma 4 2 2 3 2 8" xfId="53169" xr:uid="{6AD33D11-DBDF-42B1-A89B-78760539249B}"/>
    <cellStyle name="Komma 4 2 2 3 2 9" xfId="18948" xr:uid="{0FA1A102-EC6E-43F7-A976-F5B3A71A45A0}"/>
    <cellStyle name="Komma 4 2 2 3 3" xfId="14639" xr:uid="{4C4E5AC3-B2E1-4DC6-A4FE-504D3EB91231}"/>
    <cellStyle name="Komma 4 2 2 3 3 2" xfId="22186" xr:uid="{6A59A314-DAE0-40A8-88AC-145485082053}"/>
    <cellStyle name="Komma 4 2 2 3 3 3" xfId="47064" xr:uid="{2D6542C0-3F0F-4446-AAF1-22E1F54D8F1A}"/>
    <cellStyle name="Komma 4 2 2 3 3 4" xfId="51524" xr:uid="{0D8CF1D2-E50C-4C5D-90C8-4F341113BAF3}"/>
    <cellStyle name="Komma 4 2 2 3 3 5" xfId="54540" xr:uid="{EB07D09D-893A-47A2-865A-FCD9837F323F}"/>
    <cellStyle name="Komma 4 2 2 3 3 6" xfId="19083" xr:uid="{A3F1D9BF-0892-44DD-AFD9-70A4B3B09441}"/>
    <cellStyle name="Komma 4 2 2 3 4" xfId="15124" xr:uid="{B18993E8-44E2-48D0-8C80-F5CAC619DE03}"/>
    <cellStyle name="Komma 4 2 2 3 4 2" xfId="22663" xr:uid="{06E390E4-0937-4B6C-8677-06B8DA70FD0A}"/>
    <cellStyle name="Komma 4 2 2 3 4 3" xfId="46883" xr:uid="{39DC5EFB-314A-4387-B22E-257BD03C4617}"/>
    <cellStyle name="Komma 4 2 2 3 4 4" xfId="52001" xr:uid="{E656CB6D-3599-4B38-9E73-931662080219}"/>
    <cellStyle name="Komma 4 2 2 3 4 5" xfId="55017" xr:uid="{E0747B7E-4DAB-4F45-859A-7B6C9C152C2A}"/>
    <cellStyle name="Komma 4 2 2 3 4 6" xfId="19226" xr:uid="{A283E601-8690-442D-94D4-2B2ADDD4ED26}"/>
    <cellStyle name="Komma 4 2 2 3 5" xfId="15611" xr:uid="{D8BF80CD-EE43-4930-B2DC-37F63A5C0046}"/>
    <cellStyle name="Komma 4 2 2 3 5 2" xfId="23140" xr:uid="{2EC81047-B3B2-4E43-8F2C-A3429BDC6733}"/>
    <cellStyle name="Komma 4 2 2 3 5 3" xfId="48519" xr:uid="{4479E34C-3741-4227-BFD1-4F3F8B1E4279}"/>
    <cellStyle name="Komma 4 2 2 3 5 4" xfId="52478" xr:uid="{82C86504-220F-49CD-862B-01D0D594CBB9}"/>
    <cellStyle name="Komma 4 2 2 3 5 5" xfId="55494" xr:uid="{61330A8B-4A1C-42CD-BF6A-A19B4D1A94BC}"/>
    <cellStyle name="Komma 4 2 2 3 5 6" xfId="19371" xr:uid="{65270745-E0C8-4629-BD74-233AEF6B8407}"/>
    <cellStyle name="Komma 4 2 2 3 6" xfId="12576" xr:uid="{837280C6-A664-45FF-8D09-05D57FBADD80}"/>
    <cellStyle name="Komma 4 2 2 3 6 2" xfId="47741" xr:uid="{3B225F7A-207A-4344-ACC7-29366DF68BE0}"/>
    <cellStyle name="Komma 4 2 2 3 6 3" xfId="51047" xr:uid="{F3CDD8FD-3DF9-43BA-AC1D-8DC83F776CD0}"/>
    <cellStyle name="Komma 4 2 2 3 6 4" xfId="54063" xr:uid="{D2CACC4C-182B-416F-9612-3B5C9AA590B5}"/>
    <cellStyle name="Komma 4 2 2 3 6 5" xfId="21941" xr:uid="{E6BEB5A7-73C5-4069-A4C6-0721C8242646}"/>
    <cellStyle name="Komma 4 2 2 3 7" xfId="23896" xr:uid="{7264F1C1-7BF3-4678-AC92-1A74CF6C1BCE}"/>
    <cellStyle name="Komma 4 2 2 3 8" xfId="47061" xr:uid="{C2FD2787-A2B3-46BC-827C-7B5C189DE6D2}"/>
    <cellStyle name="Komma 4 2 2 3 9" xfId="48745" xr:uid="{65DFD3E3-6FFF-4667-A706-E3DA2BE3A639}"/>
    <cellStyle name="Komma 4 2 2 4" xfId="10198" xr:uid="{A90FEC32-65D7-407E-9E16-2E4139C68205}"/>
    <cellStyle name="Komma 4 2 2 4 10" xfId="18829" xr:uid="{E31D4E6D-FF11-4A30-AFBE-4F40326A8469}"/>
    <cellStyle name="Komma 4 2 2 4 2" xfId="10512" xr:uid="{40FC1F6D-BF49-4E93-B9EF-874BC3AC0F24}"/>
    <cellStyle name="Komma 4 2 2 4 2 2" xfId="14904" xr:uid="{E95B78D6-5834-4087-BC4F-B4A3C74FA6C7}"/>
    <cellStyle name="Komma 4 2 2 4 2 2 2" xfId="22451" xr:uid="{880232F6-3F45-47CD-B022-8A0F688CD502}"/>
    <cellStyle name="Komma 4 2 2 4 2 2 3" xfId="36975" xr:uid="{F57C4BCC-9CFC-458C-8142-D37166F5FEAE}"/>
    <cellStyle name="Komma 4 2 2 4 2 2 4" xfId="51789" xr:uid="{8F03DD1A-DD67-4F31-82BD-A3C0EBE19B49}"/>
    <cellStyle name="Komma 4 2 2 4 2 2 5" xfId="54805" xr:uid="{C3876A65-27D0-4272-B01C-921909FC4D53}"/>
    <cellStyle name="Komma 4 2 2 4 2 2 6" xfId="19158" xr:uid="{BF6D5F04-E100-48C2-8859-5BE25E422647}"/>
    <cellStyle name="Komma 4 2 2 4 2 3" xfId="15389" xr:uid="{CFF5B9A2-FD6D-4E29-869B-3B9912E4BFDE}"/>
    <cellStyle name="Komma 4 2 2 4 2 3 2" xfId="22928" xr:uid="{A28789AF-5749-4755-99FF-F067214C09CA}"/>
    <cellStyle name="Komma 4 2 2 4 2 3 3" xfId="46916" xr:uid="{72BB6382-60B7-4FAD-8495-E06E2561E3F3}"/>
    <cellStyle name="Komma 4 2 2 4 2 3 4" xfId="52266" xr:uid="{7ACB61C8-2758-4E17-9E17-0C5A0A741DBF}"/>
    <cellStyle name="Komma 4 2 2 4 2 3 5" xfId="55282" xr:uid="{8337228F-C1CA-48BC-9775-CFECD8332E05}"/>
    <cellStyle name="Komma 4 2 2 4 2 3 6" xfId="19301" xr:uid="{07E072FD-623F-469B-88B0-AFDADD5B8559}"/>
    <cellStyle name="Komma 4 2 2 4 2 4" xfId="15876" xr:uid="{5D9FC967-812D-4909-9534-8FE980739B2A}"/>
    <cellStyle name="Komma 4 2 2 4 2 4 2" xfId="23405" xr:uid="{6F1EF1A9-9CBF-4E79-8A48-E6F5920A00D9}"/>
    <cellStyle name="Komma 4 2 2 4 2 4 3" xfId="47452" xr:uid="{17512D3F-EE9C-49B8-B60B-6E3A416443B2}"/>
    <cellStyle name="Komma 4 2 2 4 2 4 4" xfId="52743" xr:uid="{DFFCBA22-1AB5-4C67-82F5-B16285A2750F}"/>
    <cellStyle name="Komma 4 2 2 4 2 4 5" xfId="55759" xr:uid="{8E64C39D-EF18-4043-9517-D2F5A84344C7}"/>
    <cellStyle name="Komma 4 2 2 4 2 4 6" xfId="19446" xr:uid="{F914682E-F759-479B-ADD3-5C17D2B2DF2E}"/>
    <cellStyle name="Komma 4 2 2 4 2 5" xfId="12965" xr:uid="{847C5820-5E33-4955-A827-11187624C850}"/>
    <cellStyle name="Komma 4 2 2 4 2 5 2" xfId="47368" xr:uid="{129EAE4E-CB41-4C5A-B0F6-925D843A4A48}"/>
    <cellStyle name="Komma 4 2 2 4 2 5 3" xfId="51312" xr:uid="{A616A121-1438-4EEE-9DBE-CB779475DDE5}"/>
    <cellStyle name="Komma 4 2 2 4 2 5 4" xfId="54328" xr:uid="{BE8504FA-B621-4FE1-97A7-E6DD15711B77}"/>
    <cellStyle name="Komma 4 2 2 4 2 5 5" xfId="22016" xr:uid="{9D4C615D-994E-40B1-9951-F64AD79E28D2}"/>
    <cellStyle name="Komma 4 2 2 4 2 6" xfId="46629" xr:uid="{102F60E1-109C-417C-ADE9-E95572777053}"/>
    <cellStyle name="Komma 4 2 2 4 2 7" xfId="50206" xr:uid="{3D144846-3C2B-4E7A-8164-7F1E04F898F8}"/>
    <cellStyle name="Komma 4 2 2 4 2 8" xfId="53222" xr:uid="{9E11BE4F-C0F8-4D75-9462-48A458A550CB}"/>
    <cellStyle name="Komma 4 2 2 4 2 9" xfId="18990" xr:uid="{B0B2E2F1-DBC1-46A0-A711-B9AB3501B709}"/>
    <cellStyle name="Komma 4 2 2 4 3" xfId="14692" xr:uid="{E4299360-664B-4AB4-8EA0-A23EF55AC364}"/>
    <cellStyle name="Komma 4 2 2 4 3 2" xfId="22239" xr:uid="{F87A7DC0-C063-4BBA-B200-FCEF149E8681}"/>
    <cellStyle name="Komma 4 2 2 4 3 3" xfId="48406" xr:uid="{A7975A96-3E7F-4E96-A323-EADBBABA366F}"/>
    <cellStyle name="Komma 4 2 2 4 3 4" xfId="51577" xr:uid="{429EF615-A12E-4A5D-96E1-4FEB1114860F}"/>
    <cellStyle name="Komma 4 2 2 4 3 5" xfId="54593" xr:uid="{4F1B48C8-9B26-4F58-8E4A-9067055A561E}"/>
    <cellStyle name="Komma 4 2 2 4 3 6" xfId="19098" xr:uid="{C4899154-6EDC-4113-8491-89DCEB4A03ED}"/>
    <cellStyle name="Komma 4 2 2 4 4" xfId="15177" xr:uid="{7E02F7C0-6918-4192-825D-49C3F8FA208E}"/>
    <cellStyle name="Komma 4 2 2 4 4 2" xfId="22716" xr:uid="{1D64B655-01C1-4345-8BD1-AF66E71ECC8E}"/>
    <cellStyle name="Komma 4 2 2 4 4 3" xfId="47109" xr:uid="{FED0EACB-720E-4AD2-B414-DB4504B51FDB}"/>
    <cellStyle name="Komma 4 2 2 4 4 4" xfId="52054" xr:uid="{BB1F783F-C1E6-4B3E-AB0E-E305BFE15165}"/>
    <cellStyle name="Komma 4 2 2 4 4 5" xfId="55070" xr:uid="{0633DFD7-9FFA-4E95-84EF-66B564DECB11}"/>
    <cellStyle name="Komma 4 2 2 4 4 6" xfId="19241" xr:uid="{3CDF3342-FDA3-4F45-B452-A56119F1E384}"/>
    <cellStyle name="Komma 4 2 2 4 5" xfId="15664" xr:uid="{64A8B6CC-54CA-4A22-9229-04225D633510}"/>
    <cellStyle name="Komma 4 2 2 4 5 2" xfId="23193" xr:uid="{7ECCC9AF-04E1-4C19-9C81-7326FEEA1CA0}"/>
    <cellStyle name="Komma 4 2 2 4 5 3" xfId="48368" xr:uid="{BB9F93E5-4E25-43BA-BAA0-A3E7374E6097}"/>
    <cellStyle name="Komma 4 2 2 4 5 4" xfId="52531" xr:uid="{0BEDDADF-278A-4888-B5A3-D09A45D2BE0F}"/>
    <cellStyle name="Komma 4 2 2 4 5 5" xfId="55547" xr:uid="{7C787140-5B93-4F05-91CB-B15044D8A4B5}"/>
    <cellStyle name="Komma 4 2 2 4 5 6" xfId="19386" xr:uid="{5181D14C-4C05-46C6-B3D0-BAEB83F9FC47}"/>
    <cellStyle name="Komma 4 2 2 4 6" xfId="12652" xr:uid="{330982EF-0C98-4435-8C89-3807D0FEAAB0}"/>
    <cellStyle name="Komma 4 2 2 4 6 2" xfId="46336" xr:uid="{188F8C10-5E46-44CE-AC18-0635FA29CD50}"/>
    <cellStyle name="Komma 4 2 2 4 6 3" xfId="51100" xr:uid="{D158E6CF-A08B-4BB2-AA80-4AD46FB61009}"/>
    <cellStyle name="Komma 4 2 2 4 6 4" xfId="54116" xr:uid="{42A847E4-1DA5-4D63-BFFE-316298F9F311}"/>
    <cellStyle name="Komma 4 2 2 4 6 5" xfId="21956" xr:uid="{2BF07CA0-7360-4CDF-91CA-B0C33B824FD7}"/>
    <cellStyle name="Komma 4 2 2 4 7" xfId="48280" xr:uid="{5979F6A7-3B2B-4C3B-8C7A-A9020C38853E}"/>
    <cellStyle name="Komma 4 2 2 4 8" xfId="49994" xr:uid="{C26BAFE7-6AB2-473A-B60C-F2357E10EEEC}"/>
    <cellStyle name="Komma 4 2 2 4 9" xfId="53010" xr:uid="{A6EC0803-B219-4863-9A1B-56C84253FF3F}"/>
    <cellStyle name="Komma 4 2 2 5" xfId="10278" xr:uid="{936DD5E3-1ECA-4530-A07A-5E63FD184187}"/>
    <cellStyle name="Komma 4 2 2 5 2" xfId="14745" xr:uid="{027DAF20-F17F-4CA9-BFFE-D320D4B85BB7}"/>
    <cellStyle name="Komma 4 2 2 5 2 2" xfId="22292" xr:uid="{A2F724DC-367C-4190-9D35-D2E2851A6E95}"/>
    <cellStyle name="Komma 4 2 2 5 2 3" xfId="47180" xr:uid="{DBC6D182-E6AF-4337-AE76-5A8F0D43531B}"/>
    <cellStyle name="Komma 4 2 2 5 2 4" xfId="51630" xr:uid="{20EA3F68-1645-444B-81D9-9024D04C7FAC}"/>
    <cellStyle name="Komma 4 2 2 5 2 5" xfId="54646" xr:uid="{BD786E8E-BA3F-4C6E-90AA-6D53B7CF80C6}"/>
    <cellStyle name="Komma 4 2 2 5 2 6" xfId="19113" xr:uid="{E7647E77-52A0-40AE-9447-D214233CE454}"/>
    <cellStyle name="Komma 4 2 2 5 3" xfId="15230" xr:uid="{C1D0CA42-7EA4-419A-A781-6C12B652D812}"/>
    <cellStyle name="Komma 4 2 2 5 3 2" xfId="22769" xr:uid="{71C1961E-6E98-4513-ACC5-828F6CC62E46}"/>
    <cellStyle name="Komma 4 2 2 5 3 3" xfId="47490" xr:uid="{99365B6A-7E0B-4F6D-B1C0-DA2496CF3EAD}"/>
    <cellStyle name="Komma 4 2 2 5 3 4" xfId="52107" xr:uid="{084E8156-CDA1-4553-8C99-F379C5BA1E8F}"/>
    <cellStyle name="Komma 4 2 2 5 3 5" xfId="55123" xr:uid="{B77C7749-E4FB-4C82-851E-9DAFF0680C0B}"/>
    <cellStyle name="Komma 4 2 2 5 3 6" xfId="19256" xr:uid="{ECEB0D2B-FAFA-4D47-9CB3-44600B44B81D}"/>
    <cellStyle name="Komma 4 2 2 5 4" xfId="15717" xr:uid="{F1EA1B39-2AE5-4D03-BD61-346F812549CF}"/>
    <cellStyle name="Komma 4 2 2 5 4 2" xfId="23246" xr:uid="{757C18DC-50BC-4D42-ABCE-1CE0CDC06D17}"/>
    <cellStyle name="Komma 4 2 2 5 4 3" xfId="47792" xr:uid="{1F7A25CC-4772-4B23-BE94-46F959FB1D5C}"/>
    <cellStyle name="Komma 4 2 2 5 4 4" xfId="52584" xr:uid="{50216C1F-3E44-428B-9FD5-F35583318F1E}"/>
    <cellStyle name="Komma 4 2 2 5 4 5" xfId="55600" xr:uid="{1C6A0318-CF53-432C-B581-FDFD328C9C15}"/>
    <cellStyle name="Komma 4 2 2 5 4 6" xfId="19401" xr:uid="{F1F3410C-CA5C-4D91-B627-3129CA8A85AC}"/>
    <cellStyle name="Komma 4 2 2 5 5" xfId="12731" xr:uid="{5D384ED0-E093-4481-8B6D-0F8BBB2FB180}"/>
    <cellStyle name="Komma 4 2 2 5 5 2" xfId="46668" xr:uid="{3B61D1A0-CB33-413B-B2D9-4F39ABB1051D}"/>
    <cellStyle name="Komma 4 2 2 5 5 3" xfId="51153" xr:uid="{9BFB6D00-B42E-4875-843D-479896686E6E}"/>
    <cellStyle name="Komma 4 2 2 5 5 4" xfId="54169" xr:uid="{3399EE2F-2844-4832-8A77-38A08D8777AF}"/>
    <cellStyle name="Komma 4 2 2 5 5 5" xfId="21971" xr:uid="{6E526598-6168-4D21-81BA-12E2088727D2}"/>
    <cellStyle name="Komma 4 2 2 5 6" xfId="46082" xr:uid="{EA3741A2-8221-431D-8D29-03A2BC995E9B}"/>
    <cellStyle name="Komma 4 2 2 5 7" xfId="50047" xr:uid="{4B372D3F-C31A-4D8B-B5E0-6E3659F2E1E1}"/>
    <cellStyle name="Komma 4 2 2 5 8" xfId="53063" xr:uid="{0065398B-4D8B-4B96-9822-C98B74301231}"/>
    <cellStyle name="Komma 4 2 2 5 9" xfId="18870" xr:uid="{5C9E358E-CC3A-430E-994F-8C0E72024FCF}"/>
    <cellStyle name="Komma 4 2 2 6" xfId="10592" xr:uid="{14221603-AB71-421B-AEFC-845C9AAFD93F}"/>
    <cellStyle name="Komma 4 2 2 6 2" xfId="14957" xr:uid="{463267CF-6B1F-41B2-8AEE-CAF7E651FF54}"/>
    <cellStyle name="Komma 4 2 2 6 2 2" xfId="22504" xr:uid="{AD3DCA0D-FBCA-430A-9FFE-2C93CD663C1E}"/>
    <cellStyle name="Komma 4 2 2 6 2 3" xfId="47934" xr:uid="{3FBD9BC5-5B2B-4B3B-ACCC-B638B5571A04}"/>
    <cellStyle name="Komma 4 2 2 6 2 4" xfId="51842" xr:uid="{16171123-2421-480A-9101-DBFCABB163B4}"/>
    <cellStyle name="Komma 4 2 2 6 2 5" xfId="54858" xr:uid="{DAB1707A-5752-44BC-AF41-E165BECFA2E5}"/>
    <cellStyle name="Komma 4 2 2 6 2 6" xfId="19173" xr:uid="{A7D4C9A5-135D-4155-98A5-3368A3C8F2CB}"/>
    <cellStyle name="Komma 4 2 2 6 3" xfId="15442" xr:uid="{A649DAA8-0F2D-49AB-A944-4D7BD8CE32CF}"/>
    <cellStyle name="Komma 4 2 2 6 3 2" xfId="22981" xr:uid="{A073EA67-5699-40AE-A063-AD1F71BE53FF}"/>
    <cellStyle name="Komma 4 2 2 6 3 3" xfId="46922" xr:uid="{C860DDC0-6B8F-4A55-B404-DC5DE8A7AB2B}"/>
    <cellStyle name="Komma 4 2 2 6 3 4" xfId="52319" xr:uid="{2E62B359-82D7-461F-BEFD-ABF20FE86179}"/>
    <cellStyle name="Komma 4 2 2 6 3 5" xfId="55335" xr:uid="{2E0F4CC3-B42E-4239-964A-6C591690018E}"/>
    <cellStyle name="Komma 4 2 2 6 3 6" xfId="19316" xr:uid="{A2FDD912-28D3-43D6-8F4E-B45CD36B0585}"/>
    <cellStyle name="Komma 4 2 2 6 4" xfId="15930" xr:uid="{2A0B606C-47C6-41D9-A33A-C28E82A01568}"/>
    <cellStyle name="Komma 4 2 2 6 4 2" xfId="23458" xr:uid="{0A7FCE64-14C5-4399-A6B9-21CB5938EBBE}"/>
    <cellStyle name="Komma 4 2 2 6 4 3" xfId="47260" xr:uid="{F5A0EE49-30A2-47B1-ADE7-EAF176176667}"/>
    <cellStyle name="Komma 4 2 2 6 4 4" xfId="52796" xr:uid="{B2F8F6B1-D830-41F6-BF2A-CE97AD0A3FAF}"/>
    <cellStyle name="Komma 4 2 2 6 4 5" xfId="55812" xr:uid="{BF1FAEF9-D75F-4409-8EF1-1CD4DF0B992C}"/>
    <cellStyle name="Komma 4 2 2 6 4 6" xfId="19462" xr:uid="{7579B31F-4151-456D-B261-668CFFE2691D}"/>
    <cellStyle name="Komma 4 2 2 6 5" xfId="13045" xr:uid="{F32889A1-79C2-4AE4-A87F-10DF180C7DC3}"/>
    <cellStyle name="Komma 4 2 2 6 5 2" xfId="48292" xr:uid="{97D65E3E-0693-43AD-A9EE-CE4FB729AF85}"/>
    <cellStyle name="Komma 4 2 2 6 5 3" xfId="51365" xr:uid="{0E31FE1B-88A8-4FDF-BFBB-252143A28C4A}"/>
    <cellStyle name="Komma 4 2 2 6 5 4" xfId="54381" xr:uid="{F6BBC0C2-F7F1-4F74-AC5C-CE6C4B3A26E7}"/>
    <cellStyle name="Komma 4 2 2 6 5 5" xfId="22031" xr:uid="{7F6B63BA-C79E-455D-9CE5-770AE83BEE1C}"/>
    <cellStyle name="Komma 4 2 2 6 6" xfId="46633" xr:uid="{FD102F6E-F29B-45B3-A691-08777DBFB1B2}"/>
    <cellStyle name="Komma 4 2 2 6 7" xfId="50259" xr:uid="{0343B750-3553-4F9B-A980-8A6E93A20141}"/>
    <cellStyle name="Komma 4 2 2 6 8" xfId="53275" xr:uid="{9D04EA68-0ED5-44CC-AB5B-4B6A9E386762}"/>
    <cellStyle name="Komma 4 2 2 6 9" xfId="19032" xr:uid="{9E6EFC73-F77E-4753-A1A5-4DA6446CBF5B}"/>
    <cellStyle name="Komma 4 2 2 7" xfId="14533" xr:uid="{FBD4E3EF-1190-4A02-9E22-55111C0F73B2}"/>
    <cellStyle name="Komma 4 2 2 7 2" xfId="22080" xr:uid="{AF1391EC-9EF9-47A3-8EB5-07ABB9F2A7D1}"/>
    <cellStyle name="Komma 4 2 2 7 3" xfId="46393" xr:uid="{7F533F6A-A173-4AC0-92DE-C2574A4843FE}"/>
    <cellStyle name="Komma 4 2 2 7 4" xfId="51418" xr:uid="{0817DFD2-4E07-4663-84AF-FB99CE03D9E5}"/>
    <cellStyle name="Komma 4 2 2 7 5" xfId="54434" xr:uid="{492E66A1-35C4-4A15-B544-A98BABBD8E22}"/>
    <cellStyle name="Komma 4 2 2 7 6" xfId="19053" xr:uid="{626549C8-F443-4D8D-9416-E6E854E67375}"/>
    <cellStyle name="Komma 4 2 2 8" xfId="15017" xr:uid="{5A056DF6-4E8C-436C-B83B-EBEC0CCA92B9}"/>
    <cellStyle name="Komma 4 2 2 8 2" xfId="22557" xr:uid="{4CCD5C4B-8CCB-4C90-BA1D-0DAF1ED8E41C}"/>
    <cellStyle name="Komma 4 2 2 8 3" xfId="48123" xr:uid="{CBFB98B7-2E2E-49BC-ABDF-4BB7D24331BB}"/>
    <cellStyle name="Komma 4 2 2 8 4" xfId="51895" xr:uid="{1AD08121-BA3E-4ED0-AB72-B7E32FC505D0}"/>
    <cellStyle name="Komma 4 2 2 8 5" xfId="54911" xr:uid="{57C2056A-334E-4764-8E67-16B078BEEB02}"/>
    <cellStyle name="Komma 4 2 2 8 6" xfId="19195" xr:uid="{0CCDAC0B-4359-4581-8F09-46A1BADBCC2E}"/>
    <cellStyle name="Komma 4 2 2 9" xfId="15504" xr:uid="{D284B5CC-CDDB-480B-AD12-3C59D6007C49}"/>
    <cellStyle name="Komma 4 2 2 9 2" xfId="23034" xr:uid="{BD28C102-CBE6-4748-803A-795223B63A99}"/>
    <cellStyle name="Komma 4 2 2 9 3" xfId="48364" xr:uid="{770569E9-E3EB-4A4F-AB39-98E06CC662BF}"/>
    <cellStyle name="Komma 4 2 2 9 4" xfId="52372" xr:uid="{02F81C7F-489B-4FA6-87BA-E775469B045E}"/>
    <cellStyle name="Komma 4 2 2 9 5" xfId="55388" xr:uid="{7DA8FEF1-39E6-4408-BFDF-30E209C44B9E}"/>
    <cellStyle name="Komma 4 2 2 9 6" xfId="19340" xr:uid="{427CA8F0-47FE-4076-BC4C-5CC70329A324}"/>
    <cellStyle name="Komma 4 2 3" xfId="10044" xr:uid="{94AC0871-DB2B-4992-B82D-52D7D22A4734}"/>
    <cellStyle name="Komma 4 2 3 10" xfId="49652" xr:uid="{1D0E8A14-A159-4B44-ACA9-589B6BC6409E}"/>
    <cellStyle name="Komma 4 2 3 11" xfId="49887" xr:uid="{A671FBA2-4D2E-4783-B6BC-C65103F24D79}"/>
    <cellStyle name="Komma 4 2 3 12" xfId="52903" xr:uid="{A4A446C4-64A0-4C87-A1DC-A2837D5F5E7F}"/>
    <cellStyle name="Komma 4 2 3 13" xfId="18757" xr:uid="{2B5E2520-B8B0-4B24-8396-2423AB81F9F3}"/>
    <cellStyle name="Komma 4 2 3 2" xfId="10352" xr:uid="{D6EAED5F-008F-4734-AD2A-B4B19B380C85}"/>
    <cellStyle name="Komma 4 2 3 2 10" xfId="50099" xr:uid="{BA194E35-D6AE-4A4B-9589-C776643F71EF}"/>
    <cellStyle name="Komma 4 2 3 2 11" xfId="53115" xr:uid="{D5316ECC-B4A9-4383-B1A4-FA012010C5EA}"/>
    <cellStyle name="Komma 4 2 3 2 12" xfId="18906" xr:uid="{CD3599C3-94E8-4312-919F-317F74D6481C}"/>
    <cellStyle name="Komma 4 2 3 2 2" xfId="14797" xr:uid="{EC8C7118-70C3-4F53-A956-AC5120767C9A}"/>
    <cellStyle name="Komma 4 2 3 2 2 2" xfId="22344" xr:uid="{CD19815F-CA30-4EB9-BFEA-0B6B3D1D5623}"/>
    <cellStyle name="Komma 4 2 3 2 2 3" xfId="48118" xr:uid="{CE626273-A7CB-49DC-B701-7C4B71FABF1B}"/>
    <cellStyle name="Komma 4 2 3 2 2 4" xfId="51682" xr:uid="{1744F30B-3C6A-4331-83DC-3E9DBE4AFB3F}"/>
    <cellStyle name="Komma 4 2 3 2 2 5" xfId="54698" xr:uid="{B49874E1-D969-4011-98F6-0DB8AAF0EA1C}"/>
    <cellStyle name="Komma 4 2 3 2 2 6" xfId="19127" xr:uid="{03668F7E-D67A-4F99-8ADD-D556F8B7108E}"/>
    <cellStyle name="Komma 4 2 3 2 3" xfId="15282" xr:uid="{BFA15ECE-88C7-4444-970D-60134C26A58C}"/>
    <cellStyle name="Komma 4 2 3 2 3 2" xfId="22821" xr:uid="{9935DD2B-2F1E-4AEC-B566-8E64AD918DE4}"/>
    <cellStyle name="Komma 4 2 3 2 3 3" xfId="47721" xr:uid="{0B5F133C-408F-4CBE-A368-C351A94E53DA}"/>
    <cellStyle name="Komma 4 2 3 2 3 4" xfId="52159" xr:uid="{FFD24BAA-A576-4E7C-A480-EAC565B31314}"/>
    <cellStyle name="Komma 4 2 3 2 3 5" xfId="55175" xr:uid="{1F351F2C-F276-428E-BDBF-C2D8DCB75787}"/>
    <cellStyle name="Komma 4 2 3 2 3 6" xfId="19270" xr:uid="{24A18476-5CD6-417D-9DE2-3DAA02EA1720}"/>
    <cellStyle name="Komma 4 2 3 2 4" xfId="15769" xr:uid="{BFF51AFF-D611-47D7-ADEC-6B3CB5E1C952}"/>
    <cellStyle name="Komma 4 2 3 2 4 2" xfId="23298" xr:uid="{71802185-E60F-4A6F-93C7-E51575C3D765}"/>
    <cellStyle name="Komma 4 2 3 2 4 3" xfId="24894" xr:uid="{65E7EFBB-B13B-4A1D-AD39-6213D697A982}"/>
    <cellStyle name="Komma 4 2 3 2 4 4" xfId="52636" xr:uid="{49C63361-0F42-4DFE-A373-5925095663C5}"/>
    <cellStyle name="Komma 4 2 3 2 4 5" xfId="55652" xr:uid="{2319EBC9-C5F0-4130-8735-1F8DEC8B781E}"/>
    <cellStyle name="Komma 4 2 3 2 4 6" xfId="19415" xr:uid="{225BE565-CBCF-48F7-9B06-691F04EDEE41}"/>
    <cellStyle name="Komma 4 2 3 2 5" xfId="12805" xr:uid="{FACCF953-9D64-406D-B913-F77755AD169D}"/>
    <cellStyle name="Komma 4 2 3 2 5 2" xfId="47230" xr:uid="{2EE26725-065A-4565-B77F-01DA397B3ED0}"/>
    <cellStyle name="Komma 4 2 3 2 5 3" xfId="51205" xr:uid="{4C0E1D10-553C-49D7-8D1E-A106BF63038F}"/>
    <cellStyle name="Komma 4 2 3 2 5 4" xfId="54221" xr:uid="{E78BFB4D-CF91-4520-91E6-838E4009DB82}"/>
    <cellStyle name="Komma 4 2 3 2 5 5" xfId="21985" xr:uid="{A72CE8C8-3D77-44E6-8954-001A739715D5}"/>
    <cellStyle name="Komma 4 2 3 2 6" xfId="23898" xr:uid="{BC4FB9E8-455D-408B-AEDE-573F4F6A806A}"/>
    <cellStyle name="Komma 4 2 3 2 7" xfId="33107" xr:uid="{BE1751ED-C920-4EA7-8375-2ECE41CA1D96}"/>
    <cellStyle name="Komma 4 2 3 2 8" xfId="48747" xr:uid="{E87D3ADF-AAA5-4B92-ABAF-BB3DBE4142AA}"/>
    <cellStyle name="Komma 4 2 3 2 9" xfId="49653" xr:uid="{B6CEC696-760C-4EC0-9B07-AB49330CAB8A}"/>
    <cellStyle name="Komma 4 2 3 3" xfId="14585" xr:uid="{A8687689-8DBD-4972-983C-BDF378A32609}"/>
    <cellStyle name="Komma 4 2 3 3 2" xfId="22132" xr:uid="{DF62CC88-6B98-466E-9542-E9D75286A025}"/>
    <cellStyle name="Komma 4 2 3 3 3" xfId="46404" xr:uid="{FB7593AC-BF36-4C14-8ABB-C24DD7613845}"/>
    <cellStyle name="Komma 4 2 3 3 4" xfId="51470" xr:uid="{35C076AD-E09E-4F12-B152-16A146A4EE13}"/>
    <cellStyle name="Komma 4 2 3 3 5" xfId="54486" xr:uid="{4EF89035-56E6-4A9C-9F6D-FC429E61A606}"/>
    <cellStyle name="Komma 4 2 3 3 6" xfId="19067" xr:uid="{98ED3E45-4821-4CD2-A9DA-9B1BB03C1084}"/>
    <cellStyle name="Komma 4 2 3 4" xfId="15069" xr:uid="{B9EF6291-1DB8-43D8-BCC8-EF7616AE458B}"/>
    <cellStyle name="Komma 4 2 3 4 2" xfId="22609" xr:uid="{5E5CAA23-EDB0-4415-A718-0F368992EBF2}"/>
    <cellStyle name="Komma 4 2 3 4 3" xfId="46473" xr:uid="{203E811B-DE6D-4AD5-AC18-554FDD3E22FB}"/>
    <cellStyle name="Komma 4 2 3 4 4" xfId="51947" xr:uid="{5E299E5A-476D-4B69-A7F8-8089923E48D7}"/>
    <cellStyle name="Komma 4 2 3 4 5" xfId="54963" xr:uid="{6EF1AA97-D038-4D16-B96F-D59859ACEBC3}"/>
    <cellStyle name="Komma 4 2 3 4 6" xfId="19209" xr:uid="{4C566D07-48E0-42C5-87ED-7ACDD96D5EF6}"/>
    <cellStyle name="Komma 4 2 3 5" xfId="15556" xr:uid="{60EF5C1D-18AA-4C2D-A19D-4DA79DF9A327}"/>
    <cellStyle name="Komma 4 2 3 5 2" xfId="23086" xr:uid="{CC06059F-9748-403E-A241-78776D594F1F}"/>
    <cellStyle name="Komma 4 2 3 5 3" xfId="24900" xr:uid="{3D7B01DF-FC89-47AF-AA6B-FB6E6D210F3E}"/>
    <cellStyle name="Komma 4 2 3 5 4" xfId="52424" xr:uid="{B7136C02-4DD8-4B82-AF19-FFAED8BBFE76}"/>
    <cellStyle name="Komma 4 2 3 5 5" xfId="55440" xr:uid="{1BE0D621-D498-45CF-9196-AEC5F37F5C2C}"/>
    <cellStyle name="Komma 4 2 3 5 6" xfId="19354" xr:uid="{DF2048C3-AA76-4A83-A8D4-34C787811EDC}"/>
    <cellStyle name="Komma 4 2 3 6" xfId="12504" xr:uid="{1A4F888F-46C2-4DA9-8110-CAE514878C38}"/>
    <cellStyle name="Komma 4 2 3 6 2" xfId="46315" xr:uid="{52C73B90-BE06-47F7-ACC6-B882226FA1A0}"/>
    <cellStyle name="Komma 4 2 3 6 3" xfId="50993" xr:uid="{CA7146D2-5C7B-4BF0-A77E-C98D55C08704}"/>
    <cellStyle name="Komma 4 2 3 6 4" xfId="54009" xr:uid="{2CF40730-37B1-4333-802C-821ADF3B04D8}"/>
    <cellStyle name="Komma 4 2 3 6 5" xfId="21924" xr:uid="{A45F5BCA-25F1-402A-AAA9-17C9EB286F24}"/>
    <cellStyle name="Komma 4 2 3 7" xfId="23897" xr:uid="{6FD81EBA-C217-4101-91DB-853187B10E99}"/>
    <cellStyle name="Komma 4 2 3 8" xfId="46612" xr:uid="{A6EC1397-5F58-4217-9362-54D892A33D25}"/>
    <cellStyle name="Komma 4 2 3 9" xfId="48746" xr:uid="{7F81301F-DE87-4784-90F7-55C2C5142CFF}"/>
    <cellStyle name="Komma 4 2 4" xfId="10118" xr:uid="{F0CBAB73-286C-49E6-A236-0B16189B663D}"/>
    <cellStyle name="Komma 4 2 4 10" xfId="49654" xr:uid="{BC8916ED-D104-43BF-A842-74EF4DE50FF5}"/>
    <cellStyle name="Komma 4 2 4 11" xfId="49940" xr:uid="{76A0059E-3BCE-4AEB-83D1-5327F0B0A1B0}"/>
    <cellStyle name="Komma 4 2 4 12" xfId="52956" xr:uid="{927AB4AE-16ED-4457-9D46-A06DBA953C8D}"/>
    <cellStyle name="Komma 4 2 4 13" xfId="18790" xr:uid="{C66402BF-C86E-44C4-A4BA-414D7D1941EF}"/>
    <cellStyle name="Komma 4 2 4 2" xfId="10431" xr:uid="{77ED9F5A-ECF9-4AD6-9BFB-B79A73BE001F}"/>
    <cellStyle name="Komma 4 2 4 2 10" xfId="50152" xr:uid="{7088A3C4-F3C6-44EE-9C86-7329F22BD432}"/>
    <cellStyle name="Komma 4 2 4 2 11" xfId="53168" xr:uid="{E0167E7F-A6BB-4858-BFCF-18BEEC1609C3}"/>
    <cellStyle name="Komma 4 2 4 2 12" xfId="18947" xr:uid="{1897EBDF-695C-4C46-9099-7476A84D7060}"/>
    <cellStyle name="Komma 4 2 4 2 2" xfId="14850" xr:uid="{048D4994-A345-4F76-B859-FD04A454B871}"/>
    <cellStyle name="Komma 4 2 4 2 2 2" xfId="22397" xr:uid="{537F0A51-DAA5-438B-9FD3-A4D3A30EBABA}"/>
    <cellStyle name="Komma 4 2 4 2 2 3" xfId="46869" xr:uid="{42960CD7-D530-4CB1-81B0-F22997ED09D6}"/>
    <cellStyle name="Komma 4 2 4 2 2 4" xfId="51735" xr:uid="{387DAB37-8602-4F2C-9406-617DFF8426D0}"/>
    <cellStyle name="Komma 4 2 4 2 2 5" xfId="54751" xr:uid="{D8B74F1C-F31A-4EA6-A73A-A73E95EE165A}"/>
    <cellStyle name="Komma 4 2 4 2 2 6" xfId="19142" xr:uid="{D2EF4453-2075-464B-A006-CEA66EA5EC22}"/>
    <cellStyle name="Komma 4 2 4 2 3" xfId="15335" xr:uid="{6258F26B-87D1-469D-B34E-4829148CF41F}"/>
    <cellStyle name="Komma 4 2 4 2 3 2" xfId="22874" xr:uid="{21ADCEA9-BBE1-4187-AAAF-DD4F69B45474}"/>
    <cellStyle name="Komma 4 2 4 2 3 3" xfId="46912" xr:uid="{59974CF7-9BB4-495C-90F8-4B44E016EAA0}"/>
    <cellStyle name="Komma 4 2 4 2 3 4" xfId="52212" xr:uid="{440E1D2F-E454-4A20-9DC9-5C27AE9588A8}"/>
    <cellStyle name="Komma 4 2 4 2 3 5" xfId="55228" xr:uid="{14879705-FCCB-443C-BC7F-081216C9ED05}"/>
    <cellStyle name="Komma 4 2 4 2 3 6" xfId="19285" xr:uid="{542FE232-27CF-47D5-B0F1-50C61D6FC4D3}"/>
    <cellStyle name="Komma 4 2 4 2 4" xfId="15822" xr:uid="{71AB4860-D0AC-418D-A9F2-A2255AE0BDE8}"/>
    <cellStyle name="Komma 4 2 4 2 4 2" xfId="23351" xr:uid="{316B28A1-E9A1-4B1A-A9BB-BE1BCBBB48EE}"/>
    <cellStyle name="Komma 4 2 4 2 4 3" xfId="48523" xr:uid="{373B88D2-89CD-4B83-92CE-2B567DD68DD0}"/>
    <cellStyle name="Komma 4 2 4 2 4 4" xfId="52689" xr:uid="{DD292F30-2F90-4B29-AD78-9BB88A3FF2E2}"/>
    <cellStyle name="Komma 4 2 4 2 4 5" xfId="55705" xr:uid="{9765331A-E7E5-4617-9CA3-CFC0E5636881}"/>
    <cellStyle name="Komma 4 2 4 2 4 6" xfId="19430" xr:uid="{07BB9549-B9A2-4D86-81B4-5489839742CB}"/>
    <cellStyle name="Komma 4 2 4 2 5" xfId="12884" xr:uid="{51FBF195-8F43-4251-9E95-961C45D563A7}"/>
    <cellStyle name="Komma 4 2 4 2 5 2" xfId="34153" xr:uid="{D85C579C-48BB-418E-8E44-38B3966E599F}"/>
    <cellStyle name="Komma 4 2 4 2 5 3" xfId="51258" xr:uid="{5E17BB8C-4E2B-41E2-9539-F02855E20325}"/>
    <cellStyle name="Komma 4 2 4 2 5 4" xfId="54274" xr:uid="{DF78766A-F371-45A5-B4B4-ED35E0C7DBF6}"/>
    <cellStyle name="Komma 4 2 4 2 5 5" xfId="22000" xr:uid="{A84BCE5F-8480-4B4D-B812-61FEEDCE85CA}"/>
    <cellStyle name="Komma 4 2 4 2 6" xfId="23900" xr:uid="{2979E7B6-A36D-4BCF-A11C-8840EC55B943}"/>
    <cellStyle name="Komma 4 2 4 2 7" xfId="46121" xr:uid="{D93F4550-A4C4-4BAB-9F94-43FC0814C0F8}"/>
    <cellStyle name="Komma 4 2 4 2 8" xfId="48749" xr:uid="{BBABA814-E8CB-4A15-9D1F-03F2BE254930}"/>
    <cellStyle name="Komma 4 2 4 2 9" xfId="49655" xr:uid="{6E1D9CD9-3006-46A1-BF1B-4732468DCA3A}"/>
    <cellStyle name="Komma 4 2 4 3" xfId="14638" xr:uid="{371DA584-4B55-481B-A3F5-5E68BFC3AD37}"/>
    <cellStyle name="Komma 4 2 4 3 2" xfId="22185" xr:uid="{A55547EC-6893-4EC1-A6D7-3B87BA3F40A3}"/>
    <cellStyle name="Komma 4 2 4 3 3" xfId="47743" xr:uid="{FB3A288F-8858-4F41-909D-1CC4529D683E}"/>
    <cellStyle name="Komma 4 2 4 3 4" xfId="51523" xr:uid="{E00748DF-EF77-4754-A458-33F953EB407A}"/>
    <cellStyle name="Komma 4 2 4 3 5" xfId="54539" xr:uid="{D34E01A9-7142-4027-88D9-9A433F5E4689}"/>
    <cellStyle name="Komma 4 2 4 3 6" xfId="19082" xr:uid="{98CF06B3-B1F6-4F11-A1D5-ACD70C7DC70A}"/>
    <cellStyle name="Komma 4 2 4 4" xfId="15123" xr:uid="{662A190F-1F16-48F5-8938-2A4954B46F79}"/>
    <cellStyle name="Komma 4 2 4 4 2" xfId="22662" xr:uid="{682EC7AA-9C18-4399-97F9-44A973F1EC0C}"/>
    <cellStyle name="Komma 4 2 4 4 3" xfId="47056" xr:uid="{9CC43B04-E22D-434B-8277-62ECDA14A2B8}"/>
    <cellStyle name="Komma 4 2 4 4 4" xfId="52000" xr:uid="{F2916EED-DC06-46EB-BEF5-C848048AB2C3}"/>
    <cellStyle name="Komma 4 2 4 4 5" xfId="55016" xr:uid="{29EBA63B-3CC1-4497-BB3A-9244BEDE9A80}"/>
    <cellStyle name="Komma 4 2 4 4 6" xfId="19225" xr:uid="{75E98CFD-2399-4F94-AFB0-E20BC05AD368}"/>
    <cellStyle name="Komma 4 2 4 5" xfId="15610" xr:uid="{33A0DDAB-6BD7-42E0-AF02-5D011E77686E}"/>
    <cellStyle name="Komma 4 2 4 5 2" xfId="23139" xr:uid="{61FB38DF-C8DB-497F-82B4-841A1D3B1C2A}"/>
    <cellStyle name="Komma 4 2 4 5 3" xfId="47499" xr:uid="{8E1BA9A3-853A-4510-8266-F8AD519D5712}"/>
    <cellStyle name="Komma 4 2 4 5 4" xfId="52477" xr:uid="{A4F163C4-5BE7-455A-AAEE-7BC3762F668C}"/>
    <cellStyle name="Komma 4 2 4 5 5" xfId="55493" xr:uid="{B8A6C5DC-71C4-46AE-82C3-1CA4AC142791}"/>
    <cellStyle name="Komma 4 2 4 5 6" xfId="19370" xr:uid="{B4634B9E-8001-4343-B445-71A01037C080}"/>
    <cellStyle name="Komma 4 2 4 6" xfId="12575" xr:uid="{321C7BAF-548E-4E83-A466-63F3056986FB}"/>
    <cellStyle name="Komma 4 2 4 6 2" xfId="46664" xr:uid="{438EFB42-04BD-47DB-A6CD-40C12883138C}"/>
    <cellStyle name="Komma 4 2 4 6 3" xfId="51046" xr:uid="{B72FA7BE-048F-43BF-882F-C882BD7CA016}"/>
    <cellStyle name="Komma 4 2 4 6 4" xfId="54062" xr:uid="{AC3047D1-FAAB-45A4-AA98-52BABF06FE9B}"/>
    <cellStyle name="Komma 4 2 4 6 5" xfId="21940" xr:uid="{D15D37DE-8067-498A-BAB3-4804F9546C81}"/>
    <cellStyle name="Komma 4 2 4 7" xfId="23899" xr:uid="{76B62F09-C909-4A0B-9C9B-7187F7832A74}"/>
    <cellStyle name="Komma 4 2 4 8" xfId="47031" xr:uid="{8639DE01-FBF5-44E0-B4E4-644E43734BB0}"/>
    <cellStyle name="Komma 4 2 4 9" xfId="48748" xr:uid="{EF61C33E-AE1D-47E5-A64B-2F56A071612D}"/>
    <cellStyle name="Komma 4 2 5" xfId="10197" xr:uid="{0E03B00C-B14D-4F8E-998D-609A82745E54}"/>
    <cellStyle name="Komma 4 2 5 10" xfId="49656" xr:uid="{A5FDE707-8F10-4F24-8251-E104016E3426}"/>
    <cellStyle name="Komma 4 2 5 11" xfId="49993" xr:uid="{D66BC82C-4ADC-4AFA-BA7D-A2A7D58F072C}"/>
    <cellStyle name="Komma 4 2 5 12" xfId="53009" xr:uid="{0105BFEB-413F-4649-84FE-73C33AF9B38E}"/>
    <cellStyle name="Komma 4 2 5 13" xfId="18828" xr:uid="{2E296A59-DB35-437E-8A3A-67289501B705}"/>
    <cellStyle name="Komma 4 2 5 2" xfId="10511" xr:uid="{4CA71952-2039-4CF4-BC88-2EB350238D04}"/>
    <cellStyle name="Komma 4 2 5 2 2" xfId="14903" xr:uid="{2696A226-ADB3-46EC-A883-6C697408B935}"/>
    <cellStyle name="Komma 4 2 5 2 2 2" xfId="22450" xr:uid="{E476A229-2DE8-48E2-B56D-53FE1C1818D7}"/>
    <cellStyle name="Komma 4 2 5 2 2 3" xfId="46454" xr:uid="{3045F9A6-662A-49F4-B130-36C3B86376B5}"/>
    <cellStyle name="Komma 4 2 5 2 2 4" xfId="51788" xr:uid="{0139D3DE-B88B-45BD-A51F-E270ACB959D6}"/>
    <cellStyle name="Komma 4 2 5 2 2 5" xfId="54804" xr:uid="{58273586-3B60-4D2D-AD53-10675F6E493C}"/>
    <cellStyle name="Komma 4 2 5 2 2 6" xfId="19157" xr:uid="{1F43122B-5642-47BD-8322-173E40A1B97F}"/>
    <cellStyle name="Komma 4 2 5 2 3" xfId="15388" xr:uid="{4E3B8F2E-7A05-4116-8775-2CCB4D7C5C67}"/>
    <cellStyle name="Komma 4 2 5 2 3 2" xfId="22927" xr:uid="{F6D3C7A8-EEBC-4AB0-9D2B-5B0FD6C5A6F6}"/>
    <cellStyle name="Komma 4 2 5 2 3 3" xfId="47547" xr:uid="{7E52565B-ABAF-4A36-9F20-BE73F55683F2}"/>
    <cellStyle name="Komma 4 2 5 2 3 4" xfId="52265" xr:uid="{58EDC9B2-BBE8-4482-8249-CA58E00EBFF6}"/>
    <cellStyle name="Komma 4 2 5 2 3 5" xfId="55281" xr:uid="{9E2EA00F-594B-477C-8467-9543CBD5FE07}"/>
    <cellStyle name="Komma 4 2 5 2 3 6" xfId="19300" xr:uid="{B82A44FA-0262-4D76-ABD3-78992D165997}"/>
    <cellStyle name="Komma 4 2 5 2 4" xfId="15875" xr:uid="{88C018B2-B256-4E97-976A-814FB6E6771F}"/>
    <cellStyle name="Komma 4 2 5 2 4 2" xfId="23404" xr:uid="{3EAABEE1-0D7A-404E-91DB-683F3E9594F4}"/>
    <cellStyle name="Komma 4 2 5 2 4 3" xfId="46704" xr:uid="{A4B699ED-EDBC-44B5-8810-C06E0186F783}"/>
    <cellStyle name="Komma 4 2 5 2 4 4" xfId="52742" xr:uid="{B1E3EDE7-5ED8-4F65-B1FC-D8430210A872}"/>
    <cellStyle name="Komma 4 2 5 2 4 5" xfId="55758" xr:uid="{142E24FE-C681-4DF7-9C30-AF66F1183074}"/>
    <cellStyle name="Komma 4 2 5 2 4 6" xfId="19445" xr:uid="{D28ECFD1-8765-4DB1-B150-D564D72E9D02}"/>
    <cellStyle name="Komma 4 2 5 2 5" xfId="12964" xr:uid="{6D1DF2FC-80CB-4241-A6EA-A75632DA62E4}"/>
    <cellStyle name="Komma 4 2 5 2 5 2" xfId="24323" xr:uid="{2B70EDF7-D30E-40EB-B39A-3AC1DD00A3E4}"/>
    <cellStyle name="Komma 4 2 5 2 5 3" xfId="51311" xr:uid="{DA7EF3CE-B08C-4BD3-B77F-0D71B29BB0A7}"/>
    <cellStyle name="Komma 4 2 5 2 5 4" xfId="54327" xr:uid="{B0D24454-2637-4910-B6EC-4FB33C8CE404}"/>
    <cellStyle name="Komma 4 2 5 2 5 5" xfId="22015" xr:uid="{C0FA1C33-DF36-4D65-BE56-97DA78783310}"/>
    <cellStyle name="Komma 4 2 5 2 6" xfId="47204" xr:uid="{AE76C77F-ED59-4AD5-A8C5-AAC1DFA65A76}"/>
    <cellStyle name="Komma 4 2 5 2 7" xfId="50205" xr:uid="{EAEF3F62-F0DB-47F6-B35B-19DC45A4F42F}"/>
    <cellStyle name="Komma 4 2 5 2 8" xfId="53221" xr:uid="{7B30D0C4-7C94-4A6C-B5D2-BD8E9B0283CB}"/>
    <cellStyle name="Komma 4 2 5 2 9" xfId="18989" xr:uid="{FAC68C61-9162-48DE-84F0-505FEA430841}"/>
    <cellStyle name="Komma 4 2 5 3" xfId="14691" xr:uid="{FE3665BB-529B-4FBB-925A-22E03C15B3F0}"/>
    <cellStyle name="Komma 4 2 5 3 2" xfId="22238" xr:uid="{A9D039AE-3408-481F-A735-3C8B6EBCE475}"/>
    <cellStyle name="Komma 4 2 5 3 3" xfId="24964" xr:uid="{C08C5667-31FE-4665-88DA-E4EA9CCFB13C}"/>
    <cellStyle name="Komma 4 2 5 3 4" xfId="51576" xr:uid="{0A894318-22EC-4A8C-B862-3F11B8D258C9}"/>
    <cellStyle name="Komma 4 2 5 3 5" xfId="54592" xr:uid="{1A7ECE98-561F-4E25-9C81-2ADE765EDF99}"/>
    <cellStyle name="Komma 4 2 5 3 6" xfId="19097" xr:uid="{910F42BE-4AB4-4E7B-B2E9-31A3E4D9F46B}"/>
    <cellStyle name="Komma 4 2 5 4" xfId="15176" xr:uid="{E307CD23-1BAE-4C28-9281-1F859499FD71}"/>
    <cellStyle name="Komma 4 2 5 4 2" xfId="22715" xr:uid="{9A13F651-D79E-41D8-B44F-62F5FE486BE0}"/>
    <cellStyle name="Komma 4 2 5 4 3" xfId="48510" xr:uid="{15E299D7-0459-441C-8AFB-1E18FC1DFFE8}"/>
    <cellStyle name="Komma 4 2 5 4 4" xfId="52053" xr:uid="{87627076-CF1D-411F-9698-463F66CBEB9C}"/>
    <cellStyle name="Komma 4 2 5 4 5" xfId="55069" xr:uid="{35B057AD-0B14-4DFA-B395-5CB9A62FF53B}"/>
    <cellStyle name="Komma 4 2 5 4 6" xfId="19240" xr:uid="{3ADA24A8-3831-4FCA-B569-1A468CD34E38}"/>
    <cellStyle name="Komma 4 2 5 5" xfId="15663" xr:uid="{DAFC22F7-F08B-4278-A4DA-C4D4255E57E3}"/>
    <cellStyle name="Komma 4 2 5 5 2" xfId="23192" xr:uid="{4A724E45-DC08-4D62-9093-5F690F2FF647}"/>
    <cellStyle name="Komma 4 2 5 5 3" xfId="46950" xr:uid="{DF59E833-8CEB-4F24-80B6-2BE0C21F02AB}"/>
    <cellStyle name="Komma 4 2 5 5 4" xfId="52530" xr:uid="{1CE09930-97FD-498A-9C88-EB5FAF279A45}"/>
    <cellStyle name="Komma 4 2 5 5 5" xfId="55546" xr:uid="{795A9363-3C93-4EF3-8BF2-A5E1281FD846}"/>
    <cellStyle name="Komma 4 2 5 5 6" xfId="19385" xr:uid="{1F61E222-1A76-4AB4-9D93-DCC3076C1048}"/>
    <cellStyle name="Komma 4 2 5 6" xfId="12651" xr:uid="{E9107907-D8DA-424A-97DF-835FE9C5CCE2}"/>
    <cellStyle name="Komma 4 2 5 6 2" xfId="47616" xr:uid="{271662B1-ABA5-4AE9-8B2B-D126AA2EE60E}"/>
    <cellStyle name="Komma 4 2 5 6 3" xfId="51099" xr:uid="{9398058E-6F8A-4484-A1EE-2C6F905E3E64}"/>
    <cellStyle name="Komma 4 2 5 6 4" xfId="54115" xr:uid="{72CE8F54-AD5C-4DCC-959A-5C72CFDEB748}"/>
    <cellStyle name="Komma 4 2 5 6 5" xfId="21955" xr:uid="{FE26342D-CCCA-472D-BFCB-41AD5B850B7B}"/>
    <cellStyle name="Komma 4 2 5 7" xfId="23901" xr:uid="{0EC4FFB8-32D5-4369-9B58-3AB284B914E0}"/>
    <cellStyle name="Komma 4 2 5 8" xfId="48256" xr:uid="{37520CD5-6C15-4CD5-BB82-A1A36FC939F4}"/>
    <cellStyle name="Komma 4 2 5 9" xfId="48750" xr:uid="{8EE8CA23-AA98-47BC-83F9-62D89F01F618}"/>
    <cellStyle name="Komma 4 2 6" xfId="10277" xr:uid="{A332FCEA-54DD-4677-BBC0-1CC4647E72F1}"/>
    <cellStyle name="Komma 4 2 6 10" xfId="50046" xr:uid="{24E0259E-25D9-4545-AAEB-3E0CDF913750}"/>
    <cellStyle name="Komma 4 2 6 11" xfId="53062" xr:uid="{7652A476-69E3-40EE-B61F-96587F2E2338}"/>
    <cellStyle name="Komma 4 2 6 12" xfId="18869" xr:uid="{9F6B6524-F089-4889-AD5A-FFD8D38A237B}"/>
    <cellStyle name="Komma 4 2 6 2" xfId="14744" xr:uid="{DD043904-31AE-42A3-9435-E9073A74C751}"/>
    <cellStyle name="Komma 4 2 6 2 2" xfId="22291" xr:uid="{A079C73F-8A13-4F9B-A465-9C0AF34AFE5B}"/>
    <cellStyle name="Komma 4 2 6 2 3" xfId="46857" xr:uid="{33E693EC-3281-42A1-8714-ED5938F4DF10}"/>
    <cellStyle name="Komma 4 2 6 2 4" xfId="51629" xr:uid="{4650F5CC-B3DC-4A6B-BFC0-35CDA1B3E7EB}"/>
    <cellStyle name="Komma 4 2 6 2 5" xfId="54645" xr:uid="{5B622826-BAD1-4A17-8EC7-9DF6861D8F3C}"/>
    <cellStyle name="Komma 4 2 6 2 6" xfId="19112" xr:uid="{9FBA31F4-B1A5-40C2-B736-873C6E38676B}"/>
    <cellStyle name="Komma 4 2 6 3" xfId="15229" xr:uid="{F387FACD-1779-4FE4-A126-CBAF986EE306}"/>
    <cellStyle name="Komma 4 2 6 3 2" xfId="22768" xr:uid="{08D3E54D-366C-4D08-A909-087D6549AF03}"/>
    <cellStyle name="Komma 4 2 6 3 3" xfId="46895" xr:uid="{F7B239F7-28E7-415E-A4A3-99B2C7E858BE}"/>
    <cellStyle name="Komma 4 2 6 3 4" xfId="52106" xr:uid="{4AD4E2A9-073C-41C3-93E5-4AAD22B5DB74}"/>
    <cellStyle name="Komma 4 2 6 3 5" xfId="55122" xr:uid="{DE26F453-0C0F-4FC7-9529-662AB01DCA3C}"/>
    <cellStyle name="Komma 4 2 6 3 6" xfId="19255" xr:uid="{2D185CE0-CE19-4DC4-946E-C53D1C547FAA}"/>
    <cellStyle name="Komma 4 2 6 4" xfId="15716" xr:uid="{BA51AA1B-B506-40B1-9F55-B375ADE8C45F}"/>
    <cellStyle name="Komma 4 2 6 4 2" xfId="23245" xr:uid="{40B01239-83D5-4242-9320-2B42BACE41CA}"/>
    <cellStyle name="Komma 4 2 6 4 3" xfId="46956" xr:uid="{90191756-A9D6-40E4-9BDC-C098EBB188F1}"/>
    <cellStyle name="Komma 4 2 6 4 4" xfId="52583" xr:uid="{97017D2F-B47C-4D95-BD40-344767B0C640}"/>
    <cellStyle name="Komma 4 2 6 4 5" xfId="55599" xr:uid="{52F03889-8DAA-4206-B255-CD5C8848040A}"/>
    <cellStyle name="Komma 4 2 6 4 6" xfId="19400" xr:uid="{7926ADF6-8A76-49B8-8513-F120C1FD7CD7}"/>
    <cellStyle name="Komma 4 2 6 5" xfId="12730" xr:uid="{3C8C7218-323B-4929-ACFD-37760DD1D745}"/>
    <cellStyle name="Komma 4 2 6 5 2" xfId="47214" xr:uid="{02A3070D-259A-4816-8560-C9C29B75D8BC}"/>
    <cellStyle name="Komma 4 2 6 5 3" xfId="51152" xr:uid="{37148724-03EE-4EDB-84D4-EF309471D029}"/>
    <cellStyle name="Komma 4 2 6 5 4" xfId="54168" xr:uid="{8F886D91-D4D0-4D89-AFC7-4C370AD855DE}"/>
    <cellStyle name="Komma 4 2 6 5 5" xfId="21970" xr:uid="{78C1A7BE-F489-4FB1-B904-43FF706D9E31}"/>
    <cellStyle name="Komma 4 2 6 6" xfId="23902" xr:uid="{4A6E6ADF-7F6E-4DCD-9D76-16EA02E2C190}"/>
    <cellStyle name="Komma 4 2 6 7" xfId="48155" xr:uid="{3F1D64D6-B5C1-4B29-AC72-5E6EEC3AC4ED}"/>
    <cellStyle name="Komma 4 2 6 8" xfId="48751" xr:uid="{471488AC-36E7-4E08-9913-7A2016CC3A0D}"/>
    <cellStyle name="Komma 4 2 6 9" xfId="49657" xr:uid="{629AA7CE-DA45-4BDA-9F5C-207F53FE76FC}"/>
    <cellStyle name="Komma 4 2 7" xfId="10591" xr:uid="{5832A0B2-0A7E-41BE-A584-834DA86BB800}"/>
    <cellStyle name="Komma 4 2 7 10" xfId="50258" xr:uid="{B7D63B2F-3DD5-40DE-8AD4-DA1D9D2364DE}"/>
    <cellStyle name="Komma 4 2 7 11" xfId="53274" xr:uid="{C63C4D91-81E9-4E9E-AFF7-3325197DCEEF}"/>
    <cellStyle name="Komma 4 2 7 12" xfId="19031" xr:uid="{A78A4464-1888-47FF-8297-08976C1E2B86}"/>
    <cellStyle name="Komma 4 2 7 2" xfId="14956" xr:uid="{E1DB450B-495E-477D-A459-AB053F3A10A1}"/>
    <cellStyle name="Komma 4 2 7 2 2" xfId="22503" xr:uid="{5921C897-B22E-49FC-A751-8BFE544D8C80}"/>
    <cellStyle name="Komma 4 2 7 2 3" xfId="48356" xr:uid="{A4D1DE18-C04F-4800-9379-DD1D8411CB33}"/>
    <cellStyle name="Komma 4 2 7 2 4" xfId="51841" xr:uid="{F847CBA6-455B-47F1-B47C-C3B192F2124C}"/>
    <cellStyle name="Komma 4 2 7 2 5" xfId="54857" xr:uid="{5E1777B2-BD90-4F28-8197-43AF2EBEDD98}"/>
    <cellStyle name="Komma 4 2 7 2 6" xfId="19172" xr:uid="{D1966E45-77F7-4CB7-A83A-7A2557DF1650}"/>
    <cellStyle name="Komma 4 2 7 3" xfId="15441" xr:uid="{E89DC604-EA17-4B90-9F18-05708E8D68C5}"/>
    <cellStyle name="Komma 4 2 7 3 2" xfId="22980" xr:uid="{36E72E8D-8893-4A25-8DFF-09781EEB75F1}"/>
    <cellStyle name="Komma 4 2 7 3 3" xfId="47698" xr:uid="{29FD0569-D624-463B-8AFB-51FFB791CC99}"/>
    <cellStyle name="Komma 4 2 7 3 4" xfId="52318" xr:uid="{8D898DC2-D586-472D-913B-640007513A39}"/>
    <cellStyle name="Komma 4 2 7 3 5" xfId="55334" xr:uid="{360F20AC-3C3A-4536-B197-96D0287569C4}"/>
    <cellStyle name="Komma 4 2 7 3 6" xfId="19315" xr:uid="{E62869E1-9CF5-4830-89A9-5B6E83127D15}"/>
    <cellStyle name="Komma 4 2 7 4" xfId="15929" xr:uid="{1743D700-6FBC-4AEF-BD67-AE2A997586D6}"/>
    <cellStyle name="Komma 4 2 7 4 2" xfId="23457" xr:uid="{B24396B0-273B-4FD9-93EF-F95E6B27A57A}"/>
    <cellStyle name="Komma 4 2 7 4 3" xfId="24891" xr:uid="{536D0F6B-086B-4CCC-9317-67AD3111C9C0}"/>
    <cellStyle name="Komma 4 2 7 4 4" xfId="52795" xr:uid="{9D81B4C2-BD12-408B-AFF4-A72A5C75070A}"/>
    <cellStyle name="Komma 4 2 7 4 5" xfId="55811" xr:uid="{17410358-54D3-411D-AD97-9713AA4713FB}"/>
    <cellStyle name="Komma 4 2 7 4 6" xfId="19461" xr:uid="{D604F7C7-8EBF-4428-8A9A-A01F9DA5285B}"/>
    <cellStyle name="Komma 4 2 7 5" xfId="13044" xr:uid="{E9E6D5FB-9DD8-46B8-84B6-2468B06CE744}"/>
    <cellStyle name="Komma 4 2 7 5 2" xfId="47036" xr:uid="{C07D3B86-6041-4205-B5E2-55AF24C82721}"/>
    <cellStyle name="Komma 4 2 7 5 3" xfId="51364" xr:uid="{84A156B9-E0E6-4480-A2AA-F70EE82CE5DF}"/>
    <cellStyle name="Komma 4 2 7 5 4" xfId="54380" xr:uid="{6FEBE261-6E13-4FFB-AA75-BA1613B70C14}"/>
    <cellStyle name="Komma 4 2 7 5 5" xfId="22030" xr:uid="{8AEA28FB-9C5E-49CF-B949-32C4C708E072}"/>
    <cellStyle name="Komma 4 2 7 6" xfId="23903" xr:uid="{6CB327A4-92CA-4C9E-978E-B5A86D5E1BE0}"/>
    <cellStyle name="Komma 4 2 7 7" xfId="24540" xr:uid="{E2C50669-1A16-4371-8E55-26D545305A79}"/>
    <cellStyle name="Komma 4 2 7 8" xfId="48752" xr:uid="{21DB9EDD-CD82-4F11-9D84-8AC30FD9E3D5}"/>
    <cellStyle name="Komma 4 2 7 9" xfId="49658" xr:uid="{78F5D524-3E49-4E6D-B01A-CB299D0DFFF0}"/>
    <cellStyle name="Komma 4 2 8" xfId="14532" xr:uid="{FC14DEC7-7B2B-4953-ABAF-D655CFF30709}"/>
    <cellStyle name="Komma 4 2 8 2" xfId="22079" xr:uid="{FD1C6624-3546-4730-B361-12EAB47D2CF6}"/>
    <cellStyle name="Komma 4 2 8 2 2" xfId="38082" xr:uid="{37C5B538-F103-4185-96AD-B7529AC3C6C3}"/>
    <cellStyle name="Komma 4 2 8 3" xfId="43384" xr:uid="{D962BFFF-84E5-4897-B43F-B344F7A41A26}"/>
    <cellStyle name="Komma 4 2 8 4" xfId="32731" xr:uid="{BEEC9D3D-BB51-4B96-8BE4-FA2481C88618}"/>
    <cellStyle name="Komma 4 2 8 5" xfId="48499" xr:uid="{8B4E4C42-0840-4AD8-8BBC-640E98278E77}"/>
    <cellStyle name="Komma 4 2 8 6" xfId="51417" xr:uid="{FD25B56D-6B1E-4BE9-93DE-42AF8AF3BCF0}"/>
    <cellStyle name="Komma 4 2 8 7" xfId="54433" xr:uid="{E3C6F1D9-5600-4236-8AED-48EFB6348893}"/>
    <cellStyle name="Komma 4 2 8 8" xfId="19052" xr:uid="{F97BAE07-A8D0-47D2-85C4-D54A6B762E40}"/>
    <cellStyle name="Komma 4 2 9" xfId="15016" xr:uid="{F9E3278D-3F2F-443C-8A2E-7B16C4CE5B25}"/>
    <cellStyle name="Komma 4 2 9 2" xfId="22556" xr:uid="{50345BD3-4E25-4882-B7BD-72E1C9908CA8}"/>
    <cellStyle name="Komma 4 2 9 3" xfId="35617" xr:uid="{643F9745-605F-4F2A-8F55-AE161B111A16}"/>
    <cellStyle name="Komma 4 2 9 4" xfId="24921" xr:uid="{C64B09D2-AC5B-4BE1-91EE-0CCA39189B4A}"/>
    <cellStyle name="Komma 4 2 9 5" xfId="51894" xr:uid="{DC6EDE37-2239-44B3-8419-E93C4806C81F}"/>
    <cellStyle name="Komma 4 2 9 6" xfId="54910" xr:uid="{C0C0227A-00DA-45A2-AB10-4861CE8F2601}"/>
    <cellStyle name="Komma 4 2 9 7" xfId="19194" xr:uid="{0AE6790A-8127-484E-8376-B34474B8693C}"/>
    <cellStyle name="Komma 4 20" xfId="18057" xr:uid="{4BF998D2-8954-4638-B514-569301F01B39}"/>
    <cellStyle name="Komma 4 3" xfId="9104" xr:uid="{45F38CA5-E114-4933-AA39-CA6174507747}"/>
    <cellStyle name="Komma 4 3 10" xfId="11500" xr:uid="{7D32E9E5-E212-4763-BA11-4F53CB8B3E36}"/>
    <cellStyle name="Komma 4 3 10 2" xfId="47009" xr:uid="{8C894F10-BF74-44BB-B00D-40DDC120B15E}"/>
    <cellStyle name="Komma 4 3 10 3" xfId="50723" xr:uid="{C4384213-E9C4-42D4-B416-0003FAD10C1C}"/>
    <cellStyle name="Komma 4 3 10 4" xfId="53739" xr:uid="{D734BFDA-8E12-4C97-A930-399FB8E4A267}"/>
    <cellStyle name="Komma 4 3 10 5" xfId="21700" xr:uid="{F25B64C6-2F39-487F-A37F-D812615FF087}"/>
    <cellStyle name="Komma 4 3 11" xfId="23904" xr:uid="{5791CCC1-26FF-4338-B359-97BE2566C8BF}"/>
    <cellStyle name="Komma 4 3 12" xfId="47380" xr:uid="{9FC3E401-81CD-4CC6-B14D-D24E1966CB84}"/>
    <cellStyle name="Komma 4 3 13" xfId="48753" xr:uid="{BF44749E-6F83-486F-ABA8-CA48F54A53D4}"/>
    <cellStyle name="Komma 4 3 14" xfId="49659" xr:uid="{367E9D45-6A69-4C1F-A427-5C777A192884}"/>
    <cellStyle name="Komma 4 3 15" xfId="49836" xr:uid="{D07DF8C0-0643-415A-A561-B850F76F9BB8}"/>
    <cellStyle name="Komma 4 3 16" xfId="52851" xr:uid="{197712DD-59A5-4547-938F-57501D2A734B}"/>
    <cellStyle name="Komma 4 3 17" xfId="18140" xr:uid="{0C4F3DCD-B468-47FF-B9CD-381F670F6E4C}"/>
    <cellStyle name="Komma 4 3 2" xfId="10046" xr:uid="{30921DB6-1982-40E2-92A3-CC1186D570D6}"/>
    <cellStyle name="Komma 4 3 2 10" xfId="49660" xr:uid="{BAAB8446-78AC-4423-BC76-B062588DAF6B}"/>
    <cellStyle name="Komma 4 3 2 11" xfId="49889" xr:uid="{0994B97D-88AE-466D-8581-F83680C8DDEB}"/>
    <cellStyle name="Komma 4 3 2 12" xfId="52905" xr:uid="{3A73F912-A44A-4203-A357-F8D0DB40924F}"/>
    <cellStyle name="Komma 4 3 2 13" xfId="18759" xr:uid="{7EEA4EE3-D51B-4D1A-A631-6C18B22F1F6E}"/>
    <cellStyle name="Komma 4 3 2 2" xfId="10354" xr:uid="{AC8C635F-3674-48DC-A84D-569D286D0CF3}"/>
    <cellStyle name="Komma 4 3 2 2 10" xfId="50101" xr:uid="{0EB5DF9C-864F-4799-A824-37FBEFE698E1}"/>
    <cellStyle name="Komma 4 3 2 2 11" xfId="53117" xr:uid="{1F2255CC-318D-402B-BDBF-D29C6C8082C2}"/>
    <cellStyle name="Komma 4 3 2 2 12" xfId="18908" xr:uid="{CDA40B31-72E9-4D0C-8F87-8A1E6D6134A4}"/>
    <cellStyle name="Komma 4 3 2 2 2" xfId="14799" xr:uid="{B5AAAEBA-205E-4617-B4A0-96C64764E2DA}"/>
    <cellStyle name="Komma 4 3 2 2 2 2" xfId="22346" xr:uid="{46D853DC-EDFC-410B-9B0C-93944DB8182D}"/>
    <cellStyle name="Komma 4 3 2 2 2 3" xfId="47181" xr:uid="{4FE45C77-58C6-473D-91F0-8DF9450C20EE}"/>
    <cellStyle name="Komma 4 3 2 2 2 4" xfId="51684" xr:uid="{F8D6E9EB-3694-4132-80D7-BBCEA63AEDF1}"/>
    <cellStyle name="Komma 4 3 2 2 2 5" xfId="54700" xr:uid="{3AA3BA60-6E09-4C6A-8CD5-EC1F3C3B21F5}"/>
    <cellStyle name="Komma 4 3 2 2 2 6" xfId="19129" xr:uid="{78E76A0C-13B8-4DF4-9D42-3F718B2286A7}"/>
    <cellStyle name="Komma 4 3 2 2 3" xfId="15284" xr:uid="{89E55525-7288-443B-ACB8-B1FC7400A08E}"/>
    <cellStyle name="Komma 4 3 2 2 3 2" xfId="22823" xr:uid="{17E59625-AA91-4CE3-B6F8-E5A0BE95B642}"/>
    <cellStyle name="Komma 4 3 2 2 3 3" xfId="46902" xr:uid="{5E43DA0F-1B2A-48CC-B6F9-A8AA9FCABE03}"/>
    <cellStyle name="Komma 4 3 2 2 3 4" xfId="52161" xr:uid="{9F9BE8AF-A5E2-405C-9A50-B79889AE1967}"/>
    <cellStyle name="Komma 4 3 2 2 3 5" xfId="55177" xr:uid="{CE678731-43A0-405B-8125-23E12463D309}"/>
    <cellStyle name="Komma 4 3 2 2 3 6" xfId="19272" xr:uid="{4859B1F1-027E-4069-9438-4ECFD703CCBA}"/>
    <cellStyle name="Komma 4 3 2 2 4" xfId="15771" xr:uid="{4E00206C-C6A9-4B5E-B5C8-562DDCE7DB83}"/>
    <cellStyle name="Komma 4 3 2 2 4 2" xfId="23300" xr:uid="{99387810-FF6F-4875-B77A-54C64EF73A33}"/>
    <cellStyle name="Komma 4 3 2 2 4 3" xfId="46962" xr:uid="{995A809A-47C2-48EF-974B-7E30885F31BF}"/>
    <cellStyle name="Komma 4 3 2 2 4 4" xfId="52638" xr:uid="{499B2727-7D8E-47D5-991A-77C3DB3A6FB5}"/>
    <cellStyle name="Komma 4 3 2 2 4 5" xfId="55654" xr:uid="{57513828-1884-4281-9DD7-8F1EF6F8A77B}"/>
    <cellStyle name="Komma 4 3 2 2 4 6" xfId="19417" xr:uid="{25D3A06C-B3A2-4E85-AC79-A4421D8222DD}"/>
    <cellStyle name="Komma 4 3 2 2 5" xfId="12807" xr:uid="{C8AFDB05-73E5-4310-BE65-22EEABE2CD0B}"/>
    <cellStyle name="Komma 4 3 2 2 5 2" xfId="24691" xr:uid="{46BAC93A-5EDE-4E75-82FC-0BD41BE61479}"/>
    <cellStyle name="Komma 4 3 2 2 5 3" xfId="51207" xr:uid="{E898CB81-54E4-4527-8991-7D3D1F550980}"/>
    <cellStyle name="Komma 4 3 2 2 5 4" xfId="54223" xr:uid="{03CB2EFF-1F20-478E-B516-44B872F58FDC}"/>
    <cellStyle name="Komma 4 3 2 2 5 5" xfId="21987" xr:uid="{BE602383-12FB-418C-85FC-83BDC333C39B}"/>
    <cellStyle name="Komma 4 3 2 2 6" xfId="23906" xr:uid="{03BC613D-69BB-4A5B-B744-F43AD9BFF346}"/>
    <cellStyle name="Komma 4 3 2 2 7" xfId="47285" xr:uid="{84046B4B-B331-4B2B-B841-E9C74DA37792}"/>
    <cellStyle name="Komma 4 3 2 2 8" xfId="48755" xr:uid="{4A25C58A-645F-480A-809F-13F6AFF6D157}"/>
    <cellStyle name="Komma 4 3 2 2 9" xfId="49661" xr:uid="{74710270-B457-47C2-9F8A-0197B895D1C9}"/>
    <cellStyle name="Komma 4 3 2 3" xfId="14587" xr:uid="{AAB6D7D3-556B-4D7D-8DEC-9FB9AC5E3128}"/>
    <cellStyle name="Komma 4 3 2 3 2" xfId="22134" xr:uid="{D0AD60B4-7F44-4516-8853-35FB44090D2D}"/>
    <cellStyle name="Komma 4 3 2 3 3" xfId="48404" xr:uid="{267CDB12-D6C7-4E97-81A1-97665B5AE736}"/>
    <cellStyle name="Komma 4 3 2 3 4" xfId="51472" xr:uid="{3DF05FFE-F970-4605-A5C8-0F2353B7BEA9}"/>
    <cellStyle name="Komma 4 3 2 3 5" xfId="54488" xr:uid="{7EA369DD-AF61-4882-8BAD-057E5D43C67D}"/>
    <cellStyle name="Komma 4 3 2 3 6" xfId="19069" xr:uid="{D56F007E-8EAA-4C7A-A62F-DAEB931F1E68}"/>
    <cellStyle name="Komma 4 3 2 4" xfId="15071" xr:uid="{E124A3FE-7845-44F8-8577-B1DA59BF7980}"/>
    <cellStyle name="Komma 4 3 2 4 2" xfId="22611" xr:uid="{2C620DDC-0804-4DD4-9186-99D1F91EABF7}"/>
    <cellStyle name="Komma 4 3 2 4 3" xfId="48562" xr:uid="{913AB286-7A67-4752-A805-AF302939C243}"/>
    <cellStyle name="Komma 4 3 2 4 4" xfId="51949" xr:uid="{0AA6460E-45A4-49B0-B3C3-35DA2E19AC85}"/>
    <cellStyle name="Komma 4 3 2 4 5" xfId="54965" xr:uid="{78C23476-042C-4728-BE43-C0A9489AEC7F}"/>
    <cellStyle name="Komma 4 3 2 4 6" xfId="19211" xr:uid="{F4599760-80BF-42D7-8218-5741B862A177}"/>
    <cellStyle name="Komma 4 3 2 5" xfId="15558" xr:uid="{03226AB7-C23A-488A-BED2-D04AB2A0EF87}"/>
    <cellStyle name="Komma 4 3 2 5 2" xfId="23088" xr:uid="{3A1A5CDF-3AFB-4F4D-A2F8-0294F6D59DE8}"/>
    <cellStyle name="Komma 4 3 2 5 3" xfId="46935" xr:uid="{37DC4E01-5FA8-45C0-9DE7-8C0057F75F90}"/>
    <cellStyle name="Komma 4 3 2 5 4" xfId="52426" xr:uid="{CDF254D8-9DAD-4ECF-B021-E17A37C80A47}"/>
    <cellStyle name="Komma 4 3 2 5 5" xfId="55442" xr:uid="{AFBD0216-8B08-48FC-AA6F-1B0B08D5F314}"/>
    <cellStyle name="Komma 4 3 2 5 6" xfId="19356" xr:uid="{27E70F3E-A456-466F-9998-AD38BB15EA8C}"/>
    <cellStyle name="Komma 4 3 2 6" xfId="12506" xr:uid="{00D87EA5-CA0C-40B3-A775-B7FE4A461174}"/>
    <cellStyle name="Komma 4 3 2 6 2" xfId="32430" xr:uid="{F5D8C3A4-BE77-4F78-B60B-7D18CC21D956}"/>
    <cellStyle name="Komma 4 3 2 6 3" xfId="50995" xr:uid="{AAA07EB3-93D2-4F98-9042-EE315B09F05B}"/>
    <cellStyle name="Komma 4 3 2 6 4" xfId="54011" xr:uid="{D5A1AA3A-F348-47D0-A3CA-1DC998D73E74}"/>
    <cellStyle name="Komma 4 3 2 6 5" xfId="21926" xr:uid="{74AD859C-3D7A-4DF5-BAA4-CF3D3068DC67}"/>
    <cellStyle name="Komma 4 3 2 7" xfId="23905" xr:uid="{488E1703-90F3-4C6F-992E-0C1342D4B204}"/>
    <cellStyle name="Komma 4 3 2 8" xfId="46615" xr:uid="{8D9F79D1-855F-44CC-9447-9D744DEE12F3}"/>
    <cellStyle name="Komma 4 3 2 9" xfId="48754" xr:uid="{11134733-0982-44C5-B67F-FA029995A19C}"/>
    <cellStyle name="Komma 4 3 3" xfId="10120" xr:uid="{EC8DEA9E-9018-4B4F-81EE-C9841B9D6D0A}"/>
    <cellStyle name="Komma 4 3 3 10" xfId="49662" xr:uid="{BFF18DD6-8DC8-49FE-BEA5-1F3E5BC9C937}"/>
    <cellStyle name="Komma 4 3 3 11" xfId="49942" xr:uid="{4C6BABE0-317E-48BB-9062-4BF3D00DAEAB}"/>
    <cellStyle name="Komma 4 3 3 12" xfId="52958" xr:uid="{BA5276F8-E76C-49A0-8FDE-7A7AC11FDB1F}"/>
    <cellStyle name="Komma 4 3 3 13" xfId="18792" xr:uid="{745EA105-E34A-45F2-9762-EEC76F4497E7}"/>
    <cellStyle name="Komma 4 3 3 2" xfId="10433" xr:uid="{767CA34D-3698-4ABA-9FE8-BB052ED014D7}"/>
    <cellStyle name="Komma 4 3 3 2 10" xfId="50154" xr:uid="{BD8FAD49-EFA1-4321-9B83-AD5664056D90}"/>
    <cellStyle name="Komma 4 3 3 2 11" xfId="53170" xr:uid="{285633BF-6297-4430-A624-96E422A3DA36}"/>
    <cellStyle name="Komma 4 3 3 2 12" xfId="18949" xr:uid="{A967EF1B-A573-47FC-BF31-31794F61D98D}"/>
    <cellStyle name="Komma 4 3 3 2 2" xfId="14852" xr:uid="{F2BA651A-29CE-4BB6-B99D-82C921A8D86C}"/>
    <cellStyle name="Komma 4 3 3 2 2 2" xfId="22399" xr:uid="{184FC7A8-E93E-4902-A802-57930478EFB4}"/>
    <cellStyle name="Komma 4 3 3 2 2 3" xfId="47932" xr:uid="{DAC6EF20-8840-4482-838A-E087B93C154D}"/>
    <cellStyle name="Komma 4 3 3 2 2 4" xfId="51737" xr:uid="{BA9E00ED-92E9-435E-8FFD-FC7EA5F2B793}"/>
    <cellStyle name="Komma 4 3 3 2 2 5" xfId="54753" xr:uid="{5A724FBE-89E5-424B-9A51-E6C34C6858F9}"/>
    <cellStyle name="Komma 4 3 3 2 2 6" xfId="19144" xr:uid="{0BAF1E73-24DE-4E50-9413-D021C6180D71}"/>
    <cellStyle name="Komma 4 3 3 2 3" xfId="15337" xr:uid="{52A44BFC-532E-43FB-B925-3DA2946E1955}"/>
    <cellStyle name="Komma 4 3 3 2 3 2" xfId="22876" xr:uid="{D5662DF6-9582-46D4-9602-8EA73A72F7A7}"/>
    <cellStyle name="Komma 4 3 3 2 3 3" xfId="47940" xr:uid="{DFA8D57E-CF57-463F-BE30-93D54E0E0311}"/>
    <cellStyle name="Komma 4 3 3 2 3 4" xfId="52214" xr:uid="{E70AD4D0-58E0-4DF1-81C9-B42B2A3B13F8}"/>
    <cellStyle name="Komma 4 3 3 2 3 5" xfId="55230" xr:uid="{0AE3455C-50DE-4C0D-AA2D-01FA613EDFD8}"/>
    <cellStyle name="Komma 4 3 3 2 3 6" xfId="19287" xr:uid="{62CA6F68-3F37-451E-A96B-493FC7FFE7F7}"/>
    <cellStyle name="Komma 4 3 3 2 4" xfId="15824" xr:uid="{0835C5AA-0997-4A1A-B534-6F0EDDD1C093}"/>
    <cellStyle name="Komma 4 3 3 2 4 2" xfId="23353" xr:uid="{8F8837AE-0AA4-43B9-85E8-62F3F074DFC8}"/>
    <cellStyle name="Komma 4 3 3 2 4 3" xfId="48311" xr:uid="{195BD049-C596-4BBC-8B0E-B8DD1BF7E2B9}"/>
    <cellStyle name="Komma 4 3 3 2 4 4" xfId="52691" xr:uid="{5349AAED-A766-4D14-92D2-E103B5FBB308}"/>
    <cellStyle name="Komma 4 3 3 2 4 5" xfId="55707" xr:uid="{C58AEEF1-3BE4-4DB2-BC12-AF8DA83EF2A9}"/>
    <cellStyle name="Komma 4 3 3 2 4 6" xfId="19432" xr:uid="{C595A021-A3A6-465F-926B-9D6FA27C8F21}"/>
    <cellStyle name="Komma 4 3 3 2 5" xfId="12886" xr:uid="{B904B640-216F-4921-AB13-EA7D801EF7F2}"/>
    <cellStyle name="Komma 4 3 3 2 5 2" xfId="46805" xr:uid="{B66F10CD-D863-44FA-A7DE-6437612BBF4A}"/>
    <cellStyle name="Komma 4 3 3 2 5 3" xfId="51260" xr:uid="{8B7BE68D-6CDD-4C18-8130-F0BE733EB42A}"/>
    <cellStyle name="Komma 4 3 3 2 5 4" xfId="54276" xr:uid="{5F204EDE-09EE-41F2-A238-6C765E3BAFDE}"/>
    <cellStyle name="Komma 4 3 3 2 5 5" xfId="22002" xr:uid="{9E82607A-03D7-4184-A2F9-0C2EEE3062A9}"/>
    <cellStyle name="Komma 4 3 3 2 6" xfId="23908" xr:uid="{A2950937-A937-4729-8CB4-4AD428817D5B}"/>
    <cellStyle name="Komma 4 3 3 2 7" xfId="25371" xr:uid="{C9289F20-BCDE-4A83-9572-57949AB78246}"/>
    <cellStyle name="Komma 4 3 3 2 8" xfId="48757" xr:uid="{376F5885-E709-4670-B7AD-B1FE04A0260E}"/>
    <cellStyle name="Komma 4 3 3 2 9" xfId="49663" xr:uid="{6E0120D5-EF29-4309-9941-1A9657196A82}"/>
    <cellStyle name="Komma 4 3 3 3" xfId="14640" xr:uid="{F16CB047-2EB0-4E78-8919-E3CEE6606EDE}"/>
    <cellStyle name="Komma 4 3 3 3 2" xfId="22187" xr:uid="{8A9389EB-40E8-4736-BC98-8B0F24D8CE43}"/>
    <cellStyle name="Komma 4 3 3 3 3" xfId="48535" xr:uid="{017A8466-260C-4490-B7BF-F42B66A01343}"/>
    <cellStyle name="Komma 4 3 3 3 4" xfId="51525" xr:uid="{B912A841-743C-4C13-A562-1469F879B6FD}"/>
    <cellStyle name="Komma 4 3 3 3 5" xfId="54541" xr:uid="{20981FF3-F7D0-4AA9-8A40-7182C7F884BF}"/>
    <cellStyle name="Komma 4 3 3 3 6" xfId="19084" xr:uid="{ECCE479E-F693-4821-BCD3-4627BA3102C6}"/>
    <cellStyle name="Komma 4 3 3 4" xfId="15125" xr:uid="{75211547-66C6-4841-ACA2-93075A00C990}"/>
    <cellStyle name="Komma 4 3 3 4 2" xfId="22664" xr:uid="{10773C37-8499-4B9A-AAA1-1134E57F1705}"/>
    <cellStyle name="Komma 4 3 3 4 3" xfId="47489" xr:uid="{3E753596-46EF-42A4-94D2-3C11090FFAB2}"/>
    <cellStyle name="Komma 4 3 3 4 4" xfId="52002" xr:uid="{B10C731E-98D4-4A63-AEC6-43CDD881F61A}"/>
    <cellStyle name="Komma 4 3 3 4 5" xfId="55018" xr:uid="{089DDF7C-3689-419E-9FED-C953E9E60996}"/>
    <cellStyle name="Komma 4 3 3 4 6" xfId="19227" xr:uid="{BC7C1FF4-5B6B-4C87-8C9E-6451568F0B97}"/>
    <cellStyle name="Komma 4 3 3 5" xfId="15612" xr:uid="{BBD5C2A0-39BA-43BF-B6B7-ED806D3BF9D7}"/>
    <cellStyle name="Komma 4 3 3 5 2" xfId="23141" xr:uid="{8D91A543-86F5-492D-9379-69B6DD4CF0D5}"/>
    <cellStyle name="Komma 4 3 3 5 3" xfId="47130" xr:uid="{4167EB44-CF1E-402A-87E1-DD3DE3D5DCAC}"/>
    <cellStyle name="Komma 4 3 3 5 4" xfId="52479" xr:uid="{AC94D1D8-DA60-44F7-97B2-AD736A05EC8B}"/>
    <cellStyle name="Komma 4 3 3 5 5" xfId="55495" xr:uid="{83095687-17D4-4C27-8FFC-8A915DBDEACF}"/>
    <cellStyle name="Komma 4 3 3 5 6" xfId="19372" xr:uid="{4727A35B-AA3C-47AC-9E57-FCA0F2F876E3}"/>
    <cellStyle name="Komma 4 3 3 6" xfId="12577" xr:uid="{CF1FFC5D-A6DE-4229-B64D-5CB095FAC222}"/>
    <cellStyle name="Komma 4 3 3 6 2" xfId="48437" xr:uid="{5E010F44-DCBF-4509-8519-6DAD4E6DE24E}"/>
    <cellStyle name="Komma 4 3 3 6 3" xfId="51048" xr:uid="{267265C4-4969-45E4-A284-82E6DCD49FAA}"/>
    <cellStyle name="Komma 4 3 3 6 4" xfId="54064" xr:uid="{AF778104-BB1C-4EA5-9EBD-33B4086002A4}"/>
    <cellStyle name="Komma 4 3 3 6 5" xfId="21942" xr:uid="{5C8F8934-4D51-4E10-9B4D-A6F6801CE4A0}"/>
    <cellStyle name="Komma 4 3 3 7" xfId="23907" xr:uid="{D9644506-820D-48F5-BFC8-11879C656D13}"/>
    <cellStyle name="Komma 4 3 3 8" xfId="47358" xr:uid="{89EE4CBF-4B18-421E-9A0B-1CCBD67B83B0}"/>
    <cellStyle name="Komma 4 3 3 9" xfId="48756" xr:uid="{09802B0F-2A1E-43A0-8101-2677916A6E96}"/>
    <cellStyle name="Komma 4 3 4" xfId="10199" xr:uid="{FFE25BD8-7B8C-4433-9590-15E03D922053}"/>
    <cellStyle name="Komma 4 3 4 10" xfId="49664" xr:uid="{852BF6D0-9AA1-4C99-8810-1A2341B49EBF}"/>
    <cellStyle name="Komma 4 3 4 11" xfId="49995" xr:uid="{DE43C7E4-E4DC-47DB-849A-416720189E60}"/>
    <cellStyle name="Komma 4 3 4 12" xfId="53011" xr:uid="{97E3393A-5EE6-4D66-88F8-C44E6C0A2FCA}"/>
    <cellStyle name="Komma 4 3 4 13" xfId="18830" xr:uid="{B4ED5068-5B2D-420C-AEB8-ED0F7348C38F}"/>
    <cellStyle name="Komma 4 3 4 2" xfId="10513" xr:uid="{FD45994B-7D7A-45E2-AA1F-6850B3C82B25}"/>
    <cellStyle name="Komma 4 3 4 2 2" xfId="14905" xr:uid="{F929BA9A-E4A3-447D-9D82-E3B1195CFE6D}"/>
    <cellStyle name="Komma 4 3 4 2 2 2" xfId="22452" xr:uid="{5CF39FAC-1BB7-46BE-8DCC-09880AD705B4}"/>
    <cellStyle name="Komma 4 3 4 2 2 3" xfId="47835" xr:uid="{C19C5134-2311-48BB-B56C-2EE1A283F42E}"/>
    <cellStyle name="Komma 4 3 4 2 2 4" xfId="51790" xr:uid="{3A8CDAF6-0F8A-4300-B797-31BB1B0EA36E}"/>
    <cellStyle name="Komma 4 3 4 2 2 5" xfId="54806" xr:uid="{7D0FAFA9-2317-433F-B344-1F9DABA4D602}"/>
    <cellStyle name="Komma 4 3 4 2 2 6" xfId="19159" xr:uid="{D96C498B-D495-42E7-BD9F-012CF274CCFA}"/>
    <cellStyle name="Komma 4 3 4 2 3" xfId="15390" xr:uid="{2D0B3D37-1502-4032-B814-D79EACA77645}"/>
    <cellStyle name="Komma 4 3 4 2 3 2" xfId="22929" xr:uid="{5D6DAA95-812E-4F17-8CD0-7BFDA6A07C04}"/>
    <cellStyle name="Komma 4 3 4 2 3 3" xfId="47785" xr:uid="{2DF2CF90-CFC6-4DF3-A5E9-8BB5EECB0E4D}"/>
    <cellStyle name="Komma 4 3 4 2 3 4" xfId="52267" xr:uid="{96353291-C64D-44EF-932A-0B6196BFDF1F}"/>
    <cellStyle name="Komma 4 3 4 2 3 5" xfId="55283" xr:uid="{47CEDA92-F787-45A5-A8BD-7D6971EBDAA9}"/>
    <cellStyle name="Komma 4 3 4 2 3 6" xfId="19302" xr:uid="{F42BE17F-8D5D-401B-89C8-2121D9C52171}"/>
    <cellStyle name="Komma 4 3 4 2 4" xfId="15877" xr:uid="{110F47AE-1776-4422-9480-5A96B0FF0C3F}"/>
    <cellStyle name="Komma 4 3 4 2 4 2" xfId="23406" xr:uid="{AF192894-C751-41CF-AA5C-F61B309982B5}"/>
    <cellStyle name="Komma 4 3 4 2 4 3" xfId="47272" xr:uid="{8F7DCBFB-CB28-46C5-8B28-1F6C500DD3CB}"/>
    <cellStyle name="Komma 4 3 4 2 4 4" xfId="52744" xr:uid="{2C4ADE73-E485-4AD3-949C-B8A27B0A477F}"/>
    <cellStyle name="Komma 4 3 4 2 4 5" xfId="55760" xr:uid="{700033AD-641B-4720-A6EF-BD1939C5F426}"/>
    <cellStyle name="Komma 4 3 4 2 4 6" xfId="19447" xr:uid="{E4B897D6-4E00-41D4-A4B9-B877D860AAA7}"/>
    <cellStyle name="Komma 4 3 4 2 5" xfId="12966" xr:uid="{F27CC4DC-BA97-4442-9096-5B37889F8873}"/>
    <cellStyle name="Komma 4 3 4 2 5 2" xfId="47024" xr:uid="{6101560B-8093-447E-B29B-BD30FB014B01}"/>
    <cellStyle name="Komma 4 3 4 2 5 3" xfId="51313" xr:uid="{7C805E8F-A7F6-425F-9A25-CFC96DC0726B}"/>
    <cellStyle name="Komma 4 3 4 2 5 4" xfId="54329" xr:uid="{955178CC-6C1B-4E89-BFCC-CD3B087563E0}"/>
    <cellStyle name="Komma 4 3 4 2 5 5" xfId="22017" xr:uid="{35047775-C6FB-4580-A0AF-2CC70BC945A1}"/>
    <cellStyle name="Komma 4 3 4 2 6" xfId="48029" xr:uid="{AC7431A3-F13B-4066-8CA8-76CDC2ED1BA0}"/>
    <cellStyle name="Komma 4 3 4 2 7" xfId="50207" xr:uid="{C68862BE-DB3E-4BA9-B837-C82C15938D37}"/>
    <cellStyle name="Komma 4 3 4 2 8" xfId="53223" xr:uid="{E7A2C9B9-A731-4355-9E3E-50338FC1380A}"/>
    <cellStyle name="Komma 4 3 4 2 9" xfId="18991" xr:uid="{6675602D-C28C-46F6-953B-4397A8BA79FD}"/>
    <cellStyle name="Komma 4 3 4 3" xfId="14693" xr:uid="{1857FEC0-7838-4ACF-A57E-2C6450A0EF88}"/>
    <cellStyle name="Komma 4 3 4 3 2" xfId="22240" xr:uid="{2CA8D4B3-4987-4F66-B6AA-B10BD0230495}"/>
    <cellStyle name="Komma 4 3 4 3 3" xfId="46849" xr:uid="{3E9E52DD-8C14-4B62-938C-EFC9283D9DD4}"/>
    <cellStyle name="Komma 4 3 4 3 4" xfId="51578" xr:uid="{9F48CA27-D654-4F23-BC51-71CF8C06F44A}"/>
    <cellStyle name="Komma 4 3 4 3 5" xfId="54594" xr:uid="{D0D8BDB2-2666-442B-B3DD-6B4AA0FB9186}"/>
    <cellStyle name="Komma 4 3 4 3 6" xfId="19099" xr:uid="{1E7F0E09-710D-44C7-857F-B629B598776A}"/>
    <cellStyle name="Komma 4 3 4 4" xfId="15178" xr:uid="{9A25018C-C247-43A0-B3E5-8E98E73613B7}"/>
    <cellStyle name="Komma 4 3 4 4 2" xfId="22717" xr:uid="{4D70611F-8E7F-4AC4-AD5E-CCD0BA8FB91C}"/>
    <cellStyle name="Komma 4 3 4 4 3" xfId="34005" xr:uid="{72D342EA-4D89-43F5-9905-790C415DF0D1}"/>
    <cellStyle name="Komma 4 3 4 4 4" xfId="52055" xr:uid="{3661E6C1-A382-4B80-82DE-72379F13CD67}"/>
    <cellStyle name="Komma 4 3 4 4 5" xfId="55071" xr:uid="{14EF1C87-82C4-4169-967B-5B3B902E863A}"/>
    <cellStyle name="Komma 4 3 4 4 6" xfId="19242" xr:uid="{97D338B0-D09C-4CD2-AABD-6BA99546C21E}"/>
    <cellStyle name="Komma 4 3 4 5" xfId="15665" xr:uid="{7D8EF635-44A6-4A6C-B138-BE986F31BB3A}"/>
    <cellStyle name="Komma 4 3 4 5 2" xfId="23194" xr:uid="{C538640B-A49D-47A4-97BE-A84ADAFD31AC}"/>
    <cellStyle name="Komma 4 3 4 5 3" xfId="47351" xr:uid="{BD7F30E0-0168-4872-AE91-0A2C1713AFB0}"/>
    <cellStyle name="Komma 4 3 4 5 4" xfId="52532" xr:uid="{D3A4EBFC-F1DE-4196-8E71-5873F54531D2}"/>
    <cellStyle name="Komma 4 3 4 5 5" xfId="55548" xr:uid="{7C04D039-C38E-45E9-AF60-357EF622B694}"/>
    <cellStyle name="Komma 4 3 4 5 6" xfId="19387" xr:uid="{C9169416-E6F5-4E44-BF28-D3CBEC9F3E3D}"/>
    <cellStyle name="Komma 4 3 4 6" xfId="12653" xr:uid="{1A5B3113-331B-4344-88B8-27B2065D45CF}"/>
    <cellStyle name="Komma 4 3 4 6 2" xfId="46337" xr:uid="{C393A987-5888-41D8-B5DE-E09B91DF08BD}"/>
    <cellStyle name="Komma 4 3 4 6 3" xfId="51101" xr:uid="{4E5BE1F9-D93D-4B48-A3BA-3B0A2978B4BF}"/>
    <cellStyle name="Komma 4 3 4 6 4" xfId="54117" xr:uid="{B438298C-699F-470E-84E6-56EC83F711C2}"/>
    <cellStyle name="Komma 4 3 4 6 5" xfId="21957" xr:uid="{249D1CE9-654C-41AA-A8B4-8DCD02B77ED8}"/>
    <cellStyle name="Komma 4 3 4 7" xfId="23909" xr:uid="{CB52463B-7A9D-4680-BD19-49B5151AA7E5}"/>
    <cellStyle name="Komma 4 3 4 8" xfId="47359" xr:uid="{72D0DD26-DD12-45CA-B00A-97BB603AD8D4}"/>
    <cellStyle name="Komma 4 3 4 9" xfId="48758" xr:uid="{8D82B41E-38CE-4A36-8CFC-B7F5F0AD2E04}"/>
    <cellStyle name="Komma 4 3 5" xfId="10279" xr:uid="{3E36742E-7F3A-419C-9922-8E5EF577635E}"/>
    <cellStyle name="Komma 4 3 5 10" xfId="50048" xr:uid="{CCB3DE6B-1399-4C28-8A07-05FAF17DE0C8}"/>
    <cellStyle name="Komma 4 3 5 11" xfId="53064" xr:uid="{64FC3897-75A7-4846-A2B5-265C79BA0503}"/>
    <cellStyle name="Komma 4 3 5 12" xfId="18871" xr:uid="{45F2D56A-9997-4F75-A31B-9035BDE8B6F4}"/>
    <cellStyle name="Komma 4 3 5 2" xfId="14746" xr:uid="{DDFBB61F-8AC9-4AC2-89A0-94614619E85B}"/>
    <cellStyle name="Komma 4 3 5 2 2" xfId="22293" xr:uid="{5D7B4A54-901D-4CC0-B731-67ABEE74F3EA}"/>
    <cellStyle name="Komma 4 3 5 2 3" xfId="24189" xr:uid="{BBF3FDC8-6A15-4102-A058-7B99559CD110}"/>
    <cellStyle name="Komma 4 3 5 2 4" xfId="51631" xr:uid="{D5485A2C-4826-445C-927C-B121B7850086}"/>
    <cellStyle name="Komma 4 3 5 2 5" xfId="54647" xr:uid="{9C98B795-422F-4226-A0D3-FA0E6B7C6D7D}"/>
    <cellStyle name="Komma 4 3 5 2 6" xfId="19114" xr:uid="{F9685FCC-1726-48A8-8C86-5026AF2E4C32}"/>
    <cellStyle name="Komma 4 3 5 3" xfId="15231" xr:uid="{C778D44A-2EEF-4C12-B918-C7C2656C14B5}"/>
    <cellStyle name="Komma 4 3 5 3 2" xfId="22770" xr:uid="{A0DC2B4E-C196-43F9-8497-34E2E855CFB3}"/>
    <cellStyle name="Komma 4 3 5 3 3" xfId="48511" xr:uid="{89C937DE-1CA8-433B-92DE-FDD9F06469FC}"/>
    <cellStyle name="Komma 4 3 5 3 4" xfId="52108" xr:uid="{243CD937-9D23-445F-BE21-195CDFE58FDE}"/>
    <cellStyle name="Komma 4 3 5 3 5" xfId="55124" xr:uid="{C9237C17-E868-4D21-A6E4-5B127DAAA2DD}"/>
    <cellStyle name="Komma 4 3 5 3 6" xfId="19257" xr:uid="{CCE50BB2-8C8D-4B54-B8E1-A1CDBE2DDA58}"/>
    <cellStyle name="Komma 4 3 5 4" xfId="15718" xr:uid="{EC09A295-28BF-4196-86ED-6421FA514898}"/>
    <cellStyle name="Komma 4 3 5 4 2" xfId="23247" xr:uid="{93028018-5509-4844-A2BA-1E4C2947D27D}"/>
    <cellStyle name="Komma 4 3 5 4 3" xfId="47352" xr:uid="{B53D897B-70C7-4ADE-B3E2-F7C6D13C63BB}"/>
    <cellStyle name="Komma 4 3 5 4 4" xfId="52585" xr:uid="{307A94F4-3CAE-4806-A3CF-DFB52A2D4B2A}"/>
    <cellStyle name="Komma 4 3 5 4 5" xfId="55601" xr:uid="{0C7B67E6-0FC6-434B-BAE0-667FAFA2C057}"/>
    <cellStyle name="Komma 4 3 5 4 6" xfId="19402" xr:uid="{2166B9B5-F913-4426-8AAC-F394FA0A8B06}"/>
    <cellStyle name="Komma 4 3 5 5" xfId="12732" xr:uid="{4E0E3301-98C0-48E6-8FC7-7435BBD56ADA}"/>
    <cellStyle name="Komma 4 3 5 5 2" xfId="47739" xr:uid="{8F27A20C-CEBA-4AE0-A232-1B5415ABA0BE}"/>
    <cellStyle name="Komma 4 3 5 5 3" xfId="51154" xr:uid="{56AB2DE6-AD84-47B0-BF89-69360D5C38B7}"/>
    <cellStyle name="Komma 4 3 5 5 4" xfId="54170" xr:uid="{924970A0-2FDD-4CEA-8912-A8F81AA1A89D}"/>
    <cellStyle name="Komma 4 3 5 5 5" xfId="21972" xr:uid="{EEE1CDF7-131A-44C3-8C1D-DD06A11B0F1A}"/>
    <cellStyle name="Komma 4 3 5 6" xfId="23910" xr:uid="{B7F6F5BA-6911-4366-AFE6-E356A0691F55}"/>
    <cellStyle name="Komma 4 3 5 7" xfId="24275" xr:uid="{63796409-D15D-4B2B-AD66-D7324D682A67}"/>
    <cellStyle name="Komma 4 3 5 8" xfId="48759" xr:uid="{4CDDDCB9-009A-4082-9480-37FCADB43911}"/>
    <cellStyle name="Komma 4 3 5 9" xfId="49665" xr:uid="{E37F823D-877B-4E6D-96E8-482BCB5BE0A7}"/>
    <cellStyle name="Komma 4 3 6" xfId="10593" xr:uid="{BE229392-E876-472A-87D4-ACFEDCC2A646}"/>
    <cellStyle name="Komma 4 3 6 2" xfId="14958" xr:uid="{3C88C620-F8D8-4E91-B088-D83B0D9C2294}"/>
    <cellStyle name="Komma 4 3 6 2 2" xfId="22505" xr:uid="{A9B6E1A7-DD0A-4B7B-9241-6A2E59DB5DF4}"/>
    <cellStyle name="Komma 4 3 6 2 3" xfId="46460" xr:uid="{39F5B90F-65CB-4279-9D66-78F954095C3C}"/>
    <cellStyle name="Komma 4 3 6 2 4" xfId="51843" xr:uid="{0E44F247-F05A-4B06-993D-9FD50FB2D051}"/>
    <cellStyle name="Komma 4 3 6 2 5" xfId="54859" xr:uid="{D7E42EAF-652B-4F5E-B6E5-D590DF672040}"/>
    <cellStyle name="Komma 4 3 6 2 6" xfId="19174" xr:uid="{15590748-E9FC-419E-910C-228CB06E0F48}"/>
    <cellStyle name="Komma 4 3 6 3" xfId="15443" xr:uid="{CB48F617-95BA-4764-9CEE-6452EFEF3EB1}"/>
    <cellStyle name="Komma 4 3 6 3 2" xfId="22982" xr:uid="{C0E1D89A-D09C-48F1-B46A-91D1315E1F7A}"/>
    <cellStyle name="Komma 4 3 6 3 3" xfId="47786" xr:uid="{D3861688-7CBE-4F22-9B3A-C2991CD4ABC3}"/>
    <cellStyle name="Komma 4 3 6 3 4" xfId="52320" xr:uid="{B9E124BF-9B20-4AC6-863D-549D55324792}"/>
    <cellStyle name="Komma 4 3 6 3 5" xfId="55336" xr:uid="{6B532B1D-E7DB-49D5-8E0B-68217299C951}"/>
    <cellStyle name="Komma 4 3 6 3 6" xfId="19317" xr:uid="{E5F1B862-534F-431D-B8D5-6F7F00279497}"/>
    <cellStyle name="Komma 4 3 6 4" xfId="15931" xr:uid="{A09C287A-03B8-4EB0-AE9F-34CCEEEC0BAB}"/>
    <cellStyle name="Komma 4 3 6 4 2" xfId="23459" xr:uid="{E75AF667-F16E-4A49-84A3-2ECC322C1938}"/>
    <cellStyle name="Komma 4 3 6 4 3" xfId="46984" xr:uid="{DD44E84B-5672-4199-B398-623901C41286}"/>
    <cellStyle name="Komma 4 3 6 4 4" xfId="52797" xr:uid="{E110239D-7FEF-4D8E-B373-2E1AA1393AD5}"/>
    <cellStyle name="Komma 4 3 6 4 5" xfId="55813" xr:uid="{B4076FE6-4C4E-471B-8757-8869EFCAF06D}"/>
    <cellStyle name="Komma 4 3 6 4 6" xfId="19463" xr:uid="{4C94ACFC-1F77-4058-9AF7-F5F7E19E61A6}"/>
    <cellStyle name="Komma 4 3 6 5" xfId="13046" xr:uid="{9C7A3DAC-683C-40B3-996D-C66D44F47B7C}"/>
    <cellStyle name="Komma 4 3 6 5 2" xfId="46386" xr:uid="{B2B6FD45-18F7-4497-8CCC-5AD47EAC0A63}"/>
    <cellStyle name="Komma 4 3 6 5 3" xfId="51366" xr:uid="{CE83EA9D-5F20-4FA4-BE07-FEA279F30080}"/>
    <cellStyle name="Komma 4 3 6 5 4" xfId="54382" xr:uid="{42C9B482-78C6-45EF-843A-257D6D4A0453}"/>
    <cellStyle name="Komma 4 3 6 5 5" xfId="22032" xr:uid="{84C92574-1AF1-46E5-9E26-98CD1A9ED57E}"/>
    <cellStyle name="Komma 4 3 6 6" xfId="47142" xr:uid="{083C109A-739C-4175-84B6-0E7FC9393904}"/>
    <cellStyle name="Komma 4 3 6 7" xfId="50260" xr:uid="{BFF00D49-83F3-47D7-B528-6EBF5EDAF65D}"/>
    <cellStyle name="Komma 4 3 6 8" xfId="53276" xr:uid="{50EC8A39-D93F-4DAA-B504-AC60AC0160DF}"/>
    <cellStyle name="Komma 4 3 6 9" xfId="19033" xr:uid="{5A32F212-21A5-4C90-8665-A2670879BD13}"/>
    <cellStyle name="Komma 4 3 7" xfId="14534" xr:uid="{81DED184-4EF0-43D9-B9B3-87068C9E49DE}"/>
    <cellStyle name="Komma 4 3 7 2" xfId="22081" xr:uid="{265AA8E7-A30E-45E6-8A12-3B762B2611D3}"/>
    <cellStyle name="Komma 4 3 7 3" xfId="24983" xr:uid="{6442F5BD-8E18-47BD-93F4-04342E96977C}"/>
    <cellStyle name="Komma 4 3 7 4" xfId="51419" xr:uid="{9DBA3DA0-E8E0-48ED-ACFD-F17390321B8A}"/>
    <cellStyle name="Komma 4 3 7 5" xfId="54435" xr:uid="{C8B06FFE-7A3C-4753-AB4E-45C08F7F92F8}"/>
    <cellStyle name="Komma 4 3 7 6" xfId="19054" xr:uid="{A565F2DB-E026-43F9-97C7-423F09C20DCB}"/>
    <cellStyle name="Komma 4 3 8" xfId="15018" xr:uid="{CDD741AF-B330-4B25-A9BB-7214509EF23E}"/>
    <cellStyle name="Komma 4 3 8 2" xfId="22558" xr:uid="{FD82F886-B684-482F-B716-AE90FB319FF7}"/>
    <cellStyle name="Komma 4 3 8 3" xfId="46610" xr:uid="{6B5DF50F-D77B-4E3D-901F-181F2D072F7C}"/>
    <cellStyle name="Komma 4 3 8 4" xfId="51896" xr:uid="{7F5CED1D-1A45-4D76-8F82-F2BC18C8930B}"/>
    <cellStyle name="Komma 4 3 8 5" xfId="54912" xr:uid="{85508994-C551-44F5-AC36-98A26A04C561}"/>
    <cellStyle name="Komma 4 3 8 6" xfId="19196" xr:uid="{22C02D38-71B1-4E44-9803-12CBF1B8BD3E}"/>
    <cellStyle name="Komma 4 3 9" xfId="15505" xr:uid="{45931543-A2AA-4220-805A-DD8DD55D3AEC}"/>
    <cellStyle name="Komma 4 3 9 2" xfId="23035" xr:uid="{35CD4D99-F374-4E86-A4E5-4BD4862FCB91}"/>
    <cellStyle name="Komma 4 3 9 3" xfId="47942" xr:uid="{D7239F30-D81C-4463-B9CE-19481CAA8526}"/>
    <cellStyle name="Komma 4 3 9 4" xfId="52373" xr:uid="{847E20EA-A4D9-49A6-B53B-6AEE4E147476}"/>
    <cellStyle name="Komma 4 3 9 5" xfId="55389" xr:uid="{8440DF02-F7FF-4C44-8476-F0D82AEE50B5}"/>
    <cellStyle name="Komma 4 3 9 6" xfId="19341" xr:uid="{077936CF-C523-44D4-9D3B-2BC816E5A76B}"/>
    <cellStyle name="Komma 4 4" xfId="10043" xr:uid="{87262027-483F-4F49-8EE3-BA5D22C4BBD4}"/>
    <cellStyle name="Komma 4 4 10" xfId="49666" xr:uid="{817F06B6-4F8B-44C1-98E5-CF42E586BD5F}"/>
    <cellStyle name="Komma 4 4 11" xfId="49886" xr:uid="{69DDE406-0374-41D1-BEDB-0097788500C9}"/>
    <cellStyle name="Komma 4 4 12" xfId="52902" xr:uid="{ED8888F9-C97B-4145-AFD7-533D74F3E729}"/>
    <cellStyle name="Komma 4 4 13" xfId="18756" xr:uid="{0540400E-0F62-45D9-AFD1-582EA1081022}"/>
    <cellStyle name="Komma 4 4 2" xfId="10351" xr:uid="{A86295B5-FD0D-4C48-992B-BF99D15F50E1}"/>
    <cellStyle name="Komma 4 4 2 10" xfId="50098" xr:uid="{07C529F3-A704-4CAA-8B2F-5EE97D1107A4}"/>
    <cellStyle name="Komma 4 4 2 11" xfId="53114" xr:uid="{832F5575-D2E0-4024-8BD2-C4FD7FD05FAA}"/>
    <cellStyle name="Komma 4 4 2 12" xfId="18905" xr:uid="{4FD75F26-49FD-446E-8311-A0D9E41B71EE}"/>
    <cellStyle name="Komma 4 4 2 2" xfId="14796" xr:uid="{7A0433F5-2460-4A6E-93E1-44D356A2F9B6}"/>
    <cellStyle name="Komma 4 4 2 2 2" xfId="22343" xr:uid="{68802A1B-097E-40CC-88E0-82CFA77C1C02}"/>
    <cellStyle name="Komma 4 4 2 2 3" xfId="24945" xr:uid="{58D961A0-05D5-4DC0-A253-BD9693ECCBA6}"/>
    <cellStyle name="Komma 4 4 2 2 4" xfId="51681" xr:uid="{1DECD374-718C-4AAE-8CF9-200597901497}"/>
    <cellStyle name="Komma 4 4 2 2 5" xfId="54697" xr:uid="{22B27B55-7FDB-461E-AE2A-5325EBA95B4D}"/>
    <cellStyle name="Komma 4 4 2 2 6" xfId="19126" xr:uid="{20139CFD-CDC7-4C8A-98E4-EEAC9A7C0D37}"/>
    <cellStyle name="Komma 4 4 2 3" xfId="15281" xr:uid="{F76589A1-E35B-422D-A354-DCBA877E618F}"/>
    <cellStyle name="Komma 4 4 2 3 2" xfId="22820" xr:uid="{589A575F-64B5-46EF-97A8-875D76B70650}"/>
    <cellStyle name="Komma 4 4 2 3 3" xfId="46508" xr:uid="{FFC40B01-2D52-452E-A4A1-4FA68D628166}"/>
    <cellStyle name="Komma 4 4 2 3 4" xfId="52158" xr:uid="{F51896A4-C45E-4218-82EB-D4204521936B}"/>
    <cellStyle name="Komma 4 4 2 3 5" xfId="55174" xr:uid="{8F6CE619-D0E0-4BB4-9FD4-E2DF4DC418C5}"/>
    <cellStyle name="Komma 4 4 2 3 6" xfId="19269" xr:uid="{A5EBCD12-C9FE-42ED-9860-C43362BAE449}"/>
    <cellStyle name="Komma 4 4 2 4" xfId="15768" xr:uid="{FFA459D5-9C0F-400B-992B-55B9D3E659F6}"/>
    <cellStyle name="Komma 4 4 2 4 2" xfId="23297" xr:uid="{9D3ABB00-FDC2-49B9-9B12-023AF391978B}"/>
    <cellStyle name="Komma 4 4 2 4 3" xfId="46582" xr:uid="{86E2467D-2F9B-438E-AA40-7D0C5C561AC4}"/>
    <cellStyle name="Komma 4 4 2 4 4" xfId="52635" xr:uid="{CFE33823-DBCE-4F16-B1A9-603A58A1EB9E}"/>
    <cellStyle name="Komma 4 4 2 4 5" xfId="55651" xr:uid="{90AAE060-9197-444C-B365-64A9E2068A49}"/>
    <cellStyle name="Komma 4 4 2 4 6" xfId="19414" xr:uid="{F90D2C1B-E5FE-4621-9FD1-43212B2D2928}"/>
    <cellStyle name="Komma 4 4 2 5" xfId="12804" xr:uid="{E6FEC178-FB72-4654-88F2-F7B64B27611F}"/>
    <cellStyle name="Komma 4 4 2 5 2" xfId="25049" xr:uid="{10638C0D-DE0A-4B4A-840D-CFC1562DFCC6}"/>
    <cellStyle name="Komma 4 4 2 5 3" xfId="51204" xr:uid="{20C616EA-41C7-4887-84D6-8D9BC02D90DD}"/>
    <cellStyle name="Komma 4 4 2 5 4" xfId="54220" xr:uid="{D5AD6FFB-CD93-4D66-A057-278B60C6AFF8}"/>
    <cellStyle name="Komma 4 4 2 5 5" xfId="21984" xr:uid="{17B81D7A-8A8B-44C2-9F4E-4B6E1D6F3E10}"/>
    <cellStyle name="Komma 4 4 2 6" xfId="23912" xr:uid="{BF58AD35-2BC1-46C5-AFB3-CB176A97402F}"/>
    <cellStyle name="Komma 4 4 2 7" xfId="24269" xr:uid="{46AC928D-0839-4ADA-9DBE-9F6969C75A7E}"/>
    <cellStyle name="Komma 4 4 2 8" xfId="48761" xr:uid="{E00BF121-912C-48AB-A727-17DFE4E3B07D}"/>
    <cellStyle name="Komma 4 4 2 9" xfId="49667" xr:uid="{6C5AFB12-196B-4DCF-8D36-00B2275D213E}"/>
    <cellStyle name="Komma 4 4 3" xfId="14584" xr:uid="{B1E224FA-E8B9-4CA7-A00D-45CBECB3B536}"/>
    <cellStyle name="Komma 4 4 3 2" xfId="22131" xr:uid="{9B2E6891-E20D-428A-9962-BA9DD362AD8C}"/>
    <cellStyle name="Komma 4 4 3 3" xfId="48500" xr:uid="{106887DB-1BD6-417A-92A6-73613F3A5E25}"/>
    <cellStyle name="Komma 4 4 3 4" xfId="51469" xr:uid="{DDAD0CBE-0359-42DD-AF78-E7F682A52F2A}"/>
    <cellStyle name="Komma 4 4 3 5" xfId="54485" xr:uid="{24B24C51-3470-45B7-8659-E0EA15010E0D}"/>
    <cellStyle name="Komma 4 4 3 6" xfId="19066" xr:uid="{D0347856-7161-4763-BA52-DA215BE51C62}"/>
    <cellStyle name="Komma 4 4 4" xfId="15068" xr:uid="{F70E0E60-4268-482A-920A-0473A6CA3288}"/>
    <cellStyle name="Komma 4 4 4 2" xfId="22608" xr:uid="{336FB25E-5704-48C1-8206-8C809DD41D7F}"/>
    <cellStyle name="Komma 4 4 4 3" xfId="47712" xr:uid="{76F6FD18-1D58-4FF6-86C3-5237BB7F1961}"/>
    <cellStyle name="Komma 4 4 4 4" xfId="51946" xr:uid="{B5466475-08C6-4C65-9FA2-24FE2BCFAF6F}"/>
    <cellStyle name="Komma 4 4 4 5" xfId="54962" xr:uid="{03744B36-3E33-4728-8962-BFE26F828ABB}"/>
    <cellStyle name="Komma 4 4 4 6" xfId="19208" xr:uid="{91BBCD3C-8273-413D-A845-9059605B0B90}"/>
    <cellStyle name="Komma 4 4 5" xfId="15555" xr:uid="{BE8F02CF-E6C7-420B-AA56-643ED58CAA01}"/>
    <cellStyle name="Komma 4 4 5 2" xfId="23085" xr:uid="{3AC7E4C8-A17A-4DE4-A309-32DFCAC98D35}"/>
    <cellStyle name="Komma 4 4 5 3" xfId="46550" xr:uid="{3F840DBB-7C0A-43EC-BCD3-61F3BB1B65E6}"/>
    <cellStyle name="Komma 4 4 5 4" xfId="52423" xr:uid="{DAED7B9A-1918-42F8-A7ED-03BABD13FD66}"/>
    <cellStyle name="Komma 4 4 5 5" xfId="55439" xr:uid="{38C6FA9F-D2ED-4DA9-B902-E09B7DE8120E}"/>
    <cellStyle name="Komma 4 4 5 6" xfId="19353" xr:uid="{AFE7E760-A291-4BD8-8F14-26DD560C65FA}"/>
    <cellStyle name="Komma 4 4 6" xfId="12503" xr:uid="{DF661303-695B-43C8-B672-5CE24B2FA196}"/>
    <cellStyle name="Komma 4 4 6 2" xfId="48488" xr:uid="{5079AD63-EFB0-4DC0-B827-437F9123ED94}"/>
    <cellStyle name="Komma 4 4 6 3" xfId="50992" xr:uid="{02C15979-7F79-48E3-8C37-0CB5D03E8816}"/>
    <cellStyle name="Komma 4 4 6 4" xfId="54008" xr:uid="{DB0C037C-977B-4985-8115-46C78BF0FD76}"/>
    <cellStyle name="Komma 4 4 6 5" xfId="21923" xr:uid="{AD4F39FD-399B-4A84-9A3D-5BC8B01EACD7}"/>
    <cellStyle name="Komma 4 4 7" xfId="23911" xr:uid="{12327B67-F115-4B54-9DF3-1B85E31B8ECD}"/>
    <cellStyle name="Komma 4 4 8" xfId="48446" xr:uid="{AEE954A6-B74E-44D0-97EB-977CF1E50628}"/>
    <cellStyle name="Komma 4 4 9" xfId="48760" xr:uid="{7053E83C-E655-4D2A-B5F7-FE271C257F02}"/>
    <cellStyle name="Komma 4 5" xfId="10117" xr:uid="{447A9350-2F88-40FF-9E7C-697E2E78DCE2}"/>
    <cellStyle name="Komma 4 5 10" xfId="49668" xr:uid="{68D454BF-3CE2-4B01-8831-554B8BFC511F}"/>
    <cellStyle name="Komma 4 5 11" xfId="49939" xr:uid="{2130BAE2-5BF2-4612-BCCF-B17D3C90C032}"/>
    <cellStyle name="Komma 4 5 12" xfId="52955" xr:uid="{C6524EC5-EEF8-407B-AC03-E0184C0E6D54}"/>
    <cellStyle name="Komma 4 5 13" xfId="18789" xr:uid="{D5398701-95EB-41E5-BBEE-A53C44A91605}"/>
    <cellStyle name="Komma 4 5 2" xfId="10430" xr:uid="{004998D4-4FB5-4DB6-8181-D590EEC5413A}"/>
    <cellStyle name="Komma 4 5 2 10" xfId="50151" xr:uid="{2B404ACB-9787-4F69-9F8B-6AE22AE2BC03}"/>
    <cellStyle name="Komma 4 5 2 11" xfId="53167" xr:uid="{FD190298-03C1-4ABB-9FE8-7AEA69926BAC}"/>
    <cellStyle name="Komma 4 5 2 12" xfId="18946" xr:uid="{96DF04B5-E92E-4B5F-AFD3-91C055B1FAF8}"/>
    <cellStyle name="Komma 4 5 2 2" xfId="14849" xr:uid="{29A5FC27-82D2-42CB-A4F3-E16DBDF40655}"/>
    <cellStyle name="Komma 4 5 2 2 2" xfId="22396" xr:uid="{D0B4AF17-2356-422A-803E-807D47FB0B12}"/>
    <cellStyle name="Komma 4 5 2 2 3" xfId="47242" xr:uid="{E833DED7-AC05-4045-95F5-FE769AAC28E9}"/>
    <cellStyle name="Komma 4 5 2 2 4" xfId="51734" xr:uid="{136B4A2C-E81E-46FE-83D4-F7C59D071D77}"/>
    <cellStyle name="Komma 4 5 2 2 5" xfId="54750" xr:uid="{CBEB692E-50B3-4CFD-9B45-FAB77927FC24}"/>
    <cellStyle name="Komma 4 5 2 2 6" xfId="19141" xr:uid="{619C3C06-B85C-4F6A-A52C-CA56B5542EA4}"/>
    <cellStyle name="Komma 4 5 2 3" xfId="15334" xr:uid="{ABFB07E4-0251-4C5B-9BE4-F604120EC270}"/>
    <cellStyle name="Komma 4 5 2 3 2" xfId="22873" xr:uid="{A9383452-0E49-415B-859D-5BED205461DB}"/>
    <cellStyle name="Komma 4 5 2 3 3" xfId="33356" xr:uid="{18596629-6AC8-4C25-BDC8-D31E81D969B1}"/>
    <cellStyle name="Komma 4 5 2 3 4" xfId="52211" xr:uid="{DB12C560-9A00-4484-B898-AB960A602483}"/>
    <cellStyle name="Komma 4 5 2 3 5" xfId="55227" xr:uid="{43EB2E01-7414-4677-8E44-85F9ABDFE7AC}"/>
    <cellStyle name="Komma 4 5 2 3 6" xfId="19284" xr:uid="{8B444263-00B2-46FF-BF2D-E136968AA171}"/>
    <cellStyle name="Komma 4 5 2 4" xfId="15821" xr:uid="{9677C238-D156-453D-A6A7-205894BA5D17}"/>
    <cellStyle name="Komma 4 5 2 4 2" xfId="23350" xr:uid="{CC5D3CCD-BA0C-4E15-AB79-807B4DEA7EF6}"/>
    <cellStyle name="Komma 4 5 2 4 3" xfId="47503" xr:uid="{1F071EEE-5664-408B-B766-732BBC636FF7}"/>
    <cellStyle name="Komma 4 5 2 4 4" xfId="52688" xr:uid="{DE773B4B-B2FB-4B67-8BF7-3FCC77817640}"/>
    <cellStyle name="Komma 4 5 2 4 5" xfId="55704" xr:uid="{85911DBE-358D-4440-B6E8-4164A9FE1279}"/>
    <cellStyle name="Komma 4 5 2 4 6" xfId="19429" xr:uid="{F4DD7D48-4BC5-4A07-835B-3575EA866BFD}"/>
    <cellStyle name="Komma 4 5 2 5" xfId="12883" xr:uid="{F0CE65A6-41BD-4447-B7D5-970492299706}"/>
    <cellStyle name="Komma 4 5 2 5 2" xfId="47099" xr:uid="{4C313EE5-9566-4E7D-B204-4F2694D5C03B}"/>
    <cellStyle name="Komma 4 5 2 5 3" xfId="51257" xr:uid="{9A18A736-B915-453C-AF06-E183531EF325}"/>
    <cellStyle name="Komma 4 5 2 5 4" xfId="54273" xr:uid="{5EA08585-1FB6-495B-B38F-468C7A678418}"/>
    <cellStyle name="Komma 4 5 2 5 5" xfId="21999" xr:uid="{BE0A7778-2DEB-4BC1-BBAE-ACA00BF9768A}"/>
    <cellStyle name="Komma 4 5 2 6" xfId="23914" xr:uid="{4CF437C2-3E30-4FE1-B9FE-58BF7DD25FCE}"/>
    <cellStyle name="Komma 4 5 2 7" xfId="47953" xr:uid="{27927A36-85D0-4152-9624-FFE48C98877D}"/>
    <cellStyle name="Komma 4 5 2 8" xfId="48763" xr:uid="{2465051C-D215-4A17-A3C8-3663433FF670}"/>
    <cellStyle name="Komma 4 5 2 9" xfId="49669" xr:uid="{2A0DC26C-0873-49B2-9FA9-6D87E436E0F2}"/>
    <cellStyle name="Komma 4 5 3" xfId="14637" xr:uid="{E375E389-AC58-415B-A1ED-C3F9D1C3C8DD}"/>
    <cellStyle name="Komma 4 5 3 2" xfId="22184" xr:uid="{2996D6B7-6EBB-42DE-9DF6-C0F1836F7346}"/>
    <cellStyle name="Komma 4 5 3 3" xfId="46677" xr:uid="{8FD09C30-A71E-4C38-949E-06B57D169ADE}"/>
    <cellStyle name="Komma 4 5 3 4" xfId="51522" xr:uid="{78C67732-D8D1-4803-9AD9-FC91010A14E9}"/>
    <cellStyle name="Komma 4 5 3 5" xfId="54538" xr:uid="{0852D11C-8027-4CBA-AE24-A1DA3BBF2781}"/>
    <cellStyle name="Komma 4 5 3 6" xfId="19081" xr:uid="{02FA40D1-FB79-41BB-9B8B-9E677EF2B02A}"/>
    <cellStyle name="Komma 4 5 4" xfId="15122" xr:uid="{E69D6014-859F-4B45-BB59-32BBEC1D6BB7}"/>
    <cellStyle name="Komma 4 5 4 2" xfId="22661" xr:uid="{121EBCDC-5AA9-4426-B3A4-8130B7358F53}"/>
    <cellStyle name="Komma 4 5 4 3" xfId="24910" xr:uid="{EA21FDCF-60C0-4AE5-B7C2-1218CCC0C0C0}"/>
    <cellStyle name="Komma 4 5 4 4" xfId="51999" xr:uid="{8A7E0C75-5A8A-4963-855B-E0238A95CFDF}"/>
    <cellStyle name="Komma 4 5 4 5" xfId="55015" xr:uid="{83F8DDE1-D390-4AC1-80F1-6622F5AB15C2}"/>
    <cellStyle name="Komma 4 5 4 6" xfId="19224" xr:uid="{6E398B50-C10D-418D-B5CE-A7CA6821C1DB}"/>
    <cellStyle name="Komma 4 5 5" xfId="15609" xr:uid="{F8885442-48FA-4816-A8E3-25C8ED92662A}"/>
    <cellStyle name="Komma 4 5 5 2" xfId="23138" xr:uid="{461E758F-D18C-41E5-82AE-9BD17855EEF5}"/>
    <cellStyle name="Komma 4 5 5 3" xfId="46945" xr:uid="{3F29AC16-55A3-4F74-9AA8-4DDB35F539DA}"/>
    <cellStyle name="Komma 4 5 5 4" xfId="52476" xr:uid="{18B491B5-BBF2-4218-8C7E-5B7BF1C6C3D8}"/>
    <cellStyle name="Komma 4 5 5 5" xfId="55492" xr:uid="{E58F077B-9252-498B-8C6B-DA9EB7115C6D}"/>
    <cellStyle name="Komma 4 5 5 6" xfId="19369" xr:uid="{84536A48-E171-4380-BC78-3B7AFE2B9365}"/>
    <cellStyle name="Komma 4 5 6" xfId="12574" xr:uid="{48DD8075-335A-42E3-B03D-10C927565331}"/>
    <cellStyle name="Komma 4 5 6 2" xfId="47805" xr:uid="{CA6022F8-7A57-4566-8DF5-E63C2A929EEB}"/>
    <cellStyle name="Komma 4 5 6 3" xfId="51045" xr:uid="{65C14C55-91A0-4EE3-AB67-BE654EAF72E4}"/>
    <cellStyle name="Komma 4 5 6 4" xfId="54061" xr:uid="{A722CD37-0F87-4E17-911F-29A1F4E1907E}"/>
    <cellStyle name="Komma 4 5 6 5" xfId="21939" xr:uid="{1E0DBBD5-1F45-4BB1-BEDC-61E0D36A0907}"/>
    <cellStyle name="Komma 4 5 7" xfId="23913" xr:uid="{FE966144-99FF-49C0-BCDA-BD219E84010D}"/>
    <cellStyle name="Komma 4 5 8" xfId="46616" xr:uid="{822F51DA-7547-46F1-B359-2EEB1F53C42C}"/>
    <cellStyle name="Komma 4 5 9" xfId="48762" xr:uid="{8DC4B57B-9387-4A94-9B33-547D76E5B67D}"/>
    <cellStyle name="Komma 4 6" xfId="10196" xr:uid="{6998AD83-B8BD-4C93-BA48-897C9A0EB99F}"/>
    <cellStyle name="Komma 4 6 10" xfId="49670" xr:uid="{CF317293-A848-4CAC-A00F-5D04F619482C}"/>
    <cellStyle name="Komma 4 6 11" xfId="49992" xr:uid="{E7EBA5B3-9115-483D-B4B6-16A8585908DE}"/>
    <cellStyle name="Komma 4 6 12" xfId="53008" xr:uid="{1B49EDC9-F18A-4124-AC4A-07C754052E88}"/>
    <cellStyle name="Komma 4 6 13" xfId="18827" xr:uid="{F6902E4B-C21C-4F88-A596-953ED6278F5C}"/>
    <cellStyle name="Komma 4 6 2" xfId="10510" xr:uid="{5E4EF090-FCCF-4B27-9642-B53697AC994E}"/>
    <cellStyle name="Komma 4 6 2 10" xfId="50204" xr:uid="{BB7E22A5-D61C-49D3-8024-B37D701EA7E3}"/>
    <cellStyle name="Komma 4 6 2 11" xfId="53220" xr:uid="{BC904157-37C0-47F8-809A-A2276AE28CE8}"/>
    <cellStyle name="Komma 4 6 2 12" xfId="18988" xr:uid="{724B0C8D-BD05-4718-AFEF-E15C250BB13D}"/>
    <cellStyle name="Komma 4 6 2 2" xfId="14902" xr:uid="{CFFFFD3A-4585-4D34-A2FD-4136123BE0F3}"/>
    <cellStyle name="Komma 4 6 2 2 2" xfId="22449" xr:uid="{35674CE4-FC87-4D60-A9B4-F2354F9D4DD6}"/>
    <cellStyle name="Komma 4 6 2 2 3" xfId="47933" xr:uid="{CEB3CEA1-0E8F-4243-92D8-670D47E93EA8}"/>
    <cellStyle name="Komma 4 6 2 2 4" xfId="51787" xr:uid="{738C5656-1B5E-41F8-AFDC-17FFF0C68969}"/>
    <cellStyle name="Komma 4 6 2 2 5" xfId="54803" xr:uid="{15FAA147-084B-4647-B072-2D12228A1BDA}"/>
    <cellStyle name="Komma 4 6 2 2 6" xfId="19156" xr:uid="{A7568486-3395-4FC8-B161-270A717DE525}"/>
    <cellStyle name="Komma 4 6 2 3" xfId="15387" xr:uid="{123F1125-FD4F-4EC1-A5AE-00726AE0FBD3}"/>
    <cellStyle name="Komma 4 6 2 3 2" xfId="22926" xr:uid="{F5DA49CF-6512-4F91-AC88-F90F5D254BDC}"/>
    <cellStyle name="Komma 4 6 2 3 3" xfId="48304" xr:uid="{711DA11C-F83F-4821-B51A-9133F96F96EB}"/>
    <cellStyle name="Komma 4 6 2 3 4" xfId="52264" xr:uid="{913C6F81-430A-4D0C-A5DE-572BAD83E4A3}"/>
    <cellStyle name="Komma 4 6 2 3 5" xfId="55280" xr:uid="{A9D88E15-4C86-447F-A965-3E949EFA9F6A}"/>
    <cellStyle name="Komma 4 6 2 3 6" xfId="19299" xr:uid="{CAE62EC0-3FBE-455E-AA54-6B1144345087}"/>
    <cellStyle name="Komma 4 6 2 4" xfId="15874" xr:uid="{C23CBA32-5556-4050-9A67-2138FBB711A6}"/>
    <cellStyle name="Komma 4 6 2 4 2" xfId="23403" xr:uid="{A9050C95-889D-4D9F-AC59-7D357F929E65}"/>
    <cellStyle name="Komma 4 6 2 4 3" xfId="47218" xr:uid="{91B9B7EB-6F58-4D3E-8DF9-0D1B29FC47AE}"/>
    <cellStyle name="Komma 4 6 2 4 4" xfId="52741" xr:uid="{2AD24B62-5C89-4791-B2D4-625235097E44}"/>
    <cellStyle name="Komma 4 6 2 4 5" xfId="55757" xr:uid="{B1989405-6ADE-444D-AD66-EAF10339EBBE}"/>
    <cellStyle name="Komma 4 6 2 4 6" xfId="19444" xr:uid="{AB924DF2-3C22-4396-96DB-86300743D725}"/>
    <cellStyle name="Komma 4 6 2 5" xfId="12963" xr:uid="{B1DE1930-53F4-45D0-B29D-33DCCAE95DF6}"/>
    <cellStyle name="Komma 4 6 2 5 2" xfId="33774" xr:uid="{39C19D08-7207-4DEB-9B6C-FE83632CDC57}"/>
    <cellStyle name="Komma 4 6 2 5 3" xfId="51310" xr:uid="{3E6F3DBB-BD52-4040-A0DD-92D0FAEE1C03}"/>
    <cellStyle name="Komma 4 6 2 5 4" xfId="54326" xr:uid="{1DB9B57C-6D40-4523-B61C-2C0CF8662A2D}"/>
    <cellStyle name="Komma 4 6 2 5 5" xfId="22014" xr:uid="{F7E48782-87C2-41A7-B5F2-EDFDE7B2BA56}"/>
    <cellStyle name="Komma 4 6 2 6" xfId="23916" xr:uid="{9B42328C-6377-446D-961A-7CAE2F7E9E53}"/>
    <cellStyle name="Komma 4 6 2 7" xfId="46987" xr:uid="{1A3ED775-8E09-422B-BB25-03B9F6608D3F}"/>
    <cellStyle name="Komma 4 6 2 8" xfId="48765" xr:uid="{FF9FB5D6-B1B7-495E-B84A-B0593B23A4E3}"/>
    <cellStyle name="Komma 4 6 2 9" xfId="49671" xr:uid="{FB274E8D-3A81-42C6-8BD9-68B9EDD9F274}"/>
    <cellStyle name="Komma 4 6 3" xfId="14690" xr:uid="{843FFE3E-B14B-482F-AA03-D39DC7B6F046}"/>
    <cellStyle name="Komma 4 6 3 2" xfId="22237" xr:uid="{691FF77C-D498-4215-A152-284748858CC0}"/>
    <cellStyle name="Komma 4 6 3 3" xfId="46418" xr:uid="{8C9B1DCD-7DD7-45AC-BA56-3EA16A755B6F}"/>
    <cellStyle name="Komma 4 6 3 4" xfId="51575" xr:uid="{5EE5E1E3-4C23-4096-85DE-4134BFADF361}"/>
    <cellStyle name="Komma 4 6 3 5" xfId="54591" xr:uid="{4172A741-F678-4876-879A-E3657F75D22A}"/>
    <cellStyle name="Komma 4 6 3 6" xfId="19096" xr:uid="{9A134FFA-8334-4DD2-BD66-301B64AD9BE9}"/>
    <cellStyle name="Komma 4 6 4" xfId="15175" xr:uid="{74B98CA1-90A1-4A66-A60D-F8BAD5C955C7}"/>
    <cellStyle name="Komma 4 6 4 2" xfId="22714" xr:uid="{7029F230-DCF5-4C9E-893B-B9F83E02E6B2}"/>
    <cellStyle name="Komma 4 6 4 3" xfId="48550" xr:uid="{4CB3CDC2-A32E-4C53-B572-66DD5DB89A4D}"/>
    <cellStyle name="Komma 4 6 4 4" xfId="52052" xr:uid="{DB65F211-850C-4710-ACAE-9D5FFA55C297}"/>
    <cellStyle name="Komma 4 6 4 5" xfId="55068" xr:uid="{3C4C9E19-6A61-4F7C-AB56-76654C67DF2B}"/>
    <cellStyle name="Komma 4 6 4 6" xfId="19239" xr:uid="{7F85831F-571F-453D-9143-69FC87A97212}"/>
    <cellStyle name="Komma 4 6 5" xfId="15662" xr:uid="{7A96D605-8BCC-4410-A62C-D775733E2F24}"/>
    <cellStyle name="Komma 4 6 5 2" xfId="23191" xr:uid="{614D3DA1-1D82-4E63-9F75-A7896EE6DB63}"/>
    <cellStyle name="Komma 4 6 5 3" xfId="48132" xr:uid="{EC1A9A5F-3944-43FE-99D5-62DA58D3ACF9}"/>
    <cellStyle name="Komma 4 6 5 4" xfId="52529" xr:uid="{40FB92A4-F947-4246-A880-42FAEFDB8BC7}"/>
    <cellStyle name="Komma 4 6 5 5" xfId="55545" xr:uid="{C4356BC6-F3A7-4A10-B46E-57CA9B0E9AF5}"/>
    <cellStyle name="Komma 4 6 5 6" xfId="19384" xr:uid="{2B2628BB-06F2-41D7-AD1B-D71FA747DCB0}"/>
    <cellStyle name="Komma 4 6 6" xfId="12650" xr:uid="{83ECB4DF-F3D8-4DCB-BC11-2DE01FD6FE96}"/>
    <cellStyle name="Komma 4 6 6 2" xfId="48049" xr:uid="{69C4F319-0BC4-4DF8-AF1D-88649BA1609D}"/>
    <cellStyle name="Komma 4 6 6 3" xfId="51098" xr:uid="{6468CD85-B9E6-41A8-89D5-9723C88E4CFA}"/>
    <cellStyle name="Komma 4 6 6 4" xfId="54114" xr:uid="{BF48B47B-BE2A-4993-A596-D8ADBEA7D68E}"/>
    <cellStyle name="Komma 4 6 6 5" xfId="21954" xr:uid="{5CD8D9E6-C91D-4883-9FE6-47C74314B375}"/>
    <cellStyle name="Komma 4 6 7" xfId="23915" xr:uid="{7FF22E3E-EEE4-4491-9CC3-B8AE1B7170E8}"/>
    <cellStyle name="Komma 4 6 8" xfId="46620" xr:uid="{7FB9D0F2-E2CE-480A-B23C-20109E9923E9}"/>
    <cellStyle name="Komma 4 6 9" xfId="48764" xr:uid="{42DFAA78-0876-43B7-B47D-E9CC5D7F4129}"/>
    <cellStyle name="Komma 4 7" xfId="10276" xr:uid="{D4ED2092-B5C4-4F04-BA2B-E8A3B860066E}"/>
    <cellStyle name="Komma 4 7 10" xfId="50045" xr:uid="{395DF562-2D92-455B-9AD9-D4EF28AE7A2F}"/>
    <cellStyle name="Komma 4 7 11" xfId="53061" xr:uid="{BD910AD4-8029-4E12-A293-EADB31484009}"/>
    <cellStyle name="Komma 4 7 12" xfId="18868" xr:uid="{51EAC82E-CD46-4B7B-A702-D3A1D19C491E}"/>
    <cellStyle name="Komma 4 7 2" xfId="14743" xr:uid="{DD4FF581-A54F-47CA-BBA9-A59FEFF1FF76}"/>
    <cellStyle name="Komma 4 7 2 2" xfId="22290" xr:uid="{A92AB878-3C9C-40B5-8607-4BE2C5F66C37}"/>
    <cellStyle name="Komma 4 7 2 3" xfId="48117" xr:uid="{DB6F0DC7-CE9E-4F0E-AD83-BEFE16961015}"/>
    <cellStyle name="Komma 4 7 2 4" xfId="51628" xr:uid="{E3B184A7-6B9B-4FF0-9EA7-3FE34848224B}"/>
    <cellStyle name="Komma 4 7 2 5" xfId="54644" xr:uid="{F8196A5C-B20D-43B5-B9F6-A8B1F0BBB3C5}"/>
    <cellStyle name="Komma 4 7 2 6" xfId="19111" xr:uid="{FCE603CF-2E70-4A0B-9C97-E3D57FD64BA8}"/>
    <cellStyle name="Komma 4 7 3" xfId="15228" xr:uid="{01BA37F0-C460-4A34-B581-000C0F12528F}"/>
    <cellStyle name="Komma 4 7 3 2" xfId="22767" xr:uid="{F7C4BC45-99B0-4739-B118-9A38F3D904FC}"/>
    <cellStyle name="Komma 4 7 3 3" xfId="47057" xr:uid="{BACEE3A9-0C77-4D5E-9A2B-FC770BF57B56}"/>
    <cellStyle name="Komma 4 7 3 4" xfId="52105" xr:uid="{A695E3F7-9187-4B2E-9CD4-91BC132997B6}"/>
    <cellStyle name="Komma 4 7 3 5" xfId="55121" xr:uid="{BFF26A97-A448-4074-93B5-19E5B62E0F03}"/>
    <cellStyle name="Komma 4 7 3 6" xfId="19254" xr:uid="{9A4580DB-BD80-488B-8B82-9926053AF666}"/>
    <cellStyle name="Komma 4 7 4" xfId="15715" xr:uid="{EBBC189B-B22A-4D06-9085-87074CF5A403}"/>
    <cellStyle name="Komma 4 7 4 2" xfId="23244" xr:uid="{84EDA469-8049-4AF3-B3F4-C9226CF2C3F2}"/>
    <cellStyle name="Komma 4 7 4 3" xfId="47847" xr:uid="{8249DBA4-A134-4151-ACF1-A7DC7AD2B90A}"/>
    <cellStyle name="Komma 4 7 4 4" xfId="52582" xr:uid="{7643E4A4-5A01-4B82-84A6-DF04967DF624}"/>
    <cellStyle name="Komma 4 7 4 5" xfId="55598" xr:uid="{F1E07915-92AE-4479-9F82-AB0CE8D5A150}"/>
    <cellStyle name="Komma 4 7 4 6" xfId="19399" xr:uid="{3C9136A8-DC60-4ACD-9113-C59EBBF8F4A9}"/>
    <cellStyle name="Komma 4 7 5" xfId="12729" xr:uid="{8FEDE4F9-47C3-4A84-8CE3-ECB3373AD7F7}"/>
    <cellStyle name="Komma 4 7 5 2" xfId="34514" xr:uid="{C9D461C8-7956-43DD-AE83-DF28A1A6A632}"/>
    <cellStyle name="Komma 4 7 5 3" xfId="51151" xr:uid="{CFE4B12E-3E59-49E7-8A9D-49784912A3E1}"/>
    <cellStyle name="Komma 4 7 5 4" xfId="54167" xr:uid="{90337E3A-2F07-47C7-8099-065E40D5CB42}"/>
    <cellStyle name="Komma 4 7 5 5" xfId="21969" xr:uid="{589B4B16-7E2B-41E4-AFDD-C7AA60F14AB8}"/>
    <cellStyle name="Komma 4 7 6" xfId="23917" xr:uid="{70F4E5C1-2AFD-4504-B7BD-8AE41E7F76F1}"/>
    <cellStyle name="Komma 4 7 7" xfId="46081" xr:uid="{3DE71123-A175-4F78-8A07-99ED79CF459F}"/>
    <cellStyle name="Komma 4 7 8" xfId="48766" xr:uid="{DE2ACF56-4FC7-4773-B11F-0BAC5191E82B}"/>
    <cellStyle name="Komma 4 7 9" xfId="49672" xr:uid="{31F85E20-AFEC-4054-8B2F-0935434741AA}"/>
    <cellStyle name="Komma 4 8" xfId="10590" xr:uid="{3A33E737-E65D-47C0-9DA3-70ECD1D03FEA}"/>
    <cellStyle name="Komma 4 8 10" xfId="50257" xr:uid="{19AD55EB-5084-436B-A04A-1A995352830F}"/>
    <cellStyle name="Komma 4 8 11" xfId="53273" xr:uid="{F6AB5305-F5E5-4B90-817B-E4731718464A}"/>
    <cellStyle name="Komma 4 8 12" xfId="19030" xr:uid="{4825BB03-F7A6-4EBB-B4C0-753F342D532F}"/>
    <cellStyle name="Komma 4 8 2" xfId="14955" xr:uid="{A0CA0C19-A779-4F58-878D-FC30A0E8AC1F}"/>
    <cellStyle name="Komma 4 8 2 2" xfId="22502" xr:uid="{ECB1733B-EEF9-4634-9A4E-1A3BD976069B}"/>
    <cellStyle name="Komma 4 8 2 3" xfId="32518" xr:uid="{BE1A2D0A-F131-4BB5-A01C-AF4FD37D8669}"/>
    <cellStyle name="Komma 4 8 2 4" xfId="51840" xr:uid="{A170D369-1BC9-4E32-921F-875058EB0058}"/>
    <cellStyle name="Komma 4 8 2 5" xfId="54856" xr:uid="{F20D9AD5-22E2-4632-A575-A4B3EEB25DAF}"/>
    <cellStyle name="Komma 4 8 2 6" xfId="19171" xr:uid="{B1490327-0F3D-4747-843F-D73F6F470259}"/>
    <cellStyle name="Komma 4 8 3" xfId="15440" xr:uid="{115A0543-25D1-4237-8906-99474D185A5B}"/>
    <cellStyle name="Komma 4 8 3 2" xfId="22979" xr:uid="{C96EAF5F-694C-48C4-B3EE-DAE8E5FB9C9D}"/>
    <cellStyle name="Komma 4 8 3 3" xfId="47724" xr:uid="{DEC28D58-4FC4-49DA-96C7-53A0A6CCFA12}"/>
    <cellStyle name="Komma 4 8 3 4" xfId="52317" xr:uid="{A6D513AD-E658-4530-A148-F615260411B7}"/>
    <cellStyle name="Komma 4 8 3 5" xfId="55333" xr:uid="{A67CBB1E-626C-417F-B9F2-A7420FD735AA}"/>
    <cellStyle name="Komma 4 8 3 6" xfId="19314" xr:uid="{B275C24D-4CF9-49EA-B9FA-863E3B0A12CC}"/>
    <cellStyle name="Komma 4 8 4" xfId="15928" xr:uid="{E1241901-B93E-42A2-B18F-04F1F4643D77}"/>
    <cellStyle name="Komma 4 8 4 2" xfId="23456" xr:uid="{DB48A04F-55F6-4FA9-A59B-5416BF4D917A}"/>
    <cellStyle name="Komma 4 8 4 3" xfId="46608" xr:uid="{9AC50228-D6CE-41D5-B26F-398DCE553F8C}"/>
    <cellStyle name="Komma 4 8 4 4" xfId="52794" xr:uid="{C6DB4C38-927F-4759-93D6-7C31370262C0}"/>
    <cellStyle name="Komma 4 8 4 5" xfId="55810" xr:uid="{3FFC8B67-538B-496F-AE27-D1322AE5B343}"/>
    <cellStyle name="Komma 4 8 4 6" xfId="19460" xr:uid="{FC77C441-8035-453A-AABD-DFEC591A8650}"/>
    <cellStyle name="Komma 4 8 5" xfId="13043" xr:uid="{ABA2FF95-105D-4859-8541-4E61684F22EF}"/>
    <cellStyle name="Komma 4 8 5 2" xfId="46825" xr:uid="{CA8D1229-3D8F-4032-84CB-E13408E13277}"/>
    <cellStyle name="Komma 4 8 5 3" xfId="51363" xr:uid="{ECDCD074-7775-45FA-8084-7971F75901FD}"/>
    <cellStyle name="Komma 4 8 5 4" xfId="54379" xr:uid="{BF846414-4867-40E9-AD3E-F515A1CF84DA}"/>
    <cellStyle name="Komma 4 8 5 5" xfId="22029" xr:uid="{CC6DDDC0-3713-432E-A5B3-6838984F6E2A}"/>
    <cellStyle name="Komma 4 8 6" xfId="23918" xr:uid="{52CE9BA4-E53B-4311-A285-48C0125A4ED1}"/>
    <cellStyle name="Komma 4 8 7" xfId="25367" xr:uid="{CC831B7D-70CF-4F1A-AF20-8C9E4B177CBB}"/>
    <cellStyle name="Komma 4 8 8" xfId="48767" xr:uid="{1D1E6F64-653F-4E72-932A-F889AEEE2396}"/>
    <cellStyle name="Komma 4 8 9" xfId="49673" xr:uid="{C8456892-1113-451C-B49F-C109A9959C3E}"/>
    <cellStyle name="Komma 4 9" xfId="13055" xr:uid="{B17AF00F-FA9B-43B9-8D86-BB7860E3BD99}"/>
    <cellStyle name="Komma 4 9 2" xfId="23919" xr:uid="{A8FF952C-7FDE-4B7C-9FEA-5A2F84994B20}"/>
    <cellStyle name="Komma 4 9 3" xfId="48768" xr:uid="{749252F8-AB92-4122-A41B-B53069499BA5}"/>
    <cellStyle name="Komma 4 9 4" xfId="49674" xr:uid="{5E979C39-72AF-4F58-982B-68268F9D004E}"/>
    <cellStyle name="Komma 5" xfId="9105" xr:uid="{9EBAD1F2-010F-4ABA-9530-03CD8C092790}"/>
    <cellStyle name="Komma 5 10" xfId="15019" xr:uid="{EA090EBE-9F8D-4407-83DB-4839974B734A}"/>
    <cellStyle name="Komma 5 10 2" xfId="22559" xr:uid="{A28FC2FE-3B0D-4F79-B989-511ABE0E62CB}"/>
    <cellStyle name="Komma 5 10 3" xfId="47775" xr:uid="{C268085B-D446-4A09-BE7C-726B0D7A8D8E}"/>
    <cellStyle name="Komma 5 10 4" xfId="51897" xr:uid="{480E195C-B3AF-447B-876D-B55CDAF2F84F}"/>
    <cellStyle name="Komma 5 10 5" xfId="54913" xr:uid="{B987E180-FD95-421D-899A-3525828EF1C4}"/>
    <cellStyle name="Komma 5 11" xfId="15506" xr:uid="{9C317A3E-3447-4CF0-87A7-AAC9AC5C7F6A}"/>
    <cellStyle name="Komma 5 11 2" xfId="23036" xr:uid="{D574579E-FB77-4143-A730-5C5E1AE2A154}"/>
    <cellStyle name="Komma 5 11 3" xfId="46542" xr:uid="{5690B805-374B-4632-B46B-E86C293152E2}"/>
    <cellStyle name="Komma 5 11 4" xfId="52374" xr:uid="{1BFC837C-9FE7-443E-8DFB-CB291AD127B0}"/>
    <cellStyle name="Komma 5 11 5" xfId="55390" xr:uid="{AB4B9AC4-1B11-42D1-98CD-B9C279FA6F92}"/>
    <cellStyle name="Komma 5 12" xfId="11239" xr:uid="{42F113AE-0B82-49A3-B315-714EEC67F5C1}"/>
    <cellStyle name="Komma 5 12 2" xfId="46729" xr:uid="{AD544653-1505-4696-9E9D-5C1E5220801C}"/>
    <cellStyle name="Komma 5 12 3" xfId="50717" xr:uid="{9DA8107A-D907-4A54-959F-527020E00E6B}"/>
    <cellStyle name="Komma 5 12 4" xfId="53733" xr:uid="{BA9C608D-5A32-4D04-A4BF-EE6129426FEA}"/>
    <cellStyle name="Komma 5 13" xfId="23920" xr:uid="{898567B0-F80E-4087-B690-B92FAF2A651F}"/>
    <cellStyle name="Komma 5 14" xfId="48769" xr:uid="{EC77B6D1-4AF3-4557-8F2A-605DCB88C1A7}"/>
    <cellStyle name="Komma 5 15" xfId="49675" xr:uid="{C70F07CF-E821-40C1-8A80-DEA58CE8696D}"/>
    <cellStyle name="Komma 5 16" xfId="49837" xr:uid="{38C44003-D7E6-4D49-AC7E-BDFDDFAA5C6D}"/>
    <cellStyle name="Komma 5 17" xfId="52852" xr:uid="{8D812B12-9380-4D1A-8611-7AAFB3D08975}"/>
    <cellStyle name="Komma 5 2" xfId="9106" xr:uid="{F25A8F37-40E1-446F-85ED-50CD28735DB6}"/>
    <cellStyle name="Komma 5 2 10" xfId="15507" xr:uid="{AAFA82E1-B66C-4E24-8AA4-4F34202EC3E3}"/>
    <cellStyle name="Komma 5 2 10 2" xfId="23037" xr:uid="{5BDC9D4E-C516-4410-BAD5-8FD51D5E4343}"/>
    <cellStyle name="Komma 5 2 10 3" xfId="48543" xr:uid="{B49B1178-E032-4B42-A684-DE1C106B529D}"/>
    <cellStyle name="Komma 5 2 10 4" xfId="52375" xr:uid="{9E9B445F-8553-42CF-BE38-16A4EA131817}"/>
    <cellStyle name="Komma 5 2 10 5" xfId="55391" xr:uid="{F32C732A-68EF-4AF0-80F1-1194DD916AC7}"/>
    <cellStyle name="Komma 5 2 11" xfId="11591" xr:uid="{CAF38906-6004-46FF-AB2D-138A33398625}"/>
    <cellStyle name="Komma 5 2 11 2" xfId="46281" xr:uid="{9B798425-0872-4519-83A4-DE98C820CB9E}"/>
    <cellStyle name="Komma 5 2 11 3" xfId="50738" xr:uid="{D1EB331A-A809-4504-823E-26C7E7251AB8}"/>
    <cellStyle name="Komma 5 2 11 4" xfId="53754" xr:uid="{E78A58A7-D145-484D-95F7-06D126D0B7FE}"/>
    <cellStyle name="Komma 5 2 12" xfId="23921" xr:uid="{BDCE8FAD-8447-415C-9A8F-AA2884C2AFD8}"/>
    <cellStyle name="Komma 5 2 13" xfId="48770" xr:uid="{84462A12-EEF7-4C0E-ADCB-7B5C6E0AC2F3}"/>
    <cellStyle name="Komma 5 2 14" xfId="49676" xr:uid="{BDD6EB24-05A3-482E-8726-5CBAEB1203EC}"/>
    <cellStyle name="Komma 5 2 15" xfId="49838" xr:uid="{A2537381-EC6E-41C9-BDF0-5D3FE69B3249}"/>
    <cellStyle name="Komma 5 2 16" xfId="52853" xr:uid="{AEB4135D-8941-40F9-A640-A49D20E1EEE7}"/>
    <cellStyle name="Komma 5 2 2" xfId="9107" xr:uid="{CA96F8FC-AA84-4883-84B7-F562676941F1}"/>
    <cellStyle name="Komma 5 2 2 10" xfId="12191" xr:uid="{262317E9-AEB5-43C1-86E5-7C7C6137E4D7}"/>
    <cellStyle name="Komma 5 2 2 10 2" xfId="24702" xr:uid="{4C8E3BF9-7C89-4702-921B-41F25233D749}"/>
    <cellStyle name="Komma 5 2 2 10 3" xfId="50937" xr:uid="{A0528575-88D0-415E-8FA4-7AFF21F84F71}"/>
    <cellStyle name="Komma 5 2 2 10 4" xfId="53953" xr:uid="{2B5B9767-FEE1-4E70-A522-AE1FED7B15C0}"/>
    <cellStyle name="Komma 5 2 2 11" xfId="23922" xr:uid="{87DA5BB1-695D-40D8-9B8C-D3F77C70EE2A}"/>
    <cellStyle name="Komma 5 2 2 12" xfId="48771" xr:uid="{B9DA8277-68E8-4A00-843F-1E6030761F43}"/>
    <cellStyle name="Komma 5 2 2 13" xfId="49677" xr:uid="{1CC5CF14-0F94-44CD-BC63-9AF5C3D751DC}"/>
    <cellStyle name="Komma 5 2 2 14" xfId="49839" xr:uid="{26B3AF0D-6B57-4993-82D4-7CD534801B20}"/>
    <cellStyle name="Komma 5 2 2 15" xfId="52854" xr:uid="{3F55D513-C9A1-4D7E-8957-FE3DA31230D8}"/>
    <cellStyle name="Komma 5 2 2 2" xfId="10049" xr:uid="{CBBBEB96-1F26-4ABC-B477-C1450D0A1EFB}"/>
    <cellStyle name="Komma 5 2 2 2 10" xfId="49678" xr:uid="{397FD930-81DF-4FF0-9532-57B992E821FD}"/>
    <cellStyle name="Komma 5 2 2 2 11" xfId="49892" xr:uid="{6E921982-3828-497B-899D-6BD3F5C2D6C3}"/>
    <cellStyle name="Komma 5 2 2 2 12" xfId="52908" xr:uid="{FA6E7957-483B-4AF9-AF2F-3711660EBC1D}"/>
    <cellStyle name="Komma 5 2 2 2 2" xfId="10357" xr:uid="{3D5A98B5-093F-42EE-BB0F-531E1BE31982}"/>
    <cellStyle name="Komma 5 2 2 2 2 2" xfId="14802" xr:uid="{56832933-7337-47BF-9EC7-7635B9E3430A}"/>
    <cellStyle name="Komma 5 2 2 2 2 2 2" xfId="22349" xr:uid="{87D82E1C-5F63-46F1-B5B3-3C056ED55F25}"/>
    <cellStyle name="Komma 5 2 2 2 2 2 3" xfId="36986" xr:uid="{FDE99555-8306-46A1-8F60-002DC1BCB5F3}"/>
    <cellStyle name="Komma 5 2 2 2 2 2 4" xfId="51687" xr:uid="{BF8F7BA7-7C1C-4A12-A32F-9DFDB59F3A2C}"/>
    <cellStyle name="Komma 5 2 2 2 2 2 5" xfId="54703" xr:uid="{480FDEBD-A55B-4131-8E47-E0EB04C62D35}"/>
    <cellStyle name="Komma 5 2 2 2 2 3" xfId="15287" xr:uid="{26350F5B-30BE-4B53-AFFB-03088382E447}"/>
    <cellStyle name="Komma 5 2 2 2 2 3 2" xfId="22826" xr:uid="{40EFC893-B975-46B5-8A59-165FC2C8A301}"/>
    <cellStyle name="Komma 5 2 2 2 2 3 3" xfId="46509" xr:uid="{7C1DCCE7-3E68-434F-AB57-3C0071FAE4E3}"/>
    <cellStyle name="Komma 5 2 2 2 2 3 4" xfId="52164" xr:uid="{FBD2EEFF-FD02-49BE-A349-27E11A91DABA}"/>
    <cellStyle name="Komma 5 2 2 2 2 3 5" xfId="55180" xr:uid="{A1FDA5DB-9AA9-4389-A670-91EC40346983}"/>
    <cellStyle name="Komma 5 2 2 2 2 4" xfId="15774" xr:uid="{F57D3196-5688-4609-999C-57B388B792EA}"/>
    <cellStyle name="Komma 5 2 2 2 2 4 2" xfId="23303" xr:uid="{73ED45B9-3443-46CE-8FAA-61E19E628E1C}"/>
    <cellStyle name="Komma 5 2 2 2 2 4 3" xfId="46583" xr:uid="{1593DB6D-BB8E-49C5-A763-F3A41D23725F}"/>
    <cellStyle name="Komma 5 2 2 2 2 4 4" xfId="52641" xr:uid="{F8F37C28-5137-4277-ACD4-B2AF92C503BB}"/>
    <cellStyle name="Komma 5 2 2 2 2 4 5" xfId="55657" xr:uid="{4A5A3D5F-BB9E-4199-ABFF-33F19BF36AC8}"/>
    <cellStyle name="Komma 5 2 2 2 2 5" xfId="12810" xr:uid="{D69DD30F-47D0-41DD-832B-38922214DF27}"/>
    <cellStyle name="Komma 5 2 2 2 2 5 2" xfId="37108" xr:uid="{B207FF7D-4E50-43AC-8AE0-7874D8552E0D}"/>
    <cellStyle name="Komma 5 2 2 2 2 5 3" xfId="51210" xr:uid="{65CDCC3C-3A2D-460F-B8C7-8055246DC55D}"/>
    <cellStyle name="Komma 5 2 2 2 2 5 4" xfId="54226" xr:uid="{63DAC05E-E12A-4D56-84AA-7668CDAE4382}"/>
    <cellStyle name="Komma 5 2 2 2 2 6" xfId="46099" xr:uid="{23EAD587-E21D-41A2-A8B7-7A7B3CE404CC}"/>
    <cellStyle name="Komma 5 2 2 2 2 7" xfId="50104" xr:uid="{38407ECB-51ED-408D-9CBF-47403595A819}"/>
    <cellStyle name="Komma 5 2 2 2 2 8" xfId="53120" xr:uid="{793660E2-FCA4-4C50-814F-6D51DDD4F124}"/>
    <cellStyle name="Komma 5 2 2 2 3" xfId="14590" xr:uid="{3151195F-1A88-4E9C-979F-29672BAF493D}"/>
    <cellStyle name="Komma 5 2 2 2 3 2" xfId="22137" xr:uid="{19FE5E41-78DA-407F-8446-B0237C6B53C7}"/>
    <cellStyle name="Komma 5 2 2 2 3 3" xfId="47624" xr:uid="{DDD839E7-4E53-46D3-A8BD-B29F88E5425E}"/>
    <cellStyle name="Komma 5 2 2 2 3 4" xfId="51475" xr:uid="{2CB9367A-F4E4-4872-8251-9B2B2D2B147C}"/>
    <cellStyle name="Komma 5 2 2 2 3 5" xfId="54491" xr:uid="{6D6E6EA7-87ED-40A4-98E9-8B0C37D42EA8}"/>
    <cellStyle name="Komma 5 2 2 2 4" xfId="15074" xr:uid="{E0949DC3-09E4-4C4B-9BE8-2665110C050F}"/>
    <cellStyle name="Komma 5 2 2 2 4 2" xfId="22614" xr:uid="{FC3F3B3B-7407-4866-997D-13D0DB7DDDDB}"/>
    <cellStyle name="Komma 5 2 2 2 4 3" xfId="48293" xr:uid="{91FDEEC0-8F7F-4AD2-8DC9-66159FA6503F}"/>
    <cellStyle name="Komma 5 2 2 2 4 4" xfId="51952" xr:uid="{715B9849-2DA1-4F80-B13C-C2DAD3994B0E}"/>
    <cellStyle name="Komma 5 2 2 2 4 5" xfId="54968" xr:uid="{2F82227A-E997-4B7D-9B90-CC2BB23B0F82}"/>
    <cellStyle name="Komma 5 2 2 2 5" xfId="15561" xr:uid="{E88474D4-8BA3-4BE3-B6D8-448D85A5D1DF}"/>
    <cellStyle name="Komma 5 2 2 2 5 2" xfId="23091" xr:uid="{B543E97A-766D-4091-B7CC-C1E8E1407A7F}"/>
    <cellStyle name="Komma 5 2 2 2 5 3" xfId="46551" xr:uid="{840B74E0-B6F5-47AC-ABE6-B124DAA7953E}"/>
    <cellStyle name="Komma 5 2 2 2 5 4" xfId="52429" xr:uid="{1D630A26-8A63-494D-B85B-CED179D0B168}"/>
    <cellStyle name="Komma 5 2 2 2 5 5" xfId="55445" xr:uid="{81885F95-838F-43B3-8A80-0AFB1BC89545}"/>
    <cellStyle name="Komma 5 2 2 2 6" xfId="12509" xr:uid="{AC1B9B0F-F2A1-44E1-AEEE-C583916DDBB9}"/>
    <cellStyle name="Komma 5 2 2 2 6 2" xfId="48046" xr:uid="{D047CCB3-BCDA-4C1A-BE6B-8A122C1A290D}"/>
    <cellStyle name="Komma 5 2 2 2 6 3" xfId="50998" xr:uid="{F3119336-D395-449F-9837-12C8E72C273C}"/>
    <cellStyle name="Komma 5 2 2 2 6 4" xfId="54014" xr:uid="{E610570D-99E5-4974-AEC6-872DC063112F}"/>
    <cellStyle name="Komma 5 2 2 2 7" xfId="23923" xr:uid="{75840744-5537-428E-92B7-4CD07A595980}"/>
    <cellStyle name="Komma 5 2 2 2 8" xfId="47951" xr:uid="{3A8B17F3-7DFD-4274-B39A-EDAFF1017171}"/>
    <cellStyle name="Komma 5 2 2 2 9" xfId="48772" xr:uid="{5D8CBAE8-023B-40DD-8B43-69E25866AD80}"/>
    <cellStyle name="Komma 5 2 2 3" xfId="10123" xr:uid="{B64DE828-E65C-4538-9E38-938BF5F83666}"/>
    <cellStyle name="Komma 5 2 2 3 10" xfId="49679" xr:uid="{7B7E04EF-3FF8-4EDB-8DB1-C1F88430BBAB}"/>
    <cellStyle name="Komma 5 2 2 3 11" xfId="49945" xr:uid="{2B8D1183-EF4B-4311-B39E-D73ABC63D82F}"/>
    <cellStyle name="Komma 5 2 2 3 12" xfId="52961" xr:uid="{19A38644-804A-4780-BEEE-7B29F62C5809}"/>
    <cellStyle name="Komma 5 2 2 3 2" xfId="10436" xr:uid="{E816BDD7-4BF9-46B7-B79A-2AC24BC536A9}"/>
    <cellStyle name="Komma 5 2 2 3 2 2" xfId="14855" xr:uid="{2EB4C0F8-67DC-43A7-ADA2-F4D71B570E7C}"/>
    <cellStyle name="Komma 5 2 2 3 2 2 2" xfId="22402" xr:uid="{994E3B0E-5586-44E9-87D5-834070CFCC7A}"/>
    <cellStyle name="Komma 5 2 2 3 2 2 3" xfId="47834" xr:uid="{59A14A81-E153-493F-A4B7-6C2705EAE28A}"/>
    <cellStyle name="Komma 5 2 2 3 2 2 4" xfId="51740" xr:uid="{C4EECB34-42E3-4D98-9C95-0255AE7B0904}"/>
    <cellStyle name="Komma 5 2 2 3 2 2 5" xfId="54756" xr:uid="{716B1E43-2472-4E55-B582-3B03504520C5}"/>
    <cellStyle name="Komma 5 2 2 3 2 3" xfId="15340" xr:uid="{401D44DA-E25D-4267-806F-C7B46F6C06A5}"/>
    <cellStyle name="Komma 5 2 2 3 2 3 2" xfId="22879" xr:uid="{039C6608-DEBE-4959-999F-887E32828D7E}"/>
    <cellStyle name="Komma 5 2 2 3 2 3 3" xfId="46908" xr:uid="{1293D999-4F9B-45D6-925A-D71734475BC7}"/>
    <cellStyle name="Komma 5 2 2 3 2 3 4" xfId="52217" xr:uid="{7100A54C-0410-4C37-8E2F-D033D3FA1C3F}"/>
    <cellStyle name="Komma 5 2 2 3 2 3 5" xfId="55233" xr:uid="{536B3F5B-52C9-4704-A21B-0620DCB04A1C}"/>
    <cellStyle name="Komma 5 2 2 3 2 4" xfId="15827" xr:uid="{A10E71A5-C71E-4443-960D-D318F4AAE15A}"/>
    <cellStyle name="Komma 5 2 2 3 2 4 2" xfId="23356" xr:uid="{BF1718B2-789B-49CA-B02C-00D900F78B07}"/>
    <cellStyle name="Komma 5 2 2 3 2 4 3" xfId="48084" xr:uid="{D2A1B140-2059-410C-9D6C-30952D79A353}"/>
    <cellStyle name="Komma 5 2 2 3 2 4 4" xfId="52694" xr:uid="{995D7F2D-7193-4804-BBE9-1A1D258B8387}"/>
    <cellStyle name="Komma 5 2 2 3 2 4 5" xfId="55710" xr:uid="{7DB9FB56-014C-4007-BF10-6FD0DDCCCDE2}"/>
    <cellStyle name="Komma 5 2 2 3 2 5" xfId="12889" xr:uid="{A23316A8-829B-4273-8365-73A14E043C96}"/>
    <cellStyle name="Komma 5 2 2 3 2 5 2" xfId="47100" xr:uid="{0CD0F94B-5A48-46C2-A428-EAAB65064259}"/>
    <cellStyle name="Komma 5 2 2 3 2 5 3" xfId="51263" xr:uid="{0FD1A243-3EF0-45E7-85E9-CF22CE01056D}"/>
    <cellStyle name="Komma 5 2 2 3 2 5 4" xfId="54279" xr:uid="{CCB3FCE9-10F1-4BCF-82D3-4210AC4EF037}"/>
    <cellStyle name="Komma 5 2 2 3 2 6" xfId="47140" xr:uid="{D406B29A-AE07-4704-A166-C026B71C982F}"/>
    <cellStyle name="Komma 5 2 2 3 2 7" xfId="50157" xr:uid="{99969E83-02C1-4A9F-9AE0-A05B36E7A9AD}"/>
    <cellStyle name="Komma 5 2 2 3 2 8" xfId="53173" xr:uid="{842E5C43-50F8-4454-B87B-485C34C46169}"/>
    <cellStyle name="Komma 5 2 2 3 3" xfId="14643" xr:uid="{FE56E580-A052-41CF-9A9D-0240966490E7}"/>
    <cellStyle name="Komma 5 2 2 3 3 2" xfId="22190" xr:uid="{CFA53357-3CEF-4ADB-96C7-371D49C077D9}"/>
    <cellStyle name="Komma 5 2 2 3 3 3" xfId="48405" xr:uid="{7DCD8F3F-8409-4247-A88C-36A6A6D8DC4F}"/>
    <cellStyle name="Komma 5 2 2 3 3 4" xfId="51528" xr:uid="{0AD10709-3132-4FEB-A98D-E7C8F6B6F07C}"/>
    <cellStyle name="Komma 5 2 2 3 3 5" xfId="54544" xr:uid="{DDEBF28E-1FD0-4F8E-ABE9-E91EDB0395B7}"/>
    <cellStyle name="Komma 5 2 2 3 4" xfId="15128" xr:uid="{DA696BBD-4A56-40F2-9493-D4D95B830200}"/>
    <cellStyle name="Komma 5 2 2 3 4 2" xfId="22667" xr:uid="{0B582801-35E3-4AF9-A2B5-2C58BC21B154}"/>
    <cellStyle name="Komma 5 2 2 3 4 3" xfId="24909" xr:uid="{6B4F48E2-1DBB-4525-929E-F99A2B10582F}"/>
    <cellStyle name="Komma 5 2 2 3 4 4" xfId="52005" xr:uid="{BBDAA947-9AEB-4695-9644-5B132557290D}"/>
    <cellStyle name="Komma 5 2 2 3 4 5" xfId="55021" xr:uid="{F4D09C73-004E-4175-BA3A-A50E3E025CB8}"/>
    <cellStyle name="Komma 5 2 2 3 5" xfId="15615" xr:uid="{FB8A2405-2EFC-4728-B262-7C1B5B123F17}"/>
    <cellStyle name="Komma 5 2 2 3 5 2" xfId="23144" xr:uid="{5AE186D0-2292-49E2-B4B5-900CE713A49C}"/>
    <cellStyle name="Komma 5 2 2 3 5 3" xfId="36573" xr:uid="{1BA2F10D-3668-4498-9C4D-DDBB085C7487}"/>
    <cellStyle name="Komma 5 2 2 3 5 4" xfId="52482" xr:uid="{E6A03F9A-79BD-420F-A0D8-96B3F41ADE31}"/>
    <cellStyle name="Komma 5 2 2 3 5 5" xfId="55498" xr:uid="{B74B5BBC-59B5-44FD-99BA-358E96959BEA}"/>
    <cellStyle name="Komma 5 2 2 3 6" xfId="12580" xr:uid="{CDEE65F2-DA09-453A-A273-10E837C78170}"/>
    <cellStyle name="Komma 5 2 2 3 6 2" xfId="25074" xr:uid="{7B1D15C3-7B59-4EFF-A8AF-D56A07F6946E}"/>
    <cellStyle name="Komma 5 2 2 3 6 3" xfId="51051" xr:uid="{72F205D6-7040-448B-8607-1ABA22C51E2F}"/>
    <cellStyle name="Komma 5 2 2 3 6 4" xfId="54067" xr:uid="{95A35BB0-8871-4F85-B5DE-11C442E7BCCF}"/>
    <cellStyle name="Komma 5 2 2 3 7" xfId="23924" xr:uid="{3D552921-0C52-4A04-9B19-2F44D18CD3B7}"/>
    <cellStyle name="Komma 5 2 2 3 8" xfId="25380" xr:uid="{26C7B35F-F9A7-4DFF-9435-A239F497BD81}"/>
    <cellStyle name="Komma 5 2 2 3 9" xfId="48773" xr:uid="{414E35FB-B250-4D86-B3D0-2B154BB8DE36}"/>
    <cellStyle name="Komma 5 2 2 4" xfId="10202" xr:uid="{EB50A3DF-81FD-491D-AF05-1CC682A6830B}"/>
    <cellStyle name="Komma 5 2 2 4 2" xfId="10516" xr:uid="{F62D90E7-7ECC-4934-8593-94AA1FFC1737}"/>
    <cellStyle name="Komma 5 2 2 4 2 2" xfId="14908" xr:uid="{6F3DDED5-F3D5-4E60-A4BD-ACA0CD065206}"/>
    <cellStyle name="Komma 5 2 2 4 2 2 2" xfId="22455" xr:uid="{DA5B85C8-ECFC-482C-8D6F-26B82E9AE0B0}"/>
    <cellStyle name="Komma 5 2 2 4 2 2 3" xfId="48508" xr:uid="{F2C734D1-65D2-486F-941F-9ACF72E899FB}"/>
    <cellStyle name="Komma 5 2 2 4 2 2 4" xfId="51793" xr:uid="{D57FA7B3-4E5C-41C8-B46A-09965582BA11}"/>
    <cellStyle name="Komma 5 2 2 4 2 2 5" xfId="54809" xr:uid="{F146DA0F-D386-41E7-A273-280BEC8F3314}"/>
    <cellStyle name="Komma 5 2 2 4 2 3" xfId="15393" xr:uid="{9416FDF8-E66E-4E18-B4EF-6C84140B935C}"/>
    <cellStyle name="Komma 5 2 2 4 2 3 2" xfId="22932" xr:uid="{43D82C70-0601-4D28-BDF6-68163EF2CFAF}"/>
    <cellStyle name="Komma 5 2 2 4 2 3 3" xfId="46526" xr:uid="{CE53B28F-D895-46F2-B1EE-0FADA966B686}"/>
    <cellStyle name="Komma 5 2 2 4 2 3 4" xfId="52270" xr:uid="{50A31214-2762-4CDA-9621-A8E8A7EFD874}"/>
    <cellStyle name="Komma 5 2 2 4 2 3 5" xfId="55286" xr:uid="{4DA5C1A6-C3FA-4244-90F7-0D45A5445597}"/>
    <cellStyle name="Komma 5 2 2 4 2 4" xfId="15880" xr:uid="{5FA9AFE6-606B-40F1-AB83-8C5B04218610}"/>
    <cellStyle name="Komma 5 2 2 4 2 4 2" xfId="23409" xr:uid="{49B90AD2-A512-4399-9218-2495D17A8428}"/>
    <cellStyle name="Komma 5 2 2 4 2 4 3" xfId="46600" xr:uid="{894FD563-9BFF-40F6-8ADF-3AE88966C32E}"/>
    <cellStyle name="Komma 5 2 2 4 2 4 4" xfId="52747" xr:uid="{ED0E5EF9-EA71-4FA8-9BB0-06E77A40D29F}"/>
    <cellStyle name="Komma 5 2 2 4 2 4 5" xfId="55763" xr:uid="{4BEC4AB9-9AF5-4367-A6CD-AD8EDB6FDE12}"/>
    <cellStyle name="Komma 5 2 2 4 2 5" xfId="12969" xr:uid="{4850FD08-9078-4F37-BF0B-E42557991144}"/>
    <cellStyle name="Komma 5 2 2 4 2 5 2" xfId="47476" xr:uid="{4AA47BD0-722F-4F0D-BD94-068797DE22F3}"/>
    <cellStyle name="Komma 5 2 2 4 2 5 3" xfId="51316" xr:uid="{43E6CA00-386C-4AEB-9019-D5B8882FF62C}"/>
    <cellStyle name="Komma 5 2 2 4 2 5 4" xfId="54332" xr:uid="{05F54672-A154-4FDE-A650-0D4C600E649B}"/>
    <cellStyle name="Komma 5 2 2 4 2 6" xfId="46143" xr:uid="{AEE1D646-EA93-4713-BC5E-68FF04B8B393}"/>
    <cellStyle name="Komma 5 2 2 4 2 7" xfId="50210" xr:uid="{CCD33871-0FF0-432F-96C5-B53556316019}"/>
    <cellStyle name="Komma 5 2 2 4 2 8" xfId="53226" xr:uid="{2B784889-04E6-40D4-82CE-B3FB0C021EBC}"/>
    <cellStyle name="Komma 5 2 2 4 3" xfId="14696" xr:uid="{12E980D7-E33B-4EA3-A1A6-3D44078107E6}"/>
    <cellStyle name="Komma 5 2 2 4 3 2" xfId="22243" xr:uid="{61CE01AC-8413-4FA1-AC51-B4B7471282A4}"/>
    <cellStyle name="Komma 5 2 2 4 3 3" xfId="46419" xr:uid="{D1314643-8B92-4782-A12B-DE3C94A60423}"/>
    <cellStyle name="Komma 5 2 2 4 3 4" xfId="51581" xr:uid="{5619AD8C-CA5A-4DFA-85DD-5D930AA6C918}"/>
    <cellStyle name="Komma 5 2 2 4 3 5" xfId="54597" xr:uid="{06B3A02A-554C-453A-9E1E-88567CD7E675}"/>
    <cellStyle name="Komma 5 2 2 4 4" xfId="15181" xr:uid="{3C495611-7F5A-4136-8F6C-0B73D65BC620}"/>
    <cellStyle name="Komma 5 2 2 4 4 2" xfId="22720" xr:uid="{F14F3A4C-93FD-42BA-8961-9664D98BF7F4}"/>
    <cellStyle name="Komma 5 2 2 4 4 3" xfId="47682" xr:uid="{ADA41B72-BC77-4389-932E-A802183CA5E2}"/>
    <cellStyle name="Komma 5 2 2 4 4 4" xfId="52058" xr:uid="{7A51A870-3B9F-4423-9D38-35C46B2BDCB3}"/>
    <cellStyle name="Komma 5 2 2 4 4 5" xfId="55074" xr:uid="{1197548A-5745-413B-BD59-0B71CFBA9CAC}"/>
    <cellStyle name="Komma 5 2 2 4 5" xfId="15668" xr:uid="{64704DB5-0E40-4A8D-9498-F249BCBC1030}"/>
    <cellStyle name="Komma 5 2 2 4 5 2" xfId="23197" xr:uid="{26D7FC25-5580-4B27-AA0A-624403A741D4}"/>
    <cellStyle name="Komma 5 2 2 4 5 3" xfId="46569" xr:uid="{99E5D092-4A51-40D3-9511-FED9BB4A26F6}"/>
    <cellStyle name="Komma 5 2 2 4 5 4" xfId="52535" xr:uid="{568512A4-2679-46FF-A213-B564FD352E30}"/>
    <cellStyle name="Komma 5 2 2 4 5 5" xfId="55551" xr:uid="{3C3A27AB-5CEA-4505-9114-0B18709C2217}"/>
    <cellStyle name="Komma 5 2 2 4 6" xfId="12656" xr:uid="{DFE4CE31-E573-4CC2-ADBD-B8A927547AA9}"/>
    <cellStyle name="Komma 5 2 2 4 6 2" xfId="25066" xr:uid="{3B69A5E0-DB54-489D-9C6E-409463371362}"/>
    <cellStyle name="Komma 5 2 2 4 6 3" xfId="51104" xr:uid="{DC23D4CF-75B7-4351-9B78-04EA917D2DAF}"/>
    <cellStyle name="Komma 5 2 2 4 6 4" xfId="54120" xr:uid="{A6643CEB-2B4E-439F-8937-B690F0606041}"/>
    <cellStyle name="Komma 5 2 2 4 7" xfId="25373" xr:uid="{11594B74-7BDA-472C-AAFC-B7497849CFA7}"/>
    <cellStyle name="Komma 5 2 2 4 8" xfId="49998" xr:uid="{4926873A-5D75-4E60-9C35-BC3D963FC5E6}"/>
    <cellStyle name="Komma 5 2 2 4 9" xfId="53014" xr:uid="{24BC9FDC-5A46-4C1E-9501-1879EACB4D1E}"/>
    <cellStyle name="Komma 5 2 2 5" xfId="10282" xr:uid="{42AD9D73-003E-49DB-8244-C4CAFD5DAC37}"/>
    <cellStyle name="Komma 5 2 2 5 2" xfId="14749" xr:uid="{0EFF1A06-5ABC-4E24-B6F4-F1FDCD7384DC}"/>
    <cellStyle name="Komma 5 2 2 5 2 2" xfId="22296" xr:uid="{9C3FDC46-9433-4084-B5E4-16C37DC23202}"/>
    <cellStyle name="Komma 5 2 2 5 2 3" xfId="24459" xr:uid="{87AAD9AB-380F-43D4-AC0B-F5E9F5C1984D}"/>
    <cellStyle name="Komma 5 2 2 5 2 4" xfId="51634" xr:uid="{CC534C29-16E6-4096-9F31-39A6B6C1E436}"/>
    <cellStyle name="Komma 5 2 2 5 2 5" xfId="54650" xr:uid="{EBF242E9-BEDC-4907-8981-74451BDAE3B0}"/>
    <cellStyle name="Komma 5 2 2 5 3" xfId="15234" xr:uid="{7B45A723-EA28-4D88-8C19-4C28DCFA6C65}"/>
    <cellStyle name="Komma 5 2 2 5 3 2" xfId="22773" xr:uid="{405DDBD9-91BA-4D59-B997-28D5E97723A1}"/>
    <cellStyle name="Komma 5 2 2 5 3 3" xfId="47403" xr:uid="{6F1A77E5-71F9-4DD2-93AF-763175B64078}"/>
    <cellStyle name="Komma 5 2 2 5 3 4" xfId="52111" xr:uid="{8CCCC509-743F-4F90-AD8C-260E3381238A}"/>
    <cellStyle name="Komma 5 2 2 5 3 5" xfId="55127" xr:uid="{B2D13C33-CC6C-4254-8FE6-E67129C33E54}"/>
    <cellStyle name="Komma 5 2 2 5 4" xfId="15721" xr:uid="{5D11FA1C-0E10-42A9-890E-C09FF93EF672}"/>
    <cellStyle name="Komma 5 2 2 5 4 2" xfId="23250" xr:uid="{1F5D60E1-F482-4BA5-B50B-EBA2ADFBCA64}"/>
    <cellStyle name="Komma 5 2 2 5 4 3" xfId="48423" xr:uid="{7B33261B-52C9-4D07-8AB2-B586D920C7B4}"/>
    <cellStyle name="Komma 5 2 2 5 4 4" xfId="52588" xr:uid="{90BD5732-8FA3-44C2-BC98-E89D3DF82C97}"/>
    <cellStyle name="Komma 5 2 2 5 4 5" xfId="55604" xr:uid="{F3E56D27-921B-4467-87B3-C99EAF907A75}"/>
    <cellStyle name="Komma 5 2 2 5 5" xfId="12735" xr:uid="{8ED4DE4C-BF0D-4E37-9682-1D8791BD1DDE}"/>
    <cellStyle name="Komma 5 2 2 5 5 2" xfId="46347" xr:uid="{B2BDAE27-DEE1-48B8-B452-69D3298A2D68}"/>
    <cellStyle name="Komma 5 2 2 5 5 3" xfId="51157" xr:uid="{2D014EAE-42D7-49FC-94BA-BE887A0309D0}"/>
    <cellStyle name="Komma 5 2 2 5 5 4" xfId="54173" xr:uid="{70C25728-2A22-48EA-A95C-1B2AF6CEF625}"/>
    <cellStyle name="Komma 5 2 2 5 6" xfId="46084" xr:uid="{104F7E98-6334-47D4-B038-C5AE120165D1}"/>
    <cellStyle name="Komma 5 2 2 5 7" xfId="50051" xr:uid="{091C8814-AA6D-4C00-872C-C1D382E17CEE}"/>
    <cellStyle name="Komma 5 2 2 5 8" xfId="53067" xr:uid="{3C4DADB6-2378-4ED2-828B-8BDFD4C1143E}"/>
    <cellStyle name="Komma 5 2 2 6" xfId="10596" xr:uid="{DCAFB002-1BA9-4C14-BA78-E756F6CFBAA7}"/>
    <cellStyle name="Komma 5 2 2 6 2" xfId="14961" xr:uid="{DCE1CFD1-8E8E-4CBC-BC2D-2ABD261A0892}"/>
    <cellStyle name="Komma 5 2 2 6 2 2" xfId="22508" xr:uid="{45ACD1A6-177F-4290-B998-7809E6E94ACB}"/>
    <cellStyle name="Komma 5 2 2 6 2 3" xfId="32517" xr:uid="{037A1CEB-2F0F-4901-9854-954322469BA3}"/>
    <cellStyle name="Komma 5 2 2 6 2 4" xfId="51846" xr:uid="{6384145F-BB4C-43AD-8D0F-E53FB32130D5}"/>
    <cellStyle name="Komma 5 2 2 6 2 5" xfId="54862" xr:uid="{C2C8C451-758B-4FE8-B647-6B25BB1CF43D}"/>
    <cellStyle name="Komma 5 2 2 6 3" xfId="15446" xr:uid="{07FB9C30-2776-4B04-AF78-349F47CF9F47}"/>
    <cellStyle name="Komma 5 2 2 6 3 2" xfId="22985" xr:uid="{3FE95696-F3D7-4D44-9986-5438845D33C6}"/>
    <cellStyle name="Komma 5 2 2 6 3 3" xfId="48305" xr:uid="{C4E4FF9B-A620-41D7-955F-091BC8E863C5}"/>
    <cellStyle name="Komma 5 2 2 6 3 4" xfId="52323" xr:uid="{F88586D2-0F98-446B-A918-E0C72BBAD083}"/>
    <cellStyle name="Komma 5 2 2 6 3 5" xfId="55339" xr:uid="{53369100-45A6-4A8F-A7D8-1D5E4EFAB156}"/>
    <cellStyle name="Komma 5 2 2 6 4" xfId="15934" xr:uid="{B309D8F9-D730-42F8-B2FE-ACC4242C414B}"/>
    <cellStyle name="Komma 5 2 2 6 4 2" xfId="23462" xr:uid="{FB642F9B-851C-4800-9EF2-C1E4F79195CE}"/>
    <cellStyle name="Komma 5 2 2 6 4 3" xfId="46609" xr:uid="{6436D0DA-F6D2-4BC5-8DE3-6C93A07FFA9D}"/>
    <cellStyle name="Komma 5 2 2 6 4 4" xfId="52800" xr:uid="{E2FFB2D9-E8C3-4209-B653-CB2C041010C7}"/>
    <cellStyle name="Komma 5 2 2 6 4 5" xfId="55816" xr:uid="{357FAA3A-3191-42C6-9933-B189980BA05F}"/>
    <cellStyle name="Komma 5 2 2 6 5" xfId="13049" xr:uid="{3435D779-D3E3-4A3E-8A8A-E709FEC8A16B}"/>
    <cellStyle name="Komma 5 2 2 6 5 2" xfId="46826" xr:uid="{8D6C081E-6E53-4BDC-AB18-114B8ECD40BF}"/>
    <cellStyle name="Komma 5 2 2 6 5 3" xfId="51369" xr:uid="{D0B78E5A-E963-4CF9-9660-6F789811BB46}"/>
    <cellStyle name="Komma 5 2 2 6 5 4" xfId="54385" xr:uid="{9579C10E-35D7-4287-994F-665D6ECE5DF9}"/>
    <cellStyle name="Komma 5 2 2 6 6" xfId="46157" xr:uid="{355F164E-CC60-4A22-8D54-4E34FCF0BE12}"/>
    <cellStyle name="Komma 5 2 2 6 7" xfId="50263" xr:uid="{0C506546-CCBA-4A1A-A954-F6DAEF9F46D0}"/>
    <cellStyle name="Komma 5 2 2 6 8" xfId="53279" xr:uid="{E5CC1D7D-2952-462B-93FE-CB5B17C19CEF}"/>
    <cellStyle name="Komma 5 2 2 7" xfId="14537" xr:uid="{31034648-8DB6-4C1F-BE03-1FF170B1EC6C}"/>
    <cellStyle name="Komma 5 2 2 7 2" xfId="22084" xr:uid="{E574FABF-B440-4CAA-BA8D-DC2A42408865}"/>
    <cellStyle name="Komma 5 2 2 7 3" xfId="48058" xr:uid="{045A6DA6-CEEC-4CCA-B137-3828064A3E3E}"/>
    <cellStyle name="Komma 5 2 2 7 4" xfId="51422" xr:uid="{BC509813-82A4-48CC-B5C3-11F4BBEC1159}"/>
    <cellStyle name="Komma 5 2 2 7 5" xfId="54438" xr:uid="{06D126AF-A9BD-48F5-8BA3-861792ECC7D6}"/>
    <cellStyle name="Komma 5 2 2 8" xfId="15021" xr:uid="{B881F4FF-56AA-45E0-8437-827907E0783C}"/>
    <cellStyle name="Komma 5 2 2 8 2" xfId="22561" xr:uid="{A9B6B5E2-1ABF-437D-8D64-AF98A6D468E1}"/>
    <cellStyle name="Komma 5 2 2 8 3" xfId="46468" xr:uid="{CCA3E3C9-C683-4EEC-BC44-5F73DF2E97A2}"/>
    <cellStyle name="Komma 5 2 2 8 4" xfId="51899" xr:uid="{272B5C39-650F-4823-97B1-EE158564367C}"/>
    <cellStyle name="Komma 5 2 2 8 5" xfId="54915" xr:uid="{FCEF2EAC-23FE-4DCF-B1A2-B76792428CB4}"/>
    <cellStyle name="Komma 5 2 2 9" xfId="15508" xr:uid="{73C4DCFF-ED89-463B-A14D-8CBA10DA0E8B}"/>
    <cellStyle name="Komma 5 2 2 9 2" xfId="23038" xr:uid="{219D12E4-31AA-46D5-B7AD-3F3BDA764A54}"/>
    <cellStyle name="Komma 5 2 2 9 3" xfId="48279" xr:uid="{E4E23DED-E17F-4DA2-876D-E28A133A8A9B}"/>
    <cellStyle name="Komma 5 2 2 9 4" xfId="52376" xr:uid="{B8D2C6D2-659B-45E3-997B-152A1C2A45C6}"/>
    <cellStyle name="Komma 5 2 2 9 5" xfId="55392" xr:uid="{3BC95E04-A75F-48AE-AF8E-430447B5D28A}"/>
    <cellStyle name="Komma 5 2 3" xfId="10048" xr:uid="{6D26F375-A95D-4798-B3ED-8715944D7EA1}"/>
    <cellStyle name="Komma 5 2 3 10" xfId="49680" xr:uid="{C81D3187-956A-4411-8E88-37C711E24D9E}"/>
    <cellStyle name="Komma 5 2 3 11" xfId="49891" xr:uid="{549ED2E5-B057-4610-9EE3-ADB04E8BD4AC}"/>
    <cellStyle name="Komma 5 2 3 12" xfId="52907" xr:uid="{F1B01149-1653-4C0D-93A6-CEF8B108E0D6}"/>
    <cellStyle name="Komma 5 2 3 2" xfId="10356" xr:uid="{D778BFA5-A5D1-45AE-B37B-15D614793D6B}"/>
    <cellStyle name="Komma 5 2 3 2 10" xfId="50103" xr:uid="{6B69E809-3B49-47B8-BE22-18A032864E60}"/>
    <cellStyle name="Komma 5 2 3 2 11" xfId="53119" xr:uid="{AA6CFD46-249A-4CBF-8D74-E3499B3CA44C}"/>
    <cellStyle name="Komma 5 2 3 2 2" xfId="14801" xr:uid="{6B518636-F11F-4882-88C5-A5770C7E6B39}"/>
    <cellStyle name="Komma 5 2 3 2 2 2" xfId="22348" xr:uid="{0CAFE970-8F5C-4EED-97AC-276FB01B705C}"/>
    <cellStyle name="Komma 5 2 3 2 2 3" xfId="46435" xr:uid="{A4C6EFEF-1D39-4D71-9AE6-160E5C1B4F82}"/>
    <cellStyle name="Komma 5 2 3 2 2 4" xfId="51686" xr:uid="{96AC1346-2EDA-4114-8020-139F62D482F7}"/>
    <cellStyle name="Komma 5 2 3 2 2 5" xfId="54702" xr:uid="{D64162FB-BFC1-4F5B-A298-FD57AB3580F4}"/>
    <cellStyle name="Komma 5 2 3 2 3" xfId="15286" xr:uid="{B8B70CF6-EE68-4C61-BA69-DBE85873887F}"/>
    <cellStyle name="Komma 5 2 3 2 3 2" xfId="22825" xr:uid="{EFB34082-C32D-4F5A-83C6-34063B1DF50F}"/>
    <cellStyle name="Komma 5 2 3 2 3 3" xfId="24178" xr:uid="{2165B8DA-0C3B-404D-9871-7EE4320C55F6}"/>
    <cellStyle name="Komma 5 2 3 2 3 4" xfId="52163" xr:uid="{78630F49-A584-4A0B-9D96-0AF3FEF9CEB9}"/>
    <cellStyle name="Komma 5 2 3 2 3 5" xfId="55179" xr:uid="{780E4C01-0D77-49A6-87C1-16D13B7FDAA1}"/>
    <cellStyle name="Komma 5 2 3 2 4" xfId="15773" xr:uid="{87BC07D0-8A3F-4050-8800-01C109704D0B}"/>
    <cellStyle name="Komma 5 2 3 2 4 2" xfId="23302" xr:uid="{65972067-3B13-4CA7-8645-EF68F3AEAE5B}"/>
    <cellStyle name="Komma 5 2 3 2 4 3" xfId="47353" xr:uid="{CCF3273D-3522-4B6C-A8EB-9B6053C8CC1B}"/>
    <cellStyle name="Komma 5 2 3 2 4 4" xfId="52640" xr:uid="{880D297F-4FF0-4834-9CB0-10F143FF509E}"/>
    <cellStyle name="Komma 5 2 3 2 4 5" xfId="55656" xr:uid="{EB172D87-E6B8-47E5-AF70-760F44955568}"/>
    <cellStyle name="Komma 5 2 3 2 5" xfId="12809" xr:uid="{A610C2E1-A0BB-4F0B-B34E-FDA7A65DBFF0}"/>
    <cellStyle name="Komma 5 2 3 2 5 2" xfId="46356" xr:uid="{618AFA74-8EA0-4979-B6E2-96156A25A8A3}"/>
    <cellStyle name="Komma 5 2 3 2 5 3" xfId="51209" xr:uid="{A5B3573F-4DB8-4D72-92DF-E9E20463C9C3}"/>
    <cellStyle name="Komma 5 2 3 2 5 4" xfId="54225" xr:uid="{40CC33EA-0E84-4650-9A08-FE1597B65813}"/>
    <cellStyle name="Komma 5 2 3 2 6" xfId="23926" xr:uid="{4866DE52-80CE-4CE0-BBC7-CA941AFC294D}"/>
    <cellStyle name="Komma 5 2 3 2 7" xfId="47879" xr:uid="{E1950374-562C-4F33-A9DD-EE26728B49C0}"/>
    <cellStyle name="Komma 5 2 3 2 8" xfId="48775" xr:uid="{2DC3A3E4-8F42-400A-B3E1-756FB44078D4}"/>
    <cellStyle name="Komma 5 2 3 2 9" xfId="49681" xr:uid="{3EBE7CF3-B454-4CBC-83A4-7EFE3BC9151F}"/>
    <cellStyle name="Komma 5 2 3 3" xfId="14589" xr:uid="{B55AF7EA-6F84-45C7-A1E9-4D324F274AFA}"/>
    <cellStyle name="Komma 5 2 3 3 2" xfId="22136" xr:uid="{88E28F86-5892-4E50-87A6-8C2ED2FF256F}"/>
    <cellStyle name="Komma 5 2 3 3 3" xfId="24669" xr:uid="{2CB0BC7C-8762-4316-A532-7948BC0BA586}"/>
    <cellStyle name="Komma 5 2 3 3 4" xfId="51474" xr:uid="{3BD8B224-EF79-4509-83C3-95771D1EA168}"/>
    <cellStyle name="Komma 5 2 3 3 5" xfId="54490" xr:uid="{320E95F2-CB92-4A39-86B3-9A782912D163}"/>
    <cellStyle name="Komma 5 2 3 4" xfId="15073" xr:uid="{0E2A7DF2-C5BA-4B4A-A305-80791C61DEE3}"/>
    <cellStyle name="Komma 5 2 3 4 2" xfId="22613" xr:uid="{1F7ED3D9-FDAA-49B1-A1ED-1F5D809B953F}"/>
    <cellStyle name="Komma 5 2 3 4 3" xfId="47038" xr:uid="{B1432783-8F1C-45A0-B801-483289BFC42E}"/>
    <cellStyle name="Komma 5 2 3 4 4" xfId="51951" xr:uid="{1A963F20-A481-41A5-BA33-5CBE2642AED7}"/>
    <cellStyle name="Komma 5 2 3 4 5" xfId="54967" xr:uid="{4937B691-16B2-4D21-B9AB-C899B7A8AF3C}"/>
    <cellStyle name="Komma 5 2 3 5" xfId="15560" xr:uid="{B044E91B-BF2B-4E94-97B5-9F46439F7B3F}"/>
    <cellStyle name="Komma 5 2 3 5 2" xfId="23090" xr:uid="{4DE9BF88-6977-4E93-933E-D08AD5EF3B35}"/>
    <cellStyle name="Komma 5 2 3 5 3" xfId="48225" xr:uid="{BE3379FA-45DA-468E-A45B-03AB9C204664}"/>
    <cellStyle name="Komma 5 2 3 5 4" xfId="52428" xr:uid="{16875C19-F17F-4EE7-BFD2-9C3C8C7932B1}"/>
    <cellStyle name="Komma 5 2 3 5 5" xfId="55444" xr:uid="{75A379A6-C411-4DA1-9109-3C1A83637A70}"/>
    <cellStyle name="Komma 5 2 3 6" xfId="12508" xr:uid="{1D4C6A9F-64B9-451A-B98A-90CA91E87B10}"/>
    <cellStyle name="Komma 5 2 3 6 2" xfId="46762" xr:uid="{2B23F67D-E6F3-45D4-B99C-56A18AC497F2}"/>
    <cellStyle name="Komma 5 2 3 6 3" xfId="50997" xr:uid="{30E09DC3-EF70-4219-8428-9C9B66866E01}"/>
    <cellStyle name="Komma 5 2 3 6 4" xfId="54013" xr:uid="{85BFE13B-F25B-4BC8-AB94-041D30EC6916}"/>
    <cellStyle name="Komma 5 2 3 7" xfId="23925" xr:uid="{B958830D-8EB4-4F37-8AF3-BAF79E4CCC74}"/>
    <cellStyle name="Komma 5 2 3 8" xfId="48430" xr:uid="{AFE0C999-266D-4425-AB95-08CE94656DD5}"/>
    <cellStyle name="Komma 5 2 3 9" xfId="48774" xr:uid="{595A257D-51D2-4A53-A9BF-C03C726F9154}"/>
    <cellStyle name="Komma 5 2 4" xfId="10122" xr:uid="{60310247-4FD2-4E71-A61C-A14B484BAC98}"/>
    <cellStyle name="Komma 5 2 4 10" xfId="49682" xr:uid="{53ECD7FE-F13E-481C-9523-E54A2755D2DF}"/>
    <cellStyle name="Komma 5 2 4 11" xfId="49944" xr:uid="{0607862A-1CFA-468C-BCCF-3C527D48C691}"/>
    <cellStyle name="Komma 5 2 4 12" xfId="52960" xr:uid="{5195D341-8177-460F-AF98-6E2632CBDE9F}"/>
    <cellStyle name="Komma 5 2 4 2" xfId="10435" xr:uid="{5265E06D-707C-4CB8-B930-619F4EA0B32A}"/>
    <cellStyle name="Komma 5 2 4 2 2" xfId="14854" xr:uid="{03226763-D588-4284-A517-444BF4509BCF}"/>
    <cellStyle name="Komma 5 2 4 2 2 2" xfId="22401" xr:uid="{D126D79C-5B0F-4F2B-9451-F4ECF01109E4}"/>
    <cellStyle name="Komma 5 2 4 2 2 3" xfId="34031" xr:uid="{EA0AA647-E96E-4D03-BF6C-0A8F59BBA855}"/>
    <cellStyle name="Komma 5 2 4 2 2 4" xfId="51739" xr:uid="{AAC3000E-5628-4A9F-AB35-53F9D9EEA8F2}"/>
    <cellStyle name="Komma 5 2 4 2 2 5" xfId="54755" xr:uid="{BDEA32F3-4E5A-4E6C-8D73-D70B49EDCB88}"/>
    <cellStyle name="Komma 5 2 4 2 3" xfId="15339" xr:uid="{C098CF2B-50B5-4159-8867-C1BE6CBEA813}"/>
    <cellStyle name="Komma 5 2 4 2 3 2" xfId="22878" xr:uid="{26F5083E-4654-4123-A4A4-D3E5143D807E}"/>
    <cellStyle name="Komma 5 2 4 2 3 3" xfId="48417" xr:uid="{CE91B16F-04F9-4CA6-89FE-F9B6EBF95A0A}"/>
    <cellStyle name="Komma 5 2 4 2 3 4" xfId="52216" xr:uid="{B8C6B58B-E6A0-455E-B8FC-BAA5D8D490B7}"/>
    <cellStyle name="Komma 5 2 4 2 3 5" xfId="55232" xr:uid="{4EBC77DD-8F75-42DD-8C3B-D9447E7C8203}"/>
    <cellStyle name="Komma 5 2 4 2 4" xfId="15826" xr:uid="{EE948814-CCDD-4526-B339-7B70D35CAFCA}"/>
    <cellStyle name="Komma 5 2 4 2 4 2" xfId="23355" xr:uid="{FD1ECE90-5CAD-4FE5-B98B-31ED3CBA35C5}"/>
    <cellStyle name="Komma 5 2 4 2 4 3" xfId="46971" xr:uid="{F3238A9D-D889-455F-91C8-3D4549611F23}"/>
    <cellStyle name="Komma 5 2 4 2 4 4" xfId="52693" xr:uid="{2DE24DCD-28D9-4501-9BDB-128EAF6F5CB2}"/>
    <cellStyle name="Komma 5 2 4 2 4 5" xfId="55709" xr:uid="{169E7D4A-C319-40A9-ADF1-69A12414EB3B}"/>
    <cellStyle name="Komma 5 2 4 2 5" xfId="12888" xr:uid="{B7F47397-010F-40B6-8D61-88C51B5FBCB2}"/>
    <cellStyle name="Komma 5 2 4 2 5 2" xfId="48497" xr:uid="{8CE2CDAE-1EC9-4471-8746-D7B6BBAD66A5}"/>
    <cellStyle name="Komma 5 2 4 2 5 3" xfId="51262" xr:uid="{45773C63-49B5-47B1-8FBA-1A7EA18C2A86}"/>
    <cellStyle name="Komma 5 2 4 2 5 4" xfId="54278" xr:uid="{59745FFD-35BC-4F39-9919-6139EC788DA9}"/>
    <cellStyle name="Komma 5 2 4 2 6" xfId="46627" xr:uid="{62D2B8D2-2302-403F-ADC4-380FBADCED12}"/>
    <cellStyle name="Komma 5 2 4 2 7" xfId="50156" xr:uid="{28108241-C524-4128-96E4-72D33379034F}"/>
    <cellStyle name="Komma 5 2 4 2 8" xfId="53172" xr:uid="{FCC1B7BA-1F2A-45C0-9D44-56A5CFF43D7A}"/>
    <cellStyle name="Komma 5 2 4 3" xfId="14642" xr:uid="{09D88721-82CD-4E3B-897A-D3746E8EDA41}"/>
    <cellStyle name="Komma 5 2 4 3 2" xfId="22189" xr:uid="{BE5AD4A3-32F3-490F-B176-08AE3B002AD1}"/>
    <cellStyle name="Komma 5 2 4 3 3" xfId="37006" xr:uid="{8EB09CDA-69F0-4335-9789-B23C07EB285E}"/>
    <cellStyle name="Komma 5 2 4 3 4" xfId="51527" xr:uid="{F219567B-DF07-469D-81EE-EE0136776E82}"/>
    <cellStyle name="Komma 5 2 4 3 5" xfId="54543" xr:uid="{422B5C23-4B68-45B9-9B91-C484E9FF2241}"/>
    <cellStyle name="Komma 5 2 4 4" xfId="15127" xr:uid="{82ED0766-4E05-4047-BEA5-54A5317E5E04}"/>
    <cellStyle name="Komma 5 2 4 4 2" xfId="22666" xr:uid="{A3F0E36D-498A-4014-B387-8CC44958E20B}"/>
    <cellStyle name="Komma 5 2 4 4 3" xfId="46486" xr:uid="{62BBE29B-526D-4B38-A405-E8857F3525C8}"/>
    <cellStyle name="Komma 5 2 4 4 4" xfId="52004" xr:uid="{CBF4EAAC-B089-432E-9B41-96C542087D75}"/>
    <cellStyle name="Komma 5 2 4 4 5" xfId="55020" xr:uid="{4E910EAD-D380-463C-927A-65A8822A1597}"/>
    <cellStyle name="Komma 5 2 4 5" xfId="15614" xr:uid="{416F89A0-943C-4018-9A1E-3F8872E2DD7C}"/>
    <cellStyle name="Komma 5 2 4 5 2" xfId="23143" xr:uid="{0ED9C226-ACDC-4FE6-88A1-7066A69CB153}"/>
    <cellStyle name="Komma 5 2 4 5 3" xfId="46941" xr:uid="{AB13F773-CA1A-4B9E-AA26-F61920E99703}"/>
    <cellStyle name="Komma 5 2 4 5 4" xfId="52481" xr:uid="{000C4AD0-6D7C-4C2D-972E-74B831D31B15}"/>
    <cellStyle name="Komma 5 2 4 5 5" xfId="55497" xr:uid="{868F855F-B635-46ED-92B1-4A5053B6C6FF}"/>
    <cellStyle name="Komma 5 2 4 6" xfId="12579" xr:uid="{609BC24E-ECB5-4175-B097-3B2897A20C09}"/>
    <cellStyle name="Komma 5 2 4 6 2" xfId="46326" xr:uid="{10BEB181-3A70-44A6-B7FF-51F627BB7E67}"/>
    <cellStyle name="Komma 5 2 4 6 3" xfId="51050" xr:uid="{B9DA1869-A7E9-40AF-B1F3-63FC2799628F}"/>
    <cellStyle name="Komma 5 2 4 6 4" xfId="54066" xr:uid="{483552EC-1B2C-464E-9214-078BD9A689E2}"/>
    <cellStyle name="Komma 5 2 4 7" xfId="23927" xr:uid="{3F236356-F490-4323-AE84-912F17DDC18E}"/>
    <cellStyle name="Komma 5 2 4 8" xfId="47871" xr:uid="{29BE3FCB-6113-437D-9BD3-5235EC2CD489}"/>
    <cellStyle name="Komma 5 2 4 9" xfId="48776" xr:uid="{E19E33D7-2A5B-44BC-84AE-FDD10462B771}"/>
    <cellStyle name="Komma 5 2 5" xfId="10201" xr:uid="{D1CE8DEC-D5C3-44DA-A195-A57A689EBF63}"/>
    <cellStyle name="Komma 5 2 5 10" xfId="49683" xr:uid="{A037DC92-2A6F-47F0-A472-93DB8A22F55C}"/>
    <cellStyle name="Komma 5 2 5 11" xfId="49997" xr:uid="{30CA6EDB-0442-425A-A245-15C54F4EF433}"/>
    <cellStyle name="Komma 5 2 5 12" xfId="53013" xr:uid="{2940329E-B600-4E90-AD2D-FD88BBFB4A54}"/>
    <cellStyle name="Komma 5 2 5 2" xfId="10515" xr:uid="{159D91A0-F303-4B23-ABDA-1F103110D7E8}"/>
    <cellStyle name="Komma 5 2 5 2 2" xfId="14907" xr:uid="{163A1AF3-D21C-4B34-A314-781FB8C49A30}"/>
    <cellStyle name="Komma 5 2 5 2 2 2" xfId="22454" xr:uid="{D493E840-373F-47F2-9610-4FAECF761C49}"/>
    <cellStyle name="Komma 5 2 5 2 2 3" xfId="47486" xr:uid="{63396AC4-B14B-421F-94D8-5EAD6174C60F}"/>
    <cellStyle name="Komma 5 2 5 2 2 4" xfId="51792" xr:uid="{4005FF69-C738-4BED-9777-C938ABDE491B}"/>
    <cellStyle name="Komma 5 2 5 2 2 5" xfId="54808" xr:uid="{EF5CC5EA-151A-4CBC-9EDA-78FEC90FCEA6}"/>
    <cellStyle name="Komma 5 2 5 2 3" xfId="15392" xr:uid="{745D820F-A853-4876-B315-FEE214293FF0}"/>
    <cellStyle name="Komma 5 2 5 2 3 2" xfId="22931" xr:uid="{607CA071-8DDB-4FA1-9D5F-AD4A23C27F51}"/>
    <cellStyle name="Komma 5 2 5 2 3 3" xfId="46525" xr:uid="{35E86865-BACB-4E80-AD46-8B3B5AFD35CE}"/>
    <cellStyle name="Komma 5 2 5 2 3 4" xfId="52269" xr:uid="{450B0A3F-C75B-4E98-949E-5C3EABBA2B26}"/>
    <cellStyle name="Komma 5 2 5 2 3 5" xfId="55285" xr:uid="{8160690E-7570-4BEA-8C48-235D3A8830E1}"/>
    <cellStyle name="Komma 5 2 5 2 4" xfId="15879" xr:uid="{3A70F15F-C8E0-4C42-8A27-D128C52048A5}"/>
    <cellStyle name="Komma 5 2 5 2 4 2" xfId="23408" xr:uid="{65C1A83B-23BE-4AB2-A886-714E8ED30FBE}"/>
    <cellStyle name="Komma 5 2 5 2 4 3" xfId="47971" xr:uid="{0DBF6706-83A7-41BC-974C-030372D9E73D}"/>
    <cellStyle name="Komma 5 2 5 2 4 4" xfId="52746" xr:uid="{B7322458-5F0C-4F49-9FD3-9FAFAEA53DB2}"/>
    <cellStyle name="Komma 5 2 5 2 4 5" xfId="55762" xr:uid="{20FA08B6-03BA-4214-B753-D09BCB393ECE}"/>
    <cellStyle name="Komma 5 2 5 2 5" xfId="12968" xr:uid="{60854466-3D3A-4BFE-AC8E-91FCD9D790ED}"/>
    <cellStyle name="Komma 5 2 5 2 5 2" xfId="46817" xr:uid="{BEEC8084-84DF-47A0-B1C6-9524D87E1926}"/>
    <cellStyle name="Komma 5 2 5 2 5 3" xfId="51315" xr:uid="{3E8FE961-9527-42F9-94DA-F139915BA4AA}"/>
    <cellStyle name="Komma 5 2 5 2 5 4" xfId="54331" xr:uid="{95154E9F-CB0C-43E2-BB8F-1CA5575796D9}"/>
    <cellStyle name="Komma 5 2 5 2 6" xfId="47954" xr:uid="{A29B9650-A2A4-4043-B6B2-F0CC6802CF04}"/>
    <cellStyle name="Komma 5 2 5 2 7" xfId="50209" xr:uid="{DC4E99D0-F056-4FD8-982A-E29551C83A18}"/>
    <cellStyle name="Komma 5 2 5 2 8" xfId="53225" xr:uid="{F3C898DE-CA0C-454A-9647-FA797773D5D5}"/>
    <cellStyle name="Komma 5 2 5 3" xfId="14695" xr:uid="{A025FABD-00F1-4435-8A7B-3669F86AE5BE}"/>
    <cellStyle name="Komma 5 2 5 3 2" xfId="22242" xr:uid="{08C576ED-45B3-4A03-AE0C-EC991CFAD196}"/>
    <cellStyle name="Komma 5 2 5 3 3" xfId="47626" xr:uid="{A10A4918-81DA-4923-AD0B-47B371312584}"/>
    <cellStyle name="Komma 5 2 5 3 4" xfId="51580" xr:uid="{684CAFB7-8BC5-4E8D-9163-8227553F63E7}"/>
    <cellStyle name="Komma 5 2 5 3 5" xfId="54596" xr:uid="{BB5FE053-251D-4DA8-B7EF-5248D2E3B102}"/>
    <cellStyle name="Komma 5 2 5 4" xfId="15180" xr:uid="{F6997AA1-057B-4D9A-AAEB-33D8985CAB79}"/>
    <cellStyle name="Komma 5 2 5 4 2" xfId="22719" xr:uid="{20B2E187-ADF6-422B-AABA-938611A309B0}"/>
    <cellStyle name="Komma 5 2 5 4 3" xfId="46890" xr:uid="{548233B4-A266-4C89-B05F-9FA6B37C3731}"/>
    <cellStyle name="Komma 5 2 5 4 4" xfId="52057" xr:uid="{198AC1B4-108D-4DD8-B97C-D7644FF53D71}"/>
    <cellStyle name="Komma 5 2 5 4 5" xfId="55073" xr:uid="{D3C57059-5B19-4430-BC54-C671029167BC}"/>
    <cellStyle name="Komma 5 2 5 5" xfId="15667" xr:uid="{88204B4F-C353-423F-947A-D045D1AD5C01}"/>
    <cellStyle name="Komma 5 2 5 5 2" xfId="23196" xr:uid="{26CA4838-9A62-4FF5-BA64-3413A98E1B88}"/>
    <cellStyle name="Komma 5 2 5 5 3" xfId="46568" xr:uid="{79036E19-A268-4838-8150-FCCC903F5CFE}"/>
    <cellStyle name="Komma 5 2 5 5 4" xfId="52534" xr:uid="{8FEE2239-D95F-44B0-9935-1C8B0DA5A3DB}"/>
    <cellStyle name="Komma 5 2 5 5 5" xfId="55550" xr:uid="{46AA4E97-732A-4ABC-8533-07BB8226CDC7}"/>
    <cellStyle name="Komma 5 2 5 6" xfId="12655" xr:uid="{6556BE8D-C97F-4971-8FF4-D93945DDFA51}"/>
    <cellStyle name="Komma 5 2 5 6 2" xfId="47093" xr:uid="{379BAAF1-5662-4259-B02A-1A282AC4E938}"/>
    <cellStyle name="Komma 5 2 5 6 3" xfId="51103" xr:uid="{20D5E5AF-4188-4AD1-A3D7-C55D0A901322}"/>
    <cellStyle name="Komma 5 2 5 6 4" xfId="54119" xr:uid="{A01A56D7-DE3D-48B1-A0A2-615EADAEFDF8}"/>
    <cellStyle name="Komma 5 2 5 7" xfId="23928" xr:uid="{17E99C51-EDC7-4641-AA7F-401EAEE9D6C6}"/>
    <cellStyle name="Komma 5 2 5 8" xfId="47875" xr:uid="{74493FD5-CA23-4B90-BCA8-B3B149508C8E}"/>
    <cellStyle name="Komma 5 2 5 9" xfId="48777" xr:uid="{0BB7FC9E-C35F-4935-8D77-ED9315DCAFA6}"/>
    <cellStyle name="Komma 5 2 6" xfId="10281" xr:uid="{F3488F8A-DA39-4ED8-A106-C00DB30E9888}"/>
    <cellStyle name="Komma 5 2 6 2" xfId="14748" xr:uid="{09C06137-4536-45E3-8C77-C2CB233FA844}"/>
    <cellStyle name="Komma 5 2 6 2 2" xfId="22295" xr:uid="{C1A9E064-9371-406D-97DD-36BA86D1261D}"/>
    <cellStyle name="Komma 5 2 6 2 3" xfId="24952" xr:uid="{318BC09C-8207-49BE-A2B4-284320477234}"/>
    <cellStyle name="Komma 5 2 6 2 4" xfId="51633" xr:uid="{69252948-53FF-4DFA-90A0-88F6CAFFF256}"/>
    <cellStyle name="Komma 5 2 6 2 5" xfId="54649" xr:uid="{1703DF55-7837-493F-B2B5-34CE537AE435}"/>
    <cellStyle name="Komma 5 2 6 3" xfId="15233" xr:uid="{1B8089DB-DE2B-451A-9B50-0017FB90A742}"/>
    <cellStyle name="Komma 5 2 6 3 2" xfId="22772" xr:uid="{95D572FB-7CBA-499C-BB4B-E9C015D98794}"/>
    <cellStyle name="Komma 5 2 6 3 3" xfId="48253" xr:uid="{272BF97B-70E8-438F-8BF4-F1BB41C7C98C}"/>
    <cellStyle name="Komma 5 2 6 3 4" xfId="52110" xr:uid="{5779C1F5-DBAA-42C7-A04A-6E56E8AF508D}"/>
    <cellStyle name="Komma 5 2 6 3 5" xfId="55126" xr:uid="{D869A481-8609-46EF-B02A-101254082BE3}"/>
    <cellStyle name="Komma 5 2 6 4" xfId="15720" xr:uid="{3E52CCB3-C939-466C-990C-F80C2ECA79B9}"/>
    <cellStyle name="Komma 5 2 6 4 2" xfId="23249" xr:uid="{9EDBEC5C-CAB7-4D6B-B018-481311941B17}"/>
    <cellStyle name="Komma 5 2 6 4 3" xfId="47137" xr:uid="{D23F9B87-7DF4-4365-8AF6-813A0EE54BE4}"/>
    <cellStyle name="Komma 5 2 6 4 4" xfId="52587" xr:uid="{FEA607E8-97BC-4D86-A168-DC0C719975BC}"/>
    <cellStyle name="Komma 5 2 6 4 5" xfId="55603" xr:uid="{83A8F47E-73B2-4BE2-BFA1-6745DC8D0153}"/>
    <cellStyle name="Komma 5 2 6 5" xfId="12734" xr:uid="{5C15354A-E569-420D-9664-2B1DC9334169}"/>
    <cellStyle name="Komma 5 2 6 5 2" xfId="32277" xr:uid="{497516C4-6D2D-43BF-B896-EE3909FD8FF9}"/>
    <cellStyle name="Komma 5 2 6 5 3" xfId="51156" xr:uid="{CB2E8229-2087-472B-8212-19A0131823AC}"/>
    <cellStyle name="Komma 5 2 6 5 4" xfId="54172" xr:uid="{3A3803FD-00A7-4319-8BC6-1DFA79CF6D90}"/>
    <cellStyle name="Komma 5 2 6 6" xfId="47067" xr:uid="{A7D7C029-DAD4-40EB-BE85-0B00C41D2F13}"/>
    <cellStyle name="Komma 5 2 6 7" xfId="50050" xr:uid="{B9BEDF79-1A81-47BF-8778-814B5331DC8C}"/>
    <cellStyle name="Komma 5 2 6 8" xfId="53066" xr:uid="{C4156AEF-C00D-4755-81B1-D2ECC86C7677}"/>
    <cellStyle name="Komma 5 2 7" xfId="10595" xr:uid="{AE06B94D-C300-4057-97FF-96B1E625D392}"/>
    <cellStyle name="Komma 5 2 7 2" xfId="14960" xr:uid="{7B8F0738-F2FC-4574-AD4B-0D763CCF9167}"/>
    <cellStyle name="Komma 5 2 7 2 2" xfId="22507" xr:uid="{A289A0CC-B242-4DB1-908F-78D8D28BB7A4}"/>
    <cellStyle name="Komma 5 2 7 2 3" xfId="47836" xr:uid="{13A800E8-E22A-472E-9184-C32C0722C33E}"/>
    <cellStyle name="Komma 5 2 7 2 4" xfId="51845" xr:uid="{7D4E9D62-F509-4AB4-9A97-55365C5AF100}"/>
    <cellStyle name="Komma 5 2 7 2 5" xfId="54861" xr:uid="{E1683A22-805A-4F4E-A49B-9D3A6FC58FE1}"/>
    <cellStyle name="Komma 5 2 7 3" xfId="15445" xr:uid="{2261BD99-E217-44F3-87CC-E759B1C833B5}"/>
    <cellStyle name="Komma 5 2 7 3 2" xfId="22984" xr:uid="{32C1F509-599A-450E-A881-749E459DCD76}"/>
    <cellStyle name="Komma 5 2 7 3 3" xfId="46536" xr:uid="{772AAB39-8990-4A5F-9D67-7E93848827C2}"/>
    <cellStyle name="Komma 5 2 7 3 4" xfId="52322" xr:uid="{EA278920-4A2E-40D8-86B3-7F4C84AB395D}"/>
    <cellStyle name="Komma 5 2 7 3 5" xfId="55338" xr:uid="{70DC8716-40D3-4F30-A967-68F42AD6F3FE}"/>
    <cellStyle name="Komma 5 2 7 4" xfId="15933" xr:uid="{E7AC21FB-9A66-4148-A506-62C74392848D}"/>
    <cellStyle name="Komma 5 2 7 4 2" xfId="23461" xr:uid="{6380D6DF-6F70-4DCF-AAC2-717373631DA1}"/>
    <cellStyle name="Komma 5 2 7 4 3" xfId="48295" xr:uid="{C157A3D5-E2B4-4DD1-AD3F-857A647A560C}"/>
    <cellStyle name="Komma 5 2 7 4 4" xfId="52799" xr:uid="{8A88CDE7-CA23-4C11-AACC-88C85A3E9935}"/>
    <cellStyle name="Komma 5 2 7 4 5" xfId="55815" xr:uid="{022C600E-77E3-4E7D-A096-666E23E5CFF1}"/>
    <cellStyle name="Komma 5 2 7 5" xfId="13048" xr:uid="{115C733A-2A0E-4D9B-9200-FF01BA8B817B}"/>
    <cellStyle name="Komma 5 2 7 5 2" xfId="47053" xr:uid="{71134296-99E5-4FD2-929F-8A2B961BE50F}"/>
    <cellStyle name="Komma 5 2 7 5 3" xfId="51368" xr:uid="{14054DDF-C8B3-4FAA-A532-048FE4713497}"/>
    <cellStyle name="Komma 5 2 7 5 4" xfId="54384" xr:uid="{C28DFEFC-E4D1-47AF-A92C-62CE6087F773}"/>
    <cellStyle name="Komma 5 2 7 6" xfId="47955" xr:uid="{39309A10-CA71-4C4C-919B-E698A325BBA3}"/>
    <cellStyle name="Komma 5 2 7 7" xfId="50262" xr:uid="{B96628A9-5D81-44BA-A380-5F3E663E66B0}"/>
    <cellStyle name="Komma 5 2 7 8" xfId="53278" xr:uid="{F15D0319-2B94-443D-A304-D2629F576C11}"/>
    <cellStyle name="Komma 5 2 8" xfId="14536" xr:uid="{E9666176-1FA9-48D9-B134-4BFD51A3F1FA}"/>
    <cellStyle name="Komma 5 2 8 2" xfId="22083" xr:uid="{8FAAE03E-48E1-4CB8-92EF-FF203B722206}"/>
    <cellStyle name="Komma 5 2 8 3" xfId="46830" xr:uid="{C9EB6983-0DF1-4A20-BB5B-1F218356B68A}"/>
    <cellStyle name="Komma 5 2 8 4" xfId="51421" xr:uid="{E96DB36A-A37F-4B23-A620-7B044D5FEE4E}"/>
    <cellStyle name="Komma 5 2 8 5" xfId="54437" xr:uid="{ED66D3BF-9722-4999-B82E-6A3F8FBDC847}"/>
    <cellStyle name="Komma 5 2 9" xfId="15020" xr:uid="{8E811419-D889-4E92-900D-CFB687CD1247}"/>
    <cellStyle name="Komma 5 2 9 2" xfId="22560" xr:uid="{A33FCDD3-8A92-4941-A071-1C663AD319EB}"/>
    <cellStyle name="Komma 5 2 9 3" xfId="47080" xr:uid="{5BE93E47-C651-42F3-90AC-766209E3AF07}"/>
    <cellStyle name="Komma 5 2 9 4" xfId="51898" xr:uid="{E473E711-F942-41D5-9CFC-B351F2D05F89}"/>
    <cellStyle name="Komma 5 2 9 5" xfId="54914" xr:uid="{8ED3D3CD-590A-4AA4-904E-37917BECFD5D}"/>
    <cellStyle name="Komma 5 3" xfId="9108" xr:uid="{8E7D15EB-1B94-48DA-A105-BED638D42DCF}"/>
    <cellStyle name="Komma 5 3 10" xfId="12156" xr:uid="{D386ED27-FA8D-456E-95DD-91DB8019D657}"/>
    <cellStyle name="Komma 5 3 10 2" xfId="47754" xr:uid="{87BB0311-F64E-4BE0-8CC4-5D44FAE74C39}"/>
    <cellStyle name="Komma 5 3 10 3" xfId="50931" xr:uid="{018E1EB7-FE1A-4421-A126-8C4CA6C87EC0}"/>
    <cellStyle name="Komma 5 3 10 4" xfId="53947" xr:uid="{B6269EF9-2EED-41D6-8A54-6282FF049320}"/>
    <cellStyle name="Komma 5 3 11" xfId="23929" xr:uid="{8C35DA4B-F533-4F6A-B6EA-7C6BCF876BAD}"/>
    <cellStyle name="Komma 5 3 12" xfId="48778" xr:uid="{448F299C-8698-44A1-AF4C-69E58BDB937C}"/>
    <cellStyle name="Komma 5 3 13" xfId="49684" xr:uid="{0AE7695F-FB99-4B43-9F56-89D0C950A47E}"/>
    <cellStyle name="Komma 5 3 14" xfId="49840" xr:uid="{49C2939B-1964-4CA2-8061-A1609D8B61B4}"/>
    <cellStyle name="Komma 5 3 15" xfId="52855" xr:uid="{8878104E-B6DE-460F-B0AF-17A763910480}"/>
    <cellStyle name="Komma 5 3 2" xfId="10050" xr:uid="{3177E329-0A92-4D5D-A1BB-DA783898788E}"/>
    <cellStyle name="Komma 5 3 2 10" xfId="49685" xr:uid="{3AFD17BA-DBBA-4785-B519-990964385707}"/>
    <cellStyle name="Komma 5 3 2 11" xfId="49893" xr:uid="{77692B32-86E1-4544-AA87-DC72BF82B766}"/>
    <cellStyle name="Komma 5 3 2 12" xfId="52909" xr:uid="{3B0C3203-4ABE-41FD-BC04-1CB00BC2823E}"/>
    <cellStyle name="Komma 5 3 2 2" xfId="10358" xr:uid="{FC62D252-EBD7-4865-A5AC-7C3BE8046223}"/>
    <cellStyle name="Komma 5 3 2 2 2" xfId="14803" xr:uid="{A7EA6137-CDDA-4FA6-A7CB-F9F28D1F555A}"/>
    <cellStyle name="Komma 5 3 2 2 2 2" xfId="22350" xr:uid="{2491A9A0-0F47-4882-8102-AACD57D18B9E}"/>
    <cellStyle name="Komma 5 3 2 2 2 3" xfId="24456" xr:uid="{7E51AE91-EC2B-4545-AE95-B6E8D384ECD0}"/>
    <cellStyle name="Komma 5 3 2 2 2 4" xfId="51688" xr:uid="{DAF0A4C9-8A8C-4A36-AB40-565336489741}"/>
    <cellStyle name="Komma 5 3 2 2 2 5" xfId="54704" xr:uid="{8B613120-6B6D-4AA1-9A61-A8A56F71DD20}"/>
    <cellStyle name="Komma 5 3 2 2 3" xfId="15288" xr:uid="{C9CA479F-D20C-4967-B663-32E24DBD6751}"/>
    <cellStyle name="Komma 5 3 2 2 3 2" xfId="22827" xr:uid="{E2762A36-3808-4034-BC0A-57820736FD64}"/>
    <cellStyle name="Komma 5 3 2 2 3 3" xfId="46510" xr:uid="{D4928050-9450-4F43-85D4-C55C36B25F58}"/>
    <cellStyle name="Komma 5 3 2 2 3 4" xfId="52165" xr:uid="{EE042505-40D7-4615-BFC3-1B3F0A931ECD}"/>
    <cellStyle name="Komma 5 3 2 2 3 5" xfId="55181" xr:uid="{EF308958-ADE4-4CA9-A37E-290DB0FFAF91}"/>
    <cellStyle name="Komma 5 3 2 2 4" xfId="15775" xr:uid="{3C7B9724-96DD-4EE7-9253-5CEA70874EB6}"/>
    <cellStyle name="Komma 5 3 2 2 4 2" xfId="23304" xr:uid="{7DAD2B00-8A10-4CB6-A5DE-3A75AA4EE706}"/>
    <cellStyle name="Komma 5 3 2 2 4 3" xfId="47030" xr:uid="{70BCAAC7-667F-4B2A-8EBB-70F8DC7D37AB}"/>
    <cellStyle name="Komma 5 3 2 2 4 4" xfId="52642" xr:uid="{044B5EDC-F896-4B25-8564-C6A7A5B7872A}"/>
    <cellStyle name="Komma 5 3 2 2 4 5" xfId="55658" xr:uid="{DEF21040-6F23-4A8F-AF31-B1FBD8FD5E8B}"/>
    <cellStyle name="Komma 5 3 2 2 5" xfId="12811" xr:uid="{04EA31F5-2ACA-425E-BAB1-58E868207EFB}"/>
    <cellStyle name="Komma 5 3 2 2 5 2" xfId="47822" xr:uid="{0930ADBE-AAFF-4C4E-9C37-93B9B83275EE}"/>
    <cellStyle name="Komma 5 3 2 2 5 3" xfId="51211" xr:uid="{B91AD8C9-1659-47DA-BA28-33C8CA51E730}"/>
    <cellStyle name="Komma 5 3 2 2 5 4" xfId="54227" xr:uid="{5239FD68-C0AF-471C-AF29-A5552F91B648}"/>
    <cellStyle name="Komma 5 3 2 2 6" xfId="48455" xr:uid="{EEC8CE48-BC12-4406-BAFA-64496428F79A}"/>
    <cellStyle name="Komma 5 3 2 2 7" xfId="50105" xr:uid="{EC795EDE-4052-4EFA-AF22-7688F0510EC2}"/>
    <cellStyle name="Komma 5 3 2 2 8" xfId="53121" xr:uid="{8CE27D10-954A-425E-BDD5-E90CB5A8C1D7}"/>
    <cellStyle name="Komma 5 3 2 3" xfId="14591" xr:uid="{591AA9A3-8725-40F8-8079-E50EB6618686}"/>
    <cellStyle name="Komma 5 3 2 3 2" xfId="22138" xr:uid="{94FC6ECF-79A1-41CE-838C-D23031F160B9}"/>
    <cellStyle name="Komma 5 3 2 3 3" xfId="46405" xr:uid="{32491BC7-FB09-42C6-A397-33DC47043D1E}"/>
    <cellStyle name="Komma 5 3 2 3 4" xfId="51476" xr:uid="{86890B73-5A39-496B-AD24-2FC26BC18858}"/>
    <cellStyle name="Komma 5 3 2 3 5" xfId="54492" xr:uid="{E2BB5423-0C2D-46A6-A191-F1C6C0F635C0}"/>
    <cellStyle name="Komma 5 3 2 4" xfId="15075" xr:uid="{B9B9B293-0A02-4239-9760-949AFABB6B05}"/>
    <cellStyle name="Komma 5 3 2 4 2" xfId="22615" xr:uid="{92BEF4D6-900D-4C75-B8A6-EE67CDBB9478}"/>
    <cellStyle name="Komma 5 3 2 4 3" xfId="46474" xr:uid="{94DB997B-E9EC-44B5-B364-7B6BD8E02CA0}"/>
    <cellStyle name="Komma 5 3 2 4 4" xfId="51953" xr:uid="{CA48CCF1-06C8-46EB-8CEB-6CE304463F70}"/>
    <cellStyle name="Komma 5 3 2 4 5" xfId="54969" xr:uid="{9FEEC6EC-5554-4AA4-8B63-E24CD731376A}"/>
    <cellStyle name="Komma 5 3 2 5" xfId="15562" xr:uid="{4779CFB3-298C-40DE-83F5-318CA5265021}"/>
    <cellStyle name="Komma 5 3 2 5 2" xfId="23092" xr:uid="{D9ACFF1A-A715-483A-A949-56EB75E59862}"/>
    <cellStyle name="Komma 5 3 2 5 3" xfId="46552" xr:uid="{3A359C45-4B27-4D9F-B761-8291B5450D21}"/>
    <cellStyle name="Komma 5 3 2 5 4" xfId="52430" xr:uid="{1006724E-E866-4DFD-9AD5-CDC527343D5C}"/>
    <cellStyle name="Komma 5 3 2 5 5" xfId="55446" xr:uid="{6A060860-CE41-4AAF-93A5-9AFF017E194D}"/>
    <cellStyle name="Komma 5 3 2 6" xfId="12510" xr:uid="{F2827B2D-EC00-430B-BC0F-BDB4F7869D1D}"/>
    <cellStyle name="Komma 5 3 2 6 2" xfId="47613" xr:uid="{6510D9E5-B8D8-4F1D-85EC-2A64E248BE8B}"/>
    <cellStyle name="Komma 5 3 2 6 3" xfId="50999" xr:uid="{BAEF107E-4B10-4A9A-88FA-1F9408F1A3F5}"/>
    <cellStyle name="Komma 5 3 2 6 4" xfId="54015" xr:uid="{B7E5C7FB-64E5-444A-9481-E89966A3241A}"/>
    <cellStyle name="Komma 5 3 2 7" xfId="23930" xr:uid="{FEFA9A05-EAFF-47E2-AA88-FD474DF21BA2}"/>
    <cellStyle name="Komma 5 3 2 8" xfId="47867" xr:uid="{4193F3FC-1FA5-434F-83B6-0FE7F538F47F}"/>
    <cellStyle name="Komma 5 3 2 9" xfId="48779" xr:uid="{0A9E61F9-F221-4A71-8931-E07874A7B4CE}"/>
    <cellStyle name="Komma 5 3 3" xfId="10124" xr:uid="{FC363D1B-B446-40F2-A421-CE5D9E24670A}"/>
    <cellStyle name="Komma 5 3 3 10" xfId="49686" xr:uid="{A57744A3-E561-4509-9E15-4F711BD93ABF}"/>
    <cellStyle name="Komma 5 3 3 11" xfId="49946" xr:uid="{142DE25D-FD2E-4C9E-93DE-C4739E5EBC06}"/>
    <cellStyle name="Komma 5 3 3 12" xfId="52962" xr:uid="{14ADF31A-5737-4137-B792-DB466189ADD9}"/>
    <cellStyle name="Komma 5 3 3 2" xfId="10437" xr:uid="{FED3E955-B70F-4FB1-A473-974F058CE2BC}"/>
    <cellStyle name="Komma 5 3 3 2 2" xfId="14856" xr:uid="{E9E42D56-72C6-4AE3-BB80-A42F4E27958F}"/>
    <cellStyle name="Komma 5 3 3 2 2 2" xfId="22403" xr:uid="{0057F90C-1D0B-42EC-8798-9274EC253541}"/>
    <cellStyle name="Komma 5 3 3 2 2 3" xfId="46870" xr:uid="{F2B2C2EA-EEF7-4BE4-8969-3878EBC21811}"/>
    <cellStyle name="Komma 5 3 3 2 2 4" xfId="51741" xr:uid="{C89304D3-C36E-4A7F-AFC2-274E0947B464}"/>
    <cellStyle name="Komma 5 3 3 2 2 5" xfId="54757" xr:uid="{024AAFDF-A25B-4462-97D0-C429379E1CB2}"/>
    <cellStyle name="Komma 5 3 3 2 3" xfId="15341" xr:uid="{B7CA2B43-9FDA-49E4-86A4-3FF1AECF9F4C}"/>
    <cellStyle name="Komma 5 3 3 2 3 2" xfId="22880" xr:uid="{6A83B8A3-715C-4629-B303-92B49937A921}"/>
    <cellStyle name="Komma 5 3 3 2 3 3" xfId="47191" xr:uid="{C2D4B748-F154-4725-9B5E-93D9185C6917}"/>
    <cellStyle name="Komma 5 3 3 2 3 4" xfId="52218" xr:uid="{6F73B450-4188-453A-B8E4-98C893822ACE}"/>
    <cellStyle name="Komma 5 3 3 2 3 5" xfId="55234" xr:uid="{F7FB557F-BA0D-498A-B55C-321B2BB84D06}"/>
    <cellStyle name="Komma 5 3 3 2 4" xfId="15828" xr:uid="{E32186C1-2B86-4807-9F12-94D317F60C29}"/>
    <cellStyle name="Komma 5 3 3 2 4 2" xfId="23357" xr:uid="{D655054E-3BBC-4E3A-9306-CA028BEE676D}"/>
    <cellStyle name="Komma 5 3 3 2 4 3" xfId="47649" xr:uid="{D98BD519-285A-4095-AD35-8F10250D2FE7}"/>
    <cellStyle name="Komma 5 3 3 2 4 4" xfId="52695" xr:uid="{35C3DADC-48AF-4C46-B52F-1798386C4D79}"/>
    <cellStyle name="Komma 5 3 3 2 4 5" xfId="55711" xr:uid="{C5677F94-1564-41B7-A2DC-0D5E8716C062}"/>
    <cellStyle name="Komma 5 3 3 2 5" xfId="12890" xr:uid="{B8420D37-E166-4F4B-9A6A-512E81642C7A}"/>
    <cellStyle name="Komma 5 3 3 2 5 2" xfId="25046" xr:uid="{99A83176-D654-40C9-BE38-C63BD6F29310}"/>
    <cellStyle name="Komma 5 3 3 2 5 3" xfId="51264" xr:uid="{FC268953-F233-4855-84A6-9E4D6CFBCB76}"/>
    <cellStyle name="Komma 5 3 3 2 5 4" xfId="54280" xr:uid="{60FB08E5-7461-401D-B31F-79C86A9E9853}"/>
    <cellStyle name="Komma 5 3 3 2 6" xfId="24328" xr:uid="{37AA7A21-EB15-481E-9E19-C679C79AD981}"/>
    <cellStyle name="Komma 5 3 3 2 7" xfId="50158" xr:uid="{3AEBAA37-5CFB-4433-B7FD-1DE574636916}"/>
    <cellStyle name="Komma 5 3 3 2 8" xfId="53174" xr:uid="{0FBE4C1B-FD55-45F9-9673-156546B4E1EC}"/>
    <cellStyle name="Komma 5 3 3 3" xfId="14644" xr:uid="{0D48FDFA-CD56-4916-80AF-20CA54EAC94C}"/>
    <cellStyle name="Komma 5 3 3 3 2" xfId="22191" xr:uid="{BF9CC31A-12D7-498A-B147-A4CC202DDCF9}"/>
    <cellStyle name="Komma 5 3 3 3 3" xfId="46845" xr:uid="{88A27345-84B7-43C3-9A1A-1CAEE542AD3F}"/>
    <cellStyle name="Komma 5 3 3 3 4" xfId="51529" xr:uid="{462543EB-62AE-49D9-AF29-BC8EC9756CEE}"/>
    <cellStyle name="Komma 5 3 3 3 5" xfId="54545" xr:uid="{1D4D4491-9927-4229-AD7C-273DE30A56C4}"/>
    <cellStyle name="Komma 5 3 3 4" xfId="15129" xr:uid="{5859137D-E731-45DF-9FA0-863599E9242D}"/>
    <cellStyle name="Komma 5 3 3 4 2" xfId="22668" xr:uid="{776857E4-DF18-400F-95DE-075768EB7DFA}"/>
    <cellStyle name="Komma 5 3 3 4 3" xfId="47402" xr:uid="{BD4C2CCF-F76B-4790-B412-99BEB1D305D4}"/>
    <cellStyle name="Komma 5 3 3 4 4" xfId="52006" xr:uid="{F7176A4F-7606-4AE3-9064-FAABC493C5D7}"/>
    <cellStyle name="Komma 5 3 3 4 5" xfId="55022" xr:uid="{9E696842-8DDA-4D61-BAD1-F3274F58B319}"/>
    <cellStyle name="Komma 5 3 3 5" xfId="15616" xr:uid="{FAD41FFB-227C-442F-8A3B-B5B2186BF5A8}"/>
    <cellStyle name="Komma 5 3 3 5 2" xfId="23145" xr:uid="{E113CD96-4387-4819-B1E2-E79A29EDA469}"/>
    <cellStyle name="Komma 5 3 3 5 3" xfId="48226" xr:uid="{3249F323-C98E-47F1-9300-B691A7B97A2B}"/>
    <cellStyle name="Komma 5 3 3 5 4" xfId="52483" xr:uid="{0211B1D2-AF9B-42ED-ACA6-B6667A7C821E}"/>
    <cellStyle name="Komma 5 3 3 5 5" xfId="55499" xr:uid="{B0DFFACB-53EF-4D86-BA17-AB376B2332EC}"/>
    <cellStyle name="Komma 5 3 3 6" xfId="12581" xr:uid="{127A3BB8-A8CB-43F0-A500-22BD8609093B}"/>
    <cellStyle name="Komma 5 3 3 6 2" xfId="47227" xr:uid="{FBB5BD35-C33B-4836-977A-28A4C5E5E372}"/>
    <cellStyle name="Komma 5 3 3 6 3" xfId="51052" xr:uid="{0B4660B6-DAF9-46C3-977F-62D13983689A}"/>
    <cellStyle name="Komma 5 3 3 6 4" xfId="54068" xr:uid="{ACB006E4-A4A2-4829-BEC7-A066065CE340}"/>
    <cellStyle name="Komma 5 3 3 7" xfId="23931" xr:uid="{7DDDE807-792C-4843-B601-F5E57F9C5DC0}"/>
    <cellStyle name="Komma 5 3 3 8" xfId="47507" xr:uid="{A64514D3-E9E3-48FB-AEE1-BD1BA1B6863E}"/>
    <cellStyle name="Komma 5 3 3 9" xfId="48780" xr:uid="{A294071D-B605-4014-AC72-A649C96501F7}"/>
    <cellStyle name="Komma 5 3 4" xfId="10203" xr:uid="{E72A256F-803B-4926-B1EF-26394604CC69}"/>
    <cellStyle name="Komma 5 3 4 2" xfId="10517" xr:uid="{6320774E-15ED-4C09-937A-C390B59E8B95}"/>
    <cellStyle name="Komma 5 3 4 2 2" xfId="14909" xr:uid="{AEE2614C-BDB3-4F7B-8BC4-83A771454D3C}"/>
    <cellStyle name="Komma 5 3 4 2 2 2" xfId="22456" xr:uid="{674A6EB0-8B72-4541-BAB0-B3A959F977C7}"/>
    <cellStyle name="Komma 5 3 4 2 2 3" xfId="25296" xr:uid="{5DC580D7-E2F2-4088-BAE7-2D94844A63A6}"/>
    <cellStyle name="Komma 5 3 4 2 2 4" xfId="51794" xr:uid="{D05F1DA4-2E5A-4421-A268-B83D02AEF475}"/>
    <cellStyle name="Komma 5 3 4 2 2 5" xfId="54810" xr:uid="{3823A35C-83E5-4AD0-BE5B-D36828B2EEBC}"/>
    <cellStyle name="Komma 5 3 4 2 3" xfId="15394" xr:uid="{C7009931-65CF-44BD-9A3A-51A3792F4FFF}"/>
    <cellStyle name="Komma 5 3 4 2 3 2" xfId="22933" xr:uid="{D8DDB1CB-8B15-43F5-A3F6-272BAE0331F5}"/>
    <cellStyle name="Komma 5 3 4 2 3 3" xfId="46527" xr:uid="{8AF8BA32-03CD-4F64-A050-76CADC53650C}"/>
    <cellStyle name="Komma 5 3 4 2 3 4" xfId="52271" xr:uid="{6683B6BE-27A0-493C-9E1D-FECE9C7C3EE8}"/>
    <cellStyle name="Komma 5 3 4 2 3 5" xfId="55287" xr:uid="{9C923731-4903-4847-B313-D44063D10D9A}"/>
    <cellStyle name="Komma 5 3 4 2 4" xfId="15881" xr:uid="{4C0BB81E-041C-4923-9803-7FA72AED51F9}"/>
    <cellStyle name="Komma 5 3 4 2 4 2" xfId="23410" xr:uid="{B6638C40-E03E-4669-A38D-00731BEFC807}"/>
    <cellStyle name="Komma 5 3 4 2 4 3" xfId="48308" xr:uid="{C031C42B-C52D-4883-8126-1B747AF0F2E3}"/>
    <cellStyle name="Komma 5 3 4 2 4 4" xfId="52748" xr:uid="{47417DD5-86A5-4463-8AA7-E7E6E52C5E13}"/>
    <cellStyle name="Komma 5 3 4 2 4 5" xfId="55764" xr:uid="{F94165AB-DDE2-4451-8F9F-F6FA897C10C0}"/>
    <cellStyle name="Komma 5 3 4 2 5" xfId="12970" xr:uid="{25C074C0-0106-466F-BB5A-64203305F6FF}"/>
    <cellStyle name="Komma 5 3 4 2 5 2" xfId="47619" xr:uid="{4A2C3EE2-72DA-4972-8FE7-CF657B338204}"/>
    <cellStyle name="Komma 5 3 4 2 5 3" xfId="51317" xr:uid="{26F64332-08A6-4BD4-A8EF-EA070E83D5BE}"/>
    <cellStyle name="Komma 5 3 4 2 5 4" xfId="54333" xr:uid="{59F32A88-E5A6-4FAE-B118-918FC4B1F9C9}"/>
    <cellStyle name="Komma 5 3 4 2 6" xfId="47293" xr:uid="{57F49511-3DF6-471F-8BFA-AB5B8F265FD9}"/>
    <cellStyle name="Komma 5 3 4 2 7" xfId="50211" xr:uid="{C5F2DF1A-E063-46C6-8894-91271A6BDB72}"/>
    <cellStyle name="Komma 5 3 4 2 8" xfId="53227" xr:uid="{EE48D3F7-4384-4000-B63B-E1FB2333D560}"/>
    <cellStyle name="Komma 5 3 4 3" xfId="14697" xr:uid="{14EC0E4C-5BF9-43AC-A106-93216B16EE23}"/>
    <cellStyle name="Komma 5 3 4 3 2" xfId="22244" xr:uid="{07D50310-BBC4-4AA0-86E2-F69FF820F10A}"/>
    <cellStyle name="Komma 5 3 4 3 3" xfId="47106" xr:uid="{81CCFA21-B6C9-4EA2-A713-36A0C95ECF40}"/>
    <cellStyle name="Komma 5 3 4 3 4" xfId="51582" xr:uid="{CF8795EF-EC09-44DD-8782-A7A468BA2224}"/>
    <cellStyle name="Komma 5 3 4 3 5" xfId="54598" xr:uid="{69DED852-B0FE-48A2-AC64-A03112A9CBB1}"/>
    <cellStyle name="Komma 5 3 4 4" xfId="15182" xr:uid="{4EAF92B2-8C6E-4A13-8FA4-3CD3EDCB68C6}"/>
    <cellStyle name="Komma 5 3 4 4 2" xfId="22721" xr:uid="{D7FA0074-7AB0-4983-B0A1-38F1B9A628BC}"/>
    <cellStyle name="Komma 5 3 4 4 3" xfId="47635" xr:uid="{30A0113B-B77C-45A9-A949-374421423518}"/>
    <cellStyle name="Komma 5 3 4 4 4" xfId="52059" xr:uid="{5EF3F358-5211-41A5-AF0E-9F42793A9ADE}"/>
    <cellStyle name="Komma 5 3 4 4 5" xfId="55075" xr:uid="{971DE28A-D916-45B0-97EC-A58E2C38463E}"/>
    <cellStyle name="Komma 5 3 4 5" xfId="15669" xr:uid="{B00AD593-18B4-425D-983E-DC947F6A6B03}"/>
    <cellStyle name="Komma 5 3 4 5 2" xfId="23198" xr:uid="{27B43D1B-369C-4A75-9B91-8D2A97315B03}"/>
    <cellStyle name="Komma 5 3 4 5 3" xfId="47112" xr:uid="{FCF96EE9-9E54-4B9D-BA4E-80664DDEC363}"/>
    <cellStyle name="Komma 5 3 4 5 4" xfId="52536" xr:uid="{B42AC8AD-1653-4FBE-90BC-898FA29CA92E}"/>
    <cellStyle name="Komma 5 3 4 5 5" xfId="55552" xr:uid="{EC9EA70A-B28A-4DC7-BF1B-4A68AAC08113}"/>
    <cellStyle name="Komma 5 3 4 6" xfId="12657" xr:uid="{57B8C908-8B23-4750-A03B-9CCEF23428DE}"/>
    <cellStyle name="Komma 5 3 4 6 2" xfId="48272" xr:uid="{9ACEEBF6-8C6B-41C1-BBAA-1EB41755223F}"/>
    <cellStyle name="Komma 5 3 4 6 3" xfId="51105" xr:uid="{21FBF92F-9958-48B8-BD41-CC788A2DFF4C}"/>
    <cellStyle name="Komma 5 3 4 6 4" xfId="54121" xr:uid="{366188F0-73C1-4197-84C7-C6FF629D7929}"/>
    <cellStyle name="Komma 5 3 4 7" xfId="48376" xr:uid="{E7A49F90-45E5-498D-869B-F9839EA720FB}"/>
    <cellStyle name="Komma 5 3 4 8" xfId="49999" xr:uid="{2CC5A4DF-4C6D-4391-A69F-797BC455C605}"/>
    <cellStyle name="Komma 5 3 4 9" xfId="53015" xr:uid="{16AFD2E3-78F5-4532-8437-39522EDEFBCA}"/>
    <cellStyle name="Komma 5 3 5" xfId="10283" xr:uid="{4209DE3B-68DB-4DE5-A97C-483826ED2313}"/>
    <cellStyle name="Komma 5 3 5 2" xfId="14750" xr:uid="{E1C6B737-8EBC-4DEA-9C76-F4A34532A3B7}"/>
    <cellStyle name="Komma 5 3 5 2 2" xfId="22297" xr:uid="{56C59C40-3681-499A-ABE1-689D247638BA}"/>
    <cellStyle name="Komma 5 3 5 2 3" xfId="46858" xr:uid="{93C3E2C1-9070-4376-8B82-BBC3879606B7}"/>
    <cellStyle name="Komma 5 3 5 2 4" xfId="51635" xr:uid="{E0ACA9CF-98D8-43C3-9F6C-7665CD912A47}"/>
    <cellStyle name="Komma 5 3 5 2 5" xfId="54651" xr:uid="{EB9493DB-E7DF-4891-A458-D22C1FCD3D8A}"/>
    <cellStyle name="Komma 5 3 5 3" xfId="15235" xr:uid="{CB22BCA8-CCE1-40F3-8C4A-17D188045198}"/>
    <cellStyle name="Komma 5 3 5 3 2" xfId="22774" xr:uid="{B353B381-AF34-44D1-9461-BE388B81C52C}"/>
    <cellStyle name="Komma 5 3 5 3 3" xfId="46896" xr:uid="{22AADF57-D4B8-4BF3-8A83-CCF0CFDA76CB}"/>
    <cellStyle name="Komma 5 3 5 3 4" xfId="52112" xr:uid="{DF8E5211-1A35-4328-A6A7-AFBB9D2B769F}"/>
    <cellStyle name="Komma 5 3 5 3 5" xfId="55128" xr:uid="{5EE2CD2C-2942-4032-9792-79A5C663E23D}"/>
    <cellStyle name="Komma 5 3 5 4" xfId="15722" xr:uid="{129F8163-73BD-4879-A5F0-27527EE6D869}"/>
    <cellStyle name="Komma 5 3 5 4 2" xfId="23251" xr:uid="{489176B9-37DF-4D5E-AE24-8503F2BD6103}"/>
    <cellStyle name="Komma 5 3 5 4 3" xfId="46957" xr:uid="{4D274E0D-AF5D-4FDE-BE1D-1FCADE9C5C3A}"/>
    <cellStyle name="Komma 5 3 5 4 4" xfId="52589" xr:uid="{81223BD9-BE9C-43C2-B44D-629D6772A1E7}"/>
    <cellStyle name="Komma 5 3 5 4 5" xfId="55605" xr:uid="{94BA7CFB-C5BB-498F-97A0-9869F26CAD3D}"/>
    <cellStyle name="Komma 5 3 5 5" xfId="12736" xr:uid="{65045410-1E97-490F-B027-60D4C3008FB5}"/>
    <cellStyle name="Komma 5 3 5 5 2" xfId="34163" xr:uid="{C6873D8F-918A-41C8-BFF8-1DB4ECC7A3A6}"/>
    <cellStyle name="Komma 5 3 5 5 3" xfId="51158" xr:uid="{641902A4-BD86-4E47-8662-9180EB53A158}"/>
    <cellStyle name="Komma 5 3 5 5 4" xfId="54174" xr:uid="{FE64C947-9E26-46BE-9FA2-302C41EE89F5}"/>
    <cellStyle name="Komma 5 3 5 6" xfId="48001" xr:uid="{547A1D26-EFE6-415D-B133-B9564BCD3F78}"/>
    <cellStyle name="Komma 5 3 5 7" xfId="50052" xr:uid="{45A175EA-F2BA-4EEF-811B-921A59DA03E0}"/>
    <cellStyle name="Komma 5 3 5 8" xfId="53068" xr:uid="{F077485D-6157-4B59-88B2-15A89ECD3C69}"/>
    <cellStyle name="Komma 5 3 6" xfId="10597" xr:uid="{D9DAEFF0-DD5B-4851-8644-88C5E28F0A74}"/>
    <cellStyle name="Komma 5 3 6 2" xfId="14962" xr:uid="{FF2B7640-E99A-4E04-9B47-A42664B54703}"/>
    <cellStyle name="Komma 5 3 6 2 2" xfId="22509" xr:uid="{C6C03111-1849-4BAC-89BE-37569869FE44}"/>
    <cellStyle name="Komma 5 3 6 2 3" xfId="47487" xr:uid="{76989DAF-0052-4BA4-B6A6-6CC28B5E2983}"/>
    <cellStyle name="Komma 5 3 6 2 4" xfId="51847" xr:uid="{173A4432-6636-4C15-A9BD-45B8C51663F9}"/>
    <cellStyle name="Komma 5 3 6 2 5" xfId="54863" xr:uid="{86944595-2E4A-4C52-9CB0-60A1907D34D8}"/>
    <cellStyle name="Komma 5 3 6 3" xfId="15447" xr:uid="{E9EAFBA8-6964-4C09-9D0A-FA528D0088F2}"/>
    <cellStyle name="Komma 5 3 6 3 2" xfId="22986" xr:uid="{EEE84F82-83EE-4DFE-9157-12C027830D83}"/>
    <cellStyle name="Komma 5 3 6 3 3" xfId="48278" xr:uid="{84E614B5-653E-4EA6-935D-0280B5C2000B}"/>
    <cellStyle name="Komma 5 3 6 3 4" xfId="52324" xr:uid="{67291578-5846-46B8-9D6E-AC9B825FFBCB}"/>
    <cellStyle name="Komma 5 3 6 3 5" xfId="55340" xr:uid="{C2A90776-C743-4E7B-B99C-A1AC7177B18C}"/>
    <cellStyle name="Komma 5 3 6 4" xfId="15935" xr:uid="{E6F233FC-4B3A-4FB4-B22C-9F3F9CCA565B}"/>
    <cellStyle name="Komma 5 3 6 4 2" xfId="23463" xr:uid="{22919864-EB95-4304-AD1B-0DB19E96D442}"/>
    <cellStyle name="Komma 5 3 6 4 3" xfId="36938" xr:uid="{8ED38A35-F97F-4A37-A31A-47EF9FA08909}"/>
    <cellStyle name="Komma 5 3 6 4 4" xfId="52801" xr:uid="{14611A71-28BA-426E-A8DA-237AC1B6E892}"/>
    <cellStyle name="Komma 5 3 6 4 5" xfId="55817" xr:uid="{9A83F7BB-03F1-4ED4-8B20-696F8FE5F97E}"/>
    <cellStyle name="Komma 5 3 6 5" xfId="13050" xr:uid="{EEF2238B-05B4-42ED-91C6-D89D0130DB02}"/>
    <cellStyle name="Komma 5 3 6 5 2" xfId="47389" xr:uid="{D29B495A-70C9-400A-A2A6-063ACBF97BB5}"/>
    <cellStyle name="Komma 5 3 6 5 3" xfId="51370" xr:uid="{C064B3FA-AC1D-4EC3-8C2A-8CA171ADB3CC}"/>
    <cellStyle name="Komma 5 3 6 5 4" xfId="54386" xr:uid="{7D6BD9AA-3217-4A41-B8D1-27BBAC7AE906}"/>
    <cellStyle name="Komma 5 3 6 6" xfId="47069" xr:uid="{8CDBC79F-2807-4AB1-AE07-CCCBEDA56310}"/>
    <cellStyle name="Komma 5 3 6 7" xfId="50264" xr:uid="{A51DB8E2-AC2A-44B4-853D-E2C86184710C}"/>
    <cellStyle name="Komma 5 3 6 8" xfId="53280" xr:uid="{BD80D988-F8DB-4E8E-8F00-C6140B847178}"/>
    <cellStyle name="Komma 5 3 7" xfId="14538" xr:uid="{0279EE67-3B67-413B-A175-B1563451B4D1}"/>
    <cellStyle name="Komma 5 3 7 2" xfId="22085" xr:uid="{A5A741B2-C247-4904-83A5-A5E47B746DF4}"/>
    <cellStyle name="Komma 5 3 7 3" xfId="47623" xr:uid="{BB718B30-128C-4CAD-B3C6-6F973A461FFA}"/>
    <cellStyle name="Komma 5 3 7 4" xfId="51423" xr:uid="{2BDB35D0-0AD1-44DF-917F-4BFBC07F5F9D}"/>
    <cellStyle name="Komma 5 3 7 5" xfId="54439" xr:uid="{93328868-183C-45FD-A669-7A133FB3C72E}"/>
    <cellStyle name="Komma 5 3 8" xfId="15022" xr:uid="{39BC33D7-B18B-41F1-B77A-ACF85666E1FD}"/>
    <cellStyle name="Komma 5 3 8 2" xfId="22562" xr:uid="{299934D1-08E4-452C-9079-5B2B6D08D826}"/>
    <cellStyle name="Komma 5 3 8 3" xfId="32401" xr:uid="{C7B41E01-1B59-420D-8E65-6E16C2FF831E}"/>
    <cellStyle name="Komma 5 3 8 4" xfId="51900" xr:uid="{203BC3A4-893F-4ACE-8757-C393616BF5D4}"/>
    <cellStyle name="Komma 5 3 8 5" xfId="54916" xr:uid="{B5117245-3F61-426B-91CC-78F331D66642}"/>
    <cellStyle name="Komma 5 3 9" xfId="15509" xr:uid="{355C529B-20D0-4133-8CA8-E51B50D0C6F6}"/>
    <cellStyle name="Komma 5 3 9 2" xfId="23039" xr:uid="{4D16C03A-6B00-41BF-8817-584769E3D14E}"/>
    <cellStyle name="Komma 5 3 9 3" xfId="32501" xr:uid="{C70EF057-45D2-4259-A3B7-9BF77744E70F}"/>
    <cellStyle name="Komma 5 3 9 4" xfId="52377" xr:uid="{191AB6C0-109E-4C0F-BF9D-03B489E25CBA}"/>
    <cellStyle name="Komma 5 3 9 5" xfId="55393" xr:uid="{DE2AB0DD-0CCD-4BD0-B42A-249509C9CB3F}"/>
    <cellStyle name="Komma 5 4" xfId="10047" xr:uid="{F04227E0-1264-461B-BB20-4BBF587A1E18}"/>
    <cellStyle name="Komma 5 4 10" xfId="49687" xr:uid="{5CD21016-857F-4D4D-BE5E-D6611CE8AF15}"/>
    <cellStyle name="Komma 5 4 11" xfId="49890" xr:uid="{9924BA32-56E7-4328-B3A4-10A07A870DA0}"/>
    <cellStyle name="Komma 5 4 12" xfId="52906" xr:uid="{7970095D-C9CC-4313-9AC8-B521171AE794}"/>
    <cellStyle name="Komma 5 4 2" xfId="10355" xr:uid="{284943D7-0D50-4164-8E88-4141D87FD578}"/>
    <cellStyle name="Komma 5 4 2 10" xfId="50102" xr:uid="{15063D14-52CA-4A2A-8C1D-EF7B4EB0079E}"/>
    <cellStyle name="Komma 5 4 2 11" xfId="53118" xr:uid="{FC2EB5CC-DF1E-487D-ABFC-D323F318FB34}"/>
    <cellStyle name="Komma 5 4 2 2" xfId="14800" xr:uid="{8173EC42-2E94-4422-8CFF-5D9D90649DE5}"/>
    <cellStyle name="Komma 5 4 2 2 2" xfId="22347" xr:uid="{8A76CEB1-A042-442F-BB36-B8905B1BD442}"/>
    <cellStyle name="Komma 5 4 2 2 3" xfId="24188" xr:uid="{0098427B-AABF-44AA-AB0B-640BEF9AE42C}"/>
    <cellStyle name="Komma 5 4 2 2 4" xfId="51685" xr:uid="{976B66BA-0389-4FC7-A4AB-ED675EA1C254}"/>
    <cellStyle name="Komma 5 4 2 2 5" xfId="54701" xr:uid="{6C7DBB4D-EB4F-4F96-9E1B-CE770360E15D}"/>
    <cellStyle name="Komma 5 4 2 3" xfId="15285" xr:uid="{4B547553-9E85-46F5-A21A-5C61DA458263}"/>
    <cellStyle name="Komma 5 4 2 3 2" xfId="22824" xr:uid="{F42780E8-C766-412E-8A25-C262D4DB77C4}"/>
    <cellStyle name="Komma 5 4 2 3 3" xfId="47190" xr:uid="{37F1655A-5BDE-4611-86E8-03900FF26E33}"/>
    <cellStyle name="Komma 5 4 2 3 4" xfId="52162" xr:uid="{81FC696D-F8D2-4D0C-837A-DF0A19891212}"/>
    <cellStyle name="Komma 5 4 2 3 5" xfId="55178" xr:uid="{A256A51E-02AA-490A-950E-C6DAEB4434DE}"/>
    <cellStyle name="Komma 5 4 2 4" xfId="15772" xr:uid="{9FDAB156-798D-41CE-A5F1-1DA1FDE99789}"/>
    <cellStyle name="Komma 5 4 2 4 2" xfId="23301" xr:uid="{377CFF2F-FA7E-4365-84AD-85E2FADD3CDE}"/>
    <cellStyle name="Komma 5 4 2 4 3" xfId="47793" xr:uid="{1796430B-7EAF-4C20-AB85-9D138672C6B2}"/>
    <cellStyle name="Komma 5 4 2 4 4" xfId="52639" xr:uid="{15BDF047-091F-4D52-BEF5-74734F2DB74C}"/>
    <cellStyle name="Komma 5 4 2 4 5" xfId="55655" xr:uid="{6DFD0F2B-B22B-45F8-9C54-B5719011C055}"/>
    <cellStyle name="Komma 5 4 2 5" xfId="12808" xr:uid="{99A4CE20-A661-4814-B3C0-0E8BDA28B6CD}"/>
    <cellStyle name="Komma 5 4 2 5 2" xfId="48201" xr:uid="{BE089FEE-AEB4-4D48-8533-E90FE75A0F88}"/>
    <cellStyle name="Komma 5 4 2 5 3" xfId="51208" xr:uid="{AE197692-09E2-451F-901E-8C70D7F422C8}"/>
    <cellStyle name="Komma 5 4 2 5 4" xfId="54224" xr:uid="{2241693F-D1E7-4566-9F8E-14719DB24C05}"/>
    <cellStyle name="Komma 5 4 2 6" xfId="23933" xr:uid="{1EBB836B-C141-41D0-825A-52DEA20433A1}"/>
    <cellStyle name="Komma 5 4 2 7" xfId="46098" xr:uid="{F6FBF5C6-D526-499B-8A42-184397E0E37E}"/>
    <cellStyle name="Komma 5 4 2 8" xfId="48782" xr:uid="{E20CE9AE-4977-4500-B2D2-EF80C6277891}"/>
    <cellStyle name="Komma 5 4 2 9" xfId="49688" xr:uid="{74382D2A-246B-48A8-A6CB-3F9D2CBA35EF}"/>
    <cellStyle name="Komma 5 4 3" xfId="14588" xr:uid="{BBA5C5C6-346C-4C58-9CA8-22C7E2518B43}"/>
    <cellStyle name="Komma 5 4 3 2" xfId="22135" xr:uid="{FF424730-B246-44CD-BABA-9E019582D90B}"/>
    <cellStyle name="Komma 5 4 3 3" xfId="46839" xr:uid="{8E14D350-9C98-4BC4-AA98-8039C0A1E5AB}"/>
    <cellStyle name="Komma 5 4 3 4" xfId="51473" xr:uid="{F36DE1CA-45DC-4CF4-9D46-BED53C40071C}"/>
    <cellStyle name="Komma 5 4 3 5" xfId="54489" xr:uid="{0FDB79AE-B1D0-4997-B4D3-53C3D9053236}"/>
    <cellStyle name="Komma 5 4 4" xfId="15072" xr:uid="{AB749B18-A315-42F4-8C57-28024ED1B32A}"/>
    <cellStyle name="Komma 5 4 4 2" xfId="22612" xr:uid="{4B885D90-8B32-44A7-B0FF-E761083FA995}"/>
    <cellStyle name="Komma 5 4 4 3" xfId="46877" xr:uid="{6BD1536A-11FD-43B3-8DBB-DE21DA06DDF9}"/>
    <cellStyle name="Komma 5 4 4 4" xfId="51950" xr:uid="{298A1A38-1B5B-422A-A2F9-0714EDE47F67}"/>
    <cellStyle name="Komma 5 4 4 5" xfId="54966" xr:uid="{09D4E41F-4EFE-4223-A9C6-836BB6449D6C}"/>
    <cellStyle name="Komma 5 4 5" xfId="15559" xr:uid="{F4158B76-C3AF-462D-B481-ED84AE89FCA9}"/>
    <cellStyle name="Komma 5 4 5 2" xfId="23089" xr:uid="{A027C359-C7B2-4E97-852F-86C488B817EF}"/>
    <cellStyle name="Komma 5 4 5 3" xfId="32359" xr:uid="{FA8597E1-D82E-4F2E-A850-D09773FFB071}"/>
    <cellStyle name="Komma 5 4 5 4" xfId="52427" xr:uid="{4FC1136B-41FE-47EA-A3DB-414A84078048}"/>
    <cellStyle name="Komma 5 4 5 5" xfId="55443" xr:uid="{0DAD67FA-92FA-456F-9782-CB4E95404CDC}"/>
    <cellStyle name="Komma 5 4 6" xfId="12507" xr:uid="{D4BF0D12-714B-4606-ACF2-3313DC020AF2}"/>
    <cellStyle name="Komma 5 4 6 2" xfId="48394" xr:uid="{0D8C4B98-CA50-4B46-AD9A-D5DC3A1FB468}"/>
    <cellStyle name="Komma 5 4 6 3" xfId="50996" xr:uid="{47D960C4-2259-4AB0-BE6A-A7136E90AD27}"/>
    <cellStyle name="Komma 5 4 6 4" xfId="54012" xr:uid="{0506044C-EF87-456E-9345-0A779E06B9DC}"/>
    <cellStyle name="Komma 5 4 7" xfId="23932" xr:uid="{741C7683-82C1-48FA-A055-D960275DFA64}"/>
    <cellStyle name="Komma 5 4 8" xfId="48313" xr:uid="{9CCE386B-504F-4F8E-8E57-EFD69709CEC0}"/>
    <cellStyle name="Komma 5 4 9" xfId="48781" xr:uid="{1B9ADA45-B5A3-4344-A6D5-1F71F1B238D7}"/>
    <cellStyle name="Komma 5 5" xfId="10121" xr:uid="{A5B8B010-571C-4AE2-87CE-1EF131D9EBE0}"/>
    <cellStyle name="Komma 5 5 10" xfId="49689" xr:uid="{F443EF80-FD90-4159-94E6-9094AEE33504}"/>
    <cellStyle name="Komma 5 5 11" xfId="49943" xr:uid="{BB0A7300-023E-4B52-A29B-65F6F5B0B17A}"/>
    <cellStyle name="Komma 5 5 12" xfId="52959" xr:uid="{6092B67E-F619-4297-BA4E-BA12A7A887B0}"/>
    <cellStyle name="Komma 5 5 2" xfId="10434" xr:uid="{9FA2574B-E8AB-487B-B48E-A9D284A2DAEC}"/>
    <cellStyle name="Komma 5 5 2 10" xfId="50155" xr:uid="{5CA59928-858B-4CDD-8ADA-17EE80052F82}"/>
    <cellStyle name="Komma 5 5 2 11" xfId="53171" xr:uid="{DA3A1972-55D1-41D0-83CB-AF22E2C3A24E}"/>
    <cellStyle name="Komma 5 5 2 2" xfId="14853" xr:uid="{F1570E14-F93C-4C55-8057-4C0FBFC330D8}"/>
    <cellStyle name="Komma 5 5 2 2 2" xfId="22400" xr:uid="{39142C16-C07C-4579-87D1-7C09E773FF32}"/>
    <cellStyle name="Komma 5 5 2 2 3" xfId="46446" xr:uid="{3966E0A7-3DE8-4023-B032-6056C42A6B34}"/>
    <cellStyle name="Komma 5 5 2 2 4" xfId="51738" xr:uid="{4BE983AD-B96D-4742-9B3B-7FBFCB4B652B}"/>
    <cellStyle name="Komma 5 5 2 2 5" xfId="54754" xr:uid="{4D188605-CBFF-441A-9B2A-6B322ED1D51B}"/>
    <cellStyle name="Komma 5 5 2 3" xfId="15338" xr:uid="{8D70F18C-D4CA-4568-81AB-94362F6EFECD}"/>
    <cellStyle name="Komma 5 5 2 3 2" xfId="22877" xr:uid="{D88891A5-A556-4EA3-A380-33D01114F964}"/>
    <cellStyle name="Komma 5 5 2 3 3" xfId="48298" xr:uid="{4665354C-AD51-4159-9723-92EAEC468F1A}"/>
    <cellStyle name="Komma 5 5 2 3 4" xfId="52215" xr:uid="{0BFB71AD-B9E1-4D24-A7DF-7DB82EB451E2}"/>
    <cellStyle name="Komma 5 5 2 3 5" xfId="55231" xr:uid="{38DCD5F1-BA7D-418A-B32E-549B7412A145}"/>
    <cellStyle name="Komma 5 5 2 4" xfId="15825" xr:uid="{CC8020BD-CFE4-4C43-91D4-10FCB5F9DBD1}"/>
    <cellStyle name="Komma 5 5 2 4 2" xfId="23354" xr:uid="{89E840F4-9D2E-4D2A-ADEF-3A23449B6275}"/>
    <cellStyle name="Komma 5 5 2 4 3" xfId="48135" xr:uid="{25B13A13-2DD0-46D3-9D8A-2704DCCE5408}"/>
    <cellStyle name="Komma 5 5 2 4 4" xfId="52692" xr:uid="{A60AD7D1-F1A4-4238-9369-26C1ABEA93A8}"/>
    <cellStyle name="Komma 5 5 2 4 5" xfId="55708" xr:uid="{08130BB0-56DC-46AA-B010-E684FAAAB193}"/>
    <cellStyle name="Komma 5 5 2 5" xfId="12887" xr:uid="{2B23C202-2F54-4897-85A9-78027BC18D2B}"/>
    <cellStyle name="Komma 5 5 2 5 2" xfId="47474" xr:uid="{308BEAA7-5AE7-43DB-A57E-F758CE930C2D}"/>
    <cellStyle name="Komma 5 5 2 5 3" xfId="51261" xr:uid="{01303D65-C4E1-419F-9658-8C84D05E4C2B}"/>
    <cellStyle name="Komma 5 5 2 5 4" xfId="54277" xr:uid="{52F5B2C8-8A9F-4EA5-AAEC-0BDAB2C81659}"/>
    <cellStyle name="Komma 5 5 2 6" xfId="23935" xr:uid="{000527B8-5A25-430F-A745-288BCA746462}"/>
    <cellStyle name="Komma 5 5 2 7" xfId="47799" xr:uid="{D38FCD08-EECF-417B-B83E-919ABA601D3C}"/>
    <cellStyle name="Komma 5 5 2 8" xfId="48784" xr:uid="{55E7FF76-80E0-404A-ACF9-6E2354C37E9A}"/>
    <cellStyle name="Komma 5 5 2 9" xfId="49690" xr:uid="{B4DE210D-CEBF-4603-ACBA-89CD56F0C28F}"/>
    <cellStyle name="Komma 5 5 3" xfId="14641" xr:uid="{ABCCBEA7-4619-444A-9016-98F5804D6797}"/>
    <cellStyle name="Komma 5 5 3 2" xfId="22188" xr:uid="{65E94B35-2E1C-4385-8BEE-47577F1B0F4F}"/>
    <cellStyle name="Komma 5 5 3 3" xfId="46412" xr:uid="{F5301A4D-A57E-420D-8782-30F392777051}"/>
    <cellStyle name="Komma 5 5 3 4" xfId="51526" xr:uid="{46BCA193-AC30-4BE3-8CEC-619394EA2C5D}"/>
    <cellStyle name="Komma 5 5 3 5" xfId="54542" xr:uid="{7725CE4F-E6F4-464C-AAB3-6832569BB0F0}"/>
    <cellStyle name="Komma 5 5 4" xfId="15126" xr:uid="{C8CDD3AA-9CF0-49EB-A9DA-0635A5F47739}"/>
    <cellStyle name="Komma 5 5 4 2" xfId="22665" xr:uid="{56C9FF2D-7F3F-4EF1-AD30-5F9138FFF5B3}"/>
    <cellStyle name="Komma 5 5 4 3" xfId="48009" xr:uid="{ADD5E635-EFBC-459A-A954-5AF71366D16A}"/>
    <cellStyle name="Komma 5 5 4 4" xfId="52003" xr:uid="{B06FE508-3EFB-4276-BA4A-832A1B489CF6}"/>
    <cellStyle name="Komma 5 5 4 5" xfId="55019" xr:uid="{7AAEA938-89DF-4DB2-AD78-E767065DBD73}"/>
    <cellStyle name="Komma 5 5 5" xfId="15613" xr:uid="{1D2D2C25-9731-4EA1-81D6-80234DA5950D}"/>
    <cellStyle name="Komma 5 5 5 2" xfId="23142" xr:uid="{AEFE0676-91B5-40B2-8DE7-E90999FC5BB0}"/>
    <cellStyle name="Komma 5 5 5 3" xfId="47845" xr:uid="{27F9E02E-442E-4B9E-A348-06A367E3EE4D}"/>
    <cellStyle name="Komma 5 5 5 4" xfId="52480" xr:uid="{F9F75AC6-B462-4229-BF30-B14B8CB0A39E}"/>
    <cellStyle name="Komma 5 5 5 5" xfId="55496" xr:uid="{D686B99E-82BE-45AC-9F50-2330A2DA7DC2}"/>
    <cellStyle name="Komma 5 5 6" xfId="12578" xr:uid="{91A2421A-3510-41A8-B41B-7F56B49EDBE9}"/>
    <cellStyle name="Komma 5 5 6 2" xfId="48297" xr:uid="{307F045E-DAF8-4E5C-835A-6E25A2EC6BD2}"/>
    <cellStyle name="Komma 5 5 6 3" xfId="51049" xr:uid="{976A64D6-AE4B-45B7-9D31-B74AFA8C0DBF}"/>
    <cellStyle name="Komma 5 5 6 4" xfId="54065" xr:uid="{64D98E39-B32B-47CC-8BA2-F931F492E300}"/>
    <cellStyle name="Komma 5 5 7" xfId="23934" xr:uid="{B3400B56-B433-4E03-B391-039F4D92F42D}"/>
    <cellStyle name="Komma 5 5 8" xfId="46053" xr:uid="{A5381F65-6294-4395-8EFD-02F40F012D89}"/>
    <cellStyle name="Komma 5 5 9" xfId="48783" xr:uid="{3DF02474-CB5F-41F0-A022-13E54B449040}"/>
    <cellStyle name="Komma 5 6" xfId="10200" xr:uid="{9D5762E2-70A6-496C-BAE8-FDFD42BEA2D6}"/>
    <cellStyle name="Komma 5 6 10" xfId="49691" xr:uid="{AB590E32-81E6-4F18-9E42-845FF9D89EF5}"/>
    <cellStyle name="Komma 5 6 11" xfId="49996" xr:uid="{DCA54C82-E863-43EC-891D-41CB9B91E8EA}"/>
    <cellStyle name="Komma 5 6 12" xfId="53012" xr:uid="{CE66BFD0-0695-49F3-8433-4188E8BE94C7}"/>
    <cellStyle name="Komma 5 6 2" xfId="10514" xr:uid="{C355B48B-8B1F-499B-B961-92FA5469FA16}"/>
    <cellStyle name="Komma 5 6 2 2" xfId="14906" xr:uid="{3FB79611-0674-405D-A65A-07F8635E55A6}"/>
    <cellStyle name="Komma 5 6 2 2 2" xfId="22453" xr:uid="{45212148-D67D-491C-801B-537439B17AC5}"/>
    <cellStyle name="Komma 5 6 2 2 3" xfId="32523" xr:uid="{7A598F61-57C2-4C07-94E8-CBEE47BD54D9}"/>
    <cellStyle name="Komma 5 6 2 2 4" xfId="51791" xr:uid="{8340449C-FCF4-4615-A1D5-B717F9EDA9F6}"/>
    <cellStyle name="Komma 5 6 2 2 5" xfId="54807" xr:uid="{B5417020-5197-48BA-8C05-712E7FD7FC41}"/>
    <cellStyle name="Komma 5 6 2 3" xfId="15391" xr:uid="{AF7539B8-8DD4-4334-8A2E-93084E25CF4A}"/>
    <cellStyle name="Komma 5 6 2 3 2" xfId="22930" xr:uid="{7ACA2561-688D-4191-880B-BE989D9E7E89}"/>
    <cellStyle name="Komma 5 6 2 3 3" xfId="47345" xr:uid="{C184AA4B-944B-4BCA-9F11-4282E7D2C53B}"/>
    <cellStyle name="Komma 5 6 2 3 4" xfId="52268" xr:uid="{F18F0C17-AFC2-4EEB-B23E-48329ED0B198}"/>
    <cellStyle name="Komma 5 6 2 3 5" xfId="55284" xr:uid="{FF3E39FB-924A-4BF0-A395-232EA53F4183}"/>
    <cellStyle name="Komma 5 6 2 4" xfId="15878" xr:uid="{564913EB-6A66-416F-9794-876D629753AA}"/>
    <cellStyle name="Komma 5 6 2 4 2" xfId="23407" xr:uid="{80AA6ED3-C612-4B5A-985E-D3A2B22A6BAD}"/>
    <cellStyle name="Komma 5 6 2 4 3" xfId="47376" xr:uid="{DAA17A7E-F11B-4882-B1DD-B1A1E3E08650}"/>
    <cellStyle name="Komma 5 6 2 4 4" xfId="52745" xr:uid="{DD48802F-6933-4DC6-BFEB-07E06925F7ED}"/>
    <cellStyle name="Komma 5 6 2 4 5" xfId="55761" xr:uid="{0EFBAD3F-FFE5-4D1A-8E04-1DBEACBCACCE}"/>
    <cellStyle name="Komma 5 6 2 5" xfId="12967" xr:uid="{19A90983-3431-4515-B13B-6C355E79B029}"/>
    <cellStyle name="Komma 5 6 2 5 2" xfId="47990" xr:uid="{3DD8D7E5-A9FD-40AD-BE7B-B8A807A83503}"/>
    <cellStyle name="Komma 5 6 2 5 3" xfId="51314" xr:uid="{151330B4-8E74-47CE-AED3-A8287ABA8034}"/>
    <cellStyle name="Komma 5 6 2 5 4" xfId="54330" xr:uid="{840F233A-FD53-46FF-9543-5F9D4CD857DA}"/>
    <cellStyle name="Komma 5 6 2 6" xfId="47559" xr:uid="{7C74B7F6-64FB-488E-BF76-12DDA7C87305}"/>
    <cellStyle name="Komma 5 6 2 7" xfId="50208" xr:uid="{CDCF5989-ABEB-42C4-89A6-186B0F2E922D}"/>
    <cellStyle name="Komma 5 6 2 8" xfId="53224" xr:uid="{E20D6604-C083-4284-880A-9F8C2058A5D3}"/>
    <cellStyle name="Komma 5 6 3" xfId="14694" xr:uid="{1587FD37-56A6-4ED1-A1D3-CDA94244276E}"/>
    <cellStyle name="Komma 5 6 3 2" xfId="22241" xr:uid="{959E838D-52C8-4DA2-90E0-8B92B912ED66}"/>
    <cellStyle name="Komma 5 6 3 3" xfId="48061" xr:uid="{34036D0C-D76B-4EBB-8EA0-1131AEF3CB91}"/>
    <cellStyle name="Komma 5 6 3 4" xfId="51579" xr:uid="{D0B0ACDC-8316-49E5-9005-701F4C43992B}"/>
    <cellStyle name="Komma 5 6 3 5" xfId="54595" xr:uid="{0FC6184C-E4B9-40BC-8D7D-0FDF19F99AE5}"/>
    <cellStyle name="Komma 5 6 4" xfId="15179" xr:uid="{303EAB1D-2362-4468-85F6-84A7FCF647CE}"/>
    <cellStyle name="Komma 5 6 4 2" xfId="22718" xr:uid="{E0735FCC-FBF6-4B32-B966-4CDD816DE37A}"/>
    <cellStyle name="Komma 5 6 4 3" xfId="47839" xr:uid="{0FFD7891-2473-4C4C-AB28-D3257B63A2D4}"/>
    <cellStyle name="Komma 5 6 4 4" xfId="52056" xr:uid="{C8A03C8A-2969-4C45-9685-057B7A904E13}"/>
    <cellStyle name="Komma 5 6 4 5" xfId="55072" xr:uid="{F3E80113-A2B9-4802-ABF9-701B6AC9E2FE}"/>
    <cellStyle name="Komma 5 6 5" xfId="15666" xr:uid="{8AE2DA3F-5445-4A25-A13E-2664395894CF}"/>
    <cellStyle name="Komma 5 6 5 2" xfId="23195" xr:uid="{DB27CC3B-42F7-4933-9B7C-043B8A342F37}"/>
    <cellStyle name="Komma 5 6 5 3" xfId="46567" xr:uid="{F9BED371-5B59-4202-82AD-F138884F94EC}"/>
    <cellStyle name="Komma 5 6 5 4" xfId="52533" xr:uid="{418D7904-7F0F-4EE0-987B-065036F66722}"/>
    <cellStyle name="Komma 5 6 5 5" xfId="55549" xr:uid="{FA71D792-7314-4A2E-813A-D84DA061CA21}"/>
    <cellStyle name="Komma 5 6 6" xfId="12654" xr:uid="{C14B2505-805B-41EE-BDC5-3228C24A06CF}"/>
    <cellStyle name="Komma 5 6 6 2" xfId="46338" xr:uid="{144BD606-540F-4016-8DE2-2AA89E938EFF}"/>
    <cellStyle name="Komma 5 6 6 3" xfId="51102" xr:uid="{923EC674-4BE3-417C-97ED-A8804C46F13F}"/>
    <cellStyle name="Komma 5 6 6 4" xfId="54118" xr:uid="{3288D6BA-9F9C-476A-BB72-34676BD3334F}"/>
    <cellStyle name="Komma 5 6 7" xfId="23936" xr:uid="{3F3CAFED-10FF-4F0C-B536-D927F7456C69}"/>
    <cellStyle name="Komma 5 6 8" xfId="46065" xr:uid="{E7347234-1DE1-42BC-BC53-C62D31E700BA}"/>
    <cellStyle name="Komma 5 6 9" xfId="48785" xr:uid="{BA857FC1-9FE2-4C3E-BD4C-ADB608C4992F}"/>
    <cellStyle name="Komma 5 7" xfId="10280" xr:uid="{5A20BCBB-AF32-4CCC-944F-BC5E095774E1}"/>
    <cellStyle name="Komma 5 7 10" xfId="50049" xr:uid="{1F2534D8-94DF-4B50-AC86-5C8EEB446733}"/>
    <cellStyle name="Komma 5 7 11" xfId="53065" xr:uid="{F92D2E48-6480-45BA-9A32-42587A635787}"/>
    <cellStyle name="Komma 5 7 2" xfId="14747" xr:uid="{C0DD59C9-75EF-46AE-B856-1D2CFD9D757D}"/>
    <cellStyle name="Komma 5 7 2 2" xfId="22294" xr:uid="{C59DBE76-40F2-4AE4-A44F-4B71D6BA529C}"/>
    <cellStyle name="Komma 5 7 2 3" xfId="46429" xr:uid="{D3C0C3F6-BDBD-4928-B30D-54B6A27FFD4D}"/>
    <cellStyle name="Komma 5 7 2 4" xfId="51632" xr:uid="{DC268E8D-A677-45DD-8E2E-3133EE80C764}"/>
    <cellStyle name="Komma 5 7 2 5" xfId="54648" xr:uid="{F4C2857E-847E-42F0-8DB2-4F27CE5F8237}"/>
    <cellStyle name="Komma 5 7 3" xfId="15232" xr:uid="{AC953AF3-166B-43B0-B11C-6015311542DD}"/>
    <cellStyle name="Komma 5 7 3 2" xfId="22771" xr:uid="{762F35DD-B62B-4F5A-90C3-5035F1922CD1}"/>
    <cellStyle name="Komma 5 7 3 3" xfId="46499" xr:uid="{CADB0027-F1E6-4A75-A092-FA9EDAD09D8F}"/>
    <cellStyle name="Komma 5 7 3 4" xfId="52109" xr:uid="{539DF033-E383-4B9C-9171-8E8FBF87C6A2}"/>
    <cellStyle name="Komma 5 7 3 5" xfId="55125" xr:uid="{3A093D38-C3C8-492E-B321-4EE2043EF040}"/>
    <cellStyle name="Komma 5 7 4" xfId="15719" xr:uid="{3D192A92-6926-4B9E-9FE2-1D115E4B40D2}"/>
    <cellStyle name="Komma 5 7 4 2" xfId="23248" xr:uid="{DEA774C5-332E-49EF-96DC-BB659695D99C}"/>
    <cellStyle name="Komma 5 7 4 3" xfId="46577" xr:uid="{1F85C19F-E2DD-423F-9BD9-0654CE22F1AC}"/>
    <cellStyle name="Komma 5 7 4 4" xfId="52586" xr:uid="{5971DAA0-8C85-442B-B71D-C7C1051C9CCF}"/>
    <cellStyle name="Komma 5 7 4 5" xfId="55602" xr:uid="{F54B16DA-A567-4369-A958-05D67B84FC61}"/>
    <cellStyle name="Komma 5 7 5" xfId="12733" xr:uid="{21C02F16-83DA-4AB2-93FC-BDB74AD40988}"/>
    <cellStyle name="Komma 5 7 5 2" xfId="47859" xr:uid="{A0B726E3-4D9B-41AC-8F2D-686C5287EB0D}"/>
    <cellStyle name="Komma 5 7 5 3" xfId="51155" xr:uid="{CCCD03A0-556F-4D5D-8E89-F91AC151189B}"/>
    <cellStyle name="Komma 5 7 5 4" xfId="54171" xr:uid="{3AAF1F32-CD4F-4394-95F1-917680D78707}"/>
    <cellStyle name="Komma 5 7 6" xfId="23937" xr:uid="{179D1D70-52E3-4CD8-AF2A-D651EEB0A438}"/>
    <cellStyle name="Komma 5 7 7" xfId="46083" xr:uid="{FA080E1D-0915-4928-9012-A2F7BE3B2319}"/>
    <cellStyle name="Komma 5 7 8" xfId="48786" xr:uid="{568C6ED6-E8C7-4BB5-B4AC-FC32939BA806}"/>
    <cellStyle name="Komma 5 7 9" xfId="49692" xr:uid="{98F803FD-54EA-4EAF-BAF2-A63D7AF81DEB}"/>
    <cellStyle name="Komma 5 8" xfId="10594" xr:uid="{58C5FE4B-28BE-4981-9EEC-F351CE60E77D}"/>
    <cellStyle name="Komma 5 8 2" xfId="14959" xr:uid="{26071D13-49A0-4D0D-B815-7E37DF6D3A73}"/>
    <cellStyle name="Komma 5 8 2 2" xfId="22506" xr:uid="{B6CA523E-A144-4157-B670-F98326E9071E}"/>
    <cellStyle name="Komma 5 8 2 3" xfId="34022" xr:uid="{F15757A7-F5C2-41BF-B49C-C74ADE4DD1B0}"/>
    <cellStyle name="Komma 5 8 2 4" xfId="51844" xr:uid="{5A892A3F-4F06-422D-921B-6DEDAA4F2665}"/>
    <cellStyle name="Komma 5 8 2 5" xfId="54860" xr:uid="{B2B2DF44-DE13-4C19-A3BF-85132D89FCD4}"/>
    <cellStyle name="Komma 5 8 3" xfId="15444" xr:uid="{2F3CA59D-E74A-4AEE-9EEB-16FDF1EF66A0}"/>
    <cellStyle name="Komma 5 8 3 2" xfId="22983" xr:uid="{B5B1E322-83D4-4E89-A4E9-8D3570B268AA}"/>
    <cellStyle name="Komma 5 8 3 3" xfId="47346" xr:uid="{A84F0837-15EF-478F-964F-03E3D6499A9E}"/>
    <cellStyle name="Komma 5 8 3 4" xfId="52321" xr:uid="{743DD685-D42C-487A-9479-2CDE1764E007}"/>
    <cellStyle name="Komma 5 8 3 5" xfId="55337" xr:uid="{FC107AD1-A24D-4DE9-BA37-DCBC40BAB603}"/>
    <cellStyle name="Komma 5 8 4" xfId="15932" xr:uid="{22439A85-A822-430A-AB38-3E7A3CACBE7A}"/>
    <cellStyle name="Komma 5 8 4 2" xfId="23460" xr:uid="{7CF4A58E-1301-4D8D-8D53-8F3FFD8F8FCB}"/>
    <cellStyle name="Komma 5 8 4 3" xfId="47041" xr:uid="{DDE62E65-A548-47AB-AFEB-4222F367E8D1}"/>
    <cellStyle name="Komma 5 8 4 4" xfId="52798" xr:uid="{F9A05F14-FD5D-4652-97C9-25B0BCE5D14A}"/>
    <cellStyle name="Komma 5 8 4 5" xfId="55814" xr:uid="{12341F4C-70C2-4200-B453-5F894415BA7C}"/>
    <cellStyle name="Komma 5 8 5" xfId="13047" xr:uid="{AB8FF0A5-E933-47AB-9018-860A5B6820E3}"/>
    <cellStyle name="Komma 5 8 5 2" xfId="25027" xr:uid="{0AC1979C-EC12-488F-9B02-7313E90F07E5}"/>
    <cellStyle name="Komma 5 8 5 3" xfId="51367" xr:uid="{007B960E-DF37-4AC8-90FE-578BAC24B335}"/>
    <cellStyle name="Komma 5 8 5 4" xfId="54383" xr:uid="{22BC3D43-CA88-4C23-8CAD-13C182035D48}"/>
    <cellStyle name="Komma 5 8 6" xfId="47263" xr:uid="{5E38C7EE-B77B-48F5-A6C3-E6C54613EC73}"/>
    <cellStyle name="Komma 5 8 7" xfId="50261" xr:uid="{0BF92FA6-6085-4CA6-9F82-C337577C077E}"/>
    <cellStyle name="Komma 5 8 8" xfId="53277" xr:uid="{599F5F7B-0C50-4E9A-90CE-3B615DE57B5E}"/>
    <cellStyle name="Komma 5 9" xfId="14535" xr:uid="{96B68AFA-1402-4B98-A821-9642A882CAF4}"/>
    <cellStyle name="Komma 5 9 2" xfId="22082" xr:uid="{504EBFF7-3D78-42C0-AA4E-0B66A52A9A6B}"/>
    <cellStyle name="Komma 5 9 3" xfId="32330" xr:uid="{66C5E76B-C643-458A-9FDD-F297625C3B07}"/>
    <cellStyle name="Komma 5 9 4" xfId="51420" xr:uid="{FD0A19C4-D2B5-4047-B215-8FDE10F6AE07}"/>
    <cellStyle name="Komma 5 9 5" xfId="54436" xr:uid="{FD2B15BE-D6B9-4FAA-8BD1-6CBE7D4EE4B0}"/>
    <cellStyle name="Komma 6" xfId="23938" xr:uid="{915CFC3D-317E-4934-98CA-C8BE0990E8FD}"/>
    <cellStyle name="Komma 6 2" xfId="23939" xr:uid="{95CF93AE-269D-42DE-953D-2B201E944DB1}"/>
    <cellStyle name="Komma 6 2 2" xfId="23940" xr:uid="{BEB9DCAA-1565-4B70-9403-D0C6B2E794EB}"/>
    <cellStyle name="Komma 6 2 2 2" xfId="23941" xr:uid="{E6869202-790A-4892-A09C-9B0E7435F5CA}"/>
    <cellStyle name="Komma 6 2 2 2 2" xfId="48790" xr:uid="{9C602C9D-835E-4612-89F7-7F30D0584282}"/>
    <cellStyle name="Komma 6 2 2 2 3" xfId="49696" xr:uid="{8A5AE7C3-EB32-4382-A530-7938A45C2351}"/>
    <cellStyle name="Komma 6 2 2 3" xfId="48789" xr:uid="{220D5C3E-735F-482B-838F-E15DC71EF8BC}"/>
    <cellStyle name="Komma 6 2 2 4" xfId="49695" xr:uid="{19360BEF-CDC3-4AC7-83E3-1BC20631FAB5}"/>
    <cellStyle name="Komma 6 2 3" xfId="23942" xr:uid="{CC05C90A-014C-43AA-9811-A8F0D5CBA658}"/>
    <cellStyle name="Komma 6 2 3 2" xfId="23943" xr:uid="{DFAC453D-F288-47C8-B692-218C3B4E384A}"/>
    <cellStyle name="Komma 6 2 3 2 2" xfId="48792" xr:uid="{AC612A99-209C-49FA-9FA5-F226E15A4A36}"/>
    <cellStyle name="Komma 6 2 3 2 3" xfId="49698" xr:uid="{7C38E726-AFE9-4A24-ADAF-4F95A0263E34}"/>
    <cellStyle name="Komma 6 2 3 3" xfId="48791" xr:uid="{EF8BF227-13A7-4700-818B-38D13E51E5A8}"/>
    <cellStyle name="Komma 6 2 3 4" xfId="49697" xr:uid="{A2C4CB5F-4A8F-47B5-B69D-91834FD1DE0D}"/>
    <cellStyle name="Komma 6 2 4" xfId="23944" xr:uid="{B93A2606-202B-406E-BEC9-C549664F2508}"/>
    <cellStyle name="Komma 6 2 4 2" xfId="48793" xr:uid="{DF82BEDB-1B5F-4A51-8F07-338CA0633D34}"/>
    <cellStyle name="Komma 6 2 4 3" xfId="49699" xr:uid="{E063EEB4-42A0-4960-A27E-53BE8DB3B1F4}"/>
    <cellStyle name="Komma 6 2 5" xfId="48788" xr:uid="{B09EC451-E24D-4A88-BEC8-077680A8B1EE}"/>
    <cellStyle name="Komma 6 2 6" xfId="49694" xr:uid="{93CB4648-2C06-4A59-B3B9-BD3F9CEAA5BC}"/>
    <cellStyle name="Komma 6 3" xfId="23945" xr:uid="{BBB03D39-BCCA-4D45-9E3F-A476AD7D777B}"/>
    <cellStyle name="Komma 6 3 2" xfId="23946" xr:uid="{BDAAB513-C6A2-4081-8A66-0245F7A43395}"/>
    <cellStyle name="Komma 6 3 2 2" xfId="48795" xr:uid="{5A1961C7-9147-4418-B4F9-9CF84D68DFF8}"/>
    <cellStyle name="Komma 6 3 2 3" xfId="49701" xr:uid="{BF14CA1C-8DFD-4B22-A825-F8195B4A792A}"/>
    <cellStyle name="Komma 6 3 3" xfId="48794" xr:uid="{DAECF47B-EBA3-4297-A508-D10C54A3AFDA}"/>
    <cellStyle name="Komma 6 3 4" xfId="49700" xr:uid="{25BEC5BD-781D-488C-9536-01880F9D801F}"/>
    <cellStyle name="Komma 6 4" xfId="23947" xr:uid="{376AB3FC-AA81-40B3-AA3B-B9DCB7F4E828}"/>
    <cellStyle name="Komma 6 4 2" xfId="23948" xr:uid="{413153A4-6193-48EA-A18F-6EA2C30363CF}"/>
    <cellStyle name="Komma 6 4 2 2" xfId="48797" xr:uid="{B93E1182-8660-425B-809C-C6D41788A53E}"/>
    <cellStyle name="Komma 6 4 2 3" xfId="49703" xr:uid="{2746FE56-2A22-4B9A-82EA-4A1E0B70F8FD}"/>
    <cellStyle name="Komma 6 4 3" xfId="48796" xr:uid="{5A9C7E42-866E-4A07-9D83-6F59D154A200}"/>
    <cellStyle name="Komma 6 4 4" xfId="49702" xr:uid="{30F10BC7-B075-451B-AF57-8CDE5B541B1D}"/>
    <cellStyle name="Komma 6 5" xfId="23949" xr:uid="{F72276CE-43CE-48B2-A997-51EA1CC165C6}"/>
    <cellStyle name="Komma 6 5 2" xfId="23950" xr:uid="{B8976D5B-20C5-41C1-8342-91438A4B7F55}"/>
    <cellStyle name="Komma 6 5 2 2" xfId="48799" xr:uid="{DACAD481-CB50-42DF-B3E9-4CAD91EEF18C}"/>
    <cellStyle name="Komma 6 5 2 3" xfId="49705" xr:uid="{371ECFF3-B7A8-4911-82E2-5592266E6071}"/>
    <cellStyle name="Komma 6 5 3" xfId="48798" xr:uid="{861F970A-42B4-4AE4-BF38-469BC12587CF}"/>
    <cellStyle name="Komma 6 5 4" xfId="49704" xr:uid="{AF4F598C-6BC2-43D3-9CB9-376A58F0C1D7}"/>
    <cellStyle name="Komma 6 6" xfId="23951" xr:uid="{16CC6304-7884-4D43-BAB1-6099BB4F7466}"/>
    <cellStyle name="Komma 6 6 2" xfId="48800" xr:uid="{127DEE5A-3549-49B1-921A-785A3A0D191D}"/>
    <cellStyle name="Komma 6 6 3" xfId="49706" xr:uid="{CEBF468F-275A-4A15-9256-C4778E348D73}"/>
    <cellStyle name="Komma 6 7" xfId="48787" xr:uid="{110E0404-6D21-4C5D-A46B-1C3F27075DC4}"/>
    <cellStyle name="Komma 6 8" xfId="49693" xr:uid="{BE9F23B4-8382-4421-8AA6-F7459BA36434}"/>
    <cellStyle name="Komma 7" xfId="23952" xr:uid="{1D8A062A-1BCC-405D-9935-9ECE156C6CA2}"/>
    <cellStyle name="Komma 7 2" xfId="23953" xr:uid="{4E01A6ED-6106-4F9E-A101-7F67D1EFF47D}"/>
    <cellStyle name="Komma 7 2 2" xfId="23954" xr:uid="{64471E7B-B18C-4995-B81F-56F5FD037BA1}"/>
    <cellStyle name="Komma 7 2 2 2" xfId="23955" xr:uid="{8E25BE94-E841-4A39-8B05-80BBDA7D07B6}"/>
    <cellStyle name="Komma 7 2 2 2 2" xfId="48804" xr:uid="{77BE0716-3983-4761-8D3E-A381FD0EB9EA}"/>
    <cellStyle name="Komma 7 2 2 2 3" xfId="49710" xr:uid="{FC43EC45-A642-4A66-A302-429B6680BED7}"/>
    <cellStyle name="Komma 7 2 2 3" xfId="48803" xr:uid="{BA3650C2-35B8-4865-ACBA-377A80F72F64}"/>
    <cellStyle name="Komma 7 2 2 4" xfId="49709" xr:uid="{A3FB947D-C95A-4B22-A892-D547F1883FBB}"/>
    <cellStyle name="Komma 7 2 3" xfId="23956" xr:uid="{1BC373EB-19A6-44BE-BABD-4051A22621E6}"/>
    <cellStyle name="Komma 7 2 3 2" xfId="23957" xr:uid="{B39A7DD0-FB83-4221-B362-AEE7B9B33195}"/>
    <cellStyle name="Komma 7 2 3 2 2" xfId="48806" xr:uid="{571A36EB-94C2-4166-A26F-BE8B370A2750}"/>
    <cellStyle name="Komma 7 2 3 2 3" xfId="49712" xr:uid="{D09F8EBE-3E06-4A14-836C-650C124A8620}"/>
    <cellStyle name="Komma 7 2 3 3" xfId="48805" xr:uid="{1B846500-984C-4C5F-ACFD-96850CD3A7C5}"/>
    <cellStyle name="Komma 7 2 3 4" xfId="49711" xr:uid="{75F5C528-3BE4-467A-B56F-0B8B550F52AA}"/>
    <cellStyle name="Komma 7 2 4" xfId="23958" xr:uid="{C77E6C71-C93B-4B75-BB85-4973CBC6B864}"/>
    <cellStyle name="Komma 7 2 4 2" xfId="48807" xr:uid="{30259BBB-DFC6-4DD4-BA27-4F761A3A28F7}"/>
    <cellStyle name="Komma 7 2 4 3" xfId="49713" xr:uid="{C3194813-D121-4330-A378-4E87A9E1F32B}"/>
    <cellStyle name="Komma 7 2 5" xfId="48802" xr:uid="{02D274B7-B9F7-456D-8BE0-82C628AE1AEE}"/>
    <cellStyle name="Komma 7 2 6" xfId="49708" xr:uid="{A3138AF2-F1F9-4236-8658-49031BE72E22}"/>
    <cellStyle name="Komma 7 3" xfId="23959" xr:uid="{14C54A22-B256-4697-A65C-5820AE6D6E5F}"/>
    <cellStyle name="Komma 7 3 2" xfId="23960" xr:uid="{450A260C-54A5-4300-8874-1AE1EC47D759}"/>
    <cellStyle name="Komma 7 3 2 2" xfId="48809" xr:uid="{2DF1588F-CDFB-4760-81C6-C7E56DF9558F}"/>
    <cellStyle name="Komma 7 3 2 3" xfId="49715" xr:uid="{8E117AD9-17DD-4A36-8C71-E2126F98CFF5}"/>
    <cellStyle name="Komma 7 3 3" xfId="48808" xr:uid="{33E6EA07-B8A0-4495-B4CE-087ECF433AD5}"/>
    <cellStyle name="Komma 7 3 4" xfId="49714" xr:uid="{CDE3088D-6598-4A47-B322-11961631875E}"/>
    <cellStyle name="Komma 7 4" xfId="23961" xr:uid="{75C7E4BB-80D8-43D2-A97F-63DA8E84FF7B}"/>
    <cellStyle name="Komma 7 4 2" xfId="23962" xr:uid="{C2E77558-9823-494F-8EC8-513D73ED28E6}"/>
    <cellStyle name="Komma 7 4 2 2" xfId="48811" xr:uid="{F7324EDE-9E44-4C26-9959-64DAD5D62016}"/>
    <cellStyle name="Komma 7 4 2 3" xfId="49717" xr:uid="{F805735B-F673-470A-AF11-E157427D79A7}"/>
    <cellStyle name="Komma 7 4 3" xfId="48810" xr:uid="{272BB4F1-B1B9-4CBB-8446-94E862E905E8}"/>
    <cellStyle name="Komma 7 4 4" xfId="49716" xr:uid="{D3D7BAEF-5CD4-470A-92B3-CCE2499F15C2}"/>
    <cellStyle name="Komma 7 5" xfId="23963" xr:uid="{C4D49F6B-3811-4D8F-A6E8-2B0D10A3E60A}"/>
    <cellStyle name="Komma 7 5 2" xfId="48812" xr:uid="{A4B2AC08-A387-43CB-9268-E9F312049F31}"/>
    <cellStyle name="Komma 7 5 3" xfId="49718" xr:uid="{FB184FAA-7471-4C8C-BCB0-AFD56B7E6F2B}"/>
    <cellStyle name="Komma 7 6" xfId="48801" xr:uid="{06F257E0-769F-42FB-8966-CB4D02F70C73}"/>
    <cellStyle name="Komma 7 7" xfId="49707" xr:uid="{8435B76B-EA68-4DB5-8908-B1C11921B9F9}"/>
    <cellStyle name="Komma 8" xfId="23964" xr:uid="{E37648E3-635A-4375-9130-F5250E209941}"/>
    <cellStyle name="Komma 8 2" xfId="23965" xr:uid="{C28819C8-E983-4E13-8504-BAF83957BA24}"/>
    <cellStyle name="Komma 8 2 2" xfId="23966" xr:uid="{8D2C34E6-A74B-485F-93D2-16982F78AF60}"/>
    <cellStyle name="Komma 8 2 2 2" xfId="48815" xr:uid="{281D1F52-CA87-455B-A618-390AACD98072}"/>
    <cellStyle name="Komma 8 2 2 3" xfId="49721" xr:uid="{5C8F197E-5FC3-4FAB-BA56-74930F3751D1}"/>
    <cellStyle name="Komma 8 2 3" xfId="48814" xr:uid="{04B5CC8B-3AF5-4696-BEE8-AF329B68A767}"/>
    <cellStyle name="Komma 8 2 4" xfId="49720" xr:uid="{F92B3295-E16E-4CEA-94AB-E408663DBFB6}"/>
    <cellStyle name="Komma 8 3" xfId="23967" xr:uid="{FABD3982-9B0A-44A2-A175-3C66DE247244}"/>
    <cellStyle name="Komma 8 3 2" xfId="23968" xr:uid="{CB5C3BAD-A20B-4725-BF57-D303109CD75C}"/>
    <cellStyle name="Komma 8 3 2 2" xfId="48817" xr:uid="{E065ADDE-5BA4-4835-9EC4-549A07DAD424}"/>
    <cellStyle name="Komma 8 3 2 3" xfId="49723" xr:uid="{A654F653-68A3-4DC8-A382-040FBF6B0E83}"/>
    <cellStyle name="Komma 8 3 3" xfId="48816" xr:uid="{55F8611C-7CA1-4307-A272-23FECC31E705}"/>
    <cellStyle name="Komma 8 3 4" xfId="49722" xr:uid="{C12A6FEB-9EF4-49D4-B7E4-2D9D523F3319}"/>
    <cellStyle name="Komma 8 4" xfId="23969" xr:uid="{19CF459C-5E1E-42FD-B95F-86A99E39E68F}"/>
    <cellStyle name="Komma 8 4 2" xfId="48818" xr:uid="{00C030B9-4C3D-4843-A6CF-755EA092A437}"/>
    <cellStyle name="Komma 8 4 3" xfId="49724" xr:uid="{67ACB8FE-328C-46E4-B3D2-A80CD46DC853}"/>
    <cellStyle name="Komma 8 5" xfId="48813" xr:uid="{A558B3CC-95B6-41B4-A3C5-7374A76F1E36}"/>
    <cellStyle name="Komma 8 6" xfId="49719" xr:uid="{5045F1C2-5EB8-4F97-AB6B-252D5E28F3AB}"/>
    <cellStyle name="Komma 9" xfId="23970" xr:uid="{6E9586EB-9DD9-4F28-8D97-9D8FF1299F62}"/>
    <cellStyle name="Komma 9 2" xfId="23971" xr:uid="{17A9B4AA-0B3A-40E0-B99C-893C9329299B}"/>
    <cellStyle name="Komma 9 2 2" xfId="48820" xr:uid="{6A6076D8-83CC-4041-A5DB-DC4850B7F4CD}"/>
    <cellStyle name="Komma 9 2 3" xfId="49726" xr:uid="{AC3051C1-BD80-45DB-89A3-2F217D3DDB21}"/>
    <cellStyle name="Komma 9 3" xfId="48819" xr:uid="{F6AD35DC-46ED-4B69-B763-8A284E57DB6F}"/>
    <cellStyle name="Komma 9 4" xfId="49725" xr:uid="{3FDA722E-38BE-4D44-B65D-461AA63DE35E}"/>
    <cellStyle name="Kontroller celle" xfId="1477" xr:uid="{00000000-0005-0000-0000-0000D2010000}"/>
    <cellStyle name="Kontroller celle 2" xfId="2815" xr:uid="{EF563239-A846-4A75-B4EB-742116F49614}"/>
    <cellStyle name="Link" xfId="17478" xr:uid="{0A51B8DE-0901-410F-8893-396FEFADF2B1}"/>
    <cellStyle name="Link 2" xfId="2816" xr:uid="{8FE95863-50C7-473F-BFE4-6B40BE51BFA1}"/>
    <cellStyle name="Link 2 2" xfId="23973" xr:uid="{55CA0FBE-D732-4608-96F0-01594653A610}"/>
    <cellStyle name="Link 2 3" xfId="23974" xr:uid="{20E6816A-2EE0-49C1-BDC4-DB3E1F67FA71}"/>
    <cellStyle name="Link 2 4" xfId="23975" xr:uid="{6AB095B5-8742-485F-9F54-3ADC912A2BF7}"/>
    <cellStyle name="Link 2 5" xfId="23976" xr:uid="{7CEED332-9645-4B2C-A838-51F4B87DD822}"/>
    <cellStyle name="Link 3" xfId="9109" xr:uid="{4565C5C8-8D68-4DD6-BC0B-4F68054D4FC6}"/>
    <cellStyle name="Link 3 2" xfId="23978" xr:uid="{A024A1F3-5B0F-41A3-8899-2EB0507C5093}"/>
    <cellStyle name="Link 4" xfId="23979" xr:uid="{73CCA873-0132-41F6-B715-8DDF5E3FEE9B}"/>
    <cellStyle name="Link 5" xfId="23980" xr:uid="{BB4F5403-ED06-4738-B868-1F5AD9B9BDC7}"/>
    <cellStyle name="Link 6" xfId="23981" xr:uid="{F96987CA-5841-417B-A86D-A86CD4267BEB}"/>
    <cellStyle name="Linked Cell 2" xfId="23982" xr:uid="{306710AB-47A4-4DF1-8BE0-264E4217601B}"/>
    <cellStyle name="Markeringsfarve1" xfId="1478" xr:uid="{00000000-0005-0000-0000-0000D3010000}"/>
    <cellStyle name="Markeringsfarve1 2" xfId="2817" xr:uid="{9174A573-A411-4F25-8E6E-D88B7A67C871}"/>
    <cellStyle name="Markeringsfarve2" xfId="1479" xr:uid="{00000000-0005-0000-0000-0000D4010000}"/>
    <cellStyle name="Markeringsfarve2 2" xfId="2818" xr:uid="{934FF41D-523B-4BF6-8FF2-6FEEE49E8FEE}"/>
    <cellStyle name="Markeringsfarve3" xfId="1480" xr:uid="{00000000-0005-0000-0000-0000D5010000}"/>
    <cellStyle name="Markeringsfarve3 2" xfId="2819" xr:uid="{4D22709D-6B1B-4EAC-853D-701431AF4CB1}"/>
    <cellStyle name="Markeringsfarve4" xfId="1481" xr:uid="{00000000-0005-0000-0000-0000D6010000}"/>
    <cellStyle name="Markeringsfarve4 2" xfId="2820" xr:uid="{A8D99893-C516-43AF-9013-B091C9E6945F}"/>
    <cellStyle name="Markeringsfarve5" xfId="1482" xr:uid="{00000000-0005-0000-0000-0000D7010000}"/>
    <cellStyle name="Markeringsfarve5 2" xfId="2821" xr:uid="{8403B1B9-6540-4934-87AF-75FA9FD50CB9}"/>
    <cellStyle name="Markeringsfarve6" xfId="1483" xr:uid="{00000000-0005-0000-0000-0000D8010000}"/>
    <cellStyle name="Markeringsfarve6 2" xfId="2822" xr:uid="{F09F4017-0BF0-41AE-BD29-43EEE77E5D56}"/>
    <cellStyle name="Migliaia [0] 10" xfId="243" xr:uid="{00000000-0005-0000-0000-0000D9010000}"/>
    <cellStyle name="Migliaia [0] 10 2" xfId="1484" xr:uid="{00000000-0005-0000-0000-0000DA010000}"/>
    <cellStyle name="Migliaia [0] 10 2 2" xfId="1485" xr:uid="{00000000-0005-0000-0000-0000DB010000}"/>
    <cellStyle name="Migliaia [0] 10 2 2 2" xfId="4551" xr:uid="{999B3FD6-67AE-44AB-907A-C4AFA58230E8}"/>
    <cellStyle name="Migliaia [0] 10 2 2 2 2" xfId="21722" xr:uid="{88FF259B-9516-4898-9338-0F8DDAACF31B}"/>
    <cellStyle name="Migliaia [0] 10 2 2 2 3" xfId="47908" xr:uid="{14F5871B-F3CC-4038-B363-8BC00CA4B78E}"/>
    <cellStyle name="Migliaia [0] 10 2 2 2 4" xfId="50750" xr:uid="{027201AF-44DA-4A43-BF48-D3CA5DD64216}"/>
    <cellStyle name="Migliaia [0] 10 2 2 2 5" xfId="53766" xr:uid="{ABE26B7D-3EBD-4032-B940-6E31D1814680}"/>
    <cellStyle name="Migliaia [0] 10 2 2 2 6" xfId="11713" xr:uid="{6DE73F8B-FFEB-4F17-8680-2EB6F6D619FA}"/>
    <cellStyle name="Migliaia [0] 10 2 2 3" xfId="2825" xr:uid="{4A2A0D4B-26C8-409B-862C-0C1DB0D91680}"/>
    <cellStyle name="Migliaia [0] 10 2 2 3 2" xfId="12359" xr:uid="{6EFCE08E-410A-4548-87C2-57E28AEC1C0A}"/>
    <cellStyle name="Migliaia [0] 10 2 2 4" xfId="10619" xr:uid="{DA389CF1-FA40-49A7-B77A-7D7FA06BED99}"/>
    <cellStyle name="Migliaia [0] 10 2 2 4 2" xfId="21254" xr:uid="{F240B5F3-761A-4BED-A808-C918E5CBB4EC}"/>
    <cellStyle name="Migliaia [0] 10 2 2 4 3" xfId="46161" xr:uid="{BB0C014C-096D-47F9-AFFB-FCD7A10A90A0}"/>
    <cellStyle name="Migliaia [0] 10 2 2 4 4" xfId="50269" xr:uid="{6F14E0BA-12C8-4C4A-A7E4-FB28C7DA425E}"/>
    <cellStyle name="Migliaia [0] 10 2 2 4 5" xfId="53285" xr:uid="{860A1E31-EFC3-44A6-BC91-F399E74D50F9}"/>
    <cellStyle name="Migliaia [0] 10 2 2 5" xfId="19504" xr:uid="{E6FBCAB8-60F9-44DF-BA20-002F2688FE77}"/>
    <cellStyle name="Migliaia [0] 10 2 2 6" xfId="23985" xr:uid="{2D7E598C-BA38-4693-887E-5D2534003D08}"/>
    <cellStyle name="Migliaia [0] 10 2 2 7" xfId="48821" xr:uid="{75A3F66D-7CED-4889-91FC-C73299755F2B}"/>
    <cellStyle name="Migliaia [0] 10 2 2 8" xfId="49727" xr:uid="{20FF7DE4-43E4-4796-B19F-2C92EDCB15B4}"/>
    <cellStyle name="Migliaia [0] 10 2 2 9" xfId="8427" xr:uid="{C6D476F6-2F38-41B9-8B4D-59378E0177FD}"/>
    <cellStyle name="Migliaia [0] 10 2 3" xfId="4550" xr:uid="{CA0CB759-0B9A-45D6-A0AE-2F917C5081E3}"/>
    <cellStyle name="Migliaia [0] 10 2 3 2" xfId="32733" xr:uid="{5626A5AD-2B33-4E30-A09F-5F72EAC4CB3F}"/>
    <cellStyle name="Migliaia [0] 10 2 3 2 2" xfId="38084" xr:uid="{DDFDC9F7-71CF-414C-A9F4-CF3A3C22BDDF}"/>
    <cellStyle name="Migliaia [0] 10 2 3 2 3" xfId="43386" xr:uid="{5E8F5ECB-3903-4531-AAEF-94CB2F70562A}"/>
    <cellStyle name="Migliaia [0] 10 2 3 3" xfId="35619" xr:uid="{B86983FA-AD49-4B82-9F07-469C278C5AE5}"/>
    <cellStyle name="Migliaia [0] 10 2 3 4" xfId="40735" xr:uid="{50978E45-1B73-42F5-B744-E40886DA0AE0}"/>
    <cellStyle name="Migliaia [0] 10 2 3 5" xfId="11714" xr:uid="{C7F83385-28B8-4B0B-ACB0-DC1E93976AC8}"/>
    <cellStyle name="Migliaia [0] 10 2 4" xfId="5831" xr:uid="{7AEB3FF7-432E-44AA-8172-CE9C777C0198}"/>
    <cellStyle name="Migliaia [0] 10 2 4 2" xfId="19503" xr:uid="{79F0B802-2C73-4EB8-ACD4-A093828450BE}"/>
    <cellStyle name="Migliaia [0] 10 2 5" xfId="2824" xr:uid="{56BAC4E8-C04D-4429-B195-E3FD40ABE7D3}"/>
    <cellStyle name="Migliaia [0] 10 2 5 2" xfId="23984" xr:uid="{F8462D53-4F88-45F5-951D-F72629C1D8D3}"/>
    <cellStyle name="Migliaia [0] 10 2 6" xfId="7237" xr:uid="{5BF25373-2736-4137-8FFF-FC687EB30CBC}"/>
    <cellStyle name="Migliaia [0] 10 3" xfId="1486" xr:uid="{00000000-0005-0000-0000-0000DC010000}"/>
    <cellStyle name="Migliaia [0] 10 3 2" xfId="4552" xr:uid="{E030A518-07C0-487F-9BD6-245C69FE5AA8}"/>
    <cellStyle name="Migliaia [0] 10 3 2 2" xfId="18302" xr:uid="{32603424-25C0-4E7A-B124-11D6318B7E9A}"/>
    <cellStyle name="Migliaia [0] 10 3 2 2 2" xfId="21723" xr:uid="{B55E9B35-D8D5-4425-888D-FC061736927C}"/>
    <cellStyle name="Migliaia [0] 10 3 2 2 2 2" xfId="38085" xr:uid="{53CBF2D1-AF5B-4943-B4CE-B4A4FF774E89}"/>
    <cellStyle name="Migliaia [0] 10 3 2 2 3" xfId="43387" xr:uid="{A025FC7B-4049-4A56-96BB-88731E50AEA7}"/>
    <cellStyle name="Migliaia [0] 10 3 2 2 4" xfId="32734" xr:uid="{1C46630B-6798-4381-8381-D5130AEA195D}"/>
    <cellStyle name="Migliaia [0] 10 3 2 3" xfId="35620" xr:uid="{9EDC6265-693B-4332-B40D-DDB676E0F40F}"/>
    <cellStyle name="Migliaia [0] 10 3 2 4" xfId="40736" xr:uid="{B3DF3B86-EFB9-4C5B-92CD-47436DC69C6C}"/>
    <cellStyle name="Migliaia [0] 10 3 2 5" xfId="25138" xr:uid="{D77F61D1-618C-40A8-B4A6-92508FABC97C}"/>
    <cellStyle name="Migliaia [0] 10 3 2 6" xfId="50751" xr:uid="{FF83ED88-1DBC-43C2-BE46-51E60A675DF8}"/>
    <cellStyle name="Migliaia [0] 10 3 2 7" xfId="53767" xr:uid="{C6E4B7EF-3ACC-45CC-8C6B-F1CCD52A869E}"/>
    <cellStyle name="Migliaia [0] 10 3 2 8" xfId="17578" xr:uid="{EB7A93AF-C30D-41D9-BA60-1F204A59136F}"/>
    <cellStyle name="Migliaia [0] 10 3 2 9" xfId="11715" xr:uid="{8EDB09B1-09F0-4999-931E-E1783FB289F6}"/>
    <cellStyle name="Migliaia [0] 10 3 3" xfId="5832" xr:uid="{A664D942-F57E-411A-83AD-BBFC362ADD73}"/>
    <cellStyle name="Migliaia [0] 10 3 3 2" xfId="12388" xr:uid="{375ADC1E-238A-47BF-86D3-A0AD03D2FEB5}"/>
    <cellStyle name="Migliaia [0] 10 3 4" xfId="2826" xr:uid="{47FA5C3F-DCD9-4510-BDA4-730F76541B70}"/>
    <cellStyle name="Migliaia [0] 10 3 4 2" xfId="21255" xr:uid="{6E92C856-AB1D-4C88-B067-614861E62CFD}"/>
    <cellStyle name="Migliaia [0] 10 3 4 3" xfId="33094" xr:uid="{30B05481-11B5-4059-A147-A97427969A1C}"/>
    <cellStyle name="Migliaia [0] 10 3 4 4" xfId="50270" xr:uid="{728DC9DE-EAF2-4285-A5BA-20B8AA5B571E}"/>
    <cellStyle name="Migliaia [0] 10 3 4 5" xfId="53286" xr:uid="{68A4F107-607B-46AB-BCCB-D8C56ACF1D40}"/>
    <cellStyle name="Migliaia [0] 10 3 4 6" xfId="10620" xr:uid="{E3673C0C-EDD6-4400-A49A-54ECA7F226A4}"/>
    <cellStyle name="Migliaia [0] 10 3 5" xfId="19505" xr:uid="{75B72AF4-049B-497F-82FA-CBA905F7FE88}"/>
    <cellStyle name="Migliaia [0] 10 3 6" xfId="23986" xr:uid="{8EAC935D-6239-440A-924B-AD0BB9CD3FF7}"/>
    <cellStyle name="Migliaia [0] 10 3 7" xfId="8185" xr:uid="{3F69B0C8-6595-4716-AAAC-8FBDC3B88228}"/>
    <cellStyle name="Migliaia [0] 10 4" xfId="2827" xr:uid="{7CB6AC36-41A6-4376-BA12-9F99B415003A}"/>
    <cellStyle name="Migliaia [0] 10 4 2" xfId="4553" xr:uid="{42CAF7B4-D30F-4275-97DC-72D8FD76F764}"/>
    <cellStyle name="Migliaia [0] 10 4 2 2" xfId="35070" xr:uid="{0203F989-F9A5-41FB-B4F3-677823A5A27C}"/>
    <cellStyle name="Migliaia [0] 10 4 2 2 2" xfId="40228" xr:uid="{BC420652-3EA6-45BA-B0E0-D028B556FF45}"/>
    <cellStyle name="Migliaia [0] 10 4 2 2 3" xfId="45530" xr:uid="{8C2A7826-2D03-469D-A662-6FA29887FCA9}"/>
    <cellStyle name="Migliaia [0] 10 4 2 3" xfId="37577" xr:uid="{1EBE42A6-57D0-4799-8762-46104B6E3E26}"/>
    <cellStyle name="Migliaia [0] 10 4 2 4" xfId="42879" xr:uid="{F0A2A182-72B8-4050-B3DF-40E13DA82845}"/>
    <cellStyle name="Migliaia [0] 10 4 2 5" xfId="17010" xr:uid="{9B45364C-8140-4302-A772-5A7D562A9FCB}"/>
    <cellStyle name="Migliaia [0] 10 4 3" xfId="5833" xr:uid="{9D19FBA8-D655-4015-8F82-2F1261C500C5}"/>
    <cellStyle name="Migliaia [0] 10 4 3 2" xfId="38086" xr:uid="{9BF09399-8D8F-4B13-9B46-01F42D376C54}"/>
    <cellStyle name="Migliaia [0] 10 4 3 3" xfId="43388" xr:uid="{9D415892-79A2-45DB-B514-07D9B44BEE08}"/>
    <cellStyle name="Migliaia [0] 10 4 3 4" xfId="32735" xr:uid="{1B66F756-07E5-4EDF-9D85-F83675B47CEB}"/>
    <cellStyle name="Migliaia [0] 10 4 3 5" xfId="19506" xr:uid="{E4192D5D-7313-456D-A2A1-CD8FFFAE5307}"/>
    <cellStyle name="Migliaia [0] 10 4 4" xfId="35621" xr:uid="{8F5FD01F-9208-4CA4-B825-463092DB04A5}"/>
    <cellStyle name="Migliaia [0] 10 4 5" xfId="40737" xr:uid="{25D40F3C-120D-476E-8937-C49091570518}"/>
    <cellStyle name="Migliaia [0] 10 4 6" xfId="15952" xr:uid="{23E03374-7AB0-4764-A3F7-719C8C52A3EF}"/>
    <cellStyle name="Migliaia [0] 10 4 7" xfId="7765" xr:uid="{6474B145-34F5-4874-9E7D-64DD6D38D430}"/>
    <cellStyle name="Migliaia [0] 10 5" xfId="4549" xr:uid="{BCEB1AC9-0C9F-4486-8C45-0A9276028903}"/>
    <cellStyle name="Migliaia [0] 10 5 2" xfId="32736" xr:uid="{8FBD2449-E8B8-4B3B-821F-CEE83F84C65C}"/>
    <cellStyle name="Migliaia [0] 10 5 2 2" xfId="38087" xr:uid="{81CF2E92-2BBE-4950-876F-EF5DD1C8371B}"/>
    <cellStyle name="Migliaia [0] 10 5 2 3" xfId="43389" xr:uid="{3DA72E82-13BC-4717-B1BE-E5A774F18128}"/>
    <cellStyle name="Migliaia [0] 10 5 3" xfId="35622" xr:uid="{A817DF38-282D-44E1-B3C5-A38B4DCD9CA9}"/>
    <cellStyle name="Migliaia [0] 10 5 4" xfId="40738" xr:uid="{AA5237BF-EAB2-40FB-8392-1FE748E52317}"/>
    <cellStyle name="Migliaia [0] 10 5 5" xfId="17079" xr:uid="{F4A2546B-BD34-47F8-B6DA-068ABB41E019}"/>
    <cellStyle name="Migliaia [0] 10 6" xfId="5830" xr:uid="{13C84C13-B035-47AE-AFE6-38877BACBA26}"/>
    <cellStyle name="Migliaia [0] 10 6 2" xfId="38083" xr:uid="{D01AEB97-B037-4193-9858-6300C14F9137}"/>
    <cellStyle name="Migliaia [0] 10 6 3" xfId="43385" xr:uid="{6D835CC4-D0A6-45B6-8813-C8D2D6326CE7}"/>
    <cellStyle name="Migliaia [0] 10 6 4" xfId="32732" xr:uid="{984B2C36-D113-40AD-8DD8-48E32317A54F}"/>
    <cellStyle name="Migliaia [0] 10 6 5" xfId="19502" xr:uid="{81453B89-2FAE-443C-A0D8-5E180877A01E}"/>
    <cellStyle name="Migliaia [0] 10 7" xfId="2823" xr:uid="{61A91452-1E55-4A98-80FE-70069A3AE398}"/>
    <cellStyle name="Migliaia [0] 10 7 2" xfId="35618" xr:uid="{AB44F613-8D51-47F8-B25A-69BCCF9EC97F}"/>
    <cellStyle name="Migliaia [0] 10 8" xfId="40734" xr:uid="{02F87CE4-AF30-44A5-A095-E62CF7C7B86A}"/>
    <cellStyle name="Migliaia [0] 10 9" xfId="6986" xr:uid="{E08FF961-AC1F-4055-AA16-955B75A8367A}"/>
    <cellStyle name="Migliaia [0] 11" xfId="244" xr:uid="{00000000-0005-0000-0000-0000DD010000}"/>
    <cellStyle name="Migliaia [0] 11 2" xfId="1487" xr:uid="{00000000-0005-0000-0000-0000DE010000}"/>
    <cellStyle name="Migliaia [0] 11 2 2" xfId="1488" xr:uid="{00000000-0005-0000-0000-0000DF010000}"/>
    <cellStyle name="Migliaia [0] 11 2 2 2" xfId="4556" xr:uid="{23E24C56-AEA8-4643-B43E-3036F456A968}"/>
    <cellStyle name="Migliaia [0] 11 2 2 2 2" xfId="21724" xr:uid="{59264761-ABB9-483E-85AF-FDAC3FFC8BD5}"/>
    <cellStyle name="Migliaia [0] 11 2 2 2 3" xfId="47812" xr:uid="{D68201A6-9C51-4FD5-B049-A16D6B2B8BE7}"/>
    <cellStyle name="Migliaia [0] 11 2 2 2 4" xfId="50752" xr:uid="{D7E08D1A-00BF-45AD-8C37-36B9E620974C}"/>
    <cellStyle name="Migliaia [0] 11 2 2 2 5" xfId="53768" xr:uid="{62BFE074-3374-44BB-90F9-07E0D5934BF0}"/>
    <cellStyle name="Migliaia [0] 11 2 2 2 6" xfId="11716" xr:uid="{01604F2D-ABF8-4F7B-B13D-E48DE27C1B58}"/>
    <cellStyle name="Migliaia [0] 11 2 2 3" xfId="2830" xr:uid="{764840E9-B2A5-47C9-96B6-BF71D57B73E0}"/>
    <cellStyle name="Migliaia [0] 11 2 2 3 2" xfId="12187" xr:uid="{301D48AF-0F35-4158-AAB6-BC1717B77763}"/>
    <cellStyle name="Migliaia [0] 11 2 2 4" xfId="10621" xr:uid="{496B0F99-36AE-45A7-8F12-9C2E2C4B6742}"/>
    <cellStyle name="Migliaia [0] 11 2 2 4 2" xfId="21256" xr:uid="{942DFF25-3718-4F85-8AB0-501A2CE9382D}"/>
    <cellStyle name="Migliaia [0] 11 2 2 4 3" xfId="46162" xr:uid="{EA675B6C-8892-4487-8DEE-792947EEF3E6}"/>
    <cellStyle name="Migliaia [0] 11 2 2 4 4" xfId="50271" xr:uid="{40E9D9AF-D88A-4769-984D-F50D3F80260F}"/>
    <cellStyle name="Migliaia [0] 11 2 2 4 5" xfId="53287" xr:uid="{10C293B6-1E94-4D08-AA33-0DCBF81FC23A}"/>
    <cellStyle name="Migliaia [0] 11 2 2 5" xfId="19509" xr:uid="{32CAEAF4-C108-4C5E-8E47-7940C84A1D4D}"/>
    <cellStyle name="Migliaia [0] 11 2 2 6" xfId="23990" xr:uid="{862203CA-B2D6-4C82-887C-809FCC27D248}"/>
    <cellStyle name="Migliaia [0] 11 2 2 7" xfId="48822" xr:uid="{2A388936-ACF8-4A1B-9D17-E51B1BC9A319}"/>
    <cellStyle name="Migliaia [0] 11 2 2 8" xfId="49728" xr:uid="{A514DFD4-5663-445B-9F44-4730C277F543}"/>
    <cellStyle name="Migliaia [0] 11 2 2 9" xfId="8428" xr:uid="{2E4FBF28-B65A-4074-A954-4745ECF71553}"/>
    <cellStyle name="Migliaia [0] 11 2 3" xfId="4555" xr:uid="{493F877F-2E9F-4705-ACED-B510ADEFCC3A}"/>
    <cellStyle name="Migliaia [0] 11 2 3 2" xfId="32738" xr:uid="{DFC9CE0D-977F-4431-8184-ED9E96CD1E7F}"/>
    <cellStyle name="Migliaia [0] 11 2 3 2 2" xfId="38089" xr:uid="{F7217520-C4FC-4661-AB42-2EDEFBA1D975}"/>
    <cellStyle name="Migliaia [0] 11 2 3 2 3" xfId="43391" xr:uid="{45E2CC32-0E4C-46A0-9287-09321FA439E7}"/>
    <cellStyle name="Migliaia [0] 11 2 3 3" xfId="35624" xr:uid="{6EC3EFFF-3E4B-4C5E-8D75-00C218342A8F}"/>
    <cellStyle name="Migliaia [0] 11 2 3 4" xfId="40740" xr:uid="{A76DFA3D-6318-47E3-8689-43019C1015F9}"/>
    <cellStyle name="Migliaia [0] 11 2 3 5" xfId="11717" xr:uid="{E1E6FC8B-E92A-4E34-A961-521912063968}"/>
    <cellStyle name="Migliaia [0] 11 2 4" xfId="5835" xr:uid="{CE80F89E-96EC-4755-ABBD-25897286F924}"/>
    <cellStyle name="Migliaia [0] 11 2 4 2" xfId="19508" xr:uid="{EC8CD040-248E-447A-80A0-7C659D2BF32B}"/>
    <cellStyle name="Migliaia [0] 11 2 5" xfId="2829" xr:uid="{E593B6A2-C878-4D71-9452-E4317F029FF2}"/>
    <cellStyle name="Migliaia [0] 11 2 5 2" xfId="23989" xr:uid="{639FCF0F-1CCF-4593-97CF-D4749EBF89DF}"/>
    <cellStyle name="Migliaia [0] 11 2 6" xfId="7238" xr:uid="{C14CBBC9-E9FA-49AA-86EC-E2B22A0C09C1}"/>
    <cellStyle name="Migliaia [0] 11 3" xfId="1489" xr:uid="{00000000-0005-0000-0000-0000E0010000}"/>
    <cellStyle name="Migliaia [0] 11 3 2" xfId="4557" xr:uid="{4F45E4F8-7A27-4FC4-9579-672B92584CD5}"/>
    <cellStyle name="Migliaia [0] 11 3 2 2" xfId="18303" xr:uid="{09E64380-6CCA-4A63-9101-AFD1AD3B3E8E}"/>
    <cellStyle name="Migliaia [0] 11 3 2 2 2" xfId="21725" xr:uid="{E58DEF30-8078-48D5-B61B-41FDDCFBDFD3}"/>
    <cellStyle name="Migliaia [0] 11 3 2 2 2 2" xfId="38090" xr:uid="{3CBA23F5-D233-4B3B-B82F-6023AE2B1F26}"/>
    <cellStyle name="Migliaia [0] 11 3 2 2 3" xfId="43392" xr:uid="{293A6D71-350E-4377-B2DE-7C6929045628}"/>
    <cellStyle name="Migliaia [0] 11 3 2 2 4" xfId="32739" xr:uid="{6D3F1EC3-29C3-4901-AC0E-2182F0206ECE}"/>
    <cellStyle name="Migliaia [0] 11 3 2 3" xfId="35625" xr:uid="{F7AE41D5-8767-4FD6-9DFC-83022328024B}"/>
    <cellStyle name="Migliaia [0] 11 3 2 4" xfId="40741" xr:uid="{57F18934-5F7B-4EBF-924D-454182003AFD}"/>
    <cellStyle name="Migliaia [0] 11 3 2 5" xfId="48041" xr:uid="{1A8B819F-731C-45C0-82E0-F8814C0E01E1}"/>
    <cellStyle name="Migliaia [0] 11 3 2 6" xfId="50753" xr:uid="{E2D2D743-5E82-4FF1-9423-C97C93B4DE64}"/>
    <cellStyle name="Migliaia [0] 11 3 2 7" xfId="53769" xr:uid="{0C24C65F-3CF1-46AB-85A8-0C0FEAE0A30C}"/>
    <cellStyle name="Migliaia [0] 11 3 2 8" xfId="17579" xr:uid="{F37EA7CF-8F4F-4B27-A940-4AE56FEECBA5}"/>
    <cellStyle name="Migliaia [0] 11 3 2 9" xfId="11718" xr:uid="{68BB5301-97C8-4603-B742-45AF7AB019E0}"/>
    <cellStyle name="Migliaia [0] 11 3 3" xfId="5836" xr:uid="{9E6DAAAF-7D03-4C4F-A45C-FB356F2B8D6F}"/>
    <cellStyle name="Migliaia [0] 11 3 3 2" xfId="12387" xr:uid="{51E193AB-6371-411A-AEA3-A405E11BF761}"/>
    <cellStyle name="Migliaia [0] 11 3 4" xfId="2831" xr:uid="{0CA9844A-4371-4CB6-9E73-D18C81EB3EB8}"/>
    <cellStyle name="Migliaia [0] 11 3 4 2" xfId="21257" xr:uid="{EDEC153A-F870-4031-990C-4EB2B66A414D}"/>
    <cellStyle name="Migliaia [0] 11 3 4 3" xfId="47070" xr:uid="{87FD6517-FE96-42F6-B74F-6FDB8A0A0CB7}"/>
    <cellStyle name="Migliaia [0] 11 3 4 4" xfId="50272" xr:uid="{73982BB7-078A-434A-92A8-B920C018F3E3}"/>
    <cellStyle name="Migliaia [0] 11 3 4 5" xfId="53288" xr:uid="{B3B50D06-DB39-411B-AD52-7AF32E822727}"/>
    <cellStyle name="Migliaia [0] 11 3 4 6" xfId="10622" xr:uid="{592F767C-1C40-42B1-A533-E1CBD15B33FB}"/>
    <cellStyle name="Migliaia [0] 11 3 5" xfId="19510" xr:uid="{54BF0388-1414-42B4-AE44-68BE58322081}"/>
    <cellStyle name="Migliaia [0] 11 3 6" xfId="23991" xr:uid="{AD4A1204-D213-41DE-B28F-09437049005E}"/>
    <cellStyle name="Migliaia [0] 11 3 7" xfId="8186" xr:uid="{6DF17F47-207B-4838-B6C7-9006DEFAB58E}"/>
    <cellStyle name="Migliaia [0] 11 4" xfId="2832" xr:uid="{2F2731B5-BD61-4E8F-B816-BDA9DBB55759}"/>
    <cellStyle name="Migliaia [0] 11 4 2" xfId="4558" xr:uid="{8544E5B5-9610-4D5E-A25A-031A731D95BD}"/>
    <cellStyle name="Migliaia [0] 11 4 2 2" xfId="35071" xr:uid="{67DB0429-CCEE-4583-B5CD-37F905DC0E4B}"/>
    <cellStyle name="Migliaia [0] 11 4 2 2 2" xfId="40229" xr:uid="{D765A415-7CDC-4FFF-A69B-6EAFFCF4E67E}"/>
    <cellStyle name="Migliaia [0] 11 4 2 2 3" xfId="45531" xr:uid="{934C9767-4A86-4EDE-9AD5-DECDEFF71955}"/>
    <cellStyle name="Migliaia [0] 11 4 2 3" xfId="37578" xr:uid="{E18E2008-CA7E-4B04-AAA0-CC517EFA28E2}"/>
    <cellStyle name="Migliaia [0] 11 4 2 4" xfId="42880" xr:uid="{F586F849-ABAF-4A32-8281-41B62293C7E0}"/>
    <cellStyle name="Migliaia [0] 11 4 2 5" xfId="17011" xr:uid="{73C72A76-2D87-43FC-8B4F-212ABC80AAC9}"/>
    <cellStyle name="Migliaia [0] 11 4 3" xfId="5837" xr:uid="{7C2C0142-35DD-4656-97ED-44B09C2560A4}"/>
    <cellStyle name="Migliaia [0] 11 4 3 2" xfId="38091" xr:uid="{E11DAC6C-636C-4B2A-A58B-765591CBC6B9}"/>
    <cellStyle name="Migliaia [0] 11 4 3 3" xfId="43393" xr:uid="{9EB3241F-49AD-406A-A470-AB2994A828A1}"/>
    <cellStyle name="Migliaia [0] 11 4 3 4" xfId="32740" xr:uid="{9E12FBCB-4D52-4954-9541-E2F062857A96}"/>
    <cellStyle name="Migliaia [0] 11 4 3 5" xfId="19511" xr:uid="{7B1E7D23-A6A8-4518-8942-5F5EDD428ABD}"/>
    <cellStyle name="Migliaia [0] 11 4 4" xfId="35626" xr:uid="{B5848ED3-5E11-41E9-B88C-F7FDA1A5022C}"/>
    <cellStyle name="Migliaia [0] 11 4 5" xfId="40742" xr:uid="{891D0BC9-7FC2-4058-993D-B7C632B8A36C}"/>
    <cellStyle name="Migliaia [0] 11 4 6" xfId="15953" xr:uid="{3E220F18-4C81-4657-9E80-07F6F16D1153}"/>
    <cellStyle name="Migliaia [0] 11 4 7" xfId="7766" xr:uid="{067A2235-FA15-41A1-BEA7-A1153E6956F4}"/>
    <cellStyle name="Migliaia [0] 11 5" xfId="4554" xr:uid="{DFEB13CA-4012-4558-A3E4-8DFCB6B4784B}"/>
    <cellStyle name="Migliaia [0] 11 5 2" xfId="32741" xr:uid="{7B0FFA3A-80D7-46A2-BD4E-EDF2F2D7FCF7}"/>
    <cellStyle name="Migliaia [0] 11 5 2 2" xfId="38092" xr:uid="{24C7AB53-9D67-4EB1-AA5C-37847DB16385}"/>
    <cellStyle name="Migliaia [0] 11 5 2 3" xfId="43394" xr:uid="{022D26D2-2285-4EE4-8000-2B00F7806CC1}"/>
    <cellStyle name="Migliaia [0] 11 5 3" xfId="35627" xr:uid="{260E286C-4C73-4767-BA57-960BBB019ECA}"/>
    <cellStyle name="Migliaia [0] 11 5 4" xfId="40743" xr:uid="{CFF6DFE9-563C-437F-BCC9-3F4A63DEB14E}"/>
    <cellStyle name="Migliaia [0] 11 5 5" xfId="17080" xr:uid="{B97CB089-D2B3-4521-8093-0F9C7A7C25CB}"/>
    <cellStyle name="Migliaia [0] 11 6" xfId="5834" xr:uid="{F191B135-8A2F-4D89-8C7E-3B7E08CB70FB}"/>
    <cellStyle name="Migliaia [0] 11 6 2" xfId="38088" xr:uid="{95D28DEB-BB54-4B22-8389-1B31741C8BE8}"/>
    <cellStyle name="Migliaia [0] 11 6 3" xfId="43390" xr:uid="{29BE119B-C6AE-4B50-A6FA-FE89BB0C1517}"/>
    <cellStyle name="Migliaia [0] 11 6 4" xfId="32737" xr:uid="{D04CD689-0E08-45D9-AB6F-304A820773F9}"/>
    <cellStyle name="Migliaia [0] 11 6 5" xfId="19507" xr:uid="{7C21942A-8C7E-4C52-9E89-C5010238BE3A}"/>
    <cellStyle name="Migliaia [0] 11 7" xfId="2828" xr:uid="{58B0FE29-850A-4580-97E4-0F16E310B732}"/>
    <cellStyle name="Migliaia [0] 11 7 2" xfId="35623" xr:uid="{399ECD98-AF54-4F35-B9B4-5263AD650D82}"/>
    <cellStyle name="Migliaia [0] 11 8" xfId="40739" xr:uid="{AE83EADC-09B2-4092-A9AD-9068511853F6}"/>
    <cellStyle name="Migliaia [0] 11 9" xfId="6987" xr:uid="{38547FD6-10E9-48D5-AB9B-35BC9CDBA81A}"/>
    <cellStyle name="Migliaia [0] 12" xfId="245" xr:uid="{00000000-0005-0000-0000-0000E1010000}"/>
    <cellStyle name="Migliaia [0] 12 2" xfId="1490" xr:uid="{00000000-0005-0000-0000-0000E2010000}"/>
    <cellStyle name="Migliaia [0] 12 2 2" xfId="1491" xr:uid="{00000000-0005-0000-0000-0000E3010000}"/>
    <cellStyle name="Migliaia [0] 12 2 2 2" xfId="4561" xr:uid="{10A5570A-6DB3-4D72-954F-5F02503D261A}"/>
    <cellStyle name="Migliaia [0] 12 2 2 2 2" xfId="21726" xr:uid="{312674E8-83E4-4EAC-8507-FC39B1DC6FA0}"/>
    <cellStyle name="Migliaia [0] 12 2 2 2 3" xfId="48482" xr:uid="{9286573A-3570-44DF-9833-70E41F870C9E}"/>
    <cellStyle name="Migliaia [0] 12 2 2 2 4" xfId="50754" xr:uid="{796AB16E-8734-4751-9E94-55FAB8B83DF8}"/>
    <cellStyle name="Migliaia [0] 12 2 2 2 5" xfId="53770" xr:uid="{D15ED7BB-CF80-4BDF-8DCD-02DB71B37271}"/>
    <cellStyle name="Migliaia [0] 12 2 2 2 6" xfId="11719" xr:uid="{E4A34C93-F4D9-4AA3-A838-ACFD196DB5B6}"/>
    <cellStyle name="Migliaia [0] 12 2 2 3" xfId="2835" xr:uid="{531F8008-F03F-46E7-95F0-49C85054C880}"/>
    <cellStyle name="Migliaia [0] 12 2 2 3 2" xfId="11550" xr:uid="{01A78761-5E8C-4054-A35A-7C0207F95ABF}"/>
    <cellStyle name="Migliaia [0] 12 2 2 4" xfId="10623" xr:uid="{F04DF626-4091-4FC4-938B-AFAFC69B0D7D}"/>
    <cellStyle name="Migliaia [0] 12 2 2 4 2" xfId="21258" xr:uid="{3F28FE20-8B5F-426A-A222-7085AB5BE8E2}"/>
    <cellStyle name="Migliaia [0] 12 2 2 4 3" xfId="46163" xr:uid="{E3FE9A07-1294-43B5-828F-508A3838E030}"/>
    <cellStyle name="Migliaia [0] 12 2 2 4 4" xfId="50273" xr:uid="{D898A422-ABAF-472B-BC6C-8F19ED2BE4B4}"/>
    <cellStyle name="Migliaia [0] 12 2 2 4 5" xfId="53289" xr:uid="{BB3C2FEF-33AC-4769-A323-65DBCC6085D4}"/>
    <cellStyle name="Migliaia [0] 12 2 2 5" xfId="19514" xr:uid="{8577F54C-5695-41A5-A523-699C96D5B3AC}"/>
    <cellStyle name="Migliaia [0] 12 2 2 6" xfId="23995" xr:uid="{E674F004-7ACF-4D36-8B0F-091C3CC69618}"/>
    <cellStyle name="Migliaia [0] 12 2 2 7" xfId="48823" xr:uid="{6E2459DA-D245-4A14-B85C-05D758E91B04}"/>
    <cellStyle name="Migliaia [0] 12 2 2 8" xfId="49729" xr:uid="{0C3F1757-98BA-42B4-9358-9FCA3C27B5E8}"/>
    <cellStyle name="Migliaia [0] 12 2 2 9" xfId="8429" xr:uid="{EE606C00-A3AE-4F37-B2A9-FA0B25ECED00}"/>
    <cellStyle name="Migliaia [0] 12 2 3" xfId="4560" xr:uid="{EC24913A-74EC-4D9B-8800-6114077B579C}"/>
    <cellStyle name="Migliaia [0] 12 2 3 2" xfId="32743" xr:uid="{8A134422-01B6-4F6C-83B4-680EEAFCDDB1}"/>
    <cellStyle name="Migliaia [0] 12 2 3 2 2" xfId="38094" xr:uid="{D3234E57-20EC-4152-A0A4-64D5A50BA9A8}"/>
    <cellStyle name="Migliaia [0] 12 2 3 2 3" xfId="43396" xr:uid="{51AB5F9A-065E-4F5C-8FE8-7B0E6C7EB83A}"/>
    <cellStyle name="Migliaia [0] 12 2 3 3" xfId="35629" xr:uid="{B4222F0D-0363-4A26-9A82-1EB87726368C}"/>
    <cellStyle name="Migliaia [0] 12 2 3 4" xfId="40745" xr:uid="{D3016EE9-1532-4C27-AB9A-D4732A6D52C5}"/>
    <cellStyle name="Migliaia [0] 12 2 3 5" xfId="11720" xr:uid="{1B522BB0-2759-43B2-8A9F-95CAA6FCBBF2}"/>
    <cellStyle name="Migliaia [0] 12 2 4" xfId="5839" xr:uid="{FAB03C12-8009-4821-8474-7E56BB49616C}"/>
    <cellStyle name="Migliaia [0] 12 2 4 2" xfId="19513" xr:uid="{11A29F8F-8377-46F1-863D-23F38725A659}"/>
    <cellStyle name="Migliaia [0] 12 2 5" xfId="2834" xr:uid="{991B8689-4909-4645-A50A-0CE6E70C88F2}"/>
    <cellStyle name="Migliaia [0] 12 2 5 2" xfId="23994" xr:uid="{C837F339-0469-4A79-AA58-D11635802C36}"/>
    <cellStyle name="Migliaia [0] 12 2 6" xfId="7239" xr:uid="{CE080944-5604-452B-B697-86285E33C36C}"/>
    <cellStyle name="Migliaia [0] 12 3" xfId="1492" xr:uid="{00000000-0005-0000-0000-0000E4010000}"/>
    <cellStyle name="Migliaia [0] 12 3 2" xfId="4562" xr:uid="{9B8EFC47-D882-4B05-9B6B-3048D7C90C16}"/>
    <cellStyle name="Migliaia [0] 12 3 2 2" xfId="18304" xr:uid="{B9106936-4F54-4891-B3B3-7FFDEBE21988}"/>
    <cellStyle name="Migliaia [0] 12 3 2 2 2" xfId="21727" xr:uid="{39592346-4631-4797-8A16-514297F15D7D}"/>
    <cellStyle name="Migliaia [0] 12 3 2 2 2 2" xfId="38095" xr:uid="{9F66644D-3ED7-4E3F-AABF-35395D4FB514}"/>
    <cellStyle name="Migliaia [0] 12 3 2 2 3" xfId="43397" xr:uid="{14ECD713-CE7C-4565-A5C1-4F1DA792CB7C}"/>
    <cellStyle name="Migliaia [0] 12 3 2 2 4" xfId="32744" xr:uid="{F2AA1D52-DA13-4FFA-B7A7-745A27D6302D}"/>
    <cellStyle name="Migliaia [0] 12 3 2 3" xfId="35630" xr:uid="{4B4D9441-2E77-448C-AA0A-AE7F7179F265}"/>
    <cellStyle name="Migliaia [0] 12 3 2 4" xfId="40746" xr:uid="{EA904707-BDCC-4381-A52C-D70C5CD183BF}"/>
    <cellStyle name="Migliaia [0] 12 3 2 5" xfId="32439" xr:uid="{95B64247-B9BC-4D05-A0B5-E4B543CC9E77}"/>
    <cellStyle name="Migliaia [0] 12 3 2 6" xfId="50755" xr:uid="{C0289138-5744-4E63-A83E-21318387986A}"/>
    <cellStyle name="Migliaia [0] 12 3 2 7" xfId="53771" xr:uid="{BEE6C16C-5CD6-49A7-80DA-E1B66BE788DE}"/>
    <cellStyle name="Migliaia [0] 12 3 2 8" xfId="17580" xr:uid="{60528423-7AA3-4ACD-9482-3954D35FCAE9}"/>
    <cellStyle name="Migliaia [0] 12 3 2 9" xfId="11721" xr:uid="{E8C7B4F5-8F06-4F33-BCF0-800C6CF6810C}"/>
    <cellStyle name="Migliaia [0] 12 3 3" xfId="5840" xr:uid="{303721FE-7B31-4311-B01E-B04D41D6AC62}"/>
    <cellStyle name="Migliaia [0] 12 3 3 2" xfId="11664" xr:uid="{2AA52962-801B-4F8B-8E90-A078EDD4C985}"/>
    <cellStyle name="Migliaia [0] 12 3 4" xfId="2836" xr:uid="{7B69FA74-4B5B-487B-AA7E-0745D5A5CF56}"/>
    <cellStyle name="Migliaia [0] 12 3 4 2" xfId="21259" xr:uid="{00487C59-AB9B-46FE-90F5-3943CADA93EB}"/>
    <cellStyle name="Migliaia [0] 12 3 4 3" xfId="46164" xr:uid="{9CB3F2D8-10AD-40F4-AC9F-5A90A9A43528}"/>
    <cellStyle name="Migliaia [0] 12 3 4 4" xfId="50274" xr:uid="{500B735A-5D07-4ADE-A804-0F2A1823B0A2}"/>
    <cellStyle name="Migliaia [0] 12 3 4 5" xfId="53290" xr:uid="{A50CFA90-1040-4BDA-AF2F-77B3BD426ECD}"/>
    <cellStyle name="Migliaia [0] 12 3 4 6" xfId="10624" xr:uid="{AE910FD3-9F5D-45C4-B560-1BB76C9EEE30}"/>
    <cellStyle name="Migliaia [0] 12 3 5" xfId="19515" xr:uid="{1AA380B3-D41C-4F19-B82E-E71566B44313}"/>
    <cellStyle name="Migliaia [0] 12 3 6" xfId="23997" xr:uid="{7752C9CE-7E27-4D1D-86FB-0F861E969802}"/>
    <cellStyle name="Migliaia [0] 12 3 7" xfId="8187" xr:uid="{74C8D24A-022B-4DCE-B8E5-D312840EBE1C}"/>
    <cellStyle name="Migliaia [0] 12 4" xfId="2837" xr:uid="{3B749466-A29E-4335-A3B7-3D4672B57B9A}"/>
    <cellStyle name="Migliaia [0] 12 4 2" xfId="4563" xr:uid="{C7753B1D-1C34-4A30-B14C-36F3682D889B}"/>
    <cellStyle name="Migliaia [0] 12 4 2 2" xfId="35072" xr:uid="{5ED4E584-6050-4F3F-A86C-E514DF89B635}"/>
    <cellStyle name="Migliaia [0] 12 4 2 2 2" xfId="40230" xr:uid="{398FE18B-E345-4A8F-8A39-A4171490C20D}"/>
    <cellStyle name="Migliaia [0] 12 4 2 2 3" xfId="45532" xr:uid="{350A72E1-81DB-4606-8B1B-B3F3EB1316D1}"/>
    <cellStyle name="Migliaia [0] 12 4 2 3" xfId="37579" xr:uid="{423FC20E-1C11-4673-B4F3-FDF719ED2617}"/>
    <cellStyle name="Migliaia [0] 12 4 2 4" xfId="42881" xr:uid="{C40BF727-16BD-4BCA-AFD9-3A777F31C4D8}"/>
    <cellStyle name="Migliaia [0] 12 4 2 5" xfId="17012" xr:uid="{1322B188-635D-41D8-A4F3-C00396C5EEB7}"/>
    <cellStyle name="Migliaia [0] 12 4 3" xfId="5841" xr:uid="{F7D59A87-2DA1-43DE-A02C-8853FA03EBC5}"/>
    <cellStyle name="Migliaia [0] 12 4 3 2" xfId="38096" xr:uid="{0F104E4A-DB54-4A63-B0ED-D5672A2B029E}"/>
    <cellStyle name="Migliaia [0] 12 4 3 3" xfId="43398" xr:uid="{7A0BEA5E-C02D-40C4-8105-D30E2A212FC5}"/>
    <cellStyle name="Migliaia [0] 12 4 3 4" xfId="32745" xr:uid="{F27A24D7-821B-4D40-B3A7-E650F494C53A}"/>
    <cellStyle name="Migliaia [0] 12 4 3 5" xfId="19516" xr:uid="{E8C638F3-601A-4889-B436-1C343C8717A0}"/>
    <cellStyle name="Migliaia [0] 12 4 4" xfId="35631" xr:uid="{5CAA192F-AEDD-4045-A293-AF8CB32DDFC5}"/>
    <cellStyle name="Migliaia [0] 12 4 5" xfId="40747" xr:uid="{F9EDFFE8-BF5D-4529-BA25-1AD0EE27D1D3}"/>
    <cellStyle name="Migliaia [0] 12 4 6" xfId="15954" xr:uid="{89F68A9F-4EE1-45BC-B729-16F1F8BA14E3}"/>
    <cellStyle name="Migliaia [0] 12 4 7" xfId="7767" xr:uid="{96B9447D-1B4A-49A1-9192-94D221997803}"/>
    <cellStyle name="Migliaia [0] 12 5" xfId="4559" xr:uid="{990C6E4F-784B-4711-AB35-D0E15F9A54C7}"/>
    <cellStyle name="Migliaia [0] 12 5 2" xfId="32746" xr:uid="{39DB7B07-0921-4324-BFB8-59EEFEAF3DF8}"/>
    <cellStyle name="Migliaia [0] 12 5 2 2" xfId="38097" xr:uid="{E7BB2B29-989E-4560-9385-1C37491AB143}"/>
    <cellStyle name="Migliaia [0] 12 5 2 3" xfId="43399" xr:uid="{B8EDCD85-C31A-4596-9375-44976FD73735}"/>
    <cellStyle name="Migliaia [0] 12 5 3" xfId="35632" xr:uid="{F3DA76BE-D540-494C-8918-9DD725C9449B}"/>
    <cellStyle name="Migliaia [0] 12 5 4" xfId="40748" xr:uid="{957E11F4-D868-435A-BDD5-1E55B1F947CC}"/>
    <cellStyle name="Migliaia [0] 12 5 5" xfId="17081" xr:uid="{E44F532E-8038-4A89-99B8-99E069E1AE1F}"/>
    <cellStyle name="Migliaia [0] 12 6" xfId="5838" xr:uid="{544904AB-2049-4D94-9672-2E5FC2179FFC}"/>
    <cellStyle name="Migliaia [0] 12 6 2" xfId="38093" xr:uid="{B14A59F5-5799-45E0-813D-C3E8F445CBB6}"/>
    <cellStyle name="Migliaia [0] 12 6 3" xfId="43395" xr:uid="{BA3B21FC-EDD7-42FD-A886-3B09EEC64F7A}"/>
    <cellStyle name="Migliaia [0] 12 6 4" xfId="32742" xr:uid="{0785C0DD-756F-482F-8EA5-26506EBDB76E}"/>
    <cellStyle name="Migliaia [0] 12 6 5" xfId="19512" xr:uid="{BA18C566-0173-46B6-8849-E17B63E95903}"/>
    <cellStyle name="Migliaia [0] 12 7" xfId="2833" xr:uid="{8251F09E-C866-4E04-A61C-CA02C7D30EF3}"/>
    <cellStyle name="Migliaia [0] 12 7 2" xfId="35628" xr:uid="{98726E57-27BF-4303-A589-2BF84E342ED9}"/>
    <cellStyle name="Migliaia [0] 12 8" xfId="40744" xr:uid="{7300E5D2-DAEB-4AD7-BC81-D33F84091B03}"/>
    <cellStyle name="Migliaia [0] 12 9" xfId="6988" xr:uid="{6AE3A55B-2F2E-4466-A510-1AE4A3EE4430}"/>
    <cellStyle name="Migliaia [0] 13" xfId="246" xr:uid="{00000000-0005-0000-0000-0000E5010000}"/>
    <cellStyle name="Migliaia [0] 13 2" xfId="1493" xr:uid="{00000000-0005-0000-0000-0000E6010000}"/>
    <cellStyle name="Migliaia [0] 13 2 2" xfId="1494" xr:uid="{00000000-0005-0000-0000-0000E7010000}"/>
    <cellStyle name="Migliaia [0] 13 2 2 2" xfId="4566" xr:uid="{22A955E1-BEBD-46C5-A2BA-429E60A57550}"/>
    <cellStyle name="Migliaia [0] 13 2 2 2 2" xfId="21728" xr:uid="{B30E7192-1A05-4B37-989A-ED19BD001978}"/>
    <cellStyle name="Migliaia [0] 13 2 2 2 3" xfId="48391" xr:uid="{BD51BEF0-F5D8-46AF-9524-888F03809EA7}"/>
    <cellStyle name="Migliaia [0] 13 2 2 2 4" xfId="50756" xr:uid="{9D5EB198-F7C4-4F34-8B96-8202AAF2A347}"/>
    <cellStyle name="Migliaia [0] 13 2 2 2 5" xfId="53772" xr:uid="{784DA9F3-B823-44CB-A975-A169C56110AD}"/>
    <cellStyle name="Migliaia [0] 13 2 2 2 6" xfId="11722" xr:uid="{F2CEDF97-C560-431F-B0BB-A4735EAEBE96}"/>
    <cellStyle name="Migliaia [0] 13 2 2 3" xfId="2840" xr:uid="{2BD6047C-9890-41A6-B215-077D73343DA6}"/>
    <cellStyle name="Migliaia [0] 13 2 2 3 2" xfId="12358" xr:uid="{9DB7C7ED-DAE0-4DD7-BFED-14329B23BD50}"/>
    <cellStyle name="Migliaia [0] 13 2 2 4" xfId="10625" xr:uid="{9E84268D-A082-4168-BA2E-1AD723B3CE79}"/>
    <cellStyle name="Migliaia [0] 13 2 2 4 2" xfId="21260" xr:uid="{42AA7629-F62A-4C35-9DE8-00FD6F106E29}"/>
    <cellStyle name="Migliaia [0] 13 2 2 4 3" xfId="48464" xr:uid="{ACBD954F-0930-4047-A851-041C0D48BF0D}"/>
    <cellStyle name="Migliaia [0] 13 2 2 4 4" xfId="50275" xr:uid="{F48BA1DA-8564-483D-A6D2-BEAE5284D5DC}"/>
    <cellStyle name="Migliaia [0] 13 2 2 4 5" xfId="53291" xr:uid="{F3BBAD1A-7B63-4EA5-91A6-02DDE318FD7F}"/>
    <cellStyle name="Migliaia [0] 13 2 2 5" xfId="19519" xr:uid="{290156F5-16B8-4EF1-AB77-788A955E0A9C}"/>
    <cellStyle name="Migliaia [0] 13 2 2 6" xfId="24002" xr:uid="{484925DF-5331-4976-8295-FD31B2A88D81}"/>
    <cellStyle name="Migliaia [0] 13 2 2 7" xfId="48824" xr:uid="{D245AB43-29E5-4295-BEB9-9D4EBD42D1B3}"/>
    <cellStyle name="Migliaia [0] 13 2 2 8" xfId="49730" xr:uid="{E2FF0F76-FFF6-48AE-8D90-1FEA8E685DDA}"/>
    <cellStyle name="Migliaia [0] 13 2 2 9" xfId="8430" xr:uid="{7B341595-62C6-407F-A212-A7E3390547A2}"/>
    <cellStyle name="Migliaia [0] 13 2 3" xfId="4565" xr:uid="{2AA102CB-5459-4977-8D27-116E6057F4AB}"/>
    <cellStyle name="Migliaia [0] 13 2 3 2" xfId="32748" xr:uid="{7C7388AF-A660-4AC4-9FE6-DCC39AFDAFED}"/>
    <cellStyle name="Migliaia [0] 13 2 3 2 2" xfId="38099" xr:uid="{187FC267-7E1C-442F-9D26-5F7DF00A2355}"/>
    <cellStyle name="Migliaia [0] 13 2 3 2 3" xfId="43401" xr:uid="{DD662706-23D0-47F6-993D-436B4AB4BC93}"/>
    <cellStyle name="Migliaia [0] 13 2 3 3" xfId="35634" xr:uid="{FD951A6E-C76E-4BB0-83FB-58E34C89DAB1}"/>
    <cellStyle name="Migliaia [0] 13 2 3 4" xfId="40750" xr:uid="{7BAA5306-AE38-4708-9524-C2994FBD150D}"/>
    <cellStyle name="Migliaia [0] 13 2 3 5" xfId="11723" xr:uid="{405E3665-CC22-418D-BA6B-E5EA86B8E7A9}"/>
    <cellStyle name="Migliaia [0] 13 2 4" xfId="5843" xr:uid="{05522FDB-75D0-4E38-B8D1-A8C5C62D2260}"/>
    <cellStyle name="Migliaia [0] 13 2 4 2" xfId="19518" xr:uid="{F157ABB2-9D74-4700-9FE0-AD97AE76B61E}"/>
    <cellStyle name="Migliaia [0] 13 2 5" xfId="2839" xr:uid="{6ED0F1EC-DEAE-4D28-98DE-8AEF01466F64}"/>
    <cellStyle name="Migliaia [0] 13 2 5 2" xfId="24001" xr:uid="{E176E979-0827-4BAC-BC3F-2B35B12F4E03}"/>
    <cellStyle name="Migliaia [0] 13 2 6" xfId="7240" xr:uid="{081FEDC0-A335-470E-B909-E20A419CDFCD}"/>
    <cellStyle name="Migliaia [0] 13 3" xfId="1495" xr:uid="{00000000-0005-0000-0000-0000E8010000}"/>
    <cellStyle name="Migliaia [0] 13 3 2" xfId="4567" xr:uid="{80644B9A-D30C-4E61-91AC-21DE9E960AF0}"/>
    <cellStyle name="Migliaia [0] 13 3 2 2" xfId="18305" xr:uid="{E2076EED-CD44-4D03-86FA-63F146BA9B0C}"/>
    <cellStyle name="Migliaia [0] 13 3 2 2 2" xfId="21729" xr:uid="{E4DE9AE8-DFC2-4CBA-B2D7-217FDD268166}"/>
    <cellStyle name="Migliaia [0] 13 3 2 2 2 2" xfId="38100" xr:uid="{34BD45CE-7510-44D7-8794-226BA0E6C75D}"/>
    <cellStyle name="Migliaia [0] 13 3 2 2 3" xfId="43402" xr:uid="{698429CB-2791-47CD-9E53-234EC7423CAB}"/>
    <cellStyle name="Migliaia [0] 13 3 2 2 4" xfId="32749" xr:uid="{8587E112-8644-4FD6-BDB0-5CA813E3DE3F}"/>
    <cellStyle name="Migliaia [0] 13 3 2 3" xfId="35635" xr:uid="{9426542D-19EB-46A5-AC88-80A1B5DBC321}"/>
    <cellStyle name="Migliaia [0] 13 3 2 4" xfId="40751" xr:uid="{946EE8C2-E680-4859-952E-F3D88C41EE5B}"/>
    <cellStyle name="Migliaia [0] 13 3 2 5" xfId="24709" xr:uid="{CB9DA9FD-5357-43A9-9E42-EFFD5BE1CD40}"/>
    <cellStyle name="Migliaia [0] 13 3 2 6" xfId="50757" xr:uid="{B497E358-D0DD-4A64-A83A-616161187D0D}"/>
    <cellStyle name="Migliaia [0] 13 3 2 7" xfId="53773" xr:uid="{78B2329A-5435-4F2C-B6FB-FDC58AA43C47}"/>
    <cellStyle name="Migliaia [0] 13 3 2 8" xfId="17581" xr:uid="{A9857665-0EEE-4966-B0BC-9D4DFA62A284}"/>
    <cellStyle name="Migliaia [0] 13 3 2 9" xfId="11724" xr:uid="{7376C0B6-E7AA-4CED-A811-4A592325063D}"/>
    <cellStyle name="Migliaia [0] 13 3 3" xfId="5844" xr:uid="{C19A80FE-D3A2-4D78-9792-C18C46D4F4E1}"/>
    <cellStyle name="Migliaia [0] 13 3 3 2" xfId="11113" xr:uid="{3E54BF78-DF35-4818-B301-8EAF5C1E4E9B}"/>
    <cellStyle name="Migliaia [0] 13 3 4" xfId="2841" xr:uid="{A2673999-0FDE-4D25-AA1C-129A443560CA}"/>
    <cellStyle name="Migliaia [0] 13 3 4 2" xfId="21261" xr:uid="{1459DB63-64C5-4519-9188-2B6A1833D8F1}"/>
    <cellStyle name="Migliaia [0] 13 3 4 3" xfId="48002" xr:uid="{D087DEF7-C63A-4B09-A43D-14C0DCBF5ADF}"/>
    <cellStyle name="Migliaia [0] 13 3 4 4" xfId="50276" xr:uid="{C7D6E192-183F-4777-B082-A694BD6AAEB6}"/>
    <cellStyle name="Migliaia [0] 13 3 4 5" xfId="53292" xr:uid="{91AE3256-97E0-42B5-8C01-1449A52D696C}"/>
    <cellStyle name="Migliaia [0] 13 3 4 6" xfId="10626" xr:uid="{110E46B4-DE55-434C-A3C2-7DD6EEFAAEC2}"/>
    <cellStyle name="Migliaia [0] 13 3 5" xfId="19520" xr:uid="{3F4766ED-0DBA-455D-A909-B7EB22EE2722}"/>
    <cellStyle name="Migliaia [0] 13 3 6" xfId="24003" xr:uid="{2DBFE104-A4BA-4DE4-A6E0-7549321292B8}"/>
    <cellStyle name="Migliaia [0] 13 3 7" xfId="8188" xr:uid="{5D48CDAF-849C-40A4-ACBD-4E340F367D27}"/>
    <cellStyle name="Migliaia [0] 13 4" xfId="2842" xr:uid="{723AD6DC-79C1-44AF-8540-A3888F9770F3}"/>
    <cellStyle name="Migliaia [0] 13 4 2" xfId="4568" xr:uid="{95CAB4F8-932D-48A4-9A44-7411EA5F8638}"/>
    <cellStyle name="Migliaia [0] 13 4 2 2" xfId="35073" xr:uid="{23C316FE-42CD-4A53-94D0-255B204656D8}"/>
    <cellStyle name="Migliaia [0] 13 4 2 2 2" xfId="40231" xr:uid="{F359AD6A-51A8-4128-BF72-9D2EE53AF5E2}"/>
    <cellStyle name="Migliaia [0] 13 4 2 2 3" xfId="45533" xr:uid="{AA031D34-C355-4F3A-AD04-4F2D8CF45DC9}"/>
    <cellStyle name="Migliaia [0] 13 4 2 3" xfId="37580" xr:uid="{EA3231A4-F951-403E-91C7-7BDDDA1B17F9}"/>
    <cellStyle name="Migliaia [0] 13 4 2 4" xfId="42882" xr:uid="{8B8478D5-0A93-4960-8230-159291DC8230}"/>
    <cellStyle name="Migliaia [0] 13 4 2 5" xfId="17013" xr:uid="{A35742EF-E151-4678-8A35-5A406FE05FDC}"/>
    <cellStyle name="Migliaia [0] 13 4 3" xfId="5845" xr:uid="{02BDF1B5-77FB-47EA-ADB0-BE6A51EDC4B3}"/>
    <cellStyle name="Migliaia [0] 13 4 3 2" xfId="38101" xr:uid="{D9CD3EDD-DBA0-4F26-B264-321677D68420}"/>
    <cellStyle name="Migliaia [0] 13 4 3 3" xfId="43403" xr:uid="{49086156-A3BE-4D56-9A3A-815F197E244C}"/>
    <cellStyle name="Migliaia [0] 13 4 3 4" xfId="32750" xr:uid="{EBDDC1BE-8A91-463D-B2D6-3765D5D7A9DA}"/>
    <cellStyle name="Migliaia [0] 13 4 3 5" xfId="19521" xr:uid="{FFF33640-B02E-4F3F-B86C-76EBCB8C467C}"/>
    <cellStyle name="Migliaia [0] 13 4 4" xfId="35636" xr:uid="{7E0DF0B4-8278-49D0-8A00-0480C126AB89}"/>
    <cellStyle name="Migliaia [0] 13 4 5" xfId="40752" xr:uid="{7EAE7C78-C453-43D8-B4B5-104D993D9F7B}"/>
    <cellStyle name="Migliaia [0] 13 4 6" xfId="15955" xr:uid="{44091016-3889-4578-822C-07763D17FC6E}"/>
    <cellStyle name="Migliaia [0] 13 4 7" xfId="7768" xr:uid="{32E2F25B-35B2-4211-B8A5-610460AD202F}"/>
    <cellStyle name="Migliaia [0] 13 5" xfId="4564" xr:uid="{E90BE0A7-9E4D-451E-85C8-6695A8BA0BB1}"/>
    <cellStyle name="Migliaia [0] 13 5 2" xfId="32751" xr:uid="{8C11338B-8B51-4418-BBF8-81158D957638}"/>
    <cellStyle name="Migliaia [0] 13 5 2 2" xfId="38102" xr:uid="{C741E9CC-B207-461A-ACE6-E21427F60DDA}"/>
    <cellStyle name="Migliaia [0] 13 5 2 3" xfId="43404" xr:uid="{9518B17A-96A0-4B8F-A2E5-2BD9BE494BF1}"/>
    <cellStyle name="Migliaia [0] 13 5 3" xfId="35637" xr:uid="{B7BD78AD-AEBF-456E-B688-8D400E6AE844}"/>
    <cellStyle name="Migliaia [0] 13 5 4" xfId="40753" xr:uid="{0F4B3995-D003-49D5-91CC-8A5D1031E97E}"/>
    <cellStyle name="Migliaia [0] 13 5 5" xfId="17082" xr:uid="{2EDDDEA4-A526-435F-B4C7-C176F332A543}"/>
    <cellStyle name="Migliaia [0] 13 6" xfId="5842" xr:uid="{212C7313-C6A8-4446-A528-BBEC49AB03AE}"/>
    <cellStyle name="Migliaia [0] 13 6 2" xfId="38098" xr:uid="{65641FC5-F1CC-4E1F-84FD-FCD45266256A}"/>
    <cellStyle name="Migliaia [0] 13 6 3" xfId="43400" xr:uid="{8B498F6E-4A14-4C36-901F-AFB5F1DE5A4E}"/>
    <cellStyle name="Migliaia [0] 13 6 4" xfId="32747" xr:uid="{AEB3B061-E576-48AB-90E6-7B023ABFE84E}"/>
    <cellStyle name="Migliaia [0] 13 6 5" xfId="19517" xr:uid="{26080A2B-954F-4624-9B5C-B1174874AEEB}"/>
    <cellStyle name="Migliaia [0] 13 7" xfId="2838" xr:uid="{7808D493-6B0E-4594-9481-FFC3283BD970}"/>
    <cellStyle name="Migliaia [0] 13 7 2" xfId="35633" xr:uid="{A6061D53-AECB-47CE-9716-852B99C68DB0}"/>
    <cellStyle name="Migliaia [0] 13 8" xfId="40749" xr:uid="{3C8FEEF7-D916-41A0-9B02-41EE7475D0B1}"/>
    <cellStyle name="Migliaia [0] 13 9" xfId="6989" xr:uid="{599285C6-7BD5-4773-8555-DAFE24DE7D1D}"/>
    <cellStyle name="Migliaia [0] 14" xfId="247" xr:uid="{00000000-0005-0000-0000-0000E9010000}"/>
    <cellStyle name="Migliaia [0] 14 2" xfId="1496" xr:uid="{00000000-0005-0000-0000-0000EA010000}"/>
    <cellStyle name="Migliaia [0] 14 2 2" xfId="1497" xr:uid="{00000000-0005-0000-0000-0000EB010000}"/>
    <cellStyle name="Migliaia [0] 14 2 2 2" xfId="4571" xr:uid="{4B859229-5D16-49C7-8662-7DB5E915B04D}"/>
    <cellStyle name="Migliaia [0] 14 2 2 2 2" xfId="21730" xr:uid="{A1A31355-5A6E-4800-89AC-141CEF6208BA}"/>
    <cellStyle name="Migliaia [0] 14 2 2 2 3" xfId="47607" xr:uid="{ADF679CD-087A-495E-828D-3570415B5CF9}"/>
    <cellStyle name="Migliaia [0] 14 2 2 2 4" xfId="50758" xr:uid="{D774E036-6F83-4A6F-ABA2-A3AC68C3EEA9}"/>
    <cellStyle name="Migliaia [0] 14 2 2 2 5" xfId="53774" xr:uid="{B462B00F-9C96-4631-9E3F-76BE89114B58}"/>
    <cellStyle name="Migliaia [0] 14 2 2 2 6" xfId="11725" xr:uid="{CAF73EE3-62D1-4EF6-8E02-30E8C6232B1A}"/>
    <cellStyle name="Migliaia [0] 14 2 2 3" xfId="2845" xr:uid="{67AD4763-4FC5-4356-8372-B99F71F7F15B}"/>
    <cellStyle name="Migliaia [0] 14 2 2 3 2" xfId="12357" xr:uid="{C1BB61B1-E59F-4E40-A5DE-C23F91EA052C}"/>
    <cellStyle name="Migliaia [0] 14 2 2 4" xfId="10627" xr:uid="{A90FD8CE-CA90-41C9-BAE5-346EBDB4D9D0}"/>
    <cellStyle name="Migliaia [0] 14 2 2 4 2" xfId="21262" xr:uid="{1DEB2FBA-F1E9-4C9B-8A2C-0D243DC05A63}"/>
    <cellStyle name="Migliaia [0] 14 2 2 4 3" xfId="46165" xr:uid="{C18C957E-1B13-453B-ACEA-DE4EE6BF5979}"/>
    <cellStyle name="Migliaia [0] 14 2 2 4 4" xfId="50277" xr:uid="{DD8B337C-B780-42A3-887A-538B4E7A4D6A}"/>
    <cellStyle name="Migliaia [0] 14 2 2 4 5" xfId="53293" xr:uid="{7856293D-788A-4110-8C7A-EC067054D6A6}"/>
    <cellStyle name="Migliaia [0] 14 2 2 5" xfId="19524" xr:uid="{F9E9A84B-784E-416E-8605-371B0F68638B}"/>
    <cellStyle name="Migliaia [0] 14 2 2 6" xfId="24006" xr:uid="{15A46DE5-F412-49AB-84E5-D2E17CAAEDF2}"/>
    <cellStyle name="Migliaia [0] 14 2 2 7" xfId="48825" xr:uid="{B6C4B3E6-5D52-4430-9B57-06E22FF81410}"/>
    <cellStyle name="Migliaia [0] 14 2 2 8" xfId="49731" xr:uid="{3C7FCF96-97CE-42C6-A58F-FB0AE7CDEAB2}"/>
    <cellStyle name="Migliaia [0] 14 2 2 9" xfId="8431" xr:uid="{CAD8DAF0-7EAD-4B2C-8B19-C3FBA484A861}"/>
    <cellStyle name="Migliaia [0] 14 2 3" xfId="4570" xr:uid="{706E171F-38F3-4276-BBBA-1E4A7F57691A}"/>
    <cellStyle name="Migliaia [0] 14 2 3 2" xfId="32753" xr:uid="{D6D2359F-C21A-4E69-B106-FB76D5FD202A}"/>
    <cellStyle name="Migliaia [0] 14 2 3 2 2" xfId="38104" xr:uid="{BCD9E1B1-D20D-4552-AB84-41D50D2DCA78}"/>
    <cellStyle name="Migliaia [0] 14 2 3 2 3" xfId="43406" xr:uid="{FDCD0709-FFBE-47B7-8CBA-CD2766AFDD4E}"/>
    <cellStyle name="Migliaia [0] 14 2 3 3" xfId="35639" xr:uid="{CA6B068E-C28D-40FC-9032-2B36C9DED7BA}"/>
    <cellStyle name="Migliaia [0] 14 2 3 4" xfId="40755" xr:uid="{EDDF3D59-E142-4F28-B422-690B54391F82}"/>
    <cellStyle name="Migliaia [0] 14 2 3 5" xfId="11726" xr:uid="{6B854891-2310-4306-B270-3266AF3620C9}"/>
    <cellStyle name="Migliaia [0] 14 2 4" xfId="5847" xr:uid="{6A0F0231-28DD-4134-9FFE-140B9219FEAA}"/>
    <cellStyle name="Migliaia [0] 14 2 4 2" xfId="19523" xr:uid="{D767C497-22CE-48CA-8117-AB23D0D05B1F}"/>
    <cellStyle name="Migliaia [0] 14 2 5" xfId="2844" xr:uid="{9CB4BD41-B5ED-4A8C-89E5-E0B9BFB162B4}"/>
    <cellStyle name="Migliaia [0] 14 2 5 2" xfId="24005" xr:uid="{E313EC58-1090-45FF-8D2A-998F34E2D47B}"/>
    <cellStyle name="Migliaia [0] 14 2 6" xfId="7241" xr:uid="{6B34D51C-329E-4911-BFD5-09AFD57B7112}"/>
    <cellStyle name="Migliaia [0] 14 3" xfId="1498" xr:uid="{00000000-0005-0000-0000-0000EC010000}"/>
    <cellStyle name="Migliaia [0] 14 3 2" xfId="4572" xr:uid="{3BD8CF32-A1F8-47EA-800F-A555EE7DD0ED}"/>
    <cellStyle name="Migliaia [0] 14 3 2 2" xfId="18306" xr:uid="{F8CF4DCD-E8E5-48D0-836B-D11536730919}"/>
    <cellStyle name="Migliaia [0] 14 3 2 2 2" xfId="21731" xr:uid="{F7567ED8-82C4-403B-BB56-615C09F6EDC6}"/>
    <cellStyle name="Migliaia [0] 14 3 2 2 2 2" xfId="38105" xr:uid="{3840001A-C2BF-45A8-96AE-DF33B98941D3}"/>
    <cellStyle name="Migliaia [0] 14 3 2 2 3" xfId="43407" xr:uid="{D6045750-54C8-49BC-98C4-C9D676811B87}"/>
    <cellStyle name="Migliaia [0] 14 3 2 2 4" xfId="32754" xr:uid="{91CE7C3F-131A-4AD9-AB40-8091C70DA3D9}"/>
    <cellStyle name="Migliaia [0] 14 3 2 3" xfId="35640" xr:uid="{356B08E6-9DB9-4E00-9542-8A1134B4F589}"/>
    <cellStyle name="Migliaia [0] 14 3 2 4" xfId="40756" xr:uid="{F78571F4-AD0A-4F71-A6BF-2A4A1E1F19C6}"/>
    <cellStyle name="Migliaia [0] 14 3 2 5" xfId="46284" xr:uid="{ACC1BD1A-2ACE-4DF8-BA74-7B85AA5491B1}"/>
    <cellStyle name="Migliaia [0] 14 3 2 6" xfId="50759" xr:uid="{53CAB725-DD19-4F9A-9E04-F5B14455A545}"/>
    <cellStyle name="Migliaia [0] 14 3 2 7" xfId="53775" xr:uid="{33AFA821-776C-4722-8C82-0AB046CC1AC7}"/>
    <cellStyle name="Migliaia [0] 14 3 2 8" xfId="17582" xr:uid="{A85E98CC-CBC0-46AC-9271-1904F037DC8A}"/>
    <cellStyle name="Migliaia [0] 14 3 2 9" xfId="11727" xr:uid="{1E2C7C16-B5F0-482B-BC06-86C651544796}"/>
    <cellStyle name="Migliaia [0] 14 3 3" xfId="5848" xr:uid="{19BA2A60-42D9-4949-9CDE-EF976C477F4A}"/>
    <cellStyle name="Migliaia [0] 14 3 3 2" xfId="12386" xr:uid="{F81F8ACE-E00F-40A5-B2A7-6941B68CC621}"/>
    <cellStyle name="Migliaia [0] 14 3 4" xfId="2846" xr:uid="{F1904C38-82FD-46AC-89CC-381E91BD65C0}"/>
    <cellStyle name="Migliaia [0] 14 3 4 2" xfId="21263" xr:uid="{6E7E7A59-A603-442F-A5D5-A37957420C90}"/>
    <cellStyle name="Migliaia [0] 14 3 4 3" xfId="48573" xr:uid="{2DE227DC-9659-4AA8-B04A-E344BA567DD0}"/>
    <cellStyle name="Migliaia [0] 14 3 4 4" xfId="50278" xr:uid="{BBC0DB2B-3E70-40B6-9178-B77BD3446ECA}"/>
    <cellStyle name="Migliaia [0] 14 3 4 5" xfId="53294" xr:uid="{EAC80A2F-EE00-4A80-A9BE-DFD73EA140E0}"/>
    <cellStyle name="Migliaia [0] 14 3 4 6" xfId="10628" xr:uid="{C771ECC5-233F-4BB9-98E5-C716EA049E06}"/>
    <cellStyle name="Migliaia [0] 14 3 5" xfId="19525" xr:uid="{0C7430E8-B3D3-4BBB-94CA-F71A65452020}"/>
    <cellStyle name="Migliaia [0] 14 3 6" xfId="24007" xr:uid="{A01D685F-8B56-43F0-9984-C3279716BC95}"/>
    <cellStyle name="Migliaia [0] 14 3 7" xfId="8189" xr:uid="{7AFD6014-15D8-4DC7-8A93-2E1B759E3D1A}"/>
    <cellStyle name="Migliaia [0] 14 4" xfId="2847" xr:uid="{5B8F95D6-E059-4E23-AE14-5C0127C487C7}"/>
    <cellStyle name="Migliaia [0] 14 4 2" xfId="4573" xr:uid="{ACD20E1E-8D79-46BF-8941-879447BDC5B1}"/>
    <cellStyle name="Migliaia [0] 14 4 2 2" xfId="35074" xr:uid="{03651B7B-BC02-4B6E-BF1D-4D0A12480DD0}"/>
    <cellStyle name="Migliaia [0] 14 4 2 2 2" xfId="40232" xr:uid="{B6CA159A-3FF2-445A-92B8-2EEE15FE38A9}"/>
    <cellStyle name="Migliaia [0] 14 4 2 2 3" xfId="45534" xr:uid="{0AC6E227-6BC7-4FCD-BCFA-2C5E5AEA406C}"/>
    <cellStyle name="Migliaia [0] 14 4 2 3" xfId="37581" xr:uid="{EFD49093-36CD-4061-B7A2-0D2593FB2D22}"/>
    <cellStyle name="Migliaia [0] 14 4 2 4" xfId="42883" xr:uid="{3499B8EF-273C-4A63-8F0E-01427D8F65F4}"/>
    <cellStyle name="Migliaia [0] 14 4 2 5" xfId="17014" xr:uid="{2A7F4C09-295F-41D5-8872-431AE5E254A0}"/>
    <cellStyle name="Migliaia [0] 14 4 3" xfId="5849" xr:uid="{AC166BDD-2F64-43F8-AD68-9A08C32B7F54}"/>
    <cellStyle name="Migliaia [0] 14 4 3 2" xfId="38106" xr:uid="{8A4C35AB-128B-4A5F-871F-05956429F16B}"/>
    <cellStyle name="Migliaia [0] 14 4 3 3" xfId="43408" xr:uid="{35679702-90BA-4121-A9DB-3A796C35B7A6}"/>
    <cellStyle name="Migliaia [0] 14 4 3 4" xfId="32755" xr:uid="{ED81C4B7-1F35-47EF-AF2D-67FFA29860A9}"/>
    <cellStyle name="Migliaia [0] 14 4 3 5" xfId="19526" xr:uid="{805C883D-5DE6-44D4-8591-B6E3C52F4EBB}"/>
    <cellStyle name="Migliaia [0] 14 4 4" xfId="35641" xr:uid="{312FBC91-F61D-4DD7-B84D-51516D1E3A9C}"/>
    <cellStyle name="Migliaia [0] 14 4 5" xfId="40757" xr:uid="{E106C77E-5100-4B5E-BB73-C84993AF8F4F}"/>
    <cellStyle name="Migliaia [0] 14 4 6" xfId="15956" xr:uid="{AD1CD625-8096-4C42-A0A9-C9EBBFD4852A}"/>
    <cellStyle name="Migliaia [0] 14 4 7" xfId="7769" xr:uid="{2AC10B6D-CBCD-452A-9FDA-8C3802E1F8D3}"/>
    <cellStyle name="Migliaia [0] 14 5" xfId="4569" xr:uid="{1E51847D-9162-4D4C-BDEA-44657EAAD08C}"/>
    <cellStyle name="Migliaia [0] 14 5 2" xfId="32756" xr:uid="{82ECD832-C24F-4A5B-B11D-B6C4F4B7F3C7}"/>
    <cellStyle name="Migliaia [0] 14 5 2 2" xfId="38107" xr:uid="{65F11FB1-2CAA-48F9-9C20-7A541B405A99}"/>
    <cellStyle name="Migliaia [0] 14 5 2 3" xfId="43409" xr:uid="{58CBD9F8-F024-4E27-8DA5-4284307C3DED}"/>
    <cellStyle name="Migliaia [0] 14 5 3" xfId="35642" xr:uid="{D399F8BD-8FE5-4B4C-A13D-FC8BE2C01990}"/>
    <cellStyle name="Migliaia [0] 14 5 4" xfId="40758" xr:uid="{E6CF99A1-0392-4811-A70D-4AF50B4EF6EC}"/>
    <cellStyle name="Migliaia [0] 14 5 5" xfId="17083" xr:uid="{2EC6A7A5-E21F-4854-8087-F9C38B3AC323}"/>
    <cellStyle name="Migliaia [0] 14 6" xfId="5846" xr:uid="{C5E7C4FC-D559-485A-B54A-E34324DF3DC5}"/>
    <cellStyle name="Migliaia [0] 14 6 2" xfId="38103" xr:uid="{C673C48A-1B5B-4DC0-8C65-CA76756BCDF5}"/>
    <cellStyle name="Migliaia [0] 14 6 3" xfId="43405" xr:uid="{3ED1CB5E-4524-47BD-9C7B-6E4EFC0BBC4F}"/>
    <cellStyle name="Migliaia [0] 14 6 4" xfId="32752" xr:uid="{39C8899D-5A20-4A1A-BB58-8182FB3E8FF9}"/>
    <cellStyle name="Migliaia [0] 14 6 5" xfId="19522" xr:uid="{51E8590D-3565-4DD2-A5F5-85E338272B5E}"/>
    <cellStyle name="Migliaia [0] 14 7" xfId="2843" xr:uid="{FA0507C9-7694-48E4-9C1B-3840448FE102}"/>
    <cellStyle name="Migliaia [0] 14 7 2" xfId="35638" xr:uid="{AEC77780-FAA1-42A2-AE17-01E68A7B3132}"/>
    <cellStyle name="Migliaia [0] 14 8" xfId="40754" xr:uid="{3F3E3515-F585-4880-8D0E-57459A29F6EC}"/>
    <cellStyle name="Migliaia [0] 14 9" xfId="6990" xr:uid="{83CDB192-F3B8-4495-B65E-4F26F1BA5D3A}"/>
    <cellStyle name="Migliaia [0] 15" xfId="248" xr:uid="{00000000-0005-0000-0000-0000ED010000}"/>
    <cellStyle name="Migliaia [0] 15 2" xfId="1499" xr:uid="{00000000-0005-0000-0000-0000EE010000}"/>
    <cellStyle name="Migliaia [0] 15 2 2" xfId="1500" xr:uid="{00000000-0005-0000-0000-0000EF010000}"/>
    <cellStyle name="Migliaia [0] 15 2 2 2" xfId="4576" xr:uid="{2CF2CC20-B1B1-40EB-A717-B447D3015A3C}"/>
    <cellStyle name="Migliaia [0] 15 2 2 2 2" xfId="21732" xr:uid="{5D9E470F-5587-4DFB-8BE0-715A6027EEA9}"/>
    <cellStyle name="Migliaia [0] 15 2 2 2 3" xfId="46285" xr:uid="{BA64E2F8-BEA3-4953-915B-18FCB65935B3}"/>
    <cellStyle name="Migliaia [0] 15 2 2 2 4" xfId="50760" xr:uid="{D02D75FF-B955-4A09-8CCD-05CAAFF64D65}"/>
    <cellStyle name="Migliaia [0] 15 2 2 2 5" xfId="53776" xr:uid="{238C55A1-D2A5-42F5-94E5-6281C2DBD6BB}"/>
    <cellStyle name="Migliaia [0] 15 2 2 2 6" xfId="11728" xr:uid="{AC8B0422-6A36-4372-AC1C-BBFD44D5AD4F}"/>
    <cellStyle name="Migliaia [0] 15 2 2 3" xfId="2850" xr:uid="{B4386033-71A7-4FD1-BFD2-FE7F2F51D49F}"/>
    <cellStyle name="Migliaia [0] 15 2 2 3 2" xfId="12356" xr:uid="{0FBA8B92-78D1-486A-B118-61598CBCA93E}"/>
    <cellStyle name="Migliaia [0] 15 2 2 4" xfId="10629" xr:uid="{945D58E7-A812-4102-8B7E-D5F308E75C8F}"/>
    <cellStyle name="Migliaia [0] 15 2 2 4 2" xfId="21264" xr:uid="{6217A064-B024-4F13-A19F-533ACE96BF3F}"/>
    <cellStyle name="Migliaia [0] 15 2 2 4 3" xfId="46166" xr:uid="{DCEF5317-5A7D-4124-B0CD-8C06343F83BA}"/>
    <cellStyle name="Migliaia [0] 15 2 2 4 4" xfId="50279" xr:uid="{585A2C7B-1EA6-4859-9B8E-842EDE1A654A}"/>
    <cellStyle name="Migliaia [0] 15 2 2 4 5" xfId="53295" xr:uid="{386D8D52-A14F-4B1A-9907-9ED2759B3A18}"/>
    <cellStyle name="Migliaia [0] 15 2 2 5" xfId="19529" xr:uid="{3DDE2B10-122E-4BBF-A606-E043D7BA4EA4}"/>
    <cellStyle name="Migliaia [0] 15 2 2 6" xfId="24010" xr:uid="{8D53E68A-A2BD-4A5A-A5DF-0777A628F37C}"/>
    <cellStyle name="Migliaia [0] 15 2 2 7" xfId="48826" xr:uid="{9B2B2E77-BEF7-4D13-988F-28833622A882}"/>
    <cellStyle name="Migliaia [0] 15 2 2 8" xfId="49732" xr:uid="{82A423A5-9448-4936-97A0-2D5EFFD653F2}"/>
    <cellStyle name="Migliaia [0] 15 2 2 9" xfId="8432" xr:uid="{ABED72E8-9D4A-42D5-B2BC-072A1608EA9B}"/>
    <cellStyle name="Migliaia [0] 15 2 3" xfId="4575" xr:uid="{873F8A1F-7632-4CDC-9129-8DF3C7C092AE}"/>
    <cellStyle name="Migliaia [0] 15 2 3 2" xfId="32758" xr:uid="{433AEDFA-5533-4855-8F7B-F22EDF8C10A9}"/>
    <cellStyle name="Migliaia [0] 15 2 3 2 2" xfId="38109" xr:uid="{225B0CA6-0783-43CC-81B0-C2036EED0589}"/>
    <cellStyle name="Migliaia [0] 15 2 3 2 3" xfId="43411" xr:uid="{50DF9358-8E0F-452C-88DA-FB31134AD856}"/>
    <cellStyle name="Migliaia [0] 15 2 3 3" xfId="35644" xr:uid="{0788C92F-381C-4A37-9AB5-A6940EB1C8DF}"/>
    <cellStyle name="Migliaia [0] 15 2 3 4" xfId="40760" xr:uid="{19A80CBD-934E-4F67-A8F5-8636BFD19ABE}"/>
    <cellStyle name="Migliaia [0] 15 2 3 5" xfId="11729" xr:uid="{31B630AA-E2EB-4469-82C8-0AAFCC5E5925}"/>
    <cellStyle name="Migliaia [0] 15 2 4" xfId="5851" xr:uid="{B3CC6D4A-D5E5-4610-9916-2CFEF82DA286}"/>
    <cellStyle name="Migliaia [0] 15 2 4 2" xfId="19528" xr:uid="{8E6F6A1B-804D-4F3B-84D8-A5DAC4E3FFD3}"/>
    <cellStyle name="Migliaia [0] 15 2 5" xfId="2849" xr:uid="{723DDF5C-E621-4F6C-A450-C482F512ECA8}"/>
    <cellStyle name="Migliaia [0] 15 2 5 2" xfId="24009" xr:uid="{6531D1D7-029A-4B65-A002-CE06DC51ED23}"/>
    <cellStyle name="Migliaia [0] 15 2 6" xfId="7242" xr:uid="{CE1D0E9D-8656-4244-B2EE-7DBF12BDC82B}"/>
    <cellStyle name="Migliaia [0] 15 3" xfId="1501" xr:uid="{00000000-0005-0000-0000-0000F0010000}"/>
    <cellStyle name="Migliaia [0] 15 3 2" xfId="4577" xr:uid="{87FC15DD-8648-4300-94B0-D31DBC0E6182}"/>
    <cellStyle name="Migliaia [0] 15 3 2 2" xfId="18307" xr:uid="{7F75384F-84C2-421D-928C-605F902BF4F6}"/>
    <cellStyle name="Migliaia [0] 15 3 2 2 2" xfId="21733" xr:uid="{7E50F335-BC50-4A38-84C4-030BCF11F631}"/>
    <cellStyle name="Migliaia [0] 15 3 2 2 2 2" xfId="38110" xr:uid="{1FF29A06-DEDB-4554-89D9-0F3D73E24ECB}"/>
    <cellStyle name="Migliaia [0] 15 3 2 2 3" xfId="43412" xr:uid="{2F1C5AC9-D657-4FF9-A1C8-805F65104844}"/>
    <cellStyle name="Migliaia [0] 15 3 2 2 4" xfId="32759" xr:uid="{ACEDCE07-5207-42E2-8BA3-261C05F3BD18}"/>
    <cellStyle name="Migliaia [0] 15 3 2 3" xfId="35645" xr:uid="{F86D32D0-13C7-4813-B07D-59AB1AAA2CE4}"/>
    <cellStyle name="Migliaia [0] 15 3 2 4" xfId="40761" xr:uid="{D05BAE20-41A9-44AA-8F05-D271029DF883}"/>
    <cellStyle name="Migliaia [0] 15 3 2 5" xfId="47518" xr:uid="{5B41EDFA-49CD-49AF-AC79-20AD0104D7F2}"/>
    <cellStyle name="Migliaia [0] 15 3 2 6" xfId="50761" xr:uid="{CECD8D56-878C-4662-8D33-A4D11BD7FE4B}"/>
    <cellStyle name="Migliaia [0] 15 3 2 7" xfId="53777" xr:uid="{F382F9B4-6C38-4F7C-B19E-287405147FE0}"/>
    <cellStyle name="Migliaia [0] 15 3 2 8" xfId="17583" xr:uid="{7FF2254B-EE8F-4780-98C9-DB1E737202BA}"/>
    <cellStyle name="Migliaia [0] 15 3 2 9" xfId="11730" xr:uid="{FFFA9CB1-5867-4412-8017-CF20CBF598F9}"/>
    <cellStyle name="Migliaia [0] 15 3 3" xfId="5852" xr:uid="{D9674381-51FB-4D46-A02F-DF04278FF65E}"/>
    <cellStyle name="Migliaia [0] 15 3 3 2" xfId="12385" xr:uid="{16BE58A9-376E-4255-B27D-144AC71B32FB}"/>
    <cellStyle name="Migliaia [0] 15 3 4" xfId="2851" xr:uid="{4DBAE9B9-3C6F-4BFD-846E-E8F36C51606C}"/>
    <cellStyle name="Migliaia [0] 15 3 4 2" xfId="21265" xr:uid="{1A31439E-793B-47EF-8A85-EB23BB46FA88}"/>
    <cellStyle name="Migliaia [0] 15 3 4 3" xfId="47707" xr:uid="{8BE1930E-B89C-4DAA-83A3-D0F529FA1D5C}"/>
    <cellStyle name="Migliaia [0] 15 3 4 4" xfId="50280" xr:uid="{62D7FC25-81DE-4623-9E67-0A1022B97D17}"/>
    <cellStyle name="Migliaia [0] 15 3 4 5" xfId="53296" xr:uid="{1F85D2F7-0DC5-4A11-9DD3-93EEB8E3B895}"/>
    <cellStyle name="Migliaia [0] 15 3 4 6" xfId="10630" xr:uid="{FCA0A34B-46FA-4EB6-A30B-AA2AC4168BF7}"/>
    <cellStyle name="Migliaia [0] 15 3 5" xfId="19530" xr:uid="{6DA74619-B8E7-40DE-A498-F53418552E65}"/>
    <cellStyle name="Migliaia [0] 15 3 6" xfId="24011" xr:uid="{8C1B7386-A63D-4884-9828-4B96369765ED}"/>
    <cellStyle name="Migliaia [0] 15 3 7" xfId="8190" xr:uid="{6D85692C-317A-4F3B-AFEC-5DE3A02CA42D}"/>
    <cellStyle name="Migliaia [0] 15 4" xfId="2852" xr:uid="{01B6110A-7A8D-4FB2-B063-D4A75CFDC6E1}"/>
    <cellStyle name="Migliaia [0] 15 4 2" xfId="4578" xr:uid="{B1590FC4-568A-43D1-9E5F-7DCF91C67C56}"/>
    <cellStyle name="Migliaia [0] 15 4 2 2" xfId="35075" xr:uid="{D2457C8F-27D5-4D1C-A258-CF6AACAE19FD}"/>
    <cellStyle name="Migliaia [0] 15 4 2 2 2" xfId="40233" xr:uid="{90E9EB77-4D8C-49B7-8589-A70954D45989}"/>
    <cellStyle name="Migliaia [0] 15 4 2 2 3" xfId="45535" xr:uid="{74BF8F9F-8212-4B2E-A74B-20B1AB41D623}"/>
    <cellStyle name="Migliaia [0] 15 4 2 3" xfId="37582" xr:uid="{0649576A-AC53-4679-ACF7-E6DD8B9F302C}"/>
    <cellStyle name="Migliaia [0] 15 4 2 4" xfId="42884" xr:uid="{453DA8DF-30B9-4F3E-8299-0DC1FB41A5B2}"/>
    <cellStyle name="Migliaia [0] 15 4 2 5" xfId="17015" xr:uid="{96E72D25-66B9-4D17-8EBE-DCEC2D569FA2}"/>
    <cellStyle name="Migliaia [0] 15 4 3" xfId="5853" xr:uid="{539D3572-1822-4CEC-A7F3-6B6B19EA3DEA}"/>
    <cellStyle name="Migliaia [0] 15 4 3 2" xfId="38111" xr:uid="{870704E5-814A-4FBC-AFC1-23959C9D1A3F}"/>
    <cellStyle name="Migliaia [0] 15 4 3 3" xfId="43413" xr:uid="{657040A1-31E0-4F3D-8733-EB36A0E77610}"/>
    <cellStyle name="Migliaia [0] 15 4 3 4" xfId="32760" xr:uid="{205246C8-9879-4D4B-BEF7-CB64FB5C9A2C}"/>
    <cellStyle name="Migliaia [0] 15 4 3 5" xfId="19531" xr:uid="{6214EE86-9466-4926-935A-B6F31B405E83}"/>
    <cellStyle name="Migliaia [0] 15 4 4" xfId="35646" xr:uid="{4227563C-25AC-40BA-9326-50D4E4AA3363}"/>
    <cellStyle name="Migliaia [0] 15 4 5" xfId="40762" xr:uid="{F864973A-DE82-4C4D-ACA8-8A83268E2370}"/>
    <cellStyle name="Migliaia [0] 15 4 6" xfId="15957" xr:uid="{E59C8662-6EA8-428B-BDCA-2CC53DD88157}"/>
    <cellStyle name="Migliaia [0] 15 4 7" xfId="7770" xr:uid="{0B922E9B-CCE9-4DB4-8B40-E8CC6F80F3BB}"/>
    <cellStyle name="Migliaia [0] 15 5" xfId="4574" xr:uid="{B5100868-4EA1-4890-9B77-B418811CFD68}"/>
    <cellStyle name="Migliaia [0] 15 5 2" xfId="32761" xr:uid="{9D109004-B241-41FD-9217-4957BF34FC0A}"/>
    <cellStyle name="Migliaia [0] 15 5 2 2" xfId="38112" xr:uid="{476EA9B4-87AA-41E6-A54D-1092ACA8D911}"/>
    <cellStyle name="Migliaia [0] 15 5 2 3" xfId="43414" xr:uid="{A503778B-D6EE-45CC-B95C-D671C35437AF}"/>
    <cellStyle name="Migliaia [0] 15 5 3" xfId="35647" xr:uid="{C12783BD-7837-4788-A469-5F1633A5C1F4}"/>
    <cellStyle name="Migliaia [0] 15 5 4" xfId="40763" xr:uid="{7A240E80-B2C3-4941-B793-4A92CA721210}"/>
    <cellStyle name="Migliaia [0] 15 5 5" xfId="17084" xr:uid="{35255DB7-125C-4EBD-8339-710870E2D597}"/>
    <cellStyle name="Migliaia [0] 15 6" xfId="5850" xr:uid="{082127E1-11AC-42CF-8338-361B49A5E550}"/>
    <cellStyle name="Migliaia [0] 15 6 2" xfId="38108" xr:uid="{E80AD7C7-80DB-4F1F-A555-BD3CD4642F1F}"/>
    <cellStyle name="Migliaia [0] 15 6 3" xfId="43410" xr:uid="{B1F9900B-B0EC-4128-9466-13181B9FC488}"/>
    <cellStyle name="Migliaia [0] 15 6 4" xfId="32757" xr:uid="{023ACD14-C080-44E9-91F6-2099E22EFAFB}"/>
    <cellStyle name="Migliaia [0] 15 6 5" xfId="19527" xr:uid="{E753A2C5-73E3-4C4B-B8BB-CEA098CC2B4B}"/>
    <cellStyle name="Migliaia [0] 15 7" xfId="2848" xr:uid="{320658C5-3F48-43A9-99DB-57080F51EDB5}"/>
    <cellStyle name="Migliaia [0] 15 7 2" xfId="35643" xr:uid="{8CEA2AF2-AC4C-496B-B9FF-E1ECE247DFBE}"/>
    <cellStyle name="Migliaia [0] 15 8" xfId="40759" xr:uid="{268BB731-AA80-464C-8C0A-C5F681A19BDC}"/>
    <cellStyle name="Migliaia [0] 15 9" xfId="6991" xr:uid="{A2C13152-C05B-4F76-A37F-1254AB0CEEA3}"/>
    <cellStyle name="Migliaia [0] 16" xfId="249" xr:uid="{00000000-0005-0000-0000-0000F1010000}"/>
    <cellStyle name="Migliaia [0] 16 2" xfId="1502" xr:uid="{00000000-0005-0000-0000-0000F2010000}"/>
    <cellStyle name="Migliaia [0] 16 2 2" xfId="1503" xr:uid="{00000000-0005-0000-0000-0000F3010000}"/>
    <cellStyle name="Migliaia [0] 16 2 2 2" xfId="4581" xr:uid="{42293C67-41CF-4FA5-960F-186CA322B323}"/>
    <cellStyle name="Migliaia [0] 16 2 2 2 2" xfId="21734" xr:uid="{9E01B380-EB39-4095-BD87-B66B8CE50F0F}"/>
    <cellStyle name="Migliaia [0] 16 2 2 2 3" xfId="46734" xr:uid="{3608E89B-2A92-484B-9554-478ECD46C66D}"/>
    <cellStyle name="Migliaia [0] 16 2 2 2 4" xfId="50762" xr:uid="{0859DD87-012B-4A20-A311-1D4F5EF63DF3}"/>
    <cellStyle name="Migliaia [0] 16 2 2 2 5" xfId="53778" xr:uid="{76D09CF7-42F4-4BCB-B1B0-6D22B3C953F9}"/>
    <cellStyle name="Migliaia [0] 16 2 2 2 6" xfId="11731" xr:uid="{B4163801-4DB5-45D7-B182-7C681533ACC3}"/>
    <cellStyle name="Migliaia [0] 16 2 2 3" xfId="2855" xr:uid="{7DFE3B25-2BBE-4754-B93B-2B4D3466CBE9}"/>
    <cellStyle name="Migliaia [0] 16 2 2 3 2" xfId="12355" xr:uid="{9B9060C1-57AE-4A46-816F-D1A93971E3D4}"/>
    <cellStyle name="Migliaia [0] 16 2 2 4" xfId="10631" xr:uid="{420C8833-7EBA-4DDE-8326-ECFA22482B15}"/>
    <cellStyle name="Migliaia [0] 16 2 2 4 2" xfId="21266" xr:uid="{DF9C3D39-6B18-41EC-A88D-C2515820574C}"/>
    <cellStyle name="Migliaia [0] 16 2 2 4 3" xfId="46167" xr:uid="{6FA46C28-6828-4E7D-9290-2B2311599A63}"/>
    <cellStyle name="Migliaia [0] 16 2 2 4 4" xfId="50281" xr:uid="{CD080143-63C4-42A6-9081-1C042F2B491C}"/>
    <cellStyle name="Migliaia [0] 16 2 2 4 5" xfId="53297" xr:uid="{5680DB22-6B79-42F0-B1A4-590EE2F5E289}"/>
    <cellStyle name="Migliaia [0] 16 2 2 5" xfId="19534" xr:uid="{878BFC3A-6162-478E-BE10-63C8634F3A51}"/>
    <cellStyle name="Migliaia [0] 16 2 2 6" xfId="24013" xr:uid="{B5E2F5C1-054C-4E1D-BF01-7248BEF9215E}"/>
    <cellStyle name="Migliaia [0] 16 2 2 7" xfId="48827" xr:uid="{7ECAB708-F50B-453C-A3B1-B26201C0475C}"/>
    <cellStyle name="Migliaia [0] 16 2 2 8" xfId="49733" xr:uid="{CFCA9972-E6B4-4437-B8FD-1F8C67B7A56A}"/>
    <cellStyle name="Migliaia [0] 16 2 2 9" xfId="8433" xr:uid="{9C3A3F6A-47AC-4F86-B0C0-8B86E2665F19}"/>
    <cellStyle name="Migliaia [0] 16 2 3" xfId="4580" xr:uid="{118DC9DF-979F-4883-BB66-9009AB29B3BF}"/>
    <cellStyle name="Migliaia [0] 16 2 3 2" xfId="32763" xr:uid="{9830B410-527D-4095-BA46-0B7483BF0BA4}"/>
    <cellStyle name="Migliaia [0] 16 2 3 2 2" xfId="38114" xr:uid="{C5D3C951-8C12-486B-9DE1-C3AB9034652D}"/>
    <cellStyle name="Migliaia [0] 16 2 3 2 3" xfId="43416" xr:uid="{A418BA38-82FC-451C-9FD1-20B798D701C4}"/>
    <cellStyle name="Migliaia [0] 16 2 3 3" xfId="35649" xr:uid="{72F8EB5A-AA8E-417E-8860-C23022B87488}"/>
    <cellStyle name="Migliaia [0] 16 2 3 4" xfId="40765" xr:uid="{2FB77614-E2C6-46CC-9FEC-74807E30E2CC}"/>
    <cellStyle name="Migliaia [0] 16 2 3 5" xfId="11732" xr:uid="{792A93E6-4372-4446-B761-E53E6DB435B6}"/>
    <cellStyle name="Migliaia [0] 16 2 4" xfId="5855" xr:uid="{9279FAE0-1441-43B7-8DE4-299CC35F871C}"/>
    <cellStyle name="Migliaia [0] 16 2 4 2" xfId="19533" xr:uid="{913AD5E3-32C8-4620-B00D-F0E8B5A96971}"/>
    <cellStyle name="Migliaia [0] 16 2 5" xfId="2854" xr:uid="{5DB5DB4F-0935-4C0F-8308-93F1F6AE441C}"/>
    <cellStyle name="Migliaia [0] 16 2 5 2" xfId="24012" xr:uid="{76674159-D835-42BB-88EB-F5D1E7E59F36}"/>
    <cellStyle name="Migliaia [0] 16 2 6" xfId="7243" xr:uid="{FAA2F182-738F-4E8E-A06C-D0280693C655}"/>
    <cellStyle name="Migliaia [0] 16 3" xfId="1504" xr:uid="{00000000-0005-0000-0000-0000F4010000}"/>
    <cellStyle name="Migliaia [0] 16 3 2" xfId="4582" xr:uid="{5AF2D3C7-CC2C-4B00-93C0-9E77A872BFEE}"/>
    <cellStyle name="Migliaia [0] 16 3 2 2" xfId="18308" xr:uid="{970F68BF-F333-48E1-9330-15619403A90B}"/>
    <cellStyle name="Migliaia [0] 16 3 2 2 2" xfId="21735" xr:uid="{DA25D871-2ED0-4D50-AFDC-432E01F9CD07}"/>
    <cellStyle name="Migliaia [0] 16 3 2 2 2 2" xfId="38115" xr:uid="{859FAF6C-8726-495C-A662-A8707ED97C57}"/>
    <cellStyle name="Migliaia [0] 16 3 2 2 3" xfId="43417" xr:uid="{7C6D5772-6D90-4BD0-AC82-EE1EAE70DCC0}"/>
    <cellStyle name="Migliaia [0] 16 3 2 2 4" xfId="32764" xr:uid="{B07164EC-99E0-404B-A567-C279867F961F}"/>
    <cellStyle name="Migliaia [0] 16 3 2 3" xfId="35650" xr:uid="{C0A13E9E-9F53-4D65-95DD-7A8C498E2344}"/>
    <cellStyle name="Migliaia [0] 16 3 2 4" xfId="40766" xr:uid="{84BA2FF8-365C-4712-8F1F-C92F3080D2AE}"/>
    <cellStyle name="Migliaia [0] 16 3 2 5" xfId="48189" xr:uid="{F2DA3795-5DCA-422C-8CC5-791EF08105EA}"/>
    <cellStyle name="Migliaia [0] 16 3 2 6" xfId="50763" xr:uid="{59AE7C24-5C6C-49CE-AAA1-8A62A7E61144}"/>
    <cellStyle name="Migliaia [0] 16 3 2 7" xfId="53779" xr:uid="{BD1D0C24-5E5B-4B43-8284-BEE60A9972A6}"/>
    <cellStyle name="Migliaia [0] 16 3 2 8" xfId="17584" xr:uid="{97FE16D3-AD45-4AEB-AEE2-8DE9ADEDC225}"/>
    <cellStyle name="Migliaia [0] 16 3 2 9" xfId="11733" xr:uid="{8D300038-C2AD-4EEA-8CE6-E64ED859A05E}"/>
    <cellStyle name="Migliaia [0] 16 3 3" xfId="5856" xr:uid="{6D1A37DA-7FEC-457F-B6CF-6C19FA5A59D2}"/>
    <cellStyle name="Migliaia [0] 16 3 3 2" xfId="12215" xr:uid="{C2D877DF-6C5D-49BC-B0EE-16BDE4869CAC}"/>
    <cellStyle name="Migliaia [0] 16 3 4" xfId="2856" xr:uid="{2663A5EB-FC83-49A6-AE4C-5519AF05CD01}"/>
    <cellStyle name="Migliaia [0] 16 3 4 2" xfId="21267" xr:uid="{3A32DE91-D45A-41D8-B9A4-6613CD7C5FBE}"/>
    <cellStyle name="Migliaia [0] 16 3 4 3" xfId="48286" xr:uid="{4641C4CE-6315-45B7-A854-4336E785D3AA}"/>
    <cellStyle name="Migliaia [0] 16 3 4 4" xfId="50282" xr:uid="{B7DB3E22-20CD-4A93-AA86-08A7346FAA3E}"/>
    <cellStyle name="Migliaia [0] 16 3 4 5" xfId="53298" xr:uid="{C10A8DAE-87F3-447B-928E-51979E852EC2}"/>
    <cellStyle name="Migliaia [0] 16 3 4 6" xfId="10632" xr:uid="{190BD210-13F7-4567-B17B-8F61F75757F7}"/>
    <cellStyle name="Migliaia [0] 16 3 5" xfId="19535" xr:uid="{0882E388-545A-45A7-B42F-DF3A437CAEDA}"/>
    <cellStyle name="Migliaia [0] 16 3 6" xfId="24014" xr:uid="{97CD3500-5F70-47B8-887F-2182BD22AC3E}"/>
    <cellStyle name="Migliaia [0] 16 3 7" xfId="8191" xr:uid="{745854A3-ACFD-4955-BF61-E143EDCDF9A2}"/>
    <cellStyle name="Migliaia [0] 16 4" xfId="2857" xr:uid="{2BC7E25F-7FC4-4735-B03B-A633849DF74D}"/>
    <cellStyle name="Migliaia [0] 16 4 2" xfId="4583" xr:uid="{17E3B84D-33A7-44A6-8624-C6ACE3024BD8}"/>
    <cellStyle name="Migliaia [0] 16 4 2 2" xfId="35076" xr:uid="{AD5D2094-D376-42EE-99FE-DAD204E9CC0E}"/>
    <cellStyle name="Migliaia [0] 16 4 2 2 2" xfId="40234" xr:uid="{0849BC59-2C84-4B20-A36A-1421CDA28765}"/>
    <cellStyle name="Migliaia [0] 16 4 2 2 3" xfId="45536" xr:uid="{F9600F36-39F4-463F-9896-B0EFD7B4A878}"/>
    <cellStyle name="Migliaia [0] 16 4 2 3" xfId="37583" xr:uid="{970C617B-0E34-41AD-9A2D-44B4A7BE719A}"/>
    <cellStyle name="Migliaia [0] 16 4 2 4" xfId="42885" xr:uid="{CE0B0887-817D-45D7-9799-E19595687485}"/>
    <cellStyle name="Migliaia [0] 16 4 2 5" xfId="17016" xr:uid="{ED02822A-77DE-4CAD-A028-D90881C39546}"/>
    <cellStyle name="Migliaia [0] 16 4 3" xfId="5857" xr:uid="{A67C460F-F99E-47EA-B49B-4848AFA75DA4}"/>
    <cellStyle name="Migliaia [0] 16 4 3 2" xfId="38116" xr:uid="{DA608E12-D3F2-4998-9478-C3FE78EE5AD2}"/>
    <cellStyle name="Migliaia [0] 16 4 3 3" xfId="43418" xr:uid="{462F2AD8-D515-4A1D-8B41-A33481A5674E}"/>
    <cellStyle name="Migliaia [0] 16 4 3 4" xfId="32765" xr:uid="{3BC1C22C-D4FC-4518-BFBA-DFF978C0D8A0}"/>
    <cellStyle name="Migliaia [0] 16 4 3 5" xfId="19536" xr:uid="{F973B91E-7EC9-45D5-83DC-0DC40DD4CB28}"/>
    <cellStyle name="Migliaia [0] 16 4 4" xfId="35651" xr:uid="{8A4DE0C6-5A9C-49EF-AE95-C14AA82EFE4D}"/>
    <cellStyle name="Migliaia [0] 16 4 5" xfId="40767" xr:uid="{257C5A9F-F038-4ADC-8F03-9AEB6C67E8AE}"/>
    <cellStyle name="Migliaia [0] 16 4 6" xfId="15958" xr:uid="{9F09D49D-4483-49DE-B623-D0ACF5715B5B}"/>
    <cellStyle name="Migliaia [0] 16 4 7" xfId="7771" xr:uid="{109631B8-092B-4016-A95B-FDBD8251D972}"/>
    <cellStyle name="Migliaia [0] 16 5" xfId="4579" xr:uid="{B9F4973C-0DA8-4C34-AF44-321695546224}"/>
    <cellStyle name="Migliaia [0] 16 5 2" xfId="32766" xr:uid="{03CD5899-45E1-4B07-86F1-8CE4540B2E7A}"/>
    <cellStyle name="Migliaia [0] 16 5 2 2" xfId="38117" xr:uid="{D80A802E-CBA7-4AE6-9D1C-9210A3AB3C1C}"/>
    <cellStyle name="Migliaia [0] 16 5 2 3" xfId="43419" xr:uid="{2646E51E-31CE-4F68-91CD-5AEFCDF9012A}"/>
    <cellStyle name="Migliaia [0] 16 5 3" xfId="35652" xr:uid="{FC82FB2E-28FD-4E22-AE1A-AE9321454CAA}"/>
    <cellStyle name="Migliaia [0] 16 5 4" xfId="40768" xr:uid="{054743C0-4523-45EF-AA77-4F3B96970E77}"/>
    <cellStyle name="Migliaia [0] 16 5 5" xfId="17085" xr:uid="{8AB6430F-0DC5-4E21-96C9-82BDE4DE4C4D}"/>
    <cellStyle name="Migliaia [0] 16 6" xfId="5854" xr:uid="{C9808045-6E27-4000-8651-4EC8EA5BEC2D}"/>
    <cellStyle name="Migliaia [0] 16 6 2" xfId="38113" xr:uid="{EACE2553-B932-4555-939A-63BFB60DCB8F}"/>
    <cellStyle name="Migliaia [0] 16 6 3" xfId="43415" xr:uid="{82B5616D-793C-43D4-B99D-57098ABCB2D1}"/>
    <cellStyle name="Migliaia [0] 16 6 4" xfId="32762" xr:uid="{5897CC43-9BB6-49A6-A648-E5EED6355BC4}"/>
    <cellStyle name="Migliaia [0] 16 6 5" xfId="19532" xr:uid="{5B831CAB-6295-41EB-807C-54F83CEFCAB2}"/>
    <cellStyle name="Migliaia [0] 16 7" xfId="2853" xr:uid="{B959A1C6-9D3F-4F0A-800F-2D7566A28395}"/>
    <cellStyle name="Migliaia [0] 16 7 2" xfId="35648" xr:uid="{2638D96B-DD99-4F35-9263-E5E15555EA34}"/>
    <cellStyle name="Migliaia [0] 16 8" xfId="40764" xr:uid="{D9D76532-2525-405F-8576-B6EF3D395D20}"/>
    <cellStyle name="Migliaia [0] 16 9" xfId="6992" xr:uid="{CB054FE2-DB67-4C83-A8E5-838C6EEA28A3}"/>
    <cellStyle name="Migliaia [0] 17" xfId="250" xr:uid="{00000000-0005-0000-0000-0000F5010000}"/>
    <cellStyle name="Migliaia [0] 17 2" xfId="1505" xr:uid="{00000000-0005-0000-0000-0000F6010000}"/>
    <cellStyle name="Migliaia [0] 17 2 2" xfId="1506" xr:uid="{00000000-0005-0000-0000-0000F7010000}"/>
    <cellStyle name="Migliaia [0] 17 2 2 2" xfId="4586" xr:uid="{F1FBBD86-94CA-4B9B-9DC5-FBDD765BB64A}"/>
    <cellStyle name="Migliaia [0] 17 2 2 2 2" xfId="21736" xr:uid="{0DADD3AF-21B8-4D81-98DB-911189B3145B}"/>
    <cellStyle name="Migliaia [0] 17 2 2 2 3" xfId="46286" xr:uid="{FBC469D2-F002-45F3-A032-7201B3184CFC}"/>
    <cellStyle name="Migliaia [0] 17 2 2 2 4" xfId="50764" xr:uid="{BC2059F6-6A97-4E74-B47E-29F1BDA656B7}"/>
    <cellStyle name="Migliaia [0] 17 2 2 2 5" xfId="53780" xr:uid="{40DEC6AF-CC80-496E-8A13-49F44C956D6F}"/>
    <cellStyle name="Migliaia [0] 17 2 2 2 6" xfId="11734" xr:uid="{9E8EB538-6212-487B-97B5-08A8866CF2CF}"/>
    <cellStyle name="Migliaia [0] 17 2 2 3" xfId="2860" xr:uid="{9950277F-9D4C-499C-AEDB-4955E596D37D}"/>
    <cellStyle name="Migliaia [0] 17 2 2 3 2" xfId="12186" xr:uid="{F796D638-CA92-47DD-B6AE-2A9107640883}"/>
    <cellStyle name="Migliaia [0] 17 2 2 4" xfId="10633" xr:uid="{7271F169-24F5-404A-B11A-D0166F5E418C}"/>
    <cellStyle name="Migliaia [0] 17 2 2 4 2" xfId="21268" xr:uid="{70F266CB-871D-4D48-8799-E9C2229529FA}"/>
    <cellStyle name="Migliaia [0] 17 2 2 4 3" xfId="46168" xr:uid="{E5BDF340-A90F-469E-96DE-053397D07F10}"/>
    <cellStyle name="Migliaia [0] 17 2 2 4 4" xfId="50283" xr:uid="{2AF07512-0146-4E26-A508-5CAF63D8B709}"/>
    <cellStyle name="Migliaia [0] 17 2 2 4 5" xfId="53299" xr:uid="{32930395-EC09-4FCB-AE8C-CCD79C4A5AB1}"/>
    <cellStyle name="Migliaia [0] 17 2 2 5" xfId="19539" xr:uid="{C52764A1-B8FE-4605-ACEF-ECA5B7EAF9C0}"/>
    <cellStyle name="Migliaia [0] 17 2 2 6" xfId="24016" xr:uid="{EB9E37C1-716B-46AA-A073-4F89ABAE063A}"/>
    <cellStyle name="Migliaia [0] 17 2 2 7" xfId="48828" xr:uid="{7FFFC0A0-C0F6-46E3-8C39-9F31225B9B3C}"/>
    <cellStyle name="Migliaia [0] 17 2 2 8" xfId="49734" xr:uid="{F51B0482-D5CD-4841-8E7D-EFE0387998D3}"/>
    <cellStyle name="Migliaia [0] 17 2 2 9" xfId="8434" xr:uid="{B114D36C-96D3-471B-A863-7C314A68111E}"/>
    <cellStyle name="Migliaia [0] 17 2 3" xfId="4585" xr:uid="{E34047E6-CC60-49F4-912F-5CC30B295292}"/>
    <cellStyle name="Migliaia [0] 17 2 3 2" xfId="32768" xr:uid="{75E73383-E97A-4A50-8AA2-59F69E26C8BA}"/>
    <cellStyle name="Migliaia [0] 17 2 3 2 2" xfId="38119" xr:uid="{541444E9-1D52-4807-B3D9-6B0633898A50}"/>
    <cellStyle name="Migliaia [0] 17 2 3 2 3" xfId="43421" xr:uid="{975D54E1-E7D1-42C8-AE23-AD72A27E315E}"/>
    <cellStyle name="Migliaia [0] 17 2 3 3" xfId="35654" xr:uid="{8E87BE47-6E4E-4C62-A3EC-FA2D90A042CB}"/>
    <cellStyle name="Migliaia [0] 17 2 3 4" xfId="40770" xr:uid="{339F0493-AEFA-4121-B83A-BDB6CEECD55C}"/>
    <cellStyle name="Migliaia [0] 17 2 3 5" xfId="11735" xr:uid="{9D9B2B8F-D59B-4C0F-861B-E42858E23643}"/>
    <cellStyle name="Migliaia [0] 17 2 4" xfId="5859" xr:uid="{5380DA51-669E-4756-9E77-9DAFB60A64A3}"/>
    <cellStyle name="Migliaia [0] 17 2 4 2" xfId="19538" xr:uid="{4ABBEE9B-9FA3-4413-B640-E76113C7E969}"/>
    <cellStyle name="Migliaia [0] 17 2 5" xfId="2859" xr:uid="{3469B607-9104-4372-9C79-57A915B5CFC6}"/>
    <cellStyle name="Migliaia [0] 17 2 5 2" xfId="24015" xr:uid="{62C1AC2C-05B9-40D7-8E32-A3D431CE87A2}"/>
    <cellStyle name="Migliaia [0] 17 2 6" xfId="7244" xr:uid="{28AF575A-FC0C-4E54-93F7-E86D74E191BD}"/>
    <cellStyle name="Migliaia [0] 17 3" xfId="1507" xr:uid="{00000000-0005-0000-0000-0000F8010000}"/>
    <cellStyle name="Migliaia [0] 17 3 2" xfId="4587" xr:uid="{14C121D0-B4DA-4EBF-8630-EF82BE993059}"/>
    <cellStyle name="Migliaia [0] 17 3 2 2" xfId="18309" xr:uid="{7ECD340F-92B9-4748-BD1F-B43D5B64859A}"/>
    <cellStyle name="Migliaia [0] 17 3 2 2 2" xfId="21737" xr:uid="{03AE767E-FAA7-4B2E-8D23-C066D325C3C3}"/>
    <cellStyle name="Migliaia [0] 17 3 2 2 2 2" xfId="38120" xr:uid="{05617599-177D-49BF-8F6F-F64AA7E21D59}"/>
    <cellStyle name="Migliaia [0] 17 3 2 2 3" xfId="43422" xr:uid="{B3E13B3B-AA05-4474-92D9-1F1E1C10F9BA}"/>
    <cellStyle name="Migliaia [0] 17 3 2 2 4" xfId="32769" xr:uid="{AC9C13C1-F2AF-4530-A477-4011A34DD0EE}"/>
    <cellStyle name="Migliaia [0] 17 3 2 3" xfId="35655" xr:uid="{958C904F-C594-44B8-9201-E1DFC6CBEF38}"/>
    <cellStyle name="Migliaia [0] 17 3 2 4" xfId="40771" xr:uid="{46151754-BEF9-4477-BFFC-352E8A1F127A}"/>
    <cellStyle name="Migliaia [0] 17 3 2 5" xfId="48099" xr:uid="{1191FBD3-B776-446E-ABAB-E69F5E7E7D74}"/>
    <cellStyle name="Migliaia [0] 17 3 2 6" xfId="50765" xr:uid="{BF5F1EF0-7EF3-4561-B3C5-2B30966D680E}"/>
    <cellStyle name="Migliaia [0] 17 3 2 7" xfId="53781" xr:uid="{7F672404-95BD-4D34-819C-AF5B2DD22924}"/>
    <cellStyle name="Migliaia [0] 17 3 2 8" xfId="17585" xr:uid="{FE14AA89-9F2E-4A2A-BE9A-81DC471CF3A0}"/>
    <cellStyle name="Migliaia [0] 17 3 2 9" xfId="11736" xr:uid="{6C3BA5F4-0CE2-4B2A-99B0-704EA98B3AF6}"/>
    <cellStyle name="Migliaia [0] 17 3 3" xfId="5860" xr:uid="{DDF2A1B8-D9C9-4B31-9B78-D1C6D62D34C6}"/>
    <cellStyle name="Migliaia [0] 17 3 3 2" xfId="11165" xr:uid="{7264CE37-479C-4BD4-B4D3-EE6F18860971}"/>
    <cellStyle name="Migliaia [0] 17 3 4" xfId="2861" xr:uid="{2D1A1BFB-4086-42AD-B1D1-1C2254173431}"/>
    <cellStyle name="Migliaia [0] 17 3 4 2" xfId="21269" xr:uid="{79B7BB8C-29F3-4E8B-B6E7-D59035C600E5}"/>
    <cellStyle name="Migliaia [0] 17 3 4 3" xfId="47889" xr:uid="{C11DB687-AB82-4B9E-BE8F-1D74980C821E}"/>
    <cellStyle name="Migliaia [0] 17 3 4 4" xfId="50284" xr:uid="{FD6F929D-A62D-453E-94B9-FD11465A5BB7}"/>
    <cellStyle name="Migliaia [0] 17 3 4 5" xfId="53300" xr:uid="{FF695F01-06A9-479B-B486-FB4EDA45B717}"/>
    <cellStyle name="Migliaia [0] 17 3 4 6" xfId="10634" xr:uid="{FD8C02BF-4255-4432-B29A-2713165D2D94}"/>
    <cellStyle name="Migliaia [0] 17 3 5" xfId="19540" xr:uid="{29D7928F-1D25-4C98-B96F-87E4986BF243}"/>
    <cellStyle name="Migliaia [0] 17 3 6" xfId="24017" xr:uid="{675EAFE3-0C2C-420B-AFC2-4A4B3D510F1C}"/>
    <cellStyle name="Migliaia [0] 17 3 7" xfId="8192" xr:uid="{626044EA-FA3A-4589-811C-64E5180039A1}"/>
    <cellStyle name="Migliaia [0] 17 4" xfId="2862" xr:uid="{BDE0EA76-A509-4E7F-BB3F-D3D726ACD764}"/>
    <cellStyle name="Migliaia [0] 17 4 2" xfId="4588" xr:uid="{F7B3D99D-EB1C-4485-BDC8-3111557CDD00}"/>
    <cellStyle name="Migliaia [0] 17 4 2 2" xfId="35077" xr:uid="{40B28078-D26D-4198-AFB7-F7E75AB9E3E3}"/>
    <cellStyle name="Migliaia [0] 17 4 2 2 2" xfId="40235" xr:uid="{D1F57C40-4C2B-4126-82FD-8A47558BE8AC}"/>
    <cellStyle name="Migliaia [0] 17 4 2 2 3" xfId="45537" xr:uid="{F6C90AB2-6A7F-4457-A15E-7162F767CA8F}"/>
    <cellStyle name="Migliaia [0] 17 4 2 3" xfId="37584" xr:uid="{41322DDA-616D-4D4E-A437-7D7DFA691201}"/>
    <cellStyle name="Migliaia [0] 17 4 2 4" xfId="42886" xr:uid="{12386966-E402-4D46-9835-CECD343D538B}"/>
    <cellStyle name="Migliaia [0] 17 4 2 5" xfId="17017" xr:uid="{644F972E-8541-462B-888F-1FA023C27FDB}"/>
    <cellStyle name="Migliaia [0] 17 4 3" xfId="5861" xr:uid="{14AB56A1-3C05-4162-9377-B8E9D88DB402}"/>
    <cellStyle name="Migliaia [0] 17 4 3 2" xfId="38121" xr:uid="{86AA039A-CE66-42E5-AB1C-2F9F8D558D52}"/>
    <cellStyle name="Migliaia [0] 17 4 3 3" xfId="43423" xr:uid="{47726381-6136-4777-8FF9-38DC660538E0}"/>
    <cellStyle name="Migliaia [0] 17 4 3 4" xfId="32770" xr:uid="{0A222ADC-46B8-45CE-BB28-B0730C7C66C0}"/>
    <cellStyle name="Migliaia [0] 17 4 3 5" xfId="19541" xr:uid="{09A109CB-B914-4883-A82D-B13FF4846313}"/>
    <cellStyle name="Migliaia [0] 17 4 4" xfId="35656" xr:uid="{F9379CC3-DEE2-424D-ADFB-6924535F9719}"/>
    <cellStyle name="Migliaia [0] 17 4 5" xfId="40772" xr:uid="{54E9F44E-CFB7-4F2C-A6E7-C5F51A9A23C1}"/>
    <cellStyle name="Migliaia [0] 17 4 6" xfId="15959" xr:uid="{5E8EACDA-474F-48F6-95F3-8F895D7307C2}"/>
    <cellStyle name="Migliaia [0] 17 4 7" xfId="7772" xr:uid="{875677D0-6428-4D24-8271-97DF733C5537}"/>
    <cellStyle name="Migliaia [0] 17 5" xfId="4584" xr:uid="{FDF3D697-A78F-4D9F-98F6-D63E0EF9F157}"/>
    <cellStyle name="Migliaia [0] 17 5 2" xfId="32771" xr:uid="{EA604285-8F61-4DBB-BEB6-D2EDEE83DD2E}"/>
    <cellStyle name="Migliaia [0] 17 5 2 2" xfId="38122" xr:uid="{15DA75BA-B7FD-47A1-81FA-EB296714FD49}"/>
    <cellStyle name="Migliaia [0] 17 5 2 3" xfId="43424" xr:uid="{8B86C8D2-1DF6-4A6D-BD33-B10C47DFE9D7}"/>
    <cellStyle name="Migliaia [0] 17 5 3" xfId="35657" xr:uid="{E4D40D9F-57F5-49A0-B31F-61CD2F14F582}"/>
    <cellStyle name="Migliaia [0] 17 5 4" xfId="40773" xr:uid="{CA40F2FC-53A8-4C7A-9279-46A019B848E8}"/>
    <cellStyle name="Migliaia [0] 17 5 5" xfId="17086" xr:uid="{7326BA90-D4E7-46DB-8052-5F5069C80FDD}"/>
    <cellStyle name="Migliaia [0] 17 6" xfId="5858" xr:uid="{7687D6DC-C27C-4423-A9B5-931BD7065F74}"/>
    <cellStyle name="Migliaia [0] 17 6 2" xfId="38118" xr:uid="{C82D60FE-61E9-4015-8898-3529662AF85E}"/>
    <cellStyle name="Migliaia [0] 17 6 3" xfId="43420" xr:uid="{A24991AD-D265-4477-968A-EB57280F4504}"/>
    <cellStyle name="Migliaia [0] 17 6 4" xfId="32767" xr:uid="{E1F381ED-C4AD-44B4-BD48-E0E5966637A4}"/>
    <cellStyle name="Migliaia [0] 17 6 5" xfId="19537" xr:uid="{D6BAFF15-6683-4430-9312-F840FEA5A4FA}"/>
    <cellStyle name="Migliaia [0] 17 7" xfId="2858" xr:uid="{7D91B9B4-FD1D-4560-82FF-7748BCDB0C53}"/>
    <cellStyle name="Migliaia [0] 17 7 2" xfId="35653" xr:uid="{79C45933-7135-4C6D-A3B0-EE5B457AD7C3}"/>
    <cellStyle name="Migliaia [0] 17 8" xfId="40769" xr:uid="{AC4904B0-91C5-4822-A082-D5DCC7099990}"/>
    <cellStyle name="Migliaia [0] 17 9" xfId="6993" xr:uid="{89D01E6A-76A5-4F8B-ABDB-7945BD65456E}"/>
    <cellStyle name="Migliaia [0] 18" xfId="251" xr:uid="{00000000-0005-0000-0000-0000F9010000}"/>
    <cellStyle name="Migliaia [0] 18 2" xfId="1508" xr:uid="{00000000-0005-0000-0000-0000FA010000}"/>
    <cellStyle name="Migliaia [0] 18 2 2" xfId="1509" xr:uid="{00000000-0005-0000-0000-0000FB010000}"/>
    <cellStyle name="Migliaia [0] 18 2 2 2" xfId="4591" xr:uid="{F505F408-46B4-43A6-80A3-90FAA0F025D3}"/>
    <cellStyle name="Migliaia [0] 18 2 2 2 2" xfId="21738" xr:uid="{97F03B8C-DA67-4610-A473-7CFB57F892C5}"/>
    <cellStyle name="Migliaia [0] 18 2 2 2 3" xfId="46735" xr:uid="{D130AAA9-48A7-4938-B41B-C1E2BCB44CB8}"/>
    <cellStyle name="Migliaia [0] 18 2 2 2 4" xfId="50766" xr:uid="{C1DEE424-FF47-4D64-B56D-465E69EB5AF0}"/>
    <cellStyle name="Migliaia [0] 18 2 2 2 5" xfId="53782" xr:uid="{E60A1457-1CAE-4B88-BCA5-887634CBFE8D}"/>
    <cellStyle name="Migliaia [0] 18 2 2 2 6" xfId="11737" xr:uid="{377682E3-A368-45A5-8055-DA41A093065C}"/>
    <cellStyle name="Migliaia [0] 18 2 2 3" xfId="2865" xr:uid="{A22E6125-3EFB-42B0-87DC-B40D706D6A1C}"/>
    <cellStyle name="Migliaia [0] 18 2 2 3 2" xfId="11551" xr:uid="{E86D6CDA-C38E-43B8-9960-9C928EA79245}"/>
    <cellStyle name="Migliaia [0] 18 2 2 4" xfId="10635" xr:uid="{0DEA23CF-7F9F-48D1-8A14-76584FDE9B6E}"/>
    <cellStyle name="Migliaia [0] 18 2 2 4 2" xfId="21270" xr:uid="{57E2CF73-8F49-48F8-AFC4-23BF4427E33C}"/>
    <cellStyle name="Migliaia [0] 18 2 2 4 3" xfId="47296" xr:uid="{CE1EE66A-9DAC-4CD4-A211-DD5547387F09}"/>
    <cellStyle name="Migliaia [0] 18 2 2 4 4" xfId="50285" xr:uid="{C2BDBB96-082C-4EB0-A4AE-4E90605F1F89}"/>
    <cellStyle name="Migliaia [0] 18 2 2 4 5" xfId="53301" xr:uid="{0E51DBF7-21F8-4516-92A1-2B46808264A5}"/>
    <cellStyle name="Migliaia [0] 18 2 2 5" xfId="19544" xr:uid="{4A84BD9B-FE69-4607-98B5-FBE0B713701B}"/>
    <cellStyle name="Migliaia [0] 18 2 2 6" xfId="24019" xr:uid="{64DBC5C1-20EB-44A1-9002-F8764BCED07A}"/>
    <cellStyle name="Migliaia [0] 18 2 2 7" xfId="48829" xr:uid="{56402C37-BFA3-47BC-87CE-32EA6D1CBC82}"/>
    <cellStyle name="Migliaia [0] 18 2 2 8" xfId="49735" xr:uid="{BF7CF1A0-42ED-42D1-835A-8CCDC8BFEB9C}"/>
    <cellStyle name="Migliaia [0] 18 2 2 9" xfId="8435" xr:uid="{EEB7A450-4C85-4882-AC13-1097B94FF607}"/>
    <cellStyle name="Migliaia [0] 18 2 3" xfId="4590" xr:uid="{13429661-C425-45F6-90A2-866C2FDC7EF0}"/>
    <cellStyle name="Migliaia [0] 18 2 3 2" xfId="32773" xr:uid="{71C2425A-1993-4115-8D06-30CF27262FCA}"/>
    <cellStyle name="Migliaia [0] 18 2 3 2 2" xfId="38124" xr:uid="{33165B8E-5323-4BDC-B35A-545AAE58B7A4}"/>
    <cellStyle name="Migliaia [0] 18 2 3 2 3" xfId="43426" xr:uid="{AD8094C9-416A-4EF6-8390-343AD2B3545F}"/>
    <cellStyle name="Migliaia [0] 18 2 3 3" xfId="35659" xr:uid="{517D14D9-A5B2-4995-A0C0-683CA72B6256}"/>
    <cellStyle name="Migliaia [0] 18 2 3 4" xfId="40775" xr:uid="{2DEC65B5-D568-4CEF-B484-A246F7DCA241}"/>
    <cellStyle name="Migliaia [0] 18 2 3 5" xfId="11738" xr:uid="{FFE4698B-A072-4C3F-8CF3-83248C4AA9AA}"/>
    <cellStyle name="Migliaia [0] 18 2 4" xfId="5863" xr:uid="{63FD39A2-DDBF-4E70-AB7F-6C0E93707D1C}"/>
    <cellStyle name="Migliaia [0] 18 2 4 2" xfId="19543" xr:uid="{4DDADC73-0EA2-4C4F-9417-B3CCDF227064}"/>
    <cellStyle name="Migliaia [0] 18 2 5" xfId="2864" xr:uid="{61DD176E-D810-443E-8FCD-8DCFE10B37CF}"/>
    <cellStyle name="Migliaia [0] 18 2 5 2" xfId="24018" xr:uid="{79880F87-C54B-407E-9DAB-A33CC9EC4463}"/>
    <cellStyle name="Migliaia [0] 18 2 6" xfId="7245" xr:uid="{9C30BFA1-51E8-46B8-AF1B-8A11A6E6B95D}"/>
    <cellStyle name="Migliaia [0] 18 3" xfId="1510" xr:uid="{00000000-0005-0000-0000-0000FC010000}"/>
    <cellStyle name="Migliaia [0] 18 3 2" xfId="4592" xr:uid="{1797A264-FBC6-4482-9D92-A6B54AAE14DC}"/>
    <cellStyle name="Migliaia [0] 18 3 2 2" xfId="18310" xr:uid="{E26449A6-4CB3-45E0-BC0C-133F15A8E3C4}"/>
    <cellStyle name="Migliaia [0] 18 3 2 2 2" xfId="21739" xr:uid="{85D23446-A178-4883-A061-3CDA3E2499A1}"/>
    <cellStyle name="Migliaia [0] 18 3 2 2 2 2" xfId="38125" xr:uid="{B2ACEB25-5741-4748-80E2-FCC614E98C34}"/>
    <cellStyle name="Migliaia [0] 18 3 2 2 3" xfId="43427" xr:uid="{6580B1A6-A079-4589-9A6A-E7D3EA5F9DDF}"/>
    <cellStyle name="Migliaia [0] 18 3 2 2 4" xfId="32774" xr:uid="{0E626646-AB50-45CB-8056-BF02C26471CE}"/>
    <cellStyle name="Migliaia [0] 18 3 2 3" xfId="35660" xr:uid="{3B36A86B-EDB9-4D0F-8384-57EC3D47E5D6}"/>
    <cellStyle name="Migliaia [0] 18 3 2 4" xfId="40776" xr:uid="{1406EABF-BDB7-475E-923F-3E604BA2FA19}"/>
    <cellStyle name="Migliaia [0] 18 3 2 5" xfId="35951" xr:uid="{303D1360-7C1B-4D42-8761-9400061E9496}"/>
    <cellStyle name="Migliaia [0] 18 3 2 6" xfId="50767" xr:uid="{B8A58E68-5529-44B4-B99D-A70C69EFED02}"/>
    <cellStyle name="Migliaia [0] 18 3 2 7" xfId="53783" xr:uid="{702F0A7B-B9B6-4D97-BAAF-0783415A024C}"/>
    <cellStyle name="Migliaia [0] 18 3 2 8" xfId="17586" xr:uid="{51C0CE53-E3C2-4CB3-8475-B4335A5B2A97}"/>
    <cellStyle name="Migliaia [0] 18 3 2 9" xfId="11739" xr:uid="{92F366EC-A8EB-4C62-8BC7-D47168076BD5}"/>
    <cellStyle name="Migliaia [0] 18 3 3" xfId="5864" xr:uid="{98B6DE05-E60F-438C-8707-4097884BF390}"/>
    <cellStyle name="Migliaia [0] 18 3 3 2" xfId="11547" xr:uid="{7E7698E4-9E2F-4865-9D42-8C767C30243B}"/>
    <cellStyle name="Migliaia [0] 18 3 4" xfId="2866" xr:uid="{5322999B-0CDA-487C-B58D-AF0050E74636}"/>
    <cellStyle name="Migliaia [0] 18 3 4 2" xfId="21271" xr:uid="{0534C7AC-84B6-455D-BBF2-B88A1E266838}"/>
    <cellStyle name="Migliaia [0] 18 3 4 3" xfId="46169" xr:uid="{5BDC5978-F9FD-44AA-9FB6-6F9D4BD01052}"/>
    <cellStyle name="Migliaia [0] 18 3 4 4" xfId="50286" xr:uid="{292A5217-FBA5-4A4D-9E90-63A7F9D5DCFA}"/>
    <cellStyle name="Migliaia [0] 18 3 4 5" xfId="53302" xr:uid="{FDA475FC-5073-4A9A-A6FF-A6FB54A846C7}"/>
    <cellStyle name="Migliaia [0] 18 3 4 6" xfId="10636" xr:uid="{FA855DE5-AE12-419F-A084-72ED155293CE}"/>
    <cellStyle name="Migliaia [0] 18 3 5" xfId="19545" xr:uid="{E77DB494-DE03-4F6B-89B5-34E9840B0970}"/>
    <cellStyle name="Migliaia [0] 18 3 6" xfId="24020" xr:uid="{7AC2689E-7B61-4DE1-8A8E-F5E2437CD559}"/>
    <cellStyle name="Migliaia [0] 18 3 7" xfId="8193" xr:uid="{43E076BE-DEE3-4F1C-9CB0-B67B4A6ED5C7}"/>
    <cellStyle name="Migliaia [0] 18 4" xfId="2867" xr:uid="{C26C3942-7771-4D14-9CE8-AB97671F23E7}"/>
    <cellStyle name="Migliaia [0] 18 4 2" xfId="4593" xr:uid="{00AABA45-ABB0-4A6B-99D5-8CFACC41315E}"/>
    <cellStyle name="Migliaia [0] 18 4 2 2" xfId="35078" xr:uid="{A0516A2E-5C4B-41FC-AEB4-B96FB657C0EE}"/>
    <cellStyle name="Migliaia [0] 18 4 2 2 2" xfId="40236" xr:uid="{F7DDE961-DB22-496E-AB37-14888BE4F3FB}"/>
    <cellStyle name="Migliaia [0] 18 4 2 2 3" xfId="45538" xr:uid="{F92BCC99-C572-46C2-B332-54A4AA546251}"/>
    <cellStyle name="Migliaia [0] 18 4 2 3" xfId="37585" xr:uid="{ACE8A591-EAA1-482A-AA1C-93F58F7C7DF7}"/>
    <cellStyle name="Migliaia [0] 18 4 2 4" xfId="42887" xr:uid="{D0960B89-1213-4951-9B0A-15FA53B29590}"/>
    <cellStyle name="Migliaia [0] 18 4 2 5" xfId="17018" xr:uid="{4330AFC4-1295-4B6E-A008-C4A4D060C6FE}"/>
    <cellStyle name="Migliaia [0] 18 4 3" xfId="5865" xr:uid="{01AB2B8E-950A-40E9-95B8-8B9E7AD29E5E}"/>
    <cellStyle name="Migliaia [0] 18 4 3 2" xfId="38126" xr:uid="{786814BD-56D8-4F8E-AD6C-8404D5190F4F}"/>
    <cellStyle name="Migliaia [0] 18 4 3 3" xfId="43428" xr:uid="{63C28CB4-0CF0-42B4-92B4-6959DC3DDA95}"/>
    <cellStyle name="Migliaia [0] 18 4 3 4" xfId="32775" xr:uid="{4878F397-6250-40E2-BCDF-C3E57D719CF9}"/>
    <cellStyle name="Migliaia [0] 18 4 3 5" xfId="19546" xr:uid="{80F7C104-2400-477C-9215-1E6D460F3386}"/>
    <cellStyle name="Migliaia [0] 18 4 4" xfId="35661" xr:uid="{42258AF7-02B4-4AAE-84A7-278238A56CEB}"/>
    <cellStyle name="Migliaia [0] 18 4 5" xfId="40777" xr:uid="{3C2EC2DD-BC8F-46FB-A4F8-01BEF072E841}"/>
    <cellStyle name="Migliaia [0] 18 4 6" xfId="15960" xr:uid="{DC577D89-88D0-4208-9365-9BC713EE9195}"/>
    <cellStyle name="Migliaia [0] 18 4 7" xfId="7773" xr:uid="{81B67FA3-FF3D-46F1-BC16-51A5BC4E2712}"/>
    <cellStyle name="Migliaia [0] 18 5" xfId="4589" xr:uid="{8E4BAA47-B919-490B-A7D4-01359FF6CF58}"/>
    <cellStyle name="Migliaia [0] 18 5 2" xfId="32776" xr:uid="{796518F4-388B-4E22-876E-51DFF8137C43}"/>
    <cellStyle name="Migliaia [0] 18 5 2 2" xfId="38127" xr:uid="{43EF3F86-F52C-4AF6-B165-AAF6FF2D198B}"/>
    <cellStyle name="Migliaia [0] 18 5 2 3" xfId="43429" xr:uid="{F0F88EA1-5AC3-464B-A1FD-E43DFA2E274E}"/>
    <cellStyle name="Migliaia [0] 18 5 3" xfId="35662" xr:uid="{DF68FBC2-6A71-431C-8D03-FA924EA40636}"/>
    <cellStyle name="Migliaia [0] 18 5 4" xfId="40778" xr:uid="{6E6CE4B8-3E30-48AC-A670-054FC157A6C1}"/>
    <cellStyle name="Migliaia [0] 18 5 5" xfId="17087" xr:uid="{4C1260C2-6468-4D3B-8F67-F85526C6E0C0}"/>
    <cellStyle name="Migliaia [0] 18 6" xfId="5862" xr:uid="{D5C4B93D-77EC-4134-8FF8-34E07775EE3E}"/>
    <cellStyle name="Migliaia [0] 18 6 2" xfId="38123" xr:uid="{A997339E-1B7D-4D11-A76F-56574B6BE05F}"/>
    <cellStyle name="Migliaia [0] 18 6 3" xfId="43425" xr:uid="{8F6799FC-540E-4F4A-8582-06DDB214A421}"/>
    <cellStyle name="Migliaia [0] 18 6 4" xfId="32772" xr:uid="{70FFDF0A-113C-4230-B8FA-CEAC92208CF7}"/>
    <cellStyle name="Migliaia [0] 18 6 5" xfId="19542" xr:uid="{AB451DE7-B7B6-4918-BA5F-02722951C9DD}"/>
    <cellStyle name="Migliaia [0] 18 7" xfId="2863" xr:uid="{DD37CF0F-097D-4274-8F7B-6C89475AA05A}"/>
    <cellStyle name="Migliaia [0] 18 7 2" xfId="35658" xr:uid="{A416635D-3188-47CE-9044-EBECF9CAB1CD}"/>
    <cellStyle name="Migliaia [0] 18 8" xfId="40774" xr:uid="{CE741FE1-E509-4B7F-9713-76FBE78E68D7}"/>
    <cellStyle name="Migliaia [0] 18 9" xfId="6994" xr:uid="{221A4964-515C-4A99-B97F-9627CB0F527F}"/>
    <cellStyle name="Migliaia [0] 19" xfId="252" xr:uid="{00000000-0005-0000-0000-0000FD010000}"/>
    <cellStyle name="Migliaia [0] 19 2" xfId="1511" xr:uid="{00000000-0005-0000-0000-0000FE010000}"/>
    <cellStyle name="Migliaia [0] 19 2 2" xfId="1512" xr:uid="{00000000-0005-0000-0000-0000FF010000}"/>
    <cellStyle name="Migliaia [0] 19 2 2 2" xfId="4596" xr:uid="{5356398C-A651-4D19-8C07-B176DA22E8F7}"/>
    <cellStyle name="Migliaia [0] 19 2 2 2 2" xfId="21740" xr:uid="{B87DB490-BF75-4A45-8E96-4C153D09F158}"/>
    <cellStyle name="Migliaia [0] 19 2 2 2 3" xfId="46287" xr:uid="{88C46F25-DFE6-4BA0-A4A7-B452172AC30F}"/>
    <cellStyle name="Migliaia [0] 19 2 2 2 4" xfId="50768" xr:uid="{493A293A-22CC-43DA-87DD-E708DAB845E4}"/>
    <cellStyle name="Migliaia [0] 19 2 2 2 5" xfId="53784" xr:uid="{857CE5A9-0BD7-4BA2-A0B0-EE91895BF58A}"/>
    <cellStyle name="Migliaia [0] 19 2 2 2 6" xfId="11740" xr:uid="{2784E933-E061-4859-AB4A-2FFFC794A5E6}"/>
    <cellStyle name="Migliaia [0] 19 2 2 3" xfId="2870" xr:uid="{E3E17C4D-34A8-4528-A88B-5C1E5307A0BF}"/>
    <cellStyle name="Migliaia [0] 19 2 2 3 2" xfId="12354" xr:uid="{832FF789-DBA6-41AF-9008-AA67601ADB92}"/>
    <cellStyle name="Migliaia [0] 19 2 2 4" xfId="10637" xr:uid="{986E48EC-A214-4D33-BE8D-E7A532FAC6A9}"/>
    <cellStyle name="Migliaia [0] 19 2 2 4 2" xfId="21272" xr:uid="{CF76B18D-FDCA-4EBC-92B8-CFCA29BA1840}"/>
    <cellStyle name="Migliaia [0] 19 2 2 4 3" xfId="46170" xr:uid="{6D3D43F5-AB76-412C-8046-9B849D542771}"/>
    <cellStyle name="Migliaia [0] 19 2 2 4 4" xfId="50287" xr:uid="{911A0D6F-40C3-4B65-9EAA-00BFAFEEE4B5}"/>
    <cellStyle name="Migliaia [0] 19 2 2 4 5" xfId="53303" xr:uid="{C15805F9-D0FE-4298-A290-974BA23F55F3}"/>
    <cellStyle name="Migliaia [0] 19 2 2 5" xfId="19549" xr:uid="{8A2E4530-6ABF-47CC-B7E1-05F5FE458868}"/>
    <cellStyle name="Migliaia [0] 19 2 2 6" xfId="24022" xr:uid="{DD4C3784-90B8-4544-AD21-20722A78ED99}"/>
    <cellStyle name="Migliaia [0] 19 2 2 7" xfId="48830" xr:uid="{F68AAA17-7EB8-40FD-8314-2533CA5B3B65}"/>
    <cellStyle name="Migliaia [0] 19 2 2 8" xfId="49736" xr:uid="{3DB6E478-380F-4FAD-AC91-6259AC62642F}"/>
    <cellStyle name="Migliaia [0] 19 2 2 9" xfId="8436" xr:uid="{7D63F8D6-A9B6-4381-AC3D-44BA763529D2}"/>
    <cellStyle name="Migliaia [0] 19 2 3" xfId="4595" xr:uid="{40B5E304-7698-4E99-9C70-58EAD436BBA9}"/>
    <cellStyle name="Migliaia [0] 19 2 3 2" xfId="32778" xr:uid="{2B195BD6-C85B-46A2-A496-AF99F247F0C7}"/>
    <cellStyle name="Migliaia [0] 19 2 3 2 2" xfId="38129" xr:uid="{F4EE5B1F-06D0-4D08-8317-FEA1088F8FFC}"/>
    <cellStyle name="Migliaia [0] 19 2 3 2 3" xfId="43431" xr:uid="{744407BC-04B5-4A1E-BE61-163BFBE5D2A6}"/>
    <cellStyle name="Migliaia [0] 19 2 3 3" xfId="35664" xr:uid="{736F7141-6F76-451C-9613-9C5A117553AD}"/>
    <cellStyle name="Migliaia [0] 19 2 3 4" xfId="40780" xr:uid="{3592855D-4FEA-4DAB-B2AE-FEF5E4E99D3D}"/>
    <cellStyle name="Migliaia [0] 19 2 3 5" xfId="11741" xr:uid="{27B26C2D-1A97-4040-8F9F-D036E27F30AF}"/>
    <cellStyle name="Migliaia [0] 19 2 4" xfId="5867" xr:uid="{F12D0934-D320-4614-B905-91DCC1899198}"/>
    <cellStyle name="Migliaia [0] 19 2 4 2" xfId="19548" xr:uid="{A3CE42F1-E6B9-4066-B68A-6B2CAC22C6B3}"/>
    <cellStyle name="Migliaia [0] 19 2 5" xfId="2869" xr:uid="{65F382B3-2DDE-4CAF-BDA8-B0148BB8953F}"/>
    <cellStyle name="Migliaia [0] 19 2 5 2" xfId="24021" xr:uid="{DB7C797D-C349-43C3-B39A-B4BCB3A4E1C5}"/>
    <cellStyle name="Migliaia [0] 19 2 6" xfId="7246" xr:uid="{3776386B-67C7-4D1D-BD5C-1210EDEE3B77}"/>
    <cellStyle name="Migliaia [0] 19 3" xfId="1513" xr:uid="{00000000-0005-0000-0000-000000020000}"/>
    <cellStyle name="Migliaia [0] 19 3 2" xfId="4597" xr:uid="{B6FEC387-C1AE-4CAF-885B-B1692C07FAEF}"/>
    <cellStyle name="Migliaia [0] 19 3 2 2" xfId="18311" xr:uid="{1122C167-B520-4D40-98D6-FEF735900C21}"/>
    <cellStyle name="Migliaia [0] 19 3 2 2 2" xfId="21741" xr:uid="{4FDF75D0-9D24-4B54-A63E-3C730A4BB79F}"/>
    <cellStyle name="Migliaia [0] 19 3 2 2 2 2" xfId="38130" xr:uid="{5256DB92-AC31-42D8-8823-56B622E5E249}"/>
    <cellStyle name="Migliaia [0] 19 3 2 2 3" xfId="43432" xr:uid="{CF246FDD-7C00-416C-AAC9-F8901ED58F57}"/>
    <cellStyle name="Migliaia [0] 19 3 2 2 4" xfId="32779" xr:uid="{715000F1-C5DA-494F-81C6-A9AAF205F086}"/>
    <cellStyle name="Migliaia [0] 19 3 2 3" xfId="35665" xr:uid="{5FE76993-FA93-40D2-918B-2D92ADB7237D}"/>
    <cellStyle name="Migliaia [0] 19 3 2 4" xfId="40781" xr:uid="{50F7E3BB-D1F2-4561-BEA3-0ADD065360DF}"/>
    <cellStyle name="Migliaia [0] 19 3 2 5" xfId="24494" xr:uid="{F414E7E3-DA4E-428B-AFC2-4821FA38CCA1}"/>
    <cellStyle name="Migliaia [0] 19 3 2 6" xfId="50769" xr:uid="{3FD13C3D-9C38-4015-ABF4-828799CF1BD9}"/>
    <cellStyle name="Migliaia [0] 19 3 2 7" xfId="53785" xr:uid="{A535B1A7-F9FA-41CB-87ED-A17C77EA16E6}"/>
    <cellStyle name="Migliaia [0] 19 3 2 8" xfId="17587" xr:uid="{7F21FC6B-0038-4F6C-B020-92F788807061}"/>
    <cellStyle name="Migliaia [0] 19 3 2 9" xfId="11742" xr:uid="{EF94833F-9ED6-4B03-A077-0CBF14BA05B6}"/>
    <cellStyle name="Migliaia [0] 19 3 3" xfId="5868" xr:uid="{A4081059-7674-4794-93F1-40CD361D0383}"/>
    <cellStyle name="Migliaia [0] 19 3 3 2" xfId="11133" xr:uid="{BA5E1400-717B-4324-B804-843468ABB3D5}"/>
    <cellStyle name="Migliaia [0] 19 3 4" xfId="2871" xr:uid="{12AB1581-2A95-4546-B214-7E38BB96C26E}"/>
    <cellStyle name="Migliaia [0] 19 3 4 2" xfId="21273" xr:uid="{AEE94781-694B-4125-8613-3BFFD1B9063B}"/>
    <cellStyle name="Migliaia [0] 19 3 4 3" xfId="46171" xr:uid="{66258777-8C7E-4B63-A741-E6650114E70B}"/>
    <cellStyle name="Migliaia [0] 19 3 4 4" xfId="50288" xr:uid="{34095717-F7FC-4A62-A8DF-00A17D62AA5B}"/>
    <cellStyle name="Migliaia [0] 19 3 4 5" xfId="53304" xr:uid="{064D9458-480D-411A-BD99-81B29B581EBC}"/>
    <cellStyle name="Migliaia [0] 19 3 4 6" xfId="10638" xr:uid="{B93EB72C-687F-4D32-9021-C62FA2C72383}"/>
    <cellStyle name="Migliaia [0] 19 3 5" xfId="19550" xr:uid="{3601ACFB-1E45-4968-BF2D-2C427615675C}"/>
    <cellStyle name="Migliaia [0] 19 3 6" xfId="24023" xr:uid="{8820AE9F-F001-4278-8DE8-96A32714746F}"/>
    <cellStyle name="Migliaia [0] 19 3 7" xfId="8194" xr:uid="{0C1A6ED1-7161-453B-8DCB-95361E0C6F14}"/>
    <cellStyle name="Migliaia [0] 19 4" xfId="2872" xr:uid="{AFCEB89A-DD55-4599-80ED-151B98AA9A5A}"/>
    <cellStyle name="Migliaia [0] 19 4 2" xfId="4598" xr:uid="{923C6A1A-9C63-4187-8639-E23A93D47026}"/>
    <cellStyle name="Migliaia [0] 19 4 2 2" xfId="35079" xr:uid="{B8BD1607-48AB-4F59-871D-FFE642B4633C}"/>
    <cellStyle name="Migliaia [0] 19 4 2 2 2" xfId="40237" xr:uid="{18D80F1B-8724-4AD5-9B36-F19B8B27B995}"/>
    <cellStyle name="Migliaia [0] 19 4 2 2 3" xfId="45539" xr:uid="{887D5026-1AEA-4A70-9724-177AA36F2537}"/>
    <cellStyle name="Migliaia [0] 19 4 2 3" xfId="37586" xr:uid="{FA3253EA-7412-405C-88CA-643CCC066733}"/>
    <cellStyle name="Migliaia [0] 19 4 2 4" xfId="42888" xr:uid="{60E44604-E360-4A31-BF4B-3BD06DF13AAE}"/>
    <cellStyle name="Migliaia [0] 19 4 2 5" xfId="17019" xr:uid="{7556E6F6-BD0A-44A2-B67F-AC10D72DB6DB}"/>
    <cellStyle name="Migliaia [0] 19 4 3" xfId="5869" xr:uid="{604F9DF5-5E35-49DC-93AA-F4C152CC4DFA}"/>
    <cellStyle name="Migliaia [0] 19 4 3 2" xfId="38131" xr:uid="{178453C1-C1F1-41F9-BC66-AB5A6C067640}"/>
    <cellStyle name="Migliaia [0] 19 4 3 3" xfId="43433" xr:uid="{8C6B8AB8-F86F-485C-B2BE-3B9F1D3FCDDE}"/>
    <cellStyle name="Migliaia [0] 19 4 3 4" xfId="32780" xr:uid="{FE1903E4-3C7A-4CDB-9314-D7340D9DF46D}"/>
    <cellStyle name="Migliaia [0] 19 4 3 5" xfId="19551" xr:uid="{6B7D5F95-8B2D-447E-9A72-C828F313D3CA}"/>
    <cellStyle name="Migliaia [0] 19 4 4" xfId="35666" xr:uid="{3D5FACD7-CBD7-4EBE-A501-DCDDBB0F12A5}"/>
    <cellStyle name="Migliaia [0] 19 4 5" xfId="40782" xr:uid="{0A67B684-081F-4AF5-83B5-65956E3F1259}"/>
    <cellStyle name="Migliaia [0] 19 4 6" xfId="15961" xr:uid="{2C34DABC-B2DC-41F5-BD00-7A1690D683F5}"/>
    <cellStyle name="Migliaia [0] 19 4 7" xfId="7774" xr:uid="{162B6D5C-465A-49DF-8968-5B7FEED9F8D5}"/>
    <cellStyle name="Migliaia [0] 19 5" xfId="4594" xr:uid="{5E1F27F8-0D36-4D21-830A-59B617EA311F}"/>
    <cellStyle name="Migliaia [0] 19 5 2" xfId="32781" xr:uid="{E34EA662-964F-47F4-B0C6-C526E866567E}"/>
    <cellStyle name="Migliaia [0] 19 5 2 2" xfId="38132" xr:uid="{645586D2-FE40-436A-BA6D-F991A13B9E05}"/>
    <cellStyle name="Migliaia [0] 19 5 2 3" xfId="43434" xr:uid="{F4972093-9C46-4566-9022-4D642F5DB4DE}"/>
    <cellStyle name="Migliaia [0] 19 5 3" xfId="35667" xr:uid="{B8236145-A8E6-4B4E-8FDC-20195B92D32D}"/>
    <cellStyle name="Migliaia [0] 19 5 4" xfId="40783" xr:uid="{C0A8480C-B2BF-4B03-A6B9-3B02902513E7}"/>
    <cellStyle name="Migliaia [0] 19 5 5" xfId="17088" xr:uid="{83FEFF4D-34FD-4E81-B32F-5C56FD89E3F7}"/>
    <cellStyle name="Migliaia [0] 19 6" xfId="5866" xr:uid="{435F2CA6-0C35-4118-86A8-230721F2278A}"/>
    <cellStyle name="Migliaia [0] 19 6 2" xfId="38128" xr:uid="{92029ADD-4700-47D4-BE1D-84D547AB29CD}"/>
    <cellStyle name="Migliaia [0] 19 6 3" xfId="43430" xr:uid="{B1CB19C7-0602-4731-8056-12E51A126A03}"/>
    <cellStyle name="Migliaia [0] 19 6 4" xfId="32777" xr:uid="{6E47C35B-7602-49D3-8FCD-DA12773BB306}"/>
    <cellStyle name="Migliaia [0] 19 6 5" xfId="19547" xr:uid="{5BE878CE-D9D0-429C-8260-537AB71E0563}"/>
    <cellStyle name="Migliaia [0] 19 7" xfId="2868" xr:uid="{EEB27739-E584-4494-A640-FE53D3149E08}"/>
    <cellStyle name="Migliaia [0] 19 7 2" xfId="35663" xr:uid="{3C8EFFC9-C353-47A1-812C-B2EF3C8BF1F6}"/>
    <cellStyle name="Migliaia [0] 19 8" xfId="40779" xr:uid="{9C87CA7F-0DBF-436F-9F5D-71ACE2DA24E1}"/>
    <cellStyle name="Migliaia [0] 19 9" xfId="6995" xr:uid="{3782C50D-F6D6-4957-88F9-41F1DFB7AA74}"/>
    <cellStyle name="Migliaia [0] 2" xfId="253" xr:uid="{00000000-0005-0000-0000-000001020000}"/>
    <cellStyle name="Migliaia [0] 2 2" xfId="1514" xr:uid="{00000000-0005-0000-0000-000002020000}"/>
    <cellStyle name="Migliaia [0] 2 2 2" xfId="1515" xr:uid="{00000000-0005-0000-0000-000003020000}"/>
    <cellStyle name="Migliaia [0] 2 2 2 2" xfId="4601" xr:uid="{F9DF5DF2-E6E9-4871-AF91-8AC0E3A655B6}"/>
    <cellStyle name="Migliaia [0] 2 2 2 2 2" xfId="21742" xr:uid="{2CCF6917-01EE-4351-836B-A4F6990FA5AD}"/>
    <cellStyle name="Migliaia [0] 2 2 2 2 3" xfId="46736" xr:uid="{580176CE-23AD-4745-AA3F-BD0049F4F158}"/>
    <cellStyle name="Migliaia [0] 2 2 2 2 4" xfId="50770" xr:uid="{E25C32A1-9A17-4BEA-8D3B-3A68027DAD26}"/>
    <cellStyle name="Migliaia [0] 2 2 2 2 5" xfId="53786" xr:uid="{27787995-BE90-42A5-AD4A-74874C439D0C}"/>
    <cellStyle name="Migliaia [0] 2 2 2 2 6" xfId="11743" xr:uid="{8A770743-14D0-4AA6-BB4F-6CADFD48BD2D}"/>
    <cellStyle name="Migliaia [0] 2 2 2 3" xfId="2875" xr:uid="{765F5C51-ECC4-4806-BE3F-C42227B1D082}"/>
    <cellStyle name="Migliaia [0] 2 2 2 3 2" xfId="12353" xr:uid="{73D5CAC1-D228-4BB2-942F-8C9B026933ED}"/>
    <cellStyle name="Migliaia [0] 2 2 2 4" xfId="10639" xr:uid="{F4F59DAC-9850-4E0A-9D9B-D2C9631E74D2}"/>
    <cellStyle name="Migliaia [0] 2 2 2 4 2" xfId="21274" xr:uid="{E7F40280-82F3-4CD7-AC98-D8583350873A}"/>
    <cellStyle name="Migliaia [0] 2 2 2 4 3" xfId="46172" xr:uid="{729BA8BE-83B9-4CC7-8219-39B7630485D8}"/>
    <cellStyle name="Migliaia [0] 2 2 2 4 4" xfId="50289" xr:uid="{C8E8D0EA-69B2-4F61-AA04-F8A9B8B3E536}"/>
    <cellStyle name="Migliaia [0] 2 2 2 4 5" xfId="53305" xr:uid="{5C3EE4AF-ABFE-4AE6-8F7C-DECE630309E0}"/>
    <cellStyle name="Migliaia [0] 2 2 2 5" xfId="19554" xr:uid="{6642810C-1E72-4C58-A023-4BFFA7935346}"/>
    <cellStyle name="Migliaia [0] 2 2 2 6" xfId="24025" xr:uid="{28D62344-3B64-40C0-9031-6176702E272D}"/>
    <cellStyle name="Migliaia [0] 2 2 2 7" xfId="48831" xr:uid="{28DA3A7B-605D-4A47-AEF8-9279A4D0281C}"/>
    <cellStyle name="Migliaia [0] 2 2 2 8" xfId="49737" xr:uid="{096E61E5-6BEC-43E3-A354-FFA116D3F207}"/>
    <cellStyle name="Migliaia [0] 2 2 2 9" xfId="8437" xr:uid="{E4AE0F94-989B-4E4D-8336-62E6BEFA1E89}"/>
    <cellStyle name="Migliaia [0] 2 2 3" xfId="4600" xr:uid="{47F78B4F-B1F9-42B5-BEAA-F5102EB58557}"/>
    <cellStyle name="Migliaia [0] 2 2 3 2" xfId="32783" xr:uid="{67F0AEBF-D27C-4FC5-BB0F-5886774145E9}"/>
    <cellStyle name="Migliaia [0] 2 2 3 2 2" xfId="38134" xr:uid="{B8339F86-9339-4C19-B94C-CD5C35F5DB7C}"/>
    <cellStyle name="Migliaia [0] 2 2 3 2 3" xfId="43436" xr:uid="{C67BA298-66A3-4469-ADD7-889987653F06}"/>
    <cellStyle name="Migliaia [0] 2 2 3 3" xfId="35669" xr:uid="{EFCCF537-8C2E-4346-82DB-B7C0D984DA57}"/>
    <cellStyle name="Migliaia [0] 2 2 3 4" xfId="40785" xr:uid="{C44176F3-F6DC-4DCF-89DE-D7584AC1EE90}"/>
    <cellStyle name="Migliaia [0] 2 2 3 5" xfId="11744" xr:uid="{5790C498-229B-4B8F-BCAF-A5BCB49C0A80}"/>
    <cellStyle name="Migliaia [0] 2 2 4" xfId="5871" xr:uid="{9A672F3E-0C3F-49EC-B9A4-6FF5E7D47D44}"/>
    <cellStyle name="Migliaia [0] 2 2 4 2" xfId="19553" xr:uid="{18149816-0264-4195-94AF-B1DD1D452582}"/>
    <cellStyle name="Migliaia [0] 2 2 5" xfId="2874" xr:uid="{F42E8338-90B5-420E-8F31-26443C4878CF}"/>
    <cellStyle name="Migliaia [0] 2 2 5 2" xfId="24024" xr:uid="{C61A5884-B7CC-481E-BF54-E28A61E0D4FC}"/>
    <cellStyle name="Migliaia [0] 2 2 6" xfId="7247" xr:uid="{E2EAEA68-A618-4B11-BAF3-DD1E36083BE3}"/>
    <cellStyle name="Migliaia [0] 2 3" xfId="1516" xr:uid="{00000000-0005-0000-0000-000004020000}"/>
    <cellStyle name="Migliaia [0] 2 3 2" xfId="4602" xr:uid="{9E82E883-FF98-46BA-957F-1A673D16F561}"/>
    <cellStyle name="Migliaia [0] 2 3 2 2" xfId="18312" xr:uid="{1E61C106-A22B-4388-A940-2CB77FE4B3F0}"/>
    <cellStyle name="Migliaia [0] 2 3 2 2 2" xfId="21743" xr:uid="{66051DB0-03F7-4D7D-83DF-91AA3B1129C0}"/>
    <cellStyle name="Migliaia [0] 2 3 2 2 2 2" xfId="38135" xr:uid="{417885A9-1669-4E8A-9BBF-DB93045C82C9}"/>
    <cellStyle name="Migliaia [0] 2 3 2 2 3" xfId="43437" xr:uid="{95077384-6F9C-40E0-BC68-8FC5A1DEA9A7}"/>
    <cellStyle name="Migliaia [0] 2 3 2 2 4" xfId="32784" xr:uid="{A88B5509-3453-4B63-A750-8E0E4E918BE5}"/>
    <cellStyle name="Migliaia [0] 2 3 2 3" xfId="35670" xr:uid="{C153FA8B-0357-4026-B314-797A09B4EED5}"/>
    <cellStyle name="Migliaia [0] 2 3 2 4" xfId="40786" xr:uid="{3B7431CB-8674-4DED-A068-59C49B0E1ACC}"/>
    <cellStyle name="Migliaia [0] 2 3 2 5" xfId="47314" xr:uid="{BC7A6E6A-1C57-496A-B53A-FD9127925CAE}"/>
    <cellStyle name="Migliaia [0] 2 3 2 6" xfId="50771" xr:uid="{DA2DE5C0-D673-487C-85C0-D433319DDAF2}"/>
    <cellStyle name="Migliaia [0] 2 3 2 7" xfId="53787" xr:uid="{C4F162E2-C943-4CB2-A62C-D87937C0DB9D}"/>
    <cellStyle name="Migliaia [0] 2 3 2 8" xfId="17588" xr:uid="{5493A9F9-CBAA-44A1-8A4D-07175762BF19}"/>
    <cellStyle name="Migliaia [0] 2 3 2 9" xfId="11745" xr:uid="{11484F59-F6DB-427A-90D5-548E4F30AD4F}"/>
    <cellStyle name="Migliaia [0] 2 3 3" xfId="5872" xr:uid="{1F2E59E2-85A7-428F-9F2E-FA425B16EF1F}"/>
    <cellStyle name="Migliaia [0] 2 3 3 2" xfId="12384" xr:uid="{BD595953-24E4-4D42-B86B-7833723804FB}"/>
    <cellStyle name="Migliaia [0] 2 3 4" xfId="2876" xr:uid="{94790294-20A6-44B3-80CD-84B38E881449}"/>
    <cellStyle name="Migliaia [0] 2 3 4 2" xfId="21275" xr:uid="{BA75B008-CD9D-400F-A42B-58CDF2D22A5B}"/>
    <cellStyle name="Migliaia [0] 2 3 4 3" xfId="48168" xr:uid="{D1CF855A-0030-4CE7-B291-4C924F4FA937}"/>
    <cellStyle name="Migliaia [0] 2 3 4 4" xfId="50290" xr:uid="{EEC64141-A23B-40F0-B328-184D2CA89CE5}"/>
    <cellStyle name="Migliaia [0] 2 3 4 5" xfId="53306" xr:uid="{BF16960F-D5F2-4851-961B-FA72E69AE2FA}"/>
    <cellStyle name="Migliaia [0] 2 3 4 6" xfId="10640" xr:uid="{C0A0FA2F-D410-4B58-9C61-692BDD53AB59}"/>
    <cellStyle name="Migliaia [0] 2 3 5" xfId="19555" xr:uid="{5B4F3856-5987-4A26-889F-BF2E564B6EAD}"/>
    <cellStyle name="Migliaia [0] 2 3 6" xfId="24026" xr:uid="{D173E924-6588-46D4-87F7-2DC4A091962D}"/>
    <cellStyle name="Migliaia [0] 2 3 7" xfId="8195" xr:uid="{3C2FE1C1-7476-45A3-9890-EE08FFB23118}"/>
    <cellStyle name="Migliaia [0] 2 4" xfId="2877" xr:uid="{51B5AC5F-46C9-43C4-9596-74D34DC4C39E}"/>
    <cellStyle name="Migliaia [0] 2 4 2" xfId="4603" xr:uid="{493ACE53-F27E-487D-A611-5A1B905F1C2B}"/>
    <cellStyle name="Migliaia [0] 2 4 2 2" xfId="35080" xr:uid="{2A06D95E-15D6-46E7-95B8-35BDA4CB24B9}"/>
    <cellStyle name="Migliaia [0] 2 4 2 2 2" xfId="40238" xr:uid="{7DF047F8-664A-4ED9-8191-BD318EC231DA}"/>
    <cellStyle name="Migliaia [0] 2 4 2 2 3" xfId="45540" xr:uid="{B04E4E19-73D0-47F6-BD77-E891723B87F1}"/>
    <cellStyle name="Migliaia [0] 2 4 2 3" xfId="37587" xr:uid="{27196F91-8091-4CB2-AF66-4F4860AEDDF5}"/>
    <cellStyle name="Migliaia [0] 2 4 2 4" xfId="42889" xr:uid="{822BEB04-0134-4856-A307-E2BEC1BF4ED5}"/>
    <cellStyle name="Migliaia [0] 2 4 2 5" xfId="17020" xr:uid="{B85DCA82-E1A9-443B-B14A-3AF458272A50}"/>
    <cellStyle name="Migliaia [0] 2 4 3" xfId="5873" xr:uid="{F0775D07-6571-4F67-A263-DE5495F4DFEB}"/>
    <cellStyle name="Migliaia [0] 2 4 3 2" xfId="38136" xr:uid="{4FBD933E-2844-4CD8-AC69-636A7B5BBB16}"/>
    <cellStyle name="Migliaia [0] 2 4 3 3" xfId="43438" xr:uid="{9CE06AEB-1DEA-45A2-A895-143C32D0F557}"/>
    <cellStyle name="Migliaia [0] 2 4 3 4" xfId="32785" xr:uid="{57EAB48A-1730-4392-83EE-2D1827E9F142}"/>
    <cellStyle name="Migliaia [0] 2 4 3 5" xfId="19556" xr:uid="{1516A09A-C050-4716-8CD1-0CB7122AEA2D}"/>
    <cellStyle name="Migliaia [0] 2 4 4" xfId="35671" xr:uid="{1007A017-CC2F-4FF5-A79D-93CBF877E9D2}"/>
    <cellStyle name="Migliaia [0] 2 4 5" xfId="40787" xr:uid="{D96A4046-7AE1-44C8-AB6C-4CE3E84084CD}"/>
    <cellStyle name="Migliaia [0] 2 4 6" xfId="15962" xr:uid="{29141237-5402-4CE7-9AF3-D7613E9C47B1}"/>
    <cellStyle name="Migliaia [0] 2 4 7" xfId="7775" xr:uid="{335F9C20-A5C7-4465-9CFC-B4E4FEBF2E5E}"/>
    <cellStyle name="Migliaia [0] 2 5" xfId="4599" xr:uid="{869155F0-6455-49D2-BE20-04EACF6AE4A0}"/>
    <cellStyle name="Migliaia [0] 2 5 2" xfId="32786" xr:uid="{642FA565-7B93-4F43-96D1-E8F1709900E6}"/>
    <cellStyle name="Migliaia [0] 2 5 2 2" xfId="38137" xr:uid="{CE31C697-9765-4BD9-B8EF-E16BC1CD0C92}"/>
    <cellStyle name="Migliaia [0] 2 5 2 3" xfId="43439" xr:uid="{84EE645F-7A4A-4E8E-9D34-254A002B7037}"/>
    <cellStyle name="Migliaia [0] 2 5 3" xfId="35672" xr:uid="{0E040590-9F64-4DCA-BB4B-7DE85FC21905}"/>
    <cellStyle name="Migliaia [0] 2 5 4" xfId="40788" xr:uid="{73A92FC6-22C5-4BFE-A16D-0C6261A24458}"/>
    <cellStyle name="Migliaia [0] 2 5 5" xfId="17089" xr:uid="{B7285538-1765-432F-971C-DBD4554757CF}"/>
    <cellStyle name="Migliaia [0] 2 6" xfId="5870" xr:uid="{0A6F5C26-E0D3-491A-B70D-1AAEEA6CE942}"/>
    <cellStyle name="Migliaia [0] 2 6 2" xfId="38133" xr:uid="{BA0C9A04-0082-4C61-A643-521846AEA56B}"/>
    <cellStyle name="Migliaia [0] 2 6 3" xfId="43435" xr:uid="{2B7EDB90-65C6-4E3E-BA86-5FD5ED952E1F}"/>
    <cellStyle name="Migliaia [0] 2 6 4" xfId="32782" xr:uid="{96A16E5C-777B-485A-880C-68299A4C59E7}"/>
    <cellStyle name="Migliaia [0] 2 6 5" xfId="19552" xr:uid="{E4D265D4-28CD-4A20-A2E4-378E486DD1B9}"/>
    <cellStyle name="Migliaia [0] 2 7" xfId="2873" xr:uid="{AEAEA709-F113-4B9A-AD16-BCFA3D549B09}"/>
    <cellStyle name="Migliaia [0] 2 7 2" xfId="35668" xr:uid="{C089AD1E-D38B-4CCF-928F-2AA50F2F5CFE}"/>
    <cellStyle name="Migliaia [0] 2 8" xfId="40784" xr:uid="{308720E0-4427-454A-BAEF-8950A2F8F949}"/>
    <cellStyle name="Migliaia [0] 2 9" xfId="6996" xr:uid="{8F7AD582-C2EF-4DF0-AD37-B76B84C8F293}"/>
    <cellStyle name="Migliaia [0] 20" xfId="254" xr:uid="{00000000-0005-0000-0000-000005020000}"/>
    <cellStyle name="Migliaia [0] 20 2" xfId="1517" xr:uid="{00000000-0005-0000-0000-000006020000}"/>
    <cellStyle name="Migliaia [0] 20 2 2" xfId="1518" xr:uid="{00000000-0005-0000-0000-000007020000}"/>
    <cellStyle name="Migliaia [0] 20 2 2 2" xfId="4606" xr:uid="{52A86C9F-F69F-4E2E-8052-D3615F821DCE}"/>
    <cellStyle name="Migliaia [0] 20 2 2 2 2" xfId="21744" xr:uid="{00BF5CFC-9F29-416F-B150-9913B11B2D54}"/>
    <cellStyle name="Migliaia [0] 20 2 2 2 3" xfId="46288" xr:uid="{E111B9AD-18E7-451D-AC55-F7D0C1EA52E7}"/>
    <cellStyle name="Migliaia [0] 20 2 2 2 4" xfId="50772" xr:uid="{8C5B55ED-639E-441E-BE1D-C8B9A89919B1}"/>
    <cellStyle name="Migliaia [0] 20 2 2 2 5" xfId="53788" xr:uid="{F55F7AD3-022A-4905-8B9F-5979913E9507}"/>
    <cellStyle name="Migliaia [0] 20 2 2 2 6" xfId="11746" xr:uid="{00D50E8B-B204-4B45-8239-8DBEAF90623E}"/>
    <cellStyle name="Migliaia [0] 20 2 2 3" xfId="2880" xr:uid="{0EBE50B9-81AB-4B9C-AC37-4B0221795BE5}"/>
    <cellStyle name="Migliaia [0] 20 2 2 3 2" xfId="12352" xr:uid="{85ECD3C9-6D11-4C9B-897D-022C6D7769F2}"/>
    <cellStyle name="Migliaia [0] 20 2 2 4" xfId="10641" xr:uid="{F61B56AE-9731-463C-892E-11F76F67C90C}"/>
    <cellStyle name="Migliaia [0] 20 2 2 4 2" xfId="21276" xr:uid="{5FB2147B-6E91-483A-B358-100A74C0E0A7}"/>
    <cellStyle name="Migliaia [0] 20 2 2 4 3" xfId="48167" xr:uid="{AFCA838C-6CFD-4248-80CC-CABFFC6D0614}"/>
    <cellStyle name="Migliaia [0] 20 2 2 4 4" xfId="50291" xr:uid="{F0D65F01-8F3E-4113-BE0D-0511C2028DCE}"/>
    <cellStyle name="Migliaia [0] 20 2 2 4 5" xfId="53307" xr:uid="{FB1AC092-CE25-4289-8380-141F077CDAAD}"/>
    <cellStyle name="Migliaia [0] 20 2 2 5" xfId="19559" xr:uid="{75C3B893-1F94-452F-8CB5-7B0E4133ED24}"/>
    <cellStyle name="Migliaia [0] 20 2 2 6" xfId="24028" xr:uid="{4EFEC2BC-94A3-484A-947E-5DB4CCD4EDF7}"/>
    <cellStyle name="Migliaia [0] 20 2 2 7" xfId="48832" xr:uid="{211008E7-FE6F-4F28-BBAE-58800E7CCAAE}"/>
    <cellStyle name="Migliaia [0] 20 2 2 8" xfId="49738" xr:uid="{4A5A14D6-D62D-49C8-A53D-A466198FF053}"/>
    <cellStyle name="Migliaia [0] 20 2 2 9" xfId="8438" xr:uid="{5050254D-B329-4995-83CE-9ED3197CC6FE}"/>
    <cellStyle name="Migliaia [0] 20 2 3" xfId="4605" xr:uid="{EC9EBDDA-F0F5-4D46-9836-3C974E17BC16}"/>
    <cellStyle name="Migliaia [0] 20 2 3 2" xfId="32788" xr:uid="{5690DE97-0BCB-4287-AB93-A25C9AC07121}"/>
    <cellStyle name="Migliaia [0] 20 2 3 2 2" xfId="38139" xr:uid="{697F5D36-C2C6-4463-B36D-E7A839E8673D}"/>
    <cellStyle name="Migliaia [0] 20 2 3 2 3" xfId="43441" xr:uid="{F2F5F650-2DA0-492F-BA62-F1D655CE9277}"/>
    <cellStyle name="Migliaia [0] 20 2 3 3" xfId="35674" xr:uid="{38EC5C73-5C1C-4F44-8A3B-7695B8344079}"/>
    <cellStyle name="Migliaia [0] 20 2 3 4" xfId="40790" xr:uid="{81054739-74BA-4B9B-8F53-B34B2479DB8E}"/>
    <cellStyle name="Migliaia [0] 20 2 3 5" xfId="11747" xr:uid="{2482E50B-AD7D-499C-B0BE-D9D02D801D62}"/>
    <cellStyle name="Migliaia [0] 20 2 4" xfId="5875" xr:uid="{6E765C4A-F353-4E58-9DFA-485D4C803AFA}"/>
    <cellStyle name="Migliaia [0] 20 2 4 2" xfId="19558" xr:uid="{5E6D47D7-FB10-45E7-8056-C69113A70182}"/>
    <cellStyle name="Migliaia [0] 20 2 5" xfId="2879" xr:uid="{C126D240-A4F0-4AF9-BDB0-C53E71A62866}"/>
    <cellStyle name="Migliaia [0] 20 2 5 2" xfId="24027" xr:uid="{597F3B21-AF0C-4EA0-A46A-B402238649F4}"/>
    <cellStyle name="Migliaia [0] 20 2 6" xfId="7248" xr:uid="{FEF5F78A-E403-4463-BD53-72C71F431B72}"/>
    <cellStyle name="Migliaia [0] 20 3" xfId="1519" xr:uid="{00000000-0005-0000-0000-000008020000}"/>
    <cellStyle name="Migliaia [0] 20 3 2" xfId="4607" xr:uid="{D4583889-12CC-4DDE-94A5-87BC78D061F9}"/>
    <cellStyle name="Migliaia [0] 20 3 2 2" xfId="18313" xr:uid="{72D70D79-8A34-453B-9075-B3088D9B49D9}"/>
    <cellStyle name="Migliaia [0] 20 3 2 2 2" xfId="21745" xr:uid="{3ED5D33F-3990-4339-8C7E-3B8648620328}"/>
    <cellStyle name="Migliaia [0] 20 3 2 2 2 2" xfId="38140" xr:uid="{66CBB1D9-DF22-4B28-B4CA-A1D774AAC8E7}"/>
    <cellStyle name="Migliaia [0] 20 3 2 2 3" xfId="43442" xr:uid="{360A79E3-915A-402F-A8C1-CB633C142D72}"/>
    <cellStyle name="Migliaia [0] 20 3 2 2 4" xfId="32789" xr:uid="{9A56B3A6-703F-4F76-9685-DBE503CE4139}"/>
    <cellStyle name="Migliaia [0] 20 3 2 3" xfId="35675" xr:uid="{1F8AEE8E-CCE4-417D-BF86-FD6C8F199E2E}"/>
    <cellStyle name="Migliaia [0] 20 3 2 4" xfId="40791" xr:uid="{0A7C7E68-0481-4BE4-8BD2-45CF34DA91B2}"/>
    <cellStyle name="Migliaia [0] 20 3 2 5" xfId="47047" xr:uid="{A1B3129A-EAEF-46C5-8607-0D1B73B7AE0D}"/>
    <cellStyle name="Migliaia [0] 20 3 2 6" xfId="50773" xr:uid="{3A417226-8C86-45CF-B620-69F05DD87BA1}"/>
    <cellStyle name="Migliaia [0] 20 3 2 7" xfId="53789" xr:uid="{2DB0F941-DBF1-4541-9711-0F3F5B4E4A9B}"/>
    <cellStyle name="Migliaia [0] 20 3 2 8" xfId="17589" xr:uid="{AEC4D581-C38D-47ED-AE5A-D970BEDDA61C}"/>
    <cellStyle name="Migliaia [0] 20 3 2 9" xfId="11748" xr:uid="{06353A56-BCA2-4369-9904-C27DBA1875E1}"/>
    <cellStyle name="Migliaia [0] 20 3 3" xfId="5876" xr:uid="{63565DD2-2723-4171-B4F7-5AE7BDBA5573}"/>
    <cellStyle name="Migliaia [0] 20 3 3 2" xfId="12383" xr:uid="{FE626A81-90CB-44C7-9215-AB1A1CF73879}"/>
    <cellStyle name="Migliaia [0] 20 3 4" xfId="2881" xr:uid="{64AE63C1-0B94-4485-A269-78EAB0B89268}"/>
    <cellStyle name="Migliaia [0] 20 3 4 2" xfId="21277" xr:uid="{B3FFA2BE-863E-4686-B4C0-E2D38367962C}"/>
    <cellStyle name="Migliaia [0] 20 3 4 3" xfId="46173" xr:uid="{3F4791C3-9B0C-489B-B8B2-ECA76FB4430F}"/>
    <cellStyle name="Migliaia [0] 20 3 4 4" xfId="50292" xr:uid="{F64D4052-2D57-428D-847D-BC8909255D1B}"/>
    <cellStyle name="Migliaia [0] 20 3 4 5" xfId="53308" xr:uid="{D159AFAF-FB01-47D7-9116-2DE6F6729BA5}"/>
    <cellStyle name="Migliaia [0] 20 3 4 6" xfId="10642" xr:uid="{1D594380-CFB9-4527-AF17-936059D38BAB}"/>
    <cellStyle name="Migliaia [0] 20 3 5" xfId="19560" xr:uid="{F54EB79E-8EE8-4E91-9E3F-AAA12AC9D0B5}"/>
    <cellStyle name="Migliaia [0] 20 3 6" xfId="24029" xr:uid="{FA451901-354A-41F3-AEB6-84651407A6C2}"/>
    <cellStyle name="Migliaia [0] 20 3 7" xfId="8196" xr:uid="{EDFE3FCE-64CD-4FA8-B6E3-63DDEAF2DE3A}"/>
    <cellStyle name="Migliaia [0] 20 4" xfId="2882" xr:uid="{1FAEDA49-C93A-4B4F-A77E-0AB9AEFF4EDA}"/>
    <cellStyle name="Migliaia [0] 20 4 2" xfId="4608" xr:uid="{A9A52AF6-7F88-4525-A7AA-62344FC314FF}"/>
    <cellStyle name="Migliaia [0] 20 4 2 2" xfId="35081" xr:uid="{3279C44E-C767-445E-8394-5DA7F2BAE39E}"/>
    <cellStyle name="Migliaia [0] 20 4 2 2 2" xfId="40239" xr:uid="{4CA29C3A-461A-490D-BC28-80F5CCEF189E}"/>
    <cellStyle name="Migliaia [0] 20 4 2 2 3" xfId="45541" xr:uid="{7E73D2AA-CDC3-4F6D-8EEA-839C3CF77DD5}"/>
    <cellStyle name="Migliaia [0] 20 4 2 3" xfId="37588" xr:uid="{5EA4CD1D-8934-4699-884A-5CCF0291BCD4}"/>
    <cellStyle name="Migliaia [0] 20 4 2 4" xfId="42890" xr:uid="{82A8A398-22DA-4431-88FB-9B83B0A38261}"/>
    <cellStyle name="Migliaia [0] 20 4 2 5" xfId="17021" xr:uid="{E976973E-D20F-453C-93D2-2679C8F2AE6D}"/>
    <cellStyle name="Migliaia [0] 20 4 3" xfId="5877" xr:uid="{19C71ECC-7AA7-42C0-9E97-314E7E80EEF7}"/>
    <cellStyle name="Migliaia [0] 20 4 3 2" xfId="38141" xr:uid="{49065F7E-3DB2-4A28-8981-56FE5F534898}"/>
    <cellStyle name="Migliaia [0] 20 4 3 3" xfId="43443" xr:uid="{F7E5C754-E5C4-43AE-9138-F91062EF9F2B}"/>
    <cellStyle name="Migliaia [0] 20 4 3 4" xfId="32790" xr:uid="{C737E46B-7583-4DB9-B1F5-7A7A48FC796A}"/>
    <cellStyle name="Migliaia [0] 20 4 3 5" xfId="19561" xr:uid="{A7261DE7-6BBC-4643-8164-DC3CAFCE08CF}"/>
    <cellStyle name="Migliaia [0] 20 4 4" xfId="35676" xr:uid="{2E751E32-610C-4FDD-814F-60CA884FAD6B}"/>
    <cellStyle name="Migliaia [0] 20 4 5" xfId="40792" xr:uid="{65561662-578F-4E48-9FFA-33A4AAE56983}"/>
    <cellStyle name="Migliaia [0] 20 4 6" xfId="15963" xr:uid="{426DE6E8-D6F6-4F6B-AD4C-9E838FEB7279}"/>
    <cellStyle name="Migliaia [0] 20 4 7" xfId="7776" xr:uid="{16DEDEE4-5F98-424F-BB20-11D89FC953A0}"/>
    <cellStyle name="Migliaia [0] 20 5" xfId="4604" xr:uid="{833261F3-9554-486B-98FE-9383D34F9773}"/>
    <cellStyle name="Migliaia [0] 20 5 2" xfId="32791" xr:uid="{BB4407F8-D728-4787-A2CA-35B30C0C1DC4}"/>
    <cellStyle name="Migliaia [0] 20 5 2 2" xfId="38142" xr:uid="{6EFBE5A8-C1BB-40AF-88E9-F94AC6289A42}"/>
    <cellStyle name="Migliaia [0] 20 5 2 3" xfId="43444" xr:uid="{2349C10E-9CAC-4303-8B51-DB16196C799D}"/>
    <cellStyle name="Migliaia [0] 20 5 3" xfId="35677" xr:uid="{FC3D445E-45DA-4EF2-8E3D-2349787F94BB}"/>
    <cellStyle name="Migliaia [0] 20 5 4" xfId="40793" xr:uid="{E8D2E37E-CF1F-42EE-878D-052FD0245194}"/>
    <cellStyle name="Migliaia [0] 20 5 5" xfId="17090" xr:uid="{A250D002-100F-4E3B-B538-7C8A14C62A8B}"/>
    <cellStyle name="Migliaia [0] 20 6" xfId="5874" xr:uid="{D8814754-014C-406A-935E-8C5F32EB63AE}"/>
    <cellStyle name="Migliaia [0] 20 6 2" xfId="38138" xr:uid="{AC97DC74-E00B-4E72-880D-79E7EC852B8B}"/>
    <cellStyle name="Migliaia [0] 20 6 3" xfId="43440" xr:uid="{7D76D05E-2537-4DDA-B66B-589C33D20BE3}"/>
    <cellStyle name="Migliaia [0] 20 6 4" xfId="32787" xr:uid="{C7A8B175-3BD1-47C1-BB80-A9E3F70E905A}"/>
    <cellStyle name="Migliaia [0] 20 6 5" xfId="19557" xr:uid="{39E1B5B5-30DE-4A7D-B294-5096E517BAB7}"/>
    <cellStyle name="Migliaia [0] 20 7" xfId="2878" xr:uid="{68FF80A9-D920-41D9-9142-D0CEC8DDEAC1}"/>
    <cellStyle name="Migliaia [0] 20 7 2" xfId="35673" xr:uid="{717AA19C-A0F6-4F51-B7D1-E997A752F73F}"/>
    <cellStyle name="Migliaia [0] 20 8" xfId="40789" xr:uid="{54A898CC-79B8-465E-BC8E-D77580AFF876}"/>
    <cellStyle name="Migliaia [0] 20 9" xfId="6997" xr:uid="{8CA010AD-CEC7-42E0-AB8F-88FF449BB98B}"/>
    <cellStyle name="Migliaia [0] 21" xfId="255" xr:uid="{00000000-0005-0000-0000-000009020000}"/>
    <cellStyle name="Migliaia [0] 21 2" xfId="1520" xr:uid="{00000000-0005-0000-0000-00000A020000}"/>
    <cellStyle name="Migliaia [0] 21 2 2" xfId="1521" xr:uid="{00000000-0005-0000-0000-00000B020000}"/>
    <cellStyle name="Migliaia [0] 21 2 2 2" xfId="4611" xr:uid="{9687E629-5B31-432A-81A3-28B134626BD6}"/>
    <cellStyle name="Migliaia [0] 21 2 2 2 2" xfId="21746" xr:uid="{BC31849D-781B-4C96-BF77-A3D65979D3F4}"/>
    <cellStyle name="Migliaia [0] 21 2 2 2 3" xfId="46737" xr:uid="{2275DD56-CA89-4433-9F1A-2AC4BD4321BC}"/>
    <cellStyle name="Migliaia [0] 21 2 2 2 4" xfId="50774" xr:uid="{17CD443D-E352-4447-9A04-E45F1A4252FC}"/>
    <cellStyle name="Migliaia [0] 21 2 2 2 5" xfId="53790" xr:uid="{4B39B86D-863C-4C3A-ACBF-DB153888C3FB}"/>
    <cellStyle name="Migliaia [0] 21 2 2 2 6" xfId="11749" xr:uid="{7BB14790-88B0-45C1-AC77-12BC992EDC1D}"/>
    <cellStyle name="Migliaia [0] 21 2 2 3" xfId="2885" xr:uid="{94AF720E-573A-42F3-B8D4-13FA00DF4623}"/>
    <cellStyle name="Migliaia [0] 21 2 2 3 2" xfId="12351" xr:uid="{7845695B-1BB7-4CA7-A23F-F2FED5772E4E}"/>
    <cellStyle name="Migliaia [0] 21 2 2 4" xfId="10643" xr:uid="{B97A1A17-B472-4078-AF18-30339D208281}"/>
    <cellStyle name="Migliaia [0] 21 2 2 4 2" xfId="21278" xr:uid="{D607CAE4-DD53-4068-A2B8-1460A3CC0F71}"/>
    <cellStyle name="Migliaia [0] 21 2 2 4 3" xfId="24256" xr:uid="{686CCFD0-EE75-4EFC-9636-19AE3E9C1F98}"/>
    <cellStyle name="Migliaia [0] 21 2 2 4 4" xfId="50293" xr:uid="{CB192A79-F484-48F8-97D4-396ACBD59DF0}"/>
    <cellStyle name="Migliaia [0] 21 2 2 4 5" xfId="53309" xr:uid="{CA06FFA9-B83D-4E1B-A827-D41C762ADE7D}"/>
    <cellStyle name="Migliaia [0] 21 2 2 5" xfId="19564" xr:uid="{D0AC0FF0-C557-4B8A-BCBD-DA5B7CF086EA}"/>
    <cellStyle name="Migliaia [0] 21 2 2 6" xfId="24031" xr:uid="{231777F0-0DD9-4627-B7F9-DF23D0B470E5}"/>
    <cellStyle name="Migliaia [0] 21 2 2 7" xfId="48833" xr:uid="{F91837DB-0E60-4CFE-B37F-28568D30AEA9}"/>
    <cellStyle name="Migliaia [0] 21 2 2 8" xfId="49739" xr:uid="{C9E06E5D-5315-462E-A05D-A3A397DDB6A4}"/>
    <cellStyle name="Migliaia [0] 21 2 2 9" xfId="8439" xr:uid="{55EF5724-BF1C-4FEA-8D8E-05E9DC6F0496}"/>
    <cellStyle name="Migliaia [0] 21 2 3" xfId="4610" xr:uid="{B9FDA454-756D-491C-8D16-21409F98C66B}"/>
    <cellStyle name="Migliaia [0] 21 2 3 2" xfId="32793" xr:uid="{9D1407E7-A4E5-46A8-94A2-DC7231235B9B}"/>
    <cellStyle name="Migliaia [0] 21 2 3 2 2" xfId="38144" xr:uid="{0D72D47F-9292-46FF-9609-CA0D4DAB41CF}"/>
    <cellStyle name="Migliaia [0] 21 2 3 2 3" xfId="43446" xr:uid="{053A11ED-1B43-44D7-B94E-E02A1847DFB0}"/>
    <cellStyle name="Migliaia [0] 21 2 3 3" xfId="35679" xr:uid="{43FBA8A2-C055-4377-86F6-7F769BEF2BB6}"/>
    <cellStyle name="Migliaia [0] 21 2 3 4" xfId="40795" xr:uid="{F1EB3C91-7285-4902-B9BC-D0D6758539DF}"/>
    <cellStyle name="Migliaia [0] 21 2 3 5" xfId="11750" xr:uid="{CCB84F60-E20E-425B-A8BB-ACDEF30BB717}"/>
    <cellStyle name="Migliaia [0] 21 2 4" xfId="5879" xr:uid="{A3B07057-FAFF-4CB3-B3AD-CA47116F49C3}"/>
    <cellStyle name="Migliaia [0] 21 2 4 2" xfId="19563" xr:uid="{085F2294-F84B-4AED-8728-0016FF50B198}"/>
    <cellStyle name="Migliaia [0] 21 2 5" xfId="2884" xr:uid="{B6280AB1-31AB-4966-BFD9-558C77E56D40}"/>
    <cellStyle name="Migliaia [0] 21 2 5 2" xfId="24030" xr:uid="{CC1213AB-7A5C-4906-9C1D-78310FEDB4C0}"/>
    <cellStyle name="Migliaia [0] 21 2 6" xfId="7249" xr:uid="{1DB7DC2A-D80F-4994-B826-B4B7356F2688}"/>
    <cellStyle name="Migliaia [0] 21 3" xfId="1522" xr:uid="{00000000-0005-0000-0000-00000C020000}"/>
    <cellStyle name="Migliaia [0] 21 3 2" xfId="4612" xr:uid="{34C2D4B4-14C7-4CEE-B7C9-469FEA948EFA}"/>
    <cellStyle name="Migliaia [0] 21 3 2 2" xfId="18314" xr:uid="{B0FE4236-CFA5-4A36-B300-4DEE48324A1D}"/>
    <cellStyle name="Migliaia [0] 21 3 2 2 2" xfId="21747" xr:uid="{6536F607-1819-4DE2-9AEF-CA07A4CBEA14}"/>
    <cellStyle name="Migliaia [0] 21 3 2 2 2 2" xfId="38145" xr:uid="{109E9346-A7B5-4573-A870-12F6E6374A29}"/>
    <cellStyle name="Migliaia [0] 21 3 2 2 3" xfId="43447" xr:uid="{68ACB204-477C-46F3-9F86-E0C73033F6FE}"/>
    <cellStyle name="Migliaia [0] 21 3 2 2 4" xfId="32794" xr:uid="{CE6C7A36-058C-49B6-9F79-5B86AC8A9AB8}"/>
    <cellStyle name="Migliaia [0] 21 3 2 3" xfId="35680" xr:uid="{DDFA1AF5-CD7D-412D-9957-24DF2EBAF0BB}"/>
    <cellStyle name="Migliaia [0] 21 3 2 4" xfId="40796" xr:uid="{4D00F0AA-4676-4387-BB7D-653AAB738F53}"/>
    <cellStyle name="Migliaia [0] 21 3 2 5" xfId="47909" xr:uid="{B244AE55-4E76-45C9-A0DC-6EF043C35DA9}"/>
    <cellStyle name="Migliaia [0] 21 3 2 6" xfId="50775" xr:uid="{57C2C9CE-9945-480B-9A11-E34C014693DE}"/>
    <cellStyle name="Migliaia [0] 21 3 2 7" xfId="53791" xr:uid="{D1082AD9-64B1-4582-A772-C5B377656DC5}"/>
    <cellStyle name="Migliaia [0] 21 3 2 8" xfId="17590" xr:uid="{877E5695-B667-470A-A5E8-5A2A8B9FC53B}"/>
    <cellStyle name="Migliaia [0] 21 3 2 9" xfId="11751" xr:uid="{605C1675-F2E9-4426-A460-EE7F24B728D7}"/>
    <cellStyle name="Migliaia [0] 21 3 3" xfId="5880" xr:uid="{BD80BF2C-43E4-42E3-97B9-D80B604EF368}"/>
    <cellStyle name="Migliaia [0] 21 3 3 2" xfId="11665" xr:uid="{13387942-1CC9-46D0-A27D-3AD1C30139B0}"/>
    <cellStyle name="Migliaia [0] 21 3 4" xfId="2886" xr:uid="{6B5F1699-B7BC-4625-8382-9E9B19A2D521}"/>
    <cellStyle name="Migliaia [0] 21 3 4 2" xfId="21279" xr:uid="{8CE2D4F3-1DAE-4D72-9049-C2A6AE680D3B}"/>
    <cellStyle name="Migliaia [0] 21 3 4 3" xfId="46174" xr:uid="{C47337B8-B3BB-4301-BFE0-B45C729B008A}"/>
    <cellStyle name="Migliaia [0] 21 3 4 4" xfId="50294" xr:uid="{9AFB5576-CB02-4ED0-ACD4-B22702CEF42E}"/>
    <cellStyle name="Migliaia [0] 21 3 4 5" xfId="53310" xr:uid="{23BD0BCB-FE20-44BA-AAE6-405914DFE18E}"/>
    <cellStyle name="Migliaia [0] 21 3 4 6" xfId="10644" xr:uid="{FA592BED-C4F0-4786-ACB1-CB5CB217B7DD}"/>
    <cellStyle name="Migliaia [0] 21 3 5" xfId="19565" xr:uid="{71C87C1C-E363-4F62-A3FB-F1A7243CC988}"/>
    <cellStyle name="Migliaia [0] 21 3 6" xfId="24032" xr:uid="{8E17CB22-2D54-43B7-BD6E-87812D898F48}"/>
    <cellStyle name="Migliaia [0] 21 3 7" xfId="8197" xr:uid="{A69E09D4-8A36-48F4-9DA7-8BA8438E3618}"/>
    <cellStyle name="Migliaia [0] 21 4" xfId="2887" xr:uid="{7936A33C-7DCC-4216-B1F3-D4463CCC128B}"/>
    <cellStyle name="Migliaia [0] 21 4 2" xfId="4613" xr:uid="{236D8E76-482A-4EC0-A82C-73AE2A083677}"/>
    <cellStyle name="Migliaia [0] 21 4 2 2" xfId="35082" xr:uid="{6DB70F3B-8EAD-4F7D-8B47-91D8D8CC50C8}"/>
    <cellStyle name="Migliaia [0] 21 4 2 2 2" xfId="40240" xr:uid="{942BF9BB-0D69-4FCD-B1F6-2CCDF87902FC}"/>
    <cellStyle name="Migliaia [0] 21 4 2 2 3" xfId="45542" xr:uid="{0C81CA06-9F27-4D88-B776-8C7AC4A781BA}"/>
    <cellStyle name="Migliaia [0] 21 4 2 3" xfId="37589" xr:uid="{F785E095-EE69-4573-A789-E7C6C142E226}"/>
    <cellStyle name="Migliaia [0] 21 4 2 4" xfId="42891" xr:uid="{B8E2B731-ED13-4D10-B283-CCCD034FEACE}"/>
    <cellStyle name="Migliaia [0] 21 4 2 5" xfId="17022" xr:uid="{E72B74FF-2323-4CCD-8926-BEC5FECDC83C}"/>
    <cellStyle name="Migliaia [0] 21 4 3" xfId="5881" xr:uid="{0FD52519-B445-42C1-B467-A2078659FF40}"/>
    <cellStyle name="Migliaia [0] 21 4 3 2" xfId="38146" xr:uid="{1FC4A5A2-8DB0-4936-84F3-3693351706FF}"/>
    <cellStyle name="Migliaia [0] 21 4 3 3" xfId="43448" xr:uid="{30199DDB-6723-4392-A79B-12B0D45512D1}"/>
    <cellStyle name="Migliaia [0] 21 4 3 4" xfId="32795" xr:uid="{72D3E82C-7511-4847-B104-642A81555888}"/>
    <cellStyle name="Migliaia [0] 21 4 3 5" xfId="19566" xr:uid="{198E1B8A-714E-4B4B-AD7D-182F2F1816B9}"/>
    <cellStyle name="Migliaia [0] 21 4 4" xfId="35681" xr:uid="{F52B55E7-1064-4339-A95D-1877F142FFBD}"/>
    <cellStyle name="Migliaia [0] 21 4 5" xfId="40797" xr:uid="{BA8DB4CF-0734-49B6-971F-C84C6D6143BC}"/>
    <cellStyle name="Migliaia [0] 21 4 6" xfId="15964" xr:uid="{1A372CCE-5FFE-4461-9892-AEB00D209D9A}"/>
    <cellStyle name="Migliaia [0] 21 4 7" xfId="7777" xr:uid="{BC0E6643-D6D1-4352-95D6-C7473BA71A08}"/>
    <cellStyle name="Migliaia [0] 21 5" xfId="4609" xr:uid="{9F93D2EE-765D-4397-B20F-D0FD0C7FE61A}"/>
    <cellStyle name="Migliaia [0] 21 5 2" xfId="32796" xr:uid="{286CB1EC-4D8B-4B2C-8634-2515E8E08512}"/>
    <cellStyle name="Migliaia [0] 21 5 2 2" xfId="38147" xr:uid="{F0F58608-9760-4484-987F-EE62E8BA61CD}"/>
    <cellStyle name="Migliaia [0] 21 5 2 3" xfId="43449" xr:uid="{93A09D32-CB08-4F25-87CA-8B563D38C42B}"/>
    <cellStyle name="Migliaia [0] 21 5 3" xfId="35682" xr:uid="{E99B6D80-0C93-4333-9EB2-D73715A6C55E}"/>
    <cellStyle name="Migliaia [0] 21 5 4" xfId="40798" xr:uid="{E91367CD-EF2D-4916-A62F-EC34EB92B54D}"/>
    <cellStyle name="Migliaia [0] 21 5 5" xfId="17091" xr:uid="{EB5F7309-68C8-4B4A-AF7A-E2CB10F3D761}"/>
    <cellStyle name="Migliaia [0] 21 6" xfId="5878" xr:uid="{F6A5D844-98A9-4D2A-AAAD-5AEB1EF60BF1}"/>
    <cellStyle name="Migliaia [0] 21 6 2" xfId="38143" xr:uid="{D85A16BD-8105-4E19-97E9-E70425C58578}"/>
    <cellStyle name="Migliaia [0] 21 6 3" xfId="43445" xr:uid="{23EF1AB5-8A96-49C8-8F58-2A1DB0E60138}"/>
    <cellStyle name="Migliaia [0] 21 6 4" xfId="32792" xr:uid="{80AFD579-CA4E-4A4B-B963-063D72A248B0}"/>
    <cellStyle name="Migliaia [0] 21 6 5" xfId="19562" xr:uid="{737926C0-F3E1-4DBE-B371-0071BFFEC225}"/>
    <cellStyle name="Migliaia [0] 21 7" xfId="2883" xr:uid="{790434CC-2483-4923-944A-461B5F3AC189}"/>
    <cellStyle name="Migliaia [0] 21 7 2" xfId="35678" xr:uid="{D0C436DF-3768-4DCD-BDD2-88EC685CB9B9}"/>
    <cellStyle name="Migliaia [0] 21 8" xfId="40794" xr:uid="{CD545FC7-B786-4BF1-87F8-B26CA691CAA2}"/>
    <cellStyle name="Migliaia [0] 21 9" xfId="6998" xr:uid="{A0A80606-ECBB-4507-9868-E1CBF0977C8B}"/>
    <cellStyle name="Migliaia [0] 22" xfId="256" xr:uid="{00000000-0005-0000-0000-00000D020000}"/>
    <cellStyle name="Migliaia [0] 22 2" xfId="1523" xr:uid="{00000000-0005-0000-0000-00000E020000}"/>
    <cellStyle name="Migliaia [0] 22 2 2" xfId="1524" xr:uid="{00000000-0005-0000-0000-00000F020000}"/>
    <cellStyle name="Migliaia [0] 22 2 2 2" xfId="4616" xr:uid="{B5D4F39A-BA8E-4FE8-807E-6CAE07E59422}"/>
    <cellStyle name="Migliaia [0] 22 2 2 2 2" xfId="21748" xr:uid="{3C947F61-0EDF-4C99-8DD7-1C8A24C99348}"/>
    <cellStyle name="Migliaia [0] 22 2 2 2 3" xfId="37509" xr:uid="{21368675-2B53-4029-A503-1493F30A9703}"/>
    <cellStyle name="Migliaia [0] 22 2 2 2 4" xfId="50776" xr:uid="{BB6A1AAD-70DB-4583-8DFF-BD8774908D33}"/>
    <cellStyle name="Migliaia [0] 22 2 2 2 5" xfId="53792" xr:uid="{AB0236A0-2D9B-44A1-9928-A5432A4D21DD}"/>
    <cellStyle name="Migliaia [0] 22 2 2 2 6" xfId="11752" xr:uid="{FB24C72D-4D47-4BA8-A57B-ECAE926BCD72}"/>
    <cellStyle name="Migliaia [0] 22 2 2 3" xfId="2890" xr:uid="{DA1163DD-253D-4FE0-89F2-86D37E113841}"/>
    <cellStyle name="Migliaia [0] 22 2 2 3 2" xfId="12185" xr:uid="{A1E03275-6091-45E3-9E00-CCCF977E3FB4}"/>
    <cellStyle name="Migliaia [0] 22 2 2 4" xfId="10645" xr:uid="{377EB5B8-CF83-4CF8-B563-0E0E39113586}"/>
    <cellStyle name="Migliaia [0] 22 2 2 4 2" xfId="21280" xr:uid="{8725EF9E-FA39-4189-9780-6C55A7D40C62}"/>
    <cellStyle name="Migliaia [0] 22 2 2 4 3" xfId="47297" xr:uid="{82950F6D-F3C6-4001-BFB2-6A89149D0FA4}"/>
    <cellStyle name="Migliaia [0] 22 2 2 4 4" xfId="50295" xr:uid="{DD276B42-97DF-4DD3-AA1F-B3915D74DA13}"/>
    <cellStyle name="Migliaia [0] 22 2 2 4 5" xfId="53311" xr:uid="{41901C06-CFD9-4100-8F84-0E6F4C07A844}"/>
    <cellStyle name="Migliaia [0] 22 2 2 5" xfId="19569" xr:uid="{7484F95D-1B18-4ADA-8B6F-4C4A5CF0750B}"/>
    <cellStyle name="Migliaia [0] 22 2 2 6" xfId="24034" xr:uid="{DE75C242-C812-4AAE-A6BA-BD3D62336005}"/>
    <cellStyle name="Migliaia [0] 22 2 2 7" xfId="48834" xr:uid="{E5E4118C-FA1F-4E27-A43C-8D27D6BA556B}"/>
    <cellStyle name="Migliaia [0] 22 2 2 8" xfId="49740" xr:uid="{768A4483-DF2E-4900-B7BA-0D0FF2CA4A52}"/>
    <cellStyle name="Migliaia [0] 22 2 2 9" xfId="8440" xr:uid="{013D5D1E-469B-49D1-B472-BD392E03788A}"/>
    <cellStyle name="Migliaia [0] 22 2 3" xfId="4615" xr:uid="{9BA79069-BE74-4BA1-A1D8-F36935A706D5}"/>
    <cellStyle name="Migliaia [0] 22 2 3 2" xfId="32798" xr:uid="{0E4C2E08-0B57-4CCD-AB7D-C118CFE295E7}"/>
    <cellStyle name="Migliaia [0] 22 2 3 2 2" xfId="38149" xr:uid="{3228ABC2-C9BD-41D1-B278-2B81E3EAAA77}"/>
    <cellStyle name="Migliaia [0] 22 2 3 2 3" xfId="43451" xr:uid="{CA02072A-4711-4C91-88D2-8BDACEC32CFE}"/>
    <cellStyle name="Migliaia [0] 22 2 3 3" xfId="35684" xr:uid="{6C3A06D7-791D-4C02-BF82-5538F552DC1E}"/>
    <cellStyle name="Migliaia [0] 22 2 3 4" xfId="40800" xr:uid="{D321C409-D695-47C7-865E-7DD9F9E737FE}"/>
    <cellStyle name="Migliaia [0] 22 2 3 5" xfId="11753" xr:uid="{DB5E8296-3E9D-4AC9-8B8B-6C209BFA005C}"/>
    <cellStyle name="Migliaia [0] 22 2 4" xfId="5883" xr:uid="{BC508E27-EAA5-45AA-BA25-45CD889FDB65}"/>
    <cellStyle name="Migliaia [0] 22 2 4 2" xfId="19568" xr:uid="{EE375999-0E1D-4505-AA6D-68F20EA5D32E}"/>
    <cellStyle name="Migliaia [0] 22 2 5" xfId="2889" xr:uid="{84D46921-BD7F-49F2-B1B8-5B039C56710A}"/>
    <cellStyle name="Migliaia [0] 22 2 5 2" xfId="24033" xr:uid="{E6EB3A9B-8EC1-4364-8AF5-D9EC11353391}"/>
    <cellStyle name="Migliaia [0] 22 2 6" xfId="7250" xr:uid="{8AA4B72C-C65E-4E3F-9CDC-0B5D9C0012F3}"/>
    <cellStyle name="Migliaia [0] 22 3" xfId="1525" xr:uid="{00000000-0005-0000-0000-000010020000}"/>
    <cellStyle name="Migliaia [0] 22 3 2" xfId="4617" xr:uid="{61DC8A04-8F28-498E-B8A7-A3B3AF59BAD9}"/>
    <cellStyle name="Migliaia [0] 22 3 2 2" xfId="18315" xr:uid="{2AA1044C-16D9-42F8-9EDF-6E87B79959F0}"/>
    <cellStyle name="Migliaia [0] 22 3 2 2 2" xfId="21749" xr:uid="{54A1853E-9517-4B37-93CB-9198EB93EA33}"/>
    <cellStyle name="Migliaia [0] 22 3 2 2 2 2" xfId="38150" xr:uid="{E84086FD-FAF6-47D3-98EE-FD7A4094D89B}"/>
    <cellStyle name="Migliaia [0] 22 3 2 2 3" xfId="43452" xr:uid="{321A6A0B-94BA-4802-BF0A-849AF3D11E5A}"/>
    <cellStyle name="Migliaia [0] 22 3 2 2 4" xfId="32799" xr:uid="{9D75866E-0E94-4586-81F7-9F4A26D3F05F}"/>
    <cellStyle name="Migliaia [0] 22 3 2 3" xfId="35685" xr:uid="{165D5DBF-034B-4BAE-96EF-7D47BA3D84A6}"/>
    <cellStyle name="Migliaia [0] 22 3 2 4" xfId="40801" xr:uid="{B0AEB54C-AD5F-4CD2-AC90-D07AA369F778}"/>
    <cellStyle name="Migliaia [0] 22 3 2 5" xfId="46656" xr:uid="{E11AB6A0-6568-40F1-9B81-90582AADB8F5}"/>
    <cellStyle name="Migliaia [0] 22 3 2 6" xfId="50777" xr:uid="{6F6B1E7A-8A7C-4B65-B501-4EA4E84393B4}"/>
    <cellStyle name="Migliaia [0] 22 3 2 7" xfId="53793" xr:uid="{6FC17C26-35DA-45B4-81AD-E080BA8D0267}"/>
    <cellStyle name="Migliaia [0] 22 3 2 8" xfId="17591" xr:uid="{792E2EC9-F58D-4246-9354-3E21B21632A0}"/>
    <cellStyle name="Migliaia [0] 22 3 2 9" xfId="11754" xr:uid="{8859BB8E-724F-4762-AD6D-F099E46A847C}"/>
    <cellStyle name="Migliaia [0] 22 3 3" xfId="5884" xr:uid="{54549013-CFDD-493F-B37C-13E6C414BC33}"/>
    <cellStyle name="Migliaia [0] 22 3 3 2" xfId="12382" xr:uid="{0184B4B1-A661-426D-9824-BD4B3428D454}"/>
    <cellStyle name="Migliaia [0] 22 3 4" xfId="2891" xr:uid="{974AB3C2-2AA2-4374-BD93-F0C452995971}"/>
    <cellStyle name="Migliaia [0] 22 3 4 2" xfId="21281" xr:uid="{4519FF77-B5CE-4A83-B112-F7FF69E2915F}"/>
    <cellStyle name="Migliaia [0] 22 3 4 3" xfId="46175" xr:uid="{215FC16D-364D-4568-9DF8-025FE87B579B}"/>
    <cellStyle name="Migliaia [0] 22 3 4 4" xfId="50296" xr:uid="{557204C8-E237-4E3F-BCC0-75D76D58F8EE}"/>
    <cellStyle name="Migliaia [0] 22 3 4 5" xfId="53312" xr:uid="{CA436371-2707-4E51-9982-B8FB185326E0}"/>
    <cellStyle name="Migliaia [0] 22 3 4 6" xfId="10646" xr:uid="{2C1261A0-51F0-42E2-A016-8008BDAD0A59}"/>
    <cellStyle name="Migliaia [0] 22 3 5" xfId="19570" xr:uid="{C254B59F-DD1D-497D-B46D-46427E0931BC}"/>
    <cellStyle name="Migliaia [0] 22 3 6" xfId="24035" xr:uid="{3A77D0CB-46F4-4DDC-9464-BBADEF9384BA}"/>
    <cellStyle name="Migliaia [0] 22 3 7" xfId="8198" xr:uid="{DD473910-5184-4939-B250-1EF5190EC98B}"/>
    <cellStyle name="Migliaia [0] 22 4" xfId="2892" xr:uid="{27F8AC92-1811-47A6-87C5-7190B8637D25}"/>
    <cellStyle name="Migliaia [0] 22 4 2" xfId="4618" xr:uid="{4EB8EEFE-B6BE-4865-AD8C-19DD2D2ACD36}"/>
    <cellStyle name="Migliaia [0] 22 4 2 2" xfId="35083" xr:uid="{36FCCE22-BA6A-4AE1-9B01-599920AE8595}"/>
    <cellStyle name="Migliaia [0] 22 4 2 2 2" xfId="40241" xr:uid="{313E48E3-10CA-4EF6-B7EB-4A715FE6EB00}"/>
    <cellStyle name="Migliaia [0] 22 4 2 2 3" xfId="45543" xr:uid="{5408DEAD-D0A2-44E9-BD81-23AAA7DCB9F2}"/>
    <cellStyle name="Migliaia [0] 22 4 2 3" xfId="37590" xr:uid="{803CC289-2E9F-46F5-8BA6-80EE59088EAE}"/>
    <cellStyle name="Migliaia [0] 22 4 2 4" xfId="42892" xr:uid="{6BEEB294-0C8A-4106-957E-E7A533B2F613}"/>
    <cellStyle name="Migliaia [0] 22 4 2 5" xfId="17023" xr:uid="{2C5FD8C1-E430-433D-80C7-CAB70E2625C9}"/>
    <cellStyle name="Migliaia [0] 22 4 3" xfId="5885" xr:uid="{ECBF6CE6-E0AD-4863-A0C9-DC42589019B7}"/>
    <cellStyle name="Migliaia [0] 22 4 3 2" xfId="38151" xr:uid="{2D0F0DBF-1583-4D55-B948-4D6DA0E565A9}"/>
    <cellStyle name="Migliaia [0] 22 4 3 3" xfId="43453" xr:uid="{26A2B5D6-AF32-4BFC-B295-000562A8F87F}"/>
    <cellStyle name="Migliaia [0] 22 4 3 4" xfId="32800" xr:uid="{8DF03548-9119-418B-87F1-06726CA5258F}"/>
    <cellStyle name="Migliaia [0] 22 4 3 5" xfId="19571" xr:uid="{BE92DFCA-76D4-4F5F-B585-47F6C8F10931}"/>
    <cellStyle name="Migliaia [0] 22 4 4" xfId="35686" xr:uid="{8F224437-E8FC-4A57-A0CD-2C066C92D076}"/>
    <cellStyle name="Migliaia [0] 22 4 5" xfId="40802" xr:uid="{C47A2D11-CA06-4286-85C9-7DEBAA5B34F0}"/>
    <cellStyle name="Migliaia [0] 22 4 6" xfId="15965" xr:uid="{E77E6B67-B9A0-4171-B48B-59D215096C28}"/>
    <cellStyle name="Migliaia [0] 22 4 7" xfId="7778" xr:uid="{49E4187B-8797-42A3-8FBE-E15926D2E29E}"/>
    <cellStyle name="Migliaia [0] 22 5" xfId="4614" xr:uid="{493BC48E-8DEB-4B59-98C7-1A53F84F40C5}"/>
    <cellStyle name="Migliaia [0] 22 5 2" xfId="32801" xr:uid="{0FBAEAEB-563B-4A4E-8551-05FAC274A456}"/>
    <cellStyle name="Migliaia [0] 22 5 2 2" xfId="38152" xr:uid="{FBF6167A-ED6B-44FA-ACF4-5CCBC8E44433}"/>
    <cellStyle name="Migliaia [0] 22 5 2 3" xfId="43454" xr:uid="{8C7BA345-CCC9-42F6-A971-6625756C825A}"/>
    <cellStyle name="Migliaia [0] 22 5 3" xfId="35687" xr:uid="{62A32B9B-7E55-4BE5-AB10-9FB55569036E}"/>
    <cellStyle name="Migliaia [0] 22 5 4" xfId="40803" xr:uid="{CDC98B44-F823-4955-B713-0F91592677E6}"/>
    <cellStyle name="Migliaia [0] 22 5 5" xfId="17092" xr:uid="{2D8E7F22-55E3-40F1-808C-147D7BE6687B}"/>
    <cellStyle name="Migliaia [0] 22 6" xfId="5882" xr:uid="{0F0F2605-A312-412C-9EA2-DD692EEB6E05}"/>
    <cellStyle name="Migliaia [0] 22 6 2" xfId="38148" xr:uid="{602EFCC9-D82F-4912-8E23-9B3D750279B2}"/>
    <cellStyle name="Migliaia [0] 22 6 3" xfId="43450" xr:uid="{A8DABBFE-5C20-4C14-87AC-BAEDEE1F297C}"/>
    <cellStyle name="Migliaia [0] 22 6 4" xfId="32797" xr:uid="{F7A406B2-0515-4D50-875E-CFB3CB48EED5}"/>
    <cellStyle name="Migliaia [0] 22 6 5" xfId="19567" xr:uid="{3A10C2E4-175C-41A8-95B2-F7F2B564C08E}"/>
    <cellStyle name="Migliaia [0] 22 7" xfId="2888" xr:uid="{275B432B-F039-4594-B076-18A2626599DE}"/>
    <cellStyle name="Migliaia [0] 22 7 2" xfId="35683" xr:uid="{F8403258-80D8-4B81-B09F-C14AB5A3CC67}"/>
    <cellStyle name="Migliaia [0] 22 8" xfId="40799" xr:uid="{4F4905A7-A1B5-4F1C-8F5F-EB541CB811F9}"/>
    <cellStyle name="Migliaia [0] 22 9" xfId="6999" xr:uid="{0E153ACD-8C99-481D-AFDF-9897C7F344FE}"/>
    <cellStyle name="Migliaia [0] 23" xfId="257" xr:uid="{00000000-0005-0000-0000-000011020000}"/>
    <cellStyle name="Migliaia [0] 23 2" xfId="1526" xr:uid="{00000000-0005-0000-0000-000012020000}"/>
    <cellStyle name="Migliaia [0] 23 2 2" xfId="1527" xr:uid="{00000000-0005-0000-0000-000013020000}"/>
    <cellStyle name="Migliaia [0] 23 2 2 2" xfId="4621" xr:uid="{4FE6D637-F9C3-4AE5-9ED5-ACACCED297D9}"/>
    <cellStyle name="Migliaia [0] 23 2 2 2 2" xfId="21750" xr:uid="{F5312EC5-DC17-4CDB-9C5C-0643E3D33BC4}"/>
    <cellStyle name="Migliaia [0] 23 2 2 2 3" xfId="36712" xr:uid="{90A97311-EEB9-430A-990F-109BD5E59491}"/>
    <cellStyle name="Migliaia [0] 23 2 2 2 4" xfId="50778" xr:uid="{3450F6ED-8921-4608-B866-9F76D3ACFDBB}"/>
    <cellStyle name="Migliaia [0] 23 2 2 2 5" xfId="53794" xr:uid="{B2C86D1B-CCD1-421B-8EF0-B448791E510A}"/>
    <cellStyle name="Migliaia [0] 23 2 2 2 6" xfId="11755" xr:uid="{C5F3D2D1-8201-408C-8115-0DBEDCF7C404}"/>
    <cellStyle name="Migliaia [0] 23 2 2 3" xfId="2895" xr:uid="{9CE2E36E-D147-4148-BFC5-79614950684C}"/>
    <cellStyle name="Migliaia [0] 23 2 2 3 2" xfId="12171" xr:uid="{F31EBFD1-65EF-4AC5-B9CE-C971DBE37FA9}"/>
    <cellStyle name="Migliaia [0] 23 2 2 4" xfId="10647" xr:uid="{8183FCF2-79B2-41A1-9813-E9B5A92A8015}"/>
    <cellStyle name="Migliaia [0] 23 2 2 4 2" xfId="21282" xr:uid="{026D6032-30A6-46D6-9DB3-D37428B38682}"/>
    <cellStyle name="Migliaia [0] 23 2 2 4 3" xfId="47890" xr:uid="{EF9A2F2F-1540-4FDB-BC12-B6FAED105CBA}"/>
    <cellStyle name="Migliaia [0] 23 2 2 4 4" xfId="50297" xr:uid="{BF912B1D-5FF4-49A5-9206-CE389717BA04}"/>
    <cellStyle name="Migliaia [0] 23 2 2 4 5" xfId="53313" xr:uid="{E7309CCA-70D1-4AB0-A58E-FB32C97DEBC1}"/>
    <cellStyle name="Migliaia [0] 23 2 2 5" xfId="19574" xr:uid="{FE88C6D9-1A2D-422D-8911-69C84ADEE087}"/>
    <cellStyle name="Migliaia [0] 23 2 2 6" xfId="24037" xr:uid="{E2232604-F14C-40A1-83A4-F1060101D695}"/>
    <cellStyle name="Migliaia [0] 23 2 2 7" xfId="48835" xr:uid="{3CCADAF0-6FED-44BA-8591-E656D5AD45E9}"/>
    <cellStyle name="Migliaia [0] 23 2 2 8" xfId="49741" xr:uid="{804ACB60-E91C-42DA-A307-87B54BC5E1EC}"/>
    <cellStyle name="Migliaia [0] 23 2 2 9" xfId="8441" xr:uid="{290A11B3-C588-4034-BD6D-F2D266D7D569}"/>
    <cellStyle name="Migliaia [0] 23 2 3" xfId="4620" xr:uid="{FCF050C4-29F8-4F32-995E-65709AC477A6}"/>
    <cellStyle name="Migliaia [0] 23 2 3 2" xfId="32803" xr:uid="{F157E4D8-41A0-4314-88FC-150565582E83}"/>
    <cellStyle name="Migliaia [0] 23 2 3 2 2" xfId="38154" xr:uid="{D89AFBB1-CED3-4D5D-8448-9C437051A9E7}"/>
    <cellStyle name="Migliaia [0] 23 2 3 2 3" xfId="43456" xr:uid="{4DE2B423-D3F3-4AF5-B8A8-4D03783879D6}"/>
    <cellStyle name="Migliaia [0] 23 2 3 3" xfId="35689" xr:uid="{B74ABB4F-DDA8-4617-9E45-FB1870CD7D00}"/>
    <cellStyle name="Migliaia [0] 23 2 3 4" xfId="40805" xr:uid="{3E177B2B-B137-4FDB-A60E-17E7FFBBB27F}"/>
    <cellStyle name="Migliaia [0] 23 2 3 5" xfId="11756" xr:uid="{1551E525-303E-45C9-85D3-E317ECD8C91B}"/>
    <cellStyle name="Migliaia [0] 23 2 4" xfId="5887" xr:uid="{9051ECFD-F5B1-4A3B-A893-4DA54F705A78}"/>
    <cellStyle name="Migliaia [0] 23 2 4 2" xfId="19573" xr:uid="{1C1C9B5E-D6BE-41BF-8BB2-3CBB5B9E6AA2}"/>
    <cellStyle name="Migliaia [0] 23 2 5" xfId="2894" xr:uid="{386DB2EC-2787-4D83-AFFF-184865DF4D0C}"/>
    <cellStyle name="Migliaia [0] 23 2 5 2" xfId="24036" xr:uid="{A0F92C68-CBD9-4167-B4EA-36470F3AE917}"/>
    <cellStyle name="Migliaia [0] 23 2 6" xfId="7251" xr:uid="{76346626-A2E9-462B-B128-6A33D4FEA751}"/>
    <cellStyle name="Migliaia [0] 23 3" xfId="1528" xr:uid="{00000000-0005-0000-0000-000014020000}"/>
    <cellStyle name="Migliaia [0] 23 3 2" xfId="4622" xr:uid="{8BD72E37-8176-4022-B225-C1DD5676741A}"/>
    <cellStyle name="Migliaia [0] 23 3 2 2" xfId="18316" xr:uid="{4D560738-7F49-470B-8150-5A31F5021CD5}"/>
    <cellStyle name="Migliaia [0] 23 3 2 2 2" xfId="21751" xr:uid="{3A52430C-6764-4544-A9F8-2992ACACD772}"/>
    <cellStyle name="Migliaia [0] 23 3 2 2 2 2" xfId="38155" xr:uid="{96F2CD45-8A16-4E5D-8BA9-EB715B42BCB4}"/>
    <cellStyle name="Migliaia [0] 23 3 2 2 3" xfId="43457" xr:uid="{482E3096-59DF-481C-BB18-F03B4BB4EC24}"/>
    <cellStyle name="Migliaia [0] 23 3 2 2 4" xfId="32804" xr:uid="{90E4C0F9-23FC-4BD8-8B9F-AC23BA7E6B4A}"/>
    <cellStyle name="Migliaia [0] 23 3 2 3" xfId="35690" xr:uid="{FD596881-2323-48F7-B582-3DE18D57FDCF}"/>
    <cellStyle name="Migliaia [0] 23 3 2 4" xfId="40806" xr:uid="{35EB4710-8A0A-4A19-BF92-D673E2B16500}"/>
    <cellStyle name="Migliaia [0] 23 3 2 5" xfId="48011" xr:uid="{009894C7-43FF-4ABD-812D-21F2ABD8875D}"/>
    <cellStyle name="Migliaia [0] 23 3 2 6" xfId="50779" xr:uid="{4E2254B0-E33E-4F6C-9A09-F17D8BAB176A}"/>
    <cellStyle name="Migliaia [0] 23 3 2 7" xfId="53795" xr:uid="{C108BCC4-A128-4810-A517-8A4BA9965C06}"/>
    <cellStyle name="Migliaia [0] 23 3 2 8" xfId="17592" xr:uid="{F824B53D-F4EE-4FBE-9040-80D622D0FB2A}"/>
    <cellStyle name="Migliaia [0] 23 3 2 9" xfId="11757" xr:uid="{D0294108-7DFD-4375-A32B-CEC9D1984F22}"/>
    <cellStyle name="Migliaia [0] 23 3 3" xfId="5888" xr:uid="{48A0B89F-D314-41C4-BE3B-318EABD43A82}"/>
    <cellStyle name="Migliaia [0] 23 3 3 2" xfId="12213" xr:uid="{A273BF63-E3F9-4020-AFCE-03A6B1F9A767}"/>
    <cellStyle name="Migliaia [0] 23 3 4" xfId="2896" xr:uid="{B67A61FA-9570-4615-94C7-6DCED64E611F}"/>
    <cellStyle name="Migliaia [0] 23 3 4 2" xfId="21283" xr:uid="{75323880-D55C-4D4D-A8E9-56D505D82AB7}"/>
    <cellStyle name="Migliaia [0] 23 3 4 3" xfId="46988" xr:uid="{ECFFE92A-5E2D-427E-BE1A-F7966BDAFEE0}"/>
    <cellStyle name="Migliaia [0] 23 3 4 4" xfId="50298" xr:uid="{89247C2D-C0E3-48C6-AAE0-1E9574BDC76D}"/>
    <cellStyle name="Migliaia [0] 23 3 4 5" xfId="53314" xr:uid="{86A7A569-899A-4BF7-B01F-5E30EE4BE8F2}"/>
    <cellStyle name="Migliaia [0] 23 3 4 6" xfId="10648" xr:uid="{3ADB5CA1-8CF7-4591-983E-2364E5B796AB}"/>
    <cellStyle name="Migliaia [0] 23 3 5" xfId="19575" xr:uid="{A70F7BD2-FB32-4E15-813E-3FEE4AB2D82F}"/>
    <cellStyle name="Migliaia [0] 23 3 6" xfId="24038" xr:uid="{7B641C74-BBAD-4078-AF55-9772B8FADBD7}"/>
    <cellStyle name="Migliaia [0] 23 3 7" xfId="8199" xr:uid="{0E657F6B-6335-41F8-9E65-791C9B1A9F24}"/>
    <cellStyle name="Migliaia [0] 23 4" xfId="2897" xr:uid="{10B569CA-9A84-45AC-B237-C0BCCDC3D4E5}"/>
    <cellStyle name="Migliaia [0] 23 4 2" xfId="4623" xr:uid="{33CBD4C4-C7AF-4D77-B832-D77E27264A87}"/>
    <cellStyle name="Migliaia [0] 23 4 2 2" xfId="35084" xr:uid="{D3AF418A-29BF-4F4D-AE79-6E32394DDCB2}"/>
    <cellStyle name="Migliaia [0] 23 4 2 2 2" xfId="40242" xr:uid="{54B2EF2F-E1CE-4450-906E-1F8C2782B0D1}"/>
    <cellStyle name="Migliaia [0] 23 4 2 2 3" xfId="45544" xr:uid="{ABBF7BD5-2FF7-4D00-9DF3-9E44696718E2}"/>
    <cellStyle name="Migliaia [0] 23 4 2 3" xfId="37591" xr:uid="{BF24F85C-38F2-4F18-B005-199A152276EC}"/>
    <cellStyle name="Migliaia [0] 23 4 2 4" xfId="42893" xr:uid="{66D381B1-2242-45C4-9342-FA146BB34D3F}"/>
    <cellStyle name="Migliaia [0] 23 4 2 5" xfId="17024" xr:uid="{EAEC9E25-B118-45B4-B268-6A95B0E229A4}"/>
    <cellStyle name="Migliaia [0] 23 4 3" xfId="5889" xr:uid="{61FAC30A-E6C3-4A6C-A5F6-2B28FEB222A2}"/>
    <cellStyle name="Migliaia [0] 23 4 3 2" xfId="38156" xr:uid="{AA2E0EF9-67EA-4676-A7B8-412DD8008C25}"/>
    <cellStyle name="Migliaia [0] 23 4 3 3" xfId="43458" xr:uid="{A0567CD8-336C-4EFA-962D-F8C7C03103F1}"/>
    <cellStyle name="Migliaia [0] 23 4 3 4" xfId="32805" xr:uid="{AC7E0477-C1F1-4461-AE90-9D5C7F1ACA8C}"/>
    <cellStyle name="Migliaia [0] 23 4 3 5" xfId="19576" xr:uid="{2C1B2C7E-8EE3-439F-AC71-05F691B698F6}"/>
    <cellStyle name="Migliaia [0] 23 4 4" xfId="35691" xr:uid="{9725EFDA-8ACF-4C5F-91E8-2E851066D9A4}"/>
    <cellStyle name="Migliaia [0] 23 4 5" xfId="40807" xr:uid="{9A0F07B5-BED9-473A-ABB2-B167FB9ED74C}"/>
    <cellStyle name="Migliaia [0] 23 4 6" xfId="15966" xr:uid="{A9B39139-08E2-41BA-984D-02730AC36353}"/>
    <cellStyle name="Migliaia [0] 23 4 7" xfId="7779" xr:uid="{716864FE-C092-413B-9F04-FD1423FDBAA1}"/>
    <cellStyle name="Migliaia [0] 23 5" xfId="4619" xr:uid="{14B248BD-A24B-4D34-90FD-FC29C50CFC28}"/>
    <cellStyle name="Migliaia [0] 23 5 2" xfId="32806" xr:uid="{17313314-368F-4DA7-8D69-7572DDB03889}"/>
    <cellStyle name="Migliaia [0] 23 5 2 2" xfId="38157" xr:uid="{8925ECD0-3BAB-44A5-96E6-02C69E4A73BA}"/>
    <cellStyle name="Migliaia [0] 23 5 2 3" xfId="43459" xr:uid="{036E1EA9-52D4-428C-A3EA-962EA037234E}"/>
    <cellStyle name="Migliaia [0] 23 5 3" xfId="35692" xr:uid="{113C397B-7ACE-4E0F-A77E-513A1D2C98DF}"/>
    <cellStyle name="Migliaia [0] 23 5 4" xfId="40808" xr:uid="{0016EC76-2BC1-477D-AE8D-2AB477D3AF95}"/>
    <cellStyle name="Migliaia [0] 23 5 5" xfId="17093" xr:uid="{E5ED1CD2-D443-4E91-8184-01E3F1FD3F2E}"/>
    <cellStyle name="Migliaia [0] 23 6" xfId="5886" xr:uid="{54640D8F-1667-4DE6-A3E8-F9C6FE39AFC4}"/>
    <cellStyle name="Migliaia [0] 23 6 2" xfId="38153" xr:uid="{05F4FC38-C258-4901-8530-6CAACE1653D8}"/>
    <cellStyle name="Migliaia [0] 23 6 3" xfId="43455" xr:uid="{FCADEB94-211C-404F-8AEF-9E97F00D7780}"/>
    <cellStyle name="Migliaia [0] 23 6 4" xfId="32802" xr:uid="{6F5098F0-A39E-47CE-9B2A-6BFBFEBEA15B}"/>
    <cellStyle name="Migliaia [0] 23 6 5" xfId="19572" xr:uid="{06965A81-D49C-481A-A33A-DF2A90EA9888}"/>
    <cellStyle name="Migliaia [0] 23 7" xfId="2893" xr:uid="{A0148927-F9EC-4B1E-8136-48B677D2B0F4}"/>
    <cellStyle name="Migliaia [0] 23 7 2" xfId="35688" xr:uid="{56C77649-212D-4191-B77E-9EADBF940C9D}"/>
    <cellStyle name="Migliaia [0] 23 8" xfId="40804" xr:uid="{1324D05F-E297-464B-930A-0693A11C37B2}"/>
    <cellStyle name="Migliaia [0] 23 9" xfId="7000" xr:uid="{D1F4E8A7-6CEE-4B70-94F9-B9BF08D70E08}"/>
    <cellStyle name="Migliaia [0] 24" xfId="258" xr:uid="{00000000-0005-0000-0000-000015020000}"/>
    <cellStyle name="Migliaia [0] 24 2" xfId="1529" xr:uid="{00000000-0005-0000-0000-000016020000}"/>
    <cellStyle name="Migliaia [0] 24 2 2" xfId="1530" xr:uid="{00000000-0005-0000-0000-000017020000}"/>
    <cellStyle name="Migliaia [0] 24 2 2 2" xfId="4626" xr:uid="{C77C53CF-7519-41ED-9CF0-FE8E538030B6}"/>
    <cellStyle name="Migliaia [0] 24 2 2 2 2" xfId="21752" xr:uid="{C4A3EF45-DE8F-4CF1-892E-804B6D54E2F8}"/>
    <cellStyle name="Migliaia [0] 24 2 2 2 3" xfId="46289" xr:uid="{13E75586-77DA-463E-86C5-178ACE33A90D}"/>
    <cellStyle name="Migliaia [0] 24 2 2 2 4" xfId="50780" xr:uid="{F452BC21-972B-421C-BAAD-1EA8367147A1}"/>
    <cellStyle name="Migliaia [0] 24 2 2 2 5" xfId="53796" xr:uid="{468923C0-A06B-464B-A1AC-5EC803AB0614}"/>
    <cellStyle name="Migliaia [0] 24 2 2 2 6" xfId="11758" xr:uid="{77173FA5-66C9-4EAC-AF1C-3D1FEB9F05F3}"/>
    <cellStyle name="Migliaia [0] 24 2 2 3" xfId="2900" xr:uid="{516691FE-B859-46E3-8E1F-C01E834174B7}"/>
    <cellStyle name="Migliaia [0] 24 2 2 3 2" xfId="12350" xr:uid="{CBD2678F-2312-4652-AED1-9065E98B2243}"/>
    <cellStyle name="Migliaia [0] 24 2 2 4" xfId="10649" xr:uid="{80C75A69-B88C-4764-AF65-1A7863194404}"/>
    <cellStyle name="Migliaia [0] 24 2 2 4 2" xfId="21284" xr:uid="{2CCCC734-7648-4739-89A9-304853D6C0AD}"/>
    <cellStyle name="Migliaia [0] 24 2 2 4 3" xfId="47981" xr:uid="{5A219A6D-E94E-4F88-BC68-4208467BDA67}"/>
    <cellStyle name="Migliaia [0] 24 2 2 4 4" xfId="50299" xr:uid="{6413EDBC-5B09-4DE1-AB3F-F9640F07348E}"/>
    <cellStyle name="Migliaia [0] 24 2 2 4 5" xfId="53315" xr:uid="{F84249E9-B345-4C17-B7C2-AED00EAE3876}"/>
    <cellStyle name="Migliaia [0] 24 2 2 5" xfId="19579" xr:uid="{D668617F-2366-43EE-8059-0E3D2F8C0B05}"/>
    <cellStyle name="Migliaia [0] 24 2 2 6" xfId="24040" xr:uid="{125B81BC-B04D-4F53-A2C9-0480F53EEE24}"/>
    <cellStyle name="Migliaia [0] 24 2 2 7" xfId="48836" xr:uid="{3F6FCC9F-CFA0-448D-8278-4D535A70FBD9}"/>
    <cellStyle name="Migliaia [0] 24 2 2 8" xfId="49742" xr:uid="{FB56D5A1-AD0C-4313-8308-66EF5E84DD64}"/>
    <cellStyle name="Migliaia [0] 24 2 2 9" xfId="8442" xr:uid="{2C6C6948-4A72-43AD-808F-443C6910607B}"/>
    <cellStyle name="Migliaia [0] 24 2 3" xfId="4625" xr:uid="{7F979F7E-0193-48D9-A4E5-E5D5428B9E6F}"/>
    <cellStyle name="Migliaia [0] 24 2 3 2" xfId="32808" xr:uid="{27B63FF9-4B46-4A42-A49A-713F2C4D0BD3}"/>
    <cellStyle name="Migliaia [0] 24 2 3 2 2" xfId="38159" xr:uid="{1EDCE799-C803-437F-89A6-4BC3BFE3F1FC}"/>
    <cellStyle name="Migliaia [0] 24 2 3 2 3" xfId="43461" xr:uid="{3B0F35CA-6766-499F-A2AA-56454AF87C21}"/>
    <cellStyle name="Migliaia [0] 24 2 3 3" xfId="35694" xr:uid="{1434EFF6-BBA7-4F64-A75F-695114ECC7CB}"/>
    <cellStyle name="Migliaia [0] 24 2 3 4" xfId="40810" xr:uid="{C09E867E-95E2-4722-8619-49CDFA35DAD7}"/>
    <cellStyle name="Migliaia [0] 24 2 3 5" xfId="11759" xr:uid="{14BFAED6-E43C-4B05-B313-339E1AF275FA}"/>
    <cellStyle name="Migliaia [0] 24 2 4" xfId="5891" xr:uid="{321D71A6-96F0-4CEA-8BBE-6D80A7ED6033}"/>
    <cellStyle name="Migliaia [0] 24 2 4 2" xfId="19578" xr:uid="{4D9C3FEB-0816-4DA6-8DAF-5AF00373574D}"/>
    <cellStyle name="Migliaia [0] 24 2 5" xfId="2899" xr:uid="{52FEDE21-808D-42CA-BBE6-FF253036C656}"/>
    <cellStyle name="Migliaia [0] 24 2 5 2" xfId="24039" xr:uid="{F4F18EE4-3176-4EA5-8F11-6C599FC7B6C0}"/>
    <cellStyle name="Migliaia [0] 24 2 6" xfId="7252" xr:uid="{DA751EDA-4DFB-4278-BBDE-86A70010E766}"/>
    <cellStyle name="Migliaia [0] 24 3" xfId="1531" xr:uid="{00000000-0005-0000-0000-000018020000}"/>
    <cellStyle name="Migliaia [0] 24 3 2" xfId="4627" xr:uid="{B2FD12AF-5E14-42FD-9661-F7CB5D0D7FEE}"/>
    <cellStyle name="Migliaia [0] 24 3 2 2" xfId="18317" xr:uid="{E8126E42-FDAD-45F8-8BB2-D1B28305E378}"/>
    <cellStyle name="Migliaia [0] 24 3 2 2 2" xfId="21753" xr:uid="{2D7DD33C-D761-4D71-B491-18F9C9EEA696}"/>
    <cellStyle name="Migliaia [0] 24 3 2 2 2 2" xfId="38160" xr:uid="{1AD16440-C08B-457F-9DE1-9E3A65B2A807}"/>
    <cellStyle name="Migliaia [0] 24 3 2 2 3" xfId="43462" xr:uid="{56190268-2C67-4AF7-9083-492B3849C5A7}"/>
    <cellStyle name="Migliaia [0] 24 3 2 2 4" xfId="32809" xr:uid="{BC3B2B38-B96D-43CD-BE0C-C5A6484775EE}"/>
    <cellStyle name="Migliaia [0] 24 3 2 3" xfId="35695" xr:uid="{B0EFF64A-A26E-41CE-8657-17F185509F9C}"/>
    <cellStyle name="Migliaia [0] 24 3 2 4" xfId="40811" xr:uid="{2A277479-E7FB-4784-A423-F634E55AF73D}"/>
    <cellStyle name="Migliaia [0] 24 3 2 5" xfId="47396" xr:uid="{4CB81725-6F58-45DE-B3F8-F4064C08CE66}"/>
    <cellStyle name="Migliaia [0] 24 3 2 6" xfId="50781" xr:uid="{F14B24CE-47D0-47B5-A56E-8F98AD4350C1}"/>
    <cellStyle name="Migliaia [0] 24 3 2 7" xfId="53797" xr:uid="{6D38B9F9-D71A-46BA-AF8D-48A6C9CEBEA7}"/>
    <cellStyle name="Migliaia [0] 24 3 2 8" xfId="17593" xr:uid="{59C7444C-B8CE-412B-9F94-DC9FB567BF5E}"/>
    <cellStyle name="Migliaia [0] 24 3 2 9" xfId="11760" xr:uid="{EBEBADD4-F710-4912-879E-7CC9584EFD53}"/>
    <cellStyle name="Migliaia [0] 24 3 3" xfId="5892" xr:uid="{BB93BE86-7A60-45B5-82ED-230B923BC7E9}"/>
    <cellStyle name="Migliaia [0] 24 3 3 2" xfId="12381" xr:uid="{A532E220-6932-4E85-BD12-35D52A79168D}"/>
    <cellStyle name="Migliaia [0] 24 3 4" xfId="2901" xr:uid="{FE9454FA-D653-4B9C-81DD-3E1D48544ECD}"/>
    <cellStyle name="Migliaia [0] 24 3 4 2" xfId="21285" xr:uid="{B97BA0E3-954A-4E62-83B4-9F6EEC65B42C}"/>
    <cellStyle name="Migliaia [0] 24 3 4 3" xfId="46634" xr:uid="{337581E8-B668-43D4-951D-A530AF972729}"/>
    <cellStyle name="Migliaia [0] 24 3 4 4" xfId="50300" xr:uid="{2DDA440D-CA9A-4F54-8352-7894D126E353}"/>
    <cellStyle name="Migliaia [0] 24 3 4 5" xfId="53316" xr:uid="{CA35EC6C-5040-402C-A096-136B3E22E36C}"/>
    <cellStyle name="Migliaia [0] 24 3 4 6" xfId="10650" xr:uid="{D7ED1917-1F09-46C8-8088-156B8E108FF1}"/>
    <cellStyle name="Migliaia [0] 24 3 5" xfId="19580" xr:uid="{91BEB381-6633-4C9D-A1AB-5B556AD7B5A5}"/>
    <cellStyle name="Migliaia [0] 24 3 6" xfId="24041" xr:uid="{77273011-375C-4F67-8CE0-3A82FFA3859F}"/>
    <cellStyle name="Migliaia [0] 24 3 7" xfId="8200" xr:uid="{E1B5871C-8812-4CA1-A6AE-452EF5F1907D}"/>
    <cellStyle name="Migliaia [0] 24 4" xfId="2902" xr:uid="{BB9FCC56-1F21-498C-A15C-98BC57644022}"/>
    <cellStyle name="Migliaia [0] 24 4 2" xfId="4628" xr:uid="{BA478609-1B24-4B54-A941-36802CF89326}"/>
    <cellStyle name="Migliaia [0] 24 4 2 2" xfId="35085" xr:uid="{B519231B-CFE0-4EA9-BBB4-EDDFF26F1D46}"/>
    <cellStyle name="Migliaia [0] 24 4 2 2 2" xfId="40243" xr:uid="{12874A1D-89A9-4828-AFB8-69DBF8649B35}"/>
    <cellStyle name="Migliaia [0] 24 4 2 2 3" xfId="45545" xr:uid="{416DDD54-A165-421D-B3BD-4D18D6E2A6F8}"/>
    <cellStyle name="Migliaia [0] 24 4 2 3" xfId="37592" xr:uid="{8712E5AB-69B3-41B6-9B01-0B0939AFB909}"/>
    <cellStyle name="Migliaia [0] 24 4 2 4" xfId="42894" xr:uid="{5B98561C-40E0-4B1B-A2C4-D240ED8F9164}"/>
    <cellStyle name="Migliaia [0] 24 4 2 5" xfId="17025" xr:uid="{D2C7277D-B927-4DE1-8042-D3914B055395}"/>
    <cellStyle name="Migliaia [0] 24 4 3" xfId="5893" xr:uid="{312D4EAC-0725-4729-8A71-EBC7C67E8D0B}"/>
    <cellStyle name="Migliaia [0] 24 4 3 2" xfId="38161" xr:uid="{F2E314E2-E8CB-48EC-974C-2944FB9140EB}"/>
    <cellStyle name="Migliaia [0] 24 4 3 3" xfId="43463" xr:uid="{90CFC83E-0F5F-4E9C-8484-F51125D304CC}"/>
    <cellStyle name="Migliaia [0] 24 4 3 4" xfId="32810" xr:uid="{BE1F3467-62F7-4841-8C1E-C2C3A5F0C33B}"/>
    <cellStyle name="Migliaia [0] 24 4 3 5" xfId="19581" xr:uid="{3B3F6AFD-0F0C-463D-8AB2-BC3D87B1FD4E}"/>
    <cellStyle name="Migliaia [0] 24 4 4" xfId="35696" xr:uid="{95246B4D-15FE-42DB-BD6B-8135F0CE9255}"/>
    <cellStyle name="Migliaia [0] 24 4 5" xfId="40812" xr:uid="{8AB86E8C-C643-4F8F-B824-10C28AED6951}"/>
    <cellStyle name="Migliaia [0] 24 4 6" xfId="15967" xr:uid="{8BB9EB68-2775-4B20-B5E2-41F77B123C7D}"/>
    <cellStyle name="Migliaia [0] 24 4 7" xfId="7780" xr:uid="{757050BF-957D-4E31-A415-72E409A5F7AF}"/>
    <cellStyle name="Migliaia [0] 24 5" xfId="4624" xr:uid="{779612A4-8552-4A40-963D-8AF4DE18FBBF}"/>
    <cellStyle name="Migliaia [0] 24 5 2" xfId="32811" xr:uid="{CC9CAC5A-353F-4B2E-AD25-248BBD81D8C6}"/>
    <cellStyle name="Migliaia [0] 24 5 2 2" xfId="38162" xr:uid="{F27C35D0-78FF-436E-9F58-6D7FB45DC1EA}"/>
    <cellStyle name="Migliaia [0] 24 5 2 3" xfId="43464" xr:uid="{E0A88F47-9B05-4339-B0F2-540B6E519BD9}"/>
    <cellStyle name="Migliaia [0] 24 5 3" xfId="35697" xr:uid="{5792B3B4-8B30-43DE-BC37-DFD828B42984}"/>
    <cellStyle name="Migliaia [0] 24 5 4" xfId="40813" xr:uid="{6C2057D0-9025-4B63-8864-A50D8D523E06}"/>
    <cellStyle name="Migliaia [0] 24 5 5" xfId="17094" xr:uid="{3F3F58F3-015A-4299-9053-E0709A1AE381}"/>
    <cellStyle name="Migliaia [0] 24 6" xfId="5890" xr:uid="{8D2E8A9B-7663-4958-BEED-12B3C716EB5B}"/>
    <cellStyle name="Migliaia [0] 24 6 2" xfId="38158" xr:uid="{88766778-401F-4B42-8BE4-AE58525EEEED}"/>
    <cellStyle name="Migliaia [0] 24 6 3" xfId="43460" xr:uid="{2D64A85B-8925-4F0A-8F2E-81B28552E867}"/>
    <cellStyle name="Migliaia [0] 24 6 4" xfId="32807" xr:uid="{AA23AA61-27B5-479C-A982-55BA256C7CDB}"/>
    <cellStyle name="Migliaia [0] 24 6 5" xfId="19577" xr:uid="{54AB6A94-B51C-4541-BA1B-B41FB32D1C72}"/>
    <cellStyle name="Migliaia [0] 24 7" xfId="2898" xr:uid="{E90FC525-A8E2-4B4C-87EA-9E4F1BD20788}"/>
    <cellStyle name="Migliaia [0] 24 7 2" xfId="35693" xr:uid="{2F66E0E7-9FBF-4303-AB47-90AAC148FB6E}"/>
    <cellStyle name="Migliaia [0] 24 8" xfId="40809" xr:uid="{FCAED04F-D2C3-4A21-856A-F74F75C4878D}"/>
    <cellStyle name="Migliaia [0] 24 9" xfId="7001" xr:uid="{F5F5936B-DD61-41FB-8626-ABE5D6FFE451}"/>
    <cellStyle name="Migliaia [0] 25" xfId="259" xr:uid="{00000000-0005-0000-0000-000019020000}"/>
    <cellStyle name="Migliaia [0] 25 2" xfId="1532" xr:uid="{00000000-0005-0000-0000-00001A020000}"/>
    <cellStyle name="Migliaia [0] 25 2 2" xfId="1533" xr:uid="{00000000-0005-0000-0000-00001B020000}"/>
    <cellStyle name="Migliaia [0] 25 2 2 2" xfId="4631" xr:uid="{B5090DFC-94E0-4AD8-A0EE-2515F0FC8078}"/>
    <cellStyle name="Migliaia [0] 25 2 2 2 2" xfId="21754" xr:uid="{BCCFA2A3-B7EF-4F9B-8205-1E9E0FF6D425}"/>
    <cellStyle name="Migliaia [0] 25 2 2 2 3" xfId="46738" xr:uid="{BEA2518D-707D-49FC-925A-D67B2FD39CF2}"/>
    <cellStyle name="Migliaia [0] 25 2 2 2 4" xfId="50782" xr:uid="{3511ED63-0556-4F01-929F-8BED2A969719}"/>
    <cellStyle name="Migliaia [0] 25 2 2 2 5" xfId="53798" xr:uid="{DE942922-3211-41D3-8AB9-71F7B1095FFD}"/>
    <cellStyle name="Migliaia [0] 25 2 2 2 6" xfId="11761" xr:uid="{ED9B6DFC-370D-4B81-854D-F9E11B607951}"/>
    <cellStyle name="Migliaia [0] 25 2 2 3" xfId="2905" xr:uid="{72832195-2E4E-494D-910D-948462742A51}"/>
    <cellStyle name="Migliaia [0] 25 2 2 3 2" xfId="12349" xr:uid="{64E8252E-1F71-4B9F-931E-041444226E94}"/>
    <cellStyle name="Migliaia [0] 25 2 2 4" xfId="10651" xr:uid="{0817FA0C-98C9-4B38-9E52-E3EF76CE52A8}"/>
    <cellStyle name="Migliaia [0] 25 2 2 4 2" xfId="21286" xr:uid="{34E9CA26-8329-404D-A8D0-0BE8ECDC492D}"/>
    <cellStyle name="Migliaia [0] 25 2 2 4 3" xfId="48031" xr:uid="{5FEB3401-B1FC-4F0C-8D12-016C0808D8EF}"/>
    <cellStyle name="Migliaia [0] 25 2 2 4 4" xfId="50301" xr:uid="{B263CCD8-E5BB-48BE-A9AD-61CE8790F8B0}"/>
    <cellStyle name="Migliaia [0] 25 2 2 4 5" xfId="53317" xr:uid="{46624B15-C5D4-40A0-BC54-40DDAF963568}"/>
    <cellStyle name="Migliaia [0] 25 2 2 5" xfId="19584" xr:uid="{058263EE-6C24-45F8-BB32-5009E158ADF2}"/>
    <cellStyle name="Migliaia [0] 25 2 2 6" xfId="24043" xr:uid="{5C1A4126-482A-4D20-9E3B-61B25650166F}"/>
    <cellStyle name="Migliaia [0] 25 2 2 7" xfId="48837" xr:uid="{B75468A9-6ED1-4E0E-A96F-C8539BC34979}"/>
    <cellStyle name="Migliaia [0] 25 2 2 8" xfId="49743" xr:uid="{8162BD3E-C00A-40B0-B25F-EEA265056BD9}"/>
    <cellStyle name="Migliaia [0] 25 2 2 9" xfId="8443" xr:uid="{205DF643-4A7C-4E91-B92B-54C79BFDC0D4}"/>
    <cellStyle name="Migliaia [0] 25 2 3" xfId="4630" xr:uid="{6AD32FF7-4E45-4DDB-8E81-3611D06093CB}"/>
    <cellStyle name="Migliaia [0] 25 2 3 2" xfId="32813" xr:uid="{F7F81DA3-0D44-454E-8025-15C001537251}"/>
    <cellStyle name="Migliaia [0] 25 2 3 2 2" xfId="38164" xr:uid="{C0A00967-E155-4CFB-9750-0EC14CD3C3FB}"/>
    <cellStyle name="Migliaia [0] 25 2 3 2 3" xfId="43466" xr:uid="{47932C86-128B-4CE0-A6C9-B370FEDB0733}"/>
    <cellStyle name="Migliaia [0] 25 2 3 3" xfId="35699" xr:uid="{C38BDCF3-C5FA-4FB2-861B-86702567229C}"/>
    <cellStyle name="Migliaia [0] 25 2 3 4" xfId="40815" xr:uid="{469352D7-6BBE-4FF8-8453-E7029963F8FB}"/>
    <cellStyle name="Migliaia [0] 25 2 3 5" xfId="11762" xr:uid="{BE5610D4-30AF-4499-BAE3-D104C098AD85}"/>
    <cellStyle name="Migliaia [0] 25 2 4" xfId="5895" xr:uid="{B7DC6B56-1DF2-4F63-8C2C-E13F0596504A}"/>
    <cellStyle name="Migliaia [0] 25 2 4 2" xfId="19583" xr:uid="{6370F8A0-B354-4D68-BD30-01469E17533F}"/>
    <cellStyle name="Migliaia [0] 25 2 5" xfId="2904" xr:uid="{683094E8-88C4-4D53-A75F-AC1D737D827C}"/>
    <cellStyle name="Migliaia [0] 25 2 5 2" xfId="24042" xr:uid="{9F3AC309-6BEF-4232-95D3-66327E79B2E0}"/>
    <cellStyle name="Migliaia [0] 25 2 6" xfId="7253" xr:uid="{CCDDD561-27B9-48D2-BB4E-0A4FFFA3400A}"/>
    <cellStyle name="Migliaia [0] 25 3" xfId="1534" xr:uid="{00000000-0005-0000-0000-00001C020000}"/>
    <cellStyle name="Migliaia [0] 25 3 2" xfId="4632" xr:uid="{8A2E62A2-F2A6-4CBC-A98F-D17C0E7F31F3}"/>
    <cellStyle name="Migliaia [0] 25 3 2 2" xfId="18318" xr:uid="{3793F630-FAA5-418C-82FF-E3ED780C25BB}"/>
    <cellStyle name="Migliaia [0] 25 3 2 2 2" xfId="21755" xr:uid="{9F4AF39C-2547-4370-830B-C308E938BE54}"/>
    <cellStyle name="Migliaia [0] 25 3 2 2 2 2" xfId="38165" xr:uid="{52048652-40B1-41E1-B1A8-D47A4AB2B038}"/>
    <cellStyle name="Migliaia [0] 25 3 2 2 3" xfId="43467" xr:uid="{6D17F8FD-F5C8-479B-B27E-F7AED3D20F5B}"/>
    <cellStyle name="Migliaia [0] 25 3 2 2 4" xfId="32814" xr:uid="{A964E3E3-B09F-4FF0-90CB-440136D36384}"/>
    <cellStyle name="Migliaia [0] 25 3 2 3" xfId="35700" xr:uid="{36B7EE76-A77B-40AE-AF4B-9A962E15081A}"/>
    <cellStyle name="Migliaia [0] 25 3 2 4" xfId="40816" xr:uid="{E857AE6D-0E4A-420B-ACC7-5C35D4BB7A61}"/>
    <cellStyle name="Migliaia [0] 25 3 2 5" xfId="48483" xr:uid="{0AC0E654-AB80-47F9-AF8E-CF8EA2CB15F5}"/>
    <cellStyle name="Migliaia [0] 25 3 2 6" xfId="50783" xr:uid="{615380FC-5A3B-4700-9096-AD46681DB160}"/>
    <cellStyle name="Migliaia [0] 25 3 2 7" xfId="53799" xr:uid="{60D294AC-23E6-4648-8627-F3FF1E1B3DE3}"/>
    <cellStyle name="Migliaia [0] 25 3 2 8" xfId="17594" xr:uid="{EE6FF8DF-864D-4AC0-9014-91A1A06C655A}"/>
    <cellStyle name="Migliaia [0] 25 3 2 9" xfId="11763" xr:uid="{2EFC4B3D-6817-4664-9F39-EAF3E57FDE2E}"/>
    <cellStyle name="Migliaia [0] 25 3 3" xfId="5896" xr:uid="{6439D134-E3F6-4CF6-8CC3-A1BECA5312CA}"/>
    <cellStyle name="Migliaia [0] 25 3 3 2" xfId="12214" xr:uid="{D1882262-95E2-4E5B-A215-B57779A231D7}"/>
    <cellStyle name="Migliaia [0] 25 3 4" xfId="2906" xr:uid="{886FB4BD-9996-4294-A612-603012C3814A}"/>
    <cellStyle name="Migliaia [0] 25 3 4 2" xfId="21287" xr:uid="{6A60168E-ED10-4805-8B18-E89D07A953F9}"/>
    <cellStyle name="Migliaia [0] 25 3 4 3" xfId="48139" xr:uid="{F424DBED-1AEC-456E-8675-D951E306A973}"/>
    <cellStyle name="Migliaia [0] 25 3 4 4" xfId="50302" xr:uid="{12EC73F7-14B1-4680-961C-F821B304D475}"/>
    <cellStyle name="Migliaia [0] 25 3 4 5" xfId="53318" xr:uid="{6E534CEF-52D5-4A45-82BE-8D51E2E1C2D8}"/>
    <cellStyle name="Migliaia [0] 25 3 4 6" xfId="10652" xr:uid="{35D7EB89-E092-4ED2-ABAA-00BDC27DFE1C}"/>
    <cellStyle name="Migliaia [0] 25 3 5" xfId="19585" xr:uid="{82688103-488D-4DC6-9D7B-2E03BD252B27}"/>
    <cellStyle name="Migliaia [0] 25 3 6" xfId="24044" xr:uid="{3EF5FCC8-AD5C-4ECA-9BC3-8AF125CE3F4A}"/>
    <cellStyle name="Migliaia [0] 25 3 7" xfId="8201" xr:uid="{2B7C8BFD-D946-4009-B7E1-45DB6506F858}"/>
    <cellStyle name="Migliaia [0] 25 4" xfId="2907" xr:uid="{9CA1A7A0-1B29-4C12-B344-92D3AF42243C}"/>
    <cellStyle name="Migliaia [0] 25 4 2" xfId="4633" xr:uid="{9089F64D-A916-4951-85ED-98A8528F7579}"/>
    <cellStyle name="Migliaia [0] 25 4 2 2" xfId="35086" xr:uid="{9A7FB174-159E-4387-9F5A-80D9178332D7}"/>
    <cellStyle name="Migliaia [0] 25 4 2 2 2" xfId="40244" xr:uid="{33D21B7B-8C43-43ED-B3D8-21631E49F851}"/>
    <cellStyle name="Migliaia [0] 25 4 2 2 3" xfId="45546" xr:uid="{C2FF1BB2-88C7-4E55-900D-686A8B8CDAF3}"/>
    <cellStyle name="Migliaia [0] 25 4 2 3" xfId="37593" xr:uid="{166E98B4-96F0-4454-82FE-B98CE2187AB8}"/>
    <cellStyle name="Migliaia [0] 25 4 2 4" xfId="42895" xr:uid="{59719F5E-D4B1-4672-B528-E717B295ADA3}"/>
    <cellStyle name="Migliaia [0] 25 4 2 5" xfId="17026" xr:uid="{4922DC56-1991-46C2-AA7D-259290EAA74E}"/>
    <cellStyle name="Migliaia [0] 25 4 3" xfId="5897" xr:uid="{90E61FAE-622A-4D77-B697-ADC435DEAE8B}"/>
    <cellStyle name="Migliaia [0] 25 4 3 2" xfId="38166" xr:uid="{DB76BC40-AF91-4148-98D9-B1785EAB8A76}"/>
    <cellStyle name="Migliaia [0] 25 4 3 3" xfId="43468" xr:uid="{2C307326-E07D-439E-B989-8F4FCCB0DF7E}"/>
    <cellStyle name="Migliaia [0] 25 4 3 4" xfId="32815" xr:uid="{BD4947E8-7AC2-4997-B55C-C1510687B204}"/>
    <cellStyle name="Migliaia [0] 25 4 3 5" xfId="19586" xr:uid="{6F4D2FBF-3676-49AE-B8AE-0C36C15F0604}"/>
    <cellStyle name="Migliaia [0] 25 4 4" xfId="35701" xr:uid="{8D354D55-1BFB-4F52-9CD4-BC5000A212CF}"/>
    <cellStyle name="Migliaia [0] 25 4 5" xfId="40817" xr:uid="{32FD9D65-B7D7-429E-90CF-227EE063BEFD}"/>
    <cellStyle name="Migliaia [0] 25 4 6" xfId="15968" xr:uid="{2C07BD11-3286-4C12-8162-F84E2A304799}"/>
    <cellStyle name="Migliaia [0] 25 4 7" xfId="7781" xr:uid="{20EF15E8-24AD-48AC-BA34-B27E3B26A496}"/>
    <cellStyle name="Migliaia [0] 25 5" xfId="4629" xr:uid="{72CEC4A6-2C5B-4D51-BE2B-2546A28A34ED}"/>
    <cellStyle name="Migliaia [0] 25 5 2" xfId="32816" xr:uid="{89CAABF5-D18F-4FA0-A061-90AB93DAAD6C}"/>
    <cellStyle name="Migliaia [0] 25 5 2 2" xfId="38167" xr:uid="{1E5DF9D4-9D1E-4D5D-A743-DC378D52B974}"/>
    <cellStyle name="Migliaia [0] 25 5 2 3" xfId="43469" xr:uid="{7EAD67AF-25BF-4F3D-8A0A-F6AD83DBEEA5}"/>
    <cellStyle name="Migliaia [0] 25 5 3" xfId="35702" xr:uid="{51E03B2B-9F13-4900-B04B-70759B8D493F}"/>
    <cellStyle name="Migliaia [0] 25 5 4" xfId="40818" xr:uid="{9815BB80-1DE6-40C1-92F1-456F5BAF312B}"/>
    <cellStyle name="Migliaia [0] 25 5 5" xfId="17095" xr:uid="{0E12B20D-C738-438A-B3D3-103595EE677A}"/>
    <cellStyle name="Migliaia [0] 25 6" xfId="5894" xr:uid="{B7412778-5E28-471E-A2C6-9E06BDF454DA}"/>
    <cellStyle name="Migliaia [0] 25 6 2" xfId="38163" xr:uid="{121706CA-5184-46FD-9456-467BF00ADCFC}"/>
    <cellStyle name="Migliaia [0] 25 6 3" xfId="43465" xr:uid="{4BC1A859-8692-47DE-A6CA-63A24FB46290}"/>
    <cellStyle name="Migliaia [0] 25 6 4" xfId="32812" xr:uid="{FBDFEF78-B94E-47CD-BABD-EDBC56CA10D8}"/>
    <cellStyle name="Migliaia [0] 25 6 5" xfId="19582" xr:uid="{9ABD9ADC-2106-4BC2-A00A-D7680EB3BA59}"/>
    <cellStyle name="Migliaia [0] 25 7" xfId="2903" xr:uid="{68509254-141A-4CF8-90A9-D31EEE7B995D}"/>
    <cellStyle name="Migliaia [0] 25 7 2" xfId="35698" xr:uid="{ED952B21-E236-4BCC-99EE-10B144641C25}"/>
    <cellStyle name="Migliaia [0] 25 8" xfId="40814" xr:uid="{08054652-805F-497A-90B2-531F4DA87B23}"/>
    <cellStyle name="Migliaia [0] 25 9" xfId="7002" xr:uid="{E806F0AB-1D00-4DF8-BE32-A1CA8C816A35}"/>
    <cellStyle name="Migliaia [0] 26" xfId="260" xr:uid="{00000000-0005-0000-0000-00001D020000}"/>
    <cellStyle name="Migliaia [0] 26 2" xfId="1535" xr:uid="{00000000-0005-0000-0000-00001E020000}"/>
    <cellStyle name="Migliaia [0] 26 2 2" xfId="1536" xr:uid="{00000000-0005-0000-0000-00001F020000}"/>
    <cellStyle name="Migliaia [0] 26 2 2 2" xfId="4636" xr:uid="{B9737711-EAE5-4553-BF69-AAFE002D06FF}"/>
    <cellStyle name="Migliaia [0] 26 2 2 2 2" xfId="21756" xr:uid="{D4D1EA1B-EC69-40F5-8262-5E30029C3AA8}"/>
    <cellStyle name="Migliaia [0] 26 2 2 2 3" xfId="34533" xr:uid="{2F0C810C-6E7F-40BC-9ACC-2EA2845F498F}"/>
    <cellStyle name="Migliaia [0] 26 2 2 2 4" xfId="50784" xr:uid="{6DAD134E-2ADC-47F2-833F-504EEA538F05}"/>
    <cellStyle name="Migliaia [0] 26 2 2 2 5" xfId="53800" xr:uid="{228A3EE8-EBD0-4BB6-B668-6D61771C253B}"/>
    <cellStyle name="Migliaia [0] 26 2 2 2 6" xfId="11764" xr:uid="{B29E48FD-D153-47E8-B258-3DC485709E3B}"/>
    <cellStyle name="Migliaia [0] 26 2 2 3" xfId="2910" xr:uid="{B947241E-5F32-4FA0-A20E-298939BF750B}"/>
    <cellStyle name="Migliaia [0] 26 2 2 3 2" xfId="12348" xr:uid="{89E33656-E240-447C-9356-0270631F1CDF}"/>
    <cellStyle name="Migliaia [0] 26 2 2 4" xfId="10653" xr:uid="{8BD38FAE-078F-49CD-AC36-D2E7DB928A2E}"/>
    <cellStyle name="Migliaia [0] 26 2 2 4 2" xfId="21288" xr:uid="{8FC21C7A-F45B-4473-B862-F80625503946}"/>
    <cellStyle name="Migliaia [0] 26 2 2 4 3" xfId="47956" xr:uid="{BA521B2C-A8D8-4A7C-8273-AB673F11DF9F}"/>
    <cellStyle name="Migliaia [0] 26 2 2 4 4" xfId="50303" xr:uid="{C4F54CE0-7A46-4A73-90CF-483AB1F698B4}"/>
    <cellStyle name="Migliaia [0] 26 2 2 4 5" xfId="53319" xr:uid="{F01148D9-938A-4638-B5DF-7C703375ED8B}"/>
    <cellStyle name="Migliaia [0] 26 2 2 5" xfId="19589" xr:uid="{ECC46592-5869-4029-BEC3-D248631E4B29}"/>
    <cellStyle name="Migliaia [0] 26 2 2 6" xfId="24046" xr:uid="{30AD8C4D-6C77-437E-914B-2A2D10E40C23}"/>
    <cellStyle name="Migliaia [0] 26 2 2 7" xfId="48838" xr:uid="{81EC6C68-67CE-4EA8-9E60-9CE2DBCCC665}"/>
    <cellStyle name="Migliaia [0] 26 2 2 8" xfId="49744" xr:uid="{4CA17755-FDCE-42CC-B5A3-F7228A80CE64}"/>
    <cellStyle name="Migliaia [0] 26 2 2 9" xfId="8444" xr:uid="{8F240FC1-EFC8-42EE-99F2-E0D39324A886}"/>
    <cellStyle name="Migliaia [0] 26 2 3" xfId="4635" xr:uid="{4877A6E5-0802-4165-B18E-53F75344AEF6}"/>
    <cellStyle name="Migliaia [0] 26 2 3 2" xfId="32818" xr:uid="{5EE891CF-BAEA-4E16-9FB1-AA2A6D7936D8}"/>
    <cellStyle name="Migliaia [0] 26 2 3 2 2" xfId="38169" xr:uid="{EBF42C7E-4113-49EB-8A67-23C357501C0E}"/>
    <cellStyle name="Migliaia [0] 26 2 3 2 3" xfId="43471" xr:uid="{2B86D26C-1823-465C-A781-5B5A6F29ADCA}"/>
    <cellStyle name="Migliaia [0] 26 2 3 3" xfId="35704" xr:uid="{8576467B-FB7E-42E8-9625-1241A5E05B1E}"/>
    <cellStyle name="Migliaia [0] 26 2 3 4" xfId="40820" xr:uid="{BD7FF2F2-A02C-4AE0-8C24-FFEBAD63C4EB}"/>
    <cellStyle name="Migliaia [0] 26 2 3 5" xfId="11765" xr:uid="{1D6B84FF-9E03-47B5-85BC-D27A9E73F638}"/>
    <cellStyle name="Migliaia [0] 26 2 4" xfId="5899" xr:uid="{C44FDFA2-4A11-4B6F-A503-2E3D5460EC6B}"/>
    <cellStyle name="Migliaia [0] 26 2 4 2" xfId="19588" xr:uid="{C6A5E565-917C-4185-A855-0B3FF6391673}"/>
    <cellStyle name="Migliaia [0] 26 2 5" xfId="2909" xr:uid="{9DEFA30B-B672-429F-BBB7-2065589B627B}"/>
    <cellStyle name="Migliaia [0] 26 2 5 2" xfId="24045" xr:uid="{E73EE831-61C9-4688-B56B-63A6D9404D2E}"/>
    <cellStyle name="Migliaia [0] 26 2 6" xfId="7254" xr:uid="{067DAB8C-4CB6-4323-BAD1-802AF7A15D62}"/>
    <cellStyle name="Migliaia [0] 26 3" xfId="1537" xr:uid="{00000000-0005-0000-0000-000020020000}"/>
    <cellStyle name="Migliaia [0] 26 3 2" xfId="4637" xr:uid="{7C7ABBF5-297B-46A0-9E43-C78929F61AC8}"/>
    <cellStyle name="Migliaia [0] 26 3 2 2" xfId="18319" xr:uid="{E85D8103-68A4-4546-977E-4D19D2B2A90D}"/>
    <cellStyle name="Migliaia [0] 26 3 2 2 2" xfId="21757" xr:uid="{4451A85D-D390-4B1D-A99C-C99DE0321185}"/>
    <cellStyle name="Migliaia [0] 26 3 2 2 2 2" xfId="38170" xr:uid="{A3838A31-FBF5-478D-B9C0-5B6BB38153EF}"/>
    <cellStyle name="Migliaia [0] 26 3 2 2 3" xfId="43472" xr:uid="{B7B88721-68AA-46A0-AEEF-D7A8A9D39391}"/>
    <cellStyle name="Migliaia [0] 26 3 2 2 4" xfId="32819" xr:uid="{0B7589EE-B9AA-40E8-B705-718397AE360D}"/>
    <cellStyle name="Migliaia [0] 26 3 2 3" xfId="35705" xr:uid="{917AF3B7-5937-4548-849A-FD9AE98CB66D}"/>
    <cellStyle name="Migliaia [0] 26 3 2 4" xfId="40821" xr:uid="{6FB8C264-5C49-46EF-81F1-8919EE81BF1A}"/>
    <cellStyle name="Migliaia [0] 26 3 2 5" xfId="46657" xr:uid="{3AEF1A56-7FA9-4F1A-906B-651B2075E73E}"/>
    <cellStyle name="Migliaia [0] 26 3 2 6" xfId="50785" xr:uid="{5F060DFA-F396-4F23-9A35-AE884A1C9BB9}"/>
    <cellStyle name="Migliaia [0] 26 3 2 7" xfId="53801" xr:uid="{E832C624-92CD-4B41-83DD-9303C12E385E}"/>
    <cellStyle name="Migliaia [0] 26 3 2 8" xfId="17595" xr:uid="{C18755EA-9C01-4C0F-B1A7-D31862496ED7}"/>
    <cellStyle name="Migliaia [0] 26 3 2 9" xfId="11766" xr:uid="{9524D727-CEE6-4166-AB28-87546234F4FC}"/>
    <cellStyle name="Migliaia [0] 26 3 3" xfId="5900" xr:uid="{E7E83485-1306-423F-9E7F-721A7C8DD077}"/>
    <cellStyle name="Migliaia [0] 26 3 3 2" xfId="11114" xr:uid="{FD50A28B-2C14-4C4B-A649-D33C043F9A4B}"/>
    <cellStyle name="Migliaia [0] 26 3 4" xfId="2911" xr:uid="{8F701692-C2D0-4519-B052-2B6E4167A747}"/>
    <cellStyle name="Migliaia [0] 26 3 4 2" xfId="21289" xr:uid="{D6B3675D-4599-4A12-AEAB-78EF68E70CE4}"/>
    <cellStyle name="Migliaia [0] 26 3 4 3" xfId="46176" xr:uid="{E831F632-15DB-4618-9D0B-1DA9C527BF1E}"/>
    <cellStyle name="Migliaia [0] 26 3 4 4" xfId="50304" xr:uid="{1F078E6F-7CB9-41F6-8826-3D3F04EEEF91}"/>
    <cellStyle name="Migliaia [0] 26 3 4 5" xfId="53320" xr:uid="{E544AD16-1580-469E-965D-0F640F8DA9D6}"/>
    <cellStyle name="Migliaia [0] 26 3 4 6" xfId="10654" xr:uid="{DEEDEF68-D508-427F-BE3D-0DE93476F466}"/>
    <cellStyle name="Migliaia [0] 26 3 5" xfId="19590" xr:uid="{37D77216-3EA0-421E-959B-2D21138A6908}"/>
    <cellStyle name="Migliaia [0] 26 3 6" xfId="24047" xr:uid="{9F61D329-C22F-484D-8531-C263B7AC76FD}"/>
    <cellStyle name="Migliaia [0] 26 3 7" xfId="8202" xr:uid="{057B5848-71C2-4CBB-903A-15EEED417B17}"/>
    <cellStyle name="Migliaia [0] 26 4" xfId="2912" xr:uid="{300932ED-6444-481E-A63E-3474F887973B}"/>
    <cellStyle name="Migliaia [0] 26 4 2" xfId="4638" xr:uid="{2BEE4DC9-ABAF-4497-BB54-862219758988}"/>
    <cellStyle name="Migliaia [0] 26 4 2 2" xfId="35087" xr:uid="{0D2F8120-B6E6-4BB6-B981-8D2E97F41EC0}"/>
    <cellStyle name="Migliaia [0] 26 4 2 2 2" xfId="40245" xr:uid="{C97A6D8D-4CC7-47A8-AF7E-90A8F5F67A97}"/>
    <cellStyle name="Migliaia [0] 26 4 2 2 3" xfId="45547" xr:uid="{6E4128B8-686C-47DE-BC00-265FB1C27347}"/>
    <cellStyle name="Migliaia [0] 26 4 2 3" xfId="37594" xr:uid="{C9FD9389-0501-4D5F-8C23-F8946CCE7827}"/>
    <cellStyle name="Migliaia [0] 26 4 2 4" xfId="42896" xr:uid="{771FC5AA-FF38-48F4-A0AA-85F34E677C5F}"/>
    <cellStyle name="Migliaia [0] 26 4 2 5" xfId="17027" xr:uid="{F6D2F6F1-4852-4B2E-B6F3-68CD01DAC9DC}"/>
    <cellStyle name="Migliaia [0] 26 4 3" xfId="5901" xr:uid="{8FA86D06-BA50-4E4A-91D8-87D9576005A5}"/>
    <cellStyle name="Migliaia [0] 26 4 3 2" xfId="38171" xr:uid="{9E774AB2-2C79-47C9-8178-3F4FC7DC8CC9}"/>
    <cellStyle name="Migliaia [0] 26 4 3 3" xfId="43473" xr:uid="{6B26249E-0641-468B-80B9-2E68ED575764}"/>
    <cellStyle name="Migliaia [0] 26 4 3 4" xfId="32820" xr:uid="{FEE0F6DC-08CC-4383-86BA-4CC5630E2BCB}"/>
    <cellStyle name="Migliaia [0] 26 4 3 5" xfId="19591" xr:uid="{9E2A1A8D-C55B-4DC5-97A8-E93C575AC7E1}"/>
    <cellStyle name="Migliaia [0] 26 4 4" xfId="35706" xr:uid="{89EDA794-543C-4379-ADA3-337CFF7A77D1}"/>
    <cellStyle name="Migliaia [0] 26 4 5" xfId="40822" xr:uid="{487A14DD-67B4-4CB2-B52B-4A3290F9B116}"/>
    <cellStyle name="Migliaia [0] 26 4 6" xfId="15969" xr:uid="{D091A908-EE1A-4651-8446-FD0B78E27377}"/>
    <cellStyle name="Migliaia [0] 26 4 7" xfId="7782" xr:uid="{B89927E3-3F38-43DA-90F4-B2163E1646F2}"/>
    <cellStyle name="Migliaia [0] 26 5" xfId="4634" xr:uid="{C7CADD94-98E0-466C-8199-9F1BF3EE0D58}"/>
    <cellStyle name="Migliaia [0] 26 5 2" xfId="32821" xr:uid="{477CB2BE-C55A-49CF-9BA4-CFDBC474D97D}"/>
    <cellStyle name="Migliaia [0] 26 5 2 2" xfId="38172" xr:uid="{7DA0BBEF-AA42-40B8-978A-ACAC2A91EA31}"/>
    <cellStyle name="Migliaia [0] 26 5 2 3" xfId="43474" xr:uid="{829107B3-5378-45B3-A830-D40DBF1CB454}"/>
    <cellStyle name="Migliaia [0] 26 5 3" xfId="35707" xr:uid="{F4DBB535-854B-4AF7-9D1F-FFF39318E0F7}"/>
    <cellStyle name="Migliaia [0] 26 5 4" xfId="40823" xr:uid="{8F78A6CF-8D6A-43FA-B484-1492879CBFE8}"/>
    <cellStyle name="Migliaia [0] 26 5 5" xfId="17096" xr:uid="{C3BBA875-3CA6-4DB5-BBC8-8748DA424970}"/>
    <cellStyle name="Migliaia [0] 26 6" xfId="5898" xr:uid="{6F18E57F-BF5F-4592-9305-A523410066BD}"/>
    <cellStyle name="Migliaia [0] 26 6 2" xfId="38168" xr:uid="{0C4818BC-B1CD-4B54-ABAF-CCCD31C7303E}"/>
    <cellStyle name="Migliaia [0] 26 6 3" xfId="43470" xr:uid="{761A886F-D562-4778-83C3-2395DD1AC1B6}"/>
    <cellStyle name="Migliaia [0] 26 6 4" xfId="32817" xr:uid="{86011AE9-74B9-4E6F-A4AF-6BF5195269A4}"/>
    <cellStyle name="Migliaia [0] 26 6 5" xfId="19587" xr:uid="{D22723BC-E522-4712-A357-E7A3418CEE47}"/>
    <cellStyle name="Migliaia [0] 26 7" xfId="2908" xr:uid="{1D93C62B-FBBF-4F10-9DD2-49D33B58F971}"/>
    <cellStyle name="Migliaia [0] 26 7 2" xfId="35703" xr:uid="{D7190922-D622-440C-BDB8-AF0D1ACE3EBD}"/>
    <cellStyle name="Migliaia [0] 26 8" xfId="40819" xr:uid="{DCA8F0AB-738B-4A35-8305-896C6EDFAFAE}"/>
    <cellStyle name="Migliaia [0] 26 9" xfId="7003" xr:uid="{DFB9F99E-BB60-4125-8B41-D102AB0B0E37}"/>
    <cellStyle name="Migliaia [0] 27" xfId="261" xr:uid="{00000000-0005-0000-0000-000021020000}"/>
    <cellStyle name="Migliaia [0] 27 2" xfId="1538" xr:uid="{00000000-0005-0000-0000-000022020000}"/>
    <cellStyle name="Migliaia [0] 27 2 2" xfId="1539" xr:uid="{00000000-0005-0000-0000-000023020000}"/>
    <cellStyle name="Migliaia [0] 27 2 2 2" xfId="4641" xr:uid="{268BD990-B538-497C-9EAC-7009B292AC09}"/>
    <cellStyle name="Migliaia [0] 27 2 2 2 2" xfId="21758" xr:uid="{CDF31935-3457-4CCB-ABC2-B0CC41FA15FA}"/>
    <cellStyle name="Migliaia [0] 27 2 2 2 3" xfId="24759" xr:uid="{17838286-F6E0-45EB-9226-71719EDDED29}"/>
    <cellStyle name="Migliaia [0] 27 2 2 2 4" xfId="50786" xr:uid="{23EAA712-06CA-40EF-826C-BCBCB76C6CD9}"/>
    <cellStyle name="Migliaia [0] 27 2 2 2 5" xfId="53802" xr:uid="{383BC02C-58DE-47BA-A42D-F6DD4347FA57}"/>
    <cellStyle name="Migliaia [0] 27 2 2 2 6" xfId="11767" xr:uid="{66517645-2FBF-4812-B0AA-B9AB477EA352}"/>
    <cellStyle name="Migliaia [0] 27 2 2 3" xfId="2915" xr:uid="{E856755D-037F-486F-ACD1-97973682B360}"/>
    <cellStyle name="Migliaia [0] 27 2 2 3 2" xfId="12347" xr:uid="{FA300A62-90DF-4E75-BD05-D4479392DF50}"/>
    <cellStyle name="Migliaia [0] 27 2 2 4" xfId="10655" xr:uid="{35FEE5BF-CE56-498B-AC82-06DB53712215}"/>
    <cellStyle name="Migliaia [0] 27 2 2 4 2" xfId="21290" xr:uid="{1F3E79FD-B185-4A30-AD35-46F80CA600D3}"/>
    <cellStyle name="Migliaia [0] 27 2 2 4 3" xfId="47592" xr:uid="{AAB82A6B-8BCF-4521-98B5-E72BFB7EEF01}"/>
    <cellStyle name="Migliaia [0] 27 2 2 4 4" xfId="50305" xr:uid="{EAAEE9E0-1E57-4995-8770-D72572E4BA6D}"/>
    <cellStyle name="Migliaia [0] 27 2 2 4 5" xfId="53321" xr:uid="{A3046F75-C5DF-4E55-89AC-C27458C20F86}"/>
    <cellStyle name="Migliaia [0] 27 2 2 5" xfId="19594" xr:uid="{1EC06637-8768-49F5-B25C-FF93AE287E12}"/>
    <cellStyle name="Migliaia [0] 27 2 2 6" xfId="24049" xr:uid="{E7B27DBD-1C97-4441-A59D-2AFA9504B3DB}"/>
    <cellStyle name="Migliaia [0] 27 2 2 7" xfId="48839" xr:uid="{0504739B-55D3-43EB-8B59-9D237DB950C6}"/>
    <cellStyle name="Migliaia [0] 27 2 2 8" xfId="49745" xr:uid="{6543FC9A-AF5F-448D-AD2D-177FCE0DFF14}"/>
    <cellStyle name="Migliaia [0] 27 2 2 9" xfId="8445" xr:uid="{EBF64AFB-73D6-46E6-82BE-2D77B74E924F}"/>
    <cellStyle name="Migliaia [0] 27 2 3" xfId="4640" xr:uid="{47342181-71DF-425D-BC88-5179270BEAE0}"/>
    <cellStyle name="Migliaia [0] 27 2 3 2" xfId="32823" xr:uid="{E6CD2616-EF49-4156-814D-654A980A25A9}"/>
    <cellStyle name="Migliaia [0] 27 2 3 2 2" xfId="38174" xr:uid="{03560B3E-697B-48ED-B5BA-8CB6B53B4897}"/>
    <cellStyle name="Migliaia [0] 27 2 3 2 3" xfId="43476" xr:uid="{162720DE-4C9F-4853-AFB8-653F782B2E5D}"/>
    <cellStyle name="Migliaia [0] 27 2 3 3" xfId="35709" xr:uid="{6CE53864-5609-4DA3-AA68-0C09F1101D13}"/>
    <cellStyle name="Migliaia [0] 27 2 3 4" xfId="40825" xr:uid="{93E4C6A4-98C4-4577-A2E1-B8339E1CB895}"/>
    <cellStyle name="Migliaia [0] 27 2 3 5" xfId="11768" xr:uid="{960A83ED-0A5C-4A49-8B95-13237E778DDD}"/>
    <cellStyle name="Migliaia [0] 27 2 4" xfId="5903" xr:uid="{B8F3148B-CC5E-443F-82DB-E1C84FF73D7A}"/>
    <cellStyle name="Migliaia [0] 27 2 4 2" xfId="19593" xr:uid="{421938C9-337E-45E0-BDEF-2EC8AC1C03B9}"/>
    <cellStyle name="Migliaia [0] 27 2 5" xfId="2914" xr:uid="{08DCAB53-8B6E-427E-BC60-ABE2063DD635}"/>
    <cellStyle name="Migliaia [0] 27 2 5 2" xfId="24048" xr:uid="{658051A0-1552-4DE7-A71C-874F54B0C559}"/>
    <cellStyle name="Migliaia [0] 27 2 6" xfId="7255" xr:uid="{A108CF9C-8A52-4C70-B48C-2570A587D1FE}"/>
    <cellStyle name="Migliaia [0] 27 3" xfId="1540" xr:uid="{00000000-0005-0000-0000-000024020000}"/>
    <cellStyle name="Migliaia [0] 27 3 2" xfId="4642" xr:uid="{3A6068C0-C1B4-49C2-9E25-58708E8807A0}"/>
    <cellStyle name="Migliaia [0] 27 3 2 2" xfId="18320" xr:uid="{445EE35E-FF6C-4699-B50F-C74E11913E94}"/>
    <cellStyle name="Migliaia [0] 27 3 2 2 2" xfId="21759" xr:uid="{C0717B1B-5316-4A50-A160-8CDECB3491AA}"/>
    <cellStyle name="Migliaia [0] 27 3 2 2 2 2" xfId="38175" xr:uid="{0BC057B8-D13D-4ABA-8E45-7D8DE621D355}"/>
    <cellStyle name="Migliaia [0] 27 3 2 2 3" xfId="43477" xr:uid="{AC837E76-1470-4861-9953-45008DE072EE}"/>
    <cellStyle name="Migliaia [0] 27 3 2 2 4" xfId="32824" xr:uid="{0834E0BD-8791-4FDB-8DCC-A6864A2E9B00}"/>
    <cellStyle name="Migliaia [0] 27 3 2 3" xfId="35710" xr:uid="{9C75DB87-3AE0-4804-9DAF-01E3607FAF49}"/>
    <cellStyle name="Migliaia [0] 27 3 2 4" xfId="40826" xr:uid="{8F890242-C005-4542-97AE-C805E9CEDE2A}"/>
    <cellStyle name="Migliaia [0] 27 3 2 5" xfId="48583" xr:uid="{DBCA8793-6D17-4683-8A88-B89414D9B976}"/>
    <cellStyle name="Migliaia [0] 27 3 2 6" xfId="50787" xr:uid="{E1911A14-234A-459A-A035-81A890C35673}"/>
    <cellStyle name="Migliaia [0] 27 3 2 7" xfId="53803" xr:uid="{3EA0C62E-AD53-4654-A149-F61166101F46}"/>
    <cellStyle name="Migliaia [0] 27 3 2 8" xfId="17596" xr:uid="{5EF8595F-FEFC-4CE0-A6A5-3A2159F54D8C}"/>
    <cellStyle name="Migliaia [0] 27 3 2 9" xfId="11769" xr:uid="{6F6DE2DE-5DEF-4B0B-9941-96A5C4619141}"/>
    <cellStyle name="Migliaia [0] 27 3 3" xfId="5904" xr:uid="{2AC384F1-AB72-4ACE-8CCD-FBCDE10D336B}"/>
    <cellStyle name="Migliaia [0] 27 3 3 2" xfId="11666" xr:uid="{3A0B2F49-CA37-44B5-A09D-D5C69887B833}"/>
    <cellStyle name="Migliaia [0] 27 3 4" xfId="2916" xr:uid="{17F3FFE5-3BE4-4D52-A141-1805BC7CEF11}"/>
    <cellStyle name="Migliaia [0] 27 3 4 2" xfId="21291" xr:uid="{D1B3F2AF-24D9-4566-8C87-62D5F02BA7C0}"/>
    <cellStyle name="Migliaia [0] 27 3 4 3" xfId="46989" xr:uid="{758F5432-0E9E-49F6-BE6B-212BEE88C8E1}"/>
    <cellStyle name="Migliaia [0] 27 3 4 4" xfId="50306" xr:uid="{C8E503C7-6B47-4E25-B1B3-0EAF062221DC}"/>
    <cellStyle name="Migliaia [0] 27 3 4 5" xfId="53322" xr:uid="{3880B13F-370B-4FF3-B573-1533962D95BE}"/>
    <cellStyle name="Migliaia [0] 27 3 4 6" xfId="10656" xr:uid="{4AC872CB-B374-4224-BDA9-3E18407BC4D7}"/>
    <cellStyle name="Migliaia [0] 27 3 5" xfId="19595" xr:uid="{DE3F40A5-C812-4354-8AFE-7676D0CD3D5D}"/>
    <cellStyle name="Migliaia [0] 27 3 6" xfId="24050" xr:uid="{D0F1ED7F-8F3E-4CDF-8F32-A1E5C3B47F51}"/>
    <cellStyle name="Migliaia [0] 27 3 7" xfId="8203" xr:uid="{D93880E1-1C29-4B8F-9728-6E2A5751891E}"/>
    <cellStyle name="Migliaia [0] 27 4" xfId="2917" xr:uid="{9717CEA8-237F-46A2-A637-D9E6FBDEECF4}"/>
    <cellStyle name="Migliaia [0] 27 4 2" xfId="4643" xr:uid="{B099B58A-88B2-4189-B900-2693634DD165}"/>
    <cellStyle name="Migliaia [0] 27 4 2 2" xfId="35088" xr:uid="{AF335D54-10F7-4C1D-9CCA-3A314F312DA0}"/>
    <cellStyle name="Migliaia [0] 27 4 2 2 2" xfId="40246" xr:uid="{220CC4AA-3A80-434A-B5DF-81B4A0E81A34}"/>
    <cellStyle name="Migliaia [0] 27 4 2 2 3" xfId="45548" xr:uid="{3D4DB1B9-7663-44DE-AC17-D2A3079FCDDB}"/>
    <cellStyle name="Migliaia [0] 27 4 2 3" xfId="37595" xr:uid="{4A164C4B-549C-49B9-98CB-6991EDDCA201}"/>
    <cellStyle name="Migliaia [0] 27 4 2 4" xfId="42897" xr:uid="{A8159385-901D-48E3-9424-F0CAD711E9F2}"/>
    <cellStyle name="Migliaia [0] 27 4 2 5" xfId="17028" xr:uid="{9F78D02B-4CF5-4F47-BB17-749D8E152CA0}"/>
    <cellStyle name="Migliaia [0] 27 4 3" xfId="5905" xr:uid="{0A897DE7-4F4F-49B6-9BC6-D464FE26E338}"/>
    <cellStyle name="Migliaia [0] 27 4 3 2" xfId="38176" xr:uid="{6AACED4E-6495-4857-8AC2-166E6E1F580A}"/>
    <cellStyle name="Migliaia [0] 27 4 3 3" xfId="43478" xr:uid="{A5E9F9E1-5717-4DA2-AC20-FE4A70A919C1}"/>
    <cellStyle name="Migliaia [0] 27 4 3 4" xfId="32825" xr:uid="{3480FC74-744A-489B-BEAF-D6B1914C86E8}"/>
    <cellStyle name="Migliaia [0] 27 4 3 5" xfId="19596" xr:uid="{748819C3-D39C-467D-88F6-81DB640B8EA2}"/>
    <cellStyle name="Migliaia [0] 27 4 4" xfId="35711" xr:uid="{30426099-1443-4A40-B5E1-5B80BD68D225}"/>
    <cellStyle name="Migliaia [0] 27 4 5" xfId="40827" xr:uid="{973249FA-3431-4D8A-B032-9D3111F535B4}"/>
    <cellStyle name="Migliaia [0] 27 4 6" xfId="15970" xr:uid="{4C6F62A7-8C57-4656-B83E-B64305BBA8E1}"/>
    <cellStyle name="Migliaia [0] 27 4 7" xfId="7783" xr:uid="{2755C34C-BD0A-4CA8-874B-BA3C5E02BBDB}"/>
    <cellStyle name="Migliaia [0] 27 5" xfId="4639" xr:uid="{A8D139F9-AF86-4FBE-9DB5-CC3149F99CD5}"/>
    <cellStyle name="Migliaia [0] 27 5 2" xfId="32826" xr:uid="{665CB3D4-ADEA-4FAD-94BB-F0D1C848A242}"/>
    <cellStyle name="Migliaia [0] 27 5 2 2" xfId="38177" xr:uid="{DFC084A9-DD4E-4C93-9B86-C61827BDB580}"/>
    <cellStyle name="Migliaia [0] 27 5 2 3" xfId="43479" xr:uid="{D28F5111-600A-4EFF-925A-596F56B4C675}"/>
    <cellStyle name="Migliaia [0] 27 5 3" xfId="35712" xr:uid="{EDA852E7-1764-41D1-8ADB-E2F6CCDAC276}"/>
    <cellStyle name="Migliaia [0] 27 5 4" xfId="40828" xr:uid="{0782F96E-26B8-42E2-B43D-274A139D4C00}"/>
    <cellStyle name="Migliaia [0] 27 5 5" xfId="17097" xr:uid="{3DDBD2DB-32DC-4A62-8383-42ACB2EB1449}"/>
    <cellStyle name="Migliaia [0] 27 6" xfId="5902" xr:uid="{75A44408-B09C-484B-8B99-B7A549CE31D3}"/>
    <cellStyle name="Migliaia [0] 27 6 2" xfId="38173" xr:uid="{A47EEE1F-21C6-4770-A1FC-4C28BE73C64F}"/>
    <cellStyle name="Migliaia [0] 27 6 3" xfId="43475" xr:uid="{BC7CB776-D648-4AC7-BC07-6DDA39674686}"/>
    <cellStyle name="Migliaia [0] 27 6 4" xfId="32822" xr:uid="{506C4198-F86B-42A4-A61E-FC46ADF22AB0}"/>
    <cellStyle name="Migliaia [0] 27 6 5" xfId="19592" xr:uid="{DA1F42C4-5F94-4507-99C9-1CD7D9C197BB}"/>
    <cellStyle name="Migliaia [0] 27 7" xfId="2913" xr:uid="{3CF28187-CC39-4D05-A768-C9624C5ECFCE}"/>
    <cellStyle name="Migliaia [0] 27 7 2" xfId="35708" xr:uid="{BF7B9FA0-D40C-42E4-9E7E-DD40262BCD87}"/>
    <cellStyle name="Migliaia [0] 27 8" xfId="40824" xr:uid="{0809E972-9D15-4951-9A95-515407D2494B}"/>
    <cellStyle name="Migliaia [0] 27 9" xfId="7004" xr:uid="{5D623223-FF95-4FF2-9A78-6F29EAAEC34B}"/>
    <cellStyle name="Migliaia [0] 28" xfId="262" xr:uid="{00000000-0005-0000-0000-000025020000}"/>
    <cellStyle name="Migliaia [0] 28 2" xfId="1541" xr:uid="{00000000-0005-0000-0000-000026020000}"/>
    <cellStyle name="Migliaia [0] 28 2 2" xfId="1542" xr:uid="{00000000-0005-0000-0000-000027020000}"/>
    <cellStyle name="Migliaia [0] 28 2 2 2" xfId="4646" xr:uid="{309F0A69-FEDC-4EBD-91CF-D43AB26DD3CE}"/>
    <cellStyle name="Migliaia [0] 28 2 2 2 2" xfId="21760" xr:uid="{116CD4F9-C613-4C39-9F78-243B7E1FB3C9}"/>
    <cellStyle name="Migliaia [0] 28 2 2 2 3" xfId="47715" xr:uid="{DF4C23A8-A65C-4515-9C72-A15CBCCC8471}"/>
    <cellStyle name="Migliaia [0] 28 2 2 2 4" xfId="50788" xr:uid="{F248DB2A-1C4D-4BDF-BAC6-96C422CDBAC4}"/>
    <cellStyle name="Migliaia [0] 28 2 2 2 5" xfId="53804" xr:uid="{E5A8674D-757D-45AA-AC40-F22CDFC29EBC}"/>
    <cellStyle name="Migliaia [0] 28 2 2 2 6" xfId="11770" xr:uid="{5182EE91-1CD5-4616-8FBA-CDC8E92F0631}"/>
    <cellStyle name="Migliaia [0] 28 2 2 3" xfId="2920" xr:uid="{972CAD39-9268-4747-B92B-B163652710E8}"/>
    <cellStyle name="Migliaia [0] 28 2 2 3 2" xfId="12184" xr:uid="{9A1C0056-803B-4F98-A463-16D6CC67CF89}"/>
    <cellStyle name="Migliaia [0] 28 2 2 4" xfId="10657" xr:uid="{DD15FAEC-AFD2-4F68-BEBA-6428294082C4}"/>
    <cellStyle name="Migliaia [0] 28 2 2 4 2" xfId="21292" xr:uid="{C7A19D1A-D01E-416D-BB72-30FCB1B630A3}"/>
    <cellStyle name="Migliaia [0] 28 2 2 4 3" xfId="48551" xr:uid="{8F1D1DBC-DFCB-4BA3-AEAF-4C9096B2C53F}"/>
    <cellStyle name="Migliaia [0] 28 2 2 4 4" xfId="50307" xr:uid="{EB787DD4-4FC2-42CF-9DD5-C08FBF1FE00D}"/>
    <cellStyle name="Migliaia [0] 28 2 2 4 5" xfId="53323" xr:uid="{99496EDF-91AF-4F31-B64A-A94000BBD011}"/>
    <cellStyle name="Migliaia [0] 28 2 2 5" xfId="19599" xr:uid="{FA1EDC98-DFE5-4677-BB26-AF7F5FCAD709}"/>
    <cellStyle name="Migliaia [0] 28 2 2 6" xfId="24052" xr:uid="{ABAFADA6-1F03-46EB-AB1D-CB240E65C41C}"/>
    <cellStyle name="Migliaia [0] 28 2 2 7" xfId="48840" xr:uid="{AD713166-F914-4FD7-B446-2AA1DC173C57}"/>
    <cellStyle name="Migliaia [0] 28 2 2 8" xfId="49746" xr:uid="{6B6D1C96-4630-4373-B080-F23DB64451F8}"/>
    <cellStyle name="Migliaia [0] 28 2 2 9" xfId="8446" xr:uid="{0A570440-5C65-42B5-A3DF-25320D2626E1}"/>
    <cellStyle name="Migliaia [0] 28 2 3" xfId="4645" xr:uid="{6CFA231B-F1ED-4B7D-91ED-6AAD74037BB6}"/>
    <cellStyle name="Migliaia [0] 28 2 3 2" xfId="32828" xr:uid="{334EECD9-79BE-43E9-ADA1-59D9FE2D384D}"/>
    <cellStyle name="Migliaia [0] 28 2 3 2 2" xfId="38179" xr:uid="{E46D6A55-1593-409C-B806-CC455BCF3B7D}"/>
    <cellStyle name="Migliaia [0] 28 2 3 2 3" xfId="43481" xr:uid="{57FAFAB9-61EF-4D3F-918B-68B8980A4F00}"/>
    <cellStyle name="Migliaia [0] 28 2 3 3" xfId="35714" xr:uid="{8B55CE78-8B7B-49C1-BCAF-A06EEF6A539E}"/>
    <cellStyle name="Migliaia [0] 28 2 3 4" xfId="40830" xr:uid="{BCF0F6C2-6373-434F-B8FE-944D45A0AEEC}"/>
    <cellStyle name="Migliaia [0] 28 2 3 5" xfId="11771" xr:uid="{10ABAE7E-2857-46BF-99EA-3C56EEFADCE7}"/>
    <cellStyle name="Migliaia [0] 28 2 4" xfId="5907" xr:uid="{251FA81D-AB71-48AD-B317-BEF9FC84FEF2}"/>
    <cellStyle name="Migliaia [0] 28 2 4 2" xfId="19598" xr:uid="{63792C33-F026-4B2E-A700-B2AC8C271444}"/>
    <cellStyle name="Migliaia [0] 28 2 5" xfId="2919" xr:uid="{8AFBD575-FD75-4996-A1FE-F7A5B68D1AEC}"/>
    <cellStyle name="Migliaia [0] 28 2 5 2" xfId="24051" xr:uid="{AE177A97-F17E-48E1-B629-4F25BC6F29D3}"/>
    <cellStyle name="Migliaia [0] 28 2 6" xfId="7256" xr:uid="{6501E1A6-DDED-4415-A54E-15E91BD8056A}"/>
    <cellStyle name="Migliaia [0] 28 3" xfId="1543" xr:uid="{00000000-0005-0000-0000-000028020000}"/>
    <cellStyle name="Migliaia [0] 28 3 2" xfId="4647" xr:uid="{C9F1638F-A612-4E26-822F-C49C065AA5C1}"/>
    <cellStyle name="Migliaia [0] 28 3 2 2" xfId="18321" xr:uid="{B6874D7A-9156-40FF-B1AC-B18C829CB833}"/>
    <cellStyle name="Migliaia [0] 28 3 2 2 2" xfId="21761" xr:uid="{0124B923-7525-4996-94C9-F0EE50E0C623}"/>
    <cellStyle name="Migliaia [0] 28 3 2 2 2 2" xfId="38180" xr:uid="{52C62247-5F12-462D-BDDA-D4EA52C22B21}"/>
    <cellStyle name="Migliaia [0] 28 3 2 2 3" xfId="43482" xr:uid="{F32E0AA9-C1CE-4026-BDE4-C0BAC816F573}"/>
    <cellStyle name="Migliaia [0] 28 3 2 2 4" xfId="32829" xr:uid="{E8BCCF32-CFCD-41A0-86B5-B2CBABE332DD}"/>
    <cellStyle name="Migliaia [0] 28 3 2 3" xfId="35715" xr:uid="{9868B92D-D02F-4CB6-A523-E028A3883503}"/>
    <cellStyle name="Migliaia [0] 28 3 2 4" xfId="40831" xr:uid="{1A9EC8FC-4EC6-42B9-A722-5BD61A72D97B}"/>
    <cellStyle name="Migliaia [0] 28 3 2 5" xfId="25131" xr:uid="{BA3FC05B-F60E-405B-A0A9-2ED818526965}"/>
    <cellStyle name="Migliaia [0] 28 3 2 6" xfId="50789" xr:uid="{EE85BC0C-8399-46FA-88B0-76CD31D413BD}"/>
    <cellStyle name="Migliaia [0] 28 3 2 7" xfId="53805" xr:uid="{568A9A02-DB77-49CB-ADB9-6E11278749D7}"/>
    <cellStyle name="Migliaia [0] 28 3 2 8" xfId="17597" xr:uid="{A5AF7039-113F-441B-988C-5AA39C98D9E4}"/>
    <cellStyle name="Migliaia [0] 28 3 2 9" xfId="11772" xr:uid="{CB5B88DF-4C81-47B2-9B41-E54FE3B7F9D3}"/>
    <cellStyle name="Migliaia [0] 28 3 3" xfId="5908" xr:uid="{AD3BD267-C619-4A2E-BF43-858B637FEFBF}"/>
    <cellStyle name="Migliaia [0] 28 3 3 2" xfId="12380" xr:uid="{CC393FF7-F1E4-4137-ABB8-12D1E4F39606}"/>
    <cellStyle name="Migliaia [0] 28 3 4" xfId="2921" xr:uid="{BB761218-FD25-4E4F-9FC9-5F4DB99D1B05}"/>
    <cellStyle name="Migliaia [0] 28 3 4 2" xfId="21293" xr:uid="{5BDDCBE0-31BF-48D2-A409-A64A6D7489E6}"/>
    <cellStyle name="Migliaia [0] 28 3 4 3" xfId="46635" xr:uid="{4B815C0F-92CA-4D6D-B8D6-C25D53C0D8E9}"/>
    <cellStyle name="Migliaia [0] 28 3 4 4" xfId="50308" xr:uid="{02927D4E-E338-4761-9FA3-13164532EB7D}"/>
    <cellStyle name="Migliaia [0] 28 3 4 5" xfId="53324" xr:uid="{E9B72ECE-9B77-4781-BBC6-463D927CF1DF}"/>
    <cellStyle name="Migliaia [0] 28 3 4 6" xfId="10658" xr:uid="{3E01D44B-0D1F-450C-9AE3-7A9B48F7431D}"/>
    <cellStyle name="Migliaia [0] 28 3 5" xfId="19600" xr:uid="{83F2FABD-FE7B-4F1A-A264-F1FEBFB8A156}"/>
    <cellStyle name="Migliaia [0] 28 3 6" xfId="24053" xr:uid="{38343BB9-8471-4938-B697-B64BBD727BA4}"/>
    <cellStyle name="Migliaia [0] 28 3 7" xfId="8204" xr:uid="{CDB0DB46-FCCE-4B79-9B7E-04CAAB3336E5}"/>
    <cellStyle name="Migliaia [0] 28 4" xfId="2922" xr:uid="{DEA92358-B272-4FE0-AE91-A2842FC939D3}"/>
    <cellStyle name="Migliaia [0] 28 4 2" xfId="4648" xr:uid="{7FD87A0B-D4C2-46E6-B46D-AA83F52E2C57}"/>
    <cellStyle name="Migliaia [0] 28 4 2 2" xfId="35089" xr:uid="{9C3C065A-EFAC-429C-B1FD-C44ABDEB4349}"/>
    <cellStyle name="Migliaia [0] 28 4 2 2 2" xfId="40247" xr:uid="{33AA064C-5EB8-4BC5-BC35-EEBEC2C37C93}"/>
    <cellStyle name="Migliaia [0] 28 4 2 2 3" xfId="45549" xr:uid="{8812B971-1A3E-464B-89FE-5868FEFE1832}"/>
    <cellStyle name="Migliaia [0] 28 4 2 3" xfId="37596" xr:uid="{5555519B-DC6A-4D15-B182-C4F7FEC789E9}"/>
    <cellStyle name="Migliaia [0] 28 4 2 4" xfId="42898" xr:uid="{4E1A644D-877F-4A38-AD27-E4540432A3A4}"/>
    <cellStyle name="Migliaia [0] 28 4 2 5" xfId="17029" xr:uid="{CB070FDD-1E6E-4D9D-9ABB-60F349D757AB}"/>
    <cellStyle name="Migliaia [0] 28 4 3" xfId="5909" xr:uid="{22311123-DA4C-42A9-B729-C6E26B91FD1E}"/>
    <cellStyle name="Migliaia [0] 28 4 3 2" xfId="38181" xr:uid="{023B0426-EB9A-4167-9F57-5AA98A04282A}"/>
    <cellStyle name="Migliaia [0] 28 4 3 3" xfId="43483" xr:uid="{69785015-6259-4C31-94C5-945639E2C02A}"/>
    <cellStyle name="Migliaia [0] 28 4 3 4" xfId="32830" xr:uid="{C12769E0-EFF8-4D04-9E7C-15F73D8903E4}"/>
    <cellStyle name="Migliaia [0] 28 4 3 5" xfId="19601" xr:uid="{9FB226DE-940F-4E02-91C1-EDCAC7C8A05D}"/>
    <cellStyle name="Migliaia [0] 28 4 4" xfId="35716" xr:uid="{E6C908F1-9A03-44B9-BFCD-C4A272CF01BE}"/>
    <cellStyle name="Migliaia [0] 28 4 5" xfId="40832" xr:uid="{4EEDC04A-94E8-46F6-A404-1553DD485055}"/>
    <cellStyle name="Migliaia [0] 28 4 6" xfId="15971" xr:uid="{84810FFB-9160-449B-8196-9E3BEAD617F0}"/>
    <cellStyle name="Migliaia [0] 28 4 7" xfId="7784" xr:uid="{2CE92BCD-C42B-447E-BC31-DD213370BBFF}"/>
    <cellStyle name="Migliaia [0] 28 5" xfId="4644" xr:uid="{EDCC0872-2C33-4E58-8A06-A33642B213B0}"/>
    <cellStyle name="Migliaia [0] 28 5 2" xfId="32831" xr:uid="{7DBF59A2-AD1D-4609-B647-14CA8F200873}"/>
    <cellStyle name="Migliaia [0] 28 5 2 2" xfId="38182" xr:uid="{CB2D8D22-87B9-401C-89CE-A622020E5F60}"/>
    <cellStyle name="Migliaia [0] 28 5 2 3" xfId="43484" xr:uid="{561A21B4-F512-4EE5-95D1-AA9B0DBBB584}"/>
    <cellStyle name="Migliaia [0] 28 5 3" xfId="35717" xr:uid="{C2511FEE-AD0D-4FBB-943B-329C9F44D504}"/>
    <cellStyle name="Migliaia [0] 28 5 4" xfId="40833" xr:uid="{7A087FC7-2D06-4ABD-9D8A-28C9A11AF215}"/>
    <cellStyle name="Migliaia [0] 28 5 5" xfId="17098" xr:uid="{032FA917-4326-4E84-91A6-B28E04F920AE}"/>
    <cellStyle name="Migliaia [0] 28 6" xfId="5906" xr:uid="{6C5458CD-F69C-40DD-8E6E-3A40428ED8F9}"/>
    <cellStyle name="Migliaia [0] 28 6 2" xfId="38178" xr:uid="{98A3927E-37BA-4C3B-9CD7-1F1A6F42454D}"/>
    <cellStyle name="Migliaia [0] 28 6 3" xfId="43480" xr:uid="{33C08163-AB7D-42E1-91DB-ED5BDEE61ABE}"/>
    <cellStyle name="Migliaia [0] 28 6 4" xfId="32827" xr:uid="{92489CDD-3E5D-4CD8-987E-68611B420CB2}"/>
    <cellStyle name="Migliaia [0] 28 6 5" xfId="19597" xr:uid="{7B5DB784-7E77-4A0D-920A-14F8C2BEDC08}"/>
    <cellStyle name="Migliaia [0] 28 7" xfId="2918" xr:uid="{D845EC11-BD87-4950-AA3B-FDA87D329966}"/>
    <cellStyle name="Migliaia [0] 28 7 2" xfId="35713" xr:uid="{C337E2DE-8DDD-4513-B002-AE29F640A44E}"/>
    <cellStyle name="Migliaia [0] 28 8" xfId="40829" xr:uid="{C90EBC00-C8AD-44F1-94BF-FDF09888568C}"/>
    <cellStyle name="Migliaia [0] 28 9" xfId="7005" xr:uid="{9C9B985D-9523-4B73-BD35-6DD9EBB9F2B2}"/>
    <cellStyle name="Migliaia [0] 29" xfId="263" xr:uid="{00000000-0005-0000-0000-000029020000}"/>
    <cellStyle name="Migliaia [0] 29 2" xfId="1544" xr:uid="{00000000-0005-0000-0000-00002A020000}"/>
    <cellStyle name="Migliaia [0] 29 2 2" xfId="1545" xr:uid="{00000000-0005-0000-0000-00002B020000}"/>
    <cellStyle name="Migliaia [0] 29 2 2 2" xfId="4651" xr:uid="{D5801C32-99DB-4218-8F35-03CD6965A3FF}"/>
    <cellStyle name="Migliaia [0] 29 2 2 2 2" xfId="21762" xr:uid="{16EB1A11-BF78-43B6-99D5-70E4BADB3A81}"/>
    <cellStyle name="Migliaia [0] 29 2 2 2 3" xfId="47223" xr:uid="{3BABCA93-B548-4099-869F-C79969202ED6}"/>
    <cellStyle name="Migliaia [0] 29 2 2 2 4" xfId="50790" xr:uid="{98D9FD8D-2DE6-4615-A367-43A237E2B01E}"/>
    <cellStyle name="Migliaia [0] 29 2 2 2 5" xfId="53806" xr:uid="{E70FB230-06BA-4042-B47A-05F31EAFD170}"/>
    <cellStyle name="Migliaia [0] 29 2 2 2 6" xfId="11773" xr:uid="{E6A3F435-D14B-4B2A-978F-99B0C990FDA7}"/>
    <cellStyle name="Migliaia [0] 29 2 2 3" xfId="2925" xr:uid="{720BB586-176C-4735-9304-8C1255CE65AA}"/>
    <cellStyle name="Migliaia [0] 29 2 2 3 2" xfId="11552" xr:uid="{94F6842B-8575-4581-ADF6-032DCB26CBD5}"/>
    <cellStyle name="Migliaia [0] 29 2 2 4" xfId="10659" xr:uid="{EE991B17-60B0-484F-B287-D94A0F2ADCF5}"/>
    <cellStyle name="Migliaia [0] 29 2 2 4 2" xfId="21294" xr:uid="{D5A77288-D2BF-4649-8EE4-EADD421BE6D5}"/>
    <cellStyle name="Migliaia [0] 29 2 2 4 3" xfId="24762" xr:uid="{97E3375F-EDFD-4DA3-B21F-5DA773058466}"/>
    <cellStyle name="Migliaia [0] 29 2 2 4 4" xfId="50309" xr:uid="{47F3319A-A7A7-460A-A142-016C8582C55E}"/>
    <cellStyle name="Migliaia [0] 29 2 2 4 5" xfId="53325" xr:uid="{4DF133AA-471C-4285-B642-845D63EDCCF0}"/>
    <cellStyle name="Migliaia [0] 29 2 2 5" xfId="19604" xr:uid="{5261861F-56B0-4886-98C5-2D9BEDC01E7E}"/>
    <cellStyle name="Migliaia [0] 29 2 2 6" xfId="24055" xr:uid="{2BE5B963-890F-4B94-8413-B501EE597C82}"/>
    <cellStyle name="Migliaia [0] 29 2 2 7" xfId="48841" xr:uid="{2C6FB79E-AAA0-4434-9FD3-9798323F7ACA}"/>
    <cellStyle name="Migliaia [0] 29 2 2 8" xfId="49747" xr:uid="{5A380FFE-0BEA-4DC9-8E33-9EE357FB65DC}"/>
    <cellStyle name="Migliaia [0] 29 2 2 9" xfId="8447" xr:uid="{FB78E38C-E2A4-4E19-9B10-F99D923D075A}"/>
    <cellStyle name="Migliaia [0] 29 2 3" xfId="4650" xr:uid="{E85F9595-857A-4B21-8C0B-5F92D4B77AD4}"/>
    <cellStyle name="Migliaia [0] 29 2 3 2" xfId="32833" xr:uid="{3EA8FC3D-DF7F-482D-89F5-ADDA6360DAC5}"/>
    <cellStyle name="Migliaia [0] 29 2 3 2 2" xfId="38184" xr:uid="{4FDCB8AD-6046-4F05-9B22-85D497B152C7}"/>
    <cellStyle name="Migliaia [0] 29 2 3 2 3" xfId="43486" xr:uid="{047FAE6B-55E7-4193-A873-07119B845FCD}"/>
    <cellStyle name="Migliaia [0] 29 2 3 3" xfId="35719" xr:uid="{AAE57916-C024-4A5D-8DC3-235C3510A5A5}"/>
    <cellStyle name="Migliaia [0] 29 2 3 4" xfId="40835" xr:uid="{B330523F-3822-4DCD-9BB9-6ECB1F770FD3}"/>
    <cellStyle name="Migliaia [0] 29 2 3 5" xfId="11774" xr:uid="{07AD5279-87D0-49AA-B7CF-03D393561D2B}"/>
    <cellStyle name="Migliaia [0] 29 2 4" xfId="5911" xr:uid="{1B3209BF-D4C5-4116-AC4D-A38380EFCBD9}"/>
    <cellStyle name="Migliaia [0] 29 2 4 2" xfId="19603" xr:uid="{C1E57267-AC0D-45AD-97B2-E058A85FE6B5}"/>
    <cellStyle name="Migliaia [0] 29 2 5" xfId="2924" xr:uid="{394CB796-BD80-400D-95FC-54A45E0A49FC}"/>
    <cellStyle name="Migliaia [0] 29 2 5 2" xfId="24054" xr:uid="{622591CA-3245-493D-A5D0-E492C36C8238}"/>
    <cellStyle name="Migliaia [0] 29 2 6" xfId="7257" xr:uid="{D89AB884-042A-4908-939B-05574AA44CEE}"/>
    <cellStyle name="Migliaia [0] 29 3" xfId="1546" xr:uid="{00000000-0005-0000-0000-00002C020000}"/>
    <cellStyle name="Migliaia [0] 29 3 2" xfId="4652" xr:uid="{82E57E02-C640-4980-B6E8-6B4592377112}"/>
    <cellStyle name="Migliaia [0] 29 3 2 2" xfId="18322" xr:uid="{F41FA497-79FB-49F2-8BA4-A73FF7E4D36B}"/>
    <cellStyle name="Migliaia [0] 29 3 2 2 2" xfId="21763" xr:uid="{A75FCD6D-3DB1-4665-A4E9-996022DADF1C}"/>
    <cellStyle name="Migliaia [0] 29 3 2 2 2 2" xfId="38185" xr:uid="{A0378308-D69F-4CD2-B3D8-58CB02C1F38D}"/>
    <cellStyle name="Migliaia [0] 29 3 2 2 3" xfId="43487" xr:uid="{76EB9DEC-FDF7-4315-899D-C921F9D49217}"/>
    <cellStyle name="Migliaia [0] 29 3 2 2 4" xfId="32834" xr:uid="{E93EABAF-4040-4CB7-91A9-3FD0BE7F51BB}"/>
    <cellStyle name="Migliaia [0] 29 3 2 3" xfId="35720" xr:uid="{F0909EDC-6323-4D11-AD7E-437B70E749D8}"/>
    <cellStyle name="Migliaia [0] 29 3 2 4" xfId="40836" xr:uid="{ECE4BDD5-C33F-4F2C-9DA0-474E5E3EBDC5}"/>
    <cellStyle name="Migliaia [0] 29 3 2 5" xfId="47462" xr:uid="{8B4C9EEA-F6C9-43DA-9581-0AB2B168BD9D}"/>
    <cellStyle name="Migliaia [0] 29 3 2 6" xfId="50791" xr:uid="{704C167D-600C-433A-A84E-5C1CD73700A7}"/>
    <cellStyle name="Migliaia [0] 29 3 2 7" xfId="53807" xr:uid="{FACEADEA-BFCE-4813-B663-CAFD0F3F7A78}"/>
    <cellStyle name="Migliaia [0] 29 3 2 8" xfId="17598" xr:uid="{61E08B85-77BE-4964-A81B-88A9429E6016}"/>
    <cellStyle name="Migliaia [0] 29 3 2 9" xfId="11775" xr:uid="{B004C889-936C-4637-AC56-110FB2FE034F}"/>
    <cellStyle name="Migliaia [0] 29 3 3" xfId="5912" xr:uid="{82A21DAD-DFF2-4C7A-B2AD-3CBFD3DBE395}"/>
    <cellStyle name="Migliaia [0] 29 3 3 2" xfId="12211" xr:uid="{3120D6A7-D813-4E15-BDE1-D72AA5F4EEC7}"/>
    <cellStyle name="Migliaia [0] 29 3 4" xfId="2926" xr:uid="{38DC9599-8A18-41A1-97DA-821F407D2C1C}"/>
    <cellStyle name="Migliaia [0] 29 3 4 2" xfId="21295" xr:uid="{DADE2133-8D11-40CF-BB30-C9B129EE8754}"/>
    <cellStyle name="Migliaia [0] 29 3 4 3" xfId="47062" xr:uid="{C78F784D-7866-4250-9C08-0AF6F0599BDE}"/>
    <cellStyle name="Migliaia [0] 29 3 4 4" xfId="50310" xr:uid="{2093CA93-61EE-41AA-AC61-2A5CF4B30A01}"/>
    <cellStyle name="Migliaia [0] 29 3 4 5" xfId="53326" xr:uid="{42D8D12B-596D-407D-B2C7-0DD6F894556C}"/>
    <cellStyle name="Migliaia [0] 29 3 4 6" xfId="10660" xr:uid="{F3BA85A4-C826-4FB5-B8AC-D40D7134B510}"/>
    <cellStyle name="Migliaia [0] 29 3 5" xfId="19605" xr:uid="{742964F5-5A6C-485B-9BAE-9C1601771B1B}"/>
    <cellStyle name="Migliaia [0] 29 3 6" xfId="24056" xr:uid="{EA206B71-5267-4E28-9BA2-FC03E9F02B95}"/>
    <cellStyle name="Migliaia [0] 29 3 7" xfId="8205" xr:uid="{34FC0C95-8DC0-4576-B828-F4B6DA0ABE44}"/>
    <cellStyle name="Migliaia [0] 29 4" xfId="2927" xr:uid="{F5A24B15-08AF-4283-A86E-109EC7697FE4}"/>
    <cellStyle name="Migliaia [0] 29 4 2" xfId="4653" xr:uid="{204BFE5A-E34E-4C78-ABC6-EE816F37BAE1}"/>
    <cellStyle name="Migliaia [0] 29 4 2 2" xfId="35090" xr:uid="{14A150CA-53CC-4CAA-B36D-6F81F8479DB6}"/>
    <cellStyle name="Migliaia [0] 29 4 2 2 2" xfId="40248" xr:uid="{EB357118-7649-435D-9997-83D0A4FC026B}"/>
    <cellStyle name="Migliaia [0] 29 4 2 2 3" xfId="45550" xr:uid="{D36D839C-7A5F-484B-BFC1-1BA366C21FA0}"/>
    <cellStyle name="Migliaia [0] 29 4 2 3" xfId="37597" xr:uid="{C1DF6F00-EFD2-4407-963D-8379B308E215}"/>
    <cellStyle name="Migliaia [0] 29 4 2 4" xfId="42899" xr:uid="{43C498AC-ED7A-4955-B10C-DBD219C8A44C}"/>
    <cellStyle name="Migliaia [0] 29 4 2 5" xfId="17030" xr:uid="{E6317495-3659-48A4-BED9-984781FBD85F}"/>
    <cellStyle name="Migliaia [0] 29 4 3" xfId="5913" xr:uid="{0244F6CE-BDA6-4F96-948F-4416C4A37D19}"/>
    <cellStyle name="Migliaia [0] 29 4 3 2" xfId="38186" xr:uid="{3E983A79-6D84-4924-9A0D-6C23CB947821}"/>
    <cellStyle name="Migliaia [0] 29 4 3 3" xfId="43488" xr:uid="{03B2EE92-AAC1-4AB9-B87C-9C01CC377243}"/>
    <cellStyle name="Migliaia [0] 29 4 3 4" xfId="32835" xr:uid="{9826C80C-6557-4572-83CC-D060525259F6}"/>
    <cellStyle name="Migliaia [0] 29 4 3 5" xfId="19606" xr:uid="{E070E520-4D9E-4DA3-A7F2-4A665DADCD44}"/>
    <cellStyle name="Migliaia [0] 29 4 4" xfId="35721" xr:uid="{FF41614E-7B45-460D-A2F1-26E87CFDBC6A}"/>
    <cellStyle name="Migliaia [0] 29 4 5" xfId="40837" xr:uid="{E7D7A69A-471F-4EE4-A349-17F18E20D0EA}"/>
    <cellStyle name="Migliaia [0] 29 4 6" xfId="15972" xr:uid="{F653B93A-7557-48DF-BAC6-3317D891956D}"/>
    <cellStyle name="Migliaia [0] 29 4 7" xfId="7785" xr:uid="{55A95F8F-2FED-45F2-9124-B75CB41DCC35}"/>
    <cellStyle name="Migliaia [0] 29 5" xfId="4649" xr:uid="{191B8EE5-3A0C-4C13-A23F-2873E043F1D9}"/>
    <cellStyle name="Migliaia [0] 29 5 2" xfId="32836" xr:uid="{40A8EE63-D4CB-4304-ACA6-BD28592682D2}"/>
    <cellStyle name="Migliaia [0] 29 5 2 2" xfId="38187" xr:uid="{2202A95C-18DF-4C17-9BFE-9AC9EE34D9F3}"/>
    <cellStyle name="Migliaia [0] 29 5 2 3" xfId="43489" xr:uid="{42DC092D-707E-4DBB-A738-0054CDBC27FD}"/>
    <cellStyle name="Migliaia [0] 29 5 3" xfId="35722" xr:uid="{AF444F0A-E368-42E6-BF9D-025F552866C2}"/>
    <cellStyle name="Migliaia [0] 29 5 4" xfId="40838" xr:uid="{00AA025E-7E3C-4A1B-8574-7531E8DEAEF1}"/>
    <cellStyle name="Migliaia [0] 29 5 5" xfId="17099" xr:uid="{C3769B9A-59DF-402A-9D7D-403CCC9A086D}"/>
    <cellStyle name="Migliaia [0] 29 6" xfId="5910" xr:uid="{1FBCF564-56A6-4811-8D47-346ED1AA1E9B}"/>
    <cellStyle name="Migliaia [0] 29 6 2" xfId="38183" xr:uid="{C2175896-77D9-4249-A945-F021DB6FA353}"/>
    <cellStyle name="Migliaia [0] 29 6 3" xfId="43485" xr:uid="{1CDC4345-E790-48B2-95FE-AB98A4C93404}"/>
    <cellStyle name="Migliaia [0] 29 6 4" xfId="32832" xr:uid="{8E771B09-8137-4729-B1FF-AACE8A400F25}"/>
    <cellStyle name="Migliaia [0] 29 6 5" xfId="19602" xr:uid="{35E107F3-7F5F-48D0-B29F-C15D604C7D1E}"/>
    <cellStyle name="Migliaia [0] 29 7" xfId="2923" xr:uid="{33BE0ABB-E903-41C0-9A7A-FE95D2A9E70F}"/>
    <cellStyle name="Migliaia [0] 29 7 2" xfId="35718" xr:uid="{7BCE4A9F-81F9-4C24-8151-1E84C666B6DC}"/>
    <cellStyle name="Migliaia [0] 29 8" xfId="40834" xr:uid="{21AE321D-476C-4B80-9D28-F26D7C4D36ED}"/>
    <cellStyle name="Migliaia [0] 29 9" xfId="7006" xr:uid="{E6A24B07-63FD-4A17-8C7D-080752159FE1}"/>
    <cellStyle name="Migliaia [0] 3" xfId="264" xr:uid="{00000000-0005-0000-0000-00002D020000}"/>
    <cellStyle name="Migliaia [0] 3 2" xfId="1547" xr:uid="{00000000-0005-0000-0000-00002E020000}"/>
    <cellStyle name="Migliaia [0] 3 2 2" xfId="1548" xr:uid="{00000000-0005-0000-0000-00002F020000}"/>
    <cellStyle name="Migliaia [0] 3 2 2 2" xfId="4656" xr:uid="{16B01420-7FC7-450C-8E6B-C8BF9BECE2C2}"/>
    <cellStyle name="Migliaia [0] 3 2 2 2 2" xfId="21764" xr:uid="{A928C344-6885-4D91-9C32-03886BB199F6}"/>
    <cellStyle name="Migliaia [0] 3 2 2 2 3" xfId="47910" xr:uid="{8C454160-E324-4D74-9F7E-DE2B602989FE}"/>
    <cellStyle name="Migliaia [0] 3 2 2 2 4" xfId="50792" xr:uid="{4BC57D9C-3936-46DC-8D70-AD3E143F5B49}"/>
    <cellStyle name="Migliaia [0] 3 2 2 2 5" xfId="53808" xr:uid="{BCCED8F4-91C6-4560-AA15-EFBF0957F541}"/>
    <cellStyle name="Migliaia [0] 3 2 2 2 6" xfId="11776" xr:uid="{94442C21-019C-48BA-B803-4DB08D3E4D73}"/>
    <cellStyle name="Migliaia [0] 3 2 2 3" xfId="2930" xr:uid="{3EC3DB64-8F58-4833-B37F-C6B23F3507ED}"/>
    <cellStyle name="Migliaia [0] 3 2 2 3 2" xfId="12346" xr:uid="{E407B9A3-E58E-4731-AABE-1BCDB24A1870}"/>
    <cellStyle name="Migliaia [0] 3 2 2 4" xfId="10661" xr:uid="{E0C87A32-8000-4EC3-8777-B6D0DA013A97}"/>
    <cellStyle name="Migliaia [0] 3 2 2 4 2" xfId="21296" xr:uid="{2AC6B1AE-FE00-4139-9293-7E2C30098216}"/>
    <cellStyle name="Migliaia [0] 3 2 2 4 3" xfId="48527" xr:uid="{F60CBA09-162E-426D-A4EB-4A56840B4F04}"/>
    <cellStyle name="Migliaia [0] 3 2 2 4 4" xfId="50311" xr:uid="{9C9DB4AB-0CF6-4401-88B2-122CA7300085}"/>
    <cellStyle name="Migliaia [0] 3 2 2 4 5" xfId="53327" xr:uid="{E720B4E4-70F7-490C-92D3-94D411998183}"/>
    <cellStyle name="Migliaia [0] 3 2 2 5" xfId="19609" xr:uid="{F437297F-25E2-4F6B-BB7F-12A2954CA6D3}"/>
    <cellStyle name="Migliaia [0] 3 2 2 6" xfId="24058" xr:uid="{E5D4973D-C9B1-4520-80F2-1FB6AE7019F6}"/>
    <cellStyle name="Migliaia [0] 3 2 2 7" xfId="48842" xr:uid="{34B9FB95-2006-421E-A1CA-182439EAD208}"/>
    <cellStyle name="Migliaia [0] 3 2 2 8" xfId="49748" xr:uid="{58E3C009-F434-45C5-95E2-770229EC9DAE}"/>
    <cellStyle name="Migliaia [0] 3 2 2 9" xfId="8448" xr:uid="{9CCC8BFC-BAE6-4274-89E5-F50781B3E526}"/>
    <cellStyle name="Migliaia [0] 3 2 3" xfId="4655" xr:uid="{9DE57690-7635-4E91-A6A1-6F628884FB86}"/>
    <cellStyle name="Migliaia [0] 3 2 3 2" xfId="32838" xr:uid="{B011B512-6A17-4E93-A8B9-F374EDD50F33}"/>
    <cellStyle name="Migliaia [0] 3 2 3 2 2" xfId="38189" xr:uid="{42580127-9EA6-4714-8EA5-1DE4C3969D50}"/>
    <cellStyle name="Migliaia [0] 3 2 3 2 3" xfId="43491" xr:uid="{B8540C45-BF32-4BC0-85DE-A27A87139B9F}"/>
    <cellStyle name="Migliaia [0] 3 2 3 3" xfId="35724" xr:uid="{8C43B12E-0DA6-471E-86C0-06144FB98C3D}"/>
    <cellStyle name="Migliaia [0] 3 2 3 4" xfId="40840" xr:uid="{5C7BA148-1E27-4E01-96DF-0AD56E33001F}"/>
    <cellStyle name="Migliaia [0] 3 2 3 5" xfId="11777" xr:uid="{AB15D920-974A-4B63-8675-BEAFE7AABBE5}"/>
    <cellStyle name="Migliaia [0] 3 2 4" xfId="5915" xr:uid="{E3B84E8B-0F94-4D35-B280-44F7E0CF4D8E}"/>
    <cellStyle name="Migliaia [0] 3 2 4 2" xfId="19608" xr:uid="{983FA37A-9589-4C2A-84D1-D07C22D56794}"/>
    <cellStyle name="Migliaia [0] 3 2 5" xfId="2929" xr:uid="{D5BC513D-945B-4C4E-A2DC-12047BEAFD27}"/>
    <cellStyle name="Migliaia [0] 3 2 5 2" xfId="24057" xr:uid="{FA7AF015-5AD4-471D-B59F-82D4A6DB69B5}"/>
    <cellStyle name="Migliaia [0] 3 2 6" xfId="7258" xr:uid="{1FC5E909-D156-49B0-8702-44D0799F8DD4}"/>
    <cellStyle name="Migliaia [0] 3 3" xfId="1549" xr:uid="{00000000-0005-0000-0000-000030020000}"/>
    <cellStyle name="Migliaia [0] 3 3 2" xfId="4657" xr:uid="{51780C54-36CD-417D-B343-B08B55FF5EB1}"/>
    <cellStyle name="Migliaia [0] 3 3 2 2" xfId="18323" xr:uid="{3E96F3F5-D3E8-41CC-88CD-8028ED6A392B}"/>
    <cellStyle name="Migliaia [0] 3 3 2 2 2" xfId="21765" xr:uid="{82227222-9691-4A10-82AD-44262D543637}"/>
    <cellStyle name="Migliaia [0] 3 3 2 2 2 2" xfId="38190" xr:uid="{D8E5A2D0-AFE7-4230-9DF0-D230BD7F86E0}"/>
    <cellStyle name="Migliaia [0] 3 3 2 2 3" xfId="43492" xr:uid="{90479EEC-7FA3-4705-9255-A676894254A2}"/>
    <cellStyle name="Migliaia [0] 3 3 2 2 4" xfId="32839" xr:uid="{C53F73E1-DC1E-4189-AE76-6CCE4EAB8811}"/>
    <cellStyle name="Migliaia [0] 3 3 2 3" xfId="35725" xr:uid="{FB070936-EDA0-4948-BA73-53FD8530C511}"/>
    <cellStyle name="Migliaia [0] 3 3 2 4" xfId="40841" xr:uid="{B16C678F-4F06-4748-B6CC-0C04E5593254}"/>
    <cellStyle name="Migliaia [0] 3 3 2 5" xfId="47986" xr:uid="{CD8E9D5C-BE7D-4078-8CC2-9855CCCF7047}"/>
    <cellStyle name="Migliaia [0] 3 3 2 6" xfId="50793" xr:uid="{6A79DF2E-8181-47DF-9DFF-CF87741CCD73}"/>
    <cellStyle name="Migliaia [0] 3 3 2 7" xfId="53809" xr:uid="{C0208071-B0D3-44A7-9698-B305596314D4}"/>
    <cellStyle name="Migliaia [0] 3 3 2 8" xfId="17599" xr:uid="{03456750-AAE2-43CF-919F-DE098FEF53F2}"/>
    <cellStyle name="Migliaia [0] 3 3 2 9" xfId="11778" xr:uid="{3D105CBB-B5BF-43A0-B10B-C2ED4162559C}"/>
    <cellStyle name="Migliaia [0] 3 3 3" xfId="5916" xr:uid="{612F8D8D-994A-42DD-8D27-866C56C341EC}"/>
    <cellStyle name="Migliaia [0] 3 3 3 2" xfId="12212" xr:uid="{029B71C5-2159-4A80-9135-C8FFEEBDC4B0}"/>
    <cellStyle name="Migliaia [0] 3 3 4" xfId="2931" xr:uid="{723E80F8-C384-4C28-A62D-51060AC0B376}"/>
    <cellStyle name="Migliaia [0] 3 3 4 2" xfId="21297" xr:uid="{136D9239-335F-4349-A041-51A72F4B9601}"/>
    <cellStyle name="Migliaia [0] 3 3 4 3" xfId="48465" xr:uid="{81B91BA7-54EA-4A90-97C4-A254AD3FF549}"/>
    <cellStyle name="Migliaia [0] 3 3 4 4" xfId="50312" xr:uid="{29ECC19E-AC30-4812-8DA6-F3787D6F3B3B}"/>
    <cellStyle name="Migliaia [0] 3 3 4 5" xfId="53328" xr:uid="{1ABC58B3-16E5-4B04-AEF8-8B2A0B679F42}"/>
    <cellStyle name="Migliaia [0] 3 3 4 6" xfId="10662" xr:uid="{C9164677-D577-4BAC-9B02-1D2A7591B3FD}"/>
    <cellStyle name="Migliaia [0] 3 3 5" xfId="19610" xr:uid="{C3FA2AC6-3C5A-491C-8C7C-EB49F401575A}"/>
    <cellStyle name="Migliaia [0] 3 3 6" xfId="24059" xr:uid="{57C31D6E-4E10-4D8C-8ED5-9E92F7C1466C}"/>
    <cellStyle name="Migliaia [0] 3 3 7" xfId="8206" xr:uid="{E04CB525-C829-46DB-97DC-2A043519EBD1}"/>
    <cellStyle name="Migliaia [0] 3 4" xfId="2932" xr:uid="{828C6A43-A9F6-417C-A7C3-839A8585DAF8}"/>
    <cellStyle name="Migliaia [0] 3 4 2" xfId="4658" xr:uid="{4266368E-5720-4834-8CA0-C12ABB4F240C}"/>
    <cellStyle name="Migliaia [0] 3 4 2 2" xfId="35091" xr:uid="{5FACE868-DD25-413D-9615-3BCC4D7E7E43}"/>
    <cellStyle name="Migliaia [0] 3 4 2 2 2" xfId="40249" xr:uid="{3F66A8EF-DCF4-449A-8742-8E11A3CB206D}"/>
    <cellStyle name="Migliaia [0] 3 4 2 2 3" xfId="45551" xr:uid="{12A94E4E-22EC-4E7C-AFBB-D62C68C47510}"/>
    <cellStyle name="Migliaia [0] 3 4 2 3" xfId="37598" xr:uid="{B66C3575-C386-472C-A160-9329363D4BF9}"/>
    <cellStyle name="Migliaia [0] 3 4 2 4" xfId="42900" xr:uid="{A87D3059-8270-4D95-BDEC-7F087F94B196}"/>
    <cellStyle name="Migliaia [0] 3 4 2 5" xfId="17031" xr:uid="{4CD03E06-C2CA-4D16-83E9-E78E8E4AEE75}"/>
    <cellStyle name="Migliaia [0] 3 4 3" xfId="5917" xr:uid="{0C8B52F7-BD36-4E29-8E52-A961E578A7AD}"/>
    <cellStyle name="Migliaia [0] 3 4 3 2" xfId="38191" xr:uid="{6EED8AA3-64E2-47C3-AE9C-BB5A7EA7DB92}"/>
    <cellStyle name="Migliaia [0] 3 4 3 3" xfId="43493" xr:uid="{6D102E14-339F-4241-9B0D-E889236CC6F2}"/>
    <cellStyle name="Migliaia [0] 3 4 3 4" xfId="32840" xr:uid="{0CFFEED4-3FDC-4BCF-B502-6973B9664E2C}"/>
    <cellStyle name="Migliaia [0] 3 4 3 5" xfId="19611" xr:uid="{4B6D0C1B-FE47-4995-A94A-59A8E81C2C01}"/>
    <cellStyle name="Migliaia [0] 3 4 4" xfId="35726" xr:uid="{803C1A1D-3EF4-437D-A4A6-0F4A42613040}"/>
    <cellStyle name="Migliaia [0] 3 4 5" xfId="40842" xr:uid="{EE7F6493-6C77-4063-AAA9-17142E32F4D2}"/>
    <cellStyle name="Migliaia [0] 3 4 6" xfId="15973" xr:uid="{52AEBA5E-0DAA-4AF4-9DAF-CDF8FC5BE48E}"/>
    <cellStyle name="Migliaia [0] 3 4 7" xfId="7786" xr:uid="{EACEDEF9-BDF7-43D4-8A9F-86A436641923}"/>
    <cellStyle name="Migliaia [0] 3 5" xfId="4654" xr:uid="{CC5EBAC2-DC75-4000-98B9-D16A423DDC34}"/>
    <cellStyle name="Migliaia [0] 3 5 2" xfId="32841" xr:uid="{2257D87E-60FB-448A-A879-39936057DC4B}"/>
    <cellStyle name="Migliaia [0] 3 5 2 2" xfId="38192" xr:uid="{45F9F90A-B637-4914-878C-72FF5CC94383}"/>
    <cellStyle name="Migliaia [0] 3 5 2 3" xfId="43494" xr:uid="{A73FCC91-CB3D-4CC9-B6CE-27EEF97B42B6}"/>
    <cellStyle name="Migliaia [0] 3 5 3" xfId="35727" xr:uid="{299B4298-D032-4030-A51B-D787AF462690}"/>
    <cellStyle name="Migliaia [0] 3 5 4" xfId="40843" xr:uid="{DEAF7787-A8A0-47E0-A49C-FE74C7D49227}"/>
    <cellStyle name="Migliaia [0] 3 5 5" xfId="17100" xr:uid="{717A2CC6-B198-4AA2-A7B9-E475FB042816}"/>
    <cellStyle name="Migliaia [0] 3 6" xfId="5914" xr:uid="{25E9EB59-3685-4CF4-84BC-075D06C3B0A3}"/>
    <cellStyle name="Migliaia [0] 3 6 2" xfId="38188" xr:uid="{0F9B16DE-FCFD-4406-B74F-1EAA42EE9B19}"/>
    <cellStyle name="Migliaia [0] 3 6 3" xfId="43490" xr:uid="{FCDAA2C2-67BD-4BFA-B4B3-FB184D93392F}"/>
    <cellStyle name="Migliaia [0] 3 6 4" xfId="32837" xr:uid="{B85ADB57-BDDE-4C72-A98C-F657E6180359}"/>
    <cellStyle name="Migliaia [0] 3 6 5" xfId="19607" xr:uid="{647DD766-2579-4AC7-963A-37AC9F945DCF}"/>
    <cellStyle name="Migliaia [0] 3 7" xfId="2928" xr:uid="{486EDCC6-333D-4BF1-8B0E-CFEF90D3DF83}"/>
    <cellStyle name="Migliaia [0] 3 7 2" xfId="35723" xr:uid="{3D249D79-8DEF-451D-B9ED-28F4B2BFF693}"/>
    <cellStyle name="Migliaia [0] 3 8" xfId="40839" xr:uid="{BF3CCB42-7772-4236-8863-8CEEBE948FC2}"/>
    <cellStyle name="Migliaia [0] 3 9" xfId="7007" xr:uid="{C4BE1D2A-E8BB-4407-8D3E-26D522B38AF3}"/>
    <cellStyle name="Migliaia [0] 30" xfId="265" xr:uid="{00000000-0005-0000-0000-000031020000}"/>
    <cellStyle name="Migliaia [0] 30 2" xfId="1550" xr:uid="{00000000-0005-0000-0000-000032020000}"/>
    <cellStyle name="Migliaia [0] 30 2 2" xfId="1551" xr:uid="{00000000-0005-0000-0000-000033020000}"/>
    <cellStyle name="Migliaia [0] 30 2 2 2" xfId="4661" xr:uid="{3B9E95A9-0D4D-4F5F-90CF-DA2709414F2F}"/>
    <cellStyle name="Migliaia [0] 30 2 2 2 2" xfId="21766" xr:uid="{F6F6F39E-85AE-4518-A828-CEDE9E5F69A1}"/>
    <cellStyle name="Migliaia [0] 30 2 2 2 3" xfId="46739" xr:uid="{D75DEB10-5BE0-49DE-8957-D50EE579FE99}"/>
    <cellStyle name="Migliaia [0] 30 2 2 2 4" xfId="50794" xr:uid="{7D229390-9E41-4F00-967C-2B4805DD5E56}"/>
    <cellStyle name="Migliaia [0] 30 2 2 2 5" xfId="53810" xr:uid="{DBBD90CD-2352-4FDC-80B0-CB97CB0D41D6}"/>
    <cellStyle name="Migliaia [0] 30 2 2 2 6" xfId="11779" xr:uid="{DC77C715-FE0F-42FC-A0A3-0E2739E9E823}"/>
    <cellStyle name="Migliaia [0] 30 2 2 3" xfId="2935" xr:uid="{8D56536F-DC48-4686-A265-701069B89922}"/>
    <cellStyle name="Migliaia [0] 30 2 2 3 2" xfId="12345" xr:uid="{46511D94-EE69-4088-9577-69DE7D6C4CCF}"/>
    <cellStyle name="Migliaia [0] 30 2 2 4" xfId="10663" xr:uid="{ABA9665D-AD6A-4752-B442-D439D4C3383D}"/>
    <cellStyle name="Migliaia [0] 30 2 2 4 2" xfId="21298" xr:uid="{35B7112A-9332-4F2C-A708-86E26A79A1CB}"/>
    <cellStyle name="Migliaia [0] 30 2 2 4 3" xfId="46177" xr:uid="{31DF51C2-3F32-4D7E-B9CB-29801A9D96D2}"/>
    <cellStyle name="Migliaia [0] 30 2 2 4 4" xfId="50313" xr:uid="{5E250A98-25AF-4E57-92D3-A9288251A9CA}"/>
    <cellStyle name="Migliaia [0] 30 2 2 4 5" xfId="53329" xr:uid="{B04B6BD1-21B3-471E-9E78-CB902D00A71B}"/>
    <cellStyle name="Migliaia [0] 30 2 2 5" xfId="19614" xr:uid="{1350CFD2-DEBA-4D6C-AC42-D52C79260A59}"/>
    <cellStyle name="Migliaia [0] 30 2 2 6" xfId="24061" xr:uid="{CB9C5FC4-C2D9-4FF4-A589-30D469D6C53B}"/>
    <cellStyle name="Migliaia [0] 30 2 2 7" xfId="48843" xr:uid="{7878DDD4-45B5-4D8D-9286-B0E67C233D65}"/>
    <cellStyle name="Migliaia [0] 30 2 2 8" xfId="49749" xr:uid="{E2FFC32F-CFCD-4F59-B31B-2628972E0C19}"/>
    <cellStyle name="Migliaia [0] 30 2 2 9" xfId="8449" xr:uid="{0BEB5BF2-F086-401B-AAA4-A83951B98E1C}"/>
    <cellStyle name="Migliaia [0] 30 2 3" xfId="4660" xr:uid="{02DA3125-4EFB-42DE-B414-710D3DC40C09}"/>
    <cellStyle name="Migliaia [0] 30 2 3 2" xfId="32843" xr:uid="{8AF92B00-EE75-4924-AFF1-1C8862ECD340}"/>
    <cellStyle name="Migliaia [0] 30 2 3 2 2" xfId="38194" xr:uid="{0182AB9C-E4C2-4B35-89B2-205F7CCB1BD5}"/>
    <cellStyle name="Migliaia [0] 30 2 3 2 3" xfId="43496" xr:uid="{F08C3C6D-AEB3-421A-BAD4-C8E9898B71FF}"/>
    <cellStyle name="Migliaia [0] 30 2 3 3" xfId="35729" xr:uid="{F87D9C8E-8359-4BEE-B866-EB2A76348BF3}"/>
    <cellStyle name="Migliaia [0] 30 2 3 4" xfId="40845" xr:uid="{4C82D764-51F1-4DF2-9809-3DB3AE794B58}"/>
    <cellStyle name="Migliaia [0] 30 2 3 5" xfId="11780" xr:uid="{E93FB617-45FB-4673-9346-66AFB1E077F6}"/>
    <cellStyle name="Migliaia [0] 30 2 4" xfId="5919" xr:uid="{16C5FE11-9E49-4A1B-A7B5-3355D4F44771}"/>
    <cellStyle name="Migliaia [0] 30 2 4 2" xfId="19613" xr:uid="{545F17B6-0D06-492A-B1A7-9E95D390ACC3}"/>
    <cellStyle name="Migliaia [0] 30 2 5" xfId="2934" xr:uid="{3285AFE4-13F3-4CCA-95D9-5EEC688EE58F}"/>
    <cellStyle name="Migliaia [0] 30 2 5 2" xfId="24060" xr:uid="{419D84A2-A2EA-4E06-AEE8-860B571CD3E9}"/>
    <cellStyle name="Migliaia [0] 30 2 6" xfId="7259" xr:uid="{407F6093-94A3-464E-8622-CF4416C960A8}"/>
    <cellStyle name="Migliaia [0] 30 3" xfId="1552" xr:uid="{00000000-0005-0000-0000-000034020000}"/>
    <cellStyle name="Migliaia [0] 30 3 2" xfId="4662" xr:uid="{4462E0EB-B701-4CEE-9851-900F9A0CAECE}"/>
    <cellStyle name="Migliaia [0] 30 3 2 2" xfId="18324" xr:uid="{2BB2DE71-F3BB-44FD-8929-3A38B25779F9}"/>
    <cellStyle name="Migliaia [0] 30 3 2 2 2" xfId="21767" xr:uid="{00A49699-838A-45BE-8ACB-514A3E35AE90}"/>
    <cellStyle name="Migliaia [0] 30 3 2 2 2 2" xfId="38195" xr:uid="{C3A21DC0-3D76-4851-936F-2A5B719A6B81}"/>
    <cellStyle name="Migliaia [0] 30 3 2 2 3" xfId="43497" xr:uid="{AC522C4E-C928-4ECC-9DD3-D2A5EC5EC347}"/>
    <cellStyle name="Migliaia [0] 30 3 2 2 4" xfId="32844" xr:uid="{5AEAB9DA-8A72-43DA-B996-3F06BE2A673F}"/>
    <cellStyle name="Migliaia [0] 30 3 2 3" xfId="35730" xr:uid="{4A95BA14-D32D-45B9-8E03-5AC8459DD93B}"/>
    <cellStyle name="Migliaia [0] 30 3 2 4" xfId="40846" xr:uid="{7BBF5884-6417-4751-AB5E-BBFDC761AA12}"/>
    <cellStyle name="Migliaia [0] 30 3 2 5" xfId="47608" xr:uid="{C012FBE8-FA75-48CA-8777-7F14C079E41D}"/>
    <cellStyle name="Migliaia [0] 30 3 2 6" xfId="50795" xr:uid="{AD925C57-C03B-4D95-80A6-E480E37DC9D3}"/>
    <cellStyle name="Migliaia [0] 30 3 2 7" xfId="53811" xr:uid="{13BED89F-B9EA-445D-8CF1-19D08A00E237}"/>
    <cellStyle name="Migliaia [0] 30 3 2 8" xfId="17600" xr:uid="{A01E3603-B8E9-469D-B684-60DA37F865B8}"/>
    <cellStyle name="Migliaia [0] 30 3 2 9" xfId="11781" xr:uid="{BDA1DF1E-FE21-4409-B165-A1070BBDF6B4}"/>
    <cellStyle name="Migliaia [0] 30 3 3" xfId="5920" xr:uid="{A10100E7-2287-406D-A4EF-2815ADD197BA}"/>
    <cellStyle name="Migliaia [0] 30 3 3 2" xfId="11115" xr:uid="{71C09668-88EC-4014-A351-6B0A0C49EEA2}"/>
    <cellStyle name="Migliaia [0] 30 3 4" xfId="2936" xr:uid="{1B5E6B2B-CE79-4749-8E61-27BD6BE8469A}"/>
    <cellStyle name="Migliaia [0] 30 3 4 2" xfId="21299" xr:uid="{F3915763-FB01-43E2-A462-C1E1FA6A0DC6}"/>
    <cellStyle name="Migliaia [0] 30 3 4 3" xfId="46178" xr:uid="{71A203BC-88AA-408B-9B41-55CDB4D8CD65}"/>
    <cellStyle name="Migliaia [0] 30 3 4 4" xfId="50314" xr:uid="{0119FC7F-B0C0-40CE-9446-43ACF98838D2}"/>
    <cellStyle name="Migliaia [0] 30 3 4 5" xfId="53330" xr:uid="{1ADE7094-B76A-4AAD-98C7-162589989717}"/>
    <cellStyle name="Migliaia [0] 30 3 4 6" xfId="10664" xr:uid="{ECBE4615-D870-46B1-B26A-A1D3C9EF29CB}"/>
    <cellStyle name="Migliaia [0] 30 3 5" xfId="19615" xr:uid="{E2238B40-A119-4E2E-94DA-0B9FDFAC4418}"/>
    <cellStyle name="Migliaia [0] 30 3 6" xfId="24062" xr:uid="{F8F914EF-73B3-48B4-BC14-89AAACD08558}"/>
    <cellStyle name="Migliaia [0] 30 3 7" xfId="8207" xr:uid="{8F773B50-6D63-480D-8BE5-C4952D90AA67}"/>
    <cellStyle name="Migliaia [0] 30 4" xfId="2937" xr:uid="{833B0738-56A5-4B91-8F98-4D68676AF07C}"/>
    <cellStyle name="Migliaia [0] 30 4 2" xfId="4663" xr:uid="{69A3D34C-4A4A-4F38-8243-E7DE0AC675F6}"/>
    <cellStyle name="Migliaia [0] 30 4 2 2" xfId="35092" xr:uid="{B0EDFE0B-49D1-4E33-B93A-F708827608DA}"/>
    <cellStyle name="Migliaia [0] 30 4 2 2 2" xfId="40250" xr:uid="{4A53C5AB-965C-4240-97B7-7B78E389EA88}"/>
    <cellStyle name="Migliaia [0] 30 4 2 2 3" xfId="45552" xr:uid="{0A40FE0F-7606-4B2D-8868-B34CBF49BB84}"/>
    <cellStyle name="Migliaia [0] 30 4 2 3" xfId="37599" xr:uid="{0F4CE581-6D0C-49FE-B002-F27F25B475EA}"/>
    <cellStyle name="Migliaia [0] 30 4 2 4" xfId="42901" xr:uid="{39AF3EBA-2B6D-49F6-B3EE-C94769A676A3}"/>
    <cellStyle name="Migliaia [0] 30 4 2 5" xfId="17032" xr:uid="{0488F846-7503-4B1C-B4D3-B9D3A782CF37}"/>
    <cellStyle name="Migliaia [0] 30 4 3" xfId="5921" xr:uid="{10AB3740-54C0-456F-9501-CA25CCC8EFEB}"/>
    <cellStyle name="Migliaia [0] 30 4 3 2" xfId="38196" xr:uid="{C550AB16-5AE2-4814-BF46-D563219A5CB2}"/>
    <cellStyle name="Migliaia [0] 30 4 3 3" xfId="43498" xr:uid="{E23C23F9-7A6C-44AD-A6FB-BB989751B36A}"/>
    <cellStyle name="Migliaia [0] 30 4 3 4" xfId="32845" xr:uid="{AF5F6C7F-4B94-4DCE-9478-C2BCCE2C4036}"/>
    <cellStyle name="Migliaia [0] 30 4 3 5" xfId="19616" xr:uid="{9FDF5D7F-AF1C-4E06-B56F-162253DED144}"/>
    <cellStyle name="Migliaia [0] 30 4 4" xfId="35731" xr:uid="{2F9533A0-5D24-4B1C-B39C-60A39040F775}"/>
    <cellStyle name="Migliaia [0] 30 4 5" xfId="40847" xr:uid="{735E343B-BD65-485E-989F-5F8D74AFB62E}"/>
    <cellStyle name="Migliaia [0] 30 4 6" xfId="15974" xr:uid="{829BE8FF-63E2-484A-BDC3-229C6444D527}"/>
    <cellStyle name="Migliaia [0] 30 4 7" xfId="7787" xr:uid="{FA0C7FA9-1068-4899-B02D-836F7077F0C0}"/>
    <cellStyle name="Migliaia [0] 30 5" xfId="4659" xr:uid="{2E3AB526-C215-498D-A056-8F9C88C7E1DF}"/>
    <cellStyle name="Migliaia [0] 30 5 2" xfId="32846" xr:uid="{68162CC6-DF28-4AEA-B934-6BFB58624692}"/>
    <cellStyle name="Migliaia [0] 30 5 2 2" xfId="38197" xr:uid="{077177E3-DFDF-4726-8806-BD852EA70E3A}"/>
    <cellStyle name="Migliaia [0] 30 5 2 3" xfId="43499" xr:uid="{57A612B5-F116-45E0-BE93-01B7707B629B}"/>
    <cellStyle name="Migliaia [0] 30 5 3" xfId="35732" xr:uid="{EE41D4CC-C35C-4AB7-BD2B-A9B194C39CF4}"/>
    <cellStyle name="Migliaia [0] 30 5 4" xfId="40848" xr:uid="{4E0192A6-12CA-4800-9287-66B6287EF48E}"/>
    <cellStyle name="Migliaia [0] 30 5 5" xfId="17101" xr:uid="{076212ED-6C32-47B2-AEE0-C6E420AA61A6}"/>
    <cellStyle name="Migliaia [0] 30 6" xfId="5918" xr:uid="{7E6FEEDE-5996-483C-83E5-0C955011CD39}"/>
    <cellStyle name="Migliaia [0] 30 6 2" xfId="38193" xr:uid="{0E3124A6-1D10-4909-81EE-7BB47910F83A}"/>
    <cellStyle name="Migliaia [0] 30 6 3" xfId="43495" xr:uid="{A1741E34-453D-4636-A17A-0031C4FFAFE5}"/>
    <cellStyle name="Migliaia [0] 30 6 4" xfId="32842" xr:uid="{5FE06882-E472-4C20-A8C3-F1D6AD448E5E}"/>
    <cellStyle name="Migliaia [0] 30 6 5" xfId="19612" xr:uid="{38AF2009-7B3A-4DC6-9837-D646C6AB7F48}"/>
    <cellStyle name="Migliaia [0] 30 7" xfId="2933" xr:uid="{4AA0737B-9994-46AB-9D4B-7064FB522518}"/>
    <cellStyle name="Migliaia [0] 30 7 2" xfId="35728" xr:uid="{15E4EC09-A531-478E-A728-79CAD33B3962}"/>
    <cellStyle name="Migliaia [0] 30 8" xfId="40844" xr:uid="{AA8EFCA9-0247-4E60-A301-FEAE9879C73B}"/>
    <cellStyle name="Migliaia [0] 30 9" xfId="7008" xr:uid="{92CBFB19-454A-4941-8A91-327E14248DB2}"/>
    <cellStyle name="Migliaia [0] 31" xfId="266" xr:uid="{00000000-0005-0000-0000-000035020000}"/>
    <cellStyle name="Migliaia [0] 31 2" xfId="1553" xr:uid="{00000000-0005-0000-0000-000036020000}"/>
    <cellStyle name="Migliaia [0] 31 2 2" xfId="1554" xr:uid="{00000000-0005-0000-0000-000037020000}"/>
    <cellStyle name="Migliaia [0] 31 2 2 2" xfId="4666" xr:uid="{73D297B1-DD28-4B85-97DB-59C2C34CADE6}"/>
    <cellStyle name="Migliaia [0] 31 2 2 2 2" xfId="21768" xr:uid="{352DDE01-65C4-4C28-9F65-66296339FBA3}"/>
    <cellStyle name="Migliaia [0] 31 2 2 2 3" xfId="46290" xr:uid="{EDF02F5A-21A1-4502-B8C4-C287D1B0088F}"/>
    <cellStyle name="Migliaia [0] 31 2 2 2 4" xfId="50796" xr:uid="{602DF8ED-BAF4-499B-9F58-C52AE16C597C}"/>
    <cellStyle name="Migliaia [0] 31 2 2 2 5" xfId="53812" xr:uid="{92865831-CECD-451A-BAA4-D03F44CFE025}"/>
    <cellStyle name="Migliaia [0] 31 2 2 2 6" xfId="11782" xr:uid="{ADCE9B43-7BF7-4E60-9662-F5AA6A8FF276}"/>
    <cellStyle name="Migliaia [0] 31 2 2 3" xfId="2940" xr:uid="{71DAA2E5-B087-405C-BACB-1EEA87E0731D}"/>
    <cellStyle name="Migliaia [0] 31 2 2 3 2" xfId="12344" xr:uid="{F81721D4-AB3A-40A4-BAB3-517D188EE085}"/>
    <cellStyle name="Migliaia [0] 31 2 2 4" xfId="10665" xr:uid="{4742EF7A-548D-4C2F-8BB1-15FAB111A936}"/>
    <cellStyle name="Migliaia [0] 31 2 2 4 2" xfId="21300" xr:uid="{5B28DCE8-97EB-4919-A491-3593E91CFC69}"/>
    <cellStyle name="Migliaia [0] 31 2 2 4 3" xfId="46179" xr:uid="{D2EEAC60-2094-4A6F-BF6A-27945E8BEA89}"/>
    <cellStyle name="Migliaia [0] 31 2 2 4 4" xfId="50315" xr:uid="{C19A67BA-1F2C-47EB-AA4A-67DBDB6F7D76}"/>
    <cellStyle name="Migliaia [0] 31 2 2 4 5" xfId="53331" xr:uid="{2E11D76A-81E6-4499-AAF8-D91D7579263E}"/>
    <cellStyle name="Migliaia [0] 31 2 2 5" xfId="19619" xr:uid="{51B075DB-9BDE-47B8-8673-76225E483E11}"/>
    <cellStyle name="Migliaia [0] 31 2 2 6" xfId="24064" xr:uid="{6BE85B58-DC12-4345-AB83-555389D95E04}"/>
    <cellStyle name="Migliaia [0] 31 2 2 7" xfId="48844" xr:uid="{B714C2C2-5D1E-45AB-BD98-77191DBA8039}"/>
    <cellStyle name="Migliaia [0] 31 2 2 8" xfId="49750" xr:uid="{CCA09F68-DBD3-4C23-85AC-8DDC977EC74C}"/>
    <cellStyle name="Migliaia [0] 31 2 2 9" xfId="8450" xr:uid="{923E60E1-C2A0-461B-8025-A251E931917F}"/>
    <cellStyle name="Migliaia [0] 31 2 3" xfId="4665" xr:uid="{BCA40F13-D55B-45EC-A425-8552D89676F5}"/>
    <cellStyle name="Migliaia [0] 31 2 3 2" xfId="32848" xr:uid="{6A6AB56C-6240-4C88-A2C0-B63ABB32939C}"/>
    <cellStyle name="Migliaia [0] 31 2 3 2 2" xfId="38199" xr:uid="{A999C9FA-6949-4CF8-9C38-D4ED92769152}"/>
    <cellStyle name="Migliaia [0] 31 2 3 2 3" xfId="43501" xr:uid="{7789EB79-29AD-4DEF-8A06-7AE978C2CF37}"/>
    <cellStyle name="Migliaia [0] 31 2 3 3" xfId="35734" xr:uid="{A33CE909-3D35-4940-AEE5-327F7A214E34}"/>
    <cellStyle name="Migliaia [0] 31 2 3 4" xfId="40850" xr:uid="{D3BB1D3C-1709-481F-BE84-A8DCBEB00A18}"/>
    <cellStyle name="Migliaia [0] 31 2 3 5" xfId="11783" xr:uid="{5534D4F4-ADF1-400E-9827-EF527561502F}"/>
    <cellStyle name="Migliaia [0] 31 2 4" xfId="5923" xr:uid="{B6731D77-6FDB-4EAE-B2C4-C789B063961D}"/>
    <cellStyle name="Migliaia [0] 31 2 4 2" xfId="19618" xr:uid="{95E4BC54-9AFD-4C37-951F-243BB5DEE330}"/>
    <cellStyle name="Migliaia [0] 31 2 5" xfId="2939" xr:uid="{A0DB600D-BCE2-4A51-BA53-A8AA1B9163EB}"/>
    <cellStyle name="Migliaia [0] 31 2 5 2" xfId="24063" xr:uid="{0EA745AD-1473-4358-B8E2-C1BB786C08F4}"/>
    <cellStyle name="Migliaia [0] 31 2 6" xfId="7260" xr:uid="{FDC8863B-50F4-4C34-ABA4-29E4B1833A26}"/>
    <cellStyle name="Migliaia [0] 31 3" xfId="1555" xr:uid="{00000000-0005-0000-0000-000038020000}"/>
    <cellStyle name="Migliaia [0] 31 3 2" xfId="4667" xr:uid="{314F0596-B7F1-4639-9105-178C7E997AC0}"/>
    <cellStyle name="Migliaia [0] 31 3 2 2" xfId="18325" xr:uid="{5DF0C772-C7C4-49B8-91A0-C68634EDBEC3}"/>
    <cellStyle name="Migliaia [0] 31 3 2 2 2" xfId="21769" xr:uid="{02F5C8C0-4879-43D4-B081-AFA8A0401D45}"/>
    <cellStyle name="Migliaia [0] 31 3 2 2 2 2" xfId="38200" xr:uid="{9E4B99C0-8D70-46A8-80D9-4AB208B0E819}"/>
    <cellStyle name="Migliaia [0] 31 3 2 2 3" xfId="43502" xr:uid="{D3A3F971-7B2D-46DB-8C7A-9E42D1B1DF51}"/>
    <cellStyle name="Migliaia [0] 31 3 2 2 4" xfId="32849" xr:uid="{04841E2C-FB31-4FF1-8050-59C2B5173C2F}"/>
    <cellStyle name="Migliaia [0] 31 3 2 3" xfId="35735" xr:uid="{B147F83F-B6DA-4736-A9BB-F65BBD6FEBE0}"/>
    <cellStyle name="Migliaia [0] 31 3 2 4" xfId="40851" xr:uid="{63F228DB-0F20-4E86-AF4A-896B2AF5A0C4}"/>
    <cellStyle name="Migliaia [0] 31 3 2 5" xfId="48557" xr:uid="{7F7ECBF6-AA7C-46F5-95F3-FF7E2A4A829F}"/>
    <cellStyle name="Migliaia [0] 31 3 2 6" xfId="50797" xr:uid="{46E9D2AF-DD11-45AC-AC94-E19C08DE62B6}"/>
    <cellStyle name="Migliaia [0] 31 3 2 7" xfId="53813" xr:uid="{F702CDC6-FEF8-4A70-B796-D4656C4F5C34}"/>
    <cellStyle name="Migliaia [0] 31 3 2 8" xfId="17601" xr:uid="{7490285A-83FC-4DB4-9E54-2FDC5B8BD0F8}"/>
    <cellStyle name="Migliaia [0] 31 3 2 9" xfId="11784" xr:uid="{C188903C-60CF-4808-A78C-8D1F4341FB9F}"/>
    <cellStyle name="Migliaia [0] 31 3 3" xfId="5924" xr:uid="{02A6340F-5517-4234-A0CB-06695AAA78C8}"/>
    <cellStyle name="Migliaia [0] 31 3 3 2" xfId="12379" xr:uid="{61A50E1B-5E29-4E7C-A202-582D2C28D31C}"/>
    <cellStyle name="Migliaia [0] 31 3 4" xfId="2941" xr:uid="{14A9C402-D71F-42F2-B6FA-280E05644509}"/>
    <cellStyle name="Migliaia [0] 31 3 4 2" xfId="21301" xr:uid="{DE0B1D5F-252A-45FC-A732-16E9F0B5E282}"/>
    <cellStyle name="Migliaia [0] 31 3 4 3" xfId="35982" xr:uid="{658A0B5C-8282-49D3-B4BB-275D3CE3A945}"/>
    <cellStyle name="Migliaia [0] 31 3 4 4" xfId="50316" xr:uid="{49E43932-9D3A-4FB1-9ADC-BB61D47DA37E}"/>
    <cellStyle name="Migliaia [0] 31 3 4 5" xfId="53332" xr:uid="{B3678A8D-7D4A-471E-992C-60BF3EE24826}"/>
    <cellStyle name="Migliaia [0] 31 3 4 6" xfId="10666" xr:uid="{E009159A-DA9F-4135-AE94-CCF0E2BE38DD}"/>
    <cellStyle name="Migliaia [0] 31 3 5" xfId="19620" xr:uid="{A23ADE11-C5EF-4541-94A1-66C7A220D310}"/>
    <cellStyle name="Migliaia [0] 31 3 6" xfId="24065" xr:uid="{B3061F0C-B1E8-4434-A8D3-0B8F38F0F973}"/>
    <cellStyle name="Migliaia [0] 31 3 7" xfId="8208" xr:uid="{4EF107D9-A68F-4EC6-A744-95A7239489B1}"/>
    <cellStyle name="Migliaia [0] 31 4" xfId="2942" xr:uid="{3839F042-9A7D-4118-9051-E0B4D3A1A06C}"/>
    <cellStyle name="Migliaia [0] 31 4 2" xfId="4668" xr:uid="{B2AA0C8C-7B52-4E46-BAFF-BD9221F3901C}"/>
    <cellStyle name="Migliaia [0] 31 4 2 2" xfId="35093" xr:uid="{0DE98C84-8FBC-4DBC-9ABC-0C97A901B553}"/>
    <cellStyle name="Migliaia [0] 31 4 2 2 2" xfId="40251" xr:uid="{94B04E7A-DD8A-4BC8-976D-A3F7EAE9F98B}"/>
    <cellStyle name="Migliaia [0] 31 4 2 2 3" xfId="45553" xr:uid="{9E55405F-FCCC-4215-89F8-1110CFE4C031}"/>
    <cellStyle name="Migliaia [0] 31 4 2 3" xfId="37600" xr:uid="{7F3AA99C-AE7A-46E2-87FA-B632BF3D66F4}"/>
    <cellStyle name="Migliaia [0] 31 4 2 4" xfId="42902" xr:uid="{7623FB2A-146A-4F4E-A1E5-1EF30A499F4A}"/>
    <cellStyle name="Migliaia [0] 31 4 2 5" xfId="17033" xr:uid="{DD19CD4B-08E2-44AF-B6CC-95216A23D32E}"/>
    <cellStyle name="Migliaia [0] 31 4 3" xfId="5925" xr:uid="{3068DFBA-C582-4F2A-979C-C938426C9AF5}"/>
    <cellStyle name="Migliaia [0] 31 4 3 2" xfId="38201" xr:uid="{1E481B2B-1E86-4416-9F3E-57BD1F30EE2D}"/>
    <cellStyle name="Migliaia [0] 31 4 3 3" xfId="43503" xr:uid="{798A2028-98BE-4F59-87C1-EB5A1609EFD1}"/>
    <cellStyle name="Migliaia [0] 31 4 3 4" xfId="32850" xr:uid="{1B3138CB-E7A0-4C55-BAEA-D9874BB723AB}"/>
    <cellStyle name="Migliaia [0] 31 4 3 5" xfId="19621" xr:uid="{36A4E2EF-FEE7-43EA-8E79-C7ABBB7165A1}"/>
    <cellStyle name="Migliaia [0] 31 4 4" xfId="35736" xr:uid="{B95279C6-87EB-4302-ADAA-BD4535B14096}"/>
    <cellStyle name="Migliaia [0] 31 4 5" xfId="40852" xr:uid="{8A6223D7-8D7C-4D90-9AFB-21932E8B1281}"/>
    <cellStyle name="Migliaia [0] 31 4 6" xfId="15975" xr:uid="{974A0657-7CCC-454B-814D-0F15ECC6CA25}"/>
    <cellStyle name="Migliaia [0] 31 4 7" xfId="7788" xr:uid="{200C32A4-B4AD-4489-9B27-A48172310ED5}"/>
    <cellStyle name="Migliaia [0] 31 5" xfId="4664" xr:uid="{EB7C0013-5998-4FB0-B3CC-21574095610C}"/>
    <cellStyle name="Migliaia [0] 31 5 2" xfId="32851" xr:uid="{DCCB340B-33B8-43F7-8986-11486C92BF46}"/>
    <cellStyle name="Migliaia [0] 31 5 2 2" xfId="38202" xr:uid="{DDEBEBF5-5A76-436D-A32A-08F804F1D7E8}"/>
    <cellStyle name="Migliaia [0] 31 5 2 3" xfId="43504" xr:uid="{7D478FCD-E886-4412-9005-A0C6EBA05B01}"/>
    <cellStyle name="Migliaia [0] 31 5 3" xfId="35737" xr:uid="{E666531D-99D3-49E3-90CE-1C2F8C15BBE4}"/>
    <cellStyle name="Migliaia [0] 31 5 4" xfId="40853" xr:uid="{320E1226-EF35-45F3-A10C-41B63B7FA8A5}"/>
    <cellStyle name="Migliaia [0] 31 5 5" xfId="17102" xr:uid="{7179207D-2A5A-4A18-946E-CE7829ECA2AC}"/>
    <cellStyle name="Migliaia [0] 31 6" xfId="5922" xr:uid="{AE5EBDED-FEB3-41ED-933C-BE5034FECF3B}"/>
    <cellStyle name="Migliaia [0] 31 6 2" xfId="38198" xr:uid="{6477D541-0B76-493C-AD1B-FF3900E833CB}"/>
    <cellStyle name="Migliaia [0] 31 6 3" xfId="43500" xr:uid="{1E631CD0-6A3D-4851-940A-9E0E9DAD25A5}"/>
    <cellStyle name="Migliaia [0] 31 6 4" xfId="32847" xr:uid="{D89E7372-AA3A-4C42-8ABA-1D04623BADE6}"/>
    <cellStyle name="Migliaia [0] 31 6 5" xfId="19617" xr:uid="{9B9717B8-3866-4DA4-8BB4-C4327227242E}"/>
    <cellStyle name="Migliaia [0] 31 7" xfId="2938" xr:uid="{2BAA86AA-A204-4395-A5A1-6692B7CF6EBC}"/>
    <cellStyle name="Migliaia [0] 31 7 2" xfId="35733" xr:uid="{77FFA546-5860-4F0E-9B1E-9A353A644FB2}"/>
    <cellStyle name="Migliaia [0] 31 8" xfId="40849" xr:uid="{A0162A37-DE22-4974-A6F4-2A075B8F9827}"/>
    <cellStyle name="Migliaia [0] 31 9" xfId="7009" xr:uid="{7EA32162-0713-4F1B-8C44-E98D32DEAECE}"/>
    <cellStyle name="Migliaia [0] 32" xfId="267" xr:uid="{00000000-0005-0000-0000-000039020000}"/>
    <cellStyle name="Migliaia [0] 32 2" xfId="1556" xr:uid="{00000000-0005-0000-0000-00003A020000}"/>
    <cellStyle name="Migliaia [0] 32 2 2" xfId="1557" xr:uid="{00000000-0005-0000-0000-00003B020000}"/>
    <cellStyle name="Migliaia [0] 32 2 2 2" xfId="4671" xr:uid="{1005C7E0-A938-45CD-A698-13579BA49C39}"/>
    <cellStyle name="Migliaia [0] 32 2 2 2 2" xfId="21770" xr:uid="{66BA5ABA-5083-484B-BB7A-52AD247712E0}"/>
    <cellStyle name="Migliaia [0] 32 2 2 2 3" xfId="46740" xr:uid="{DA9EA5A1-FC83-40F9-B161-6954994107D6}"/>
    <cellStyle name="Migliaia [0] 32 2 2 2 4" xfId="50798" xr:uid="{EAB0A063-47F4-46CC-9ECC-DB1EE6179729}"/>
    <cellStyle name="Migliaia [0] 32 2 2 2 5" xfId="53814" xr:uid="{BD3B41C0-E4AA-40F5-BE0E-CFC25E391149}"/>
    <cellStyle name="Migliaia [0] 32 2 2 2 6" xfId="11785" xr:uid="{C9225180-58FF-4BDE-8F99-808296AFAB70}"/>
    <cellStyle name="Migliaia [0] 32 2 2 3" xfId="2945" xr:uid="{D2D2D179-0937-4749-8400-10FABC9544FC}"/>
    <cellStyle name="Migliaia [0] 32 2 2 3 2" xfId="12343" xr:uid="{0CE2EF17-50A0-40E7-89CD-14B7E040DAEF}"/>
    <cellStyle name="Migliaia [0] 32 2 2 4" xfId="10667" xr:uid="{E037436F-5A36-44D4-A2ED-96E734D8AC02}"/>
    <cellStyle name="Migliaia [0] 32 2 2 4 2" xfId="21302" xr:uid="{6A37AB6A-993E-4B3F-9D6A-583C85356CD2}"/>
    <cellStyle name="Migliaia [0] 32 2 2 4 3" xfId="46180" xr:uid="{91E2DFE7-7D72-4F7B-A426-583A9F1DF4C3}"/>
    <cellStyle name="Migliaia [0] 32 2 2 4 4" xfId="50317" xr:uid="{4B9FEF31-0C00-40C2-993D-D80DA8858B2E}"/>
    <cellStyle name="Migliaia [0] 32 2 2 4 5" xfId="53333" xr:uid="{AE033EC3-FB9C-4AB3-BAAF-E27FAC75661D}"/>
    <cellStyle name="Migliaia [0] 32 2 2 5" xfId="19624" xr:uid="{4E607E30-F669-4806-AC48-30130C8654F5}"/>
    <cellStyle name="Migliaia [0] 32 2 2 6" xfId="24067" xr:uid="{F368D0F7-6B42-4861-A1BD-A32555DEEF83}"/>
    <cellStyle name="Migliaia [0] 32 2 2 7" xfId="48845" xr:uid="{525CD81D-FC00-4834-B711-DA1C94AFFD4E}"/>
    <cellStyle name="Migliaia [0] 32 2 2 8" xfId="49751" xr:uid="{F928573E-7B9F-4236-98AC-4287E93E2200}"/>
    <cellStyle name="Migliaia [0] 32 2 2 9" xfId="8451" xr:uid="{1345926D-63A7-4F1D-886F-4A58B0ED4AA9}"/>
    <cellStyle name="Migliaia [0] 32 2 3" xfId="4670" xr:uid="{85AAD99F-226D-408C-9246-BE0A6B4DA960}"/>
    <cellStyle name="Migliaia [0] 32 2 3 2" xfId="32853" xr:uid="{DC450124-510A-4FD3-8BE8-6BC6E0F2F145}"/>
    <cellStyle name="Migliaia [0] 32 2 3 2 2" xfId="38204" xr:uid="{657A1A1C-F441-4FD6-9A7C-8034CCD24284}"/>
    <cellStyle name="Migliaia [0] 32 2 3 2 3" xfId="43506" xr:uid="{D711FB17-C578-4372-8CD1-B72D3627789D}"/>
    <cellStyle name="Migliaia [0] 32 2 3 3" xfId="35739" xr:uid="{147827AC-C448-4053-88FE-1EAB3AFF072E}"/>
    <cellStyle name="Migliaia [0] 32 2 3 4" xfId="40855" xr:uid="{6FD0597A-0680-4E18-B79D-72885C9BF355}"/>
    <cellStyle name="Migliaia [0] 32 2 3 5" xfId="11786" xr:uid="{1E1D5C7D-9737-40A7-A504-1FED26802BDC}"/>
    <cellStyle name="Migliaia [0] 32 2 4" xfId="5927" xr:uid="{49AEF9B9-14C8-4D99-BC45-01A17843A67E}"/>
    <cellStyle name="Migliaia [0] 32 2 4 2" xfId="19623" xr:uid="{5E23C3C4-2359-4C23-B461-AC80CDE40244}"/>
    <cellStyle name="Migliaia [0] 32 2 5" xfId="2944" xr:uid="{F5D5C489-CA41-48CF-B58C-64293BC034FB}"/>
    <cellStyle name="Migliaia [0] 32 2 5 2" xfId="24066" xr:uid="{57DE9E22-6009-424D-AB8D-4DEBCAE3E97F}"/>
    <cellStyle name="Migliaia [0] 32 2 6" xfId="7261" xr:uid="{101B4C4B-C60E-47ED-A9AB-B47DE6F4D5F6}"/>
    <cellStyle name="Migliaia [0] 32 3" xfId="1558" xr:uid="{00000000-0005-0000-0000-00003C020000}"/>
    <cellStyle name="Migliaia [0] 32 3 2" xfId="4672" xr:uid="{8F8A21BF-D9E9-4BC7-B09B-429E9848DB03}"/>
    <cellStyle name="Migliaia [0] 32 3 2 2" xfId="18326" xr:uid="{751C1826-EEF6-40EA-BB9A-F6E33A1AF230}"/>
    <cellStyle name="Migliaia [0] 32 3 2 2 2" xfId="21771" xr:uid="{B963F846-9822-4F7F-9B6D-5DDA4065412D}"/>
    <cellStyle name="Migliaia [0] 32 3 2 2 2 2" xfId="38205" xr:uid="{741972E9-1031-4837-854D-F0E5E4CDD113}"/>
    <cellStyle name="Migliaia [0] 32 3 2 2 3" xfId="43507" xr:uid="{0958C02C-0A1D-44FE-8EA9-A99915343776}"/>
    <cellStyle name="Migliaia [0] 32 3 2 2 4" xfId="32854" xr:uid="{CF390375-1C52-4E35-9B72-24701DA15A71}"/>
    <cellStyle name="Migliaia [0] 32 3 2 3" xfId="35740" xr:uid="{D4E7ABA7-07E3-4EA6-8089-8E0978264174}"/>
    <cellStyle name="Migliaia [0] 32 3 2 4" xfId="40856" xr:uid="{898BEFBD-ED20-4F56-B2FA-C689815009CD}"/>
    <cellStyle name="Migliaia [0] 32 3 2 5" xfId="48190" xr:uid="{299BBBDC-96FE-4D84-90FF-43986BB4E645}"/>
    <cellStyle name="Migliaia [0] 32 3 2 6" xfId="50799" xr:uid="{EFCC3845-86BD-4C69-9E7B-F910E5153C48}"/>
    <cellStyle name="Migliaia [0] 32 3 2 7" xfId="53815" xr:uid="{79CA9948-9D9F-4BCE-8A2E-1215E5C1DB0E}"/>
    <cellStyle name="Migliaia [0] 32 3 2 8" xfId="17602" xr:uid="{B8397218-A95E-483C-9498-5C8508DA45DF}"/>
    <cellStyle name="Migliaia [0] 32 3 2 9" xfId="11787" xr:uid="{3344A61D-BFDA-4928-AE64-374C7FF141F5}"/>
    <cellStyle name="Migliaia [0] 32 3 3" xfId="5928" xr:uid="{203BF6F2-3160-4600-9135-520B7AFA6E04}"/>
    <cellStyle name="Migliaia [0] 32 3 3 2" xfId="12378" xr:uid="{1745BFFE-3529-4F15-B825-53E99B21476A}"/>
    <cellStyle name="Migliaia [0] 32 3 4" xfId="2946" xr:uid="{59AF3253-2581-40AA-B0E7-253D215ECA7B}"/>
    <cellStyle name="Migliaia [0] 32 3 4 2" xfId="21303" xr:uid="{FF341FAF-65CB-4FBA-874B-EC3EAD5ACF7B}"/>
    <cellStyle name="Migliaia [0] 32 3 4 3" xfId="47298" xr:uid="{6CCDF351-C34C-4730-A5E9-D33437964E4E}"/>
    <cellStyle name="Migliaia [0] 32 3 4 4" xfId="50318" xr:uid="{41F7EEE2-1A1A-460A-B06C-3541703072AB}"/>
    <cellStyle name="Migliaia [0] 32 3 4 5" xfId="53334" xr:uid="{884B2598-2D08-48D1-B7A8-1B125E9B5A2C}"/>
    <cellStyle name="Migliaia [0] 32 3 4 6" xfId="10668" xr:uid="{1E71E94B-A109-4B7C-80E1-9E2AC8E47142}"/>
    <cellStyle name="Migliaia [0] 32 3 5" xfId="19625" xr:uid="{583E8E94-7FAC-4E40-9C7B-778114FB92DE}"/>
    <cellStyle name="Migliaia [0] 32 3 6" xfId="24068" xr:uid="{951BF17E-911C-43E0-AB44-E18EDA5A73B4}"/>
    <cellStyle name="Migliaia [0] 32 3 7" xfId="8209" xr:uid="{381958AA-6F02-4A01-9632-BF4E1920B2E9}"/>
    <cellStyle name="Migliaia [0] 32 4" xfId="2947" xr:uid="{F143B702-5802-4EB8-8EFA-AF08CA33EB8B}"/>
    <cellStyle name="Migliaia [0] 32 4 2" xfId="4673" xr:uid="{048BC5CD-09AC-495A-9BD9-E29241CEFF1F}"/>
    <cellStyle name="Migliaia [0] 32 4 2 2" xfId="35094" xr:uid="{6DB4A716-44DE-4784-96CD-E32B5EC681CF}"/>
    <cellStyle name="Migliaia [0] 32 4 2 2 2" xfId="40252" xr:uid="{391A8708-06ED-4FF5-B0E2-FE1E2E500070}"/>
    <cellStyle name="Migliaia [0] 32 4 2 2 3" xfId="45554" xr:uid="{B0771075-7216-4D2D-AACA-BB652BA2A361}"/>
    <cellStyle name="Migliaia [0] 32 4 2 3" xfId="37601" xr:uid="{974C33B3-2BBC-4397-8DA2-34E384732242}"/>
    <cellStyle name="Migliaia [0] 32 4 2 4" xfId="42903" xr:uid="{ECF0CBE7-7E38-4E2A-890A-888773724DF6}"/>
    <cellStyle name="Migliaia [0] 32 4 2 5" xfId="17034" xr:uid="{329B573E-1741-4FAB-B570-6C380A18BCA2}"/>
    <cellStyle name="Migliaia [0] 32 4 3" xfId="5929" xr:uid="{29A75D47-6E1C-438C-92F6-053EEAE3EF58}"/>
    <cellStyle name="Migliaia [0] 32 4 3 2" xfId="38206" xr:uid="{26131EA8-1679-4F45-B616-2EC8D1EC6350}"/>
    <cellStyle name="Migliaia [0] 32 4 3 3" xfId="43508" xr:uid="{C5ED38B0-0F0C-4B71-A999-0831121E2513}"/>
    <cellStyle name="Migliaia [0] 32 4 3 4" xfId="32855" xr:uid="{60F780E7-79F9-4B62-9210-D8368DC003C0}"/>
    <cellStyle name="Migliaia [0] 32 4 3 5" xfId="19626" xr:uid="{2D3FD2ED-29A2-4D32-92CA-677BBC3084E6}"/>
    <cellStyle name="Migliaia [0] 32 4 4" xfId="35741" xr:uid="{D2E0FBC5-F527-44A8-8793-C84916B41887}"/>
    <cellStyle name="Migliaia [0] 32 4 5" xfId="40857" xr:uid="{C575B569-4FFA-46C7-88E6-7BA7E35164B1}"/>
    <cellStyle name="Migliaia [0] 32 4 6" xfId="15976" xr:uid="{AE585A8C-BA21-4081-8598-7B620605A730}"/>
    <cellStyle name="Migliaia [0] 32 4 7" xfId="7789" xr:uid="{C9D03FD4-19DB-44B1-B69D-C2F45D5A4E9B}"/>
    <cellStyle name="Migliaia [0] 32 5" xfId="4669" xr:uid="{8677202E-9F96-418F-8858-BF3D262D5382}"/>
    <cellStyle name="Migliaia [0] 32 5 2" xfId="32856" xr:uid="{DBD1E684-E888-4228-8583-02ABF26724A1}"/>
    <cellStyle name="Migliaia [0] 32 5 2 2" xfId="38207" xr:uid="{E12DD36E-56D4-4E2C-A435-291C0B081CAF}"/>
    <cellStyle name="Migliaia [0] 32 5 2 3" xfId="43509" xr:uid="{7E086F83-4399-4AD8-B07C-8D17FB8116C6}"/>
    <cellStyle name="Migliaia [0] 32 5 3" xfId="35742" xr:uid="{89913B90-02AF-4CB0-8856-17DF8F2D6CC3}"/>
    <cellStyle name="Migliaia [0] 32 5 4" xfId="40858" xr:uid="{B0C7735B-8075-4152-A230-7D891996515D}"/>
    <cellStyle name="Migliaia [0] 32 5 5" xfId="17103" xr:uid="{36EAF589-B74A-49E9-A40A-E5AE5BF38B1A}"/>
    <cellStyle name="Migliaia [0] 32 6" xfId="5926" xr:uid="{F158F378-C173-413E-A9D3-2F751717D91F}"/>
    <cellStyle name="Migliaia [0] 32 6 2" xfId="38203" xr:uid="{243747A7-72D3-42E8-87B0-017568BC7A35}"/>
    <cellStyle name="Migliaia [0] 32 6 3" xfId="43505" xr:uid="{EB75A24A-AA90-4138-804B-6E1F06B8BC27}"/>
    <cellStyle name="Migliaia [0] 32 6 4" xfId="32852" xr:uid="{28D97215-8961-46BF-ACC0-F89936011E01}"/>
    <cellStyle name="Migliaia [0] 32 6 5" xfId="19622" xr:uid="{58201A5F-854D-41CD-8BE7-C6F4FBED0266}"/>
    <cellStyle name="Migliaia [0] 32 7" xfId="2943" xr:uid="{36E9E9C4-91DB-42BE-8B7F-790411F9D8FE}"/>
    <cellStyle name="Migliaia [0] 32 7 2" xfId="35738" xr:uid="{F7843289-FE18-4830-892F-DA854A16A3B1}"/>
    <cellStyle name="Migliaia [0] 32 8" xfId="40854" xr:uid="{E0114A2A-57B9-484B-B90D-2E99D1B1CEB0}"/>
    <cellStyle name="Migliaia [0] 32 9" xfId="7010" xr:uid="{DE4DC30A-8456-437D-8F66-F9F6CB6A276D}"/>
    <cellStyle name="Migliaia [0] 33" xfId="268" xr:uid="{00000000-0005-0000-0000-00003D020000}"/>
    <cellStyle name="Migliaia [0] 33 2" xfId="1559" xr:uid="{00000000-0005-0000-0000-00003E020000}"/>
    <cellStyle name="Migliaia [0] 33 2 2" xfId="1560" xr:uid="{00000000-0005-0000-0000-00003F020000}"/>
    <cellStyle name="Migliaia [0] 33 2 2 2" xfId="4676" xr:uid="{15D40228-1DA1-4E2C-B7AB-FCD7DB38128B}"/>
    <cellStyle name="Migliaia [0] 33 2 2 2 2" xfId="21772" xr:uid="{EC3B5C7D-E413-461F-A84D-A4E523B367C6}"/>
    <cellStyle name="Migliaia [0] 33 2 2 2 3" xfId="46291" xr:uid="{F5F446F7-172F-44B5-A94C-C57EE310F157}"/>
    <cellStyle name="Migliaia [0] 33 2 2 2 4" xfId="50800" xr:uid="{C81FA300-E7BC-4211-9D08-90E51DCD241A}"/>
    <cellStyle name="Migliaia [0] 33 2 2 2 5" xfId="53816" xr:uid="{B3EF3B39-5E3A-4BAB-A935-FA3F96D6D2E9}"/>
    <cellStyle name="Migliaia [0] 33 2 2 2 6" xfId="11788" xr:uid="{A531520E-CB51-45D1-99A2-BFCAF5D5BF91}"/>
    <cellStyle name="Migliaia [0] 33 2 2 3" xfId="2950" xr:uid="{018E12C9-9B8F-44EE-A956-0B11ED6F3C71}"/>
    <cellStyle name="Migliaia [0] 33 2 2 3 2" xfId="12183" xr:uid="{FD54925A-60B4-40D6-93AC-14195CE47D57}"/>
    <cellStyle name="Migliaia [0] 33 2 2 4" xfId="10669" xr:uid="{F69413D5-F1A5-45C6-AF97-2CD5E322EAC9}"/>
    <cellStyle name="Migliaia [0] 33 2 2 4 2" xfId="21304" xr:uid="{7AEA3EE1-1A44-4A6B-A05F-40EFECEF9F52}"/>
    <cellStyle name="Migliaia [0] 33 2 2 4 3" xfId="46181" xr:uid="{B155D6D4-9D8F-4567-BE2B-C97EEE2EECF8}"/>
    <cellStyle name="Migliaia [0] 33 2 2 4 4" xfId="50319" xr:uid="{1171CA1D-D6D4-4179-8845-41B8F42A4D10}"/>
    <cellStyle name="Migliaia [0] 33 2 2 4 5" xfId="53335" xr:uid="{6F3309AC-2F75-41AC-B86B-ED6B868B06CE}"/>
    <cellStyle name="Migliaia [0] 33 2 2 5" xfId="19629" xr:uid="{4221452A-7D83-457D-A7CC-ECAF18A22E1F}"/>
    <cellStyle name="Migliaia [0] 33 2 2 6" xfId="24070" xr:uid="{F1CB56F4-CAD5-4324-8EB0-E174983B061F}"/>
    <cellStyle name="Migliaia [0] 33 2 2 7" xfId="48846" xr:uid="{B5BD45AD-B3FE-4F67-8E09-04FB6AA4CB0D}"/>
    <cellStyle name="Migliaia [0] 33 2 2 8" xfId="49752" xr:uid="{0F56B419-E092-47F5-8E9C-6297A53C4972}"/>
    <cellStyle name="Migliaia [0] 33 2 2 9" xfId="8452" xr:uid="{9AAF862B-5B60-4A7F-AE09-1FF6A79B93CC}"/>
    <cellStyle name="Migliaia [0] 33 2 3" xfId="4675" xr:uid="{0FD8C634-A8FD-402F-9F65-109946CA0E4C}"/>
    <cellStyle name="Migliaia [0] 33 2 3 2" xfId="32858" xr:uid="{3BE31EF3-7834-42A0-97CB-2C899F283E2A}"/>
    <cellStyle name="Migliaia [0] 33 2 3 2 2" xfId="38209" xr:uid="{C58B9335-668A-41D6-A2F8-A3B39C739589}"/>
    <cellStyle name="Migliaia [0] 33 2 3 2 3" xfId="43511" xr:uid="{2AAF7AEA-A6EC-49A8-9963-7402F8A9E7D9}"/>
    <cellStyle name="Migliaia [0] 33 2 3 3" xfId="35744" xr:uid="{2F9FB1C4-C4F1-4003-BA90-B69B8AD64E0B}"/>
    <cellStyle name="Migliaia [0] 33 2 3 4" xfId="40860" xr:uid="{903C9817-0714-416C-850A-1F6D8B20FB0F}"/>
    <cellStyle name="Migliaia [0] 33 2 3 5" xfId="11789" xr:uid="{29A772FA-BCF6-45F6-88CD-366F306A7583}"/>
    <cellStyle name="Migliaia [0] 33 2 4" xfId="5931" xr:uid="{7E7FB5AA-8182-4996-9514-F5EAB5C1798D}"/>
    <cellStyle name="Migliaia [0] 33 2 4 2" xfId="19628" xr:uid="{6065CC9E-FE4A-46AE-B74A-2915FD8BFAB2}"/>
    <cellStyle name="Migliaia [0] 33 2 5" xfId="2949" xr:uid="{BE96D273-447D-4A3E-89E8-AA105D8E8E37}"/>
    <cellStyle name="Migliaia [0] 33 2 5 2" xfId="24069" xr:uid="{5ABD21A8-E8E2-4153-9644-85CA401753DE}"/>
    <cellStyle name="Migliaia [0] 33 2 6" xfId="7262" xr:uid="{DA2208A8-5EF6-4132-BD77-BCAF6BBA7CC5}"/>
    <cellStyle name="Migliaia [0] 33 3" xfId="1561" xr:uid="{00000000-0005-0000-0000-000040020000}"/>
    <cellStyle name="Migliaia [0] 33 3 2" xfId="4677" xr:uid="{2C06F578-29E6-4F23-AB9C-BCFD50C3984B}"/>
    <cellStyle name="Migliaia [0] 33 3 2 2" xfId="18327" xr:uid="{17FE610D-3B3A-4E64-A040-4D19D30ED0FA}"/>
    <cellStyle name="Migliaia [0] 33 3 2 2 2" xfId="21773" xr:uid="{1581AD44-1A73-411C-B786-6E94EB4198C9}"/>
    <cellStyle name="Migliaia [0] 33 3 2 2 2 2" xfId="38210" xr:uid="{EEB53ECF-DBFF-4AE5-BCF6-42A974F24E6D}"/>
    <cellStyle name="Migliaia [0] 33 3 2 2 3" xfId="43512" xr:uid="{A7143729-E6A5-4D6B-9C29-8D32F09FDD48}"/>
    <cellStyle name="Migliaia [0] 33 3 2 2 4" xfId="32859" xr:uid="{C38D9955-96A6-487D-9EAD-83DEB9176AAC}"/>
    <cellStyle name="Migliaia [0] 33 3 2 3" xfId="35745" xr:uid="{4EF3CB34-A5BF-4F97-B255-013736103727}"/>
    <cellStyle name="Migliaia [0] 33 3 2 4" xfId="40861" xr:uid="{5E185B6A-EF61-4436-AAAC-CC1B80B9B42E}"/>
    <cellStyle name="Migliaia [0] 33 3 2 5" xfId="47691" xr:uid="{AEF4F174-DB6D-48CA-ADDC-C972AC649A4C}"/>
    <cellStyle name="Migliaia [0] 33 3 2 6" xfId="50801" xr:uid="{F77AFF3C-2859-4666-8460-EB19B3724FB1}"/>
    <cellStyle name="Migliaia [0] 33 3 2 7" xfId="53817" xr:uid="{0665C71E-98B6-42DF-9FEF-C5B5222E5E36}"/>
    <cellStyle name="Migliaia [0] 33 3 2 8" xfId="17603" xr:uid="{3FAF3595-BB53-4B97-98BE-CA8BF0C4F21F}"/>
    <cellStyle name="Migliaia [0] 33 3 2 9" xfId="11790" xr:uid="{BF5D79D5-4171-47A6-932C-403121D455A5}"/>
    <cellStyle name="Migliaia [0] 33 3 3" xfId="5932" xr:uid="{946FBB9D-EE58-4071-897D-FCD9CC776485}"/>
    <cellStyle name="Migliaia [0] 33 3 3 2" xfId="11667" xr:uid="{3B54BA75-50EE-428A-BDBB-A218C98715C2}"/>
    <cellStyle name="Migliaia [0] 33 3 4" xfId="2951" xr:uid="{CE510637-AA1E-45AD-B855-1F5020F29F59}"/>
    <cellStyle name="Migliaia [0] 33 3 4 2" xfId="21305" xr:uid="{C1F0DEBC-4D37-436D-8A0C-DB42FB4238B7}"/>
    <cellStyle name="Migliaia [0] 33 3 4 3" xfId="47891" xr:uid="{40500F79-9038-4169-A29F-085C3F1B2DF3}"/>
    <cellStyle name="Migliaia [0] 33 3 4 4" xfId="50320" xr:uid="{5D262A3C-EB82-4AAB-BD38-F2546EFA69F9}"/>
    <cellStyle name="Migliaia [0] 33 3 4 5" xfId="53336" xr:uid="{9E95CFBF-5616-4875-9D5D-32B266339B25}"/>
    <cellStyle name="Migliaia [0] 33 3 4 6" xfId="10670" xr:uid="{3F8A68C8-1811-4C66-97BC-6E9091BA1832}"/>
    <cellStyle name="Migliaia [0] 33 3 5" xfId="19630" xr:uid="{02A82DB5-E5B6-4F9A-A2AA-B2547A0E4B35}"/>
    <cellStyle name="Migliaia [0] 33 3 6" xfId="24071" xr:uid="{4C0A15C0-B7AA-410F-8AFE-C6B39D05D56B}"/>
    <cellStyle name="Migliaia [0] 33 3 7" xfId="8210" xr:uid="{B80138AA-ECD0-40C6-98CC-C42671A03DE0}"/>
    <cellStyle name="Migliaia [0] 33 4" xfId="2952" xr:uid="{AA339ADB-DB1E-4C24-B771-509C43021060}"/>
    <cellStyle name="Migliaia [0] 33 4 2" xfId="4678" xr:uid="{FBD288A8-E746-479B-9FE8-81B179FEB5C8}"/>
    <cellStyle name="Migliaia [0] 33 4 2 2" xfId="35095" xr:uid="{814DDE91-2AAD-43B9-BECF-DD6E56F97828}"/>
    <cellStyle name="Migliaia [0] 33 4 2 2 2" xfId="40253" xr:uid="{F3DB31B6-D8D9-454F-A1DC-01C4F5BFACA4}"/>
    <cellStyle name="Migliaia [0] 33 4 2 2 3" xfId="45555" xr:uid="{3409E196-BAD2-4188-8069-F57268C858AA}"/>
    <cellStyle name="Migliaia [0] 33 4 2 3" xfId="37602" xr:uid="{E1D9A119-D6C1-48B3-8122-6791421D52B0}"/>
    <cellStyle name="Migliaia [0] 33 4 2 4" xfId="42904" xr:uid="{4586813C-85DF-4A7F-8E05-3CB622E4D50E}"/>
    <cellStyle name="Migliaia [0] 33 4 2 5" xfId="17035" xr:uid="{CC3A1FF4-91EF-4189-A27C-FD5297B4FA32}"/>
    <cellStyle name="Migliaia [0] 33 4 3" xfId="5933" xr:uid="{D3C214DE-38CE-4BDF-8AFB-3E945A7DC5B0}"/>
    <cellStyle name="Migliaia [0] 33 4 3 2" xfId="38211" xr:uid="{311DBADA-FA45-4481-A158-B9E0DF62ADCE}"/>
    <cellStyle name="Migliaia [0] 33 4 3 3" xfId="43513" xr:uid="{1914AD7D-F79D-4283-ACB5-697120438A47}"/>
    <cellStyle name="Migliaia [0] 33 4 3 4" xfId="32860" xr:uid="{9BBF08F4-6880-4507-AEA4-A34BBC40EDFB}"/>
    <cellStyle name="Migliaia [0] 33 4 3 5" xfId="19631" xr:uid="{8F3300C9-BD62-4636-8DD5-E10958A3E6B6}"/>
    <cellStyle name="Migliaia [0] 33 4 4" xfId="35746" xr:uid="{39A6BD9C-2636-4990-A45A-B9083775DFEF}"/>
    <cellStyle name="Migliaia [0] 33 4 5" xfId="40862" xr:uid="{73E0484C-6D81-4E11-80DE-500442384C4B}"/>
    <cellStyle name="Migliaia [0] 33 4 6" xfId="15977" xr:uid="{1441091D-C4CC-4E32-884D-E72E3C8AAE0A}"/>
    <cellStyle name="Migliaia [0] 33 4 7" xfId="7790" xr:uid="{388B5BC7-9AFB-4A5E-BDFB-A70B7A78371B}"/>
    <cellStyle name="Migliaia [0] 33 5" xfId="4674" xr:uid="{9951621B-F5C1-43CA-B4A6-76CAF44F740C}"/>
    <cellStyle name="Migliaia [0] 33 5 2" xfId="32861" xr:uid="{5D5AD196-1674-4C6E-BECA-B1BC2870B061}"/>
    <cellStyle name="Migliaia [0] 33 5 2 2" xfId="38212" xr:uid="{5715D697-A04D-4D34-A996-3AC74E1EEE38}"/>
    <cellStyle name="Migliaia [0] 33 5 2 3" xfId="43514" xr:uid="{03EC5382-9D11-443A-BFD4-C0EAD6ABBDF0}"/>
    <cellStyle name="Migliaia [0] 33 5 3" xfId="35747" xr:uid="{3DC033D7-A8DA-45A3-9C72-5567C578387B}"/>
    <cellStyle name="Migliaia [0] 33 5 4" xfId="40863" xr:uid="{30F6586C-2713-4DCD-BE8D-4B1E0678D441}"/>
    <cellStyle name="Migliaia [0] 33 5 5" xfId="17104" xr:uid="{69BB43EE-84B1-44E7-ACBF-27355039C4C9}"/>
    <cellStyle name="Migliaia [0] 33 6" xfId="5930" xr:uid="{02928B65-5B48-4FE2-9AA0-54514100CEC4}"/>
    <cellStyle name="Migliaia [0] 33 6 2" xfId="38208" xr:uid="{411D687F-FC92-4C83-AB8F-831F5FF393E3}"/>
    <cellStyle name="Migliaia [0] 33 6 3" xfId="43510" xr:uid="{BF62CE32-C396-4E35-88B2-71512CFFB798}"/>
    <cellStyle name="Migliaia [0] 33 6 4" xfId="32857" xr:uid="{57D147D3-7634-4333-A21F-817627DB3735}"/>
    <cellStyle name="Migliaia [0] 33 6 5" xfId="19627" xr:uid="{C7FB44F3-C0D9-49F5-B70F-F9AAC5ACCF52}"/>
    <cellStyle name="Migliaia [0] 33 7" xfId="2948" xr:uid="{5D9E1CE4-F37B-46B0-9EED-3869F330FC67}"/>
    <cellStyle name="Migliaia [0] 33 7 2" xfId="35743" xr:uid="{49D13188-50D1-4389-8FEA-B8C6C75E098C}"/>
    <cellStyle name="Migliaia [0] 33 8" xfId="40859" xr:uid="{69E0EC73-BABE-4244-A7BB-D6E1B165D437}"/>
    <cellStyle name="Migliaia [0] 33 9" xfId="7011" xr:uid="{DA0A67DC-32D0-465A-BBE6-CDFEA039CCC5}"/>
    <cellStyle name="Migliaia [0] 34" xfId="269" xr:uid="{00000000-0005-0000-0000-000041020000}"/>
    <cellStyle name="Migliaia [0] 34 2" xfId="1562" xr:uid="{00000000-0005-0000-0000-000042020000}"/>
    <cellStyle name="Migliaia [0] 34 2 2" xfId="1563" xr:uid="{00000000-0005-0000-0000-000043020000}"/>
    <cellStyle name="Migliaia [0] 34 2 2 2" xfId="4681" xr:uid="{7FF47654-05F1-4BC2-9C03-5183BEC807B1}"/>
    <cellStyle name="Migliaia [0] 34 2 2 2 2" xfId="21774" xr:uid="{6699BC42-621D-42C9-B33F-CF0AF12F9AA3}"/>
    <cellStyle name="Migliaia [0] 34 2 2 2 3" xfId="46741" xr:uid="{F2F1D9E5-B877-43C6-810B-4EEBC55BB563}"/>
    <cellStyle name="Migliaia [0] 34 2 2 2 4" xfId="50802" xr:uid="{09B27843-F434-42CF-B2EE-F62771C49808}"/>
    <cellStyle name="Migliaia [0] 34 2 2 2 5" xfId="53818" xr:uid="{C4A5DDB4-5E33-4F82-8719-A704BD15126F}"/>
    <cellStyle name="Migliaia [0] 34 2 2 2 6" xfId="11791" xr:uid="{AFAAF6C1-BC5A-40FA-A3D2-B53EB593ACD7}"/>
    <cellStyle name="Migliaia [0] 34 2 2 3" xfId="2955" xr:uid="{1FA5AAB0-1491-4382-8B03-DD4C9B1CE052}"/>
    <cellStyle name="Migliaia [0] 34 2 2 3 2" xfId="11553" xr:uid="{B5F43F98-6C20-471E-AA72-A3B98DBCBCDF}"/>
    <cellStyle name="Migliaia [0] 34 2 2 4" xfId="10671" xr:uid="{697EF045-50BD-4C2C-8EB8-37959A8105FE}"/>
    <cellStyle name="Migliaia [0] 34 2 2 4 2" xfId="21306" xr:uid="{2C15BC69-CA6F-43D9-952A-9FCA260CC79E}"/>
    <cellStyle name="Migliaia [0] 34 2 2 4 3" xfId="25360" xr:uid="{59F07C8B-17AC-4F4F-9A6B-9AAE4A2D77C1}"/>
    <cellStyle name="Migliaia [0] 34 2 2 4 4" xfId="50321" xr:uid="{329D4CE8-CCBF-45AC-A6A5-29B86019FBD7}"/>
    <cellStyle name="Migliaia [0] 34 2 2 4 5" xfId="53337" xr:uid="{350C24EA-293A-4462-84A5-C12E41AA5CEC}"/>
    <cellStyle name="Migliaia [0] 34 2 2 5" xfId="19634" xr:uid="{38CF2D87-E9DD-4A4A-8673-9438AA381950}"/>
    <cellStyle name="Migliaia [0] 34 2 2 6" xfId="24073" xr:uid="{F2A45CB7-7DCD-4598-99FC-C38CA0031CA1}"/>
    <cellStyle name="Migliaia [0] 34 2 2 7" xfId="48847" xr:uid="{FD8B74F1-6B2D-47C3-9CB5-EE19BDE73152}"/>
    <cellStyle name="Migliaia [0] 34 2 2 8" xfId="49753" xr:uid="{904A557E-393C-4DE6-B8F1-5DC2B5882216}"/>
    <cellStyle name="Migliaia [0] 34 2 2 9" xfId="8453" xr:uid="{55788675-AA47-434D-9C5F-8043896C3202}"/>
    <cellStyle name="Migliaia [0] 34 2 3" xfId="4680" xr:uid="{3C25559C-64AA-4CAB-B820-4772BE91A039}"/>
    <cellStyle name="Migliaia [0] 34 2 3 2" xfId="32863" xr:uid="{CB242074-B1A2-44B8-A474-A426E2635E1A}"/>
    <cellStyle name="Migliaia [0] 34 2 3 2 2" xfId="38214" xr:uid="{1F0406E4-3896-41B4-8C1B-58BA64C7BDA4}"/>
    <cellStyle name="Migliaia [0] 34 2 3 2 3" xfId="43516" xr:uid="{493C876E-85E5-4C35-AD63-A9A3AA27789C}"/>
    <cellStyle name="Migliaia [0] 34 2 3 3" xfId="35749" xr:uid="{E824318B-B1E7-434C-9F64-61C9147257F3}"/>
    <cellStyle name="Migliaia [0] 34 2 3 4" xfId="40865" xr:uid="{AF1A66F9-7364-41A5-9E8D-B8F718D881BE}"/>
    <cellStyle name="Migliaia [0] 34 2 3 5" xfId="11792" xr:uid="{D86EBE0C-CB89-462A-B043-39E88C8F7AD2}"/>
    <cellStyle name="Migliaia [0] 34 2 4" xfId="5935" xr:uid="{D00B5096-26DC-446A-91CE-53B268292BDF}"/>
    <cellStyle name="Migliaia [0] 34 2 4 2" xfId="19633" xr:uid="{C6C2EA91-756E-4222-9D85-38BADAE1E835}"/>
    <cellStyle name="Migliaia [0] 34 2 5" xfId="2954" xr:uid="{EEC7EB8D-A053-4144-A011-C505167621E3}"/>
    <cellStyle name="Migliaia [0] 34 2 5 2" xfId="24072" xr:uid="{340AD96A-DF6F-454F-A5BC-26363FE47775}"/>
    <cellStyle name="Migliaia [0] 34 2 6" xfId="7263" xr:uid="{DB10DBBF-79A9-4CF7-9B44-24312E8D65F7}"/>
    <cellStyle name="Migliaia [0] 34 3" xfId="1564" xr:uid="{00000000-0005-0000-0000-000044020000}"/>
    <cellStyle name="Migliaia [0] 34 3 2" xfId="4682" xr:uid="{71731013-A285-47DB-A5DD-F587E7C2E8D7}"/>
    <cellStyle name="Migliaia [0] 34 3 2 2" xfId="18328" xr:uid="{B554A2F5-7D70-4250-B5CF-4A8C53BD2653}"/>
    <cellStyle name="Migliaia [0] 34 3 2 2 2" xfId="21775" xr:uid="{F0FC404F-897E-4B3F-8E34-A97EA073B5F2}"/>
    <cellStyle name="Migliaia [0] 34 3 2 2 2 2" xfId="38215" xr:uid="{B1DB4EC4-B511-4B50-94FE-E9247A97B66B}"/>
    <cellStyle name="Migliaia [0] 34 3 2 2 3" xfId="43517" xr:uid="{0C512299-A3FA-4267-8C81-1A73E60886EB}"/>
    <cellStyle name="Migliaia [0] 34 3 2 2 4" xfId="32864" xr:uid="{D06E9577-85B0-4B69-88FC-F39BC9B99731}"/>
    <cellStyle name="Migliaia [0] 34 3 2 3" xfId="35750" xr:uid="{12E58C3E-6597-4EBC-895F-10AFB93709FA}"/>
    <cellStyle name="Migliaia [0] 34 3 2 4" xfId="40866" xr:uid="{8ED140C8-6CDC-429D-B15C-C9E728B3CC19}"/>
    <cellStyle name="Migliaia [0] 34 3 2 5" xfId="33063" xr:uid="{E7346440-8858-4BDF-8680-1D306658B45D}"/>
    <cellStyle name="Migliaia [0] 34 3 2 6" xfId="50803" xr:uid="{CCE63BBE-60AA-4AD9-B166-7FE9C6913E02}"/>
    <cellStyle name="Migliaia [0] 34 3 2 7" xfId="53819" xr:uid="{966137E2-9987-4FBE-8435-44BDD711B61C}"/>
    <cellStyle name="Migliaia [0] 34 3 2 8" xfId="17604" xr:uid="{A8939B81-B143-4167-8C0A-89B68F3755D3}"/>
    <cellStyle name="Migliaia [0] 34 3 2 9" xfId="11793" xr:uid="{65330A1C-C608-487C-BA15-F798DD282668}"/>
    <cellStyle name="Migliaia [0] 34 3 3" xfId="5936" xr:uid="{156B4AC0-27EE-413C-B2A1-F5DE1C7444A0}"/>
    <cellStyle name="Migliaia [0] 34 3 3 2" xfId="11116" xr:uid="{8BAA72CE-B78A-4AC1-AC6A-63927DCB8A3F}"/>
    <cellStyle name="Migliaia [0] 34 3 4" xfId="2956" xr:uid="{CD818AFF-BC85-4C57-A0D8-05F5C4C5441C}"/>
    <cellStyle name="Migliaia [0] 34 3 4 2" xfId="21307" xr:uid="{54868DC3-89B7-4E18-B66A-359E6D0FF8BA}"/>
    <cellStyle name="Migliaia [0] 34 3 4 3" xfId="47683" xr:uid="{65E7B528-6567-4662-8DFD-9B6C1EDA0E67}"/>
    <cellStyle name="Migliaia [0] 34 3 4 4" xfId="50322" xr:uid="{7783EB59-22C1-45A7-8566-EFEDBE423F73}"/>
    <cellStyle name="Migliaia [0] 34 3 4 5" xfId="53338" xr:uid="{3A919DE1-F53C-4CF0-8684-D6FFC503FE3D}"/>
    <cellStyle name="Migliaia [0] 34 3 4 6" xfId="10672" xr:uid="{DAE8DFDA-7C1A-4761-8CEF-117DBF3E0622}"/>
    <cellStyle name="Migliaia [0] 34 3 5" xfId="19635" xr:uid="{BC961E8A-26BF-4590-955E-D5855074379B}"/>
    <cellStyle name="Migliaia [0] 34 3 6" xfId="24074" xr:uid="{5753F92B-2997-4E3F-93BA-8708995C040B}"/>
    <cellStyle name="Migliaia [0] 34 3 7" xfId="8211" xr:uid="{48FE9DA1-D321-423C-B734-D2D1381FC61D}"/>
    <cellStyle name="Migliaia [0] 34 4" xfId="2957" xr:uid="{D2CE1A90-8373-47AC-A0D3-3ACE96530BDC}"/>
    <cellStyle name="Migliaia [0] 34 4 2" xfId="4683" xr:uid="{10FDFCF9-DAB5-4C97-99B7-46BAE7FCDA90}"/>
    <cellStyle name="Migliaia [0] 34 4 2 2" xfId="35096" xr:uid="{EA64710B-B30C-4A37-8F10-21E2120C0CF4}"/>
    <cellStyle name="Migliaia [0] 34 4 2 2 2" xfId="40254" xr:uid="{01FD6BBB-5719-41C4-9B16-EAB0574AB32A}"/>
    <cellStyle name="Migliaia [0] 34 4 2 2 3" xfId="45556" xr:uid="{DC28E536-12C5-4089-88C2-1B64455E6E5A}"/>
    <cellStyle name="Migliaia [0] 34 4 2 3" xfId="37603" xr:uid="{905C7C0A-EFEC-4DF3-A587-1ADDB6C64F78}"/>
    <cellStyle name="Migliaia [0] 34 4 2 4" xfId="42905" xr:uid="{E75E27C8-28B4-4415-A4A5-BC418F590358}"/>
    <cellStyle name="Migliaia [0] 34 4 2 5" xfId="17036" xr:uid="{3453B7B8-B935-48D7-8BC7-AB26B65A27AA}"/>
    <cellStyle name="Migliaia [0] 34 4 3" xfId="5937" xr:uid="{A8C40249-14EF-46DA-83A2-C47DCB1E5C52}"/>
    <cellStyle name="Migliaia [0] 34 4 3 2" xfId="38216" xr:uid="{E199751D-EE9A-49E3-84A9-5A4BFE83ECD6}"/>
    <cellStyle name="Migliaia [0] 34 4 3 3" xfId="43518" xr:uid="{3482DA46-B9FE-4005-825A-3A9B04894B06}"/>
    <cellStyle name="Migliaia [0] 34 4 3 4" xfId="32865" xr:uid="{ED28497A-D2A5-42CF-A2C8-FFC4ADEE9182}"/>
    <cellStyle name="Migliaia [0] 34 4 3 5" xfId="19636" xr:uid="{5BEA7507-C7C0-4B63-97AC-921326569C7C}"/>
    <cellStyle name="Migliaia [0] 34 4 4" xfId="35751" xr:uid="{63C819C9-39C5-4D24-8790-EDBC60B95669}"/>
    <cellStyle name="Migliaia [0] 34 4 5" xfId="40867" xr:uid="{CDFC7FE1-238E-4052-A7B8-E32717EE54BC}"/>
    <cellStyle name="Migliaia [0] 34 4 6" xfId="15978" xr:uid="{F716FB8A-9C72-4C50-A664-32EEAF7AC290}"/>
    <cellStyle name="Migliaia [0] 34 4 7" xfId="7791" xr:uid="{61E06DD3-8D05-4D45-ADFF-88560C4DED76}"/>
    <cellStyle name="Migliaia [0] 34 5" xfId="4679" xr:uid="{6748E7CA-2C18-4BF4-B39D-D62B888B5ABA}"/>
    <cellStyle name="Migliaia [0] 34 5 2" xfId="32866" xr:uid="{D05AFEED-EF50-4BEA-A4F6-4401A3D6FE13}"/>
    <cellStyle name="Migliaia [0] 34 5 2 2" xfId="38217" xr:uid="{05AF2F16-F7CD-464E-A6BE-7288DB5290B2}"/>
    <cellStyle name="Migliaia [0] 34 5 2 3" xfId="43519" xr:uid="{520CC08E-3440-4E6F-861A-20327D9D887C}"/>
    <cellStyle name="Migliaia [0] 34 5 3" xfId="35752" xr:uid="{0C954DB3-1034-4018-AFDF-4BD779E4025D}"/>
    <cellStyle name="Migliaia [0] 34 5 4" xfId="40868" xr:uid="{E41AC4E1-F886-4864-A62E-0B39E90698C2}"/>
    <cellStyle name="Migliaia [0] 34 5 5" xfId="17105" xr:uid="{48226B2E-588B-48CE-9FFC-266B254AE2D7}"/>
    <cellStyle name="Migliaia [0] 34 6" xfId="5934" xr:uid="{B318F912-5BE6-4254-872A-B4E16B5FAECC}"/>
    <cellStyle name="Migliaia [0] 34 6 2" xfId="38213" xr:uid="{1DD3CBB9-216E-430C-9639-6FEAEC2065A1}"/>
    <cellStyle name="Migliaia [0] 34 6 3" xfId="43515" xr:uid="{99E3DC24-54FC-4FEB-AA0F-9DE0ECE37CCD}"/>
    <cellStyle name="Migliaia [0] 34 6 4" xfId="32862" xr:uid="{42B5BADE-40F7-43AB-811B-1FB26D8BF084}"/>
    <cellStyle name="Migliaia [0] 34 6 5" xfId="19632" xr:uid="{48312A56-3C77-4180-B142-A65911BB5F91}"/>
    <cellStyle name="Migliaia [0] 34 7" xfId="2953" xr:uid="{CA22018F-3589-48CB-AD9C-D56B57ABE325}"/>
    <cellStyle name="Migliaia [0] 34 7 2" xfId="35748" xr:uid="{FE60E7F9-B391-47CC-81AB-AD2B6D104FF7}"/>
    <cellStyle name="Migliaia [0] 34 8" xfId="40864" xr:uid="{89E03D5E-6EE0-4A1B-8DA6-743D36A5D832}"/>
    <cellStyle name="Migliaia [0] 34 9" xfId="7012" xr:uid="{44053B65-D090-41DB-83FB-2AD56F8493C9}"/>
    <cellStyle name="Migliaia [0] 35" xfId="270" xr:uid="{00000000-0005-0000-0000-000045020000}"/>
    <cellStyle name="Migliaia [0] 35 2" xfId="1565" xr:uid="{00000000-0005-0000-0000-000046020000}"/>
    <cellStyle name="Migliaia [0] 35 2 2" xfId="1566" xr:uid="{00000000-0005-0000-0000-000047020000}"/>
    <cellStyle name="Migliaia [0] 35 2 2 2" xfId="4686" xr:uid="{F23E5477-1FFE-4C3B-9B10-35A9768479F2}"/>
    <cellStyle name="Migliaia [0] 35 2 2 2 2" xfId="21776" xr:uid="{3408BEDC-DF58-4648-BAEF-A9CA2FDDC14E}"/>
    <cellStyle name="Migliaia [0] 35 2 2 2 3" xfId="46292" xr:uid="{806CBC05-33DE-4EA0-90DF-8BADE715C48D}"/>
    <cellStyle name="Migliaia [0] 35 2 2 2 4" xfId="50804" xr:uid="{322E8546-658A-457E-85F0-B2FE146DF4F4}"/>
    <cellStyle name="Migliaia [0] 35 2 2 2 5" xfId="53820" xr:uid="{8B0E9420-2EF0-4095-81F9-8C9C75E16C20}"/>
    <cellStyle name="Migliaia [0] 35 2 2 2 6" xfId="11794" xr:uid="{74FEF73A-8E70-46E5-BE1F-3C8AFBECE1B9}"/>
    <cellStyle name="Migliaia [0] 35 2 2 3" xfId="2960" xr:uid="{AF0EE2E9-05B9-4F3B-94A2-EB669D2F2101}"/>
    <cellStyle name="Migliaia [0] 35 2 2 3 2" xfId="12342" xr:uid="{BBB9F041-0054-4BD2-B4DF-346DEBD9DEA6}"/>
    <cellStyle name="Migliaia [0] 35 2 2 4" xfId="10673" xr:uid="{495CD6DF-18A3-465A-ADD9-DF5342678F8D}"/>
    <cellStyle name="Migliaia [0] 35 2 2 4 2" xfId="21308" xr:uid="{D693A19B-2F53-4016-9921-0006FF1AEC38}"/>
    <cellStyle name="Migliaia [0] 35 2 2 4 3" xfId="46636" xr:uid="{D74B535D-7477-49B7-B31A-01503E139F05}"/>
    <cellStyle name="Migliaia [0] 35 2 2 4 4" xfId="50323" xr:uid="{7E7F68E2-8185-4582-A0EC-49FA17CBED4A}"/>
    <cellStyle name="Migliaia [0] 35 2 2 4 5" xfId="53339" xr:uid="{5499033D-61C3-4613-8524-0D9D098160E3}"/>
    <cellStyle name="Migliaia [0] 35 2 2 5" xfId="19639" xr:uid="{1116C150-8C2E-4BA2-872E-C7D44D247947}"/>
    <cellStyle name="Migliaia [0] 35 2 2 6" xfId="24076" xr:uid="{222A5C9B-019E-4E81-B14B-9E3C8862EC51}"/>
    <cellStyle name="Migliaia [0] 35 2 2 7" xfId="48848" xr:uid="{6F8FA0E8-5958-4791-9BF0-B37E84DB1A4E}"/>
    <cellStyle name="Migliaia [0] 35 2 2 8" xfId="49754" xr:uid="{35E1C942-FAC3-4BF5-9348-B546D77F5FFA}"/>
    <cellStyle name="Migliaia [0] 35 2 2 9" xfId="8454" xr:uid="{961B9555-87F1-4A7D-9CD7-3C4F32E84B20}"/>
    <cellStyle name="Migliaia [0] 35 2 3" xfId="4685" xr:uid="{0156E53E-1BA6-441D-BA2C-148705B45982}"/>
    <cellStyle name="Migliaia [0] 35 2 3 2" xfId="32868" xr:uid="{8354F3A2-CDA0-455B-8228-7F7D2C5462FD}"/>
    <cellStyle name="Migliaia [0] 35 2 3 2 2" xfId="38219" xr:uid="{A59DDA81-C458-46ED-AC2F-B56AE96737AD}"/>
    <cellStyle name="Migliaia [0] 35 2 3 2 3" xfId="43521" xr:uid="{0B046361-B99D-4492-9D49-27682BD14B62}"/>
    <cellStyle name="Migliaia [0] 35 2 3 3" xfId="35754" xr:uid="{E69CA9D4-2DCE-40EB-99A8-DA5155C9D185}"/>
    <cellStyle name="Migliaia [0] 35 2 3 4" xfId="40870" xr:uid="{DFA0708B-1AB0-47CD-B736-485B8242F1A9}"/>
    <cellStyle name="Migliaia [0] 35 2 3 5" xfId="11795" xr:uid="{903D63F3-FDA5-450E-8F78-2DED5F39F1B6}"/>
    <cellStyle name="Migliaia [0] 35 2 4" xfId="5939" xr:uid="{8A84E47A-552F-4EAC-BC05-001E22E23CB3}"/>
    <cellStyle name="Migliaia [0] 35 2 4 2" xfId="19638" xr:uid="{C314E1B9-7684-4D2D-A443-3B4BEFBDD664}"/>
    <cellStyle name="Migliaia [0] 35 2 5" xfId="2959" xr:uid="{7E7A23EC-5BA3-411A-AF7C-0F441A10BD4A}"/>
    <cellStyle name="Migliaia [0] 35 2 5 2" xfId="24075" xr:uid="{4D3B09DA-85A5-49BF-AE15-11BA12C1EFCB}"/>
    <cellStyle name="Migliaia [0] 35 2 6" xfId="7264" xr:uid="{D40D8714-3B7C-4DFE-BAC9-9C6826B630EF}"/>
    <cellStyle name="Migliaia [0] 35 3" xfId="1567" xr:uid="{00000000-0005-0000-0000-000048020000}"/>
    <cellStyle name="Migliaia [0] 35 3 2" xfId="4687" xr:uid="{1C781068-C9B4-4218-B066-C62EE3D2F012}"/>
    <cellStyle name="Migliaia [0] 35 3 2 2" xfId="18329" xr:uid="{8AACDA23-A892-431E-A7B3-290179FA33A3}"/>
    <cellStyle name="Migliaia [0] 35 3 2 2 2" xfId="21777" xr:uid="{91817663-B115-4CCE-B4FA-D70BF6061C64}"/>
    <cellStyle name="Migliaia [0] 35 3 2 2 2 2" xfId="38220" xr:uid="{3D21BD98-4D09-4647-BF93-1FAF55091F81}"/>
    <cellStyle name="Migliaia [0] 35 3 2 2 3" xfId="43522" xr:uid="{E7B4431D-4C7C-4D2A-959E-EC509F8F17C6}"/>
    <cellStyle name="Migliaia [0] 35 3 2 2 4" xfId="32869" xr:uid="{AF509258-B3D7-4BEF-8951-42571858DC69}"/>
    <cellStyle name="Migliaia [0] 35 3 2 3" xfId="35755" xr:uid="{6D43E527-5EEE-45FB-BE70-DD67CDA1E4CB}"/>
    <cellStyle name="Migliaia [0] 35 3 2 4" xfId="40871" xr:uid="{6026F760-3216-47DC-B9C3-8DE847D03215}"/>
    <cellStyle name="Migliaia [0] 35 3 2 5" xfId="48270" xr:uid="{2840E0CF-3EF4-4CE4-8DE4-2DDE874FE0BE}"/>
    <cellStyle name="Migliaia [0] 35 3 2 6" xfId="50805" xr:uid="{D899CF14-3B00-4D99-92E3-182725A3870E}"/>
    <cellStyle name="Migliaia [0] 35 3 2 7" xfId="53821" xr:uid="{3FB99AE7-82DF-4A70-9207-BECB386BDE9A}"/>
    <cellStyle name="Migliaia [0] 35 3 2 8" xfId="17605" xr:uid="{9C51AA41-C60C-476E-B2AE-E721939EC7CD}"/>
    <cellStyle name="Migliaia [0] 35 3 2 9" xfId="11796" xr:uid="{A80924FC-6780-407E-999F-9DA6B57A887A}"/>
    <cellStyle name="Migliaia [0] 35 3 3" xfId="5940" xr:uid="{410D2716-D1F1-4AAE-B3F4-0B97A9FD13BA}"/>
    <cellStyle name="Migliaia [0] 35 3 3 2" xfId="12377" xr:uid="{BDD3F212-C871-48CF-987C-9264559BC71B}"/>
    <cellStyle name="Migliaia [0] 35 3 4" xfId="2961" xr:uid="{98DFD544-E333-40B6-9816-8B4EA23F57F2}"/>
    <cellStyle name="Migliaia [0] 35 3 4 2" xfId="21309" xr:uid="{B94EBD87-8C1D-443C-BE38-A9B00C057D96}"/>
    <cellStyle name="Migliaia [0] 35 3 4 3" xfId="36717" xr:uid="{7A36A91B-985B-4994-B261-691755A81D67}"/>
    <cellStyle name="Migliaia [0] 35 3 4 4" xfId="50324" xr:uid="{6812C6B9-1ADA-44A4-8645-3EEB4E036A84}"/>
    <cellStyle name="Migliaia [0] 35 3 4 5" xfId="53340" xr:uid="{D796F268-24E6-4E22-9D40-60A02FBC093E}"/>
    <cellStyle name="Migliaia [0] 35 3 4 6" xfId="10674" xr:uid="{2131E97A-735F-4296-BEF2-7E5646DDB383}"/>
    <cellStyle name="Migliaia [0] 35 3 5" xfId="19640" xr:uid="{85070DC4-278E-4270-A00E-41FA9E1130D7}"/>
    <cellStyle name="Migliaia [0] 35 3 6" xfId="24077" xr:uid="{36F44048-775E-4506-9AD6-681528023350}"/>
    <cellStyle name="Migliaia [0] 35 3 7" xfId="8212" xr:uid="{EB1EA790-E47D-4DEF-96F1-D3689AC37D53}"/>
    <cellStyle name="Migliaia [0] 35 4" xfId="2962" xr:uid="{D303A6E3-B77E-4DEC-B86B-95DF61574933}"/>
    <cellStyle name="Migliaia [0] 35 4 2" xfId="4688" xr:uid="{4A8CE6BB-B5AE-4EF8-B984-206ADA9D19E2}"/>
    <cellStyle name="Migliaia [0] 35 4 2 2" xfId="35097" xr:uid="{81D53355-B0BA-4411-B40A-D5EE23846287}"/>
    <cellStyle name="Migliaia [0] 35 4 2 2 2" xfId="40255" xr:uid="{9A17C673-9930-45F9-A3A0-ABF66486C3B7}"/>
    <cellStyle name="Migliaia [0] 35 4 2 2 3" xfId="45557" xr:uid="{1CA1BFD2-D87D-4D01-9ABD-7B575A77E022}"/>
    <cellStyle name="Migliaia [0] 35 4 2 3" xfId="37604" xr:uid="{9C778CF7-F219-4C46-918D-4F6AF2EE34CD}"/>
    <cellStyle name="Migliaia [0] 35 4 2 4" xfId="42906" xr:uid="{687015BE-F3A7-43F1-89DE-847116DAEF93}"/>
    <cellStyle name="Migliaia [0] 35 4 2 5" xfId="17037" xr:uid="{EA9E9E53-C05E-4DF5-92AB-5299C758930C}"/>
    <cellStyle name="Migliaia [0] 35 4 3" xfId="5941" xr:uid="{B9808434-302C-4464-8C9A-740DF3737E40}"/>
    <cellStyle name="Migliaia [0] 35 4 3 2" xfId="38221" xr:uid="{9BCB5995-95C6-4521-9307-11137C2E6ACF}"/>
    <cellStyle name="Migliaia [0] 35 4 3 3" xfId="43523" xr:uid="{BFFB9738-4F48-41A1-A682-C63A4F4097B2}"/>
    <cellStyle name="Migliaia [0] 35 4 3 4" xfId="32870" xr:uid="{0444ABB8-0AA5-4182-A98B-B84A0517C190}"/>
    <cellStyle name="Migliaia [0] 35 4 3 5" xfId="19641" xr:uid="{46C15377-1556-49A0-B491-A6B9A75C1482}"/>
    <cellStyle name="Migliaia [0] 35 4 4" xfId="35756" xr:uid="{E10239BB-0BFD-4329-BE57-236B69EC1C42}"/>
    <cellStyle name="Migliaia [0] 35 4 5" xfId="40872" xr:uid="{7198CF42-A798-4DE5-B984-9C3DE723D03F}"/>
    <cellStyle name="Migliaia [0] 35 4 6" xfId="15979" xr:uid="{A86E2884-33E9-44C8-8095-869C76938A53}"/>
    <cellStyle name="Migliaia [0] 35 4 7" xfId="7792" xr:uid="{2262353D-AEF5-43E2-9C97-34E2D8ABE4EC}"/>
    <cellStyle name="Migliaia [0] 35 5" xfId="4684" xr:uid="{EC1B6CFE-41DC-4511-B5A2-7302AB8361A2}"/>
    <cellStyle name="Migliaia [0] 35 5 2" xfId="32871" xr:uid="{B5578358-365B-4DA8-865A-993ACC7C1329}"/>
    <cellStyle name="Migliaia [0] 35 5 2 2" xfId="38222" xr:uid="{9CA9414F-A841-40F7-9A98-5199F65C00E3}"/>
    <cellStyle name="Migliaia [0] 35 5 2 3" xfId="43524" xr:uid="{409B5DDB-71FB-4290-BC23-A3464E0A5343}"/>
    <cellStyle name="Migliaia [0] 35 5 3" xfId="35757" xr:uid="{7B215546-A48D-4F22-957B-7C8EEE9CA3ED}"/>
    <cellStyle name="Migliaia [0] 35 5 4" xfId="40873" xr:uid="{D5A50A5A-93FF-4E99-A48F-A85ED2001C4F}"/>
    <cellStyle name="Migliaia [0] 35 5 5" xfId="17106" xr:uid="{99607AA0-B664-4B76-BAAD-608BD3912ACB}"/>
    <cellStyle name="Migliaia [0] 35 6" xfId="5938" xr:uid="{E6B0EF93-BAEA-4005-8073-ACF6942D0F58}"/>
    <cellStyle name="Migliaia [0] 35 6 2" xfId="38218" xr:uid="{BA244EAF-4608-4C51-AE7A-450048594749}"/>
    <cellStyle name="Migliaia [0] 35 6 3" xfId="43520" xr:uid="{B68EBD98-E0D5-4808-B655-4D57376B54F2}"/>
    <cellStyle name="Migliaia [0] 35 6 4" xfId="32867" xr:uid="{4B72CE8E-7527-4321-B5BE-280AE7CC7BDE}"/>
    <cellStyle name="Migliaia [0] 35 6 5" xfId="19637" xr:uid="{722F6A17-7334-4BA4-8D97-DD8BD484341F}"/>
    <cellStyle name="Migliaia [0] 35 7" xfId="2958" xr:uid="{55DEA085-289B-402A-9AFA-2145A27F5A7F}"/>
    <cellStyle name="Migliaia [0] 35 7 2" xfId="35753" xr:uid="{440C6E5E-0FEB-48B6-8717-B2E90C8A0CDA}"/>
    <cellStyle name="Migliaia [0] 35 8" xfId="40869" xr:uid="{1174AB10-0217-4910-B68D-3DF032B83D93}"/>
    <cellStyle name="Migliaia [0] 35 9" xfId="7013" xr:uid="{1FE36B0F-24A6-4825-9FC9-8BF3F355779B}"/>
    <cellStyle name="Migliaia [0] 36" xfId="271" xr:uid="{00000000-0005-0000-0000-000049020000}"/>
    <cellStyle name="Migliaia [0] 36 2" xfId="1568" xr:uid="{00000000-0005-0000-0000-00004A020000}"/>
    <cellStyle name="Migliaia [0] 36 2 2" xfId="1569" xr:uid="{00000000-0005-0000-0000-00004B020000}"/>
    <cellStyle name="Migliaia [0] 36 2 2 2" xfId="4691" xr:uid="{6630EAEE-D294-458D-9D0D-2A0A0FC93B9D}"/>
    <cellStyle name="Migliaia [0] 36 2 2 2 2" xfId="21778" xr:uid="{56E6000D-22CB-49B2-93BD-91713CB479BF}"/>
    <cellStyle name="Migliaia [0] 36 2 2 2 3" xfId="46742" xr:uid="{9613B514-9092-498E-8F03-0E581698B3F0}"/>
    <cellStyle name="Migliaia [0] 36 2 2 2 4" xfId="50806" xr:uid="{8E7A725F-46DA-4B42-A534-131679135803}"/>
    <cellStyle name="Migliaia [0] 36 2 2 2 5" xfId="53822" xr:uid="{C1843054-3F68-4318-8A8C-BEB1E9949E88}"/>
    <cellStyle name="Migliaia [0] 36 2 2 2 6" xfId="11797" xr:uid="{B2E18BBA-6DE3-4FF7-8914-36797AC29943}"/>
    <cellStyle name="Migliaia [0] 36 2 2 3" xfId="2965" xr:uid="{9BA70B29-EE7E-411C-BE94-0148DC6C5D44}"/>
    <cellStyle name="Migliaia [0] 36 2 2 3 2" xfId="12341" xr:uid="{BF9008E5-AEC8-4612-86DC-A23E24069326}"/>
    <cellStyle name="Migliaia [0] 36 2 2 4" xfId="10675" xr:uid="{F2A56EB8-AE5E-4FF2-B3F3-AD0DFC5B7806}"/>
    <cellStyle name="Migliaia [0] 36 2 2 4 2" xfId="21310" xr:uid="{2526CD51-9693-46B5-8F3F-C0863A950E83}"/>
    <cellStyle name="Migliaia [0] 36 2 2 4 3" xfId="47406" xr:uid="{3E742AF4-4A82-495D-834F-7A39301F9375}"/>
    <cellStyle name="Migliaia [0] 36 2 2 4 4" xfId="50325" xr:uid="{B82FCB3E-DB99-4C03-A219-6109CBA4C358}"/>
    <cellStyle name="Migliaia [0] 36 2 2 4 5" xfId="53341" xr:uid="{6737804E-8DB9-47DC-B344-56A755934CC5}"/>
    <cellStyle name="Migliaia [0] 36 2 2 5" xfId="19644" xr:uid="{0BEEA79A-68CC-4612-9E7F-8B338773777D}"/>
    <cellStyle name="Migliaia [0] 36 2 2 6" xfId="24079" xr:uid="{E1394CC2-5085-4628-BB48-D33934944260}"/>
    <cellStyle name="Migliaia [0] 36 2 2 7" xfId="48849" xr:uid="{5B968821-6EDA-4135-99FF-D0BF2A79AF89}"/>
    <cellStyle name="Migliaia [0] 36 2 2 8" xfId="49755" xr:uid="{AF6662D7-AC54-4750-80F8-14A45E70CB4F}"/>
    <cellStyle name="Migliaia [0] 36 2 2 9" xfId="8455" xr:uid="{6A1E3F5E-F71D-4C68-A8DF-AE13D8769E30}"/>
    <cellStyle name="Migliaia [0] 36 2 3" xfId="4690" xr:uid="{13E2D0BD-8050-4478-8260-323C80ABD532}"/>
    <cellStyle name="Migliaia [0] 36 2 3 2" xfId="32873" xr:uid="{D65FA69F-769E-4F43-90CE-6BA4F0D7B7DC}"/>
    <cellStyle name="Migliaia [0] 36 2 3 2 2" xfId="38224" xr:uid="{06996F64-FB72-4EEC-9056-5C595FF6303D}"/>
    <cellStyle name="Migliaia [0] 36 2 3 2 3" xfId="43526" xr:uid="{C713C0A1-FFAD-482B-B63C-804D285FF557}"/>
    <cellStyle name="Migliaia [0] 36 2 3 3" xfId="35759" xr:uid="{4ABF5044-57A1-49B4-B9D7-6BCA2F047592}"/>
    <cellStyle name="Migliaia [0] 36 2 3 4" xfId="40875" xr:uid="{2D45516F-B8B8-4B1B-9D9D-10E0576E1BCC}"/>
    <cellStyle name="Migliaia [0] 36 2 3 5" xfId="11798" xr:uid="{2E8BB3DC-9B7C-4D83-B9C2-FC5F51BBF077}"/>
    <cellStyle name="Migliaia [0] 36 2 4" xfId="5943" xr:uid="{AC165AD2-39C9-4906-BBC2-97F9B163666E}"/>
    <cellStyle name="Migliaia [0] 36 2 4 2" xfId="19643" xr:uid="{B6A7BEC7-8A01-40C7-834D-392392E28494}"/>
    <cellStyle name="Migliaia [0] 36 2 5" xfId="2964" xr:uid="{58C8D901-3503-4C1C-B7D2-1F9951D1ECF2}"/>
    <cellStyle name="Migliaia [0] 36 2 5 2" xfId="24078" xr:uid="{B83B545A-E6F6-4C3E-BE8B-794446813ADB}"/>
    <cellStyle name="Migliaia [0] 36 2 6" xfId="7265" xr:uid="{0E012A9E-0F29-4DAC-9C6A-82BF0531D583}"/>
    <cellStyle name="Migliaia [0] 36 3" xfId="1570" xr:uid="{00000000-0005-0000-0000-00004C020000}"/>
    <cellStyle name="Migliaia [0] 36 3 2" xfId="4692" xr:uid="{9037FA35-F9B8-4626-B919-399D5007C1B9}"/>
    <cellStyle name="Migliaia [0] 36 3 2 2" xfId="18330" xr:uid="{CD8E2AC8-FFD4-44D8-A94E-33BB7C0FAC44}"/>
    <cellStyle name="Migliaia [0] 36 3 2 2 2" xfId="21779" xr:uid="{07522B15-7CBC-4821-AFBE-996FDAC9702D}"/>
    <cellStyle name="Migliaia [0] 36 3 2 2 2 2" xfId="38225" xr:uid="{8A02E7BB-4479-4472-921B-CAC8D9E9D84D}"/>
    <cellStyle name="Migliaia [0] 36 3 2 2 3" xfId="43527" xr:uid="{A9672D87-293D-40F4-A03D-0F50E398C0FD}"/>
    <cellStyle name="Migliaia [0] 36 3 2 2 4" xfId="32874" xr:uid="{03088C17-D14F-4CEA-BA91-739F40B66490}"/>
    <cellStyle name="Migliaia [0] 36 3 2 3" xfId="35760" xr:uid="{8D59A6CF-51DE-46E9-B5A1-F7176EAC8F71}"/>
    <cellStyle name="Migliaia [0] 36 3 2 4" xfId="40876" xr:uid="{AA027373-6D59-49AC-AFC9-CF47623DF789}"/>
    <cellStyle name="Migliaia [0] 36 3 2 5" xfId="47315" xr:uid="{49124304-CFD6-4250-94D1-FC5FAD327472}"/>
    <cellStyle name="Migliaia [0] 36 3 2 6" xfId="50807" xr:uid="{E43DA2FE-B33B-47C4-9046-EEF9D4F44BC8}"/>
    <cellStyle name="Migliaia [0] 36 3 2 7" xfId="53823" xr:uid="{BB2854AD-B1E7-4042-A9A8-0DD2E1BE2857}"/>
    <cellStyle name="Migliaia [0] 36 3 2 8" xfId="17606" xr:uid="{15D698D0-1345-4E3B-9FA8-E83EF64B1581}"/>
    <cellStyle name="Migliaia [0] 36 3 2 9" xfId="11799" xr:uid="{622970F4-F11E-40DD-BCF5-A344A1D8030F}"/>
    <cellStyle name="Migliaia [0] 36 3 3" xfId="5944" xr:uid="{85A2BBC8-8511-4C40-BB3C-8F6733FCD897}"/>
    <cellStyle name="Migliaia [0] 36 3 3 2" xfId="12376" xr:uid="{6412A2A1-3042-40B6-9A32-F1D39375B656}"/>
    <cellStyle name="Migliaia [0] 36 3 4" xfId="2966" xr:uid="{AA0CB16A-BAD2-4045-A3D2-F042261253A3}"/>
    <cellStyle name="Migliaia [0] 36 3 4 2" xfId="21311" xr:uid="{6851F8DD-8679-4D26-80F3-7104AD7C35C5}"/>
    <cellStyle name="Migliaia [0] 36 3 4 3" xfId="47656" xr:uid="{D821A62F-59B8-4543-AD9C-795B491B478B}"/>
    <cellStyle name="Migliaia [0] 36 3 4 4" xfId="50326" xr:uid="{BD72039B-2B43-4285-A52B-28AD0FB97414}"/>
    <cellStyle name="Migliaia [0] 36 3 4 5" xfId="53342" xr:uid="{C149CABD-A987-4E3E-B33D-3D70DF0ECF5A}"/>
    <cellStyle name="Migliaia [0] 36 3 4 6" xfId="10676" xr:uid="{E8E5732F-81FF-4FC5-AA65-7BC5DFDB2207}"/>
    <cellStyle name="Migliaia [0] 36 3 5" xfId="19645" xr:uid="{B3E8EA0B-7BD3-4017-98B6-5B183EE46EFC}"/>
    <cellStyle name="Migliaia [0] 36 3 6" xfId="24080" xr:uid="{1F423675-97F1-412F-A493-4F66C63271CE}"/>
    <cellStyle name="Migliaia [0] 36 3 7" xfId="8213" xr:uid="{B34FA6C2-2730-4807-B222-DB80AAB9D564}"/>
    <cellStyle name="Migliaia [0] 36 4" xfId="2967" xr:uid="{3C097D4F-2462-4C5C-9DAE-903DA1E16549}"/>
    <cellStyle name="Migliaia [0] 36 4 2" xfId="4693" xr:uid="{4484610C-3F2D-449B-8E05-60E252FB917F}"/>
    <cellStyle name="Migliaia [0] 36 4 2 2" xfId="35098" xr:uid="{B27D0E6C-247D-47D1-B2D2-ADD29719670D}"/>
    <cellStyle name="Migliaia [0] 36 4 2 2 2" xfId="40256" xr:uid="{A6A3662A-34F0-43F4-BF01-A64CE4139C8B}"/>
    <cellStyle name="Migliaia [0] 36 4 2 2 3" xfId="45558" xr:uid="{D17EC1C3-1CCD-46B0-953C-828550307F73}"/>
    <cellStyle name="Migliaia [0] 36 4 2 3" xfId="37605" xr:uid="{95F40E69-3E46-4473-ACA6-DE9F61999E8B}"/>
    <cellStyle name="Migliaia [0] 36 4 2 4" xfId="42907" xr:uid="{5AA1D0A0-7081-4504-B1D1-0C345DF07409}"/>
    <cellStyle name="Migliaia [0] 36 4 2 5" xfId="17038" xr:uid="{9E02DE33-6307-4734-A1D0-44AA8B313B93}"/>
    <cellStyle name="Migliaia [0] 36 4 3" xfId="5945" xr:uid="{5CD857B6-859C-4536-B31C-B1785F24D163}"/>
    <cellStyle name="Migliaia [0] 36 4 3 2" xfId="38226" xr:uid="{5B0B63F3-76EC-4307-ADB0-3C4946892C14}"/>
    <cellStyle name="Migliaia [0] 36 4 3 3" xfId="43528" xr:uid="{909DDD7B-5D09-4CC6-A75C-11AB9EA96F80}"/>
    <cellStyle name="Migliaia [0] 36 4 3 4" xfId="32875" xr:uid="{DB5B21BC-9E29-4867-B300-F9BCF1F5580F}"/>
    <cellStyle name="Migliaia [0] 36 4 3 5" xfId="19646" xr:uid="{AD0A6693-2A03-4F8C-B7A8-6DD7DD26B282}"/>
    <cellStyle name="Migliaia [0] 36 4 4" xfId="35761" xr:uid="{03E85269-C82B-4D70-944A-5F8C97E0F68F}"/>
    <cellStyle name="Migliaia [0] 36 4 5" xfId="40877" xr:uid="{712C7E09-E742-419A-AF0E-233A75999F34}"/>
    <cellStyle name="Migliaia [0] 36 4 6" xfId="15980" xr:uid="{352B04A6-BC31-4448-B458-933A1C9AD885}"/>
    <cellStyle name="Migliaia [0] 36 4 7" xfId="7793" xr:uid="{650E5B09-CF42-42BC-A33B-2A06171308CF}"/>
    <cellStyle name="Migliaia [0] 36 5" xfId="4689" xr:uid="{A98DA38D-DCEB-43A6-90EA-63CC53B72432}"/>
    <cellStyle name="Migliaia [0] 36 5 2" xfId="32876" xr:uid="{3CF1E97E-4B7F-4459-B4E3-E03A12DCD207}"/>
    <cellStyle name="Migliaia [0] 36 5 2 2" xfId="38227" xr:uid="{630BE01E-8C19-4702-A55D-5C4BDAB0EF8B}"/>
    <cellStyle name="Migliaia [0] 36 5 2 3" xfId="43529" xr:uid="{DA225445-1B67-4DC0-963B-2E1A83D8E94E}"/>
    <cellStyle name="Migliaia [0] 36 5 3" xfId="35762" xr:uid="{7FF4B985-5516-4CB6-8324-E8C1B5EEA53B}"/>
    <cellStyle name="Migliaia [0] 36 5 4" xfId="40878" xr:uid="{CD5FFCAE-088D-4405-A3EF-71682736ADAA}"/>
    <cellStyle name="Migliaia [0] 36 5 5" xfId="17107" xr:uid="{2C24AC54-82EB-4A66-BD02-7BEBB6339258}"/>
    <cellStyle name="Migliaia [0] 36 6" xfId="5942" xr:uid="{692D149D-6B31-4E81-B8BA-A1C82A620C64}"/>
    <cellStyle name="Migliaia [0] 36 6 2" xfId="38223" xr:uid="{5245B3CE-940E-421C-9B80-6251F8AABCA5}"/>
    <cellStyle name="Migliaia [0] 36 6 3" xfId="43525" xr:uid="{3D092729-D804-490C-9044-734A241075D0}"/>
    <cellStyle name="Migliaia [0] 36 6 4" xfId="32872" xr:uid="{492451A1-84BA-4FAB-9A89-89438D5475A8}"/>
    <cellStyle name="Migliaia [0] 36 6 5" xfId="19642" xr:uid="{D0D8A46F-5236-4DE0-88DE-A294DE6253AB}"/>
    <cellStyle name="Migliaia [0] 36 7" xfId="2963" xr:uid="{BD71548B-D8C4-4FC4-A8FD-57A7D72F773F}"/>
    <cellStyle name="Migliaia [0] 36 7 2" xfId="35758" xr:uid="{12A6D9C9-D1A5-4D99-9C17-30E7DE8A47EA}"/>
    <cellStyle name="Migliaia [0] 36 8" xfId="40874" xr:uid="{E1420A4A-DF22-4228-A967-1CC5F2C88ACB}"/>
    <cellStyle name="Migliaia [0] 36 9" xfId="7014" xr:uid="{9D4CA115-E993-400A-9F3B-5D3C1349036B}"/>
    <cellStyle name="Migliaia [0] 37" xfId="272" xr:uid="{00000000-0005-0000-0000-00004D020000}"/>
    <cellStyle name="Migliaia [0] 37 2" xfId="1571" xr:uid="{00000000-0005-0000-0000-00004E020000}"/>
    <cellStyle name="Migliaia [0] 37 2 2" xfId="1572" xr:uid="{00000000-0005-0000-0000-00004F020000}"/>
    <cellStyle name="Migliaia [0] 37 2 2 2" xfId="4696" xr:uid="{DAD01564-95F7-422D-9CCB-2CE88A495CCB}"/>
    <cellStyle name="Migliaia [0] 37 2 2 2 2" xfId="21780" xr:uid="{24667572-88D3-4058-94E5-167D97E6C9A5}"/>
    <cellStyle name="Migliaia [0] 37 2 2 2 3" xfId="46293" xr:uid="{582EF0C2-502F-45F2-8C30-B403825FE459}"/>
    <cellStyle name="Migliaia [0] 37 2 2 2 4" xfId="50808" xr:uid="{E0535650-5729-48E2-BFF5-BF2F37618968}"/>
    <cellStyle name="Migliaia [0] 37 2 2 2 5" xfId="53824" xr:uid="{49E29AFE-85AD-4A44-88CA-72CF339457A9}"/>
    <cellStyle name="Migliaia [0] 37 2 2 2 6" xfId="11800" xr:uid="{0BF9374F-7BAA-4D6B-BE32-32039794FB09}"/>
    <cellStyle name="Migliaia [0] 37 2 2 3" xfId="2970" xr:uid="{0EA2AC64-695E-4C30-9C66-3F18A6175A9B}"/>
    <cellStyle name="Migliaia [0] 37 2 2 3 2" xfId="12340" xr:uid="{28AD3FFD-CCB9-4700-83B0-BD4E8FC53163}"/>
    <cellStyle name="Migliaia [0] 37 2 2 4" xfId="10677" xr:uid="{6C08EC93-600F-4DB2-92B9-E3657BD3EE19}"/>
    <cellStyle name="Migliaia [0] 37 2 2 4 2" xfId="21312" xr:uid="{E024DB23-B264-44BA-A795-CAAFC0F960BB}"/>
    <cellStyle name="Migliaia [0] 37 2 2 4 3" xfId="46182" xr:uid="{D1DDBE61-6726-4CB5-A2B6-8AC5D9388025}"/>
    <cellStyle name="Migliaia [0] 37 2 2 4 4" xfId="50327" xr:uid="{594126ED-22EB-48BB-94B5-AFF94A86FFFC}"/>
    <cellStyle name="Migliaia [0] 37 2 2 4 5" xfId="53343" xr:uid="{19A14410-47F3-4DB1-B8F8-DE5A9D440D1D}"/>
    <cellStyle name="Migliaia [0] 37 2 2 5" xfId="19649" xr:uid="{FAFA9A00-AE9B-43B1-B28E-BA5C6BCA8568}"/>
    <cellStyle name="Migliaia [0] 37 2 2 6" xfId="24082" xr:uid="{037E81E8-C1C3-484D-800F-79D923EA2230}"/>
    <cellStyle name="Migliaia [0] 37 2 2 7" xfId="48850" xr:uid="{C3796E00-76D2-426E-BB93-407CF5A3BA27}"/>
    <cellStyle name="Migliaia [0] 37 2 2 8" xfId="49756" xr:uid="{9AD44F0E-3ED5-4399-B304-CFDEC1489442}"/>
    <cellStyle name="Migliaia [0] 37 2 2 9" xfId="8456" xr:uid="{795E39A5-55BA-4FE1-A55F-2FD7CE1AAB53}"/>
    <cellStyle name="Migliaia [0] 37 2 3" xfId="4695" xr:uid="{F348FA34-FD99-437F-BF0F-D98B20A0D88D}"/>
    <cellStyle name="Migliaia [0] 37 2 3 2" xfId="32878" xr:uid="{B0A64A46-BF56-4982-8048-6AE58643CD8A}"/>
    <cellStyle name="Migliaia [0] 37 2 3 2 2" xfId="38229" xr:uid="{4FF0CB4F-D5FD-4174-869A-68C9CE24D635}"/>
    <cellStyle name="Migliaia [0] 37 2 3 2 3" xfId="43531" xr:uid="{66FFC278-5B7E-4E0C-B630-14037C1C0642}"/>
    <cellStyle name="Migliaia [0] 37 2 3 3" xfId="35764" xr:uid="{866F215D-BE4C-40A4-B382-4779355363F8}"/>
    <cellStyle name="Migliaia [0] 37 2 3 4" xfId="40880" xr:uid="{2983902F-ED78-4CC3-A42D-39CC82073242}"/>
    <cellStyle name="Migliaia [0] 37 2 3 5" xfId="11801" xr:uid="{0A567758-8E78-4879-881F-E0CFC85A6A1E}"/>
    <cellStyle name="Migliaia [0] 37 2 4" xfId="5947" xr:uid="{4ED181B4-278B-46F9-A99F-74F65201207D}"/>
    <cellStyle name="Migliaia [0] 37 2 4 2" xfId="19648" xr:uid="{2C746332-12AC-4856-B8A1-D08DBFC6AC23}"/>
    <cellStyle name="Migliaia [0] 37 2 5" xfId="2969" xr:uid="{8DA40E09-55B5-4C52-A400-D9336CF9F252}"/>
    <cellStyle name="Migliaia [0] 37 2 5 2" xfId="24081" xr:uid="{7CB1D960-2D5F-48DF-9A44-A54EBDC5C6CD}"/>
    <cellStyle name="Migliaia [0] 37 2 6" xfId="7266" xr:uid="{73B37540-FCB0-4D49-9DB3-5E389972F1DA}"/>
    <cellStyle name="Migliaia [0] 37 3" xfId="1573" xr:uid="{00000000-0005-0000-0000-000050020000}"/>
    <cellStyle name="Migliaia [0] 37 3 2" xfId="4697" xr:uid="{7688EE82-5B25-4483-95DD-0CB3A4A37323}"/>
    <cellStyle name="Migliaia [0] 37 3 2 2" xfId="18331" xr:uid="{43B1B27C-C94C-4B6E-8F49-B5EEC6F2B02F}"/>
    <cellStyle name="Migliaia [0] 37 3 2 2 2" xfId="21781" xr:uid="{F2F6D6C8-231B-40AD-BFED-4AA7FD4F2058}"/>
    <cellStyle name="Migliaia [0] 37 3 2 2 2 2" xfId="38230" xr:uid="{CE8FF80F-2A26-4ECC-9F0E-AF803FB83018}"/>
    <cellStyle name="Migliaia [0] 37 3 2 2 3" xfId="43532" xr:uid="{7EE83B12-B29C-4E9C-BECC-CD26954886DC}"/>
    <cellStyle name="Migliaia [0] 37 3 2 2 4" xfId="32879" xr:uid="{C0759AE9-41B3-4E0C-8516-FF102C2DCC39}"/>
    <cellStyle name="Migliaia [0] 37 3 2 3" xfId="35765" xr:uid="{81BA5ACC-E85D-4D87-9100-8ACD7664DFED}"/>
    <cellStyle name="Migliaia [0] 37 3 2 4" xfId="40881" xr:uid="{930707CF-379A-4714-9C30-F6AC33C02739}"/>
    <cellStyle name="Migliaia [0] 37 3 2 5" xfId="25130" xr:uid="{5EC7C8D0-235E-4657-A939-E47915E84CDD}"/>
    <cellStyle name="Migliaia [0] 37 3 2 6" xfId="50809" xr:uid="{CA43EC19-DB97-4C6D-954C-7DAE4C3FD18B}"/>
    <cellStyle name="Migliaia [0] 37 3 2 7" xfId="53825" xr:uid="{F22705FE-651A-4331-9670-8D8165F7DB12}"/>
    <cellStyle name="Migliaia [0] 37 3 2 8" xfId="17607" xr:uid="{D9865329-0BF0-4032-B874-4878349E9505}"/>
    <cellStyle name="Migliaia [0] 37 3 2 9" xfId="11802" xr:uid="{12C15A31-2973-4FA4-B8F4-959842035226}"/>
    <cellStyle name="Migliaia [0] 37 3 3" xfId="5948" xr:uid="{89769745-8312-4C44-9AC9-E438F4AF19C3}"/>
    <cellStyle name="Migliaia [0] 37 3 3 2" xfId="12375" xr:uid="{ABBD32A8-DD29-479E-A18D-0D6C4D3B3C04}"/>
    <cellStyle name="Migliaia [0] 37 3 4" xfId="2971" xr:uid="{9560137C-3FAD-4A00-B872-4D921230BE19}"/>
    <cellStyle name="Migliaia [0] 37 3 4 2" xfId="21313" xr:uid="{D0198EC4-1F5E-446C-AD29-AB3BCCFC0DF3}"/>
    <cellStyle name="Migliaia [0] 37 3 4 3" xfId="48466" xr:uid="{2F84026F-C95B-4C77-87D7-A156C349D53C}"/>
    <cellStyle name="Migliaia [0] 37 3 4 4" xfId="50328" xr:uid="{F8E175C1-E3A3-4236-8040-6CF760DF11AB}"/>
    <cellStyle name="Migliaia [0] 37 3 4 5" xfId="53344" xr:uid="{2CDC5873-6F05-4CB7-8B5F-31FA19DEBB27}"/>
    <cellStyle name="Migliaia [0] 37 3 4 6" xfId="10678" xr:uid="{EA295B94-E16E-4389-B0C6-F640504696C2}"/>
    <cellStyle name="Migliaia [0] 37 3 5" xfId="19650" xr:uid="{0394D00B-D542-4BFE-A676-54DB154B1585}"/>
    <cellStyle name="Migliaia [0] 37 3 6" xfId="24083" xr:uid="{C7D486BD-E950-4D41-AA47-00D0BF068109}"/>
    <cellStyle name="Migliaia [0] 37 3 7" xfId="8214" xr:uid="{9FF8A63A-D151-4257-9E63-9DE6C45AC465}"/>
    <cellStyle name="Migliaia [0] 37 4" xfId="2972" xr:uid="{3F093CC6-2AF0-4076-B802-88D47EC1625B}"/>
    <cellStyle name="Migliaia [0] 37 4 2" xfId="4698" xr:uid="{62D7847B-C68B-4C3B-8A57-108C2F940BDB}"/>
    <cellStyle name="Migliaia [0] 37 4 2 2" xfId="35099" xr:uid="{55E82B8E-3EA5-4411-AA97-31B486FB539B}"/>
    <cellStyle name="Migliaia [0] 37 4 2 2 2" xfId="40257" xr:uid="{6F0003D1-17A2-404C-AED9-B5A317A15390}"/>
    <cellStyle name="Migliaia [0] 37 4 2 2 3" xfId="45559" xr:uid="{7DA48179-FDBE-4DBD-B5CE-DC1050014664}"/>
    <cellStyle name="Migliaia [0] 37 4 2 3" xfId="37606" xr:uid="{4550A281-20DF-43E2-920B-BEE5C9B6CF83}"/>
    <cellStyle name="Migliaia [0] 37 4 2 4" xfId="42908" xr:uid="{BD96FFD8-1FF2-43E6-A979-D49ABA452CE7}"/>
    <cellStyle name="Migliaia [0] 37 4 2 5" xfId="17039" xr:uid="{BCE3BBF3-7390-4EA1-BA74-19FFCDB79C2B}"/>
    <cellStyle name="Migliaia [0] 37 4 3" xfId="5949" xr:uid="{D8A345F9-0F43-4479-8D35-BB3A7CE28175}"/>
    <cellStyle name="Migliaia [0] 37 4 3 2" xfId="38231" xr:uid="{82286124-2A8B-4B7E-ABCC-2E7203A55F18}"/>
    <cellStyle name="Migliaia [0] 37 4 3 3" xfId="43533" xr:uid="{1EBBF070-EDE6-4F87-B15B-E321D225564C}"/>
    <cellStyle name="Migliaia [0] 37 4 3 4" xfId="32880" xr:uid="{D158E1E7-1485-4981-A47D-F463C90E87FC}"/>
    <cellStyle name="Migliaia [0] 37 4 3 5" xfId="19651" xr:uid="{3D40EFB4-8A24-4FEB-B38F-E3044F9BDB3E}"/>
    <cellStyle name="Migliaia [0] 37 4 4" xfId="35766" xr:uid="{5D028571-C5C5-4B6D-BEA4-E642E85597A8}"/>
    <cellStyle name="Migliaia [0] 37 4 5" xfId="40882" xr:uid="{BDC3070A-5F4C-4E74-8C66-EFEB47CFEC84}"/>
    <cellStyle name="Migliaia [0] 37 4 6" xfId="15981" xr:uid="{B72163BD-1C48-4F65-89CA-6108D590D5E1}"/>
    <cellStyle name="Migliaia [0] 37 4 7" xfId="7794" xr:uid="{FB0056FB-0A01-4F39-9FBE-500B706A4623}"/>
    <cellStyle name="Migliaia [0] 37 5" xfId="4694" xr:uid="{30366D83-1F53-49FD-A952-8FF46B04C8DE}"/>
    <cellStyle name="Migliaia [0] 37 5 2" xfId="32881" xr:uid="{C0D41A63-BB3A-40CB-99B3-1EB7888F477E}"/>
    <cellStyle name="Migliaia [0] 37 5 2 2" xfId="38232" xr:uid="{D3F2F186-92C7-447F-8E20-1AA68E16EEF0}"/>
    <cellStyle name="Migliaia [0] 37 5 2 3" xfId="43534" xr:uid="{843BDDE7-91BF-4E71-8013-524A87E763FE}"/>
    <cellStyle name="Migliaia [0] 37 5 3" xfId="35767" xr:uid="{B432E74D-8658-4EF3-B063-6D0520679184}"/>
    <cellStyle name="Migliaia [0] 37 5 4" xfId="40883" xr:uid="{6B8A38D6-64A0-44EC-977B-D86CC8AB6F76}"/>
    <cellStyle name="Migliaia [0] 37 5 5" xfId="17108" xr:uid="{62C2E4EC-714A-471C-B6EB-53D0821D5324}"/>
    <cellStyle name="Migliaia [0] 37 6" xfId="5946" xr:uid="{5E3D2523-F733-42E1-90A1-057D77C8BFCF}"/>
    <cellStyle name="Migliaia [0] 37 6 2" xfId="38228" xr:uid="{DB934880-04E5-4718-8F7F-CBA57077CD0B}"/>
    <cellStyle name="Migliaia [0] 37 6 3" xfId="43530" xr:uid="{747E5CC1-DEDF-4060-8F49-074F8C1A7364}"/>
    <cellStyle name="Migliaia [0] 37 6 4" xfId="32877" xr:uid="{AB285A3E-4844-4F73-9391-85C50017B2CB}"/>
    <cellStyle name="Migliaia [0] 37 6 5" xfId="19647" xr:uid="{8BE1898B-CC83-48EE-91FA-A3B2A2F882CB}"/>
    <cellStyle name="Migliaia [0] 37 7" xfId="2968" xr:uid="{D95DC1C0-0311-466A-94CE-9442BFE949E9}"/>
    <cellStyle name="Migliaia [0] 37 7 2" xfId="35763" xr:uid="{A1D6322E-F1D5-4DE4-A3DF-8937E81F529D}"/>
    <cellStyle name="Migliaia [0] 37 8" xfId="40879" xr:uid="{334093D9-E8A4-432F-9F43-9C02ECE3CA2E}"/>
    <cellStyle name="Migliaia [0] 37 9" xfId="7015" xr:uid="{5256776A-55E7-4197-A72D-C18C1A1AA294}"/>
    <cellStyle name="Migliaia [0] 38" xfId="273" xr:uid="{00000000-0005-0000-0000-000051020000}"/>
    <cellStyle name="Migliaia [0] 38 2" xfId="1574" xr:uid="{00000000-0005-0000-0000-000052020000}"/>
    <cellStyle name="Migliaia [0] 38 2 2" xfId="1575" xr:uid="{00000000-0005-0000-0000-000053020000}"/>
    <cellStyle name="Migliaia [0] 38 2 2 2" xfId="4701" xr:uid="{BD6959D5-5CED-40ED-AE2E-F7CE47F57AE9}"/>
    <cellStyle name="Migliaia [0] 38 2 2 2 2" xfId="21782" xr:uid="{7FD25924-FA60-45D0-8B1E-9EC430C76EB7}"/>
    <cellStyle name="Migliaia [0] 38 2 2 2 3" xfId="47813" xr:uid="{C4D48C22-CE7D-4EF4-96CA-C6E09EE1CD2D}"/>
    <cellStyle name="Migliaia [0] 38 2 2 2 4" xfId="50810" xr:uid="{EBDA1D81-65EF-4C35-9A66-FFEC17176957}"/>
    <cellStyle name="Migliaia [0] 38 2 2 2 5" xfId="53826" xr:uid="{E1EE3671-CFA2-48FE-A037-6DD9EA68489C}"/>
    <cellStyle name="Migliaia [0] 38 2 2 2 6" xfId="11803" xr:uid="{9C2CEB46-A9D8-403A-806C-6F999FCE2053}"/>
    <cellStyle name="Migliaia [0] 38 2 2 3" xfId="2975" xr:uid="{EFF91115-37E4-4AEF-BB62-2A31ACDE5697}"/>
    <cellStyle name="Migliaia [0] 38 2 2 3 2" xfId="12339" xr:uid="{55B09B53-1936-4EBE-B2CE-A02C0186600C}"/>
    <cellStyle name="Migliaia [0] 38 2 2 4" xfId="10679" xr:uid="{2C10E9DC-60BF-4A6B-BFB2-07BABC8EB9EA}"/>
    <cellStyle name="Migliaia [0] 38 2 2 4 2" xfId="21314" xr:uid="{699BEF9A-8F8C-44CF-A5F4-04EFC9DED0BC}"/>
    <cellStyle name="Migliaia [0] 38 2 2 4 3" xfId="25359" xr:uid="{76B50196-37DE-41BC-A09F-CB4ADDC063E0}"/>
    <cellStyle name="Migliaia [0] 38 2 2 4 4" xfId="50329" xr:uid="{562A6BA2-9CDD-4145-B09F-C1E9CFBA7235}"/>
    <cellStyle name="Migliaia [0] 38 2 2 4 5" xfId="53345" xr:uid="{7AE99349-74A3-4E0C-99F6-C370C9052FBD}"/>
    <cellStyle name="Migliaia [0] 38 2 2 5" xfId="19654" xr:uid="{2A5B8FFB-EE72-4061-9D9A-78F2F97DF9ED}"/>
    <cellStyle name="Migliaia [0] 38 2 2 6" xfId="24085" xr:uid="{D590D3C1-D71C-43B5-B61F-6E0767894553}"/>
    <cellStyle name="Migliaia [0] 38 2 2 7" xfId="48851" xr:uid="{334F7722-EE31-4AFD-94F8-1447CCA61E3B}"/>
    <cellStyle name="Migliaia [0] 38 2 2 8" xfId="49757" xr:uid="{437CEB94-99F3-4DCE-974F-25396666344C}"/>
    <cellStyle name="Migliaia [0] 38 2 2 9" xfId="8457" xr:uid="{65108721-4019-42C9-A4FA-4D0F1E708E8B}"/>
    <cellStyle name="Migliaia [0] 38 2 3" xfId="4700" xr:uid="{16664EEC-BC53-4153-839E-18C5C4A187CC}"/>
    <cellStyle name="Migliaia [0] 38 2 3 2" xfId="32883" xr:uid="{D933618C-D1BC-47C0-BE4A-0FEF431444CB}"/>
    <cellStyle name="Migliaia [0] 38 2 3 2 2" xfId="38234" xr:uid="{8629091B-FA29-4794-B8FC-BB17CFC89EEC}"/>
    <cellStyle name="Migliaia [0] 38 2 3 2 3" xfId="43536" xr:uid="{A78CF600-66B8-4A55-841E-FA8C418E4996}"/>
    <cellStyle name="Migliaia [0] 38 2 3 3" xfId="35769" xr:uid="{C2B0E52C-3810-4109-A96E-A15D08CC93E9}"/>
    <cellStyle name="Migliaia [0] 38 2 3 4" xfId="40885" xr:uid="{501764E0-2FE2-4F0E-BB71-975090412CD1}"/>
    <cellStyle name="Migliaia [0] 38 2 3 5" xfId="11804" xr:uid="{6BD4BC29-5E7F-49C2-AD20-0CA02167F4EC}"/>
    <cellStyle name="Migliaia [0] 38 2 4" xfId="5951" xr:uid="{53444165-4085-46A9-8168-C27C5D0BBCC5}"/>
    <cellStyle name="Migliaia [0] 38 2 4 2" xfId="19653" xr:uid="{6B9B6051-799C-4D47-8C68-E691F6464319}"/>
    <cellStyle name="Migliaia [0] 38 2 5" xfId="2974" xr:uid="{3822B655-0E51-47DE-8651-6832A270281C}"/>
    <cellStyle name="Migliaia [0] 38 2 5 2" xfId="24084" xr:uid="{43BFF4DF-66E5-4D9C-932C-0DE79806FE2F}"/>
    <cellStyle name="Migliaia [0] 38 2 6" xfId="7267" xr:uid="{D48A0937-63BF-4E55-B102-877D70BAA217}"/>
    <cellStyle name="Migliaia [0] 38 3" xfId="1576" xr:uid="{00000000-0005-0000-0000-000054020000}"/>
    <cellStyle name="Migliaia [0] 38 3 2" xfId="4702" xr:uid="{6F66D0F0-81D1-4D25-ADA3-EA445CFC938D}"/>
    <cellStyle name="Migliaia [0] 38 3 2 2" xfId="18332" xr:uid="{B35707C6-D484-4583-885C-F956AFDDB26A}"/>
    <cellStyle name="Migliaia [0] 38 3 2 2 2" xfId="21783" xr:uid="{8860CB47-ABC0-4FC0-B934-90E071F1AEBE}"/>
    <cellStyle name="Migliaia [0] 38 3 2 2 2 2" xfId="38235" xr:uid="{94555AD4-812F-4946-A66A-5A66C1501B34}"/>
    <cellStyle name="Migliaia [0] 38 3 2 2 3" xfId="43537" xr:uid="{E3C7F30A-7572-4516-8C45-48095B197202}"/>
    <cellStyle name="Migliaia [0] 38 3 2 2 4" xfId="32884" xr:uid="{B0534A21-5540-407D-976D-A112B1B97F57}"/>
    <cellStyle name="Migliaia [0] 38 3 2 3" xfId="35770" xr:uid="{3EBC7E28-277A-4EEC-A0FD-934B5282CA54}"/>
    <cellStyle name="Migliaia [0] 38 3 2 4" xfId="40886" xr:uid="{6A78A3F6-2DE3-45A3-9306-3092E3EE9C52}"/>
    <cellStyle name="Migliaia [0] 38 3 2 5" xfId="48042" xr:uid="{91DD1E97-C273-4403-A750-26177F88A4E2}"/>
    <cellStyle name="Migliaia [0] 38 3 2 6" xfId="50811" xr:uid="{4A32B324-2762-4CF9-8C44-99CC6CE9F191}"/>
    <cellStyle name="Migliaia [0] 38 3 2 7" xfId="53827" xr:uid="{469F203A-7559-4A72-8428-A1DEF3E92E86}"/>
    <cellStyle name="Migliaia [0] 38 3 2 8" xfId="17608" xr:uid="{BDC0D432-0E87-46E7-91C1-F1D0F37940D8}"/>
    <cellStyle name="Migliaia [0] 38 3 2 9" xfId="11805" xr:uid="{72441752-27EB-46AB-8F4C-E2E67163062A}"/>
    <cellStyle name="Migliaia [0] 38 3 3" xfId="5952" xr:uid="{EEB67433-A8B3-4725-B6A4-76BD313824F7}"/>
    <cellStyle name="Migliaia [0] 38 3 3 2" xfId="12374" xr:uid="{CE175EBB-1DEA-4459-B96B-6BC51AA22B01}"/>
    <cellStyle name="Migliaia [0] 38 3 4" xfId="2976" xr:uid="{DEF5E573-F308-48FB-9A73-6865D8474A78}"/>
    <cellStyle name="Migliaia [0] 38 3 4 2" xfId="21315" xr:uid="{0E065C6D-F026-4ECE-A45E-255BB749CE28}"/>
    <cellStyle name="Migliaia [0] 38 3 4 3" xfId="48264" xr:uid="{C78E470F-2A7B-47A1-A003-123F4AE816C6}"/>
    <cellStyle name="Migliaia [0] 38 3 4 4" xfId="50330" xr:uid="{80C73897-13C3-49A8-9462-D5A2553AF044}"/>
    <cellStyle name="Migliaia [0] 38 3 4 5" xfId="53346" xr:uid="{2B1787E7-071C-40B8-BC95-800153391C2B}"/>
    <cellStyle name="Migliaia [0] 38 3 4 6" xfId="10680" xr:uid="{FB4B4E42-B49E-45EC-8AF3-2578A7B620BE}"/>
    <cellStyle name="Migliaia [0] 38 3 5" xfId="19655" xr:uid="{4CDE5883-F46D-45D1-891F-40098BC05E13}"/>
    <cellStyle name="Migliaia [0] 38 3 6" xfId="24086" xr:uid="{8B43D69F-8AC2-409E-B14D-48E9752608D6}"/>
    <cellStyle name="Migliaia [0] 38 3 7" xfId="8215" xr:uid="{38559D81-A59F-44BF-84AC-25D9F3E3CC7F}"/>
    <cellStyle name="Migliaia [0] 38 4" xfId="2977" xr:uid="{6584EBAF-C1C2-46DF-BD6B-9415B1C9695F}"/>
    <cellStyle name="Migliaia [0] 38 4 2" xfId="4703" xr:uid="{442F5C5D-ABBC-4779-9519-8B79F8942E6F}"/>
    <cellStyle name="Migliaia [0] 38 4 2 2" xfId="35100" xr:uid="{5F748D44-659B-4D4E-A035-28AD9F1E5E61}"/>
    <cellStyle name="Migliaia [0] 38 4 2 2 2" xfId="40258" xr:uid="{BAA5EB88-EF38-4A45-89EB-39DF0EFC8FC0}"/>
    <cellStyle name="Migliaia [0] 38 4 2 2 3" xfId="45560" xr:uid="{3BE0F041-B777-47EC-8A93-62F86507E4F6}"/>
    <cellStyle name="Migliaia [0] 38 4 2 3" xfId="37607" xr:uid="{DDDE87E6-DA9E-42F2-995D-13B43FF038AA}"/>
    <cellStyle name="Migliaia [0] 38 4 2 4" xfId="42909" xr:uid="{4CC413AC-CE1E-49B0-99DB-D6D916322521}"/>
    <cellStyle name="Migliaia [0] 38 4 2 5" xfId="17040" xr:uid="{ABD0DED5-0BF3-4B73-B712-7786E56EFAB9}"/>
    <cellStyle name="Migliaia [0] 38 4 3" xfId="5953" xr:uid="{AA9A3FEE-C824-4980-9C93-7C5B8FCA4BB0}"/>
    <cellStyle name="Migliaia [0] 38 4 3 2" xfId="38236" xr:uid="{D8103333-C317-491B-A53B-87CF1C0F2930}"/>
    <cellStyle name="Migliaia [0] 38 4 3 3" xfId="43538" xr:uid="{122558BF-3364-4949-84AE-019B774A7532}"/>
    <cellStyle name="Migliaia [0] 38 4 3 4" xfId="32885" xr:uid="{EEE94551-40FE-467C-A5ED-160283AF821D}"/>
    <cellStyle name="Migliaia [0] 38 4 3 5" xfId="19656" xr:uid="{65435B9C-AB74-49FB-880E-3DF75367D1ED}"/>
    <cellStyle name="Migliaia [0] 38 4 4" xfId="35771" xr:uid="{693C5496-BAF7-4568-B539-720AE241AF83}"/>
    <cellStyle name="Migliaia [0] 38 4 5" xfId="40887" xr:uid="{8A726177-53DE-4FF8-9FC4-FD13605F346B}"/>
    <cellStyle name="Migliaia [0] 38 4 6" xfId="15982" xr:uid="{DAA0F5BF-F8CF-40D9-9ECD-C563ED039E9F}"/>
    <cellStyle name="Migliaia [0] 38 4 7" xfId="7795" xr:uid="{F1756E76-DBC5-4EA0-9638-849C4D99C39A}"/>
    <cellStyle name="Migliaia [0] 38 5" xfId="4699" xr:uid="{584A6843-AF8E-41DF-8A28-45672D035C8C}"/>
    <cellStyle name="Migliaia [0] 38 5 2" xfId="32886" xr:uid="{8776FFD2-1A2F-4E59-BAE0-24E7EF2CAF6D}"/>
    <cellStyle name="Migliaia [0] 38 5 2 2" xfId="38237" xr:uid="{1C8D7A98-5F15-4D57-B5EC-9F1DB6BF477D}"/>
    <cellStyle name="Migliaia [0] 38 5 2 3" xfId="43539" xr:uid="{5B5549B4-228F-4ECF-B455-465F093FC2F6}"/>
    <cellStyle name="Migliaia [0] 38 5 3" xfId="35772" xr:uid="{D1888D9D-3FB6-4551-9182-DD2B9D833D25}"/>
    <cellStyle name="Migliaia [0] 38 5 4" xfId="40888" xr:uid="{C1D02F65-752E-4EF7-96FB-AF6891015C5E}"/>
    <cellStyle name="Migliaia [0] 38 5 5" xfId="17109" xr:uid="{A79D2EC9-2ADD-4D92-8AD4-A852385F7EC5}"/>
    <cellStyle name="Migliaia [0] 38 6" xfId="5950" xr:uid="{A7B96F3E-DF5E-4218-BC3D-7716FBF6C591}"/>
    <cellStyle name="Migliaia [0] 38 6 2" xfId="38233" xr:uid="{D404121D-A6C8-420D-9857-52CCFE4BAE98}"/>
    <cellStyle name="Migliaia [0] 38 6 3" xfId="43535" xr:uid="{6D5A483C-8135-4D86-B20F-97E77185B2B4}"/>
    <cellStyle name="Migliaia [0] 38 6 4" xfId="32882" xr:uid="{51D2F216-65FF-43E4-B226-43ECC9EE3599}"/>
    <cellStyle name="Migliaia [0] 38 6 5" xfId="19652" xr:uid="{A5251B72-173E-436D-8ADC-CA609F27DB8F}"/>
    <cellStyle name="Migliaia [0] 38 7" xfId="2973" xr:uid="{395AC7A6-3E82-4A59-98C8-EAED3ACF246A}"/>
    <cellStyle name="Migliaia [0] 38 7 2" xfId="35768" xr:uid="{4D2C7B78-B5D7-4ED6-9310-264AC32EC6E9}"/>
    <cellStyle name="Migliaia [0] 38 8" xfId="40884" xr:uid="{F917604F-C496-4CA2-947C-A0D2B81BEAE0}"/>
    <cellStyle name="Migliaia [0] 38 9" xfId="7016" xr:uid="{492D7842-18C6-4163-8E2E-1502BF767325}"/>
    <cellStyle name="Migliaia [0] 39" xfId="274" xr:uid="{00000000-0005-0000-0000-000055020000}"/>
    <cellStyle name="Migliaia [0] 39 2" xfId="1577" xr:uid="{00000000-0005-0000-0000-000056020000}"/>
    <cellStyle name="Migliaia [0] 39 2 2" xfId="1578" xr:uid="{00000000-0005-0000-0000-000057020000}"/>
    <cellStyle name="Migliaia [0] 39 2 2 2" xfId="4706" xr:uid="{8828DD60-1164-442E-A855-02D1B9E4DD34}"/>
    <cellStyle name="Migliaia [0] 39 2 2 2 2" xfId="21784" xr:uid="{9BB48406-B2F2-40F6-BD96-E226C0F00D31}"/>
    <cellStyle name="Migliaia [0] 39 2 2 2 3" xfId="48484" xr:uid="{22C34EDE-AF5F-4CD9-A580-4D454935EE7C}"/>
    <cellStyle name="Migliaia [0] 39 2 2 2 4" xfId="50812" xr:uid="{E2D85156-71A6-4614-B409-26CB3EBDAD70}"/>
    <cellStyle name="Migliaia [0] 39 2 2 2 5" xfId="53828" xr:uid="{C695A5F1-3F08-4299-88F4-2213D08E79CA}"/>
    <cellStyle name="Migliaia [0] 39 2 2 2 6" xfId="11806" xr:uid="{945611B2-ED35-4896-BD25-19FA2A43EDE8}"/>
    <cellStyle name="Migliaia [0] 39 2 2 3" xfId="2980" xr:uid="{5A374EB6-2F63-4C67-ABDA-FB948117B2A4}"/>
    <cellStyle name="Migliaia [0] 39 2 2 3 2" xfId="12182" xr:uid="{FC283C3E-9EA6-43CD-BB11-9A0147D19589}"/>
    <cellStyle name="Migliaia [0] 39 2 2 4" xfId="10681" xr:uid="{5717E317-5604-47AF-95D2-6A2DF57A8C88}"/>
    <cellStyle name="Migliaia [0] 39 2 2 4 2" xfId="21316" xr:uid="{17040F80-70F5-44BF-B24E-D25483353892}"/>
    <cellStyle name="Migliaia [0] 39 2 2 4 3" xfId="46637" xr:uid="{26BBD8CB-E17D-4A22-9D3F-B594BA5DBB2C}"/>
    <cellStyle name="Migliaia [0] 39 2 2 4 4" xfId="50331" xr:uid="{9C878354-0795-48D6-BCE5-E382860C2D31}"/>
    <cellStyle name="Migliaia [0] 39 2 2 4 5" xfId="53347" xr:uid="{0F747F58-DAFE-4C65-B46C-D10FD4530DC6}"/>
    <cellStyle name="Migliaia [0] 39 2 2 5" xfId="19659" xr:uid="{1FAD51CA-E7E5-4849-B98D-90FF2FD6889D}"/>
    <cellStyle name="Migliaia [0] 39 2 2 6" xfId="24088" xr:uid="{00C93F35-7E92-4288-8CD5-4630D72295DF}"/>
    <cellStyle name="Migliaia [0] 39 2 2 7" xfId="48852" xr:uid="{B7B7C719-A636-4136-8D19-8E3912149256}"/>
    <cellStyle name="Migliaia [0] 39 2 2 8" xfId="49758" xr:uid="{7F7AF574-73AB-43A8-B2C3-FE72F1305B4E}"/>
    <cellStyle name="Migliaia [0] 39 2 2 9" xfId="8458" xr:uid="{1B8776CC-F640-4B31-99D2-B3013DE01DB4}"/>
    <cellStyle name="Migliaia [0] 39 2 3" xfId="4705" xr:uid="{1B13F257-DE88-47D4-A53B-C152D3E952B4}"/>
    <cellStyle name="Migliaia [0] 39 2 3 2" xfId="32888" xr:uid="{F0C48E16-2EC3-4B99-AF18-1DA94B6EC8DE}"/>
    <cellStyle name="Migliaia [0] 39 2 3 2 2" xfId="38239" xr:uid="{B3ACD753-B493-47C9-9F0F-F11389E16CD0}"/>
    <cellStyle name="Migliaia [0] 39 2 3 2 3" xfId="43541" xr:uid="{7F77A431-9E28-403D-9307-0233924C202D}"/>
    <cellStyle name="Migliaia [0] 39 2 3 3" xfId="35774" xr:uid="{1F60319F-1D84-4CD4-AA95-0D3C76610DBB}"/>
    <cellStyle name="Migliaia [0] 39 2 3 4" xfId="40890" xr:uid="{175B41B7-06AC-4070-A7C6-2350F13F3AEB}"/>
    <cellStyle name="Migliaia [0] 39 2 3 5" xfId="11807" xr:uid="{3610B41F-EC1B-47B1-B7FC-91EEC3CFBA62}"/>
    <cellStyle name="Migliaia [0] 39 2 4" xfId="5955" xr:uid="{06DA20B4-0A0F-44B2-97FD-48FB18AF8762}"/>
    <cellStyle name="Migliaia [0] 39 2 4 2" xfId="19658" xr:uid="{A4D06E10-EBD2-4AF8-915F-00B7C445C8CD}"/>
    <cellStyle name="Migliaia [0] 39 2 5" xfId="2979" xr:uid="{F8803A83-3151-4E03-BC9D-0A1188E14613}"/>
    <cellStyle name="Migliaia [0] 39 2 5 2" xfId="24087" xr:uid="{5E9F77AE-CF6E-4707-9744-403254F217B2}"/>
    <cellStyle name="Migliaia [0] 39 2 6" xfId="7268" xr:uid="{0706E053-8303-4211-B9DB-69A922DAEE66}"/>
    <cellStyle name="Migliaia [0] 39 3" xfId="1579" xr:uid="{00000000-0005-0000-0000-000058020000}"/>
    <cellStyle name="Migliaia [0] 39 3 2" xfId="4707" xr:uid="{BA4005BC-1F3E-4079-80B0-B3205CF55272}"/>
    <cellStyle name="Migliaia [0] 39 3 2 2" xfId="18333" xr:uid="{CD1A96AD-AD88-4F52-A88C-DABF413A7B93}"/>
    <cellStyle name="Migliaia [0] 39 3 2 2 2" xfId="21785" xr:uid="{D101090C-BE71-4EE2-96B0-8368863C7F8F}"/>
    <cellStyle name="Migliaia [0] 39 3 2 2 2 2" xfId="38240" xr:uid="{CBCBD9DB-E8B2-4B7A-8B36-5EF639BE4E1C}"/>
    <cellStyle name="Migliaia [0] 39 3 2 2 3" xfId="43542" xr:uid="{51677BD2-7921-4AE0-AA78-9419FD28E270}"/>
    <cellStyle name="Migliaia [0] 39 3 2 2 4" xfId="32889" xr:uid="{70DED1F3-B0C4-47CE-AFB6-6B17E0512005}"/>
    <cellStyle name="Migliaia [0] 39 3 2 3" xfId="35775" xr:uid="{01D42635-A28C-4857-BE42-667DFFE28C57}"/>
    <cellStyle name="Migliaia [0] 39 3 2 4" xfId="40891" xr:uid="{9B6B44BC-EE05-4A3B-912D-532BF6070AE9}"/>
    <cellStyle name="Migliaia [0] 39 3 2 5" xfId="25129" xr:uid="{89321EED-D1B2-473E-B183-58310CC1E3CC}"/>
    <cellStyle name="Migliaia [0] 39 3 2 6" xfId="50813" xr:uid="{4420A1FC-9732-45F6-B78F-618228E9F549}"/>
    <cellStyle name="Migliaia [0] 39 3 2 7" xfId="53829" xr:uid="{54314E1C-563C-4791-A559-59EDE2168528}"/>
    <cellStyle name="Migliaia [0] 39 3 2 8" xfId="17609" xr:uid="{6F68A210-072F-4FBB-B78E-DF2F66D50F4A}"/>
    <cellStyle name="Migliaia [0] 39 3 2 9" xfId="11808" xr:uid="{57989DD1-82EA-4F74-822F-9D2BFCBAC65C}"/>
    <cellStyle name="Migliaia [0] 39 3 3" xfId="5956" xr:uid="{E9897F66-8636-417F-84C8-5C69F169153F}"/>
    <cellStyle name="Migliaia [0] 39 3 3 2" xfId="12189" xr:uid="{B39BE6A3-9171-4AD2-BC03-7DE45C0D5D99}"/>
    <cellStyle name="Migliaia [0] 39 3 4" xfId="2981" xr:uid="{A2B29CC0-E49E-468F-B523-D63FB3B13651}"/>
    <cellStyle name="Migliaia [0] 39 3 4 2" xfId="21317" xr:uid="{4A97A334-6DAD-475F-ABCD-B7A0C2F8990D}"/>
    <cellStyle name="Migliaia [0] 39 3 4 3" xfId="47143" xr:uid="{AC251C71-93D5-441F-81F3-531646E2C409}"/>
    <cellStyle name="Migliaia [0] 39 3 4 4" xfId="50332" xr:uid="{E55844ED-2CE6-4A13-A402-8C5979EEDFE7}"/>
    <cellStyle name="Migliaia [0] 39 3 4 5" xfId="53348" xr:uid="{6BF9D828-E3C7-4AEB-9966-34957B6ECE3D}"/>
    <cellStyle name="Migliaia [0] 39 3 4 6" xfId="10682" xr:uid="{116A54AB-79AD-4E3A-91B2-C413FC0C1433}"/>
    <cellStyle name="Migliaia [0] 39 3 5" xfId="19660" xr:uid="{C7ADE0CB-67D0-4A9A-9710-4264F7DCE979}"/>
    <cellStyle name="Migliaia [0] 39 3 6" xfId="24089" xr:uid="{AFE15A46-35D6-4E4D-A36D-3A7F68865F5C}"/>
    <cellStyle name="Migliaia [0] 39 3 7" xfId="8216" xr:uid="{D0508500-17A1-47A1-B56F-2C61346E5EE3}"/>
    <cellStyle name="Migliaia [0] 39 4" xfId="2982" xr:uid="{04F465FF-822F-41B9-AC29-46ECD945B5E0}"/>
    <cellStyle name="Migliaia [0] 39 4 2" xfId="4708" xr:uid="{35E526DF-732D-4B74-83A7-DE912F68DF1D}"/>
    <cellStyle name="Migliaia [0] 39 4 2 2" xfId="35101" xr:uid="{B3E12873-3E5E-4415-A64B-1AA5AC401C5D}"/>
    <cellStyle name="Migliaia [0] 39 4 2 2 2" xfId="40259" xr:uid="{B74E38A7-7F39-4E6D-B9B4-C28900296A1A}"/>
    <cellStyle name="Migliaia [0] 39 4 2 2 3" xfId="45561" xr:uid="{1F8A0512-50B1-4752-8463-642BD300316B}"/>
    <cellStyle name="Migliaia [0] 39 4 2 3" xfId="37608" xr:uid="{D90AB5DF-1965-488E-A370-EEB0CA783A94}"/>
    <cellStyle name="Migliaia [0] 39 4 2 4" xfId="42910" xr:uid="{B9C20D9C-DDC1-49BD-9E5B-F0872A30592C}"/>
    <cellStyle name="Migliaia [0] 39 4 2 5" xfId="17041" xr:uid="{7AA36A89-49C4-4E17-876D-5B24A56DA52F}"/>
    <cellStyle name="Migliaia [0] 39 4 3" xfId="5957" xr:uid="{AB77DEC9-899A-4654-B95C-814CB727CB47}"/>
    <cellStyle name="Migliaia [0] 39 4 3 2" xfId="38241" xr:uid="{0F7DDDBD-4127-4F66-851E-F96AE9A24E58}"/>
    <cellStyle name="Migliaia [0] 39 4 3 3" xfId="43543" xr:uid="{E05077DA-3EE7-4305-864C-34C5BA2C2D37}"/>
    <cellStyle name="Migliaia [0] 39 4 3 4" xfId="32890" xr:uid="{04D6B8A5-9F45-4F50-97F5-4DA215ED7FD7}"/>
    <cellStyle name="Migliaia [0] 39 4 3 5" xfId="19661" xr:uid="{5D81C486-7D83-4D9C-A9A5-6F4397267B82}"/>
    <cellStyle name="Migliaia [0] 39 4 4" xfId="35776" xr:uid="{9C754478-86B9-4F79-90F1-2DC733C4CEC5}"/>
    <cellStyle name="Migliaia [0] 39 4 5" xfId="40892" xr:uid="{DF50652B-59B9-4DE6-A27B-72B1AA9B480E}"/>
    <cellStyle name="Migliaia [0] 39 4 6" xfId="15983" xr:uid="{2ECAB8DA-5DB4-45AB-8138-8F6E1A10DFD7}"/>
    <cellStyle name="Migliaia [0] 39 4 7" xfId="7796" xr:uid="{7EE6F40C-6E7F-4D26-BF0B-B5BEB0428E11}"/>
    <cellStyle name="Migliaia [0] 39 5" xfId="4704" xr:uid="{D4A85247-552B-4B03-B85D-1403BD23A759}"/>
    <cellStyle name="Migliaia [0] 39 5 2" xfId="32891" xr:uid="{EC2688DB-AC45-43FC-9E4E-5A5A60906AE1}"/>
    <cellStyle name="Migliaia [0] 39 5 2 2" xfId="38242" xr:uid="{7A95DE1C-AB5E-465B-97B4-E66B02B2E137}"/>
    <cellStyle name="Migliaia [0] 39 5 2 3" xfId="43544" xr:uid="{57E49B5E-D2E9-448A-8B28-DBA41A834D3A}"/>
    <cellStyle name="Migliaia [0] 39 5 3" xfId="35777" xr:uid="{9F3F90C2-AA06-4E0A-86CE-D6E713D49809}"/>
    <cellStyle name="Migliaia [0] 39 5 4" xfId="40893" xr:uid="{06591F37-E6FA-4BFF-B29A-6319815D22E7}"/>
    <cellStyle name="Migliaia [0] 39 5 5" xfId="17110" xr:uid="{4A323C6C-354F-4785-A2CB-D621EC08C38C}"/>
    <cellStyle name="Migliaia [0] 39 6" xfId="5954" xr:uid="{609725EE-1C69-4426-AB55-C78BF62B398B}"/>
    <cellStyle name="Migliaia [0] 39 6 2" xfId="38238" xr:uid="{600CE25F-015E-49A5-8BD9-4F050EB3543B}"/>
    <cellStyle name="Migliaia [0] 39 6 3" xfId="43540" xr:uid="{95EB8022-4916-4673-AE3A-54015C4748E0}"/>
    <cellStyle name="Migliaia [0] 39 6 4" xfId="32887" xr:uid="{43B6E1E7-3839-4563-9CAD-891C58E7C3B6}"/>
    <cellStyle name="Migliaia [0] 39 6 5" xfId="19657" xr:uid="{5A55E791-728F-44AC-A8E2-5DCA23C98B8C}"/>
    <cellStyle name="Migliaia [0] 39 7" xfId="2978" xr:uid="{57442825-9EB6-4E55-8EA9-84FC541AF922}"/>
    <cellStyle name="Migliaia [0] 39 7 2" xfId="35773" xr:uid="{DB16457A-B9F1-4A92-8EAE-857918835D31}"/>
    <cellStyle name="Migliaia [0] 39 8" xfId="40889" xr:uid="{EC2BBA2D-11EB-465B-BE6E-C47A071F5DD4}"/>
    <cellStyle name="Migliaia [0] 39 9" xfId="7017" xr:uid="{AFFA8588-5CF8-4D2B-8905-925E8E494FE5}"/>
    <cellStyle name="Migliaia [0] 4" xfId="275" xr:uid="{00000000-0005-0000-0000-000059020000}"/>
    <cellStyle name="Migliaia [0] 4 2" xfId="1580" xr:uid="{00000000-0005-0000-0000-00005A020000}"/>
    <cellStyle name="Migliaia [0] 4 2 2" xfId="1581" xr:uid="{00000000-0005-0000-0000-00005B020000}"/>
    <cellStyle name="Migliaia [0] 4 2 2 2" xfId="4711" xr:uid="{A8D51E7E-B26C-4AF3-82CB-F79A0EA8AB30}"/>
    <cellStyle name="Migliaia [0] 4 2 2 2 2" xfId="21786" xr:uid="{C5F34E63-39B1-414E-883F-165CD1175F48}"/>
    <cellStyle name="Migliaia [0] 4 2 2 2 3" xfId="48392" xr:uid="{8925B4F8-0683-470F-BBA5-8D4C7A67F2C0}"/>
    <cellStyle name="Migliaia [0] 4 2 2 2 4" xfId="50814" xr:uid="{6103C231-28F7-422D-BF61-C039742AB0E0}"/>
    <cellStyle name="Migliaia [0] 4 2 2 2 5" xfId="53830" xr:uid="{A1FF8789-52B6-4D23-98E6-DB6B672A30B5}"/>
    <cellStyle name="Migliaia [0] 4 2 2 2 6" xfId="11809" xr:uid="{73CB7760-5F67-4C3A-98D7-6E4B411F9554}"/>
    <cellStyle name="Migliaia [0] 4 2 2 3" xfId="2985" xr:uid="{A383A480-D694-41D9-AA73-C66761A9562E}"/>
    <cellStyle name="Migliaia [0] 4 2 2 3 2" xfId="11554" xr:uid="{604923D4-9E36-42C6-808A-43D45A59B051}"/>
    <cellStyle name="Migliaia [0] 4 2 2 4" xfId="10683" xr:uid="{F0778B85-A02D-44A1-9577-C4BE1B4AC927}"/>
    <cellStyle name="Migliaia [0] 4 2 2 4 2" xfId="21318" xr:uid="{CF0050F5-B8E6-4E20-8FC8-F55FCFC91EE8}"/>
    <cellStyle name="Migliaia [0] 4 2 2 4 3" xfId="47997" xr:uid="{4F87CC58-8192-4C39-85F1-8C4826D91A16}"/>
    <cellStyle name="Migliaia [0] 4 2 2 4 4" xfId="50333" xr:uid="{0B2C2F4E-3EB7-4ED6-AE23-7CE41E4CB567}"/>
    <cellStyle name="Migliaia [0] 4 2 2 4 5" xfId="53349" xr:uid="{0256DE75-7C32-4ED6-89F0-425A787849A8}"/>
    <cellStyle name="Migliaia [0] 4 2 2 5" xfId="19664" xr:uid="{96D466F1-B2F6-4D1F-9F6D-2C6DA176E745}"/>
    <cellStyle name="Migliaia [0] 4 2 2 6" xfId="24091" xr:uid="{71C43F76-5EE2-4CC5-AE9E-330ED977F6B2}"/>
    <cellStyle name="Migliaia [0] 4 2 2 7" xfId="48853" xr:uid="{8C379A9A-39FA-47C7-8C5E-9FF06FD89A47}"/>
    <cellStyle name="Migliaia [0] 4 2 2 8" xfId="49759" xr:uid="{2130414D-4FD9-4B5F-AA0B-25D6F731E72E}"/>
    <cellStyle name="Migliaia [0] 4 2 2 9" xfId="8459" xr:uid="{112867D1-E474-4114-A333-9E6489DAB418}"/>
    <cellStyle name="Migliaia [0] 4 2 3" xfId="4710" xr:uid="{0853E942-ACF7-4A33-A9F8-069F0691215C}"/>
    <cellStyle name="Migliaia [0] 4 2 3 2" xfId="32893" xr:uid="{DB0E16D7-D941-48FF-90EA-8C8B7C52A8D9}"/>
    <cellStyle name="Migliaia [0] 4 2 3 2 2" xfId="38244" xr:uid="{108BA6F1-8D1B-4CE0-A936-9F6B1252727E}"/>
    <cellStyle name="Migliaia [0] 4 2 3 2 3" xfId="43546" xr:uid="{9D77276F-A197-4FEF-A7E7-67E9FCB3D492}"/>
    <cellStyle name="Migliaia [0] 4 2 3 3" xfId="35779" xr:uid="{9E31711D-9FC4-4319-8A97-C247D278EA3D}"/>
    <cellStyle name="Migliaia [0] 4 2 3 4" xfId="40895" xr:uid="{31022C44-4D69-4F86-BA28-ABCB1D5DCEF6}"/>
    <cellStyle name="Migliaia [0] 4 2 3 5" xfId="11810" xr:uid="{E781DEA9-677B-49E2-B081-B5B79F796962}"/>
    <cellStyle name="Migliaia [0] 4 2 4" xfId="5959" xr:uid="{AC00550F-3445-49F1-BEAE-598EAC6BF382}"/>
    <cellStyle name="Migliaia [0] 4 2 4 2" xfId="19663" xr:uid="{A93F2750-235A-4ED9-8545-61771AF74C64}"/>
    <cellStyle name="Migliaia [0] 4 2 5" xfId="2984" xr:uid="{CB410A93-260E-4F91-8A5D-DF451A0AA143}"/>
    <cellStyle name="Migliaia [0] 4 2 5 2" xfId="24090" xr:uid="{F2A7F8AD-175C-4F28-A456-2668C7B490DD}"/>
    <cellStyle name="Migliaia [0] 4 2 6" xfId="7269" xr:uid="{3B2D2848-DA4C-44DE-8262-7B5971B1419A}"/>
    <cellStyle name="Migliaia [0] 4 3" xfId="1582" xr:uid="{00000000-0005-0000-0000-00005C020000}"/>
    <cellStyle name="Migliaia [0] 4 3 2" xfId="4712" xr:uid="{23C4E08D-7B61-47F6-A95E-71E0DB03C204}"/>
    <cellStyle name="Migliaia [0] 4 3 2 2" xfId="18334" xr:uid="{CF0354C9-C827-41E0-821E-D7CF346EB4FD}"/>
    <cellStyle name="Migliaia [0] 4 3 2 2 2" xfId="21787" xr:uid="{265FA5DF-74D9-42A9-B66D-D83B769D6CE4}"/>
    <cellStyle name="Migliaia [0] 4 3 2 2 2 2" xfId="38245" xr:uid="{3A091756-63C3-4E3F-BEED-E4D54DEB9FED}"/>
    <cellStyle name="Migliaia [0] 4 3 2 2 3" xfId="43547" xr:uid="{69F5B322-B9BD-4284-BEB1-E885C40E97EB}"/>
    <cellStyle name="Migliaia [0] 4 3 2 2 4" xfId="32894" xr:uid="{4E11FE5C-B78B-49D1-A2AD-5C31D9E7F8DF}"/>
    <cellStyle name="Migliaia [0] 4 3 2 3" xfId="35780" xr:uid="{8AA71120-C2AB-4853-BC71-26BDB258DFB1}"/>
    <cellStyle name="Migliaia [0] 4 3 2 4" xfId="40896" xr:uid="{2F4212F6-6386-4E4F-9445-AF32F933E3DE}"/>
    <cellStyle name="Migliaia [0] 4 3 2 5" xfId="32370" xr:uid="{CAB32EF1-A193-4BAD-BA5B-67CCB0353E55}"/>
    <cellStyle name="Migliaia [0] 4 3 2 6" xfId="50815" xr:uid="{EC847EC3-C95C-4EC9-B089-2AD9F734DCD0}"/>
    <cellStyle name="Migliaia [0] 4 3 2 7" xfId="53831" xr:uid="{F9C167A1-EE19-418B-9E62-CFE9ABEF52CB}"/>
    <cellStyle name="Migliaia [0] 4 3 2 8" xfId="17610" xr:uid="{944EFEC0-5ADC-41EF-A064-3506898C2780}"/>
    <cellStyle name="Migliaia [0] 4 3 2 9" xfId="11811" xr:uid="{6AEF5F13-78BF-42D0-8DBB-993FF4B8044E}"/>
    <cellStyle name="Migliaia [0] 4 3 3" xfId="5960" xr:uid="{9AAE206C-8548-40B8-B0BF-40528F25F033}"/>
    <cellStyle name="Migliaia [0] 4 3 3 2" xfId="11173" xr:uid="{10F69F88-B3CE-4232-A4BC-62977202A9D6}"/>
    <cellStyle name="Migliaia [0] 4 3 4" xfId="2986" xr:uid="{531F806B-1B91-43E6-B0DA-EC3D2C180126}"/>
    <cellStyle name="Migliaia [0] 4 3 4 2" xfId="21319" xr:uid="{401EC739-0706-40C2-87CF-DFEB970583C2}"/>
    <cellStyle name="Migliaia [0] 4 3 4 3" xfId="48236" xr:uid="{F58EF451-5EDE-4145-A331-1996BCA8CDE8}"/>
    <cellStyle name="Migliaia [0] 4 3 4 4" xfId="50334" xr:uid="{794C4813-9B63-43F3-9CC7-CB48B65B6C1F}"/>
    <cellStyle name="Migliaia [0] 4 3 4 5" xfId="53350" xr:uid="{460D06E7-C2AB-495F-A102-F46AF168737B}"/>
    <cellStyle name="Migliaia [0] 4 3 4 6" xfId="10684" xr:uid="{5D8DA988-7B0A-476D-95A9-FAA042790C02}"/>
    <cellStyle name="Migliaia [0] 4 3 5" xfId="19665" xr:uid="{26E6A0DE-2547-4205-9FF3-F9155745280B}"/>
    <cellStyle name="Migliaia [0] 4 3 6" xfId="24092" xr:uid="{13F8FFD1-4E8C-410B-AD59-754E46C37757}"/>
    <cellStyle name="Migliaia [0] 4 3 7" xfId="8217" xr:uid="{03AAD740-B200-4AB2-A181-D48BFFCF6636}"/>
    <cellStyle name="Migliaia [0] 4 4" xfId="2987" xr:uid="{8941C3D6-A640-40BA-A107-8FDF0782425C}"/>
    <cellStyle name="Migliaia [0] 4 4 2" xfId="4713" xr:uid="{AFE59084-D100-4D02-ACE1-FDD1F34B03E6}"/>
    <cellStyle name="Migliaia [0] 4 4 2 2" xfId="35102" xr:uid="{B05E7541-BA70-4079-AB17-8F532D8F9643}"/>
    <cellStyle name="Migliaia [0] 4 4 2 2 2" xfId="40260" xr:uid="{6A9C65DD-DDD6-474F-B431-61D0F2ACE1FE}"/>
    <cellStyle name="Migliaia [0] 4 4 2 2 3" xfId="45562" xr:uid="{77B5DFAB-9073-4BBB-BB67-ED6ADC1EF8C0}"/>
    <cellStyle name="Migliaia [0] 4 4 2 3" xfId="37609" xr:uid="{D2D9472D-D128-4C7D-8CD7-A0044AA6C296}"/>
    <cellStyle name="Migliaia [0] 4 4 2 4" xfId="42911" xr:uid="{7BDAFFFC-CF76-4D29-8705-F5AE2990D72D}"/>
    <cellStyle name="Migliaia [0] 4 4 2 5" xfId="17042" xr:uid="{9684D0A3-CD52-444E-8143-AD42F62B496C}"/>
    <cellStyle name="Migliaia [0] 4 4 3" xfId="5961" xr:uid="{D4910B4A-BE3E-4111-BBDC-7E5D40BD3C02}"/>
    <cellStyle name="Migliaia [0] 4 4 3 2" xfId="38246" xr:uid="{AB47F1D9-56CF-4C43-AA0B-BEE78AE79EB6}"/>
    <cellStyle name="Migliaia [0] 4 4 3 3" xfId="43548" xr:uid="{2019A65A-847F-4A61-875E-6358A90D0CB4}"/>
    <cellStyle name="Migliaia [0] 4 4 3 4" xfId="32895" xr:uid="{A009937C-B87A-41FA-BE04-226D7338981D}"/>
    <cellStyle name="Migliaia [0] 4 4 3 5" xfId="19666" xr:uid="{490DCFED-6986-4AA4-9009-D9D15B7C5B9A}"/>
    <cellStyle name="Migliaia [0] 4 4 4" xfId="35781" xr:uid="{CBD1CBC9-BF70-4EA1-BE9C-2B7AA291D57F}"/>
    <cellStyle name="Migliaia [0] 4 4 5" xfId="40897" xr:uid="{CB41DB00-4795-40D5-AB33-AA4C7537F6FD}"/>
    <cellStyle name="Migliaia [0] 4 4 6" xfId="15984" xr:uid="{267D780A-24F1-46D8-81D7-63D011BB2D66}"/>
    <cellStyle name="Migliaia [0] 4 4 7" xfId="7797" xr:uid="{089386C0-742C-42D7-AE0C-7DC76E780AFD}"/>
    <cellStyle name="Migliaia [0] 4 5" xfId="4709" xr:uid="{FA9F9C77-8651-47CB-9DFB-1EACDC63AE1A}"/>
    <cellStyle name="Migliaia [0] 4 5 2" xfId="32896" xr:uid="{6039CF5A-47FF-4D38-AC67-13DE729991BE}"/>
    <cellStyle name="Migliaia [0] 4 5 2 2" xfId="38247" xr:uid="{4FD9FD14-EFE6-419C-987F-3C0319337E4C}"/>
    <cellStyle name="Migliaia [0] 4 5 2 3" xfId="43549" xr:uid="{146B8DD3-CF79-4773-B5A7-18A54FA75B97}"/>
    <cellStyle name="Migliaia [0] 4 5 3" xfId="35782" xr:uid="{CCF9D934-58AB-4006-BFF2-F564F53B5D10}"/>
    <cellStyle name="Migliaia [0] 4 5 4" xfId="40898" xr:uid="{9EBE4F33-9CF7-445A-8E0D-349DD156CC19}"/>
    <cellStyle name="Migliaia [0] 4 5 5" xfId="17111" xr:uid="{172C4A04-4F84-4C87-996C-CF27B6E543F4}"/>
    <cellStyle name="Migliaia [0] 4 6" xfId="5958" xr:uid="{0C823775-9FA2-4071-B96A-4A8C4574FDE0}"/>
    <cellStyle name="Migliaia [0] 4 6 2" xfId="38243" xr:uid="{B4C15AD1-4D47-4CF9-B224-812A1814A8EA}"/>
    <cellStyle name="Migliaia [0] 4 6 3" xfId="43545" xr:uid="{F7F4F21A-7F0D-4EC9-ADDC-752423A35C1B}"/>
    <cellStyle name="Migliaia [0] 4 6 4" xfId="32892" xr:uid="{11B30188-1E29-42E8-97FD-8AD749C556A4}"/>
    <cellStyle name="Migliaia [0] 4 6 5" xfId="19662" xr:uid="{265388DD-F65C-4109-9A7B-CBD066FC5032}"/>
    <cellStyle name="Migliaia [0] 4 7" xfId="2983" xr:uid="{7A2323BA-FF54-4B66-A963-26B775D5A617}"/>
    <cellStyle name="Migliaia [0] 4 7 2" xfId="35778" xr:uid="{B7723D02-CC38-4844-A678-B383A1ED6998}"/>
    <cellStyle name="Migliaia [0] 4 8" xfId="40894" xr:uid="{539142E4-18BE-44C4-B890-1CFA02BC36CD}"/>
    <cellStyle name="Migliaia [0] 4 9" xfId="7018" xr:uid="{9B740307-6FA2-481C-9D1C-49CF4762B5AD}"/>
    <cellStyle name="Migliaia [0] 40" xfId="276" xr:uid="{00000000-0005-0000-0000-00005D020000}"/>
    <cellStyle name="Migliaia [0] 40 2" xfId="1583" xr:uid="{00000000-0005-0000-0000-00005E020000}"/>
    <cellStyle name="Migliaia [0] 40 2 2" xfId="1584" xr:uid="{00000000-0005-0000-0000-00005F020000}"/>
    <cellStyle name="Migliaia [0] 40 2 2 2" xfId="4716" xr:uid="{B67E0994-D742-4907-8982-E5C15639BBB9}"/>
    <cellStyle name="Migliaia [0] 40 2 2 2 2" xfId="21788" xr:uid="{1CD73D4B-55FA-4965-ABE1-21E1CEB5F789}"/>
    <cellStyle name="Migliaia [0] 40 2 2 2 3" xfId="47609" xr:uid="{56E10D92-8618-42B6-B2B6-6737D6CC53B9}"/>
    <cellStyle name="Migliaia [0] 40 2 2 2 4" xfId="50816" xr:uid="{2AB4408D-AB46-4219-A2D8-E6341831A3FE}"/>
    <cellStyle name="Migliaia [0] 40 2 2 2 5" xfId="53832" xr:uid="{14F002C4-B72E-44F2-8B73-847229379F51}"/>
    <cellStyle name="Migliaia [0] 40 2 2 2 6" xfId="11812" xr:uid="{65039D6C-944E-43CE-A069-F759FC788FBF}"/>
    <cellStyle name="Migliaia [0] 40 2 2 3" xfId="2990" xr:uid="{A5BF0269-B57A-4398-A95F-02E2CF823D83}"/>
    <cellStyle name="Migliaia [0] 40 2 2 3 2" xfId="12338" xr:uid="{E974D77B-D015-40DC-9997-2367BAD94594}"/>
    <cellStyle name="Migliaia [0] 40 2 2 4" xfId="10685" xr:uid="{AF3E3055-B1DB-42DC-9077-82CEC2AAE949}"/>
    <cellStyle name="Migliaia [0] 40 2 2 4 2" xfId="21320" xr:uid="{F902DCEC-7B66-4857-A89A-005086EF0548}"/>
    <cellStyle name="Migliaia [0] 40 2 2 4 3" xfId="46183" xr:uid="{2D1E4757-BFB7-42F0-A5AE-81BDE2339606}"/>
    <cellStyle name="Migliaia [0] 40 2 2 4 4" xfId="50335" xr:uid="{2F933F17-FA0C-4146-B68F-649A3F65C5FA}"/>
    <cellStyle name="Migliaia [0] 40 2 2 4 5" xfId="53351" xr:uid="{C2C1B9A0-27CC-4B55-A5F6-54D15F88E374}"/>
    <cellStyle name="Migliaia [0] 40 2 2 5" xfId="19669" xr:uid="{4BF7272A-0B6C-4D34-BC46-4DBFAB92E0DA}"/>
    <cellStyle name="Migliaia [0] 40 2 2 6" xfId="24094" xr:uid="{AF144AFD-E628-4972-9DA6-547EF27D8539}"/>
    <cellStyle name="Migliaia [0] 40 2 2 7" xfId="48854" xr:uid="{ECB81B0B-8B0F-4B3A-BE79-2C21801F39E5}"/>
    <cellStyle name="Migliaia [0] 40 2 2 8" xfId="49760" xr:uid="{09B1375E-7FD2-4341-81EE-9FA9A375FFF6}"/>
    <cellStyle name="Migliaia [0] 40 2 2 9" xfId="8460" xr:uid="{F1BA6B1F-78A0-45C2-AD4B-9E3F7333C141}"/>
    <cellStyle name="Migliaia [0] 40 2 3" xfId="4715" xr:uid="{A5892F7F-C0B1-46BC-B695-586CFAC5F8D5}"/>
    <cellStyle name="Migliaia [0] 40 2 3 2" xfId="32898" xr:uid="{FF77EA73-5B41-4AB0-904B-D0555C743D91}"/>
    <cellStyle name="Migliaia [0] 40 2 3 2 2" xfId="38249" xr:uid="{15AE5DF8-78D6-4BF6-88C9-AE7C0A605472}"/>
    <cellStyle name="Migliaia [0] 40 2 3 2 3" xfId="43551" xr:uid="{7DB5C880-F523-40EE-B8CF-DF3A3BFFFAF7}"/>
    <cellStyle name="Migliaia [0] 40 2 3 3" xfId="35784" xr:uid="{91DC9504-ED8A-4AD2-B8FD-41669E744669}"/>
    <cellStyle name="Migliaia [0] 40 2 3 4" xfId="40900" xr:uid="{9D89F2D3-425C-4F8B-A827-2EDD74EB7FC9}"/>
    <cellStyle name="Migliaia [0] 40 2 3 5" xfId="11813" xr:uid="{7289B8A3-799B-488C-9F9D-D4E0EE9987C5}"/>
    <cellStyle name="Migliaia [0] 40 2 4" xfId="5963" xr:uid="{6A1B1D63-B0BF-4521-9725-B64C464C4350}"/>
    <cellStyle name="Migliaia [0] 40 2 4 2" xfId="19668" xr:uid="{9E3D3695-7833-4A3A-B737-6B215135B201}"/>
    <cellStyle name="Migliaia [0] 40 2 5" xfId="2989" xr:uid="{42881A85-6DF1-4050-B1ED-6053D873D2BF}"/>
    <cellStyle name="Migliaia [0] 40 2 5 2" xfId="24093" xr:uid="{189C7543-E8D1-4A92-BB7E-ADFF582FACC2}"/>
    <cellStyle name="Migliaia [0] 40 2 6" xfId="7270" xr:uid="{12F5ED62-3C6E-4D8E-BFA4-52632EF921D4}"/>
    <cellStyle name="Migliaia [0] 40 3" xfId="1585" xr:uid="{00000000-0005-0000-0000-000060020000}"/>
    <cellStyle name="Migliaia [0] 40 3 2" xfId="4717" xr:uid="{5FDCCABF-F7F6-4F4C-A6E7-05B847AEF36E}"/>
    <cellStyle name="Migliaia [0] 40 3 2 2" xfId="18335" xr:uid="{A09DFEB4-F62D-4A13-8C57-8FD4E0D0E417}"/>
    <cellStyle name="Migliaia [0] 40 3 2 2 2" xfId="21789" xr:uid="{63C2A8FE-D5D8-40A0-9932-BB887C8C7B88}"/>
    <cellStyle name="Migliaia [0] 40 3 2 2 2 2" xfId="38250" xr:uid="{77F2832F-473A-4193-879A-415973A108AD}"/>
    <cellStyle name="Migliaia [0] 40 3 2 2 3" xfId="43552" xr:uid="{3D80D94D-B719-4946-8A63-E9043E54D4C0}"/>
    <cellStyle name="Migliaia [0] 40 3 2 2 4" xfId="32899" xr:uid="{402BF622-0E27-4A49-B295-E71845703E12}"/>
    <cellStyle name="Migliaia [0] 40 3 2 3" xfId="35785" xr:uid="{93B0D9F6-C364-4351-8BA2-7524D5B8A611}"/>
    <cellStyle name="Migliaia [0] 40 3 2 4" xfId="40901" xr:uid="{859F5BA4-1924-4776-9929-D847B09413AA}"/>
    <cellStyle name="Migliaia [0] 40 3 2 5" xfId="25125" xr:uid="{2AF83EA5-CF86-4DAD-9387-24CE4A88B035}"/>
    <cellStyle name="Migliaia [0] 40 3 2 6" xfId="50817" xr:uid="{767F61E5-C152-43D5-B5A1-F43027010131}"/>
    <cellStyle name="Migliaia [0] 40 3 2 7" xfId="53833" xr:uid="{0E73409C-5FBF-4D1E-8B8D-508733347ACC}"/>
    <cellStyle name="Migliaia [0] 40 3 2 8" xfId="17611" xr:uid="{26E43088-926D-4C97-9757-CD838F533D9E}"/>
    <cellStyle name="Migliaia [0] 40 3 2 9" xfId="11814" xr:uid="{97C1FDB7-A7DB-4C67-9633-5FDD89044570}"/>
    <cellStyle name="Migliaia [0] 40 3 3" xfId="5964" xr:uid="{E17BCEFD-5E3E-4F7B-8B4C-CD6C95310297}"/>
    <cellStyle name="Migliaia [0] 40 3 3 2" xfId="12373" xr:uid="{7AF3BB30-28E5-4251-B153-EA318A14382C}"/>
    <cellStyle name="Migliaia [0] 40 3 4" xfId="2991" xr:uid="{4C88CBC7-BAAA-48B0-BE9F-2FBA1C921666}"/>
    <cellStyle name="Migliaia [0] 40 3 4 2" xfId="21321" xr:uid="{B94C9F4E-2B9D-4664-9753-A97112333274}"/>
    <cellStyle name="Migliaia [0] 40 3 4 3" xfId="47593" xr:uid="{36B15CA6-6320-423A-B40C-8A4830451721}"/>
    <cellStyle name="Migliaia [0] 40 3 4 4" xfId="50336" xr:uid="{558464F2-28C3-4085-9175-8805459AD13E}"/>
    <cellStyle name="Migliaia [0] 40 3 4 5" xfId="53352" xr:uid="{CD8C837F-D4E9-440B-AE2E-1BA4B8005BDD}"/>
    <cellStyle name="Migliaia [0] 40 3 4 6" xfId="10686" xr:uid="{8AC16ECE-5EC3-4345-935A-F9B6AAEB695E}"/>
    <cellStyle name="Migliaia [0] 40 3 5" xfId="19670" xr:uid="{990DC270-EB89-4951-9E9C-F144E200EB68}"/>
    <cellStyle name="Migliaia [0] 40 3 6" xfId="24095" xr:uid="{1E89232F-5815-40D9-9306-3BE34ABE5008}"/>
    <cellStyle name="Migliaia [0] 40 3 7" xfId="8218" xr:uid="{F4B055D8-DF37-4776-AE2D-C6A6A4281C4C}"/>
    <cellStyle name="Migliaia [0] 40 4" xfId="2992" xr:uid="{05FED76D-3AA4-40D6-8962-BDC93DAEB807}"/>
    <cellStyle name="Migliaia [0] 40 4 2" xfId="4718" xr:uid="{0B1F7650-0AEA-40BD-BE6A-36FBC7D81F66}"/>
    <cellStyle name="Migliaia [0] 40 4 2 2" xfId="35103" xr:uid="{99EE32FC-90A3-4A98-A449-46321CC19376}"/>
    <cellStyle name="Migliaia [0] 40 4 2 2 2" xfId="40261" xr:uid="{5D70784F-B960-443E-8C10-FC68613F70A9}"/>
    <cellStyle name="Migliaia [0] 40 4 2 2 3" xfId="45563" xr:uid="{D58FC557-F05C-4106-A67A-2D5403FAD7DF}"/>
    <cellStyle name="Migliaia [0] 40 4 2 3" xfId="37610" xr:uid="{7DF1D1F5-19AB-494A-AB40-962110894A0D}"/>
    <cellStyle name="Migliaia [0] 40 4 2 4" xfId="42912" xr:uid="{D562F008-4BA9-4C92-9A7B-5027BEE4B46F}"/>
    <cellStyle name="Migliaia [0] 40 4 2 5" xfId="17043" xr:uid="{6E00E668-FEEC-4343-A7A5-E0AF2169E264}"/>
    <cellStyle name="Migliaia [0] 40 4 3" xfId="5965" xr:uid="{93BC0DA4-E036-4553-8B85-02C9BD37FAC8}"/>
    <cellStyle name="Migliaia [0] 40 4 3 2" xfId="38251" xr:uid="{739E1FBC-E0B2-4D1D-AE8F-BB42D7DBA698}"/>
    <cellStyle name="Migliaia [0] 40 4 3 3" xfId="43553" xr:uid="{CCA41681-BA0E-4C0A-93BC-61B52A32AD29}"/>
    <cellStyle name="Migliaia [0] 40 4 3 4" xfId="32900" xr:uid="{5D20C0A8-8E9D-4525-A038-42917AC001F1}"/>
    <cellStyle name="Migliaia [0] 40 4 3 5" xfId="19671" xr:uid="{EBB8CAA7-C74E-4246-B698-75DE6F3A5AC0}"/>
    <cellStyle name="Migliaia [0] 40 4 4" xfId="35786" xr:uid="{A9B50239-4F27-491C-BBFE-1F2BFBC13468}"/>
    <cellStyle name="Migliaia [0] 40 4 5" xfId="40902" xr:uid="{6B74A42E-C9ED-4166-99A4-0DFE701A661A}"/>
    <cellStyle name="Migliaia [0] 40 4 6" xfId="15985" xr:uid="{71C340A1-DD4A-4585-9FE7-48168B22794C}"/>
    <cellStyle name="Migliaia [0] 40 4 7" xfId="7798" xr:uid="{44C11BE3-16E6-4254-B162-22F379B84DDD}"/>
    <cellStyle name="Migliaia [0] 40 5" xfId="4714" xr:uid="{8D129912-9091-4651-B122-26DC0C122B9D}"/>
    <cellStyle name="Migliaia [0] 40 5 2" xfId="32901" xr:uid="{C594D9CC-30E7-4A07-AC33-7F31416F6493}"/>
    <cellStyle name="Migliaia [0] 40 5 2 2" xfId="38252" xr:uid="{84720D29-2B55-4840-9672-57CFF91ED441}"/>
    <cellStyle name="Migliaia [0] 40 5 2 3" xfId="43554" xr:uid="{036B95A0-9453-4DFB-BA3F-DCE3BED4A5D6}"/>
    <cellStyle name="Migliaia [0] 40 5 3" xfId="35787" xr:uid="{20FF93A0-B5AE-4480-893F-CCCAC86F1C8D}"/>
    <cellStyle name="Migliaia [0] 40 5 4" xfId="40903" xr:uid="{9DF682A6-91DB-454F-9707-0162B55F1BAD}"/>
    <cellStyle name="Migliaia [0] 40 5 5" xfId="17112" xr:uid="{1854F363-39AC-48A9-B0C6-104E39FCC9A0}"/>
    <cellStyle name="Migliaia [0] 40 6" xfId="5962" xr:uid="{27AC2CC9-FF85-44D0-83BB-66E45E9A8764}"/>
    <cellStyle name="Migliaia [0] 40 6 2" xfId="38248" xr:uid="{3263E8E7-E637-47D2-A858-A2709EC6E96D}"/>
    <cellStyle name="Migliaia [0] 40 6 3" xfId="43550" xr:uid="{87824929-4449-4281-96EC-8447F2FF1B95}"/>
    <cellStyle name="Migliaia [0] 40 6 4" xfId="32897" xr:uid="{9083EB47-5B14-4D94-805F-E25350E03515}"/>
    <cellStyle name="Migliaia [0] 40 6 5" xfId="19667" xr:uid="{A5D16A59-3407-46CD-BADB-A5F381BD8030}"/>
    <cellStyle name="Migliaia [0] 40 7" xfId="2988" xr:uid="{67E5BC92-4330-4577-B05C-EFC38EA577DF}"/>
    <cellStyle name="Migliaia [0] 40 7 2" xfId="35783" xr:uid="{0156062D-6819-4657-BAB9-A729FB3DC4E3}"/>
    <cellStyle name="Migliaia [0] 40 8" xfId="40899" xr:uid="{29588E96-BB2E-44A7-93C8-03D4CB0E9663}"/>
    <cellStyle name="Migliaia [0] 40 9" xfId="7019" xr:uid="{BBC7360B-6B8C-44CF-B3F0-969D44D3EB1B}"/>
    <cellStyle name="Migliaia [0] 41" xfId="277" xr:uid="{00000000-0005-0000-0000-000061020000}"/>
    <cellStyle name="Migliaia [0] 41 2" xfId="1586" xr:uid="{00000000-0005-0000-0000-000062020000}"/>
    <cellStyle name="Migliaia [0] 41 2 2" xfId="1587" xr:uid="{00000000-0005-0000-0000-000063020000}"/>
    <cellStyle name="Migliaia [0] 41 2 2 2" xfId="4721" xr:uid="{64525ADA-D9A4-4326-8194-4A134D4C5685}"/>
    <cellStyle name="Migliaia [0] 41 2 2 2 2" xfId="21790" xr:uid="{8B4DC6D1-4E18-47AA-BC54-FA6A988E0448}"/>
    <cellStyle name="Migliaia [0] 41 2 2 2 3" xfId="47519" xr:uid="{B0E44A64-CFEF-4A4F-85EE-66E90327B2B0}"/>
    <cellStyle name="Migliaia [0] 41 2 2 2 4" xfId="50818" xr:uid="{545374CC-DDB6-4ED9-91E6-9636108E64A4}"/>
    <cellStyle name="Migliaia [0] 41 2 2 2 5" xfId="53834" xr:uid="{CAAEF7BC-3420-40EC-A355-95A64DD784B8}"/>
    <cellStyle name="Migliaia [0] 41 2 2 2 6" xfId="11815" xr:uid="{AB1A4F3A-F8E6-4F94-8166-5058738C4A08}"/>
    <cellStyle name="Migliaia [0] 41 2 2 3" xfId="2995" xr:uid="{7E7952D6-4D76-4609-BB02-67C73D183496}"/>
    <cellStyle name="Migliaia [0] 41 2 2 3 2" xfId="12337" xr:uid="{BBFEB8A3-1DEF-4FB9-989C-40BB074D8341}"/>
    <cellStyle name="Migliaia [0] 41 2 2 4" xfId="10687" xr:uid="{22BF7DE8-4928-459E-9F45-40F0524D8F09}"/>
    <cellStyle name="Migliaia [0] 41 2 2 4 2" xfId="21322" xr:uid="{05BE4683-0594-4D62-BF9F-11E8FCF7ACE9}"/>
    <cellStyle name="Migliaia [0] 41 2 2 4 3" xfId="34553" xr:uid="{9388B424-933A-45C9-B770-BAC99A9123B9}"/>
    <cellStyle name="Migliaia [0] 41 2 2 4 4" xfId="50337" xr:uid="{C4E40238-9EAC-4118-811F-C3CFE6DADA5F}"/>
    <cellStyle name="Migliaia [0] 41 2 2 4 5" xfId="53353" xr:uid="{58CAC822-294D-4D97-9D06-A2E9960D6E86}"/>
    <cellStyle name="Migliaia [0] 41 2 2 5" xfId="19674" xr:uid="{F0A631DF-722F-4BBB-BAC5-56F129C8B065}"/>
    <cellStyle name="Migliaia [0] 41 2 2 6" xfId="24097" xr:uid="{CCBBCA10-4B4A-4AC3-AE7B-DC0334DC60D4}"/>
    <cellStyle name="Migliaia [0] 41 2 2 7" xfId="48855" xr:uid="{EB5B2972-C2EE-469A-81B8-0E060C22235F}"/>
    <cellStyle name="Migliaia [0] 41 2 2 8" xfId="49761" xr:uid="{33165F98-88B6-492D-B10D-80598C770819}"/>
    <cellStyle name="Migliaia [0] 41 2 2 9" xfId="8461" xr:uid="{2BD26890-DC98-4D84-AD22-DBBAD53B40E0}"/>
    <cellStyle name="Migliaia [0] 41 2 3" xfId="4720" xr:uid="{8A9B73AF-377A-4B94-897C-5DEFE39DD291}"/>
    <cellStyle name="Migliaia [0] 41 2 3 2" xfId="32903" xr:uid="{53B13658-FF7C-4A2B-8CA1-D6026F115A80}"/>
    <cellStyle name="Migliaia [0] 41 2 3 2 2" xfId="38254" xr:uid="{386F6E01-6965-4948-8CDA-485B9084C3DF}"/>
    <cellStyle name="Migliaia [0] 41 2 3 2 3" xfId="43556" xr:uid="{051620E8-DDE5-48C1-8B8E-7229F26FFB26}"/>
    <cellStyle name="Migliaia [0] 41 2 3 3" xfId="35789" xr:uid="{6C381CA6-DC9D-485C-87FE-2055D3DE6BB1}"/>
    <cellStyle name="Migliaia [0] 41 2 3 4" xfId="40905" xr:uid="{15BC91A2-70B6-4CBC-8ECE-EEFE6FCEB0E6}"/>
    <cellStyle name="Migliaia [0] 41 2 3 5" xfId="11816" xr:uid="{6B610118-26B3-4F8C-9E75-A17C5DFF9EDD}"/>
    <cellStyle name="Migliaia [0] 41 2 4" xfId="5967" xr:uid="{595916A6-94AB-4DDB-BD39-84A70CCCA407}"/>
    <cellStyle name="Migliaia [0] 41 2 4 2" xfId="19673" xr:uid="{5C3AC807-7539-408E-8277-8EAFBCB5A897}"/>
    <cellStyle name="Migliaia [0] 41 2 5" xfId="2994" xr:uid="{A0088F7D-0086-4CC8-BCCB-DC2362043D13}"/>
    <cellStyle name="Migliaia [0] 41 2 5 2" xfId="24096" xr:uid="{6A12B16C-3019-487B-A1C6-3CAC3438E8B0}"/>
    <cellStyle name="Migliaia [0] 41 2 6" xfId="7271" xr:uid="{A8BC249C-F63A-4C34-97AB-2F6E470D4528}"/>
    <cellStyle name="Migliaia [0] 41 3" xfId="1588" xr:uid="{00000000-0005-0000-0000-000064020000}"/>
    <cellStyle name="Migliaia [0] 41 3 2" xfId="4722" xr:uid="{32A434AB-00E1-4EBB-B1AA-18A72553A956}"/>
    <cellStyle name="Migliaia [0] 41 3 2 2" xfId="18336" xr:uid="{5D5B9F8C-CBF0-4A99-8590-5DB29F5E09E6}"/>
    <cellStyle name="Migliaia [0] 41 3 2 2 2" xfId="21791" xr:uid="{3892DEEE-D844-4959-9203-6CD0CCEE4A6F}"/>
    <cellStyle name="Migliaia [0] 41 3 2 2 2 2" xfId="38255" xr:uid="{677B601E-5036-4753-8F57-A702910FC2E5}"/>
    <cellStyle name="Migliaia [0] 41 3 2 2 3" xfId="43557" xr:uid="{5FBE28CA-BF33-4EF1-963A-0542872C4D78}"/>
    <cellStyle name="Migliaia [0] 41 3 2 2 4" xfId="32904" xr:uid="{E4E0CCBF-8BB3-4712-A3C5-73A1F6B783C0}"/>
    <cellStyle name="Migliaia [0] 41 3 2 3" xfId="35790" xr:uid="{94D1339F-8D79-4808-B9E4-7E42D1AA3251}"/>
    <cellStyle name="Migliaia [0] 41 3 2 4" xfId="40906" xr:uid="{AA97006A-933B-4A8C-8193-56D99F1A343D}"/>
    <cellStyle name="Migliaia [0] 41 3 2 5" xfId="47160" xr:uid="{98F296BF-8E86-4957-AD55-85DCEE60445B}"/>
    <cellStyle name="Migliaia [0] 41 3 2 6" xfId="50819" xr:uid="{53337613-388D-4415-A151-B773162D8F39}"/>
    <cellStyle name="Migliaia [0] 41 3 2 7" xfId="53835" xr:uid="{48EA918E-2365-46EB-93D2-1ADD0BA42BC8}"/>
    <cellStyle name="Migliaia [0] 41 3 2 8" xfId="17612" xr:uid="{A4A2EC61-7E34-47B8-BCE1-048BE3B272D1}"/>
    <cellStyle name="Migliaia [0] 41 3 2 9" xfId="11817" xr:uid="{BB3F0096-8285-4A9A-BF3F-AE3C30AFBB8B}"/>
    <cellStyle name="Migliaia [0] 41 3 3" xfId="5968" xr:uid="{36B50F5F-B327-4E99-A18D-562E0AC9A88B}"/>
    <cellStyle name="Migliaia [0] 41 3 3 2" xfId="12372" xr:uid="{02972732-3D33-4BD5-8675-98BDDE86959E}"/>
    <cellStyle name="Migliaia [0] 41 3 4" xfId="2996" xr:uid="{F96D7F85-DDF9-49C3-9758-D04CB622215D}"/>
    <cellStyle name="Migliaia [0] 41 3 4 2" xfId="21323" xr:uid="{7EE6A740-0723-426F-9635-6BE66E8F6D5E}"/>
    <cellStyle name="Migliaia [0] 41 3 4 3" xfId="47208" xr:uid="{772500B9-101A-49CF-8E59-6E02E3985161}"/>
    <cellStyle name="Migliaia [0] 41 3 4 4" xfId="50338" xr:uid="{5D9ED2E7-D833-4908-AF15-72AED013FE64}"/>
    <cellStyle name="Migliaia [0] 41 3 4 5" xfId="53354" xr:uid="{72255A87-B2A0-4317-AFA7-D399E9139FFA}"/>
    <cellStyle name="Migliaia [0] 41 3 4 6" xfId="10688" xr:uid="{537280C1-CB1B-4E92-AD01-03ED725B7577}"/>
    <cellStyle name="Migliaia [0] 41 3 5" xfId="19675" xr:uid="{26898A90-59B7-4D00-9452-C13F959C6418}"/>
    <cellStyle name="Migliaia [0] 41 3 6" xfId="24098" xr:uid="{06091E20-C397-443D-99D8-A10467BAE03F}"/>
    <cellStyle name="Migliaia [0] 41 3 7" xfId="8219" xr:uid="{B2FE7E0A-6E97-423E-BEF9-4F103B8081FF}"/>
    <cellStyle name="Migliaia [0] 41 4" xfId="2997" xr:uid="{7F493A04-A23A-4502-A1E7-B84FCE04D1E4}"/>
    <cellStyle name="Migliaia [0] 41 4 2" xfId="4723" xr:uid="{453D135B-8E46-468E-A011-1A85F31093F8}"/>
    <cellStyle name="Migliaia [0] 41 4 2 2" xfId="35104" xr:uid="{D1462EA1-0089-4F82-A8AD-11CD47F6CDE9}"/>
    <cellStyle name="Migliaia [0] 41 4 2 2 2" xfId="40262" xr:uid="{C2F94811-26F0-4488-891D-FBECBF8549CC}"/>
    <cellStyle name="Migliaia [0] 41 4 2 2 3" xfId="45564" xr:uid="{27542FE2-D373-4E69-97D5-07BCD1BFE41D}"/>
    <cellStyle name="Migliaia [0] 41 4 2 3" xfId="37611" xr:uid="{820FD160-0DBE-4AA6-BCBD-8D0A66238AD7}"/>
    <cellStyle name="Migliaia [0] 41 4 2 4" xfId="42913" xr:uid="{23CF194A-2F92-4910-9D2C-F3F2815C3D5C}"/>
    <cellStyle name="Migliaia [0] 41 4 2 5" xfId="17044" xr:uid="{DBBE9326-7D06-4AB8-8ABA-A95DED6DC856}"/>
    <cellStyle name="Migliaia [0] 41 4 3" xfId="5969" xr:uid="{A2D8FF6A-9C29-4DAE-88ED-EA6435051781}"/>
    <cellStyle name="Migliaia [0] 41 4 3 2" xfId="38256" xr:uid="{1A77CC70-A0CD-4939-9F7C-FF27DF19FAAB}"/>
    <cellStyle name="Migliaia [0] 41 4 3 3" xfId="43558" xr:uid="{2D7CFA93-06D5-4218-82FD-611D0439EAB9}"/>
    <cellStyle name="Migliaia [0] 41 4 3 4" xfId="32905" xr:uid="{DB2F93A3-C832-43F3-99D9-EC0258746B5A}"/>
    <cellStyle name="Migliaia [0] 41 4 3 5" xfId="19676" xr:uid="{786DC6F4-5F4F-46E7-8016-D6239CEBB307}"/>
    <cellStyle name="Migliaia [0] 41 4 4" xfId="35791" xr:uid="{1456B0F2-CB1A-405D-BB32-D42893B7BD06}"/>
    <cellStyle name="Migliaia [0] 41 4 5" xfId="40907" xr:uid="{D4DB9FB7-7393-4862-9CF1-6E5CBFD46B72}"/>
    <cellStyle name="Migliaia [0] 41 4 6" xfId="15986" xr:uid="{EF50FADE-6F66-4E44-A99A-8A14CBD2B437}"/>
    <cellStyle name="Migliaia [0] 41 4 7" xfId="7799" xr:uid="{0D19018E-4061-4323-A9D3-C9FCF3FA0A24}"/>
    <cellStyle name="Migliaia [0] 41 5" xfId="4719" xr:uid="{FFE7B77F-089B-4690-B4F3-A98C65EB636C}"/>
    <cellStyle name="Migliaia [0] 41 5 2" xfId="32906" xr:uid="{E1F74EC7-F772-4F5E-A72B-140032EAC031}"/>
    <cellStyle name="Migliaia [0] 41 5 2 2" xfId="38257" xr:uid="{CA2A2673-7BD7-481E-BB15-28483ADF18DE}"/>
    <cellStyle name="Migliaia [0] 41 5 2 3" xfId="43559" xr:uid="{1F7C0901-0901-47C2-B35A-7A67C68DAEBE}"/>
    <cellStyle name="Migliaia [0] 41 5 3" xfId="35792" xr:uid="{0B8362AB-E3BD-4A78-8E3D-C4658BF3F90F}"/>
    <cellStyle name="Migliaia [0] 41 5 4" xfId="40908" xr:uid="{DCC88726-EA6B-4CF6-9AA7-BFAEDCE35B2A}"/>
    <cellStyle name="Migliaia [0] 41 5 5" xfId="17113" xr:uid="{45807689-6D4A-47B4-868D-3625CEFE5620}"/>
    <cellStyle name="Migliaia [0] 41 6" xfId="5966" xr:uid="{AB866711-6927-4A6A-924F-9AE5D6A9B17A}"/>
    <cellStyle name="Migliaia [0] 41 6 2" xfId="38253" xr:uid="{B0C88C14-AB7C-4522-B18C-5694065660DB}"/>
    <cellStyle name="Migliaia [0] 41 6 3" xfId="43555" xr:uid="{270AC2C8-68B3-49E1-A332-EA241DFD2AE4}"/>
    <cellStyle name="Migliaia [0] 41 6 4" xfId="32902" xr:uid="{E1FB748D-F381-46BC-BA86-EADC31FC2226}"/>
    <cellStyle name="Migliaia [0] 41 6 5" xfId="19672" xr:uid="{D572DC93-EDD7-4D17-A68D-0555F0AFA70C}"/>
    <cellStyle name="Migliaia [0] 41 7" xfId="2993" xr:uid="{FF37B8FB-324F-4B4E-B130-52BCF52012E3}"/>
    <cellStyle name="Migliaia [0] 41 7 2" xfId="35788" xr:uid="{ADE301F3-2A55-414B-9566-EB517DD7BBB7}"/>
    <cellStyle name="Migliaia [0] 41 8" xfId="40904" xr:uid="{B18FA1A9-2010-4489-A582-9148A6F9E460}"/>
    <cellStyle name="Migliaia [0] 41 9" xfId="7020" xr:uid="{C5DD8A85-BD07-496D-9E53-FB6280EE8E65}"/>
    <cellStyle name="Migliaia [0] 42" xfId="278" xr:uid="{00000000-0005-0000-0000-000065020000}"/>
    <cellStyle name="Migliaia [0] 42 2" xfId="1589" xr:uid="{00000000-0005-0000-0000-000066020000}"/>
    <cellStyle name="Migliaia [0] 42 2 2" xfId="1590" xr:uid="{00000000-0005-0000-0000-000067020000}"/>
    <cellStyle name="Migliaia [0] 42 2 2 2" xfId="4726" xr:uid="{946180B2-EB30-4AEE-A6EB-B88CAA8B062B}"/>
    <cellStyle name="Migliaia [0] 42 2 2 2 2" xfId="21792" xr:uid="{CE27CC15-FA7C-4B03-8EE6-5BC65FAD3CD9}"/>
    <cellStyle name="Migliaia [0] 42 2 2 2 3" xfId="48191" xr:uid="{19491982-5013-4800-B28F-678977D52F77}"/>
    <cellStyle name="Migliaia [0] 42 2 2 2 4" xfId="50820" xr:uid="{F0B18BA4-12BA-42F9-93D8-F56623B2687F}"/>
    <cellStyle name="Migliaia [0] 42 2 2 2 5" xfId="53836" xr:uid="{8E69D8D5-1F50-488D-A025-225C29FD3A24}"/>
    <cellStyle name="Migliaia [0] 42 2 2 2 6" xfId="11818" xr:uid="{7319E6BB-E377-47CA-A928-553757DDDBB4}"/>
    <cellStyle name="Migliaia [0] 42 2 2 3" xfId="3000" xr:uid="{03F5D43C-27B5-4EB6-8441-EE151BA1FB25}"/>
    <cellStyle name="Migliaia [0] 42 2 2 3 2" xfId="12336" xr:uid="{A5470011-329A-49E7-9E99-567DD66DFD33}"/>
    <cellStyle name="Migliaia [0] 42 2 2 4" xfId="10689" xr:uid="{0FB13648-FE97-408A-8FAC-6A4467A1A38B}"/>
    <cellStyle name="Migliaia [0] 42 2 2 4 2" xfId="21324" xr:uid="{52DAC841-AC6E-48FD-8B61-B61A4CBBA3F7}"/>
    <cellStyle name="Migliaia [0] 42 2 2 4 3" xfId="46638" xr:uid="{FBC30117-82E9-4DA5-B086-3CF2DF08AC0D}"/>
    <cellStyle name="Migliaia [0] 42 2 2 4 4" xfId="50339" xr:uid="{BE8F7865-53F9-4FA8-8178-2F2C7A3FADC5}"/>
    <cellStyle name="Migliaia [0] 42 2 2 4 5" xfId="53355" xr:uid="{C08AFABC-6A0B-466E-9B0A-4FF69635FBEB}"/>
    <cellStyle name="Migliaia [0] 42 2 2 5" xfId="19679" xr:uid="{A269CD8F-26B5-4468-ACF7-20530033A926}"/>
    <cellStyle name="Migliaia [0] 42 2 2 6" xfId="24100" xr:uid="{1AC3D902-511C-4526-A502-EAF9BF368FAA}"/>
    <cellStyle name="Migliaia [0] 42 2 2 7" xfId="48856" xr:uid="{4B78C9A5-6197-49E2-AB47-BF68D2962216}"/>
    <cellStyle name="Migliaia [0] 42 2 2 8" xfId="49762" xr:uid="{AF3119D5-3A0C-4495-8775-D9C705D78932}"/>
    <cellStyle name="Migliaia [0] 42 2 2 9" xfId="8462" xr:uid="{20BD463E-E81C-4E8C-ADE7-154075426F8F}"/>
    <cellStyle name="Migliaia [0] 42 2 3" xfId="4725" xr:uid="{B11E8D2D-924A-4198-B22F-58E59B21ABC5}"/>
    <cellStyle name="Migliaia [0] 42 2 3 2" xfId="32908" xr:uid="{2D3A0737-1C0C-477F-8B52-AA62DC47FD09}"/>
    <cellStyle name="Migliaia [0] 42 2 3 2 2" xfId="38259" xr:uid="{32541561-27B1-42EA-8C0F-C41D8A52EEBA}"/>
    <cellStyle name="Migliaia [0] 42 2 3 2 3" xfId="43561" xr:uid="{FA7A9CF0-E91C-4356-88FE-E045B5C7B10F}"/>
    <cellStyle name="Migliaia [0] 42 2 3 3" xfId="35794" xr:uid="{512AA24D-C361-445A-B088-51EB303079A8}"/>
    <cellStyle name="Migliaia [0] 42 2 3 4" xfId="40910" xr:uid="{476C444A-C17D-4521-9A1F-F96293BF4FAC}"/>
    <cellStyle name="Migliaia [0] 42 2 3 5" xfId="11819" xr:uid="{D9F181AA-2778-43E1-93DC-2FF4BFE98E55}"/>
    <cellStyle name="Migliaia [0] 42 2 4" xfId="5971" xr:uid="{3098F2A6-48AD-423C-8C6B-83B28D0D47DF}"/>
    <cellStyle name="Migliaia [0] 42 2 4 2" xfId="19678" xr:uid="{806B5030-E44A-44B2-B7C2-F8A749778D98}"/>
    <cellStyle name="Migliaia [0] 42 2 5" xfId="2999" xr:uid="{0071AAD9-B554-46BB-BC4E-0AA71CA5E456}"/>
    <cellStyle name="Migliaia [0] 42 2 5 2" xfId="24099" xr:uid="{1A23E3B8-BF2A-4FEE-A5D8-4D00E4188BF1}"/>
    <cellStyle name="Migliaia [0] 42 2 6" xfId="7272" xr:uid="{6E45F8EE-336B-43C7-9C02-B4A27FB2CF2B}"/>
    <cellStyle name="Migliaia [0] 42 3" xfId="1591" xr:uid="{00000000-0005-0000-0000-000068020000}"/>
    <cellStyle name="Migliaia [0] 42 3 2" xfId="4727" xr:uid="{696D1FC6-30FB-467D-8B71-520889BD61B5}"/>
    <cellStyle name="Migliaia [0] 42 3 2 2" xfId="18337" xr:uid="{DC82628A-EB1B-415D-A4B2-C72DAB9566D0}"/>
    <cellStyle name="Migliaia [0] 42 3 2 2 2" xfId="21793" xr:uid="{1EDC7149-CF6E-45A9-A47D-4C6548EFDC6C}"/>
    <cellStyle name="Migliaia [0] 42 3 2 2 2 2" xfId="38260" xr:uid="{C775DAF5-9A2E-4383-86B9-DFEB9D89EF14}"/>
    <cellStyle name="Migliaia [0] 42 3 2 2 3" xfId="43562" xr:uid="{FC1D52FF-3604-4C85-8D1E-91B0985235FC}"/>
    <cellStyle name="Migliaia [0] 42 3 2 2 4" xfId="32909" xr:uid="{E45E4E5B-E679-4604-A0D5-E047C3FE0259}"/>
    <cellStyle name="Migliaia [0] 42 3 2 3" xfId="35795" xr:uid="{A1E3A898-E988-4EEB-AA51-0C74EC73A2B1}"/>
    <cellStyle name="Migliaia [0] 42 3 2 4" xfId="40911" xr:uid="{650BA8B0-CCA8-413B-A069-4FEF1D611A9E}"/>
    <cellStyle name="Migliaia [0] 42 3 2 5" xfId="37193" xr:uid="{CF812213-BF9E-4065-96FE-70170D3DF81E}"/>
    <cellStyle name="Migliaia [0] 42 3 2 6" xfId="50821" xr:uid="{A6D907D6-473B-405E-9C62-36A59BD0AD48}"/>
    <cellStyle name="Migliaia [0] 42 3 2 7" xfId="53837" xr:uid="{E3194B70-D595-4B44-B779-8ABD4E1438CC}"/>
    <cellStyle name="Migliaia [0] 42 3 2 8" xfId="17613" xr:uid="{AF647F75-88E7-435A-91C5-39E12FB018F3}"/>
    <cellStyle name="Migliaia [0] 42 3 2 9" xfId="11820" xr:uid="{CF5A25D5-8DDF-4188-A139-EFED486C59D0}"/>
    <cellStyle name="Migliaia [0] 42 3 3" xfId="5972" xr:uid="{A96B4E05-20C8-4032-91EE-28751DFA68A4}"/>
    <cellStyle name="Migliaia [0] 42 3 3 2" xfId="12371" xr:uid="{3264A05A-017C-4892-A5D8-86D684533688}"/>
    <cellStyle name="Migliaia [0] 42 3 4" xfId="3001" xr:uid="{02B3BC19-6DDB-44CE-AF1F-AC842437B619}"/>
    <cellStyle name="Migliaia [0] 42 3 4 2" xfId="21325" xr:uid="{AA046A3D-A2C1-46B2-A493-BB2DA7B07FDC}"/>
    <cellStyle name="Migliaia [0] 42 3 4 3" xfId="47736" xr:uid="{0B685394-AE92-4287-B041-0FE524ACB8BF}"/>
    <cellStyle name="Migliaia [0] 42 3 4 4" xfId="50340" xr:uid="{94A5B87C-35F0-4E24-9A47-C66E25A53761}"/>
    <cellStyle name="Migliaia [0] 42 3 4 5" xfId="53356" xr:uid="{EE89D711-054D-448A-801F-C304F8387B40}"/>
    <cellStyle name="Migliaia [0] 42 3 4 6" xfId="10690" xr:uid="{FF4DCC62-DC01-4AFA-B0BB-E75EC55E8A85}"/>
    <cellStyle name="Migliaia [0] 42 3 5" xfId="19680" xr:uid="{F3451CC6-9318-417B-AADA-6E96A2AFA9A6}"/>
    <cellStyle name="Migliaia [0] 42 3 6" xfId="24101" xr:uid="{D03A631A-266A-4D15-A3DB-F592BB4490C3}"/>
    <cellStyle name="Migliaia [0] 42 3 7" xfId="8220" xr:uid="{2CE01A8E-FD72-448A-894B-4A4F0166A771}"/>
    <cellStyle name="Migliaia [0] 42 4" xfId="3002" xr:uid="{F438F24B-7286-4D1B-8C96-AA219D571AAD}"/>
    <cellStyle name="Migliaia [0] 42 4 2" xfId="4728" xr:uid="{BE32381E-EC0D-4D5E-A13D-E1BA5652826F}"/>
    <cellStyle name="Migliaia [0] 42 4 2 2" xfId="35105" xr:uid="{B8FCED8B-E363-4152-ABEC-1B81804DC9A3}"/>
    <cellStyle name="Migliaia [0] 42 4 2 2 2" xfId="40263" xr:uid="{E5E502AD-4E7E-4DC5-AE86-5634F15E6438}"/>
    <cellStyle name="Migliaia [0] 42 4 2 2 3" xfId="45565" xr:uid="{5AA0BF02-2E66-41A2-B3BB-0DA5CF8DBB97}"/>
    <cellStyle name="Migliaia [0] 42 4 2 3" xfId="37612" xr:uid="{64CB1997-252A-4656-B450-B9522B401915}"/>
    <cellStyle name="Migliaia [0] 42 4 2 4" xfId="42914" xr:uid="{124A908F-A157-4038-9EC3-1B78A411F967}"/>
    <cellStyle name="Migliaia [0] 42 4 2 5" xfId="17045" xr:uid="{B97FF177-BED1-4C07-A313-FD17636DB4CC}"/>
    <cellStyle name="Migliaia [0] 42 4 3" xfId="5973" xr:uid="{6B019B82-D4CE-4B7C-8023-8B463F23A0F8}"/>
    <cellStyle name="Migliaia [0] 42 4 3 2" xfId="38261" xr:uid="{B47C4ECD-8F63-4DF7-B378-AF5B1B68C05D}"/>
    <cellStyle name="Migliaia [0] 42 4 3 3" xfId="43563" xr:uid="{580BC970-E273-46A8-95E9-F55E49065056}"/>
    <cellStyle name="Migliaia [0] 42 4 3 4" xfId="32910" xr:uid="{6E506993-851E-48DB-9046-F3BA6B80F709}"/>
    <cellStyle name="Migliaia [0] 42 4 3 5" xfId="19681" xr:uid="{E66E4D92-025D-4736-A13D-56719EFDBC29}"/>
    <cellStyle name="Migliaia [0] 42 4 4" xfId="35796" xr:uid="{377A6C58-E273-442B-9C7B-7ECFB14D4F1E}"/>
    <cellStyle name="Migliaia [0] 42 4 5" xfId="40912" xr:uid="{A763125C-9532-43ED-8FFF-05BA0438692E}"/>
    <cellStyle name="Migliaia [0] 42 4 6" xfId="15987" xr:uid="{E1DEACDA-CFBC-4D82-8870-FF44EAE6A611}"/>
    <cellStyle name="Migliaia [0] 42 4 7" xfId="7800" xr:uid="{F1B551C6-1210-4899-A5A7-CABC3FEE2E28}"/>
    <cellStyle name="Migliaia [0] 42 5" xfId="4724" xr:uid="{3CCFFD4B-7CFA-4266-837D-AA58461A3511}"/>
    <cellStyle name="Migliaia [0] 42 5 2" xfId="32911" xr:uid="{E2D89E01-4A52-44EA-8416-8E262D6E4B9C}"/>
    <cellStyle name="Migliaia [0] 42 5 2 2" xfId="38262" xr:uid="{C3B7C55D-8E28-452D-9459-5CD56EF2237A}"/>
    <cellStyle name="Migliaia [0] 42 5 2 3" xfId="43564" xr:uid="{1E76C003-FA4D-4A37-B455-C52FB40BBA14}"/>
    <cellStyle name="Migliaia [0] 42 5 3" xfId="35797" xr:uid="{B69873B4-9EA7-488D-8BF5-495A50CE46E7}"/>
    <cellStyle name="Migliaia [0] 42 5 4" xfId="40913" xr:uid="{D40C9799-A3AF-439A-985D-DF0AAF4790F7}"/>
    <cellStyle name="Migliaia [0] 42 5 5" xfId="17114" xr:uid="{ADB12B4A-BED9-4216-9533-DAB45B80F0C4}"/>
    <cellStyle name="Migliaia [0] 42 6" xfId="5970" xr:uid="{591AF490-B474-4EA1-B7E9-016CA8CAE78B}"/>
    <cellStyle name="Migliaia [0] 42 6 2" xfId="38258" xr:uid="{8498B345-FD74-4988-ABFE-20CABCB7EF1D}"/>
    <cellStyle name="Migliaia [0] 42 6 3" xfId="43560" xr:uid="{22793727-4407-42F7-A289-C4B35C026D8D}"/>
    <cellStyle name="Migliaia [0] 42 6 4" xfId="32907" xr:uid="{DB01BC40-EC1B-41D6-8EF0-5E206BA6DF34}"/>
    <cellStyle name="Migliaia [0] 42 6 5" xfId="19677" xr:uid="{52B05F5F-75B4-46A0-AE3C-59AE4DE190ED}"/>
    <cellStyle name="Migliaia [0] 42 7" xfId="2998" xr:uid="{DD073DBF-94B6-40F8-9F8B-6DC2C0A221BA}"/>
    <cellStyle name="Migliaia [0] 42 7 2" xfId="35793" xr:uid="{77E549BD-78B9-45BF-893B-3E6ACA5DCB85}"/>
    <cellStyle name="Migliaia [0] 42 8" xfId="40909" xr:uid="{22A9F414-5C14-400C-BC55-75B2DB09561C}"/>
    <cellStyle name="Migliaia [0] 42 9" xfId="7021" xr:uid="{BABEE08D-4D54-4A1E-9D7D-88528E1B08AB}"/>
    <cellStyle name="Migliaia [0] 43" xfId="279" xr:uid="{00000000-0005-0000-0000-000069020000}"/>
    <cellStyle name="Migliaia [0] 43 2" xfId="1592" xr:uid="{00000000-0005-0000-0000-00006A020000}"/>
    <cellStyle name="Migliaia [0] 43 2 2" xfId="1593" xr:uid="{00000000-0005-0000-0000-00006B020000}"/>
    <cellStyle name="Migliaia [0] 43 2 2 2" xfId="4731" xr:uid="{BEB666D9-F925-49E6-8B89-6D4F83810EFB}"/>
    <cellStyle name="Migliaia [0] 43 2 2 2 2" xfId="21794" xr:uid="{206C2EB9-14B8-470A-8379-B4CDB30D1ACC}"/>
    <cellStyle name="Migliaia [0] 43 2 2 2 3" xfId="48100" xr:uid="{8B13CF97-26D9-4484-B93B-2407BE096951}"/>
    <cellStyle name="Migliaia [0] 43 2 2 2 4" xfId="50822" xr:uid="{3EC1996B-06D3-46D4-80A4-E7DF8EC42F63}"/>
    <cellStyle name="Migliaia [0] 43 2 2 2 5" xfId="53838" xr:uid="{EA48A7C7-364D-4D29-A0F8-0B85A06B6594}"/>
    <cellStyle name="Migliaia [0] 43 2 2 2 6" xfId="11821" xr:uid="{93BFF99B-9F08-4F9D-B132-A594275E7637}"/>
    <cellStyle name="Migliaia [0] 43 2 2 3" xfId="3005" xr:uid="{F688392F-EE3F-44B0-AA67-A59E0FCD39B0}"/>
    <cellStyle name="Migliaia [0] 43 2 2 3 2" xfId="12335" xr:uid="{6B2F907D-F808-4CBD-877C-EB74BBD9C15E}"/>
    <cellStyle name="Migliaia [0] 43 2 2 4" xfId="10691" xr:uid="{19FD244F-5F89-474F-87B3-93BC2C630D80}"/>
    <cellStyle name="Migliaia [0] 43 2 2 4 2" xfId="21326" xr:uid="{7C60CE6D-706C-488A-9228-B60F0865896E}"/>
    <cellStyle name="Migliaia [0] 43 2 2 4 3" xfId="48568" xr:uid="{2EE07ADB-E9E3-4BD2-99E4-856DC073BBF0}"/>
    <cellStyle name="Migliaia [0] 43 2 2 4 4" xfId="50341" xr:uid="{DB5275DD-6E2B-4F14-8CD9-C04C7B1F75E9}"/>
    <cellStyle name="Migliaia [0] 43 2 2 4 5" xfId="53357" xr:uid="{E1F15240-A768-44A0-AC09-5DEB6C931358}"/>
    <cellStyle name="Migliaia [0] 43 2 2 5" xfId="19684" xr:uid="{2FB8558B-BEAD-47E8-A726-7A11010F9F0E}"/>
    <cellStyle name="Migliaia [0] 43 2 2 6" xfId="24103" xr:uid="{F52450F3-7413-4F62-91C2-B2932F410FC7}"/>
    <cellStyle name="Migliaia [0] 43 2 2 7" xfId="48857" xr:uid="{C4C2B701-640A-460D-B6C0-E2F0B44A3732}"/>
    <cellStyle name="Migliaia [0] 43 2 2 8" xfId="49763" xr:uid="{6BD8BC06-CE05-43F1-A491-203E06F50C9C}"/>
    <cellStyle name="Migliaia [0] 43 2 2 9" xfId="8463" xr:uid="{D80FFD4D-C895-493F-9C93-EE07CC74AE2E}"/>
    <cellStyle name="Migliaia [0] 43 2 3" xfId="4730" xr:uid="{B6E568B1-B875-49BF-8C7F-FA09D1A0168E}"/>
    <cellStyle name="Migliaia [0] 43 2 3 2" xfId="32913" xr:uid="{BA717952-07B0-4427-A9D9-E3DD4B2C2EC1}"/>
    <cellStyle name="Migliaia [0] 43 2 3 2 2" xfId="38264" xr:uid="{C197C27F-8AB1-423F-999E-BCF051153465}"/>
    <cellStyle name="Migliaia [0] 43 2 3 2 3" xfId="43566" xr:uid="{D03D51F8-4A7C-4BAA-9715-1E62DC667944}"/>
    <cellStyle name="Migliaia [0] 43 2 3 3" xfId="35799" xr:uid="{F93A24A1-52E2-429D-9445-8092F22B245D}"/>
    <cellStyle name="Migliaia [0] 43 2 3 4" xfId="40915" xr:uid="{0CA097BE-936A-422F-82E1-D1273EDBA38A}"/>
    <cellStyle name="Migliaia [0] 43 2 3 5" xfId="11822" xr:uid="{92A6AB4F-C9A9-440B-991E-3F14096D79EF}"/>
    <cellStyle name="Migliaia [0] 43 2 4" xfId="5975" xr:uid="{65548E3E-53D7-48C9-8219-BAA27074D99B}"/>
    <cellStyle name="Migliaia [0] 43 2 4 2" xfId="19683" xr:uid="{F5A2B3F4-604B-423F-A1E7-5A898A341674}"/>
    <cellStyle name="Migliaia [0] 43 2 5" xfId="3004" xr:uid="{EB00C479-0029-4A1F-9E06-F9B859891257}"/>
    <cellStyle name="Migliaia [0] 43 2 5 2" xfId="24102" xr:uid="{54E85694-7B24-4FCB-98A9-49E66D780638}"/>
    <cellStyle name="Migliaia [0] 43 2 6" xfId="7273" xr:uid="{E308E4EB-A0F3-4C1E-8D7E-D43F58D52614}"/>
    <cellStyle name="Migliaia [0] 43 3" xfId="1594" xr:uid="{00000000-0005-0000-0000-00006C020000}"/>
    <cellStyle name="Migliaia [0] 43 3 2" xfId="4732" xr:uid="{FE20A76B-F4B3-4813-9CCD-DEB84E953CCD}"/>
    <cellStyle name="Migliaia [0] 43 3 2 2" xfId="18338" xr:uid="{1DD89733-D4DF-44EA-982A-BB1CA01F0371}"/>
    <cellStyle name="Migliaia [0] 43 3 2 2 2" xfId="21795" xr:uid="{E78B4BA6-8DE8-451A-8F61-8B7A4EA6A16E}"/>
    <cellStyle name="Migliaia [0] 43 3 2 2 2 2" xfId="38265" xr:uid="{C57AF121-13A4-452F-8198-A21571639166}"/>
    <cellStyle name="Migliaia [0] 43 3 2 2 3" xfId="43567" xr:uid="{EDE05654-BB60-4F24-A904-EC38847CC088}"/>
    <cellStyle name="Migliaia [0] 43 3 2 2 4" xfId="32914" xr:uid="{E4537A32-B4C4-491E-A995-2FFDF732CB8B}"/>
    <cellStyle name="Migliaia [0] 43 3 2 3" xfId="35800" xr:uid="{7666AB30-C946-46C9-A8C5-88665EA7A66C}"/>
    <cellStyle name="Migliaia [0] 43 3 2 4" xfId="40916" xr:uid="{EF3C5BF2-C4AB-4B15-A4DC-56A2D43CCA06}"/>
    <cellStyle name="Migliaia [0] 43 3 2 5" xfId="47753" xr:uid="{F7552506-9F29-4D40-850C-7ED4E87295CE}"/>
    <cellStyle name="Migliaia [0] 43 3 2 6" xfId="50823" xr:uid="{93026139-8C8B-42D8-9B53-460D78A1C99A}"/>
    <cellStyle name="Migliaia [0] 43 3 2 7" xfId="53839" xr:uid="{1274C8BC-6B4C-4F33-B121-E622924CE91E}"/>
    <cellStyle name="Migliaia [0] 43 3 2 8" xfId="17614" xr:uid="{7EF13D17-2EB5-4D40-B279-C5C0E8438061}"/>
    <cellStyle name="Migliaia [0] 43 3 2 9" xfId="11823" xr:uid="{CB160781-84FE-4C9E-A902-2C81FAAA5436}"/>
    <cellStyle name="Migliaia [0] 43 3 3" xfId="5976" xr:uid="{347F3CF2-AB1F-41CF-AEF5-29CE902283B7}"/>
    <cellStyle name="Migliaia [0] 43 3 3 2" xfId="12370" xr:uid="{E73857D7-4C09-4D1B-A336-BF070BD94F05}"/>
    <cellStyle name="Migliaia [0] 43 3 4" xfId="3006" xr:uid="{CC0FD5C5-F2FE-4003-A8D9-B8A5EC46C8EB}"/>
    <cellStyle name="Migliaia [0] 43 3 4 2" xfId="21327" xr:uid="{9FF4681F-1BF4-441D-A269-19153280EAB9}"/>
    <cellStyle name="Migliaia [0] 43 3 4 3" xfId="23999" xr:uid="{24C20FDD-71E7-473D-8CA4-7261426F16BD}"/>
    <cellStyle name="Migliaia [0] 43 3 4 4" xfId="50342" xr:uid="{02DD3D0F-8E42-45F6-8A28-42B700EDD240}"/>
    <cellStyle name="Migliaia [0] 43 3 4 5" xfId="53358" xr:uid="{8BC81AAF-5355-4D25-B550-A5E8F63CF9B3}"/>
    <cellStyle name="Migliaia [0] 43 3 4 6" xfId="10692" xr:uid="{97943FA1-222A-4D82-A268-EE0CF9FC9706}"/>
    <cellStyle name="Migliaia [0] 43 3 5" xfId="19685" xr:uid="{2274AA76-DA87-4D6A-8A4C-C4BC19AC61F4}"/>
    <cellStyle name="Migliaia [0] 43 3 6" xfId="24104" xr:uid="{C480D80F-D6BF-4543-A126-D2553DE66ED5}"/>
    <cellStyle name="Migliaia [0] 43 3 7" xfId="8221" xr:uid="{76C7796E-0E3C-42E9-803A-C36B9059D9E0}"/>
    <cellStyle name="Migliaia [0] 43 4" xfId="3007" xr:uid="{B8ABF366-877C-4F95-9482-95E802883843}"/>
    <cellStyle name="Migliaia [0] 43 4 2" xfId="4733" xr:uid="{F6B7CB94-9F97-4476-906E-59A2FEBD2705}"/>
    <cellStyle name="Migliaia [0] 43 4 2 2" xfId="35106" xr:uid="{B7F4F3AC-7C35-4955-80B4-F8E070510BF1}"/>
    <cellStyle name="Migliaia [0] 43 4 2 2 2" xfId="40264" xr:uid="{CBD3E59D-F79B-445C-9B30-31690BB6CB87}"/>
    <cellStyle name="Migliaia [0] 43 4 2 2 3" xfId="45566" xr:uid="{3E663974-15C5-4431-A10E-39D0B69B3058}"/>
    <cellStyle name="Migliaia [0] 43 4 2 3" xfId="37613" xr:uid="{C0E4AEEC-6803-4BD0-8DA7-6C7A8B329765}"/>
    <cellStyle name="Migliaia [0] 43 4 2 4" xfId="42915" xr:uid="{BE97DA24-29AE-4F76-A375-5AF553D729F1}"/>
    <cellStyle name="Migliaia [0] 43 4 2 5" xfId="17046" xr:uid="{6907FD2B-1F91-4E25-8F7D-02383EB5E0F3}"/>
    <cellStyle name="Migliaia [0] 43 4 3" xfId="5977" xr:uid="{232535AA-35DF-4C54-BF16-83225B56AD1F}"/>
    <cellStyle name="Migliaia [0] 43 4 3 2" xfId="38266" xr:uid="{39BE9BE7-4F6E-45EE-9314-B45C9A2EA7C9}"/>
    <cellStyle name="Migliaia [0] 43 4 3 3" xfId="43568" xr:uid="{DF8077DC-6BFF-4991-86A0-B574EBB79E47}"/>
    <cellStyle name="Migliaia [0] 43 4 3 4" xfId="32915" xr:uid="{DD3CCEFD-9FC5-431B-BF76-A725BDA27C7B}"/>
    <cellStyle name="Migliaia [0] 43 4 3 5" xfId="19686" xr:uid="{44BF444E-083C-499F-82B8-1EDF02716BEC}"/>
    <cellStyle name="Migliaia [0] 43 4 4" xfId="35801" xr:uid="{EBD13AE1-D57E-42BA-B87B-53CB4453EC71}"/>
    <cellStyle name="Migliaia [0] 43 4 5" xfId="40917" xr:uid="{92967EA4-F713-4AA3-AEC0-980B87DA6FFC}"/>
    <cellStyle name="Migliaia [0] 43 4 6" xfId="15988" xr:uid="{BDFE5F02-4A54-4F1D-BA16-F9A8E88D2CCA}"/>
    <cellStyle name="Migliaia [0] 43 4 7" xfId="7801" xr:uid="{D55728A6-CE76-44D1-BFA8-216AC820FA6F}"/>
    <cellStyle name="Migliaia [0] 43 5" xfId="4729" xr:uid="{0C08CDA1-9DCC-4C62-A9B3-FC8AE539BC42}"/>
    <cellStyle name="Migliaia [0] 43 5 2" xfId="32916" xr:uid="{7DCF2EE3-BA66-4797-942B-9B39D1C8EEAA}"/>
    <cellStyle name="Migliaia [0] 43 5 2 2" xfId="38267" xr:uid="{004C9230-378D-46A7-9CB2-8EAA594EFE00}"/>
    <cellStyle name="Migliaia [0] 43 5 2 3" xfId="43569" xr:uid="{B7D4F0EB-6C8C-4522-B8C5-D48249450117}"/>
    <cellStyle name="Migliaia [0] 43 5 3" xfId="35802" xr:uid="{271F827E-100A-4C6B-BED3-1315D622AC12}"/>
    <cellStyle name="Migliaia [0] 43 5 4" xfId="40918" xr:uid="{8C69FBB7-1340-4BE2-9A1D-C9A8F0C244A0}"/>
    <cellStyle name="Migliaia [0] 43 5 5" xfId="17115" xr:uid="{041B3F57-4CA2-4FAF-9082-ABA30BFAF7D8}"/>
    <cellStyle name="Migliaia [0] 43 6" xfId="5974" xr:uid="{ECE68018-24DA-472B-8C1A-F5C9B8C2710A}"/>
    <cellStyle name="Migliaia [0] 43 6 2" xfId="38263" xr:uid="{8884DED3-4A83-4385-8F89-A99A29A47994}"/>
    <cellStyle name="Migliaia [0] 43 6 3" xfId="43565" xr:uid="{5D0266A8-F5F0-44A4-BBF6-3AC00C87C499}"/>
    <cellStyle name="Migliaia [0] 43 6 4" xfId="32912" xr:uid="{8891BEB0-0CFA-4C31-B7DA-5D1B86306177}"/>
    <cellStyle name="Migliaia [0] 43 6 5" xfId="19682" xr:uid="{2C7473EC-B323-4A55-91F6-93486ACD2594}"/>
    <cellStyle name="Migliaia [0] 43 7" xfId="3003" xr:uid="{7DABDD17-45ED-4E0D-881D-6B9954C2E143}"/>
    <cellStyle name="Migliaia [0] 43 7 2" xfId="35798" xr:uid="{3DDA4379-AA73-46DF-962E-2D8AFBF437BA}"/>
    <cellStyle name="Migliaia [0] 43 8" xfId="40914" xr:uid="{D5B1AE40-6E15-4E0C-BF47-3730C8DE66E1}"/>
    <cellStyle name="Migliaia [0] 43 9" xfId="7022" xr:uid="{19037EE0-BBBF-40CC-ABDF-BE6380023AD3}"/>
    <cellStyle name="Migliaia [0] 44" xfId="280" xr:uid="{00000000-0005-0000-0000-00006D020000}"/>
    <cellStyle name="Migliaia [0] 44 2" xfId="1595" xr:uid="{00000000-0005-0000-0000-00006E020000}"/>
    <cellStyle name="Migliaia [0] 44 2 2" xfId="1596" xr:uid="{00000000-0005-0000-0000-00006F020000}"/>
    <cellStyle name="Migliaia [0] 44 2 2 2" xfId="4736" xr:uid="{2BDA5DCA-F418-4067-9D65-90484E2680E4}"/>
    <cellStyle name="Migliaia [0] 44 2 2 2 2" xfId="21796" xr:uid="{ADACD2C6-E2A2-4F3E-8F15-530185327FCA}"/>
    <cellStyle name="Migliaia [0] 44 2 2 2 3" xfId="24226" xr:uid="{2B8E84EB-5739-4F73-B325-C3418E65B489}"/>
    <cellStyle name="Migliaia [0] 44 2 2 2 4" xfId="50824" xr:uid="{7CCD7018-92B2-4403-8671-8F40D394BBFC}"/>
    <cellStyle name="Migliaia [0] 44 2 2 2 5" xfId="53840" xr:uid="{79E46CAB-B454-49ED-9B69-17792A80EC6C}"/>
    <cellStyle name="Migliaia [0] 44 2 2 2 6" xfId="11824" xr:uid="{28C279A3-D1C8-4224-A2A3-FFE944ACD938}"/>
    <cellStyle name="Migliaia [0] 44 2 2 3" xfId="3010" xr:uid="{DDC972D2-1B48-41A1-9A39-5F08BF63BA1F}"/>
    <cellStyle name="Migliaia [0] 44 2 2 3 2" xfId="12181" xr:uid="{0B04ABCB-2CC2-4273-B895-5F36900BE0B1}"/>
    <cellStyle name="Migliaia [0] 44 2 2 4" xfId="10693" xr:uid="{066FEB4B-7D53-4245-8425-028F80FBF37E}"/>
    <cellStyle name="Migliaia [0] 44 2 2 4 2" xfId="21328" xr:uid="{29D505E9-90E5-455D-B2A1-3D2227633631}"/>
    <cellStyle name="Migliaia [0] 44 2 2 4 3" xfId="47362" xr:uid="{BFD74B56-B705-4BDE-881E-A960BACDD976}"/>
    <cellStyle name="Migliaia [0] 44 2 2 4 4" xfId="50343" xr:uid="{5BBF5C3C-CCD9-4B13-A27B-7F04DEC0B2CA}"/>
    <cellStyle name="Migliaia [0] 44 2 2 4 5" xfId="53359" xr:uid="{D3172EE8-0782-47B1-8038-7B22FFCE2166}"/>
    <cellStyle name="Migliaia [0] 44 2 2 5" xfId="19689" xr:uid="{BBF7DD23-30C1-4EB6-BD9E-52A3195423A2}"/>
    <cellStyle name="Migliaia [0] 44 2 2 6" xfId="24106" xr:uid="{96ED7783-C4DF-42D9-91F0-00D6AE659E05}"/>
    <cellStyle name="Migliaia [0] 44 2 2 7" xfId="48858" xr:uid="{10077F54-00E2-4BDA-A6BF-892B2B79413F}"/>
    <cellStyle name="Migliaia [0] 44 2 2 8" xfId="49764" xr:uid="{A4FE8C6D-1B7C-4456-A560-D6B06493D706}"/>
    <cellStyle name="Migliaia [0] 44 2 2 9" xfId="8464" xr:uid="{C8E43335-237E-427E-AFA9-B4ECF7350F42}"/>
    <cellStyle name="Migliaia [0] 44 2 3" xfId="4735" xr:uid="{806605C9-7B7D-4356-A835-E15FC738A0B4}"/>
    <cellStyle name="Migliaia [0] 44 2 3 2" xfId="32918" xr:uid="{1AD1BDDA-8368-4754-8363-FA3095546422}"/>
    <cellStyle name="Migliaia [0] 44 2 3 2 2" xfId="38269" xr:uid="{4D85E941-91F6-4168-81CA-B5FA21B1FAA5}"/>
    <cellStyle name="Migliaia [0] 44 2 3 2 3" xfId="43571" xr:uid="{53FA4175-EA2E-4723-AEF1-444DFBFC48AA}"/>
    <cellStyle name="Migliaia [0] 44 2 3 3" xfId="35804" xr:uid="{1137E3F6-A413-4128-AF0B-CF5690EF0300}"/>
    <cellStyle name="Migliaia [0] 44 2 3 4" xfId="40920" xr:uid="{ABDCDA21-544C-465B-99CE-C538A8972BF5}"/>
    <cellStyle name="Migliaia [0] 44 2 3 5" xfId="11825" xr:uid="{1A47E059-770E-40D1-B084-434979CA72AB}"/>
    <cellStyle name="Migliaia [0] 44 2 4" xfId="5979" xr:uid="{59EFC19B-CFF2-4E5A-A432-D3A8417E2135}"/>
    <cellStyle name="Migliaia [0] 44 2 4 2" xfId="19688" xr:uid="{BFFD0AF9-3148-4091-BD18-ADA0D4ADE06D}"/>
    <cellStyle name="Migliaia [0] 44 2 5" xfId="3009" xr:uid="{95E04E5C-BB5B-46D8-BFC4-80C69A9DAE5C}"/>
    <cellStyle name="Migliaia [0] 44 2 5 2" xfId="24105" xr:uid="{6C170F4F-91B1-4060-A4F6-0555D013AE5A}"/>
    <cellStyle name="Migliaia [0] 44 2 6" xfId="7274" xr:uid="{5B11F2DA-1A18-4C2C-AD1D-E9B6007F199D}"/>
    <cellStyle name="Migliaia [0] 44 3" xfId="1597" xr:uid="{00000000-0005-0000-0000-000070020000}"/>
    <cellStyle name="Migliaia [0] 44 3 2" xfId="4737" xr:uid="{C1300508-25CB-4478-9CE6-A54FC7911D69}"/>
    <cellStyle name="Migliaia [0] 44 3 2 2" xfId="18339" xr:uid="{62C98153-2A9E-4883-8E00-D8A930C952D6}"/>
    <cellStyle name="Migliaia [0] 44 3 2 2 2" xfId="21797" xr:uid="{465D764E-1652-45BC-BBB9-BD6B09A64A73}"/>
    <cellStyle name="Migliaia [0] 44 3 2 2 2 2" xfId="38270" xr:uid="{AE46CF47-27CB-4CA3-98AA-BD40FE5E7123}"/>
    <cellStyle name="Migliaia [0] 44 3 2 2 3" xfId="43572" xr:uid="{D1C66AFA-4945-4759-B684-83ED3C46493A}"/>
    <cellStyle name="Migliaia [0] 44 3 2 2 4" xfId="32919" xr:uid="{7C4B1D6E-F520-4BC4-BC82-14EE82559C41}"/>
    <cellStyle name="Migliaia [0] 44 3 2 3" xfId="35805" xr:uid="{B115B5C3-D631-4387-BD53-717E0170EA80}"/>
    <cellStyle name="Migliaia [0] 44 3 2 4" xfId="40921" xr:uid="{74DA0892-1A1B-4244-B867-1B089473FF22}"/>
    <cellStyle name="Migliaia [0] 44 3 2 5" xfId="47010" xr:uid="{4F40A2D2-1F57-471F-B9DD-5F394BFEB1B6}"/>
    <cellStyle name="Migliaia [0] 44 3 2 6" xfId="50825" xr:uid="{9D70BEA0-E2C9-47D3-B6AE-8EC81065898C}"/>
    <cellStyle name="Migliaia [0] 44 3 2 7" xfId="53841" xr:uid="{C6CFACA0-F318-4DDF-9B4D-CB84061B32CF}"/>
    <cellStyle name="Migliaia [0] 44 3 2 8" xfId="17615" xr:uid="{B701936C-F8ED-4642-8DD3-576C1265079F}"/>
    <cellStyle name="Migliaia [0] 44 3 2 9" xfId="11826" xr:uid="{45E92971-FCCE-46C1-B88E-A2C97A6795C1}"/>
    <cellStyle name="Migliaia [0] 44 3 3" xfId="5980" xr:uid="{B3A9DEA3-055E-49AD-92FE-5ADA617F3188}"/>
    <cellStyle name="Migliaia [0] 44 3 3 2" xfId="12188" xr:uid="{C49E328B-0B48-40DD-881F-BFC3C872B9A1}"/>
    <cellStyle name="Migliaia [0] 44 3 4" xfId="3011" xr:uid="{D094741B-D001-4657-9388-3FB5253DB83C}"/>
    <cellStyle name="Migliaia [0] 44 3 4 2" xfId="21329" xr:uid="{4A0D5375-AEA1-496D-9DAD-65F9B9D5E5F1}"/>
    <cellStyle name="Migliaia [0] 44 3 4 3" xfId="46184" xr:uid="{6A2D6FF1-695B-4048-B7DE-AD6E52354920}"/>
    <cellStyle name="Migliaia [0] 44 3 4 4" xfId="50344" xr:uid="{6BEFE2C2-7022-4B1E-8DF2-AD2CBBD88994}"/>
    <cellStyle name="Migliaia [0] 44 3 4 5" xfId="53360" xr:uid="{55CE72D2-D781-4671-BF72-1AF4DD8C4B84}"/>
    <cellStyle name="Migliaia [0] 44 3 4 6" xfId="10694" xr:uid="{E1E32D52-7420-42C2-8054-6665F4A03A73}"/>
    <cellStyle name="Migliaia [0] 44 3 5" xfId="19690" xr:uid="{86989488-A14D-40F6-83D8-308529A7357D}"/>
    <cellStyle name="Migliaia [0] 44 3 6" xfId="24107" xr:uid="{6772B074-BEA4-4770-89FA-C5EFF6F2EDA3}"/>
    <cellStyle name="Migliaia [0] 44 3 7" xfId="8222" xr:uid="{FACCBAB0-9B26-4FCB-A02A-CA720B65D2EE}"/>
    <cellStyle name="Migliaia [0] 44 4" xfId="3012" xr:uid="{ACAA4913-E25F-4F83-A980-F3D8CF6D86FF}"/>
    <cellStyle name="Migliaia [0] 44 4 2" xfId="4738" xr:uid="{A7475D7A-AF49-47FA-9918-C28B93F0340E}"/>
    <cellStyle name="Migliaia [0] 44 4 2 2" xfId="35107" xr:uid="{F8DA0A11-C9B4-4CF5-B2D8-FA06C6424849}"/>
    <cellStyle name="Migliaia [0] 44 4 2 2 2" xfId="40265" xr:uid="{DCE4E4BA-B6A3-42D3-AA13-0636694D1D80}"/>
    <cellStyle name="Migliaia [0] 44 4 2 2 3" xfId="45567" xr:uid="{E0A61AF2-29FC-4F82-82D9-20A5E279D114}"/>
    <cellStyle name="Migliaia [0] 44 4 2 3" xfId="37614" xr:uid="{508A6703-764F-4671-9959-42FCA6358009}"/>
    <cellStyle name="Migliaia [0] 44 4 2 4" xfId="42916" xr:uid="{C69B827A-E977-4F90-8822-6B4A17E18DE9}"/>
    <cellStyle name="Migliaia [0] 44 4 2 5" xfId="17047" xr:uid="{29A5C7A2-611A-4917-A16D-CFE04AC645BF}"/>
    <cellStyle name="Migliaia [0] 44 4 3" xfId="5981" xr:uid="{EC755725-9159-445B-917E-D2F63FB45E38}"/>
    <cellStyle name="Migliaia [0] 44 4 3 2" xfId="38271" xr:uid="{835CCFB6-8764-432E-9436-B9E9E46E529C}"/>
    <cellStyle name="Migliaia [0] 44 4 3 3" xfId="43573" xr:uid="{1982AD93-949B-4639-807F-94133AED8A08}"/>
    <cellStyle name="Migliaia [0] 44 4 3 4" xfId="32920" xr:uid="{47D95A75-E949-4AD1-AFE5-CEC4F590B34E}"/>
    <cellStyle name="Migliaia [0] 44 4 3 5" xfId="19691" xr:uid="{5A62C70A-0758-4720-B797-A50E7A1D9DD1}"/>
    <cellStyle name="Migliaia [0] 44 4 4" xfId="35806" xr:uid="{E1715420-961C-4DC5-A24F-D3781D62E3C7}"/>
    <cellStyle name="Migliaia [0] 44 4 5" xfId="40922" xr:uid="{4AD85D5E-55BB-4DAE-A9AE-2DD42DE5630F}"/>
    <cellStyle name="Migliaia [0] 44 4 6" xfId="15989" xr:uid="{99AD75F0-5EF8-4455-9D26-FB6CBB6B9849}"/>
    <cellStyle name="Migliaia [0] 44 4 7" xfId="7802" xr:uid="{712F2E35-2F41-48E6-899A-64F1FF2B1531}"/>
    <cellStyle name="Migliaia [0] 44 5" xfId="4734" xr:uid="{27B32F46-751F-4DDB-B9C0-23C00BD74279}"/>
    <cellStyle name="Migliaia [0] 44 5 2" xfId="32921" xr:uid="{AF183842-C2DA-4D22-84C6-4F929115EBEF}"/>
    <cellStyle name="Migliaia [0] 44 5 2 2" xfId="38272" xr:uid="{D60EB3FE-1AA5-4C66-92F1-5A7C9AE3AD5C}"/>
    <cellStyle name="Migliaia [0] 44 5 2 3" xfId="43574" xr:uid="{EAD65C27-5D91-43A4-A114-9E6114CC8818}"/>
    <cellStyle name="Migliaia [0] 44 5 3" xfId="35807" xr:uid="{AA55369F-AA19-44CD-A51C-80857F1E4E14}"/>
    <cellStyle name="Migliaia [0] 44 5 4" xfId="40923" xr:uid="{62AAF898-CC3C-4E3A-99B3-7114D1499A20}"/>
    <cellStyle name="Migliaia [0] 44 5 5" xfId="17116" xr:uid="{87FEA2D5-9DD9-498F-98DA-DCD603AB7CD9}"/>
    <cellStyle name="Migliaia [0] 44 6" xfId="5978" xr:uid="{A93D00CD-7F32-445D-82E0-D4E4A755EB5E}"/>
    <cellStyle name="Migliaia [0] 44 6 2" xfId="38268" xr:uid="{1175F3DA-E31A-40BF-B188-A7B676E3E1D2}"/>
    <cellStyle name="Migliaia [0] 44 6 3" xfId="43570" xr:uid="{79E73F29-E989-49C6-95E2-88AD9AA990AF}"/>
    <cellStyle name="Migliaia [0] 44 6 4" xfId="32917" xr:uid="{EA8CCFC0-1863-49B1-A65D-B886A66A0BB5}"/>
    <cellStyle name="Migliaia [0] 44 6 5" xfId="19687" xr:uid="{E40FCD49-F6D4-421D-972B-3C7DF737C72A}"/>
    <cellStyle name="Migliaia [0] 44 7" xfId="3008" xr:uid="{16EEF622-FDA7-44B6-86E0-CD52C5F4B29E}"/>
    <cellStyle name="Migliaia [0] 44 7 2" xfId="35803" xr:uid="{3B177FBF-D7A3-4EFF-A691-EE81EC9CBD4E}"/>
    <cellStyle name="Migliaia [0] 44 8" xfId="40919" xr:uid="{80AC8789-A48B-4DCA-9AC2-1229B78F73AA}"/>
    <cellStyle name="Migliaia [0] 44 9" xfId="7023" xr:uid="{EAC5A720-6A3A-454B-A6F5-521E198EC385}"/>
    <cellStyle name="Migliaia [0] 45" xfId="281" xr:uid="{00000000-0005-0000-0000-000071020000}"/>
    <cellStyle name="Migliaia [0] 45 2" xfId="1598" xr:uid="{00000000-0005-0000-0000-000072020000}"/>
    <cellStyle name="Migliaia [0] 45 2 2" xfId="1599" xr:uid="{00000000-0005-0000-0000-000073020000}"/>
    <cellStyle name="Migliaia [0] 45 2 2 2" xfId="4741" xr:uid="{2B9BC03F-5C64-42C3-8ADF-E3BF653F5333}"/>
    <cellStyle name="Migliaia [0] 45 2 2 2 2" xfId="21798" xr:uid="{2D56A70B-8A74-45CD-B001-5A7110019BA4}"/>
    <cellStyle name="Migliaia [0] 45 2 2 2 3" xfId="24491" xr:uid="{140F6428-8FAF-4DBD-A0DF-8C8E2AA43209}"/>
    <cellStyle name="Migliaia [0] 45 2 2 2 4" xfId="50826" xr:uid="{0013B58A-D42A-4A2E-B102-58695957A054}"/>
    <cellStyle name="Migliaia [0] 45 2 2 2 5" xfId="53842" xr:uid="{A69CF974-45AB-434D-9902-0B7D7B6AA594}"/>
    <cellStyle name="Migliaia [0] 45 2 2 2 6" xfId="11827" xr:uid="{B9DB7E2A-FCAF-4A3F-A3F1-BA0D1DEC847B}"/>
    <cellStyle name="Migliaia [0] 45 2 2 3" xfId="3015" xr:uid="{9D3DBA6E-1AB6-4ADF-880C-265C5DA5BADF}"/>
    <cellStyle name="Migliaia [0] 45 2 2 3 2" xfId="11134" xr:uid="{FD3D04AD-8EA8-4B2F-81E3-3CA33D3B84DC}"/>
    <cellStyle name="Migliaia [0] 45 2 2 4" xfId="10695" xr:uid="{B4E5CDF0-C991-44F6-A2E3-6DC394392B67}"/>
    <cellStyle name="Migliaia [0] 45 2 2 4 2" xfId="21330" xr:uid="{BE4260B5-A729-4C78-B1A4-2334A3F88FDB}"/>
    <cellStyle name="Migliaia [0] 45 2 2 4 3" xfId="47892" xr:uid="{021B8B97-1946-4A14-9962-7524FB58920F}"/>
    <cellStyle name="Migliaia [0] 45 2 2 4 4" xfId="50345" xr:uid="{46B1E715-B661-4C60-B7F6-001F34D95B40}"/>
    <cellStyle name="Migliaia [0] 45 2 2 4 5" xfId="53361" xr:uid="{38728123-12ED-4375-B29C-DE15AE1C073E}"/>
    <cellStyle name="Migliaia [0] 45 2 2 5" xfId="19694" xr:uid="{A2A76F90-BF03-400C-888E-8548ADB23AA8}"/>
    <cellStyle name="Migliaia [0] 45 2 2 6" xfId="24109" xr:uid="{CFA5DF51-D5A4-4330-94A5-1B5670EEB1AC}"/>
    <cellStyle name="Migliaia [0] 45 2 2 7" xfId="48859" xr:uid="{5981C7D5-CE40-4F85-A611-E4548B9D2C6D}"/>
    <cellStyle name="Migliaia [0] 45 2 2 8" xfId="49765" xr:uid="{FE1767C6-AC1F-4DC2-8AC1-121C686627E7}"/>
    <cellStyle name="Migliaia [0] 45 2 2 9" xfId="8465" xr:uid="{85191C78-40DA-416B-BCD2-1E4706806A41}"/>
    <cellStyle name="Migliaia [0] 45 2 3" xfId="4740" xr:uid="{3ED02E97-F2F6-426C-AE69-256D9843C76B}"/>
    <cellStyle name="Migliaia [0] 45 2 3 2" xfId="32923" xr:uid="{A84D593D-E5CC-4047-9665-D32CA5CDF8BA}"/>
    <cellStyle name="Migliaia [0] 45 2 3 2 2" xfId="38274" xr:uid="{EF74E3AE-E6EB-4B17-8C39-7D48EDE2A87C}"/>
    <cellStyle name="Migliaia [0] 45 2 3 2 3" xfId="43576" xr:uid="{2EC795A2-826F-4602-B34D-A079FB2DC40F}"/>
    <cellStyle name="Migliaia [0] 45 2 3 3" xfId="35809" xr:uid="{22A57C6E-8F98-4E90-94BB-C56BBA882AA8}"/>
    <cellStyle name="Migliaia [0] 45 2 3 4" xfId="40925" xr:uid="{9A65EBEA-5D93-4B4F-8A55-7490D9E1E67D}"/>
    <cellStyle name="Migliaia [0] 45 2 3 5" xfId="11828" xr:uid="{6D2FB569-96D4-41DD-B596-E3F377886099}"/>
    <cellStyle name="Migliaia [0] 45 2 4" xfId="5983" xr:uid="{11EACD2A-2469-41AD-87BB-68F5CA71A613}"/>
    <cellStyle name="Migliaia [0] 45 2 4 2" xfId="19693" xr:uid="{107779A3-2C05-4AF5-8FC2-7DA605478615}"/>
    <cellStyle name="Migliaia [0] 45 2 5" xfId="3014" xr:uid="{EC87042B-7706-4147-AE6D-DD2FBAA2983C}"/>
    <cellStyle name="Migliaia [0] 45 2 5 2" xfId="24108" xr:uid="{E28B7D47-0F63-4F45-B519-2EED61E5EC94}"/>
    <cellStyle name="Migliaia [0] 45 2 6" xfId="7275" xr:uid="{71F3167D-A1DB-47B0-9978-34380641BDA0}"/>
    <cellStyle name="Migliaia [0] 45 3" xfId="1600" xr:uid="{00000000-0005-0000-0000-000074020000}"/>
    <cellStyle name="Migliaia [0] 45 3 2" xfId="4742" xr:uid="{ECCAB311-E634-446F-90C5-B34133EB8BEA}"/>
    <cellStyle name="Migliaia [0] 45 3 2 2" xfId="18340" xr:uid="{3C5E57EF-7CAE-4A83-94F4-2C6E7E9CFC9B}"/>
    <cellStyle name="Migliaia [0] 45 3 2 2 2" xfId="21799" xr:uid="{5890E816-C3FA-416E-BFB9-CE9D720C192B}"/>
    <cellStyle name="Migliaia [0] 45 3 2 2 2 2" xfId="38275" xr:uid="{C482BE4A-DF50-42DF-9D2B-B20617505631}"/>
    <cellStyle name="Migliaia [0] 45 3 2 2 3" xfId="43577" xr:uid="{5E276F1C-0AC4-4FF0-9986-B55A34A42BFA}"/>
    <cellStyle name="Migliaia [0] 45 3 2 2 4" xfId="32924" xr:uid="{2AF519B1-190C-4750-BDCC-87C3746B6198}"/>
    <cellStyle name="Migliaia [0] 45 3 2 3" xfId="35810" xr:uid="{BCF1B91F-5CA3-42D9-AD93-3B77E2C464D3}"/>
    <cellStyle name="Migliaia [0] 45 3 2 4" xfId="40926" xr:uid="{1EC22EA9-82C2-44FF-9B24-C03C003066F3}"/>
    <cellStyle name="Migliaia [0] 45 3 2 5" xfId="48332" xr:uid="{7A2E7955-55A1-4EE9-A74A-8FC862BCAE95}"/>
    <cellStyle name="Migliaia [0] 45 3 2 6" xfId="50827" xr:uid="{F952EA85-C3C3-4D66-81EB-56866C09213F}"/>
    <cellStyle name="Migliaia [0] 45 3 2 7" xfId="53843" xr:uid="{755E8C99-7022-403F-B323-BB8B6CF42BA5}"/>
    <cellStyle name="Migliaia [0] 45 3 2 8" xfId="17616" xr:uid="{91787E10-696E-4586-BA52-E197C110A9D3}"/>
    <cellStyle name="Migliaia [0] 45 3 2 9" xfId="11829" xr:uid="{CAE08639-8A26-44D0-99C8-99428BEA498A}"/>
    <cellStyle name="Migliaia [0] 45 3 3" xfId="5984" xr:uid="{8B17E855-9881-45AF-9D2C-B28920935627}"/>
    <cellStyle name="Migliaia [0] 45 3 3 2" xfId="11548" xr:uid="{907FE471-89D2-46DE-BCDE-414DD4BBB426}"/>
    <cellStyle name="Migliaia [0] 45 3 4" xfId="3016" xr:uid="{65F986BA-FFDA-48F1-9934-EBBB713CA2C5}"/>
    <cellStyle name="Migliaia [0] 45 3 4 2" xfId="21331" xr:uid="{B7A7D1A5-EF85-424C-BF6F-BD2D316380E2}"/>
    <cellStyle name="Migliaia [0] 45 3 4 3" xfId="48169" xr:uid="{4ADC6A2D-541E-433A-9B5C-80394F90732E}"/>
    <cellStyle name="Migliaia [0] 45 3 4 4" xfId="50346" xr:uid="{360CC7A7-CBD6-4709-886B-A0FAF6C615F6}"/>
    <cellStyle name="Migliaia [0] 45 3 4 5" xfId="53362" xr:uid="{6BC4FE14-A74C-4577-BAF8-AE4C846C5663}"/>
    <cellStyle name="Migliaia [0] 45 3 4 6" xfId="10696" xr:uid="{FA109459-EAFA-4A33-A777-2401008416F6}"/>
    <cellStyle name="Migliaia [0] 45 3 5" xfId="19695" xr:uid="{6507D50D-EC3C-4233-8879-63F221AD3933}"/>
    <cellStyle name="Migliaia [0] 45 3 6" xfId="24110" xr:uid="{AB2A7CC3-7406-4F5B-807C-C29FB5D9AD7D}"/>
    <cellStyle name="Migliaia [0] 45 3 7" xfId="8223" xr:uid="{C5D7A1B1-5A26-40A1-AA59-CA5098CD0813}"/>
    <cellStyle name="Migliaia [0] 45 4" xfId="3017" xr:uid="{217A928D-6633-4DA2-BBB4-0F8F676D0367}"/>
    <cellStyle name="Migliaia [0] 45 4 2" xfId="4743" xr:uid="{6A155E66-6988-4B49-BAAC-F1C10BFCEB13}"/>
    <cellStyle name="Migliaia [0] 45 4 2 2" xfId="35108" xr:uid="{EFC286AD-B633-4806-8228-6AED1B52660C}"/>
    <cellStyle name="Migliaia [0] 45 4 2 2 2" xfId="40266" xr:uid="{2BE50E1C-BD4A-4B2B-B494-384D8AA76C71}"/>
    <cellStyle name="Migliaia [0] 45 4 2 2 3" xfId="45568" xr:uid="{0FD65C4B-0BC6-44F8-9BFA-F91C1A94661A}"/>
    <cellStyle name="Migliaia [0] 45 4 2 3" xfId="37615" xr:uid="{2415122A-B193-4D1C-BA04-19283995D18D}"/>
    <cellStyle name="Migliaia [0] 45 4 2 4" xfId="42917" xr:uid="{2379F62E-A8C3-4685-BB1F-865E510DEF40}"/>
    <cellStyle name="Migliaia [0] 45 4 2 5" xfId="17048" xr:uid="{7332C107-3C55-4A7A-A4EB-11974FC0CBC5}"/>
    <cellStyle name="Migliaia [0] 45 4 3" xfId="5985" xr:uid="{453D02FA-D640-434B-B9D2-E03C7E7D2FDC}"/>
    <cellStyle name="Migliaia [0] 45 4 3 2" xfId="38276" xr:uid="{BF8A3AFA-17AA-429A-B73F-F2BB70CA2A32}"/>
    <cellStyle name="Migliaia [0] 45 4 3 3" xfId="43578" xr:uid="{631EA9D0-E3E5-49DF-BEF7-C484F796D39E}"/>
    <cellStyle name="Migliaia [0] 45 4 3 4" xfId="32925" xr:uid="{1D940DA0-63C4-4A1D-92EB-095FB3A25B08}"/>
    <cellStyle name="Migliaia [0] 45 4 3 5" xfId="19696" xr:uid="{830E4EDD-C0A9-4F76-8CC9-CB16F6A4B8A4}"/>
    <cellStyle name="Migliaia [0] 45 4 4" xfId="35811" xr:uid="{01632FDF-974D-48BA-BBC0-6821E4611071}"/>
    <cellStyle name="Migliaia [0] 45 4 5" xfId="40927" xr:uid="{F59B541D-6BC6-492F-842B-240CFE3C7580}"/>
    <cellStyle name="Migliaia [0] 45 4 6" xfId="15990" xr:uid="{1206369D-967D-4455-87E5-C18DCFEE2326}"/>
    <cellStyle name="Migliaia [0] 45 4 7" xfId="7803" xr:uid="{E10556C6-9875-44B1-8A75-D422B412B84A}"/>
    <cellStyle name="Migliaia [0] 45 5" xfId="4739" xr:uid="{942CF0F0-8629-4A2C-9782-6A35286B5348}"/>
    <cellStyle name="Migliaia [0] 45 5 2" xfId="32926" xr:uid="{68A48C44-4102-4204-A794-13764B962C90}"/>
    <cellStyle name="Migliaia [0] 45 5 2 2" xfId="38277" xr:uid="{CE701619-F75F-4CDC-8EE6-E73BCB1D41BF}"/>
    <cellStyle name="Migliaia [0] 45 5 2 3" xfId="43579" xr:uid="{53B1C85B-54BA-4BC2-9AA3-04E215D9ED5B}"/>
    <cellStyle name="Migliaia [0] 45 5 3" xfId="35812" xr:uid="{44BCC316-4535-416F-91E8-F4D548D226B7}"/>
    <cellStyle name="Migliaia [0] 45 5 4" xfId="40928" xr:uid="{98C86CD8-C65C-4538-8A44-305204AE87A6}"/>
    <cellStyle name="Migliaia [0] 45 5 5" xfId="17117" xr:uid="{0BFBA2DC-B454-4E28-9006-723D9D812DCB}"/>
    <cellStyle name="Migliaia [0] 45 6" xfId="5982" xr:uid="{B906DD77-E567-4C94-8606-463CAB5B59EF}"/>
    <cellStyle name="Migliaia [0] 45 6 2" xfId="38273" xr:uid="{C7490662-E49C-4062-961D-89C40513F41D}"/>
    <cellStyle name="Migliaia [0] 45 6 3" xfId="43575" xr:uid="{33EEA89E-D919-4F2C-84D1-D150CD14767C}"/>
    <cellStyle name="Migliaia [0] 45 6 4" xfId="32922" xr:uid="{188806AE-D9DB-4FF5-9B57-DF280EB68862}"/>
    <cellStyle name="Migliaia [0] 45 6 5" xfId="19692" xr:uid="{B210EFBE-3219-4E6C-A73C-62D11CCDA3DD}"/>
    <cellStyle name="Migliaia [0] 45 7" xfId="3013" xr:uid="{7AB7EE48-3AC1-4058-A25D-CACB64A61283}"/>
    <cellStyle name="Migliaia [0] 45 7 2" xfId="35808" xr:uid="{35732365-5D81-4EAD-8E6C-7E70412E75E2}"/>
    <cellStyle name="Migliaia [0] 45 8" xfId="40924" xr:uid="{32353ED7-13D5-444D-98C7-355DB518F8E7}"/>
    <cellStyle name="Migliaia [0] 45 9" xfId="7024" xr:uid="{8F0144FC-3303-43F0-85D6-E4DCFF3263F1}"/>
    <cellStyle name="Migliaia [0] 46" xfId="282" xr:uid="{00000000-0005-0000-0000-000075020000}"/>
    <cellStyle name="Migliaia [0] 46 2" xfId="1601" xr:uid="{00000000-0005-0000-0000-000076020000}"/>
    <cellStyle name="Migliaia [0] 46 2 2" xfId="1602" xr:uid="{00000000-0005-0000-0000-000077020000}"/>
    <cellStyle name="Migliaia [0] 46 2 2 2" xfId="4746" xr:uid="{2DE913F7-AEAA-4682-9239-6B1CC7DC555B}"/>
    <cellStyle name="Migliaia [0] 46 2 2 2 2" xfId="21800" xr:uid="{950456F6-209F-4201-BA32-3CB808D58CD6}"/>
    <cellStyle name="Migliaia [0] 46 2 2 2 3" xfId="47075" xr:uid="{C104287A-3486-42C6-8974-E25AAF7739E8}"/>
    <cellStyle name="Migliaia [0] 46 2 2 2 4" xfId="50828" xr:uid="{6B493D91-A3BF-4EA7-B9D1-63BEF4F24235}"/>
    <cellStyle name="Migliaia [0] 46 2 2 2 5" xfId="53844" xr:uid="{F0EF7ED5-8978-4478-9B80-057572378AC1}"/>
    <cellStyle name="Migliaia [0] 46 2 2 2 6" xfId="11830" xr:uid="{7902FB60-1BE5-44A8-A899-427DCE9C519D}"/>
    <cellStyle name="Migliaia [0] 46 2 2 3" xfId="3020" xr:uid="{EDB0151E-E63E-4166-A4AC-50D7308FDC18}"/>
    <cellStyle name="Migliaia [0] 46 2 2 3 2" xfId="12334" xr:uid="{5A6E3BB4-B1B6-4FD0-890E-A9A81B010CF2}"/>
    <cellStyle name="Migliaia [0] 46 2 2 4" xfId="10697" xr:uid="{CCE104E3-E52E-4E54-A686-5DFABE49ED6F}"/>
    <cellStyle name="Migliaia [0] 46 2 2 4 2" xfId="21332" xr:uid="{5E195B55-F4C2-4EFA-9BE2-13AC7E3DEAFA}"/>
    <cellStyle name="Migliaia [0] 46 2 2 4 3" xfId="46185" xr:uid="{7A394AF8-4599-4533-8A17-675E8327960C}"/>
    <cellStyle name="Migliaia [0] 46 2 2 4 4" xfId="50347" xr:uid="{2FC5D08C-75FF-4D08-832C-5226A17C3F1B}"/>
    <cellStyle name="Migliaia [0] 46 2 2 4 5" xfId="53363" xr:uid="{A643BAA8-E71D-4414-BDC8-F49D11B0D943}"/>
    <cellStyle name="Migliaia [0] 46 2 2 5" xfId="19699" xr:uid="{052E26F9-7722-4498-A741-41E8ADD2991A}"/>
    <cellStyle name="Migliaia [0] 46 2 2 6" xfId="24112" xr:uid="{422012EA-B3EF-4875-BCDE-DFEB9ECF48F4}"/>
    <cellStyle name="Migliaia [0] 46 2 2 7" xfId="48860" xr:uid="{D857305C-4C51-4C32-8B66-CF08CA446C8F}"/>
    <cellStyle name="Migliaia [0] 46 2 2 8" xfId="49766" xr:uid="{F6989DBB-3025-40C1-B2A4-52748D045AF9}"/>
    <cellStyle name="Migliaia [0] 46 2 2 9" xfId="8466" xr:uid="{63ED0FC4-2BA7-4E53-AAA3-15DDA17B12A1}"/>
    <cellStyle name="Migliaia [0] 46 2 3" xfId="4745" xr:uid="{448BABE9-8069-4D39-8ED6-6557A147D58C}"/>
    <cellStyle name="Migliaia [0] 46 2 3 2" xfId="32928" xr:uid="{7174A90C-6718-4175-B900-2C09750EE302}"/>
    <cellStyle name="Migliaia [0] 46 2 3 2 2" xfId="38279" xr:uid="{ABB2BA3B-89C4-4D07-916B-BE45719108B8}"/>
    <cellStyle name="Migliaia [0] 46 2 3 2 3" xfId="43581" xr:uid="{14E04CA1-B791-4A86-B8D7-467BC05555BD}"/>
    <cellStyle name="Migliaia [0] 46 2 3 3" xfId="35814" xr:uid="{0E24E25A-686C-4DA0-A748-FECCC3DCCA13}"/>
    <cellStyle name="Migliaia [0] 46 2 3 4" xfId="40930" xr:uid="{69956F6D-E2B2-4A96-A7D9-FD8879115771}"/>
    <cellStyle name="Migliaia [0] 46 2 3 5" xfId="11831" xr:uid="{B8FA5BC9-6F65-4A48-BBF1-73B620AEBFE2}"/>
    <cellStyle name="Migliaia [0] 46 2 4" xfId="5987" xr:uid="{F06252DA-9D41-4DF4-ABAA-F28FE002D131}"/>
    <cellStyle name="Migliaia [0] 46 2 4 2" xfId="19698" xr:uid="{2316AB16-5DF1-4484-A7CE-8969BA77C3CB}"/>
    <cellStyle name="Migliaia [0] 46 2 5" xfId="3019" xr:uid="{8B3711D1-AB3C-4313-96B9-4714E95D6B03}"/>
    <cellStyle name="Migliaia [0] 46 2 5 2" xfId="24111" xr:uid="{9A717720-88CD-4B69-AF77-2ED3AB5B1F7C}"/>
    <cellStyle name="Migliaia [0] 46 2 6" xfId="7276" xr:uid="{55120FA3-900D-4001-92EC-316350FAC775}"/>
    <cellStyle name="Migliaia [0] 46 3" xfId="1603" xr:uid="{00000000-0005-0000-0000-000078020000}"/>
    <cellStyle name="Migliaia [0] 46 3 2" xfId="4747" xr:uid="{F0413EF7-58ED-4C4C-9992-554D6003141B}"/>
    <cellStyle name="Migliaia [0] 46 3 2 2" xfId="18341" xr:uid="{BE424C54-394D-4CB3-B7BA-63374F7CAD46}"/>
    <cellStyle name="Migliaia [0] 46 3 2 2 2" xfId="21801" xr:uid="{32E24ACA-649B-4582-90FD-D92FF64C8305}"/>
    <cellStyle name="Migliaia [0] 46 3 2 2 2 2" xfId="38280" xr:uid="{6CFE6F6C-217D-4970-874E-4866E93A9921}"/>
    <cellStyle name="Migliaia [0] 46 3 2 2 3" xfId="43582" xr:uid="{4BAE36E0-FDEF-4D47-8EAE-5AC9A15A7F1B}"/>
    <cellStyle name="Migliaia [0] 46 3 2 2 4" xfId="32929" xr:uid="{5B1909AF-B93C-4EFB-A5B4-A4D2D77D98B9}"/>
    <cellStyle name="Migliaia [0] 46 3 2 3" xfId="35815" xr:uid="{31C3A865-2AB9-4027-A912-C76881D82824}"/>
    <cellStyle name="Migliaia [0] 46 3 2 4" xfId="40931" xr:uid="{6D6CDC7B-4350-4BE9-A476-853CF484F25B}"/>
    <cellStyle name="Migliaia [0] 46 3 2 5" xfId="46294" xr:uid="{84AC7EB4-48D2-4A96-B76E-C35F303A7663}"/>
    <cellStyle name="Migliaia [0] 46 3 2 6" xfId="50829" xr:uid="{F47A03C5-F55A-41CF-9820-6A891517C37F}"/>
    <cellStyle name="Migliaia [0] 46 3 2 7" xfId="53845" xr:uid="{0DD1174B-1972-4564-9FB7-9C1C7A4798FF}"/>
    <cellStyle name="Migliaia [0] 46 3 2 8" xfId="17617" xr:uid="{D3BBEB2E-3AAF-4E97-B18A-70C488180850}"/>
    <cellStyle name="Migliaia [0] 46 3 2 9" xfId="11832" xr:uid="{A3CE3B0B-83D1-4615-A872-D494FCD8F704}"/>
    <cellStyle name="Migliaia [0] 46 3 3" xfId="5988" xr:uid="{6EF2ABA0-ADC2-4889-9CFA-164F38011A96}"/>
    <cellStyle name="Migliaia [0] 46 3 3 2" xfId="11549" xr:uid="{2DCB5EC0-CCBB-4927-995B-30A930A4FB36}"/>
    <cellStyle name="Migliaia [0] 46 3 4" xfId="3021" xr:uid="{312F8264-ADD4-4B85-B962-D8ABF23DE534}"/>
    <cellStyle name="Migliaia [0] 46 3 4 2" xfId="21333" xr:uid="{64474F7C-0101-4195-9FF3-4F256633A7AC}"/>
    <cellStyle name="Migliaia [0] 46 3 4 3" xfId="24255" xr:uid="{FC0A27F8-A487-4D67-9397-AF2CA29A2D42}"/>
    <cellStyle name="Migliaia [0] 46 3 4 4" xfId="50348" xr:uid="{3CC12EA4-403F-4C4D-A93C-CF23D684882A}"/>
    <cellStyle name="Migliaia [0] 46 3 4 5" xfId="53364" xr:uid="{98BD828C-C361-4D93-9DFF-84367A10289B}"/>
    <cellStyle name="Migliaia [0] 46 3 4 6" xfId="10698" xr:uid="{5F36EE52-9604-4EBD-A558-7CA3F732E847}"/>
    <cellStyle name="Migliaia [0] 46 3 5" xfId="19700" xr:uid="{8D163090-0EFB-49E7-90D7-E403901B1618}"/>
    <cellStyle name="Migliaia [0] 46 3 6" xfId="24113" xr:uid="{64FAEA8F-A529-42FE-9852-27556313A67D}"/>
    <cellStyle name="Migliaia [0] 46 3 7" xfId="8224" xr:uid="{940AF0C0-4BFB-4A22-8CA9-80856633B54D}"/>
    <cellStyle name="Migliaia [0] 46 4" xfId="3022" xr:uid="{D286E590-F3DA-4F1C-A09E-E5D015321844}"/>
    <cellStyle name="Migliaia [0] 46 4 2" xfId="4748" xr:uid="{878AC833-CE81-49DD-883A-8896BE8C6946}"/>
    <cellStyle name="Migliaia [0] 46 4 2 2" xfId="35109" xr:uid="{843D840C-23C2-47F4-BADF-00F7560A0C0F}"/>
    <cellStyle name="Migliaia [0] 46 4 2 2 2" xfId="40267" xr:uid="{015679A3-28CB-4318-A06A-46BC3AA89E2E}"/>
    <cellStyle name="Migliaia [0] 46 4 2 2 3" xfId="45569" xr:uid="{1257A430-3F94-4D80-A9F3-8F7248126356}"/>
    <cellStyle name="Migliaia [0] 46 4 2 3" xfId="37616" xr:uid="{AA1E11B8-433F-42DA-8291-78510D2069C4}"/>
    <cellStyle name="Migliaia [0] 46 4 2 4" xfId="42918" xr:uid="{54647D5C-05F3-4953-8EE5-6D6767844782}"/>
    <cellStyle name="Migliaia [0] 46 4 2 5" xfId="17049" xr:uid="{6DD45C71-B3C3-4D19-A5AD-54CE6D78B80B}"/>
    <cellStyle name="Migliaia [0] 46 4 3" xfId="5989" xr:uid="{2AB91E66-E5FC-4468-8A39-D2747548EC6F}"/>
    <cellStyle name="Migliaia [0] 46 4 3 2" xfId="38281" xr:uid="{2ECAC67F-BFA7-4CB8-BABE-05C5B3494651}"/>
    <cellStyle name="Migliaia [0] 46 4 3 3" xfId="43583" xr:uid="{1EAEAA9E-2BA6-47FA-8FA0-4E7FB019E8E2}"/>
    <cellStyle name="Migliaia [0] 46 4 3 4" xfId="32930" xr:uid="{AD39EF85-F20A-4BAF-A901-C35C33F4E3A6}"/>
    <cellStyle name="Migliaia [0] 46 4 3 5" xfId="19701" xr:uid="{EAAEA484-272A-4E8E-AD8A-2B90789C41DF}"/>
    <cellStyle name="Migliaia [0] 46 4 4" xfId="35816" xr:uid="{5E5FD804-941C-404F-9F87-1D36BF57C171}"/>
    <cellStyle name="Migliaia [0] 46 4 5" xfId="40932" xr:uid="{AD147D3A-A8D2-408D-A69C-EEE70E173C23}"/>
    <cellStyle name="Migliaia [0] 46 4 6" xfId="15991" xr:uid="{7A36F089-7402-493C-B8D9-6AC4F5211501}"/>
    <cellStyle name="Migliaia [0] 46 4 7" xfId="7804" xr:uid="{DC888CF4-0625-4E58-91DC-305B3EE2D10C}"/>
    <cellStyle name="Migliaia [0] 46 5" xfId="4744" xr:uid="{7117FE0C-FBA8-400F-A40A-C7D3817AA449}"/>
    <cellStyle name="Migliaia [0] 46 5 2" xfId="32931" xr:uid="{7AE9E2BA-93E0-461B-98EE-34E7ABC9990B}"/>
    <cellStyle name="Migliaia [0] 46 5 2 2" xfId="38282" xr:uid="{F52A3278-9E24-47A0-9005-33F60E8AF0BB}"/>
    <cellStyle name="Migliaia [0] 46 5 2 3" xfId="43584" xr:uid="{10243FBA-60DB-4AA0-A26B-4AC0C58D57F0}"/>
    <cellStyle name="Migliaia [0] 46 5 3" xfId="35817" xr:uid="{A3CEC44D-0E6A-4E8D-8C20-27866A57DCAD}"/>
    <cellStyle name="Migliaia [0] 46 5 4" xfId="40933" xr:uid="{3D866CED-2714-4443-B9A6-F2C25C179598}"/>
    <cellStyle name="Migliaia [0] 46 5 5" xfId="17118" xr:uid="{F492C81B-61E8-47A9-A88B-86118043331D}"/>
    <cellStyle name="Migliaia [0] 46 6" xfId="5986" xr:uid="{A3F47528-F144-49B8-AED4-31A61EBC8513}"/>
    <cellStyle name="Migliaia [0] 46 6 2" xfId="38278" xr:uid="{ECB16AEB-4BF2-46C9-BB1E-076C5ACA5565}"/>
    <cellStyle name="Migliaia [0] 46 6 3" xfId="43580" xr:uid="{7CDFD059-0FAF-4581-843C-BBCECA21E16F}"/>
    <cellStyle name="Migliaia [0] 46 6 4" xfId="32927" xr:uid="{7037D04D-B1E4-4536-ACC2-5113BAF13BEE}"/>
    <cellStyle name="Migliaia [0] 46 6 5" xfId="19697" xr:uid="{64646935-D912-4B71-BDC2-406AE34BDDE1}"/>
    <cellStyle name="Migliaia [0] 46 7" xfId="3018" xr:uid="{6FA81226-43D9-4F0A-BA5D-B4B3CB79A803}"/>
    <cellStyle name="Migliaia [0] 46 7 2" xfId="35813" xr:uid="{9F5030F5-7E2A-457B-9B3E-5E56BCFFED64}"/>
    <cellStyle name="Migliaia [0] 46 8" xfId="40929" xr:uid="{030A27B0-2CE0-4680-B107-3D6CE627EED8}"/>
    <cellStyle name="Migliaia [0] 46 9" xfId="7025" xr:uid="{4E863748-B625-4EAB-9A99-693937A32BB0}"/>
    <cellStyle name="Migliaia [0] 47" xfId="283" xr:uid="{00000000-0005-0000-0000-000079020000}"/>
    <cellStyle name="Migliaia [0] 47 2" xfId="1604" xr:uid="{00000000-0005-0000-0000-00007A020000}"/>
    <cellStyle name="Migliaia [0] 47 2 2" xfId="1605" xr:uid="{00000000-0005-0000-0000-00007B020000}"/>
    <cellStyle name="Migliaia [0] 47 2 2 2" xfId="4751" xr:uid="{E0EABA7C-02EF-4888-BC8E-4DAEA00F8F37}"/>
    <cellStyle name="Migliaia [0] 47 2 2 2 2" xfId="21802" xr:uid="{E4606869-8AEA-4840-A178-2D9AB7F4AA57}"/>
    <cellStyle name="Migliaia [0] 47 2 2 2 3" xfId="46295" xr:uid="{55086A5D-DAD5-4516-9AFF-D5774E62D9A5}"/>
    <cellStyle name="Migliaia [0] 47 2 2 2 4" xfId="50830" xr:uid="{D3B4DF58-26A3-4182-A7B0-3AE41CCE7A1A}"/>
    <cellStyle name="Migliaia [0] 47 2 2 2 5" xfId="53846" xr:uid="{DC67FBB1-B761-4D82-889F-0A7202DA9DBD}"/>
    <cellStyle name="Migliaia [0] 47 2 2 2 6" xfId="11833" xr:uid="{67D3FA8D-EA8F-4489-97F9-204EA6285AA6}"/>
    <cellStyle name="Migliaia [0] 47 2 2 3" xfId="3025" xr:uid="{4FDD2D7B-084B-462D-B7A3-B8CF1EE0FBEF}"/>
    <cellStyle name="Migliaia [0] 47 2 2 3 2" xfId="12333" xr:uid="{13B0E4D9-61B4-46B1-8F85-53655328F5C7}"/>
    <cellStyle name="Migliaia [0] 47 2 2 4" xfId="10699" xr:uid="{2CCDDD65-2B0F-4BAF-9244-BDEB02ED3379}"/>
    <cellStyle name="Migliaia [0] 47 2 2 4 2" xfId="21334" xr:uid="{063BDE89-4CF7-4F53-90BF-A06DA57BAF48}"/>
    <cellStyle name="Migliaia [0] 47 2 2 4 3" xfId="46186" xr:uid="{F0D04655-3E0C-454C-9ADD-9184B91F32D2}"/>
    <cellStyle name="Migliaia [0] 47 2 2 4 4" xfId="50349" xr:uid="{ED7B3409-4A70-4E60-987B-C91088ED4A55}"/>
    <cellStyle name="Migliaia [0] 47 2 2 4 5" xfId="53365" xr:uid="{9E0D83ED-B7CF-4C2B-934E-3C4CE54C1A97}"/>
    <cellStyle name="Migliaia [0] 47 2 2 5" xfId="19704" xr:uid="{F868A2E1-2538-472C-96BB-E2C6B0FF98B0}"/>
    <cellStyle name="Migliaia [0] 47 2 2 6" xfId="24115" xr:uid="{A0986E6E-1A44-4C06-8F2E-275725DA21C2}"/>
    <cellStyle name="Migliaia [0] 47 2 2 7" xfId="48861" xr:uid="{DFFBC16F-AB28-473A-832E-6DBF0A7FBB27}"/>
    <cellStyle name="Migliaia [0] 47 2 2 8" xfId="49767" xr:uid="{51B69729-53C5-442C-A0C9-FC7D7BC27441}"/>
    <cellStyle name="Migliaia [0] 47 2 2 9" xfId="8467" xr:uid="{2DB34706-F6EF-4E06-8109-7379A580CA60}"/>
    <cellStyle name="Migliaia [0] 47 2 3" xfId="4750" xr:uid="{AE0A290A-BF37-4B09-A0A6-25FC4791A790}"/>
    <cellStyle name="Migliaia [0] 47 2 3 2" xfId="32933" xr:uid="{D4FD382E-D084-4BC7-9907-DFE73A603D0D}"/>
    <cellStyle name="Migliaia [0] 47 2 3 2 2" xfId="38284" xr:uid="{BCF1D008-C079-4178-A82C-91CF27CA0234}"/>
    <cellStyle name="Migliaia [0] 47 2 3 2 3" xfId="43586" xr:uid="{D1400782-9AF0-4BBA-A744-398349641A89}"/>
    <cellStyle name="Migliaia [0] 47 2 3 3" xfId="35819" xr:uid="{3944C02D-04DE-47A7-B397-0CC5E6CC27A4}"/>
    <cellStyle name="Migliaia [0] 47 2 3 4" xfId="40935" xr:uid="{F74C4ADB-E741-4CA5-B03F-1433D8E62599}"/>
    <cellStyle name="Migliaia [0] 47 2 3 5" xfId="11834" xr:uid="{FEE8F5F6-0B01-4560-9EAC-0269FCDEFB91}"/>
    <cellStyle name="Migliaia [0] 47 2 4" xfId="5991" xr:uid="{1C845458-BB1C-449A-87AC-17DCF1B3390D}"/>
    <cellStyle name="Migliaia [0] 47 2 4 2" xfId="19703" xr:uid="{F60B0D93-60BE-4C77-B02F-6E981415FA60}"/>
    <cellStyle name="Migliaia [0] 47 2 5" xfId="3024" xr:uid="{4B03B115-80AF-4B0F-BCC1-4FFB4C5097D2}"/>
    <cellStyle name="Migliaia [0] 47 2 5 2" xfId="24114" xr:uid="{F04FDFAE-AA61-4C00-B385-819A331A2233}"/>
    <cellStyle name="Migliaia [0] 47 2 6" xfId="7277" xr:uid="{5B685C7A-A078-4C49-A8B0-AE132FB17216}"/>
    <cellStyle name="Migliaia [0] 47 3" xfId="1606" xr:uid="{00000000-0005-0000-0000-00007C020000}"/>
    <cellStyle name="Migliaia [0] 47 3 2" xfId="4752" xr:uid="{07271A6C-2904-4FDA-9172-6A0D74B425DF}"/>
    <cellStyle name="Migliaia [0] 47 3 2 2" xfId="18342" xr:uid="{277385D5-6D33-4656-BFCF-77A31F0AB7FE}"/>
    <cellStyle name="Migliaia [0] 47 3 2 2 2" xfId="21803" xr:uid="{83BAE203-0D38-4CDF-98A4-ABDB12170461}"/>
    <cellStyle name="Migliaia [0] 47 3 2 2 2 2" xfId="38285" xr:uid="{37F1D23A-5180-4AB2-8508-76504C47DE06}"/>
    <cellStyle name="Migliaia [0] 47 3 2 2 3" xfId="43587" xr:uid="{71E6CD1D-3C52-4928-91F5-7C301E323C8B}"/>
    <cellStyle name="Migliaia [0] 47 3 2 2 4" xfId="32934" xr:uid="{3D2236AF-8011-483A-9ACA-CF984538CE25}"/>
    <cellStyle name="Migliaia [0] 47 3 2 3" xfId="35820" xr:uid="{9A57E6E5-EE93-4BB0-9340-1B1A5A5AEC7A}"/>
    <cellStyle name="Migliaia [0] 47 3 2 4" xfId="40936" xr:uid="{B58E1BCA-B7C8-4883-9031-BCA2721B9BCA}"/>
    <cellStyle name="Migliaia [0] 47 3 2 5" xfId="34235" xr:uid="{B91BE884-84D9-41FC-9A7A-EE7E9C6183B6}"/>
    <cellStyle name="Migliaia [0] 47 3 2 6" xfId="50831" xr:uid="{B2F4B068-D4BE-4369-ACC8-E4D61D5A843A}"/>
    <cellStyle name="Migliaia [0] 47 3 2 7" xfId="53847" xr:uid="{2BEA65D6-3B08-4BB6-B0DA-7DE254B4D473}"/>
    <cellStyle name="Migliaia [0] 47 3 2 8" xfId="17618" xr:uid="{595C36F9-1851-4FDD-8438-8591B9040827}"/>
    <cellStyle name="Migliaia [0] 47 3 2 9" xfId="11835" xr:uid="{03768987-860A-49D7-95C0-C18A11C67854}"/>
    <cellStyle name="Migliaia [0] 47 3 3" xfId="5992" xr:uid="{A67F32A4-5200-4BEE-8814-F20E0EE42923}"/>
    <cellStyle name="Migliaia [0] 47 3 3 2" xfId="12369" xr:uid="{E1A926ED-DD4F-46A9-8AD0-06A69C094C0A}"/>
    <cellStyle name="Migliaia [0] 47 3 4" xfId="3026" xr:uid="{34E74E3A-52C6-41D6-8532-D0B7C45654AF}"/>
    <cellStyle name="Migliaia [0] 47 3 4 2" xfId="21335" xr:uid="{B45A88AA-80DA-4E4D-B68E-6E84E4A46B35}"/>
    <cellStyle name="Migliaia [0] 47 3 4 3" xfId="24254" xr:uid="{0D6F0B2E-4334-4D2E-87E3-A94B452A8D7C}"/>
    <cellStyle name="Migliaia [0] 47 3 4 4" xfId="50350" xr:uid="{526422D6-EAB7-4362-BBCE-7B59577A6B9A}"/>
    <cellStyle name="Migliaia [0] 47 3 4 5" xfId="53366" xr:uid="{7F24C7A2-15A4-4CA4-BCC8-E245E5C73A53}"/>
    <cellStyle name="Migliaia [0] 47 3 4 6" xfId="10700" xr:uid="{FC0AC23E-9199-413D-83C5-967F79B092CA}"/>
    <cellStyle name="Migliaia [0] 47 3 5" xfId="19705" xr:uid="{C4F75632-3BEB-4543-A7BE-B78B077D7677}"/>
    <cellStyle name="Migliaia [0] 47 3 6" xfId="24116" xr:uid="{DF9C0470-0B86-46EB-A61D-FED3397BE694}"/>
    <cellStyle name="Migliaia [0] 47 3 7" xfId="8225" xr:uid="{587B5BA2-25AE-4148-8025-C36B0B3C7659}"/>
    <cellStyle name="Migliaia [0] 47 4" xfId="3027" xr:uid="{A08CCED2-52D7-4820-836D-AE8E49F843F0}"/>
    <cellStyle name="Migliaia [0] 47 4 2" xfId="4753" xr:uid="{D19F98DE-0F5E-494A-AA0D-177E05CF59ED}"/>
    <cellStyle name="Migliaia [0] 47 4 2 2" xfId="35110" xr:uid="{535F4BA4-B3E3-49D8-A2C8-B612872BC745}"/>
    <cellStyle name="Migliaia [0] 47 4 2 2 2" xfId="40268" xr:uid="{FF655D5E-DF65-4D79-A493-34FAD045DF20}"/>
    <cellStyle name="Migliaia [0] 47 4 2 2 3" xfId="45570" xr:uid="{00ADE128-4F9D-4A44-9432-A1DA7F38B856}"/>
    <cellStyle name="Migliaia [0] 47 4 2 3" xfId="37617" xr:uid="{DA9D2AE6-69F0-4F75-B411-4B8B9C843C3B}"/>
    <cellStyle name="Migliaia [0] 47 4 2 4" xfId="42919" xr:uid="{4B396A14-6100-4E13-8CA3-EA9BB7C6A150}"/>
    <cellStyle name="Migliaia [0] 47 4 2 5" xfId="17050" xr:uid="{0F36BE24-2AF2-467E-B2BB-BC0E973871B1}"/>
    <cellStyle name="Migliaia [0] 47 4 3" xfId="5993" xr:uid="{93BE1A5A-F66D-4D20-8E23-2D721F5F64A4}"/>
    <cellStyle name="Migliaia [0] 47 4 3 2" xfId="38286" xr:uid="{2C4C9F32-4DAD-4704-97FF-4063788C510D}"/>
    <cellStyle name="Migliaia [0] 47 4 3 3" xfId="43588" xr:uid="{E9C4FEC9-5E47-472A-84EA-573384C7AB8A}"/>
    <cellStyle name="Migliaia [0] 47 4 3 4" xfId="32935" xr:uid="{10D28B38-01B8-4473-ADAF-957A71079B67}"/>
    <cellStyle name="Migliaia [0] 47 4 3 5" xfId="19706" xr:uid="{0B011CB5-B9F8-4E2E-994C-9535F116C776}"/>
    <cellStyle name="Migliaia [0] 47 4 4" xfId="35821" xr:uid="{84FC81A5-3B9E-4A37-AB1C-BFC2BF049627}"/>
    <cellStyle name="Migliaia [0] 47 4 5" xfId="40937" xr:uid="{520CE4DB-8BF3-4FFA-BBD2-F6401A540BB9}"/>
    <cellStyle name="Migliaia [0] 47 4 6" xfId="15992" xr:uid="{2136CA10-BEC0-4EE9-9386-B78FCDA15567}"/>
    <cellStyle name="Migliaia [0] 47 4 7" xfId="7805" xr:uid="{426BAAFE-E32F-4F27-9178-B163C89C559E}"/>
    <cellStyle name="Migliaia [0] 47 5" xfId="4749" xr:uid="{8B81B289-0240-4755-9675-8E647636CDEC}"/>
    <cellStyle name="Migliaia [0] 47 5 2" xfId="32936" xr:uid="{B7E30A09-842F-41D8-AB1F-F6142569BCB5}"/>
    <cellStyle name="Migliaia [0] 47 5 2 2" xfId="38287" xr:uid="{320290BE-0A44-4A3A-BE29-8CF39580A820}"/>
    <cellStyle name="Migliaia [0] 47 5 2 3" xfId="43589" xr:uid="{A8F7D352-4641-4CFE-A840-31F2B89F2290}"/>
    <cellStyle name="Migliaia [0] 47 5 3" xfId="35822" xr:uid="{A4ABEBF3-ADB0-4F0D-B381-B6364A5BD2BE}"/>
    <cellStyle name="Migliaia [0] 47 5 4" xfId="40938" xr:uid="{EF569A19-D76B-47CE-99FC-64A48D4FCF8B}"/>
    <cellStyle name="Migliaia [0] 47 5 5" xfId="17119" xr:uid="{6D4925E1-6C3B-437D-9CDD-13BAD95238B9}"/>
    <cellStyle name="Migliaia [0] 47 6" xfId="5990" xr:uid="{6C6DCC2F-22CE-4209-B0C5-246C9D88910A}"/>
    <cellStyle name="Migliaia [0] 47 6 2" xfId="38283" xr:uid="{BEB997AA-B760-47FC-9E72-623793922C8D}"/>
    <cellStyle name="Migliaia [0] 47 6 3" xfId="43585" xr:uid="{626A069F-13E5-4A8F-85EA-95C83E6271BE}"/>
    <cellStyle name="Migliaia [0] 47 6 4" xfId="32932" xr:uid="{7484F79B-ABB5-4BBE-9822-57EC4D8D3C8F}"/>
    <cellStyle name="Migliaia [0] 47 6 5" xfId="19702" xr:uid="{3A85D87A-9A86-4A90-BB62-3A903AA6257F}"/>
    <cellStyle name="Migliaia [0] 47 7" xfId="3023" xr:uid="{FD9ED4E9-F80E-48AE-BE88-23719607ED4A}"/>
    <cellStyle name="Migliaia [0] 47 7 2" xfId="35818" xr:uid="{94188BB8-80A3-475A-915E-EFE5C14CCA77}"/>
    <cellStyle name="Migliaia [0] 47 8" xfId="40934" xr:uid="{5A480AA8-EC4A-48FC-AD94-C514F1B9FBE7}"/>
    <cellStyle name="Migliaia [0] 47 9" xfId="7026" xr:uid="{9ABDBAF9-E823-4AF8-9A69-790356533299}"/>
    <cellStyle name="Migliaia [0] 48" xfId="284" xr:uid="{00000000-0005-0000-0000-00007D020000}"/>
    <cellStyle name="Migliaia [0] 48 2" xfId="1607" xr:uid="{00000000-0005-0000-0000-00007E020000}"/>
    <cellStyle name="Migliaia [0] 48 2 2" xfId="1608" xr:uid="{00000000-0005-0000-0000-00007F020000}"/>
    <cellStyle name="Migliaia [0] 48 2 2 2" xfId="4756" xr:uid="{E21B50A1-F9B5-48B1-A582-797784CCAAFD}"/>
    <cellStyle name="Migliaia [0] 48 2 2 2 2" xfId="21804" xr:uid="{01622FDC-F77E-4E75-95F0-C0F071D624C3}"/>
    <cellStyle name="Migliaia [0] 48 2 2 2 3" xfId="47224" xr:uid="{BC3A6852-35CA-4093-BA98-E12A3B01A807}"/>
    <cellStyle name="Migliaia [0] 48 2 2 2 4" xfId="50832" xr:uid="{B3A57B15-2585-490B-BF89-FFBBDFF2672A}"/>
    <cellStyle name="Migliaia [0] 48 2 2 2 5" xfId="53848" xr:uid="{08B83819-2C11-4916-8F4F-2519B560FEBD}"/>
    <cellStyle name="Migliaia [0] 48 2 2 2 6" xfId="11836" xr:uid="{777B0711-A950-4B66-B634-905B764C561E}"/>
    <cellStyle name="Migliaia [0] 48 2 2 3" xfId="3030" xr:uid="{A26D150C-7E87-4D3D-842D-3630BDD2A056}"/>
    <cellStyle name="Migliaia [0] 48 2 2 3 2" xfId="12332" xr:uid="{73C2B447-E84B-4124-9F64-1F824CE950A4}"/>
    <cellStyle name="Migliaia [0] 48 2 2 4" xfId="10701" xr:uid="{633285FE-3BC6-4D4D-9952-B1BC529BCEE9}"/>
    <cellStyle name="Migliaia [0] 48 2 2 4 2" xfId="21336" xr:uid="{F17B1382-26FF-43DE-BBBB-3B2E894C5C14}"/>
    <cellStyle name="Migliaia [0] 48 2 2 4 3" xfId="46187" xr:uid="{3B231061-45C0-4104-8143-AC0E6EFB3019}"/>
    <cellStyle name="Migliaia [0] 48 2 2 4 4" xfId="50351" xr:uid="{EDDA3FCA-2032-49DC-A8FC-28B76A6555AB}"/>
    <cellStyle name="Migliaia [0] 48 2 2 4 5" xfId="53367" xr:uid="{2C16684C-61C8-4650-BA4F-63DB698FDA65}"/>
    <cellStyle name="Migliaia [0] 48 2 2 5" xfId="19709" xr:uid="{9E86563B-875D-4ED3-9916-1493443AE534}"/>
    <cellStyle name="Migliaia [0] 48 2 2 6" xfId="24118" xr:uid="{4DA785D7-1981-4AFE-A7BD-319AA27FEC7B}"/>
    <cellStyle name="Migliaia [0] 48 2 2 7" xfId="48862" xr:uid="{7613D38A-6F0B-4344-AF3E-9DED02EFD414}"/>
    <cellStyle name="Migliaia [0] 48 2 2 8" xfId="49768" xr:uid="{41FF7BB3-59C5-4B91-855A-DD21E200078F}"/>
    <cellStyle name="Migliaia [0] 48 2 2 9" xfId="8468" xr:uid="{CD6697D9-743D-4990-912F-78ECC6356F9D}"/>
    <cellStyle name="Migliaia [0] 48 2 3" xfId="4755" xr:uid="{5CB06C82-91CB-4FDA-9DDC-FD848F1B46B6}"/>
    <cellStyle name="Migliaia [0] 48 2 3 2" xfId="32938" xr:uid="{9EA2C392-9E1A-4177-A155-C615DF2CB158}"/>
    <cellStyle name="Migliaia [0] 48 2 3 2 2" xfId="38289" xr:uid="{EE3D88A1-5098-439F-8480-5E86104C1D9D}"/>
    <cellStyle name="Migliaia [0] 48 2 3 2 3" xfId="43591" xr:uid="{6C47A9B5-2836-44BF-A7A1-D323ECF0FE56}"/>
    <cellStyle name="Migliaia [0] 48 2 3 3" xfId="35824" xr:uid="{DECF9517-EA77-4E39-A6B1-0CF298CBBD74}"/>
    <cellStyle name="Migliaia [0] 48 2 3 4" xfId="40940" xr:uid="{11C9DFBA-8442-4B1A-B157-D1F4D08E31AB}"/>
    <cellStyle name="Migliaia [0] 48 2 3 5" xfId="11837" xr:uid="{AFE142CA-E39B-456A-8814-2CCB0B175317}"/>
    <cellStyle name="Migliaia [0] 48 2 4" xfId="5995" xr:uid="{4B6B8CD4-5446-4FCE-9AD8-142F75B1CD97}"/>
    <cellStyle name="Migliaia [0] 48 2 4 2" xfId="19708" xr:uid="{433F7843-5A3E-4A95-B31D-FFF0212BEA64}"/>
    <cellStyle name="Migliaia [0] 48 2 5" xfId="3029" xr:uid="{9FF1E0A9-37E8-4AA5-B4A3-AE6B0FF3F938}"/>
    <cellStyle name="Migliaia [0] 48 2 5 2" xfId="24117" xr:uid="{E92E7DBA-3FAA-4112-BB62-4ECB0ADD5D40}"/>
    <cellStyle name="Migliaia [0] 48 2 6" xfId="7278" xr:uid="{7B40957D-8E37-4686-B99D-DB9C22A6C767}"/>
    <cellStyle name="Migliaia [0] 48 3" xfId="1609" xr:uid="{00000000-0005-0000-0000-000080020000}"/>
    <cellStyle name="Migliaia [0] 48 3 2" xfId="4757" xr:uid="{1914A914-C0EE-4986-8718-FA74D963126D}"/>
    <cellStyle name="Migliaia [0] 48 3 2 2" xfId="18343" xr:uid="{8F09DB0F-1C26-4009-8404-9F6837555BFE}"/>
    <cellStyle name="Migliaia [0] 48 3 2 2 2" xfId="21805" xr:uid="{077BC00B-7742-4ED1-9CCF-2C16E655351C}"/>
    <cellStyle name="Migliaia [0] 48 3 2 2 2 2" xfId="38290" xr:uid="{D1A2B600-D113-4A3E-94AA-6AEB14E34193}"/>
    <cellStyle name="Migliaia [0] 48 3 2 2 3" xfId="43592" xr:uid="{8DF543D4-DCC3-454E-AE04-B4E4E184EEA6}"/>
    <cellStyle name="Migliaia [0] 48 3 2 2 4" xfId="32939" xr:uid="{3425F7A1-7478-452D-8226-6A79D0F5C119}"/>
    <cellStyle name="Migliaia [0] 48 3 2 3" xfId="35825" xr:uid="{3A19CFB5-6F8A-4EC4-8B39-C094295FBC2D}"/>
    <cellStyle name="Migliaia [0] 48 3 2 4" xfId="40941" xr:uid="{37CB3629-DE1E-4946-A26A-93AAD1D82877}"/>
    <cellStyle name="Migliaia [0] 48 3 2 5" xfId="47463" xr:uid="{96873867-CB1B-4C9C-95A7-FC7102E2F643}"/>
    <cellStyle name="Migliaia [0] 48 3 2 6" xfId="50833" xr:uid="{DE67409D-CEB5-4C18-9275-CA20B1757C22}"/>
    <cellStyle name="Migliaia [0] 48 3 2 7" xfId="53849" xr:uid="{063BF7E9-F4E8-43DD-BB82-F79AF7B216AC}"/>
    <cellStyle name="Migliaia [0] 48 3 2 8" xfId="17619" xr:uid="{1C78182B-6616-4F3B-A863-E175058C1CF8}"/>
    <cellStyle name="Migliaia [0] 48 3 2 9" xfId="11838" xr:uid="{D2322446-3011-41C8-8988-E5AAB2628CDB}"/>
    <cellStyle name="Migliaia [0] 48 3 3" xfId="5996" xr:uid="{F0BBCFDE-49A2-4572-B02A-DBEB5F6DA331}"/>
    <cellStyle name="Migliaia [0] 48 3 3 2" xfId="12368" xr:uid="{412BCD02-5A04-405D-A3AB-45C112675249}"/>
    <cellStyle name="Migliaia [0] 48 3 4" xfId="3031" xr:uid="{CD1CEB34-8707-44F7-BC78-50FCFB201E79}"/>
    <cellStyle name="Migliaia [0] 48 3 4 2" xfId="21337" xr:uid="{E8A44355-7382-412F-90E6-17C2870A2AF5}"/>
    <cellStyle name="Migliaia [0] 48 3 4 3" xfId="24249" xr:uid="{9F553CBC-FD30-4D4C-95DD-318CA9EC393D}"/>
    <cellStyle name="Migliaia [0] 48 3 4 4" xfId="50352" xr:uid="{9540EAE8-201D-47FE-8DCD-3674E24CAB15}"/>
    <cellStyle name="Migliaia [0] 48 3 4 5" xfId="53368" xr:uid="{98B7E790-3F2C-4C3D-BCB3-44830299AB8A}"/>
    <cellStyle name="Migliaia [0] 48 3 4 6" xfId="10702" xr:uid="{3607D645-C708-4D31-96DC-4CDF3863C9D3}"/>
    <cellStyle name="Migliaia [0] 48 3 5" xfId="19710" xr:uid="{348E6587-992E-47E2-A471-CA27347DBCB2}"/>
    <cellStyle name="Migliaia [0] 48 3 6" xfId="24119" xr:uid="{AD836B9A-92FD-46FF-8C6C-D300B7CFA680}"/>
    <cellStyle name="Migliaia [0] 48 3 7" xfId="8226" xr:uid="{F499C598-B192-4B8D-81DB-EFF7795F2519}"/>
    <cellStyle name="Migliaia [0] 48 4" xfId="3032" xr:uid="{CE6C6FAF-B33C-4A65-8476-6703F9EEC77B}"/>
    <cellStyle name="Migliaia [0] 48 4 2" xfId="4758" xr:uid="{98C9696E-ECF2-49D8-8456-FBCE29D3B987}"/>
    <cellStyle name="Migliaia [0] 48 4 2 2" xfId="35111" xr:uid="{D34334D1-5781-4208-A1D2-DD35A243F300}"/>
    <cellStyle name="Migliaia [0] 48 4 2 2 2" xfId="40269" xr:uid="{EB1BA2C7-CAE3-41CD-A1B7-3C47484EFE51}"/>
    <cellStyle name="Migliaia [0] 48 4 2 2 3" xfId="45571" xr:uid="{4F991A3C-8F7D-4D35-9AF7-128526C13F6D}"/>
    <cellStyle name="Migliaia [0] 48 4 2 3" xfId="37618" xr:uid="{B6112B02-7C16-41E9-B01F-CCA4AA38ECF7}"/>
    <cellStyle name="Migliaia [0] 48 4 2 4" xfId="42920" xr:uid="{FF607E09-D7B4-4245-8E43-D2B82AE2D907}"/>
    <cellStyle name="Migliaia [0] 48 4 2 5" xfId="17051" xr:uid="{1CF08C1D-CBBC-4A21-A570-88ABC3DEC338}"/>
    <cellStyle name="Migliaia [0] 48 4 3" xfId="5997" xr:uid="{AB248E03-66B4-4B48-9D97-44F855A2A998}"/>
    <cellStyle name="Migliaia [0] 48 4 3 2" xfId="38291" xr:uid="{FE87CEBB-6AB0-41BC-BDCB-08A3D2DEEA4F}"/>
    <cellStyle name="Migliaia [0] 48 4 3 3" xfId="43593" xr:uid="{82F82D75-FE8F-48E8-8ABA-1338DF94ADA5}"/>
    <cellStyle name="Migliaia [0] 48 4 3 4" xfId="32940" xr:uid="{E2D2AC82-B70C-4254-AC37-87A1B2DFF645}"/>
    <cellStyle name="Migliaia [0] 48 4 3 5" xfId="19711" xr:uid="{4B958A38-B39A-4346-AE3D-870459343D5B}"/>
    <cellStyle name="Migliaia [0] 48 4 4" xfId="35826" xr:uid="{3A57AFDB-00B1-4FAB-A960-92332960CCF6}"/>
    <cellStyle name="Migliaia [0] 48 4 5" xfId="40942" xr:uid="{6D1037EA-C160-4CB1-83F0-A906720FED88}"/>
    <cellStyle name="Migliaia [0] 48 4 6" xfId="15993" xr:uid="{48253694-110B-4C87-B97A-C36ACC405770}"/>
    <cellStyle name="Migliaia [0] 48 4 7" xfId="7806" xr:uid="{9416984B-34D6-46BD-AC91-337B3BFA3E11}"/>
    <cellStyle name="Migliaia [0] 48 5" xfId="4754" xr:uid="{D8484013-E32B-4F88-8865-0B2A9D89846B}"/>
    <cellStyle name="Migliaia [0] 48 5 2" xfId="32941" xr:uid="{2C94AB05-28A7-4816-B207-49F5EA4DC372}"/>
    <cellStyle name="Migliaia [0] 48 5 2 2" xfId="38292" xr:uid="{B83C0406-707F-4671-AC83-62E9398DBB1F}"/>
    <cellStyle name="Migliaia [0] 48 5 2 3" xfId="43594" xr:uid="{65AB34C4-4BCB-4941-BF0C-16E86B1333F8}"/>
    <cellStyle name="Migliaia [0] 48 5 3" xfId="35827" xr:uid="{E572C80C-4549-453B-AA3B-7916CEDDF2E7}"/>
    <cellStyle name="Migliaia [0] 48 5 4" xfId="40943" xr:uid="{47BB4FC4-1F05-43E7-9B9A-684D6D57F66D}"/>
    <cellStyle name="Migliaia [0] 48 5 5" xfId="17120" xr:uid="{8AD81686-2C14-47D7-8A1D-98C149127063}"/>
    <cellStyle name="Migliaia [0] 48 6" xfId="5994" xr:uid="{261F27A2-BAB4-441B-8BC6-8058A415DEF8}"/>
    <cellStyle name="Migliaia [0] 48 6 2" xfId="38288" xr:uid="{769CF2FD-1389-4FA4-BD2E-D76E6AD84067}"/>
    <cellStyle name="Migliaia [0] 48 6 3" xfId="43590" xr:uid="{1F0B945F-02CF-4B47-9D1D-FFE52985BEF1}"/>
    <cellStyle name="Migliaia [0] 48 6 4" xfId="32937" xr:uid="{A401A6CD-2C39-4A92-81F4-4E6F2DDD53A2}"/>
    <cellStyle name="Migliaia [0] 48 6 5" xfId="19707" xr:uid="{7293A28D-8F25-4588-96D3-F33BDC188E1B}"/>
    <cellStyle name="Migliaia [0] 48 7" xfId="3028" xr:uid="{3D3AB772-CF43-49D1-A55A-921BE16FE5F8}"/>
    <cellStyle name="Migliaia [0] 48 7 2" xfId="35823" xr:uid="{2E651DB2-5592-4A6C-899E-FC23D44E2DB0}"/>
    <cellStyle name="Migliaia [0] 48 8" xfId="40939" xr:uid="{F88AACEA-BFC9-4A42-8AB9-4A9DDBD5967E}"/>
    <cellStyle name="Migliaia [0] 48 9" xfId="7027" xr:uid="{05943033-2363-4ECC-950A-BF1FDC035C6F}"/>
    <cellStyle name="Migliaia [0] 49" xfId="285" xr:uid="{00000000-0005-0000-0000-000081020000}"/>
    <cellStyle name="Migliaia [0] 49 2" xfId="1610" xr:uid="{00000000-0005-0000-0000-000082020000}"/>
    <cellStyle name="Migliaia [0] 49 2 2" xfId="1611" xr:uid="{00000000-0005-0000-0000-000083020000}"/>
    <cellStyle name="Migliaia [0] 49 2 2 2" xfId="4761" xr:uid="{3C6003DF-869B-461D-8753-1ED04AB8B518}"/>
    <cellStyle name="Migliaia [0] 49 2 2 2 2" xfId="21806" xr:uid="{0E8B97E9-51B9-4DEB-A8CD-960E952BFB9A}"/>
    <cellStyle name="Migliaia [0] 49 2 2 2 3" xfId="47076" xr:uid="{4BBEAE48-DA2E-4436-90B9-12EFCC1E54CE}"/>
    <cellStyle name="Migliaia [0] 49 2 2 2 4" xfId="50834" xr:uid="{CF5969B9-62BE-4BA5-9F1D-DC96F0746E1D}"/>
    <cellStyle name="Migliaia [0] 49 2 2 2 5" xfId="53850" xr:uid="{27C62303-011D-4334-BEA0-46E7308E4816}"/>
    <cellStyle name="Migliaia [0] 49 2 2 2 6" xfId="11839" xr:uid="{1460657B-50DC-4F0E-B875-AFB4AA6B9AE5}"/>
    <cellStyle name="Migliaia [0] 49 2 2 3" xfId="3035" xr:uid="{32268093-270A-4804-95A9-BCFE2C33FA8E}"/>
    <cellStyle name="Migliaia [0] 49 2 2 3 2" xfId="12331" xr:uid="{25D689D3-E524-49BF-957F-AF35DCFB49A6}"/>
    <cellStyle name="Migliaia [0] 49 2 2 4" xfId="10703" xr:uid="{4A1D2308-A2D2-4DBE-9C9D-45728B4A13D7}"/>
    <cellStyle name="Migliaia [0] 49 2 2 4 2" xfId="21338" xr:uid="{43A68A1D-38B0-42A3-ABAB-B08462EAB1C4}"/>
    <cellStyle name="Migliaia [0] 49 2 2 4 3" xfId="46188" xr:uid="{CDF5B9A6-C5F0-4B35-9AA4-9DEABF36D3F4}"/>
    <cellStyle name="Migliaia [0] 49 2 2 4 4" xfId="50353" xr:uid="{EBF02B4E-FF1D-4B38-9E46-20CEFEBCB939}"/>
    <cellStyle name="Migliaia [0] 49 2 2 4 5" xfId="53369" xr:uid="{C89AC52C-65C6-4177-A4C4-22725FAA3148}"/>
    <cellStyle name="Migliaia [0] 49 2 2 5" xfId="19714" xr:uid="{38A78EF2-04E8-43A5-A53D-FBC5A622274E}"/>
    <cellStyle name="Migliaia [0] 49 2 2 6" xfId="24121" xr:uid="{F747737D-8640-4D48-8980-30897FA40FC0}"/>
    <cellStyle name="Migliaia [0] 49 2 2 7" xfId="48863" xr:uid="{7581B3AF-201F-4510-9BDF-7823C271E71D}"/>
    <cellStyle name="Migliaia [0] 49 2 2 8" xfId="49769" xr:uid="{419E84E7-2557-4BFC-B1E4-9D68B24219AC}"/>
    <cellStyle name="Migliaia [0] 49 2 2 9" xfId="8469" xr:uid="{EBEE8139-82E3-43E5-AAAF-5F62F5100835}"/>
    <cellStyle name="Migliaia [0] 49 2 3" xfId="4760" xr:uid="{BD7F406C-7365-4FE1-B0B4-4408BD27A330}"/>
    <cellStyle name="Migliaia [0] 49 2 3 2" xfId="32943" xr:uid="{D87A297F-BEE9-4BB8-8E3E-2EA90B60D602}"/>
    <cellStyle name="Migliaia [0] 49 2 3 2 2" xfId="38294" xr:uid="{1EACB18D-4240-49E3-9FFF-A63C450C1032}"/>
    <cellStyle name="Migliaia [0] 49 2 3 2 3" xfId="43596" xr:uid="{5AFF051F-A537-46AB-A7C3-0D9F6DFAD2CC}"/>
    <cellStyle name="Migliaia [0] 49 2 3 3" xfId="35829" xr:uid="{700AB9FF-6CBC-4A0B-9A47-083482A2CF41}"/>
    <cellStyle name="Migliaia [0] 49 2 3 4" xfId="40945" xr:uid="{22B56A8E-1F30-433D-9FA3-102D4EA0B50D}"/>
    <cellStyle name="Migliaia [0] 49 2 3 5" xfId="11840" xr:uid="{A74892E9-9D20-4AD0-B615-4EE8F4343372}"/>
    <cellStyle name="Migliaia [0] 49 2 4" xfId="5999" xr:uid="{EAEFD5DB-C7A2-41F1-B91F-CCFD2EDFF54E}"/>
    <cellStyle name="Migliaia [0] 49 2 4 2" xfId="19713" xr:uid="{1A682F2E-AF0C-4372-A3A0-9BE758B9CC6E}"/>
    <cellStyle name="Migliaia [0] 49 2 5" xfId="3034" xr:uid="{CED74A81-A9F8-48D5-B306-ABF2B2DF4910}"/>
    <cellStyle name="Migliaia [0] 49 2 5 2" xfId="24120" xr:uid="{FCF1640C-F5C6-4426-9A7C-0D44BD4E7A0D}"/>
    <cellStyle name="Migliaia [0] 49 2 6" xfId="7279" xr:uid="{6157381D-5BBF-4737-8367-B821725095BA}"/>
    <cellStyle name="Migliaia [0] 49 3" xfId="1612" xr:uid="{00000000-0005-0000-0000-000084020000}"/>
    <cellStyle name="Migliaia [0] 49 3 2" xfId="4762" xr:uid="{E5CD9F26-ED87-4977-A337-DECA20E1124C}"/>
    <cellStyle name="Migliaia [0] 49 3 2 2" xfId="18344" xr:uid="{60B6E4E6-6787-46B6-BDEE-413008AF03B3}"/>
    <cellStyle name="Migliaia [0] 49 3 2 2 2" xfId="21807" xr:uid="{63200302-D4F9-4C67-8800-390BFAEEC820}"/>
    <cellStyle name="Migliaia [0] 49 3 2 2 2 2" xfId="38295" xr:uid="{E01ACE7F-0500-4ECD-A78B-5E0E28550CD9}"/>
    <cellStyle name="Migliaia [0] 49 3 2 2 3" xfId="43597" xr:uid="{79F7A803-A92A-4BDC-AFF8-84932E3C12F1}"/>
    <cellStyle name="Migliaia [0] 49 3 2 2 4" xfId="32944" xr:uid="{79C12E11-FF61-46D6-8D0A-04437D1E3891}"/>
    <cellStyle name="Migliaia [0] 49 3 2 3" xfId="35830" xr:uid="{710C2E1A-FF62-4F7B-9ED9-8979E852C49B}"/>
    <cellStyle name="Migliaia [0] 49 3 2 4" xfId="40946" xr:uid="{BFEB96C2-68E3-4DC6-9920-0D22BBAFF4D6}"/>
    <cellStyle name="Migliaia [0] 49 3 2 5" xfId="25124" xr:uid="{E2C81EC4-CAD7-4CE1-A853-70D64AFFE1C6}"/>
    <cellStyle name="Migliaia [0] 49 3 2 6" xfId="50835" xr:uid="{576074B1-7AA0-4B7C-95CB-17680753918D}"/>
    <cellStyle name="Migliaia [0] 49 3 2 7" xfId="53851" xr:uid="{EF805141-7E2E-4114-9D42-0F896887EF66}"/>
    <cellStyle name="Migliaia [0] 49 3 2 8" xfId="17620" xr:uid="{FB3BC0F3-CC2C-42C4-9731-E2EE59B0FF62}"/>
    <cellStyle name="Migliaia [0] 49 3 2 9" xfId="11841" xr:uid="{13CBB7E6-2F1F-4088-B045-8E4E28649D60}"/>
    <cellStyle name="Migliaia [0] 49 3 3" xfId="6000" xr:uid="{09D198C6-D025-496F-86F7-2A708A4ECB65}"/>
    <cellStyle name="Migliaia [0] 49 3 3 2" xfId="11668" xr:uid="{786A6E3B-A2DA-43C3-93D3-5E5DAA9E3E2D}"/>
    <cellStyle name="Migliaia [0] 49 3 4" xfId="3036" xr:uid="{52D3F223-2A44-4E42-AC74-467957D02FEB}"/>
    <cellStyle name="Migliaia [0] 49 3 4 2" xfId="21339" xr:uid="{E4C1C186-4764-4A37-A1CA-E210C14D9DC5}"/>
    <cellStyle name="Migliaia [0] 49 3 4 3" xfId="47299" xr:uid="{E40DE796-CF7D-49A2-AC40-8AD61018DC94}"/>
    <cellStyle name="Migliaia [0] 49 3 4 4" xfId="50354" xr:uid="{E3BA1E0B-E48D-4D21-B45C-A0DBE0093BCC}"/>
    <cellStyle name="Migliaia [0] 49 3 4 5" xfId="53370" xr:uid="{CD277C26-63A3-44EE-8503-F06412475C5A}"/>
    <cellStyle name="Migliaia [0] 49 3 4 6" xfId="10704" xr:uid="{EC76BE63-AF4F-4D46-98BD-B03FD4B78541}"/>
    <cellStyle name="Migliaia [0] 49 3 5" xfId="19715" xr:uid="{784EBC13-3AF8-4DE8-9C37-EFDE2AABE13C}"/>
    <cellStyle name="Migliaia [0] 49 3 6" xfId="24122" xr:uid="{92C0A0DF-65D9-4180-9A32-F70660A91F13}"/>
    <cellStyle name="Migliaia [0] 49 3 7" xfId="8227" xr:uid="{781515DF-9275-461E-BDF7-2BBBC37FCF2F}"/>
    <cellStyle name="Migliaia [0] 49 4" xfId="3037" xr:uid="{D065ECA2-E2B6-446C-86B2-01B5FFA9DBB0}"/>
    <cellStyle name="Migliaia [0] 49 4 2" xfId="4763" xr:uid="{D1DA396D-20DC-44EC-80AA-45BEE6402603}"/>
    <cellStyle name="Migliaia [0] 49 4 2 2" xfId="35112" xr:uid="{B9B4BE60-40A2-4313-A33B-42071A90A144}"/>
    <cellStyle name="Migliaia [0] 49 4 2 2 2" xfId="40270" xr:uid="{860EA4BD-3CCF-4B21-99A9-EEC5A3BC6660}"/>
    <cellStyle name="Migliaia [0] 49 4 2 2 3" xfId="45572" xr:uid="{9F1336C2-2A57-42C6-9831-C4014D67CB65}"/>
    <cellStyle name="Migliaia [0] 49 4 2 3" xfId="37619" xr:uid="{426B2142-AF51-4E95-B29E-E3EDA03F45CA}"/>
    <cellStyle name="Migliaia [0] 49 4 2 4" xfId="42921" xr:uid="{41FDB389-AEAE-442F-9D8A-76342A1AA88B}"/>
    <cellStyle name="Migliaia [0] 49 4 2 5" xfId="17052" xr:uid="{C6376CE6-DFFD-42E0-92B2-5DC981554F13}"/>
    <cellStyle name="Migliaia [0] 49 4 3" xfId="6001" xr:uid="{0CE3157A-F034-4BFC-BA7A-5E0A8BFA7ECA}"/>
    <cellStyle name="Migliaia [0] 49 4 3 2" xfId="38296" xr:uid="{93F1FD0A-EE64-49EF-BE2A-D23DCE199FD5}"/>
    <cellStyle name="Migliaia [0] 49 4 3 3" xfId="43598" xr:uid="{0922AADB-6E62-494B-9C4A-E4EAAAC39DD0}"/>
    <cellStyle name="Migliaia [0] 49 4 3 4" xfId="32945" xr:uid="{52226C73-6788-4EEC-8186-337F51CB8553}"/>
    <cellStyle name="Migliaia [0] 49 4 3 5" xfId="19716" xr:uid="{C8E5254C-9947-4C01-86BD-E1C14FC36F66}"/>
    <cellStyle name="Migliaia [0] 49 4 4" xfId="35831" xr:uid="{B66110CE-EFE2-42FB-BA6F-08F2E2E863ED}"/>
    <cellStyle name="Migliaia [0] 49 4 5" xfId="40947" xr:uid="{5D7DB37A-CFB7-48BF-8BC8-435B26CFE809}"/>
    <cellStyle name="Migliaia [0] 49 4 6" xfId="15994" xr:uid="{67C43CA5-FEC1-4BAF-873D-370F3945E6E7}"/>
    <cellStyle name="Migliaia [0] 49 4 7" xfId="7807" xr:uid="{71A87C0C-0FFE-450D-AC58-55BB9B367078}"/>
    <cellStyle name="Migliaia [0] 49 5" xfId="4759" xr:uid="{39BA03DC-FEC9-44F1-AB6C-527FDA81A51D}"/>
    <cellStyle name="Migliaia [0] 49 5 2" xfId="32946" xr:uid="{442E87FD-DAF7-4D81-8DFF-93A4A3C1C334}"/>
    <cellStyle name="Migliaia [0] 49 5 2 2" xfId="38297" xr:uid="{DD013B76-DB0B-45E2-83F6-A0B44F948864}"/>
    <cellStyle name="Migliaia [0] 49 5 2 3" xfId="43599" xr:uid="{D2968864-CC84-4A65-8930-D9BE1C1397BC}"/>
    <cellStyle name="Migliaia [0] 49 5 3" xfId="35832" xr:uid="{B09E08E8-0C91-4F57-BFCD-723DD27FC047}"/>
    <cellStyle name="Migliaia [0] 49 5 4" xfId="40948" xr:uid="{E42C8F45-136B-41EE-A2A6-3E2F31417A69}"/>
    <cellStyle name="Migliaia [0] 49 5 5" xfId="17121" xr:uid="{0D899E94-AFC2-4ED7-A7F5-A220F1E206AF}"/>
    <cellStyle name="Migliaia [0] 49 6" xfId="5998" xr:uid="{B3E44F3A-CF40-4017-9D3A-7297D8BE74F0}"/>
    <cellStyle name="Migliaia [0] 49 6 2" xfId="38293" xr:uid="{75DA61BC-B2BE-40D5-9E87-8C8A1D2867F3}"/>
    <cellStyle name="Migliaia [0] 49 6 3" xfId="43595" xr:uid="{D3623E87-C0A1-40E2-9E9A-3DEA28DB7A89}"/>
    <cellStyle name="Migliaia [0] 49 6 4" xfId="32942" xr:uid="{13D81991-1567-4B5A-8E9A-67CCA9E19607}"/>
    <cellStyle name="Migliaia [0] 49 6 5" xfId="19712" xr:uid="{309B11B3-FB60-4F1F-BAF4-FF2C193E315B}"/>
    <cellStyle name="Migliaia [0] 49 7" xfId="3033" xr:uid="{9C199CD1-15E7-4FFD-BF5D-716F687F1BEA}"/>
    <cellStyle name="Migliaia [0] 49 7 2" xfId="35828" xr:uid="{913398C1-517E-4CC6-A349-2BEBE2082FA7}"/>
    <cellStyle name="Migliaia [0] 49 8" xfId="40944" xr:uid="{A340567A-C204-4C4B-ADBE-0510BD3214EE}"/>
    <cellStyle name="Migliaia [0] 49 9" xfId="7028" xr:uid="{79B9EC81-3129-4688-896D-DBF36087038C}"/>
    <cellStyle name="Migliaia [0] 5" xfId="286" xr:uid="{00000000-0005-0000-0000-000085020000}"/>
    <cellStyle name="Migliaia [0] 5 2" xfId="1613" xr:uid="{00000000-0005-0000-0000-000086020000}"/>
    <cellStyle name="Migliaia [0] 5 2 2" xfId="1614" xr:uid="{00000000-0005-0000-0000-000087020000}"/>
    <cellStyle name="Migliaia [0] 5 2 2 2" xfId="4766" xr:uid="{69ADC4E3-B026-4351-82BE-096B2247E0AB}"/>
    <cellStyle name="Migliaia [0] 5 2 2 2 2" xfId="21808" xr:uid="{52DD0017-4D5A-444D-9366-8F154300F4C9}"/>
    <cellStyle name="Migliaia [0] 5 2 2 2 3" xfId="47814" xr:uid="{D0CAC346-50A8-4996-92D8-94C2AEBF1A02}"/>
    <cellStyle name="Migliaia [0] 5 2 2 2 4" xfId="50836" xr:uid="{7FA93628-C93F-4867-98DB-3A9D59AFCCBA}"/>
    <cellStyle name="Migliaia [0] 5 2 2 2 5" xfId="53852" xr:uid="{47B785E5-2323-4CD1-914E-319889F12611}"/>
    <cellStyle name="Migliaia [0] 5 2 2 2 6" xfId="11842" xr:uid="{475C0BB6-6124-4420-BC0D-095D7DE232F1}"/>
    <cellStyle name="Migliaia [0] 5 2 2 3" xfId="3040" xr:uid="{AF19255E-C24E-4158-8FF4-C6C15647A130}"/>
    <cellStyle name="Migliaia [0] 5 2 2 3 2" xfId="12180" xr:uid="{A84B68C1-BBCB-42BF-80C7-DC0C24E7072F}"/>
    <cellStyle name="Migliaia [0] 5 2 2 4" xfId="10705" xr:uid="{FEAD2302-B8CA-427B-B75D-352F3123BA2A}"/>
    <cellStyle name="Migliaia [0] 5 2 2 4 2" xfId="21340" xr:uid="{EF06EF33-3D58-4062-BA66-05C716B0B9ED}"/>
    <cellStyle name="Migliaia [0] 5 2 2 4 3" xfId="46189" xr:uid="{8C26077E-820E-42D1-9A58-CD9644E55D7B}"/>
    <cellStyle name="Migliaia [0] 5 2 2 4 4" xfId="50355" xr:uid="{32F3C57A-5F7F-4898-9644-35BBD261E795}"/>
    <cellStyle name="Migliaia [0] 5 2 2 4 5" xfId="53371" xr:uid="{81BDCD45-FE3B-4B2E-8256-FE54147A3FD3}"/>
    <cellStyle name="Migliaia [0] 5 2 2 5" xfId="19719" xr:uid="{8D7213C3-7771-423D-8E01-79C8F3C66E0A}"/>
    <cellStyle name="Migliaia [0] 5 2 2 6" xfId="24124" xr:uid="{3C35AA7F-6DA9-495A-8B06-9841FD31A9CA}"/>
    <cellStyle name="Migliaia [0] 5 2 2 7" xfId="48864" xr:uid="{01BB1850-ADDA-40D6-94BD-3C56F9AAF851}"/>
    <cellStyle name="Migliaia [0] 5 2 2 8" xfId="49770" xr:uid="{698250D9-67BB-42FE-8C39-720A7C7ADB5E}"/>
    <cellStyle name="Migliaia [0] 5 2 2 9" xfId="8470" xr:uid="{2FAC42C4-CE27-4184-88C7-7A31F6BBE3A0}"/>
    <cellStyle name="Migliaia [0] 5 2 3" xfId="4765" xr:uid="{AAF02636-24C8-41CE-9119-236991F3296B}"/>
    <cellStyle name="Migliaia [0] 5 2 3 2" xfId="32948" xr:uid="{02542C5A-00EC-4982-A500-2E6AD90A6FDE}"/>
    <cellStyle name="Migliaia [0] 5 2 3 2 2" xfId="38299" xr:uid="{3E77CD6E-6647-4809-BCBB-2AF7FAF61816}"/>
    <cellStyle name="Migliaia [0] 5 2 3 2 3" xfId="43601" xr:uid="{00654E8A-55B7-422B-BCA7-608BB8E151B6}"/>
    <cellStyle name="Migliaia [0] 5 2 3 3" xfId="35834" xr:uid="{DD64048E-8F23-4CBB-BCB9-322C7C5C919B}"/>
    <cellStyle name="Migliaia [0] 5 2 3 4" xfId="40950" xr:uid="{F54980B5-CAD0-4797-9705-C2BD44C949F7}"/>
    <cellStyle name="Migliaia [0] 5 2 3 5" xfId="11843" xr:uid="{C4BD864D-8BF5-4761-B6AD-55F2114CCD54}"/>
    <cellStyle name="Migliaia [0] 5 2 4" xfId="6003" xr:uid="{81A99985-9F3C-476A-96FF-4A9D149E3EE1}"/>
    <cellStyle name="Migliaia [0] 5 2 4 2" xfId="19718" xr:uid="{D91835BD-A029-4CA5-B8EA-BB963F048840}"/>
    <cellStyle name="Migliaia [0] 5 2 5" xfId="3039" xr:uid="{65F3B956-7D7C-45D3-8CE2-1B6DF77BDE2D}"/>
    <cellStyle name="Migliaia [0] 5 2 5 2" xfId="24123" xr:uid="{14742864-96F2-4CD4-B955-59E41C67058E}"/>
    <cellStyle name="Migliaia [0] 5 2 6" xfId="7280" xr:uid="{92143004-90DF-4C5D-AD65-3562A5BA4224}"/>
    <cellStyle name="Migliaia [0] 5 3" xfId="1615" xr:uid="{00000000-0005-0000-0000-000088020000}"/>
    <cellStyle name="Migliaia [0] 5 3 2" xfId="4767" xr:uid="{EEA64456-ECD8-45E4-8A53-6E42394FDD0C}"/>
    <cellStyle name="Migliaia [0] 5 3 2 2" xfId="18345" xr:uid="{8C1BC772-A18F-4E26-A654-8DDE4A906D64}"/>
    <cellStyle name="Migliaia [0] 5 3 2 2 2" xfId="21809" xr:uid="{1FF9F8BB-B2B4-470F-A7C1-BF798B613FFC}"/>
    <cellStyle name="Migliaia [0] 5 3 2 2 2 2" xfId="38300" xr:uid="{1CC4EB04-F90D-4F50-8870-A55440E2869F}"/>
    <cellStyle name="Migliaia [0] 5 3 2 2 3" xfId="43602" xr:uid="{1DA3D651-EA36-4C50-A70E-E78A519BBD01}"/>
    <cellStyle name="Migliaia [0] 5 3 2 2 4" xfId="32949" xr:uid="{8445A234-2D2D-4A08-9DC7-07E037432365}"/>
    <cellStyle name="Migliaia [0] 5 3 2 3" xfId="35835" xr:uid="{0AE15584-D8A2-4BD0-856E-1340EAE872C5}"/>
    <cellStyle name="Migliaia [0] 5 3 2 4" xfId="40951" xr:uid="{47C7A054-4E56-4539-BB31-22FA332D76D4}"/>
    <cellStyle name="Migliaia [0] 5 3 2 5" xfId="48043" xr:uid="{2FBD5BC9-C0F1-4382-BAAE-AC1E28D572DC}"/>
    <cellStyle name="Migliaia [0] 5 3 2 6" xfId="50837" xr:uid="{4BB4232B-9B6F-45E7-8395-59A44A8D72C7}"/>
    <cellStyle name="Migliaia [0] 5 3 2 7" xfId="53853" xr:uid="{929A99D3-5376-4219-81F1-83DA44F7D8FC}"/>
    <cellStyle name="Migliaia [0] 5 3 2 8" xfId="17621" xr:uid="{B2F92898-4364-40B6-83B2-14E0B51CE55A}"/>
    <cellStyle name="Migliaia [0] 5 3 2 9" xfId="11844" xr:uid="{797D2A9B-E305-4767-BB0A-51B3A534CA07}"/>
    <cellStyle name="Migliaia [0] 5 3 3" xfId="6004" xr:uid="{67E8C61C-4043-43B8-907F-F5F9B8856E02}"/>
    <cellStyle name="Migliaia [0] 5 3 3 2" xfId="12367" xr:uid="{DE73347B-0076-4320-B0B3-105C651FFE05}"/>
    <cellStyle name="Migliaia [0] 5 3 4" xfId="3041" xr:uid="{17168358-18AF-45FE-921A-42CBE63FB5DA}"/>
    <cellStyle name="Migliaia [0] 5 3 4 2" xfId="21341" xr:uid="{EAE49A2B-B8A4-489B-B1DF-EB152805DF61}"/>
    <cellStyle name="Migliaia [0] 5 3 4 3" xfId="46190" xr:uid="{B96E572E-4853-44D4-B69F-75508CDC8B33}"/>
    <cellStyle name="Migliaia [0] 5 3 4 4" xfId="50356" xr:uid="{6C84C544-6D6C-4E24-AB82-C1D3977A9311}"/>
    <cellStyle name="Migliaia [0] 5 3 4 5" xfId="53372" xr:uid="{0EBA70EA-F526-4FDE-9A5D-E15403C26B59}"/>
    <cellStyle name="Migliaia [0] 5 3 4 6" xfId="10706" xr:uid="{A9A47995-8109-4C35-9DC4-E1DAB755A2B7}"/>
    <cellStyle name="Migliaia [0] 5 3 5" xfId="19720" xr:uid="{C836817F-AED2-4C66-B6B0-23CA5D4F7C1B}"/>
    <cellStyle name="Migliaia [0] 5 3 6" xfId="24125" xr:uid="{16FE5D5B-1778-4350-BCB7-76EC7A61F53A}"/>
    <cellStyle name="Migliaia [0] 5 3 7" xfId="8228" xr:uid="{78264879-44F4-43B8-B083-F7DF1BD26DF5}"/>
    <cellStyle name="Migliaia [0] 5 4" xfId="3042" xr:uid="{EA0C2312-05AA-4F91-865D-92231B8278CA}"/>
    <cellStyle name="Migliaia [0] 5 4 2" xfId="4768" xr:uid="{8AF591E4-31E7-42B5-8345-B85016F1D6C2}"/>
    <cellStyle name="Migliaia [0] 5 4 2 2" xfId="35113" xr:uid="{649DE802-930F-4215-980F-171FEC51AE83}"/>
    <cellStyle name="Migliaia [0] 5 4 2 2 2" xfId="40271" xr:uid="{3B0918B0-2F35-4A3F-B60E-E181967CAB80}"/>
    <cellStyle name="Migliaia [0] 5 4 2 2 3" xfId="45573" xr:uid="{D33E925F-B66C-440E-AD4D-920074A07C67}"/>
    <cellStyle name="Migliaia [0] 5 4 2 3" xfId="37620" xr:uid="{8B3808D4-E621-4A72-83BE-10BD875F1E50}"/>
    <cellStyle name="Migliaia [0] 5 4 2 4" xfId="42922" xr:uid="{1B40ECDC-4695-4EE0-A66B-330BF6E67713}"/>
    <cellStyle name="Migliaia [0] 5 4 2 5" xfId="17053" xr:uid="{49900F29-717B-46A7-A8E1-F15E19AE290F}"/>
    <cellStyle name="Migliaia [0] 5 4 3" xfId="6005" xr:uid="{9EBF40E5-A356-488A-AEEB-671F944DD992}"/>
    <cellStyle name="Migliaia [0] 5 4 3 2" xfId="38301" xr:uid="{97A15FB1-4151-4056-864C-36844C309B28}"/>
    <cellStyle name="Migliaia [0] 5 4 3 3" xfId="43603" xr:uid="{C2E6B0DA-6F19-44D9-9128-0F4A3BF1D25B}"/>
    <cellStyle name="Migliaia [0] 5 4 3 4" xfId="32950" xr:uid="{C007015B-D77D-4939-9258-C207273CEDEA}"/>
    <cellStyle name="Migliaia [0] 5 4 3 5" xfId="19721" xr:uid="{90A2EBE2-1272-4B9B-A400-762744240111}"/>
    <cellStyle name="Migliaia [0] 5 4 4" xfId="35836" xr:uid="{165DC901-F35F-40D6-9BC2-0D11B11CF780}"/>
    <cellStyle name="Migliaia [0] 5 4 5" xfId="40952" xr:uid="{E0F8F166-206D-4D70-B570-F9B98917001B}"/>
    <cellStyle name="Migliaia [0] 5 4 6" xfId="15995" xr:uid="{DD657B4E-5BEB-4DA9-93B3-FA8015914656}"/>
    <cellStyle name="Migliaia [0] 5 4 7" xfId="7808" xr:uid="{61956B54-2B87-40AA-9090-3822FB18272E}"/>
    <cellStyle name="Migliaia [0] 5 5" xfId="4764" xr:uid="{3C6DB823-6801-463D-97C9-65D553F44DC7}"/>
    <cellStyle name="Migliaia [0] 5 5 2" xfId="32951" xr:uid="{B8F7592F-8EAE-4CDA-A48A-9D671DE46415}"/>
    <cellStyle name="Migliaia [0] 5 5 2 2" xfId="38302" xr:uid="{1C56C303-E7EF-4812-AAEC-5079D6220632}"/>
    <cellStyle name="Migliaia [0] 5 5 2 3" xfId="43604" xr:uid="{3478A64F-AA07-4A28-AE63-A860110C32B8}"/>
    <cellStyle name="Migliaia [0] 5 5 3" xfId="35837" xr:uid="{3FE1CFED-E67F-4222-BDF2-D760197141D5}"/>
    <cellStyle name="Migliaia [0] 5 5 4" xfId="40953" xr:uid="{D303312A-F5A4-4A21-A000-344E7001225C}"/>
    <cellStyle name="Migliaia [0] 5 5 5" xfId="17122" xr:uid="{C718E149-573A-4777-B383-6CF7E93DF553}"/>
    <cellStyle name="Migliaia [0] 5 6" xfId="6002" xr:uid="{28CE114B-9253-431D-BBD6-76D162CCFAAC}"/>
    <cellStyle name="Migliaia [0] 5 6 2" xfId="38298" xr:uid="{4DC00164-001D-4555-9E4B-E24F51B8C92D}"/>
    <cellStyle name="Migliaia [0] 5 6 3" xfId="43600" xr:uid="{03728021-FEA4-4792-99AD-CAF90ECB6032}"/>
    <cellStyle name="Migliaia [0] 5 6 4" xfId="32947" xr:uid="{EBDD562F-D9A0-4BB7-90B0-F881D3B79B76}"/>
    <cellStyle name="Migliaia [0] 5 6 5" xfId="19717" xr:uid="{65337CD9-D209-48F9-AEB2-2BBFA6668492}"/>
    <cellStyle name="Migliaia [0] 5 7" xfId="3038" xr:uid="{3F0DB9DB-E00E-459B-B0E7-0B35896E61C4}"/>
    <cellStyle name="Migliaia [0] 5 7 2" xfId="35833" xr:uid="{2B995635-060F-4153-9E4D-E21228557666}"/>
    <cellStyle name="Migliaia [0] 5 8" xfId="40949" xr:uid="{6E7080F9-DC7A-41D3-85FB-50939D472AC3}"/>
    <cellStyle name="Migliaia [0] 5 9" xfId="7029" xr:uid="{A44627C1-6008-4B3A-9ABF-848F2DA0498A}"/>
    <cellStyle name="Migliaia [0] 50" xfId="287" xr:uid="{00000000-0005-0000-0000-000089020000}"/>
    <cellStyle name="Migliaia [0] 50 2" xfId="1616" xr:uid="{00000000-0005-0000-0000-00008A020000}"/>
    <cellStyle name="Migliaia [0] 50 2 2" xfId="1617" xr:uid="{00000000-0005-0000-0000-00008B020000}"/>
    <cellStyle name="Migliaia [0] 50 2 2 2" xfId="4771" xr:uid="{1B09896B-A258-412A-A7DD-E7DB6D81541A}"/>
    <cellStyle name="Migliaia [0] 50 2 2 2 2" xfId="21810" xr:uid="{0D779509-9171-4F31-B20A-E050D3FA89BB}"/>
    <cellStyle name="Migliaia [0] 50 2 2 2 3" xfId="47415" xr:uid="{0A592F25-D1B5-439E-8FBB-E66322557DB8}"/>
    <cellStyle name="Migliaia [0] 50 2 2 2 4" xfId="50838" xr:uid="{9EE27707-2286-4637-A63D-263CBB28C12E}"/>
    <cellStyle name="Migliaia [0] 50 2 2 2 5" xfId="53854" xr:uid="{93E056BF-FEA3-44B5-B4FF-0EDE5FE23D4B}"/>
    <cellStyle name="Migliaia [0] 50 2 2 2 6" xfId="11845" xr:uid="{D7BD6D21-B639-48ED-96A1-24361C5DC444}"/>
    <cellStyle name="Migliaia [0] 50 2 2 3" xfId="3045" xr:uid="{6501384D-D0CB-4354-B932-812AEBBC6B88}"/>
    <cellStyle name="Migliaia [0] 50 2 2 3 2" xfId="11174" xr:uid="{1D857B50-CB9E-4453-9DE6-5B77D3F0BC27}"/>
    <cellStyle name="Migliaia [0] 50 2 2 4" xfId="10707" xr:uid="{BF920876-F5A1-4938-85C2-8E5A0A5DD57F}"/>
    <cellStyle name="Migliaia [0] 50 2 2 4 2" xfId="21342" xr:uid="{FF3BC3AC-F8AA-4705-AA77-369ADA809462}"/>
    <cellStyle name="Migliaia [0] 50 2 2 4 3" xfId="48287" xr:uid="{AA215645-1137-4E23-BF97-08CEC3DAB65A}"/>
    <cellStyle name="Migliaia [0] 50 2 2 4 4" xfId="50357" xr:uid="{B4D6D501-FA11-4A71-9A3C-D7C3CBC3225A}"/>
    <cellStyle name="Migliaia [0] 50 2 2 4 5" xfId="53373" xr:uid="{2EA34045-771F-498D-9D83-2DE1460911DC}"/>
    <cellStyle name="Migliaia [0] 50 2 2 5" xfId="19724" xr:uid="{9A54F824-C004-4F21-876F-45CA8D3EB6F3}"/>
    <cellStyle name="Migliaia [0] 50 2 2 6" xfId="24127" xr:uid="{71470F48-11DA-4FEB-AA85-083681CB6511}"/>
    <cellStyle name="Migliaia [0] 50 2 2 7" xfId="48865" xr:uid="{C62C4BCF-6612-43B0-B6C2-352B2EF870B0}"/>
    <cellStyle name="Migliaia [0] 50 2 2 8" xfId="49771" xr:uid="{D43F522A-ED88-4993-9026-82FDB96587CF}"/>
    <cellStyle name="Migliaia [0] 50 2 2 9" xfId="8471" xr:uid="{413A1610-84CF-4652-971B-7AAD175F36FB}"/>
    <cellStyle name="Migliaia [0] 50 2 3" xfId="4770" xr:uid="{C77DDA14-7259-4990-B0D4-73A23DBB14B7}"/>
    <cellStyle name="Migliaia [0] 50 2 3 2" xfId="32953" xr:uid="{D0E5F5A9-B47F-4437-88B9-6263037B573A}"/>
    <cellStyle name="Migliaia [0] 50 2 3 2 2" xfId="38304" xr:uid="{F46D8312-16CF-4F50-A3E7-2AC4F07E5F43}"/>
    <cellStyle name="Migliaia [0] 50 2 3 2 3" xfId="43606" xr:uid="{FF252AAB-C1B0-494D-9F5F-BD2D9271F33F}"/>
    <cellStyle name="Migliaia [0] 50 2 3 3" xfId="35839" xr:uid="{2D37B6D0-164D-4721-A99F-48C19C7DBC7C}"/>
    <cellStyle name="Migliaia [0] 50 2 3 4" xfId="40955" xr:uid="{BA0E0835-522E-4C66-989B-27BBDCA30E61}"/>
    <cellStyle name="Migliaia [0] 50 2 3 5" xfId="11846" xr:uid="{27779D9E-629E-4D21-A1F8-879B7D639ABB}"/>
    <cellStyle name="Migliaia [0] 50 2 4" xfId="6007" xr:uid="{8EF7FCB7-F223-4BF7-9277-E9A53A29E859}"/>
    <cellStyle name="Migliaia [0] 50 2 4 2" xfId="19723" xr:uid="{8173DB31-2466-4238-AB86-4895C7326EF4}"/>
    <cellStyle name="Migliaia [0] 50 2 5" xfId="3044" xr:uid="{EED3D59E-5F89-4CC4-966C-01CB231358D6}"/>
    <cellStyle name="Migliaia [0] 50 2 5 2" xfId="24126" xr:uid="{6C14C1D6-9DB1-4D34-BF11-8BD7F7839AAC}"/>
    <cellStyle name="Migliaia [0] 50 2 6" xfId="7281" xr:uid="{12E5534F-0AD1-429E-9F2A-14F74630EB44}"/>
    <cellStyle name="Migliaia [0] 50 3" xfId="1618" xr:uid="{00000000-0005-0000-0000-00008C020000}"/>
    <cellStyle name="Migliaia [0] 50 3 2" xfId="4772" xr:uid="{7A24BE6B-A743-4370-9A0C-C46050A87090}"/>
    <cellStyle name="Migliaia [0] 50 3 2 2" xfId="18346" xr:uid="{67693AB5-9988-47F3-B3B6-1250F9F9B130}"/>
    <cellStyle name="Migliaia [0] 50 3 2 2 2" xfId="21811" xr:uid="{FC7658CA-89B8-4FBF-8281-A8089DF7D190}"/>
    <cellStyle name="Migliaia [0] 50 3 2 2 2 2" xfId="38305" xr:uid="{55D23817-8502-43DD-8196-A806DA69602F}"/>
    <cellStyle name="Migliaia [0] 50 3 2 2 3" xfId="43607" xr:uid="{E61E7AE5-09C4-4013-909F-37B6C755F33B}"/>
    <cellStyle name="Migliaia [0] 50 3 2 2 4" xfId="32954" xr:uid="{0F21AD68-23D1-4CEC-8C6D-0841055722BC}"/>
    <cellStyle name="Migliaia [0] 50 3 2 3" xfId="35840" xr:uid="{47B60D79-97AE-4CF4-9781-449415C2F21A}"/>
    <cellStyle name="Migliaia [0] 50 3 2 4" xfId="40956" xr:uid="{4202573C-FC2F-46F5-8D01-18B0B4BA9E68}"/>
    <cellStyle name="Migliaia [0] 50 3 2 5" xfId="32437" xr:uid="{0164CF5D-21B1-44B1-8001-08B2164E7A98}"/>
    <cellStyle name="Migliaia [0] 50 3 2 6" xfId="50839" xr:uid="{D4A46CEC-CB46-45A2-9CD1-D74BAE97B1D0}"/>
    <cellStyle name="Migliaia [0] 50 3 2 7" xfId="53855" xr:uid="{D3388949-BA3C-45CE-9512-1B783D0DBFC8}"/>
    <cellStyle name="Migliaia [0] 50 3 2 8" xfId="17622" xr:uid="{D4786CC9-B50B-4DE4-B5D7-E4F8F6BD884B}"/>
    <cellStyle name="Migliaia [0] 50 3 2 9" xfId="11847" xr:uid="{9471DBA6-C278-4D6C-89CB-42C55A3C6F27}"/>
    <cellStyle name="Migliaia [0] 50 3 3" xfId="6008" xr:uid="{D98FA3CE-2541-4421-A400-D0232D7559F7}"/>
    <cellStyle name="Migliaia [0] 50 3 3 2" xfId="12209" xr:uid="{E70FDFA6-B6AF-4B95-AD17-6C8694852CFE}"/>
    <cellStyle name="Migliaia [0] 50 3 4" xfId="3046" xr:uid="{D9EC0509-567B-4F93-BD4C-9AFF436746F4}"/>
    <cellStyle name="Migliaia [0] 50 3 4 2" xfId="21343" xr:uid="{CDEA1CD2-17CF-4CC0-B4A5-6FB510F0CDE4}"/>
    <cellStyle name="Migliaia [0] 50 3 4 3" xfId="48467" xr:uid="{AA7BD62C-2CFA-4F0B-A236-3FCDD3716A3A}"/>
    <cellStyle name="Migliaia [0] 50 3 4 4" xfId="50358" xr:uid="{4B04CD79-E9B8-45E1-94E0-2A8A8E3BB5D1}"/>
    <cellStyle name="Migliaia [0] 50 3 4 5" xfId="53374" xr:uid="{FAFFC1B9-0CBC-453E-8C47-F81079E9D87D}"/>
    <cellStyle name="Migliaia [0] 50 3 4 6" xfId="10708" xr:uid="{B1D3E95D-3AD2-45E0-9718-E57064809A22}"/>
    <cellStyle name="Migliaia [0] 50 3 5" xfId="19725" xr:uid="{50016285-DF15-42EB-AD77-B6FE618F59A7}"/>
    <cellStyle name="Migliaia [0] 50 3 6" xfId="24128" xr:uid="{767E88CE-46FA-4263-8553-B4BDB4A405FE}"/>
    <cellStyle name="Migliaia [0] 50 3 7" xfId="8229" xr:uid="{49DB432C-0119-4B3C-B39A-0179C5B0AEED}"/>
    <cellStyle name="Migliaia [0] 50 4" xfId="3047" xr:uid="{CAE89269-BD28-4093-9E2F-D1E40A8F8202}"/>
    <cellStyle name="Migliaia [0] 50 4 2" xfId="4773" xr:uid="{70405372-B612-46CC-8641-9F5DBCB4E0F1}"/>
    <cellStyle name="Migliaia [0] 50 4 2 2" xfId="35114" xr:uid="{CE0E311D-8A0B-405D-BDBF-14F3F14E4917}"/>
    <cellStyle name="Migliaia [0] 50 4 2 2 2" xfId="40272" xr:uid="{6D77E4C3-3F21-49FD-81F3-D2A803651748}"/>
    <cellStyle name="Migliaia [0] 50 4 2 2 3" xfId="45574" xr:uid="{83E4A895-5194-4786-9F5B-C8C207A80084}"/>
    <cellStyle name="Migliaia [0] 50 4 2 3" xfId="37621" xr:uid="{58DC82AB-859A-4B83-8D45-24B821A626A7}"/>
    <cellStyle name="Migliaia [0] 50 4 2 4" xfId="42923" xr:uid="{296EB02B-7DCD-4E4C-AFCC-D3460275CBF6}"/>
    <cellStyle name="Migliaia [0] 50 4 2 5" xfId="17054" xr:uid="{40AC1319-2C23-443B-8196-2A06A43F4AF5}"/>
    <cellStyle name="Migliaia [0] 50 4 3" xfId="6009" xr:uid="{674A426F-A4AA-4F46-960C-5D4843A32D7E}"/>
    <cellStyle name="Migliaia [0] 50 4 3 2" xfId="38306" xr:uid="{94BF0F8B-98C1-4722-9ED1-5C7EE49CAB0D}"/>
    <cellStyle name="Migliaia [0] 50 4 3 3" xfId="43608" xr:uid="{D5F6DB2F-9C62-458F-9D6E-5C68E393E756}"/>
    <cellStyle name="Migliaia [0] 50 4 3 4" xfId="32955" xr:uid="{EF00DE0E-DF74-4CDF-91D5-AA013EBACADC}"/>
    <cellStyle name="Migliaia [0] 50 4 3 5" xfId="19726" xr:uid="{9609E53B-6523-4250-96B6-5D7739DFCF02}"/>
    <cellStyle name="Migliaia [0] 50 4 4" xfId="35841" xr:uid="{835319DF-D9EC-4F4A-8A07-8368B27B4F13}"/>
    <cellStyle name="Migliaia [0] 50 4 5" xfId="40957" xr:uid="{ABDD8BB5-586E-419A-93C6-669291150D27}"/>
    <cellStyle name="Migliaia [0] 50 4 6" xfId="15996" xr:uid="{6CE5A688-919A-4F93-87B9-7206DC64ECD9}"/>
    <cellStyle name="Migliaia [0] 50 4 7" xfId="7809" xr:uid="{8C994083-054E-491D-9E06-9703B53510FB}"/>
    <cellStyle name="Migliaia [0] 50 5" xfId="4769" xr:uid="{1362F498-5A50-4EAD-9FC1-6C4B94FEF5BE}"/>
    <cellStyle name="Migliaia [0] 50 5 2" xfId="32956" xr:uid="{D04F9FC2-870F-4C06-8212-DE393F5EBFEE}"/>
    <cellStyle name="Migliaia [0] 50 5 2 2" xfId="38307" xr:uid="{4CBA307B-EB59-45D8-B4FB-47A3FB0A905E}"/>
    <cellStyle name="Migliaia [0] 50 5 2 3" xfId="43609" xr:uid="{9307F536-3107-487E-B6C3-05E7691D214A}"/>
    <cellStyle name="Migliaia [0] 50 5 3" xfId="35842" xr:uid="{E86E4503-4F00-4E4B-A0B8-4BF712EB3D03}"/>
    <cellStyle name="Migliaia [0] 50 5 4" xfId="40958" xr:uid="{87A0636E-B673-44A2-BC58-47E647C0AF56}"/>
    <cellStyle name="Migliaia [0] 50 5 5" xfId="17123" xr:uid="{625383D6-B506-4076-9B51-EEDD91BE4914}"/>
    <cellStyle name="Migliaia [0] 50 6" xfId="6006" xr:uid="{B4B0825C-A5DA-473D-8EC6-40CBCAF67322}"/>
    <cellStyle name="Migliaia [0] 50 6 2" xfId="38303" xr:uid="{17B11985-2C9E-411B-A724-C619557D8AC4}"/>
    <cellStyle name="Migliaia [0] 50 6 3" xfId="43605" xr:uid="{782E36E9-D953-4BCF-9938-96DB264A856D}"/>
    <cellStyle name="Migliaia [0] 50 6 4" xfId="32952" xr:uid="{512BEAD1-AC77-4ADF-A250-EB7AF985B28B}"/>
    <cellStyle name="Migliaia [0] 50 6 5" xfId="19722" xr:uid="{B2D52448-1E79-4647-8ECC-4E83137BCA6A}"/>
    <cellStyle name="Migliaia [0] 50 7" xfId="3043" xr:uid="{E0E10029-BAA8-4245-B483-84A5D72059E2}"/>
    <cellStyle name="Migliaia [0] 50 7 2" xfId="35838" xr:uid="{49D113B5-D6B1-4F85-8FEA-80FA406A635C}"/>
    <cellStyle name="Migliaia [0] 50 8" xfId="40954" xr:uid="{46913918-5BC2-4C25-B719-785B6FC27E50}"/>
    <cellStyle name="Migliaia [0] 50 9" xfId="7030" xr:uid="{C07FEE0C-22D7-48EB-9685-275293085CBF}"/>
    <cellStyle name="Migliaia [0] 51" xfId="288" xr:uid="{00000000-0005-0000-0000-00008D020000}"/>
    <cellStyle name="Migliaia [0] 51 2" xfId="1619" xr:uid="{00000000-0005-0000-0000-00008E020000}"/>
    <cellStyle name="Migliaia [0] 51 2 2" xfId="1620" xr:uid="{00000000-0005-0000-0000-00008F020000}"/>
    <cellStyle name="Migliaia [0] 51 2 2 2" xfId="4776" xr:uid="{D057B8B0-6A27-4052-A826-3ED5C60BF2FE}"/>
    <cellStyle name="Migliaia [0] 51 2 2 2 2" xfId="21812" xr:uid="{BAE1E163-C9AE-4816-8CF5-492E21FD9A58}"/>
    <cellStyle name="Migliaia [0] 51 2 2 2 3" xfId="48393" xr:uid="{B967835E-4A02-4D58-BC5A-C759BB03AE7A}"/>
    <cellStyle name="Migliaia [0] 51 2 2 2 4" xfId="50840" xr:uid="{8987FB87-89E7-48B9-B506-17BEAED03137}"/>
    <cellStyle name="Migliaia [0] 51 2 2 2 5" xfId="53856" xr:uid="{53928B78-0E04-4938-B9D0-4B94FFCF8E7A}"/>
    <cellStyle name="Migliaia [0] 51 2 2 2 6" xfId="11848" xr:uid="{58AAE645-0D67-4A94-959D-7419E1645B6A}"/>
    <cellStyle name="Migliaia [0] 51 2 2 3" xfId="3050" xr:uid="{5771EA5A-8C39-42DB-8645-129826F8F624}"/>
    <cellStyle name="Migliaia [0] 51 2 2 3 2" xfId="12330" xr:uid="{73DCD7A2-C10F-4698-8F3C-9F56FDD17745}"/>
    <cellStyle name="Migliaia [0] 51 2 2 4" xfId="10709" xr:uid="{E6857429-47DA-40F8-93A7-CA626354D66B}"/>
    <cellStyle name="Migliaia [0] 51 2 2 4 2" xfId="21344" xr:uid="{AC968838-7E65-4319-876E-60CEC8E67740}"/>
    <cellStyle name="Migliaia [0] 51 2 2 4 3" xfId="46191" xr:uid="{52F46572-F3A3-43C4-9595-C55D65DDDDA5}"/>
    <cellStyle name="Migliaia [0] 51 2 2 4 4" xfId="50359" xr:uid="{3338AE49-9C4A-4645-8363-A22A064D1CB7}"/>
    <cellStyle name="Migliaia [0] 51 2 2 4 5" xfId="53375" xr:uid="{7C1F94C0-0A93-4727-8E80-B67FB245BF50}"/>
    <cellStyle name="Migliaia [0] 51 2 2 5" xfId="19729" xr:uid="{E48DB0AE-B457-4CF0-946B-EDC25C8904E5}"/>
    <cellStyle name="Migliaia [0] 51 2 2 6" xfId="24130" xr:uid="{1055A1F4-C6DF-444D-BF29-1FAAD7B1845C}"/>
    <cellStyle name="Migliaia [0] 51 2 2 7" xfId="48866" xr:uid="{231DE12F-7691-48E0-B52F-9299171C55CB}"/>
    <cellStyle name="Migliaia [0] 51 2 2 8" xfId="49772" xr:uid="{B03A941D-11E8-4348-976F-9E0B98BFF05E}"/>
    <cellStyle name="Migliaia [0] 51 2 2 9" xfId="8472" xr:uid="{CE9DC235-EFF9-417C-95DC-C53B53883206}"/>
    <cellStyle name="Migliaia [0] 51 2 3" xfId="4775" xr:uid="{2B4E65B6-8FF6-4A35-A3E7-5BF79BAFD099}"/>
    <cellStyle name="Migliaia [0] 51 2 3 2" xfId="32958" xr:uid="{64BA04C9-2BE1-4632-ABCD-C6299BC7AAB2}"/>
    <cellStyle name="Migliaia [0] 51 2 3 2 2" xfId="38309" xr:uid="{5CCC0AC1-E75A-4D56-9D75-99474D216482}"/>
    <cellStyle name="Migliaia [0] 51 2 3 2 3" xfId="43611" xr:uid="{A3E1F99B-3091-4962-B756-9E18D486C609}"/>
    <cellStyle name="Migliaia [0] 51 2 3 3" xfId="35844" xr:uid="{D55BEA44-4ABF-4001-BA89-05AD1CCE7B43}"/>
    <cellStyle name="Migliaia [0] 51 2 3 4" xfId="40960" xr:uid="{32B019D9-087A-46F6-9257-28B04E4EC34E}"/>
    <cellStyle name="Migliaia [0] 51 2 3 5" xfId="11849" xr:uid="{1FED25E3-7FBD-4AD0-A9CC-243AE6851EA2}"/>
    <cellStyle name="Migliaia [0] 51 2 4" xfId="6011" xr:uid="{8E85BB4A-456D-4332-AEF4-BD3537B3F358}"/>
    <cellStyle name="Migliaia [0] 51 2 4 2" xfId="19728" xr:uid="{56D6885F-EC03-41C4-8C28-C20E15E0E8D3}"/>
    <cellStyle name="Migliaia [0] 51 2 5" xfId="3049" xr:uid="{A3A741F7-3D2D-4092-BB8E-EBB5E98B0FA6}"/>
    <cellStyle name="Migliaia [0] 51 2 5 2" xfId="24129" xr:uid="{8383B0AD-A171-4C0B-9552-12728D6E9553}"/>
    <cellStyle name="Migliaia [0] 51 2 6" xfId="7282" xr:uid="{9F376A6C-3BC4-488B-A256-7914B95958B5}"/>
    <cellStyle name="Migliaia [0] 51 3" xfId="1621" xr:uid="{00000000-0005-0000-0000-000090020000}"/>
    <cellStyle name="Migliaia [0] 51 3 2" xfId="4777" xr:uid="{59AFADEC-D985-494A-AC3B-B927EC602DF8}"/>
    <cellStyle name="Migliaia [0] 51 3 2 2" xfId="18347" xr:uid="{DCB11A1B-0CFE-431C-956B-94F260AD72DB}"/>
    <cellStyle name="Migliaia [0] 51 3 2 2 2" xfId="21813" xr:uid="{00CDFCFE-0F1D-4452-9FEC-2FC7661BFD05}"/>
    <cellStyle name="Migliaia [0] 51 3 2 2 2 2" xfId="38310" xr:uid="{555AA84B-EA49-46C1-A7E9-C4EDD8280D2E}"/>
    <cellStyle name="Migliaia [0] 51 3 2 2 3" xfId="43612" xr:uid="{D5EC004B-A7C2-43ED-BCAF-AD028094AC84}"/>
    <cellStyle name="Migliaia [0] 51 3 2 2 4" xfId="32959" xr:uid="{2F716110-86BD-4F47-A89E-B06A8F22DFB9}"/>
    <cellStyle name="Migliaia [0] 51 3 2 3" xfId="35845" xr:uid="{F0E36332-E541-4771-8AA1-3A216753A3E6}"/>
    <cellStyle name="Migliaia [0] 51 3 2 4" xfId="40961" xr:uid="{37306413-8889-4A88-9BB3-BDF9988CB341}"/>
    <cellStyle name="Migliaia [0] 51 3 2 5" xfId="47159" xr:uid="{23FA99F2-63CE-47B4-B073-70604D913DAB}"/>
    <cellStyle name="Migliaia [0] 51 3 2 6" xfId="50841" xr:uid="{32AC8D93-AC71-409C-80B6-CD13330A929A}"/>
    <cellStyle name="Migliaia [0] 51 3 2 7" xfId="53857" xr:uid="{1A2E7663-1C67-44CC-A9F9-DE0547989141}"/>
    <cellStyle name="Migliaia [0] 51 3 2 8" xfId="17623" xr:uid="{AE1D2FA6-ACB1-4FFA-A81E-397F1056C232}"/>
    <cellStyle name="Migliaia [0] 51 3 2 9" xfId="11850" xr:uid="{155F0505-0AC3-4D0D-8767-E52042DD2371}"/>
    <cellStyle name="Migliaia [0] 51 3 3" xfId="6012" xr:uid="{43A95878-3908-4303-BA22-168A8EAE614C}"/>
    <cellStyle name="Migliaia [0] 51 3 3 2" xfId="12366" xr:uid="{C9B54049-E5A7-45AE-B394-42153FF231A9}"/>
    <cellStyle name="Migliaia [0] 51 3 4" xfId="3051" xr:uid="{EE70C815-DD67-445E-8CD2-670D8D2CBD85}"/>
    <cellStyle name="Migliaia [0] 51 3 4 2" xfId="21345" xr:uid="{D44F42FE-26CA-483C-B589-E8CED9EFC767}"/>
    <cellStyle name="Migliaia [0] 51 3 4 3" xfId="47594" xr:uid="{10924BE4-6CB8-4CEA-90ED-C6933573AB40}"/>
    <cellStyle name="Migliaia [0] 51 3 4 4" xfId="50360" xr:uid="{0DAB65DA-4581-497F-91D4-0C812474E258}"/>
    <cellStyle name="Migliaia [0] 51 3 4 5" xfId="53376" xr:uid="{AE67070F-A07E-4C84-A79A-2BC26126D623}"/>
    <cellStyle name="Migliaia [0] 51 3 4 6" xfId="10710" xr:uid="{D73D74A6-0869-43BC-BBBF-F3770FBE5378}"/>
    <cellStyle name="Migliaia [0] 51 3 5" xfId="19730" xr:uid="{ABE843A5-E063-4F33-8A40-22267E384D36}"/>
    <cellStyle name="Migliaia [0] 51 3 6" xfId="24131" xr:uid="{DE3CF452-348C-4377-9561-86335F5E1E7D}"/>
    <cellStyle name="Migliaia [0] 51 3 7" xfId="8230" xr:uid="{5DB3A31E-BE45-448A-A905-E68F4C9E3203}"/>
    <cellStyle name="Migliaia [0] 51 4" xfId="3052" xr:uid="{CC7E76CC-99AA-4139-AB8A-1F39706E4C26}"/>
    <cellStyle name="Migliaia [0] 51 4 2" xfId="4778" xr:uid="{233A750B-33EC-40F0-BBE5-797030766A56}"/>
    <cellStyle name="Migliaia [0] 51 4 2 2" xfId="35115" xr:uid="{B9EF9336-3BCE-4C6A-ACCE-2176D69E92DC}"/>
    <cellStyle name="Migliaia [0] 51 4 2 2 2" xfId="40273" xr:uid="{0366C10C-FA5B-4EAB-A3B7-38DFECFEA4FB}"/>
    <cellStyle name="Migliaia [0] 51 4 2 2 3" xfId="45575" xr:uid="{85F61C09-19B8-42A8-B1F7-DB964AFE9B15}"/>
    <cellStyle name="Migliaia [0] 51 4 2 3" xfId="37622" xr:uid="{A97C9E6B-483B-46C9-9583-EA59E379BBE9}"/>
    <cellStyle name="Migliaia [0] 51 4 2 4" xfId="42924" xr:uid="{831AE8EE-24E6-4561-9A22-DC69C64F1BA6}"/>
    <cellStyle name="Migliaia [0] 51 4 2 5" xfId="17055" xr:uid="{2A5E7389-0194-4C1B-B6CE-D5AED06D32DB}"/>
    <cellStyle name="Migliaia [0] 51 4 3" xfId="6013" xr:uid="{0F3D1A97-E64A-49BF-82A3-AE10E560097C}"/>
    <cellStyle name="Migliaia [0] 51 4 3 2" xfId="38311" xr:uid="{53714D75-7E88-4A65-A70B-78839ED127A5}"/>
    <cellStyle name="Migliaia [0] 51 4 3 3" xfId="43613" xr:uid="{9E1D0633-A063-411C-A9A7-78996A3CCEDF}"/>
    <cellStyle name="Migliaia [0] 51 4 3 4" xfId="32960" xr:uid="{6F8E87D5-A0DD-4C62-9B84-EAA8A7F5B2DA}"/>
    <cellStyle name="Migliaia [0] 51 4 3 5" xfId="19731" xr:uid="{6C5334BB-36D8-484B-BCA8-697C9AEB44AE}"/>
    <cellStyle name="Migliaia [0] 51 4 4" xfId="35846" xr:uid="{FC19EBDA-85CD-4BEC-A597-927F1F18DAA8}"/>
    <cellStyle name="Migliaia [0] 51 4 5" xfId="40962" xr:uid="{E840E546-0621-43CC-8031-AD1DCC743AF0}"/>
    <cellStyle name="Migliaia [0] 51 4 6" xfId="15997" xr:uid="{9B0D28EB-AC65-4E44-A56D-F8C3451971A7}"/>
    <cellStyle name="Migliaia [0] 51 4 7" xfId="7810" xr:uid="{12DD7958-F04E-4935-B640-BF0250F909AC}"/>
    <cellStyle name="Migliaia [0] 51 5" xfId="4774" xr:uid="{42248D48-CD4C-46EF-9510-257DE98A6F9E}"/>
    <cellStyle name="Migliaia [0] 51 5 2" xfId="32961" xr:uid="{8CA8FC27-3E81-4763-9BAC-5ECBBF44E490}"/>
    <cellStyle name="Migliaia [0] 51 5 2 2" xfId="38312" xr:uid="{9000499F-B913-4CF8-AC9F-98D331D7FF8C}"/>
    <cellStyle name="Migliaia [0] 51 5 2 3" xfId="43614" xr:uid="{FF50D374-1A72-4AE0-B306-7BDE2F7120DC}"/>
    <cellStyle name="Migliaia [0] 51 5 3" xfId="35847" xr:uid="{C6265231-05A4-4923-941E-E16DDA809CA4}"/>
    <cellStyle name="Migliaia [0] 51 5 4" xfId="40963" xr:uid="{A6DE5E74-258D-4691-AB53-3B63465E925B}"/>
    <cellStyle name="Migliaia [0] 51 5 5" xfId="17124" xr:uid="{8BF69655-F68B-46F9-9156-F001E184FE10}"/>
    <cellStyle name="Migliaia [0] 51 6" xfId="6010" xr:uid="{6DD7CE24-44CB-42E2-A807-FF2C6F89D3D0}"/>
    <cellStyle name="Migliaia [0] 51 6 2" xfId="38308" xr:uid="{C1008659-5857-4618-A8B0-D2A0073D072B}"/>
    <cellStyle name="Migliaia [0] 51 6 3" xfId="43610" xr:uid="{9E89C385-5862-4F65-92F9-C3C345C86C12}"/>
    <cellStyle name="Migliaia [0] 51 6 4" xfId="32957" xr:uid="{275AE345-0AE8-4DB0-ADEB-D30B7E58462E}"/>
    <cellStyle name="Migliaia [0] 51 6 5" xfId="19727" xr:uid="{0A4E0870-10CE-4E1B-BE61-9BC62ADE02B9}"/>
    <cellStyle name="Migliaia [0] 51 7" xfId="3048" xr:uid="{4A28D015-CC96-47E3-B146-54586E08B880}"/>
    <cellStyle name="Migliaia [0] 51 7 2" xfId="35843" xr:uid="{744AA196-EC63-4824-AF62-55C2E64B37CF}"/>
    <cellStyle name="Migliaia [0] 51 8" xfId="40959" xr:uid="{326FCC74-A415-4068-A8AE-59922A867424}"/>
    <cellStyle name="Migliaia [0] 51 9" xfId="7031" xr:uid="{2836C799-79B1-46BF-98A0-5A4283B234F3}"/>
    <cellStyle name="Migliaia [0] 52" xfId="289" xr:uid="{00000000-0005-0000-0000-000091020000}"/>
    <cellStyle name="Migliaia [0] 52 2" xfId="1622" xr:uid="{00000000-0005-0000-0000-000092020000}"/>
    <cellStyle name="Migliaia [0] 52 2 2" xfId="1623" xr:uid="{00000000-0005-0000-0000-000093020000}"/>
    <cellStyle name="Migliaia [0] 52 2 2 2" xfId="4781" xr:uid="{5F6F9507-4B46-4DAA-A72B-9B2FECC3A56B}"/>
    <cellStyle name="Migliaia [0] 52 2 2 2 2" xfId="21814" xr:uid="{554A9C1A-2259-4F5A-BEE4-145C0DCFE921}"/>
    <cellStyle name="Migliaia [0] 52 2 2 2 3" xfId="48006" xr:uid="{6276D919-4863-4588-9832-9D1B6874AE95}"/>
    <cellStyle name="Migliaia [0] 52 2 2 2 4" xfId="50842" xr:uid="{F1DD001F-E2A4-47BD-9687-C0483D35766A}"/>
    <cellStyle name="Migliaia [0] 52 2 2 2 5" xfId="53858" xr:uid="{0059389B-9BFD-4381-BB11-9928AEA405E1}"/>
    <cellStyle name="Migliaia [0] 52 2 2 2 6" xfId="11851" xr:uid="{0882D14A-4433-435A-AA2D-EB784C1FA2B5}"/>
    <cellStyle name="Migliaia [0] 52 2 2 3" xfId="3055" xr:uid="{A6BEC58A-B439-4B86-B230-5FE5DC12D512}"/>
    <cellStyle name="Migliaia [0] 52 2 2 3 2" xfId="12329" xr:uid="{451E361A-6894-4C9A-9FF4-61311B62197D}"/>
    <cellStyle name="Migliaia [0] 52 2 2 4" xfId="10711" xr:uid="{95BFCC7E-6E2A-4D30-83A8-B1B73D07DC85}"/>
    <cellStyle name="Migliaia [0] 52 2 2 4 2" xfId="21346" xr:uid="{3B374E51-4896-43AA-BA03-D7F2AE6583F0}"/>
    <cellStyle name="Migliaia [0] 52 2 2 4 3" xfId="46192" xr:uid="{D676F8E0-D5FA-4138-8895-BC8B798CB0F9}"/>
    <cellStyle name="Migliaia [0] 52 2 2 4 4" xfId="50361" xr:uid="{F8600B49-A9AD-46CE-B46C-7CEABFF02F20}"/>
    <cellStyle name="Migliaia [0] 52 2 2 4 5" xfId="53377" xr:uid="{32EC0F1F-7B53-42C2-900B-A0B56B8B2ACC}"/>
    <cellStyle name="Migliaia [0] 52 2 2 5" xfId="19734" xr:uid="{7844710B-8365-4777-A47A-436C3A2091D6}"/>
    <cellStyle name="Migliaia [0] 52 2 2 6" xfId="24133" xr:uid="{6097D353-7C45-45D3-99E5-1582A45C3688}"/>
    <cellStyle name="Migliaia [0] 52 2 2 7" xfId="48867" xr:uid="{E4E50F7A-7797-447A-B205-E3FD5922167F}"/>
    <cellStyle name="Migliaia [0] 52 2 2 8" xfId="49773" xr:uid="{A1D31CA4-EA48-431C-84CD-0AE45FBEDA78}"/>
    <cellStyle name="Migliaia [0] 52 2 2 9" xfId="8473" xr:uid="{F2C05E06-7A8C-4FD8-8F0C-C43E762895EC}"/>
    <cellStyle name="Migliaia [0] 52 2 3" xfId="4780" xr:uid="{6F7DEC58-B58C-4CAA-A1D8-25A8864451CC}"/>
    <cellStyle name="Migliaia [0] 52 2 3 2" xfId="32963" xr:uid="{D0EBF67E-CC49-41F1-B518-99CDE053F013}"/>
    <cellStyle name="Migliaia [0] 52 2 3 2 2" xfId="38314" xr:uid="{C32DBB32-B695-463F-AE23-EDC325D5BAFA}"/>
    <cellStyle name="Migliaia [0] 52 2 3 2 3" xfId="43616" xr:uid="{02FB4B31-9763-4529-97D6-0F0E90E44AF1}"/>
    <cellStyle name="Migliaia [0] 52 2 3 3" xfId="35849" xr:uid="{7BBFB64C-7443-425B-93B6-8F9460ABF21F}"/>
    <cellStyle name="Migliaia [0] 52 2 3 4" xfId="40965" xr:uid="{7157E69F-2BD9-4658-B1DC-B3CFD4681460}"/>
    <cellStyle name="Migliaia [0] 52 2 3 5" xfId="11852" xr:uid="{37340A22-9D75-404C-ACAF-A0842F147BF4}"/>
    <cellStyle name="Migliaia [0] 52 2 4" xfId="6015" xr:uid="{A30B5FE9-AA91-4881-860B-3E88A7275B2F}"/>
    <cellStyle name="Migliaia [0] 52 2 4 2" xfId="19733" xr:uid="{BBAF94D0-984E-476E-AD30-E5B46F4E2DD7}"/>
    <cellStyle name="Migliaia [0] 52 2 5" xfId="3054" xr:uid="{38A63953-4C32-4A85-AB5C-09DDD2102FDF}"/>
    <cellStyle name="Migliaia [0] 52 2 5 2" xfId="24132" xr:uid="{CF3319F4-BE1B-45DF-8DD7-590243F99B10}"/>
    <cellStyle name="Migliaia [0] 52 2 6" xfId="7283" xr:uid="{E104FA7B-68DE-4427-A8E3-5B02975BA05E}"/>
    <cellStyle name="Migliaia [0] 52 3" xfId="1624" xr:uid="{00000000-0005-0000-0000-000094020000}"/>
    <cellStyle name="Migliaia [0] 52 3 2" xfId="4782" xr:uid="{BDC2EB66-46E4-4F6D-9082-7368C569F5DB}"/>
    <cellStyle name="Migliaia [0] 52 3 2 2" xfId="18348" xr:uid="{B578041A-468C-45A4-B504-DF4014BF07B9}"/>
    <cellStyle name="Migliaia [0] 52 3 2 2 2" xfId="21815" xr:uid="{1AC6D616-741E-4A0F-A55A-AAB577A58EA5}"/>
    <cellStyle name="Migliaia [0] 52 3 2 2 2 2" xfId="38315" xr:uid="{BD890EEB-6831-488F-9D5F-B4418E19FD5E}"/>
    <cellStyle name="Migliaia [0] 52 3 2 2 3" xfId="43617" xr:uid="{A571C8EF-10DF-4B2D-83C8-498739447DDC}"/>
    <cellStyle name="Migliaia [0] 52 3 2 2 4" xfId="32964" xr:uid="{3EE34454-62BE-4E30-A3DF-EB32EDF0AA1A}"/>
    <cellStyle name="Migliaia [0] 52 3 2 3" xfId="35850" xr:uid="{69FABD38-0DFD-4334-82B9-2EFCA5D094D9}"/>
    <cellStyle name="Migliaia [0] 52 3 2 4" xfId="40966" xr:uid="{878C07C2-5EF2-426B-BE14-C76BD7DAA388}"/>
    <cellStyle name="Migliaia [0] 52 3 2 5" xfId="25123" xr:uid="{8C05ABDE-BD98-4088-8E51-2CAF7A66414D}"/>
    <cellStyle name="Migliaia [0] 52 3 2 6" xfId="50843" xr:uid="{068505BC-A5F6-4E4B-82EF-17D934426261}"/>
    <cellStyle name="Migliaia [0] 52 3 2 7" xfId="53859" xr:uid="{91AD95C3-3A58-4FB7-BBBD-20D9BBC8D94A}"/>
    <cellStyle name="Migliaia [0] 52 3 2 8" xfId="17624" xr:uid="{CC6CD3BA-52C7-4740-AE4B-098E922B6379}"/>
    <cellStyle name="Migliaia [0] 52 3 2 9" xfId="11853" xr:uid="{4D901551-6756-4117-95AD-A4EF74A3952F}"/>
    <cellStyle name="Migliaia [0] 52 3 3" xfId="6016" xr:uid="{2E580CF6-88A9-4019-98C1-7542B28963C3}"/>
    <cellStyle name="Migliaia [0] 52 3 3 2" xfId="12210" xr:uid="{8D0C89D0-0FC6-46B8-B6FB-FE93610BF820}"/>
    <cellStyle name="Migliaia [0] 52 3 4" xfId="3056" xr:uid="{8165A51B-2992-41F2-B079-B1C4CAAE80F4}"/>
    <cellStyle name="Migliaia [0] 52 3 4 2" xfId="21347" xr:uid="{C12C3797-1776-40AD-9C6A-7530D5477910}"/>
    <cellStyle name="Migliaia [0] 52 3 4 3" xfId="48170" xr:uid="{9C70E99B-17FB-4845-899E-075C8CE6A28B}"/>
    <cellStyle name="Migliaia [0] 52 3 4 4" xfId="50362" xr:uid="{39E10A4E-8A57-4EC1-8AFB-C5F791E17347}"/>
    <cellStyle name="Migliaia [0] 52 3 4 5" xfId="53378" xr:uid="{8779F546-88F9-4E75-9CF2-285FF7A4C5DA}"/>
    <cellStyle name="Migliaia [0] 52 3 4 6" xfId="10712" xr:uid="{0A1F7E56-447B-487B-AF65-B239822F8D20}"/>
    <cellStyle name="Migliaia [0] 52 3 5" xfId="19735" xr:uid="{86B1685D-9234-4210-8BC8-F0930D0220EA}"/>
    <cellStyle name="Migliaia [0] 52 3 6" xfId="24134" xr:uid="{90F06B7C-9852-4827-8575-65B46338EF5F}"/>
    <cellStyle name="Migliaia [0] 52 3 7" xfId="8231" xr:uid="{F4B5C948-62F7-4B80-947A-F8FB1A16DD43}"/>
    <cellStyle name="Migliaia [0] 52 4" xfId="3057" xr:uid="{B2498148-7299-45FA-9073-DAAC32142C6C}"/>
    <cellStyle name="Migliaia [0] 52 4 2" xfId="4783" xr:uid="{1831141C-B017-4F27-8A31-A5E223483273}"/>
    <cellStyle name="Migliaia [0] 52 4 2 2" xfId="35116" xr:uid="{80A4EF26-1E79-48B3-B107-A58025507009}"/>
    <cellStyle name="Migliaia [0] 52 4 2 2 2" xfId="40274" xr:uid="{9EF865E8-B7CD-4B8F-AC11-D99F63D10035}"/>
    <cellStyle name="Migliaia [0] 52 4 2 2 3" xfId="45576" xr:uid="{91CFF374-8ABC-42C2-9E73-D014765CE8F6}"/>
    <cellStyle name="Migliaia [0] 52 4 2 3" xfId="37623" xr:uid="{81FCA5CB-BA94-453A-BF06-D7B85321D91A}"/>
    <cellStyle name="Migliaia [0] 52 4 2 4" xfId="42925" xr:uid="{07DE6D96-07C2-4F1F-8DED-E83D7D4A98D6}"/>
    <cellStyle name="Migliaia [0] 52 4 2 5" xfId="17056" xr:uid="{65521528-71EE-4EDE-AF6A-3EBE71EEB735}"/>
    <cellStyle name="Migliaia [0] 52 4 3" xfId="6017" xr:uid="{8C94118D-6A8A-4A4D-AF09-04FAD040C927}"/>
    <cellStyle name="Migliaia [0] 52 4 3 2" xfId="38316" xr:uid="{0F6D0FB8-E57B-4069-ABD1-1931B89CBB96}"/>
    <cellStyle name="Migliaia [0] 52 4 3 3" xfId="43618" xr:uid="{B05C1E70-ED2B-46C5-A760-E01D8C05EC5D}"/>
    <cellStyle name="Migliaia [0] 52 4 3 4" xfId="32965" xr:uid="{EACB2FE5-6C88-44AC-93B1-09B6E30D2B3E}"/>
    <cellStyle name="Migliaia [0] 52 4 3 5" xfId="19736" xr:uid="{A2AA1B60-B5BC-41FB-8203-C7CE0FAC95E6}"/>
    <cellStyle name="Migliaia [0] 52 4 4" xfId="35851" xr:uid="{6F99725A-39D8-469B-8C65-4B8ECEF33723}"/>
    <cellStyle name="Migliaia [0] 52 4 5" xfId="40967" xr:uid="{27D6ED78-AB4E-4665-88B1-F8B9B2ADF69E}"/>
    <cellStyle name="Migliaia [0] 52 4 6" xfId="15998" xr:uid="{C43ACC52-633B-4AFB-BEFF-4104A4468468}"/>
    <cellStyle name="Migliaia [0] 52 4 7" xfId="7811" xr:uid="{B3CADCA7-4618-4EB5-BA57-8B21BC25A957}"/>
    <cellStyle name="Migliaia [0] 52 5" xfId="4779" xr:uid="{C8C9579A-C7B0-4236-A5E1-6DBCB79F7A78}"/>
    <cellStyle name="Migliaia [0] 52 5 2" xfId="32966" xr:uid="{D0FDE776-A73C-4057-82B8-E18C79C4F646}"/>
    <cellStyle name="Migliaia [0] 52 5 2 2" xfId="38317" xr:uid="{9A10A670-AC4B-4CCE-BD67-1D8024212BB9}"/>
    <cellStyle name="Migliaia [0] 52 5 2 3" xfId="43619" xr:uid="{8AB61B3E-2402-4D31-8005-32ABA961B0AC}"/>
    <cellStyle name="Migliaia [0] 52 5 3" xfId="35852" xr:uid="{D7128CC8-1684-434B-B0D8-C3A6217D2B45}"/>
    <cellStyle name="Migliaia [0] 52 5 4" xfId="40968" xr:uid="{1EFA194F-A1BC-471F-9617-36CEB17A960B}"/>
    <cellStyle name="Migliaia [0] 52 5 5" xfId="17125" xr:uid="{98432BEB-5557-497F-9DE9-A9CC868C239E}"/>
    <cellStyle name="Migliaia [0] 52 6" xfId="6014" xr:uid="{7665F33B-1CEF-4D5F-B08D-32E36C47DDC8}"/>
    <cellStyle name="Migliaia [0] 52 6 2" xfId="38313" xr:uid="{33BB928A-D8DC-4069-A178-398CCBBD9C02}"/>
    <cellStyle name="Migliaia [0] 52 6 3" xfId="43615" xr:uid="{A5F6F81B-162A-49EF-97D3-02EFBD95413D}"/>
    <cellStyle name="Migliaia [0] 52 6 4" xfId="32962" xr:uid="{277CD111-A147-4BE9-84DC-7A02421FF2A2}"/>
    <cellStyle name="Migliaia [0] 52 6 5" xfId="19732" xr:uid="{C3200E9D-6368-4172-97B5-6ED3056B12BA}"/>
    <cellStyle name="Migliaia [0] 52 7" xfId="3053" xr:uid="{37DC50DF-5C3C-4046-A602-543B1D222D34}"/>
    <cellStyle name="Migliaia [0] 52 7 2" xfId="35848" xr:uid="{89127E3B-43A5-4389-9292-0C83CDC43ADF}"/>
    <cellStyle name="Migliaia [0] 52 8" xfId="40964" xr:uid="{C23CFFF0-C730-4BF4-A6A0-B5FBBF96A31C}"/>
    <cellStyle name="Migliaia [0] 52 9" xfId="7032" xr:uid="{6D0B5F87-0089-4305-A73A-0F4213FFA941}"/>
    <cellStyle name="Migliaia [0] 53" xfId="290" xr:uid="{00000000-0005-0000-0000-000095020000}"/>
    <cellStyle name="Migliaia [0] 53 2" xfId="1625" xr:uid="{00000000-0005-0000-0000-000096020000}"/>
    <cellStyle name="Migliaia [0] 53 2 2" xfId="1626" xr:uid="{00000000-0005-0000-0000-000097020000}"/>
    <cellStyle name="Migliaia [0] 53 2 2 2" xfId="4786" xr:uid="{316087C8-DD39-4656-838C-F5E8D129AB49}"/>
    <cellStyle name="Migliaia [0] 53 2 2 2 2" xfId="21816" xr:uid="{3E261FD4-7D3C-40F3-BB50-98AFD21431FB}"/>
    <cellStyle name="Migliaia [0] 53 2 2 2 3" xfId="47520" xr:uid="{E08A7FCB-00D7-4484-893F-A9C4CDDD93C7}"/>
    <cellStyle name="Migliaia [0] 53 2 2 2 4" xfId="50844" xr:uid="{430FEA34-7563-4F2E-94A2-107E6139145B}"/>
    <cellStyle name="Migliaia [0] 53 2 2 2 5" xfId="53860" xr:uid="{1B3CA2D4-3D12-41A0-B321-0BBD116A1A66}"/>
    <cellStyle name="Migliaia [0] 53 2 2 2 6" xfId="11854" xr:uid="{98F9439A-1BA9-44FE-8143-B335FF5ABF63}"/>
    <cellStyle name="Migliaia [0] 53 2 2 3" xfId="3060" xr:uid="{8CF465D2-6F86-4BE8-B656-25F2BAE81AEC}"/>
    <cellStyle name="Migliaia [0] 53 2 2 3 2" xfId="12328" xr:uid="{3524FE13-FFD9-41FD-B228-507EE276B10E}"/>
    <cellStyle name="Migliaia [0] 53 2 2 4" xfId="10713" xr:uid="{500FCFDF-FB87-4886-BDC8-649CBC55AA7B}"/>
    <cellStyle name="Migliaia [0] 53 2 2 4 2" xfId="21348" xr:uid="{4B6820DE-D02F-4A93-B30F-BD4B5043557E}"/>
    <cellStyle name="Migliaia [0] 53 2 2 4 3" xfId="46193" xr:uid="{8908A0BE-FA04-4BD0-B8B3-C3BD6C3DFEF7}"/>
    <cellStyle name="Migliaia [0] 53 2 2 4 4" xfId="50363" xr:uid="{9F20699F-52BC-44A9-95F3-92834883EA6F}"/>
    <cellStyle name="Migliaia [0] 53 2 2 4 5" xfId="53379" xr:uid="{D90B2FBF-472B-430D-A2E1-3D87C22C1E0E}"/>
    <cellStyle name="Migliaia [0] 53 2 2 5" xfId="19739" xr:uid="{622B413A-1DC5-48F6-ACEB-D3339055B184}"/>
    <cellStyle name="Migliaia [0] 53 2 2 6" xfId="24136" xr:uid="{BBC1EFCC-43FB-412B-9D47-B0801FE9618B}"/>
    <cellStyle name="Migliaia [0] 53 2 2 7" xfId="48868" xr:uid="{62E9250D-BB20-4FC4-8853-38268ECB41EF}"/>
    <cellStyle name="Migliaia [0] 53 2 2 8" xfId="49774" xr:uid="{B0752782-747D-437E-B457-70C0D33211DF}"/>
    <cellStyle name="Migliaia [0] 53 2 2 9" xfId="8474" xr:uid="{0B2EF882-98E9-46F9-A856-215BA603FBD7}"/>
    <cellStyle name="Migliaia [0] 53 2 3" xfId="4785" xr:uid="{52CCD22F-2397-414D-A008-AF8DE7223F9A}"/>
    <cellStyle name="Migliaia [0] 53 2 3 2" xfId="32968" xr:uid="{2363B54F-ABB3-4D63-B15B-976DB967BE10}"/>
    <cellStyle name="Migliaia [0] 53 2 3 2 2" xfId="38319" xr:uid="{54FB129A-6FD2-42D6-B37B-A7C9853E8960}"/>
    <cellStyle name="Migliaia [0] 53 2 3 2 3" xfId="43621" xr:uid="{E28E443A-21A0-405B-92D8-1F0E2C61503B}"/>
    <cellStyle name="Migliaia [0] 53 2 3 3" xfId="35854" xr:uid="{C60D00AA-CDE5-47AF-B30F-B4467317F264}"/>
    <cellStyle name="Migliaia [0] 53 2 3 4" xfId="40970" xr:uid="{43801775-67A7-438C-95B2-CFAEAC95C3DB}"/>
    <cellStyle name="Migliaia [0] 53 2 3 5" xfId="11855" xr:uid="{8550EFA2-DAFF-448D-9B94-5F70EF90CB1C}"/>
    <cellStyle name="Migliaia [0] 53 2 4" xfId="6019" xr:uid="{265A2FC2-65CD-43A1-BC2E-59755C673984}"/>
    <cellStyle name="Migliaia [0] 53 2 4 2" xfId="19738" xr:uid="{E4E861B7-8C25-4D7F-A0D7-E0099BD988D0}"/>
    <cellStyle name="Migliaia [0] 53 2 5" xfId="3059" xr:uid="{3AB1EE8F-EEE8-4D3A-9991-B66419621C3B}"/>
    <cellStyle name="Migliaia [0] 53 2 5 2" xfId="24135" xr:uid="{7CEB524C-57BE-4D4A-906F-FA565100EA71}"/>
    <cellStyle name="Migliaia [0] 53 2 6" xfId="7284" xr:uid="{F97F3866-680A-4363-98E9-06F6B0E8B410}"/>
    <cellStyle name="Migliaia [0] 53 3" xfId="1627" xr:uid="{00000000-0005-0000-0000-000098020000}"/>
    <cellStyle name="Migliaia [0] 53 3 2" xfId="4787" xr:uid="{86E21B47-AC8B-4AF4-A9FF-338B02DE17DA}"/>
    <cellStyle name="Migliaia [0] 53 3 2 2" xfId="18349" xr:uid="{0B4429C3-C852-4E0F-9525-E8B9A14387DE}"/>
    <cellStyle name="Migliaia [0] 53 3 2 2 2" xfId="21817" xr:uid="{CA6CD023-4C04-4D9E-B258-17992C8C7DC4}"/>
    <cellStyle name="Migliaia [0] 53 3 2 2 2 2" xfId="38320" xr:uid="{8DC563E9-C1D7-4E05-9C13-C79E6F16704A}"/>
    <cellStyle name="Migliaia [0] 53 3 2 2 3" xfId="43622" xr:uid="{632A2C46-5E1F-4DD8-A2EF-E363BAFF0DC5}"/>
    <cellStyle name="Migliaia [0] 53 3 2 2 4" xfId="32969" xr:uid="{5A760CEE-9525-42DE-A2FA-7B3A58515672}"/>
    <cellStyle name="Migliaia [0] 53 3 2 3" xfId="35855" xr:uid="{E5503C67-3064-4467-8EBD-6B8223A763CF}"/>
    <cellStyle name="Migliaia [0] 53 3 2 4" xfId="40971" xr:uid="{D0482F01-C027-4E84-97E9-5D916A0520A5}"/>
    <cellStyle name="Migliaia [0] 53 3 2 5" xfId="47751" xr:uid="{A4461923-9415-4EA7-841D-E138B59262F8}"/>
    <cellStyle name="Migliaia [0] 53 3 2 6" xfId="50845" xr:uid="{623B8342-3706-4611-A25C-F0D044537A4E}"/>
    <cellStyle name="Migliaia [0] 53 3 2 7" xfId="53861" xr:uid="{CC2741D0-3FA5-43AD-90A5-FDD70F62DB55}"/>
    <cellStyle name="Migliaia [0] 53 3 2 8" xfId="17625" xr:uid="{01AA4A2F-844D-4CAF-96E1-600C48427C96}"/>
    <cellStyle name="Migliaia [0] 53 3 2 9" xfId="11856" xr:uid="{6277BCA3-BE34-45A0-BF57-060480768D59}"/>
    <cellStyle name="Migliaia [0] 53 3 3" xfId="6020" xr:uid="{5E8E526E-77C7-4135-87CA-203D5A40E355}"/>
    <cellStyle name="Migliaia [0] 53 3 3 2" xfId="11117" xr:uid="{8F96C754-567E-4073-8475-E449D2817A05}"/>
    <cellStyle name="Migliaia [0] 53 3 4" xfId="3061" xr:uid="{21E48DE2-A40A-4B88-B9F5-D01C35C8AEA6}"/>
    <cellStyle name="Migliaia [0] 53 3 4 2" xfId="21349" xr:uid="{A072F61F-91AB-4792-887C-7146E0AC16A5}"/>
    <cellStyle name="Migliaia [0] 53 3 4 3" xfId="47071" xr:uid="{5199356C-69E8-4720-91EF-58C8661D7234}"/>
    <cellStyle name="Migliaia [0] 53 3 4 4" xfId="50364" xr:uid="{51999E80-163F-4990-88FF-1EBF148E90A9}"/>
    <cellStyle name="Migliaia [0] 53 3 4 5" xfId="53380" xr:uid="{5F10B523-C714-4925-A5A3-FFE926ACCEFB}"/>
    <cellStyle name="Migliaia [0] 53 3 4 6" xfId="10714" xr:uid="{81461F2D-E890-44BF-80B0-9D3D731A8CE0}"/>
    <cellStyle name="Migliaia [0] 53 3 5" xfId="19740" xr:uid="{8ABEBDAE-2ED9-4FA6-A451-1457703BE362}"/>
    <cellStyle name="Migliaia [0] 53 3 6" xfId="24137" xr:uid="{D6BEE149-8B95-43DD-8993-DE38401FDF59}"/>
    <cellStyle name="Migliaia [0] 53 3 7" xfId="8232" xr:uid="{21877115-6BDA-41C5-B1D0-20B1B2DB3D45}"/>
    <cellStyle name="Migliaia [0] 53 4" xfId="3062" xr:uid="{CB5EFF73-451C-4B4B-9D75-5D534B37EEAA}"/>
    <cellStyle name="Migliaia [0] 53 4 2" xfId="4788" xr:uid="{C9A8684B-13EB-4703-A62D-4A361CFB5639}"/>
    <cellStyle name="Migliaia [0] 53 4 2 2" xfId="35117" xr:uid="{A114B5A7-3C44-4C7D-954A-30ACB577F3F5}"/>
    <cellStyle name="Migliaia [0] 53 4 2 2 2" xfId="40275" xr:uid="{2FEBF23A-3F8F-43F7-B56B-7A2DDA8B98B6}"/>
    <cellStyle name="Migliaia [0] 53 4 2 2 3" xfId="45577" xr:uid="{9A9248CE-4567-48F0-A981-7B15138B06BB}"/>
    <cellStyle name="Migliaia [0] 53 4 2 3" xfId="37624" xr:uid="{73EB3CA1-C5F2-4ACF-8D5A-2BF06CFFE2C1}"/>
    <cellStyle name="Migliaia [0] 53 4 2 4" xfId="42926" xr:uid="{BA028124-C5EA-4E58-BB15-E72B7187182D}"/>
    <cellStyle name="Migliaia [0] 53 4 2 5" xfId="17057" xr:uid="{E7B0A7C5-E619-4BCE-BC5F-F102C503488C}"/>
    <cellStyle name="Migliaia [0] 53 4 3" xfId="6021" xr:uid="{EC04CCD8-DF98-4924-8969-4D0946570BAD}"/>
    <cellStyle name="Migliaia [0] 53 4 3 2" xfId="38321" xr:uid="{2C7A9A66-5E3E-47B8-80E3-4893A5C14F38}"/>
    <cellStyle name="Migliaia [0] 53 4 3 3" xfId="43623" xr:uid="{A3BE6A26-F6CD-42C0-8E80-DBB668F2C836}"/>
    <cellStyle name="Migliaia [0] 53 4 3 4" xfId="32970" xr:uid="{A43906A4-B6DA-479F-A84A-7E3770741D31}"/>
    <cellStyle name="Migliaia [0] 53 4 3 5" xfId="19741" xr:uid="{D10D3E57-BC51-40BB-B5FC-C83BEA6A42D2}"/>
    <cellStyle name="Migliaia [0] 53 4 4" xfId="35856" xr:uid="{68293786-F5F5-471D-B12A-80E4B668F12F}"/>
    <cellStyle name="Migliaia [0] 53 4 5" xfId="40972" xr:uid="{5AFB5B30-9C56-44E9-8C0D-8394F6869F7C}"/>
    <cellStyle name="Migliaia [0] 53 4 6" xfId="15999" xr:uid="{D1D44F15-B15B-46C5-911D-0E96B91BC4D8}"/>
    <cellStyle name="Migliaia [0] 53 4 7" xfId="7812" xr:uid="{7D4F3333-9E60-4CE0-B706-8A3BADD52455}"/>
    <cellStyle name="Migliaia [0] 53 5" xfId="4784" xr:uid="{D3A35F88-C82B-433A-94C0-6CA780A2FDA8}"/>
    <cellStyle name="Migliaia [0] 53 5 2" xfId="32971" xr:uid="{EECDF96A-BAB8-4BDC-A8B7-BEC1916729CF}"/>
    <cellStyle name="Migliaia [0] 53 5 2 2" xfId="38322" xr:uid="{DF7CA4C0-A2AD-4856-9237-ECB6CAC462F0}"/>
    <cellStyle name="Migliaia [0] 53 5 2 3" xfId="43624" xr:uid="{E3510A28-942C-4D62-95D6-30B86F652A69}"/>
    <cellStyle name="Migliaia [0] 53 5 3" xfId="35857" xr:uid="{36407D39-D41E-47AC-96EE-77CD886EB87C}"/>
    <cellStyle name="Migliaia [0] 53 5 4" xfId="40973" xr:uid="{584381A9-D384-4B1B-90D8-283AC42F0E1E}"/>
    <cellStyle name="Migliaia [0] 53 5 5" xfId="17126" xr:uid="{BD8BC5E9-0504-4B69-ADD1-FD407D1797D0}"/>
    <cellStyle name="Migliaia [0] 53 6" xfId="6018" xr:uid="{C60CEE32-BB38-4B9D-9B58-907D432916DC}"/>
    <cellStyle name="Migliaia [0] 53 6 2" xfId="38318" xr:uid="{508A4546-DA52-4675-9AC0-D1FEE9157160}"/>
    <cellStyle name="Migliaia [0] 53 6 3" xfId="43620" xr:uid="{B93C809E-FB0A-4EF3-B601-6531652DBE0F}"/>
    <cellStyle name="Migliaia [0] 53 6 4" xfId="32967" xr:uid="{FC31F18B-F110-42C3-9AB0-9A84C7AEB7A6}"/>
    <cellStyle name="Migliaia [0] 53 6 5" xfId="19737" xr:uid="{664787BD-7D3C-4528-9533-F00375768966}"/>
    <cellStyle name="Migliaia [0] 53 7" xfId="3058" xr:uid="{45D240B8-8F67-49BD-8A4F-90257045FAFA}"/>
    <cellStyle name="Migliaia [0] 53 7 2" xfId="35853" xr:uid="{3B576361-7ECB-4BD7-BFD3-1E4447577BBA}"/>
    <cellStyle name="Migliaia [0] 53 8" xfId="40969" xr:uid="{6717B455-18F9-43DA-A4CF-BA9A2E038DE8}"/>
    <cellStyle name="Migliaia [0] 53 9" xfId="7033" xr:uid="{58F0C426-4727-4817-9696-DA892C85ADD7}"/>
    <cellStyle name="Migliaia [0] 54" xfId="291" xr:uid="{00000000-0005-0000-0000-000099020000}"/>
    <cellStyle name="Migliaia [0] 54 2" xfId="1628" xr:uid="{00000000-0005-0000-0000-00009A020000}"/>
    <cellStyle name="Migliaia [0] 54 2 2" xfId="1629" xr:uid="{00000000-0005-0000-0000-00009B020000}"/>
    <cellStyle name="Migliaia [0] 54 2 2 2" xfId="4791" xr:uid="{114F6748-BE84-419C-B17C-553AF166F672}"/>
    <cellStyle name="Migliaia [0] 54 2 2 2 2" xfId="21818" xr:uid="{B91BE227-664F-48F0-9499-EC3EA3A60FF3}"/>
    <cellStyle name="Migliaia [0] 54 2 2 2 3" xfId="48576" xr:uid="{21E1C248-0A61-4319-A32B-9048F95938F6}"/>
    <cellStyle name="Migliaia [0] 54 2 2 2 4" xfId="50846" xr:uid="{01E6A0FD-82EA-4CCF-AAF5-28A69626158D}"/>
    <cellStyle name="Migliaia [0] 54 2 2 2 5" xfId="53862" xr:uid="{3C22D9EF-5F9E-4B5A-9010-655C2312454F}"/>
    <cellStyle name="Migliaia [0] 54 2 2 2 6" xfId="11857" xr:uid="{FEAD6D76-BC30-482F-8768-EB4862854036}"/>
    <cellStyle name="Migliaia [0] 54 2 2 3" xfId="3065" xr:uid="{FC73AD0A-9DC6-47B1-9A14-F6044BED51A0}"/>
    <cellStyle name="Migliaia [0] 54 2 2 3 2" xfId="12327" xr:uid="{6410B35E-6D51-4386-A77B-B3D784BB5A29}"/>
    <cellStyle name="Migliaia [0] 54 2 2 4" xfId="10715" xr:uid="{5B028AB6-5648-43AE-8046-457D076E3ACA}"/>
    <cellStyle name="Migliaia [0] 54 2 2 4 2" xfId="21350" xr:uid="{975C99B1-BF17-4C3A-A9DF-A96E423BA09F}"/>
    <cellStyle name="Migliaia [0] 54 2 2 4 3" xfId="46194" xr:uid="{5ABA07A1-1CFE-4C11-B945-D43EFCA7BDBD}"/>
    <cellStyle name="Migliaia [0] 54 2 2 4 4" xfId="50365" xr:uid="{851B80E9-4767-4081-AA76-D53B08AD67C2}"/>
    <cellStyle name="Migliaia [0] 54 2 2 4 5" xfId="53381" xr:uid="{C98593D4-CE7C-42E9-9511-0CA8D5FA5EA6}"/>
    <cellStyle name="Migliaia [0] 54 2 2 5" xfId="19744" xr:uid="{3E449A76-8B9D-441F-855D-4B02686F6541}"/>
    <cellStyle name="Migliaia [0] 54 2 2 6" xfId="24139" xr:uid="{B141BE1A-4F52-4779-857E-88F086FD398D}"/>
    <cellStyle name="Migliaia [0] 54 2 2 7" xfId="48869" xr:uid="{C9BBDA60-757E-4544-A87D-3856CAD6FE8C}"/>
    <cellStyle name="Migliaia [0] 54 2 2 8" xfId="49775" xr:uid="{6EA407BE-D5EB-477F-B599-013EFF252E20}"/>
    <cellStyle name="Migliaia [0] 54 2 2 9" xfId="8475" xr:uid="{0AFFE79C-C653-4C37-82DF-1677E6EAA9A2}"/>
    <cellStyle name="Migliaia [0] 54 2 3" xfId="4790" xr:uid="{F4FB53CB-1F1F-40B9-A88D-929B8DE091F1}"/>
    <cellStyle name="Migliaia [0] 54 2 3 2" xfId="32973" xr:uid="{2A3A0D06-A7D4-415B-9819-9AE566570EB3}"/>
    <cellStyle name="Migliaia [0] 54 2 3 2 2" xfId="38324" xr:uid="{3E1C8F4B-CF84-421E-A416-1FC065B9766A}"/>
    <cellStyle name="Migliaia [0] 54 2 3 2 3" xfId="43626" xr:uid="{7E8B6964-3B46-492F-8E3F-468CAC9779D1}"/>
    <cellStyle name="Migliaia [0] 54 2 3 3" xfId="35859" xr:uid="{48E424A5-445C-43BB-8BEB-FE636C7D186D}"/>
    <cellStyle name="Migliaia [0] 54 2 3 4" xfId="40975" xr:uid="{D7F4CD8B-4164-4F6E-BE30-D66941041B5F}"/>
    <cellStyle name="Migliaia [0] 54 2 3 5" xfId="11858" xr:uid="{8750A656-88EE-4400-B24E-EEBA4832BC33}"/>
    <cellStyle name="Migliaia [0] 54 2 4" xfId="6023" xr:uid="{DD369C1A-8FCB-443C-9A84-B2F92A14B8C5}"/>
    <cellStyle name="Migliaia [0] 54 2 4 2" xfId="19743" xr:uid="{CF82C218-F70C-40EA-B7E1-913AEB79A83F}"/>
    <cellStyle name="Migliaia [0] 54 2 5" xfId="3064" xr:uid="{34B2E2B9-9190-4F3D-9835-7EDC5219BB10}"/>
    <cellStyle name="Migliaia [0] 54 2 5 2" xfId="24138" xr:uid="{ECD0D751-4E6E-412B-ABA2-7D34B1AFAF0E}"/>
    <cellStyle name="Migliaia [0] 54 2 6" xfId="7285" xr:uid="{A674D3C8-B71B-4181-818B-E5691013A6CA}"/>
    <cellStyle name="Migliaia [0] 54 3" xfId="1630" xr:uid="{00000000-0005-0000-0000-00009C020000}"/>
    <cellStyle name="Migliaia [0] 54 3 2" xfId="4792" xr:uid="{79657E01-1E47-410E-B0BE-B436B89CB00E}"/>
    <cellStyle name="Migliaia [0] 54 3 2 2" xfId="18350" xr:uid="{E4563BD1-E9FE-4C1A-9714-90B9757E5C52}"/>
    <cellStyle name="Migliaia [0] 54 3 2 2 2" xfId="21819" xr:uid="{51592DF5-2CB3-4843-835C-85B8998D1D10}"/>
    <cellStyle name="Migliaia [0] 54 3 2 2 2 2" xfId="38325" xr:uid="{4428E005-8AE0-422A-9F3A-9DEBD7C39807}"/>
    <cellStyle name="Migliaia [0] 54 3 2 2 3" xfId="43627" xr:uid="{0A36794B-E595-4039-B0BE-31999F8052B1}"/>
    <cellStyle name="Migliaia [0] 54 3 2 2 4" xfId="32974" xr:uid="{4FCEC821-FD05-40B1-934A-8EC9E712DEA3}"/>
    <cellStyle name="Migliaia [0] 54 3 2 3" xfId="35860" xr:uid="{DB62CBB1-E338-4550-BDD0-231404B9AB68}"/>
    <cellStyle name="Migliaia [0] 54 3 2 4" xfId="40976" xr:uid="{22A49A8B-42B8-49BB-9A52-82F2DC79DB46}"/>
    <cellStyle name="Migliaia [0] 54 3 2 5" xfId="47211" xr:uid="{A1585752-48C1-4BF0-9699-DD864325BF1A}"/>
    <cellStyle name="Migliaia [0] 54 3 2 6" xfId="50847" xr:uid="{5F579355-6C4F-4B0B-A578-E341AC226E7E}"/>
    <cellStyle name="Migliaia [0] 54 3 2 7" xfId="53863" xr:uid="{B519BFC0-F0AD-459A-BD98-42DECE0FA38E}"/>
    <cellStyle name="Migliaia [0] 54 3 2 8" xfId="17626" xr:uid="{3FB30F15-7212-4E78-8CF9-131E98B7656E}"/>
    <cellStyle name="Migliaia [0] 54 3 2 9" xfId="11859" xr:uid="{B15484B8-C574-4F4F-8710-1C50384CDA74}"/>
    <cellStyle name="Migliaia [0] 54 3 3" xfId="6024" xr:uid="{D58E503D-AFC4-4434-B549-2FB18BF4012D}"/>
    <cellStyle name="Migliaia [0] 54 3 3 2" xfId="11669" xr:uid="{A066BCD4-C68B-4D29-8B15-17DA25020F25}"/>
    <cellStyle name="Migliaia [0] 54 3 4" xfId="3066" xr:uid="{39BC87CC-51BF-441E-A4B9-4ED72DF7966A}"/>
    <cellStyle name="Migliaia [0] 54 3 4 2" xfId="21351" xr:uid="{C310A768-11A4-484C-825E-ADAC8E5CA580}"/>
    <cellStyle name="Migliaia [0] 54 3 4 3" xfId="47411" xr:uid="{97D487E0-CAC5-4862-B6A2-9E68A360830F}"/>
    <cellStyle name="Migliaia [0] 54 3 4 4" xfId="50366" xr:uid="{0E6C00A7-D199-4613-9411-EA432DDEA9C4}"/>
    <cellStyle name="Migliaia [0] 54 3 4 5" xfId="53382" xr:uid="{191204AE-5C65-4550-84A5-5AC0291F73EF}"/>
    <cellStyle name="Migliaia [0] 54 3 4 6" xfId="10716" xr:uid="{6CDB5118-6FCC-429B-84F3-A41CD81A4B41}"/>
    <cellStyle name="Migliaia [0] 54 3 5" xfId="19745" xr:uid="{EA71A5D9-912F-4FC7-A4D8-948F6F0FDF77}"/>
    <cellStyle name="Migliaia [0] 54 3 6" xfId="24140" xr:uid="{352D7E9D-AF41-48A7-9CC8-3E09833443ED}"/>
    <cellStyle name="Migliaia [0] 54 3 7" xfId="8233" xr:uid="{3D8929A8-685B-455E-8872-4CA70B7D59B1}"/>
    <cellStyle name="Migliaia [0] 54 4" xfId="3067" xr:uid="{61DE0B87-E9F6-4FF9-9E1B-A605C81E72A6}"/>
    <cellStyle name="Migliaia [0] 54 4 2" xfId="4793" xr:uid="{09EE1087-4741-4BAF-9268-F67AE36BC563}"/>
    <cellStyle name="Migliaia [0] 54 4 2 2" xfId="35118" xr:uid="{FDEAF0A4-8842-45B9-8F5F-5A228F186F8E}"/>
    <cellStyle name="Migliaia [0] 54 4 2 2 2" xfId="40276" xr:uid="{7FA33BAE-744C-41DE-938C-89DB6DAF8E5F}"/>
    <cellStyle name="Migliaia [0] 54 4 2 2 3" xfId="45578" xr:uid="{B0287495-12D8-43A1-A48B-01171CD92DD0}"/>
    <cellStyle name="Migliaia [0] 54 4 2 3" xfId="37625" xr:uid="{062EA639-9B04-4365-8E1A-67B6CE2E0A6C}"/>
    <cellStyle name="Migliaia [0] 54 4 2 4" xfId="42927" xr:uid="{6942F042-2D99-473A-AC61-A54C3D2B1857}"/>
    <cellStyle name="Migliaia [0] 54 4 2 5" xfId="17058" xr:uid="{B9A18156-CFF5-4F1A-8A58-458ED6860ADD}"/>
    <cellStyle name="Migliaia [0] 54 4 3" xfId="6025" xr:uid="{A52AF561-328C-4B27-AEA8-A3658BC4099C}"/>
    <cellStyle name="Migliaia [0] 54 4 3 2" xfId="38326" xr:uid="{E349A14B-FCF3-482B-9340-E0E3243C1D97}"/>
    <cellStyle name="Migliaia [0] 54 4 3 3" xfId="43628" xr:uid="{A31C49EA-8CCF-4865-81ED-4AABBED45535}"/>
    <cellStyle name="Migliaia [0] 54 4 3 4" xfId="32975" xr:uid="{29A506A4-4AA3-462B-A4DE-E6E2695C640D}"/>
    <cellStyle name="Migliaia [0] 54 4 3 5" xfId="19746" xr:uid="{354E24C1-9C24-493C-BAFC-B0C8812E4A35}"/>
    <cellStyle name="Migliaia [0] 54 4 4" xfId="35861" xr:uid="{8316921A-F14B-401F-B83A-18D56A0549D5}"/>
    <cellStyle name="Migliaia [0] 54 4 5" xfId="40977" xr:uid="{0AFF63B1-4AD0-4784-BD9B-147DA90E0722}"/>
    <cellStyle name="Migliaia [0] 54 4 6" xfId="16000" xr:uid="{AF3467AC-AAF9-49F9-8A41-E7854CF0E280}"/>
    <cellStyle name="Migliaia [0] 54 4 7" xfId="7813" xr:uid="{224D1D2E-EA46-45FD-94A6-245198C86BBC}"/>
    <cellStyle name="Migliaia [0] 54 5" xfId="4789" xr:uid="{3A46AD77-BC3C-49BD-AF16-95C600A9DCE0}"/>
    <cellStyle name="Migliaia [0] 54 5 2" xfId="32976" xr:uid="{C4E81890-ADB7-4CEB-A38F-76DF71FAFC0C}"/>
    <cellStyle name="Migliaia [0] 54 5 2 2" xfId="38327" xr:uid="{53CDD668-483D-4215-93FD-63A086ECA644}"/>
    <cellStyle name="Migliaia [0] 54 5 2 3" xfId="43629" xr:uid="{2BB17CDB-246B-4DB3-9221-9E544E849CFF}"/>
    <cellStyle name="Migliaia [0] 54 5 3" xfId="35862" xr:uid="{CA22BF5F-EE8C-44E4-8590-68F86ED08D1C}"/>
    <cellStyle name="Migliaia [0] 54 5 4" xfId="40978" xr:uid="{CA38945F-2098-4364-B0E2-FD860A589664}"/>
    <cellStyle name="Migliaia [0] 54 5 5" xfId="17127" xr:uid="{923348D3-B177-44F3-A57B-7A0FAED7E0E8}"/>
    <cellStyle name="Migliaia [0] 54 6" xfId="6022" xr:uid="{7B799D0F-88BE-441F-9654-36EFF451D92A}"/>
    <cellStyle name="Migliaia [0] 54 6 2" xfId="38323" xr:uid="{744B31E1-18D9-4ADD-9BD8-3B690271F870}"/>
    <cellStyle name="Migliaia [0] 54 6 3" xfId="43625" xr:uid="{D4510D3B-5628-42B7-A767-08E18C680BEB}"/>
    <cellStyle name="Migliaia [0] 54 6 4" xfId="32972" xr:uid="{8513B5FF-36CC-4BD4-8E9F-EAAC685AE726}"/>
    <cellStyle name="Migliaia [0] 54 6 5" xfId="19742" xr:uid="{081DCB07-EFF8-4470-821D-FFD58CE49061}"/>
    <cellStyle name="Migliaia [0] 54 7" xfId="3063" xr:uid="{37B45DBE-00BD-43F3-B428-A7DC649A027E}"/>
    <cellStyle name="Migliaia [0] 54 7 2" xfId="35858" xr:uid="{743C48B9-3CF0-4A95-AB3A-246877AD95D1}"/>
    <cellStyle name="Migliaia [0] 54 8" xfId="40974" xr:uid="{8EDDC017-0E31-4D98-ABC4-D440A52B5D77}"/>
    <cellStyle name="Migliaia [0] 54 9" xfId="7034" xr:uid="{7D5D449C-487D-45BD-BAAA-D66BF70D442C}"/>
    <cellStyle name="Migliaia [0] 55" xfId="292" xr:uid="{00000000-0005-0000-0000-00009D020000}"/>
    <cellStyle name="Migliaia [0] 55 2" xfId="1631" xr:uid="{00000000-0005-0000-0000-00009E020000}"/>
    <cellStyle name="Migliaia [0] 55 2 2" xfId="1632" xr:uid="{00000000-0005-0000-0000-00009F020000}"/>
    <cellStyle name="Migliaia [0] 55 2 2 2" xfId="4796" xr:uid="{BFE43E66-7FB7-46EC-A49A-89D14BFC2C6E}"/>
    <cellStyle name="Migliaia [0] 55 2 2 2 2" xfId="21820" xr:uid="{72101062-652A-4F03-8583-5E141748AF15}"/>
    <cellStyle name="Migliaia [0] 55 2 2 2 3" xfId="46658" xr:uid="{B1B7EA10-C940-44F4-BFE5-EFD4063E6FF3}"/>
    <cellStyle name="Migliaia [0] 55 2 2 2 4" xfId="50848" xr:uid="{5E94BE8E-9F95-48D3-9276-CD019C536F9F}"/>
    <cellStyle name="Migliaia [0] 55 2 2 2 5" xfId="53864" xr:uid="{DBB053AE-0775-449E-9752-3BFEDC853E63}"/>
    <cellStyle name="Migliaia [0] 55 2 2 2 6" xfId="11860" xr:uid="{0FCDD52F-0783-4189-BAC3-097C72717FE8}"/>
    <cellStyle name="Migliaia [0] 55 2 2 3" xfId="3070" xr:uid="{3E7D282B-A20A-442F-832F-47838B302013}"/>
    <cellStyle name="Migliaia [0] 55 2 2 3 2" xfId="11678" xr:uid="{39561012-399F-469E-874C-59EE95F1AC22}"/>
    <cellStyle name="Migliaia [0] 55 2 2 4" xfId="10717" xr:uid="{A6566BC0-CCA0-44CE-98A2-B2742811CD1B}"/>
    <cellStyle name="Migliaia [0] 55 2 2 4 2" xfId="21352" xr:uid="{F974042B-36B9-4DF1-A027-317117182DB5}"/>
    <cellStyle name="Migliaia [0] 55 2 2 4 3" xfId="46195" xr:uid="{3A70321F-1A38-4602-BA69-4CA272DA602A}"/>
    <cellStyle name="Migliaia [0] 55 2 2 4 4" xfId="50367" xr:uid="{73A54765-7646-4551-B3F4-868358DA2AE6}"/>
    <cellStyle name="Migliaia [0] 55 2 2 4 5" xfId="53383" xr:uid="{BA699B79-604C-49AD-9CB8-FE71B0ABC2B2}"/>
    <cellStyle name="Migliaia [0] 55 2 2 5" xfId="19749" xr:uid="{017948B5-2BB1-45BF-B741-85216129CE02}"/>
    <cellStyle name="Migliaia [0] 55 2 2 6" xfId="24142" xr:uid="{DCE0A87A-8772-4CD3-948C-66B7E6673981}"/>
    <cellStyle name="Migliaia [0] 55 2 2 7" xfId="48870" xr:uid="{418E4318-5301-4E24-A148-DA66F0950E7D}"/>
    <cellStyle name="Migliaia [0] 55 2 2 8" xfId="49776" xr:uid="{50CB0473-06D8-40C6-9900-D2636FBB64E4}"/>
    <cellStyle name="Migliaia [0] 55 2 2 9" xfId="8476" xr:uid="{4D7625C6-9F78-4630-9F64-89266B33BD66}"/>
    <cellStyle name="Migliaia [0] 55 2 3" xfId="4795" xr:uid="{84C0092C-7441-4F8A-9269-0AD44C246B4E}"/>
    <cellStyle name="Migliaia [0] 55 2 3 2" xfId="32978" xr:uid="{7EBC7A87-35BC-4F7F-AB9D-E4690CC0B32E}"/>
    <cellStyle name="Migliaia [0] 55 2 3 2 2" xfId="38329" xr:uid="{EE4EE7AC-E9FA-46D8-8193-82CDDFC983DB}"/>
    <cellStyle name="Migliaia [0] 55 2 3 2 3" xfId="43631" xr:uid="{C18E7D22-06AA-4EF8-9555-8F00B10C394A}"/>
    <cellStyle name="Migliaia [0] 55 2 3 3" xfId="35864" xr:uid="{5A148252-66AB-4B8F-AF6C-FDB32E64E912}"/>
    <cellStyle name="Migliaia [0] 55 2 3 4" xfId="40980" xr:uid="{643ABA00-9BF0-49C4-B8B1-5691463AA348}"/>
    <cellStyle name="Migliaia [0] 55 2 3 5" xfId="11861" xr:uid="{26013E83-7325-4BFB-B86C-7C4081D33DE2}"/>
    <cellStyle name="Migliaia [0] 55 2 4" xfId="6027" xr:uid="{D467B8C5-D001-4F40-B1D1-DA6912AA2941}"/>
    <cellStyle name="Migliaia [0] 55 2 4 2" xfId="19748" xr:uid="{79D06A79-1471-4E60-958B-492D25193CBE}"/>
    <cellStyle name="Migliaia [0] 55 2 5" xfId="3069" xr:uid="{4C250386-9609-48B5-A067-D65B9C35E1FA}"/>
    <cellStyle name="Migliaia [0] 55 2 5 2" xfId="24141" xr:uid="{781DDF70-E6C1-4DA5-9A69-22DEE3E4DB53}"/>
    <cellStyle name="Migliaia [0] 55 2 6" xfId="7286" xr:uid="{D8E5821A-305A-45B8-84DB-79398F35C071}"/>
    <cellStyle name="Migliaia [0] 55 3" xfId="1633" xr:uid="{00000000-0005-0000-0000-0000A0020000}"/>
    <cellStyle name="Migliaia [0] 55 3 2" xfId="4797" xr:uid="{9A159581-4814-4B47-8AE6-D8DF7B45E838}"/>
    <cellStyle name="Migliaia [0] 55 3 2 2" xfId="18351" xr:uid="{B42AF654-575A-40BE-8E94-6723C8414B65}"/>
    <cellStyle name="Migliaia [0] 55 3 2 2 2" xfId="21821" xr:uid="{3AB1F221-DCDA-4EF0-AA5C-7656C61AC9A8}"/>
    <cellStyle name="Migliaia [0] 55 3 2 2 2 2" xfId="38330" xr:uid="{9BAC4CE4-0536-4814-B8E1-21A8BCD6A005}"/>
    <cellStyle name="Migliaia [0] 55 3 2 2 3" xfId="43632" xr:uid="{38DF4FAB-D3AE-47B3-B659-76B448E84640}"/>
    <cellStyle name="Migliaia [0] 55 3 2 2 4" xfId="32979" xr:uid="{C5F13B91-0730-45BA-851F-0211BEE429E6}"/>
    <cellStyle name="Migliaia [0] 55 3 2 3" xfId="35865" xr:uid="{8C757217-45D5-4195-A158-76563A82FDED}"/>
    <cellStyle name="Migliaia [0] 55 3 2 4" xfId="40981" xr:uid="{FA61D97A-B0A0-42B7-A933-CD4DD8F989AF}"/>
    <cellStyle name="Migliaia [0] 55 3 2 5" xfId="47857" xr:uid="{AB8256A7-694F-40A0-B111-88A003301B19}"/>
    <cellStyle name="Migliaia [0] 55 3 2 6" xfId="50849" xr:uid="{BFC88732-0732-42FF-AF02-D760F3CB8F76}"/>
    <cellStyle name="Migliaia [0] 55 3 2 7" xfId="53865" xr:uid="{748DD0C4-97F0-4B37-BAA5-66632D90FEDC}"/>
    <cellStyle name="Migliaia [0] 55 3 2 8" xfId="17627" xr:uid="{0819EE8D-B80E-4C34-88EE-289D557AA76E}"/>
    <cellStyle name="Migliaia [0] 55 3 2 9" xfId="11862" xr:uid="{F5B62158-31F7-42F1-893A-AC912B358878}"/>
    <cellStyle name="Migliaia [0] 55 3 3" xfId="6028" xr:uid="{47DC5F4A-B314-4732-BEE8-76C710FF9B70}"/>
    <cellStyle name="Migliaia [0] 55 3 3 2" xfId="12365" xr:uid="{C9BED3D1-77C0-4F13-AD83-E4FD2A0971BC}"/>
    <cellStyle name="Migliaia [0] 55 3 4" xfId="3071" xr:uid="{2331F957-0EBA-4C06-B16C-2AAC73AAE6FE}"/>
    <cellStyle name="Migliaia [0] 55 3 4 2" xfId="21353" xr:uid="{C4FCA0F3-CD49-479E-856B-B1FE204F4CF8}"/>
    <cellStyle name="Migliaia [0] 55 3 4 3" xfId="47708" xr:uid="{75613EBE-CCD6-43D2-8EE1-112C8A707903}"/>
    <cellStyle name="Migliaia [0] 55 3 4 4" xfId="50368" xr:uid="{558050C9-71DD-488B-B07A-C59D76DAB4CD}"/>
    <cellStyle name="Migliaia [0] 55 3 4 5" xfId="53384" xr:uid="{1B51BA99-CC7D-4AD0-A354-AABE1F386076}"/>
    <cellStyle name="Migliaia [0] 55 3 4 6" xfId="10718" xr:uid="{8FE14D8C-9319-4A7F-8382-203A5B2D2616}"/>
    <cellStyle name="Migliaia [0] 55 3 5" xfId="19750" xr:uid="{9A49815A-A8EB-4D03-809A-EE86AE51CEED}"/>
    <cellStyle name="Migliaia [0] 55 3 6" xfId="24143" xr:uid="{5A500F53-B2DA-4AF1-A842-E7C34A7726DE}"/>
    <cellStyle name="Migliaia [0] 55 3 7" xfId="8234" xr:uid="{14234534-91F3-43AF-BABE-99888BFEBB26}"/>
    <cellStyle name="Migliaia [0] 55 4" xfId="3072" xr:uid="{04C9F5AA-9885-4D04-93F8-1D79B8CFA665}"/>
    <cellStyle name="Migliaia [0] 55 4 2" xfId="4798" xr:uid="{E91482C7-31B0-45CE-B034-D2D681E127E6}"/>
    <cellStyle name="Migliaia [0] 55 4 2 2" xfId="35119" xr:uid="{7AE6E324-DB8F-4436-8610-A2125DE27373}"/>
    <cellStyle name="Migliaia [0] 55 4 2 2 2" xfId="40277" xr:uid="{FB5A88B5-F04E-4FED-95C5-1C2C0FFD1BC2}"/>
    <cellStyle name="Migliaia [0] 55 4 2 2 3" xfId="45579" xr:uid="{38D86045-FCFA-492C-9155-712B76908BC6}"/>
    <cellStyle name="Migliaia [0] 55 4 2 3" xfId="37626" xr:uid="{77AC35D8-DD36-4001-A447-B2600E486E17}"/>
    <cellStyle name="Migliaia [0] 55 4 2 4" xfId="42928" xr:uid="{4AA53FE6-0452-481B-9B15-7A2391972908}"/>
    <cellStyle name="Migliaia [0] 55 4 2 5" xfId="17059" xr:uid="{E76396E6-BB13-4ACF-A38B-724455DD8427}"/>
    <cellStyle name="Migliaia [0] 55 4 3" xfId="6029" xr:uid="{2DB7BE47-676B-4576-BFE9-F1D088692DA8}"/>
    <cellStyle name="Migliaia [0] 55 4 3 2" xfId="38331" xr:uid="{E82F0CCF-1717-44C8-8846-30C59E68ACEA}"/>
    <cellStyle name="Migliaia [0] 55 4 3 3" xfId="43633" xr:uid="{54EA62ED-77B0-43CD-A72B-66E42CBC131C}"/>
    <cellStyle name="Migliaia [0] 55 4 3 4" xfId="32980" xr:uid="{752211BB-FC4B-4B85-9107-945788F0A569}"/>
    <cellStyle name="Migliaia [0] 55 4 3 5" xfId="19751" xr:uid="{C94FC0D8-B5BD-45F3-AF86-F31986F84232}"/>
    <cellStyle name="Migliaia [0] 55 4 4" xfId="35866" xr:uid="{F81D5FCA-DEB5-40A2-94AD-DF17C78F66E2}"/>
    <cellStyle name="Migliaia [0] 55 4 5" xfId="40982" xr:uid="{76B2D43B-3DBC-427A-B73C-0DCC302C0849}"/>
    <cellStyle name="Migliaia [0] 55 4 6" xfId="16001" xr:uid="{7555595D-470C-433A-A684-4F955EEE902A}"/>
    <cellStyle name="Migliaia [0] 55 4 7" xfId="7814" xr:uid="{1463D21C-4C30-40BB-B479-1B2A2820BA7B}"/>
    <cellStyle name="Migliaia [0] 55 5" xfId="4794" xr:uid="{1FB84817-2C66-4069-B9B9-D3CA52F84505}"/>
    <cellStyle name="Migliaia [0] 55 5 2" xfId="32981" xr:uid="{30383317-1378-4252-8CDD-454D93822D42}"/>
    <cellStyle name="Migliaia [0] 55 5 2 2" xfId="38332" xr:uid="{57A4FEAE-55ED-4889-A601-5C9541F611AA}"/>
    <cellStyle name="Migliaia [0] 55 5 2 3" xfId="43634" xr:uid="{E1B29C0E-C526-4B16-BB57-565449052724}"/>
    <cellStyle name="Migliaia [0] 55 5 3" xfId="35867" xr:uid="{D8AA4DA7-3BDD-4D90-8DDD-400DAB264158}"/>
    <cellStyle name="Migliaia [0] 55 5 4" xfId="40983" xr:uid="{569D8409-3945-4466-9565-27ED1D23EB92}"/>
    <cellStyle name="Migliaia [0] 55 5 5" xfId="17128" xr:uid="{385FAB53-9501-4300-95A2-A6E6CE1B68F2}"/>
    <cellStyle name="Migliaia [0] 55 6" xfId="6026" xr:uid="{97DF3CA0-740A-4BB4-B6AA-8286821F3E9D}"/>
    <cellStyle name="Migliaia [0] 55 6 2" xfId="38328" xr:uid="{8911684C-441F-432F-958D-D8A342602D6A}"/>
    <cellStyle name="Migliaia [0] 55 6 3" xfId="43630" xr:uid="{42C642FF-87C2-4BA7-90F1-E91284947FCB}"/>
    <cellStyle name="Migliaia [0] 55 6 4" xfId="32977" xr:uid="{007868C2-4DF0-4EEE-9757-8C7B1BE0B085}"/>
    <cellStyle name="Migliaia [0] 55 6 5" xfId="19747" xr:uid="{3EEF65FB-AB4E-4F54-A248-41CDF715831E}"/>
    <cellStyle name="Migliaia [0] 55 7" xfId="3068" xr:uid="{640039D4-44CD-486D-9E5B-88C6D27EB6FD}"/>
    <cellStyle name="Migliaia [0] 55 7 2" xfId="35863" xr:uid="{1A033BE2-13DD-4507-B2B5-0A161F825DD7}"/>
    <cellStyle name="Migliaia [0] 55 8" xfId="40979" xr:uid="{95CA14EE-BEDD-468E-80F1-203BDEF7685E}"/>
    <cellStyle name="Migliaia [0] 55 9" xfId="7035" xr:uid="{533031DF-5BD7-42E1-BAA7-23BC4B584D87}"/>
    <cellStyle name="Migliaia [0] 56" xfId="293" xr:uid="{00000000-0005-0000-0000-0000A1020000}"/>
    <cellStyle name="Migliaia [0] 56 2" xfId="1634" xr:uid="{00000000-0005-0000-0000-0000A2020000}"/>
    <cellStyle name="Migliaia [0] 56 2 2" xfId="1635" xr:uid="{00000000-0005-0000-0000-0000A3020000}"/>
    <cellStyle name="Migliaia [0] 56 2 2 2" xfId="4801" xr:uid="{AD020D14-894C-4083-BFC7-86D1DA4C5BF4}"/>
    <cellStyle name="Migliaia [0] 56 2 2 2 2" xfId="21822" xr:uid="{CD840C60-364C-4DE4-AC54-92453523F5C6}"/>
    <cellStyle name="Migliaia [0] 56 2 2 2 3" xfId="48296" xr:uid="{6895E70C-B688-4E30-A89F-1A5135FBD54B}"/>
    <cellStyle name="Migliaia [0] 56 2 2 2 4" xfId="50850" xr:uid="{FB05A4A8-06B1-4587-B209-7BF68CB6A966}"/>
    <cellStyle name="Migliaia [0] 56 2 2 2 5" xfId="53866" xr:uid="{F2B2FFE7-4C1D-4C6E-B5FD-321B7AAB202E}"/>
    <cellStyle name="Migliaia [0] 56 2 2 2 6" xfId="11863" xr:uid="{0E4E0294-3EEF-4DB6-A0C1-1BB32AA3AF86}"/>
    <cellStyle name="Migliaia [0] 56 2 2 3" xfId="3075" xr:uid="{ED7E2A12-86EA-493B-9B24-D25FB970958A}"/>
    <cellStyle name="Migliaia [0] 56 2 2 3 2" xfId="11555" xr:uid="{C414E56D-0464-46F3-A04F-0A4126030133}"/>
    <cellStyle name="Migliaia [0] 56 2 2 4" xfId="10719" xr:uid="{C18C9796-9D6A-44BB-9462-E7F7C1887EDA}"/>
    <cellStyle name="Migliaia [0] 56 2 2 4 2" xfId="21354" xr:uid="{A9E454A7-5F36-4442-9F7C-31B53AE2E465}"/>
    <cellStyle name="Migliaia [0] 56 2 2 4 3" xfId="48003" xr:uid="{51DEF3E0-918C-4F9C-AAA5-AB9F25F86DEC}"/>
    <cellStyle name="Migliaia [0] 56 2 2 4 4" xfId="50369" xr:uid="{3F7CA925-F171-400B-82F6-101C7D2FECA4}"/>
    <cellStyle name="Migliaia [0] 56 2 2 4 5" xfId="53385" xr:uid="{EE9D7A0F-0385-488D-8CB5-649CFA49216D}"/>
    <cellStyle name="Migliaia [0] 56 2 2 5" xfId="19754" xr:uid="{924196A3-1D59-473D-9305-23E9652D5806}"/>
    <cellStyle name="Migliaia [0] 56 2 2 6" xfId="24145" xr:uid="{7C6A1B12-B990-4485-9886-76345D4CA63E}"/>
    <cellStyle name="Migliaia [0] 56 2 2 7" xfId="48871" xr:uid="{620B6627-0AEF-498F-B85B-FA51FD6858D9}"/>
    <cellStyle name="Migliaia [0] 56 2 2 8" xfId="49777" xr:uid="{D5B03D12-9ABA-4AFB-B422-5ADBD52EA45F}"/>
    <cellStyle name="Migliaia [0] 56 2 2 9" xfId="8477" xr:uid="{32B5ECFA-3E22-40BF-87AF-FD0B3F00B8DD}"/>
    <cellStyle name="Migliaia [0] 56 2 3" xfId="4800" xr:uid="{0BECB78D-8A69-4675-87D2-29487D49AE10}"/>
    <cellStyle name="Migliaia [0] 56 2 3 2" xfId="32983" xr:uid="{12BFE63F-288D-44EA-95B4-204A20C70D17}"/>
    <cellStyle name="Migliaia [0] 56 2 3 2 2" xfId="38334" xr:uid="{2AA23FE2-22B8-42FE-A5D6-57ABBCC62C70}"/>
    <cellStyle name="Migliaia [0] 56 2 3 2 3" xfId="43636" xr:uid="{2EACEF44-372A-4FBB-A1E1-C75578839BB2}"/>
    <cellStyle name="Migliaia [0] 56 2 3 3" xfId="35869" xr:uid="{8BF74163-1C58-4B02-B84C-4CAEEF827A19}"/>
    <cellStyle name="Migliaia [0] 56 2 3 4" xfId="40985" xr:uid="{7A22B3CF-F41F-471C-ACEB-0CEB38BEDD63}"/>
    <cellStyle name="Migliaia [0] 56 2 3 5" xfId="11864" xr:uid="{E391A7AB-D0F6-4EF0-8B30-E7D240235D9C}"/>
    <cellStyle name="Migliaia [0] 56 2 4" xfId="6031" xr:uid="{9FC27219-0FFA-4845-8B98-CCD22747FE4E}"/>
    <cellStyle name="Migliaia [0] 56 2 4 2" xfId="19753" xr:uid="{3F0A530A-EBE2-400E-8705-0EC27627F0A8}"/>
    <cellStyle name="Migliaia [0] 56 2 5" xfId="3074" xr:uid="{70BB7426-E453-4F53-B893-A1FCA6BE7167}"/>
    <cellStyle name="Migliaia [0] 56 2 5 2" xfId="24144" xr:uid="{E59DADB2-4F52-4E71-AF23-D979C5FD83AD}"/>
    <cellStyle name="Migliaia [0] 56 2 6" xfId="7287" xr:uid="{918C9FE0-E29D-4232-A92B-36969B46B456}"/>
    <cellStyle name="Migliaia [0] 56 3" xfId="1636" xr:uid="{00000000-0005-0000-0000-0000A4020000}"/>
    <cellStyle name="Migliaia [0] 56 3 2" xfId="4802" xr:uid="{6A029718-D782-45EB-82F2-892452A3A8B7}"/>
    <cellStyle name="Migliaia [0] 56 3 2 2" xfId="18352" xr:uid="{45AAB1D5-F209-437C-8649-AA59FB1F998D}"/>
    <cellStyle name="Migliaia [0] 56 3 2 2 2" xfId="21823" xr:uid="{93F890D8-CE8C-4B77-9524-EB40BFA52130}"/>
    <cellStyle name="Migliaia [0] 56 3 2 2 2 2" xfId="38335" xr:uid="{757A0D47-9C88-435E-9DA6-BB4EEDD6D566}"/>
    <cellStyle name="Migliaia [0] 56 3 2 2 3" xfId="43637" xr:uid="{202C03CF-B3DD-4919-8DAF-4D7820F87AA0}"/>
    <cellStyle name="Migliaia [0] 56 3 2 2 4" xfId="32984" xr:uid="{64928622-B580-4406-ADE5-E2E3D8837054}"/>
    <cellStyle name="Migliaia [0] 56 3 2 3" xfId="35870" xr:uid="{A9D6CAC1-DEBA-4930-8326-FAC2933C6699}"/>
    <cellStyle name="Migliaia [0] 56 3 2 4" xfId="40986" xr:uid="{540AAC79-E92D-4F6A-A32C-02529F75DA96}"/>
    <cellStyle name="Migliaia [0] 56 3 2 5" xfId="25340" xr:uid="{7DB6FE0F-FB14-458B-91BC-89F9F1E39531}"/>
    <cellStyle name="Migliaia [0] 56 3 2 6" xfId="50851" xr:uid="{E6F1010E-343E-4F15-808E-D8150BEA6646}"/>
    <cellStyle name="Migliaia [0] 56 3 2 7" xfId="53867" xr:uid="{8D01C667-9244-4613-AD3C-48ED364C05B9}"/>
    <cellStyle name="Migliaia [0] 56 3 2 8" xfId="17628" xr:uid="{C19B822A-30DE-4D65-A045-31B7CB6F66E0}"/>
    <cellStyle name="Migliaia [0] 56 3 2 9" xfId="11865" xr:uid="{CB3794DA-E5C7-4008-85FA-04B1E38E7206}"/>
    <cellStyle name="Migliaia [0] 56 3 3" xfId="6032" xr:uid="{50B662D2-3531-4E7A-8CDF-E200654BF44F}"/>
    <cellStyle name="Migliaia [0] 56 3 3 2" xfId="12207" xr:uid="{5C573299-A4BA-4289-8EFA-8CC81DDB967B}"/>
    <cellStyle name="Migliaia [0] 56 3 4" xfId="3076" xr:uid="{8D716C5B-1195-488D-AD59-C7AA64FD2993}"/>
    <cellStyle name="Migliaia [0] 56 3 4 2" xfId="21355" xr:uid="{9D7314F4-9489-4ED0-BBD2-820ABD3BB32D}"/>
    <cellStyle name="Migliaia [0] 56 3 4 3" xfId="46196" xr:uid="{9FE2B47C-0A39-424C-84C2-4415E7A4BBC8}"/>
    <cellStyle name="Migliaia [0] 56 3 4 4" xfId="50370" xr:uid="{CCEDEC20-F6DF-4AC8-A0FA-990AF7A25D72}"/>
    <cellStyle name="Migliaia [0] 56 3 4 5" xfId="53386" xr:uid="{DF4FF0A2-154B-4EF6-B609-003336F76C91}"/>
    <cellStyle name="Migliaia [0] 56 3 4 6" xfId="10720" xr:uid="{5F51FBF0-6B14-41ED-BE82-29B31456BD92}"/>
    <cellStyle name="Migliaia [0] 56 3 5" xfId="19755" xr:uid="{3D30FF1C-7EBE-416A-AE9A-804DF2B4BEB5}"/>
    <cellStyle name="Migliaia [0] 56 3 6" xfId="24146" xr:uid="{1F59B6F7-5421-445D-8BD1-AF17D1A13094}"/>
    <cellStyle name="Migliaia [0] 56 3 7" xfId="8235" xr:uid="{4779CD4C-F662-4410-8DD8-732A53D87DC9}"/>
    <cellStyle name="Migliaia [0] 56 4" xfId="3077" xr:uid="{A8BF5B66-CB83-4980-8DC5-A239E5F88147}"/>
    <cellStyle name="Migliaia [0] 56 4 2" xfId="4803" xr:uid="{904ED14C-6FD4-4260-854B-6C8E1FCB5C73}"/>
    <cellStyle name="Migliaia [0] 56 4 2 2" xfId="35120" xr:uid="{CF0C8EC9-AC54-4448-8B55-BED11A786322}"/>
    <cellStyle name="Migliaia [0] 56 4 2 2 2" xfId="40278" xr:uid="{F75ABAD8-18AE-43D6-9982-46CB15FBD310}"/>
    <cellStyle name="Migliaia [0] 56 4 2 2 3" xfId="45580" xr:uid="{29A16A15-88B5-427F-8B73-96015150CF1A}"/>
    <cellStyle name="Migliaia [0] 56 4 2 3" xfId="37627" xr:uid="{AA5A50C3-A180-4509-8313-EA7A400C7A46}"/>
    <cellStyle name="Migliaia [0] 56 4 2 4" xfId="42929" xr:uid="{D0D3C13B-6569-4FCA-BA70-F28963D76C2B}"/>
    <cellStyle name="Migliaia [0] 56 4 2 5" xfId="17060" xr:uid="{83AED264-CEE2-4554-A33C-C409F0154CFB}"/>
    <cellStyle name="Migliaia [0] 56 4 3" xfId="6033" xr:uid="{827AA4E7-B042-4911-97F8-213F987E80F5}"/>
    <cellStyle name="Migliaia [0] 56 4 3 2" xfId="38336" xr:uid="{888ABED1-4156-40B3-A4AE-D0E0BB7C3850}"/>
    <cellStyle name="Migliaia [0] 56 4 3 3" xfId="43638" xr:uid="{017927DB-2D08-49A9-B55E-3931F87C68C9}"/>
    <cellStyle name="Migliaia [0] 56 4 3 4" xfId="32985" xr:uid="{47F8D1DC-A924-4A91-8EEB-312E0793702E}"/>
    <cellStyle name="Migliaia [0] 56 4 3 5" xfId="19756" xr:uid="{9179DB8F-3F9B-4940-9053-9A8810AFEE31}"/>
    <cellStyle name="Migliaia [0] 56 4 4" xfId="35871" xr:uid="{1708621B-0FD9-42CE-8D12-0DC7489BD43B}"/>
    <cellStyle name="Migliaia [0] 56 4 5" xfId="40987" xr:uid="{E2C6623B-2955-4BE9-8C70-132828BC5B3D}"/>
    <cellStyle name="Migliaia [0] 56 4 6" xfId="16002" xr:uid="{B67B4ABB-5A6F-42D7-9E7C-FC96228ECF3F}"/>
    <cellStyle name="Migliaia [0] 56 4 7" xfId="7815" xr:uid="{8DFAD1AE-6123-43A3-A12B-41A5D8358EF9}"/>
    <cellStyle name="Migliaia [0] 56 5" xfId="4799" xr:uid="{4ADB6B4B-1699-47F6-B319-530865D8AB5A}"/>
    <cellStyle name="Migliaia [0] 56 5 2" xfId="32986" xr:uid="{79CA4C4A-5F24-4AA4-AF82-5A44CB42EB92}"/>
    <cellStyle name="Migliaia [0] 56 5 2 2" xfId="38337" xr:uid="{5AE277DA-F558-44BC-B2F6-DBF68A4FB3DF}"/>
    <cellStyle name="Migliaia [0] 56 5 2 3" xfId="43639" xr:uid="{6506A1E5-0CE7-494E-9467-F2F5BD7CFE92}"/>
    <cellStyle name="Migliaia [0] 56 5 3" xfId="35872" xr:uid="{A1C5120A-AE7D-4792-92F8-AC15E7A603E4}"/>
    <cellStyle name="Migliaia [0] 56 5 4" xfId="40988" xr:uid="{36C6E05C-1940-453E-BAE3-341CF1D9DAF8}"/>
    <cellStyle name="Migliaia [0] 56 5 5" xfId="17129" xr:uid="{4E8EED6E-5C82-42AE-93B3-7144684E5DAC}"/>
    <cellStyle name="Migliaia [0] 56 6" xfId="6030" xr:uid="{3637DAC5-A674-4909-9BB2-EF30B1F50CEB}"/>
    <cellStyle name="Migliaia [0] 56 6 2" xfId="38333" xr:uid="{FAD6885D-FA5A-4BFA-B7DA-0D7782656489}"/>
    <cellStyle name="Migliaia [0] 56 6 3" xfId="43635" xr:uid="{A90D7776-2C49-4C33-8B74-9692DFFE1868}"/>
    <cellStyle name="Migliaia [0] 56 6 4" xfId="32982" xr:uid="{E177A281-DF0B-47A8-99AA-52402E853FB2}"/>
    <cellStyle name="Migliaia [0] 56 6 5" xfId="19752" xr:uid="{7BBA9655-9B6C-4BB4-8F30-1A4930369860}"/>
    <cellStyle name="Migliaia [0] 56 7" xfId="3073" xr:uid="{B4A479B9-8C6E-451C-9DFE-A1D74A2E20A1}"/>
    <cellStyle name="Migliaia [0] 56 7 2" xfId="35868" xr:uid="{86DBDBAC-D6A3-4E9F-BEDC-CC98FF65BEA3}"/>
    <cellStyle name="Migliaia [0] 56 8" xfId="40984" xr:uid="{0CF86304-A926-4352-BC94-FFC6BB761DBB}"/>
    <cellStyle name="Migliaia [0] 56 9" xfId="7036" xr:uid="{A93DC577-B3B4-4E4C-AD4F-A11DDD613FE8}"/>
    <cellStyle name="Migliaia [0] 57" xfId="294" xr:uid="{00000000-0005-0000-0000-0000A5020000}"/>
    <cellStyle name="Migliaia [0] 57 2" xfId="1637" xr:uid="{00000000-0005-0000-0000-0000A6020000}"/>
    <cellStyle name="Migliaia [0] 57 2 2" xfId="1638" xr:uid="{00000000-0005-0000-0000-0000A7020000}"/>
    <cellStyle name="Migliaia [0] 57 2 2 2" xfId="4806" xr:uid="{BCCBF600-990C-4B36-B3D0-FA136E4272E4}"/>
    <cellStyle name="Migliaia [0] 57 2 2 2 2" xfId="21824" xr:uid="{E92AD56C-8C2B-46FF-98B0-EE3A1D291AF3}"/>
    <cellStyle name="Migliaia [0] 57 2 2 2 3" xfId="47804" xr:uid="{E64DD650-6BE1-4C76-A378-D89A857AD8DA}"/>
    <cellStyle name="Migliaia [0] 57 2 2 2 4" xfId="50852" xr:uid="{7F97366B-4E5E-46A6-A930-60DC01776F64}"/>
    <cellStyle name="Migliaia [0] 57 2 2 2 5" xfId="53868" xr:uid="{C0FC1A6F-110A-474A-AAC7-8CCDB6AD9E41}"/>
    <cellStyle name="Migliaia [0] 57 2 2 2 6" xfId="11866" xr:uid="{58A0785F-B63B-43C9-B15B-247FCFBA72CD}"/>
    <cellStyle name="Migliaia [0] 57 2 2 3" xfId="3080" xr:uid="{907FFE9F-6FCA-4ED8-8407-2CDF41CF0B12}"/>
    <cellStyle name="Migliaia [0] 57 2 2 3 2" xfId="12326" xr:uid="{11DB10B8-B8F1-4541-85C1-5BA8332D9C16}"/>
    <cellStyle name="Migliaia [0] 57 2 2 4" xfId="10721" xr:uid="{647A7C0A-42BC-47E8-8537-B192E42EC64B}"/>
    <cellStyle name="Migliaia [0] 57 2 2 4 2" xfId="21356" xr:uid="{5C686F36-4C32-4344-9EAF-9D58CB894B03}"/>
    <cellStyle name="Migliaia [0] 57 2 2 4 3" xfId="48574" xr:uid="{88BD75BA-B1C0-4B67-B446-3BA003297176}"/>
    <cellStyle name="Migliaia [0] 57 2 2 4 4" xfId="50371" xr:uid="{22BEC2CF-2A0F-4C10-A5F2-B8417ED25CF1}"/>
    <cellStyle name="Migliaia [0] 57 2 2 4 5" xfId="53387" xr:uid="{F08176F7-F49A-4743-9705-312AB9FC8E6B}"/>
    <cellStyle name="Migliaia [0] 57 2 2 5" xfId="19759" xr:uid="{EBBE565E-F23C-453D-AB4B-70C1F205B542}"/>
    <cellStyle name="Migliaia [0] 57 2 2 6" xfId="24148" xr:uid="{C894835A-1F54-443B-B9EC-5DCB58AAAFFA}"/>
    <cellStyle name="Migliaia [0] 57 2 2 7" xfId="48872" xr:uid="{A7E8B3A9-2AE0-474B-B84B-B0D8858AF58C}"/>
    <cellStyle name="Migliaia [0] 57 2 2 8" xfId="49778" xr:uid="{04872BA1-8E07-49E9-AE16-02A264CEDE4B}"/>
    <cellStyle name="Migliaia [0] 57 2 2 9" xfId="8478" xr:uid="{5B8DB0AF-7305-47BF-8568-2E1E6F49647E}"/>
    <cellStyle name="Migliaia [0] 57 2 3" xfId="4805" xr:uid="{1B769285-B18C-4CF7-8A40-ACBBCCD9AF7C}"/>
    <cellStyle name="Migliaia [0] 57 2 3 2" xfId="32988" xr:uid="{10FBDFA8-C79E-4738-9424-203AE9386C63}"/>
    <cellStyle name="Migliaia [0] 57 2 3 2 2" xfId="38339" xr:uid="{9E9382E9-6D41-4B7F-BD3A-A168FCD934AF}"/>
    <cellStyle name="Migliaia [0] 57 2 3 2 3" xfId="43641" xr:uid="{5A48E03A-C0C2-4448-AA5A-828AAD111EBF}"/>
    <cellStyle name="Migliaia [0] 57 2 3 3" xfId="35874" xr:uid="{D6658816-EB04-4296-B31C-1DEEB4836C43}"/>
    <cellStyle name="Migliaia [0] 57 2 3 4" xfId="40990" xr:uid="{E298E793-6C61-4CB0-9287-5D3692911954}"/>
    <cellStyle name="Migliaia [0] 57 2 3 5" xfId="11867" xr:uid="{8313ADDC-2508-4550-972D-B11D9480E99F}"/>
    <cellStyle name="Migliaia [0] 57 2 4" xfId="6035" xr:uid="{C7C5C9FE-0F1D-4187-952B-7970CC7030B0}"/>
    <cellStyle name="Migliaia [0] 57 2 4 2" xfId="19758" xr:uid="{8D1CC5D2-AFA9-451F-9237-CB96C764D19C}"/>
    <cellStyle name="Migliaia [0] 57 2 5" xfId="3079" xr:uid="{E6681FF5-925E-4399-887A-093A7484D249}"/>
    <cellStyle name="Migliaia [0] 57 2 5 2" xfId="24147" xr:uid="{49848BA7-B755-4A42-81FB-622CD2BD06AF}"/>
    <cellStyle name="Migliaia [0] 57 2 6" xfId="7288" xr:uid="{1B961821-E4DB-4E6C-97BE-D1919F4937CE}"/>
    <cellStyle name="Migliaia [0] 57 3" xfId="1639" xr:uid="{00000000-0005-0000-0000-0000A8020000}"/>
    <cellStyle name="Migliaia [0] 57 3 2" xfId="4807" xr:uid="{46460498-71DB-43A4-A232-3013A84AC5AE}"/>
    <cellStyle name="Migliaia [0] 57 3 2 2" xfId="18353" xr:uid="{B7023F9A-E87C-424E-BAD1-F70F0453FDB0}"/>
    <cellStyle name="Migliaia [0] 57 3 2 2 2" xfId="21825" xr:uid="{06A9CA5E-C3E5-4E20-A78A-89234C2D86A2}"/>
    <cellStyle name="Migliaia [0] 57 3 2 2 2 2" xfId="38340" xr:uid="{566A769B-DCFA-4609-B09D-E695568956D8}"/>
    <cellStyle name="Migliaia [0] 57 3 2 2 3" xfId="43642" xr:uid="{4FFF1505-9111-49AF-A040-7C8FF2589C60}"/>
    <cellStyle name="Migliaia [0] 57 3 2 2 4" xfId="32989" xr:uid="{F6FB39F5-3DE2-4658-BC90-D027A33A3383}"/>
    <cellStyle name="Migliaia [0] 57 3 2 3" xfId="35875" xr:uid="{F30E93F1-E1ED-46EC-A093-871375E5D3D1}"/>
    <cellStyle name="Migliaia [0] 57 3 2 4" xfId="40991" xr:uid="{FAB53E04-8328-4AE6-A835-04B518F78A7D}"/>
    <cellStyle name="Migliaia [0] 57 3 2 5" xfId="47740" xr:uid="{5E02E669-1FB1-492A-83D8-B304DBB82C1E}"/>
    <cellStyle name="Migliaia [0] 57 3 2 6" xfId="50853" xr:uid="{05F48618-7BB4-464D-A68E-90B6A8FCECBE}"/>
    <cellStyle name="Migliaia [0] 57 3 2 7" xfId="53869" xr:uid="{302EFB8F-92D1-451C-9EB8-3AD0FFB36293}"/>
    <cellStyle name="Migliaia [0] 57 3 2 8" xfId="17629" xr:uid="{1FB9559C-9E93-45E8-92C3-37F4F3F5EEB6}"/>
    <cellStyle name="Migliaia [0] 57 3 2 9" xfId="11868" xr:uid="{CC903265-E3B4-489C-9AF3-EFEA1465A8FC}"/>
    <cellStyle name="Migliaia [0] 57 3 3" xfId="6036" xr:uid="{9884EB31-2CF3-4F3C-8E48-ABA0336B62C0}"/>
    <cellStyle name="Migliaia [0] 57 3 3 2" xfId="12208" xr:uid="{9F859D90-9CF0-4BFB-9624-E442E53ABEC6}"/>
    <cellStyle name="Migliaia [0] 57 3 4" xfId="3081" xr:uid="{FA3DA1C4-F236-442B-952B-9F63C7EE7F59}"/>
    <cellStyle name="Migliaia [0] 57 3 4 2" xfId="21357" xr:uid="{E70073E1-71A5-4BD6-B635-A4FCF6970577}"/>
    <cellStyle name="Migliaia [0] 57 3 4 3" xfId="46197" xr:uid="{A0965F38-EC2C-4299-B0F6-EF055D1CFCE2}"/>
    <cellStyle name="Migliaia [0] 57 3 4 4" xfId="50372" xr:uid="{04C6E1ED-8809-4A1B-AFE1-EDAEECAA4EC7}"/>
    <cellStyle name="Migliaia [0] 57 3 4 5" xfId="53388" xr:uid="{368333B6-49BA-4A1B-B59D-97FB11194140}"/>
    <cellStyle name="Migliaia [0] 57 3 4 6" xfId="10722" xr:uid="{452FD1DB-4FB6-4F5E-BFAA-A7FDC945224B}"/>
    <cellStyle name="Migliaia [0] 57 3 5" xfId="19760" xr:uid="{5E3D0C15-A5A4-4C1C-859C-520261349844}"/>
    <cellStyle name="Migliaia [0] 57 3 6" xfId="24149" xr:uid="{5B29BF87-AB92-4666-B4BF-1CDA75EA4301}"/>
    <cellStyle name="Migliaia [0] 57 3 7" xfId="8236" xr:uid="{B80E406A-6836-43F4-A98C-9147BADC342A}"/>
    <cellStyle name="Migliaia [0] 57 4" xfId="3082" xr:uid="{652C5535-FB99-4133-A7FC-6C75DED114FE}"/>
    <cellStyle name="Migliaia [0] 57 4 2" xfId="4808" xr:uid="{B1984610-FD6E-44BE-9B0F-DA13F6E70060}"/>
    <cellStyle name="Migliaia [0] 57 4 2 2" xfId="35121" xr:uid="{DC93F724-B6EB-4789-99C6-4708A18D8630}"/>
    <cellStyle name="Migliaia [0] 57 4 2 2 2" xfId="40279" xr:uid="{13B290D7-E40B-4B83-A068-6D6D5CB3CEF3}"/>
    <cellStyle name="Migliaia [0] 57 4 2 2 3" xfId="45581" xr:uid="{57CCB92C-5C44-44E3-9B23-4A7CB3552080}"/>
    <cellStyle name="Migliaia [0] 57 4 2 3" xfId="37628" xr:uid="{35704730-570C-4075-B0A3-5B4DA3850634}"/>
    <cellStyle name="Migliaia [0] 57 4 2 4" xfId="42930" xr:uid="{08453F83-3066-4732-BDCC-2384C9E24207}"/>
    <cellStyle name="Migliaia [0] 57 4 2 5" xfId="17061" xr:uid="{AB283F7D-FEE4-4639-A548-B4F98345B38D}"/>
    <cellStyle name="Migliaia [0] 57 4 3" xfId="6037" xr:uid="{37021624-C8C4-4FF8-BA1E-B1377B32593F}"/>
    <cellStyle name="Migliaia [0] 57 4 3 2" xfId="38341" xr:uid="{55A51F83-DE12-42E7-8F80-A3C7A010D4F7}"/>
    <cellStyle name="Migliaia [0] 57 4 3 3" xfId="43643" xr:uid="{5135D4C6-25C9-4BA6-BA3B-515BBD91C6EB}"/>
    <cellStyle name="Migliaia [0] 57 4 3 4" xfId="32990" xr:uid="{C03D98DE-BF0E-4C8E-804A-F2362333D9BC}"/>
    <cellStyle name="Migliaia [0] 57 4 3 5" xfId="19761" xr:uid="{3CBD71B0-C52E-4DCD-ACFC-0C5E5E846B9F}"/>
    <cellStyle name="Migliaia [0] 57 4 4" xfId="35876" xr:uid="{AADA79D3-441D-4020-A13B-87954630F217}"/>
    <cellStyle name="Migliaia [0] 57 4 5" xfId="40992" xr:uid="{F4FFF58B-466B-4963-B2D9-631CF7E4EF71}"/>
    <cellStyle name="Migliaia [0] 57 4 6" xfId="16003" xr:uid="{F3A9DDDD-41BD-4F9C-8185-EB418AB9D907}"/>
    <cellStyle name="Migliaia [0] 57 4 7" xfId="7816" xr:uid="{92AD8B9D-F242-444D-89EC-550075B7376A}"/>
    <cellStyle name="Migliaia [0] 57 5" xfId="4804" xr:uid="{9CA9186F-1D48-4469-92E4-E90142B6D1E9}"/>
    <cellStyle name="Migliaia [0] 57 5 2" xfId="32991" xr:uid="{D4DEA9B0-8A0E-4C13-8E88-E4EBD1D5C7E3}"/>
    <cellStyle name="Migliaia [0] 57 5 2 2" xfId="38342" xr:uid="{4C6D8F21-CEEC-4142-AB2B-845FD795BB4F}"/>
    <cellStyle name="Migliaia [0] 57 5 2 3" xfId="43644" xr:uid="{E5621FB7-AE9F-4B78-8A83-199FB576EC72}"/>
    <cellStyle name="Migliaia [0] 57 5 3" xfId="35877" xr:uid="{A5542F65-BAC4-4652-AD85-2016EB5B58BA}"/>
    <cellStyle name="Migliaia [0] 57 5 4" xfId="40993" xr:uid="{889C71C6-02DF-49B3-918C-C81CD7A70239}"/>
    <cellStyle name="Migliaia [0] 57 5 5" xfId="17130" xr:uid="{40EC8C96-31CF-4B2B-B5A4-686B5A4A6E65}"/>
    <cellStyle name="Migliaia [0] 57 6" xfId="6034" xr:uid="{3D7EFBEC-E2B2-4B75-965D-BB75CE03351F}"/>
    <cellStyle name="Migliaia [0] 57 6 2" xfId="38338" xr:uid="{FB7832E8-4EEC-4196-9360-C8C2C8E7C54F}"/>
    <cellStyle name="Migliaia [0] 57 6 3" xfId="43640" xr:uid="{85B8E549-FD7E-4B03-B57D-556DE4355F4A}"/>
    <cellStyle name="Migliaia [0] 57 6 4" xfId="32987" xr:uid="{8204FFF5-ACBB-41CC-B2B3-A0ED96CDECD5}"/>
    <cellStyle name="Migliaia [0] 57 6 5" xfId="19757" xr:uid="{E395075F-536E-4EC1-8797-CCDA317545E0}"/>
    <cellStyle name="Migliaia [0] 57 7" xfId="3078" xr:uid="{0B26BB52-6D74-4D2F-A2E6-3EEB3BD45DB3}"/>
    <cellStyle name="Migliaia [0] 57 7 2" xfId="35873" xr:uid="{D760D501-A679-4220-9A67-A394D4034154}"/>
    <cellStyle name="Migliaia [0] 57 8" xfId="40989" xr:uid="{5EF20D85-0629-4362-8656-F1A73E0AC7DC}"/>
    <cellStyle name="Migliaia [0] 57 9" xfId="7037" xr:uid="{2DE01B10-0325-4135-BD0B-F9B4FA657EBE}"/>
    <cellStyle name="Migliaia [0] 58" xfId="295" xr:uid="{00000000-0005-0000-0000-0000A9020000}"/>
    <cellStyle name="Migliaia [0] 58 2" xfId="1640" xr:uid="{00000000-0005-0000-0000-0000AA020000}"/>
    <cellStyle name="Migliaia [0] 58 2 2" xfId="1641" xr:uid="{00000000-0005-0000-0000-0000AB020000}"/>
    <cellStyle name="Migliaia [0] 58 2 2 2" xfId="4811" xr:uid="{776D53D5-5899-429A-80CA-3198C0EC423C}"/>
    <cellStyle name="Migliaia [0] 58 2 2 2 2" xfId="21826" xr:uid="{B8F46DB7-B480-45FA-972E-0E3345F2F98E}"/>
    <cellStyle name="Migliaia [0] 58 2 2 2 3" xfId="48435" xr:uid="{7C78923A-D5AB-492F-886F-8609C6DA8575}"/>
    <cellStyle name="Migliaia [0] 58 2 2 2 4" xfId="50854" xr:uid="{C4692B1C-CCAC-41D5-9BAC-6743D9F5C3A7}"/>
    <cellStyle name="Migliaia [0] 58 2 2 2 5" xfId="53870" xr:uid="{AEA862F1-20F5-4E7F-86C9-07BA532FB18F}"/>
    <cellStyle name="Migliaia [0] 58 2 2 2 6" xfId="11869" xr:uid="{6C8E7D8B-6D1A-470F-84DD-3ECD132D3916}"/>
    <cellStyle name="Migliaia [0] 58 2 2 3" xfId="3085" xr:uid="{C86D34DD-E3DD-4B79-914A-659786E0BE4F}"/>
    <cellStyle name="Migliaia [0] 58 2 2 3 2" xfId="12325" xr:uid="{9F6A7E79-6736-4A9A-8BF8-57A4FE052210}"/>
    <cellStyle name="Migliaia [0] 58 2 2 4" xfId="10723" xr:uid="{9E30A527-AC69-494E-A248-74EEB3B8167A}"/>
    <cellStyle name="Migliaia [0] 58 2 2 4 2" xfId="21358" xr:uid="{C34995E1-D5D5-4739-9898-9E1632431B3F}"/>
    <cellStyle name="Migliaia [0] 58 2 2 4 3" xfId="46198" xr:uid="{033C5DF7-4278-4474-BF40-8B3347F8B9C3}"/>
    <cellStyle name="Migliaia [0] 58 2 2 4 4" xfId="50373" xr:uid="{F6398299-4C38-4308-B444-1C3BF7D4867F}"/>
    <cellStyle name="Migliaia [0] 58 2 2 4 5" xfId="53389" xr:uid="{8D6168D0-AC1A-4E60-BA0D-568DC015302E}"/>
    <cellStyle name="Migliaia [0] 58 2 2 5" xfId="19764" xr:uid="{04B41FF0-F009-4C9A-8180-1D285D519F8A}"/>
    <cellStyle name="Migliaia [0] 58 2 2 6" xfId="24151" xr:uid="{061ED67C-F049-44FD-8A92-BDF7509853CB}"/>
    <cellStyle name="Migliaia [0] 58 2 2 7" xfId="48873" xr:uid="{607C15AE-C73D-4D7B-8696-109B6EBD8EBB}"/>
    <cellStyle name="Migliaia [0] 58 2 2 8" xfId="49779" xr:uid="{F62ECAB7-1D53-4486-A95F-44974C6388A5}"/>
    <cellStyle name="Migliaia [0] 58 2 2 9" xfId="8479" xr:uid="{5E01F12D-F1F8-4F1A-9E14-B55E3C763CAB}"/>
    <cellStyle name="Migliaia [0] 58 2 3" xfId="4810" xr:uid="{54968533-7AE0-45E8-ACC9-C00AC9607A28}"/>
    <cellStyle name="Migliaia [0] 58 2 3 2" xfId="32993" xr:uid="{04FF57CE-936C-42AF-B216-F87CBC2846D6}"/>
    <cellStyle name="Migliaia [0] 58 2 3 2 2" xfId="38344" xr:uid="{460C3AF1-64FA-4A3D-8209-FD4987997562}"/>
    <cellStyle name="Migliaia [0] 58 2 3 2 3" xfId="43646" xr:uid="{D956E85F-BEB0-4C35-9752-175A036D2BBA}"/>
    <cellStyle name="Migliaia [0] 58 2 3 3" xfId="35879" xr:uid="{26413D88-281F-4798-95D5-DBDFF4262633}"/>
    <cellStyle name="Migliaia [0] 58 2 3 4" xfId="40995" xr:uid="{B98501F2-DA4C-4F5F-AFE2-70A67818826E}"/>
    <cellStyle name="Migliaia [0] 58 2 3 5" xfId="11870" xr:uid="{0D5F6965-EF7E-4A65-B76B-9E8DE4948578}"/>
    <cellStyle name="Migliaia [0] 58 2 4" xfId="6039" xr:uid="{7BE0BBDD-9E08-47D4-8BA7-F6678B510173}"/>
    <cellStyle name="Migliaia [0] 58 2 4 2" xfId="19763" xr:uid="{A4038061-056A-4487-B7EA-8D26CC254F6D}"/>
    <cellStyle name="Migliaia [0] 58 2 5" xfId="3084" xr:uid="{CD93F50D-1EBF-4731-902C-A51E31D60490}"/>
    <cellStyle name="Migliaia [0] 58 2 5 2" xfId="24150" xr:uid="{8329D163-4310-43FF-9424-BAADE9F02036}"/>
    <cellStyle name="Migliaia [0] 58 2 6" xfId="7289" xr:uid="{E45F22BD-1695-4413-A67B-2A57CB8C616E}"/>
    <cellStyle name="Migliaia [0] 58 3" xfId="1642" xr:uid="{00000000-0005-0000-0000-0000AC020000}"/>
    <cellStyle name="Migliaia [0] 58 3 2" xfId="4812" xr:uid="{C2CDBF34-AD80-4D88-B1DE-BD295D5F52B5}"/>
    <cellStyle name="Migliaia [0] 58 3 2 2" xfId="18354" xr:uid="{8D9D2312-C18C-40E0-AD13-924F14799C0F}"/>
    <cellStyle name="Migliaia [0] 58 3 2 2 2" xfId="21827" xr:uid="{DA9A5414-9530-42D5-974F-C191FD404158}"/>
    <cellStyle name="Migliaia [0] 58 3 2 2 2 2" xfId="38345" xr:uid="{EEAB9B3D-E80D-4DC8-8976-D7D455C851B4}"/>
    <cellStyle name="Migliaia [0] 58 3 2 2 3" xfId="43647" xr:uid="{A045A39E-48BB-4F61-B14D-0E677B0985E6}"/>
    <cellStyle name="Migliaia [0] 58 3 2 2 4" xfId="32994" xr:uid="{92490D6B-8EF2-4D63-B614-05F53F3AF6EF}"/>
    <cellStyle name="Migliaia [0] 58 3 2 3" xfId="35880" xr:uid="{B4274C3E-EE73-448A-8D8C-D5E95795671A}"/>
    <cellStyle name="Migliaia [0] 58 3 2 4" xfId="40996" xr:uid="{D7BAC788-0FF4-4B87-8E65-AE3AADC3B043}"/>
    <cellStyle name="Migliaia [0] 58 3 2 5" xfId="32436" xr:uid="{2B088D50-8B77-4190-AE26-63546449EEDA}"/>
    <cellStyle name="Migliaia [0] 58 3 2 6" xfId="50855" xr:uid="{BD81C21C-F2BE-4BF9-A78D-7E52F7956710}"/>
    <cellStyle name="Migliaia [0] 58 3 2 7" xfId="53871" xr:uid="{8202B6AC-FB5A-4FA6-B9D2-8B9C8C412FB3}"/>
    <cellStyle name="Migliaia [0] 58 3 2 8" xfId="17630" xr:uid="{622F7841-832A-4772-AAC7-DADA7B658028}"/>
    <cellStyle name="Migliaia [0] 58 3 2 9" xfId="11871" xr:uid="{4CB4A5B1-045C-4CE8-A6A3-2E823E59A12F}"/>
    <cellStyle name="Migliaia [0] 58 3 3" xfId="6040" xr:uid="{B1319965-46CD-44F6-8740-9C7B3E4E2FF8}"/>
    <cellStyle name="Migliaia [0] 58 3 3 2" xfId="11118" xr:uid="{C10E3151-3015-4BD4-98DC-2574605A5146}"/>
    <cellStyle name="Migliaia [0] 58 3 4" xfId="3086" xr:uid="{08F753D8-5EC7-4895-B287-CD3C065F4E48}"/>
    <cellStyle name="Migliaia [0] 58 3 4 2" xfId="21359" xr:uid="{E38C9168-7AB7-4051-9A28-53DD130D9B06}"/>
    <cellStyle name="Migliaia [0] 58 3 4 3" xfId="46199" xr:uid="{399EE4BD-5208-4CCC-AA5D-5FD91218561B}"/>
    <cellStyle name="Migliaia [0] 58 3 4 4" xfId="50374" xr:uid="{5D9EC4A4-2E80-401E-812C-65EF57E0B86A}"/>
    <cellStyle name="Migliaia [0] 58 3 4 5" xfId="53390" xr:uid="{46EFB72F-9502-4BB7-9E41-08D8919EDD17}"/>
    <cellStyle name="Migliaia [0] 58 3 4 6" xfId="10724" xr:uid="{72AFE73C-A38C-43B1-A8B1-88EF9A1332D0}"/>
    <cellStyle name="Migliaia [0] 58 3 5" xfId="19765" xr:uid="{A2074E54-3176-4DCA-B16F-1B60922529DA}"/>
    <cellStyle name="Migliaia [0] 58 3 6" xfId="24152" xr:uid="{11CAD362-0717-4B83-AA7E-FD701F030949}"/>
    <cellStyle name="Migliaia [0] 58 3 7" xfId="8237" xr:uid="{C70563BF-1C3A-4671-B66F-791EC600DE27}"/>
    <cellStyle name="Migliaia [0] 58 4" xfId="3087" xr:uid="{D02DA499-F2E2-48F0-B72C-7C407089A775}"/>
    <cellStyle name="Migliaia [0] 58 4 2" xfId="4813" xr:uid="{F0A8FA95-3E7D-4082-8412-1637A1B8E477}"/>
    <cellStyle name="Migliaia [0] 58 4 2 2" xfId="35122" xr:uid="{B7D89AB6-041A-407A-B384-B0643F387EA5}"/>
    <cellStyle name="Migliaia [0] 58 4 2 2 2" xfId="40280" xr:uid="{6EE119B4-DD1F-470F-B5DC-ABE9ECA03A72}"/>
    <cellStyle name="Migliaia [0] 58 4 2 2 3" xfId="45582" xr:uid="{9B4CB132-1BAC-4955-80CD-798552B23EC2}"/>
    <cellStyle name="Migliaia [0] 58 4 2 3" xfId="37629" xr:uid="{B37D875F-EF61-4842-9FDA-22267DF27FB3}"/>
    <cellStyle name="Migliaia [0] 58 4 2 4" xfId="42931" xr:uid="{BBE631BA-6B86-4879-99D0-6FEFF79F7589}"/>
    <cellStyle name="Migliaia [0] 58 4 2 5" xfId="17062" xr:uid="{CE81E9C2-84B4-48E7-B09C-7194F1A29877}"/>
    <cellStyle name="Migliaia [0] 58 4 3" xfId="6041" xr:uid="{95E10B2C-64C9-41AC-B8F8-200AE4D3AEFA}"/>
    <cellStyle name="Migliaia [0] 58 4 3 2" xfId="38346" xr:uid="{82D642B9-BC59-4DA7-8611-7E769377269D}"/>
    <cellStyle name="Migliaia [0] 58 4 3 3" xfId="43648" xr:uid="{D22A79D7-6801-4E81-B8E8-C130BFB31A55}"/>
    <cellStyle name="Migliaia [0] 58 4 3 4" xfId="32995" xr:uid="{ABC50F1D-D346-47B8-8E48-90B87F7DD48F}"/>
    <cellStyle name="Migliaia [0] 58 4 3 5" xfId="19766" xr:uid="{51302439-6670-4EA4-BC45-2D2025C8FEBC}"/>
    <cellStyle name="Migliaia [0] 58 4 4" xfId="35881" xr:uid="{AEE670A1-979E-4449-9D99-06EC0A4E6403}"/>
    <cellStyle name="Migliaia [0] 58 4 5" xfId="40997" xr:uid="{A00588F6-ADED-442A-859B-BE59DDA5DC58}"/>
    <cellStyle name="Migliaia [0] 58 4 6" xfId="16004" xr:uid="{0D1757CA-9117-45E4-BF02-D183ABCC755D}"/>
    <cellStyle name="Migliaia [0] 58 4 7" xfId="7817" xr:uid="{B1A34E55-A3EC-4A12-A665-0EC9B81DB896}"/>
    <cellStyle name="Migliaia [0] 58 5" xfId="4809" xr:uid="{3149DE35-87CA-4936-9630-FEE6A384A6D4}"/>
    <cellStyle name="Migliaia [0] 58 5 2" xfId="32996" xr:uid="{94E13CCC-A91B-4458-B5FD-1D9213465C10}"/>
    <cellStyle name="Migliaia [0] 58 5 2 2" xfId="38347" xr:uid="{D34B4680-52B2-422F-907C-96FD15A975FA}"/>
    <cellStyle name="Migliaia [0] 58 5 2 3" xfId="43649" xr:uid="{9F68359F-87CC-40CE-B98D-BB5DC4DEB51C}"/>
    <cellStyle name="Migliaia [0] 58 5 3" xfId="35882" xr:uid="{08BAE752-EC07-45BF-BAFF-B5C52D0F551F}"/>
    <cellStyle name="Migliaia [0] 58 5 4" xfId="40998" xr:uid="{E0980773-7D9C-4AAE-9267-DF4111DE9734}"/>
    <cellStyle name="Migliaia [0] 58 5 5" xfId="17131" xr:uid="{8510B7F0-A6B2-482A-B3C9-57EBC88F5D6D}"/>
    <cellStyle name="Migliaia [0] 58 6" xfId="6038" xr:uid="{6800754F-0A58-4557-8046-3705C745A255}"/>
    <cellStyle name="Migliaia [0] 58 6 2" xfId="38343" xr:uid="{C6740151-7CD9-4E65-A807-AA174C1EC716}"/>
    <cellStyle name="Migliaia [0] 58 6 3" xfId="43645" xr:uid="{C3DC571B-650E-4F2F-938F-214588137F42}"/>
    <cellStyle name="Migliaia [0] 58 6 4" xfId="32992" xr:uid="{9FD69186-ED9A-4E85-AA4D-1E0003DBC488}"/>
    <cellStyle name="Migliaia [0] 58 6 5" xfId="19762" xr:uid="{50542E45-6630-4DD4-8CC9-444391D748E3}"/>
    <cellStyle name="Migliaia [0] 58 7" xfId="3083" xr:uid="{DA1B74D2-0738-46AA-99BE-FB9910D24126}"/>
    <cellStyle name="Migliaia [0] 58 7 2" xfId="35878" xr:uid="{D61AA91E-BB60-4F3B-8DA3-CBD703199A93}"/>
    <cellStyle name="Migliaia [0] 58 8" xfId="40994" xr:uid="{6867BED4-2C5E-4DA9-856F-5DB9240FD0A2}"/>
    <cellStyle name="Migliaia [0] 58 9" xfId="7038" xr:uid="{DA8C74B5-99E6-4BE9-9E00-BA86C1070196}"/>
    <cellStyle name="Migliaia [0] 59" xfId="296" xr:uid="{00000000-0005-0000-0000-0000AD020000}"/>
    <cellStyle name="Migliaia [0] 59 2" xfId="1643" xr:uid="{00000000-0005-0000-0000-0000AE020000}"/>
    <cellStyle name="Migliaia [0] 59 2 2" xfId="1644" xr:uid="{00000000-0005-0000-0000-0000AF020000}"/>
    <cellStyle name="Migliaia [0] 59 2 2 2" xfId="4816" xr:uid="{33C5FD98-19B5-460A-9B32-58149E090107}"/>
    <cellStyle name="Migliaia [0] 59 2 2 2 2" xfId="21828" xr:uid="{3346C62F-1AAF-44AB-8E6A-71E057D5B5E8}"/>
    <cellStyle name="Migliaia [0] 59 2 2 2 3" xfId="48101" xr:uid="{071EC8EB-38A9-4BF1-988B-8760BFC6BA5F}"/>
    <cellStyle name="Migliaia [0] 59 2 2 2 4" xfId="50856" xr:uid="{8BDDF599-E03D-4273-8E8F-6E741539B4E5}"/>
    <cellStyle name="Migliaia [0] 59 2 2 2 5" xfId="53872" xr:uid="{F28DAF1A-E0A7-4885-BA3E-FC21EE9221A9}"/>
    <cellStyle name="Migliaia [0] 59 2 2 2 6" xfId="11872" xr:uid="{764B24F7-1B39-4CBA-AF3B-5E1D806805D2}"/>
    <cellStyle name="Migliaia [0] 59 2 2 3" xfId="3090" xr:uid="{670297E0-5EB0-400A-BC46-1C1307F45750}"/>
    <cellStyle name="Migliaia [0] 59 2 2 3 2" xfId="12324" xr:uid="{D941691B-F98B-4CBE-87F4-BBDE56BBFC27}"/>
    <cellStyle name="Migliaia [0] 59 2 2 4" xfId="10725" xr:uid="{A5248827-9354-4B4F-BA98-F3E6BFFE735F}"/>
    <cellStyle name="Migliaia [0] 59 2 2 4 2" xfId="21360" xr:uid="{55817A49-B01B-4E42-B71B-BA8D4F391195}"/>
    <cellStyle name="Migliaia [0] 59 2 2 4 3" xfId="48172" xr:uid="{5F9443E9-BDC4-4965-B74E-4897DCF1B5C3}"/>
    <cellStyle name="Migliaia [0] 59 2 2 4 4" xfId="50375" xr:uid="{1EA38493-AD9A-4555-A510-EC47CD0054A5}"/>
    <cellStyle name="Migliaia [0] 59 2 2 4 5" xfId="53391" xr:uid="{00578300-221C-4B73-80D2-5ABAD0B5B646}"/>
    <cellStyle name="Migliaia [0] 59 2 2 5" xfId="19769" xr:uid="{A9B2BCCF-447E-4F5A-AEEA-A9F91C0553B6}"/>
    <cellStyle name="Migliaia [0] 59 2 2 6" xfId="24154" xr:uid="{D23158B2-7113-429F-BF76-C2D121E445A5}"/>
    <cellStyle name="Migliaia [0] 59 2 2 7" xfId="48874" xr:uid="{4CD39096-95CA-408D-B4D3-3E8FEEC9FAE3}"/>
    <cellStyle name="Migliaia [0] 59 2 2 8" xfId="49780" xr:uid="{5007FDDA-5328-48BA-BCAD-3B5803C4294B}"/>
    <cellStyle name="Migliaia [0] 59 2 2 9" xfId="8480" xr:uid="{961A8954-3377-4461-9706-1C4D8CF1388C}"/>
    <cellStyle name="Migliaia [0] 59 2 3" xfId="4815" xr:uid="{71F6711F-25E0-42D8-A95F-D229288203FD}"/>
    <cellStyle name="Migliaia [0] 59 2 3 2" xfId="32998" xr:uid="{C790D5BB-1649-4037-BE9E-846C4BE45419}"/>
    <cellStyle name="Migliaia [0] 59 2 3 2 2" xfId="38349" xr:uid="{3C3876AB-27C8-4D0D-97C2-49E854B87DAE}"/>
    <cellStyle name="Migliaia [0] 59 2 3 2 3" xfId="43651" xr:uid="{F32A3D3E-A61B-4B44-8ADB-96C66D9F609D}"/>
    <cellStyle name="Migliaia [0] 59 2 3 3" xfId="35884" xr:uid="{EC7A11FB-9C2A-4CE2-A1A2-A5634980A642}"/>
    <cellStyle name="Migliaia [0] 59 2 3 4" xfId="41000" xr:uid="{25F6CFBE-F649-45EB-B82C-9DF2AB40C062}"/>
    <cellStyle name="Migliaia [0] 59 2 3 5" xfId="11873" xr:uid="{29B6A43B-AF2B-48E2-AA09-A83C8EAB0D71}"/>
    <cellStyle name="Migliaia [0] 59 2 4" xfId="6043" xr:uid="{BC034600-EB98-412C-ACC9-BFDD02587706}"/>
    <cellStyle name="Migliaia [0] 59 2 4 2" xfId="19768" xr:uid="{70DF3DA9-F812-4909-A7A7-28BA96DC4415}"/>
    <cellStyle name="Migliaia [0] 59 2 5" xfId="3089" xr:uid="{F4B9DAEF-D9A9-4586-A567-BB64EE875908}"/>
    <cellStyle name="Migliaia [0] 59 2 5 2" xfId="24153" xr:uid="{6CC7C420-7937-4462-8FC4-9D1B446BAC39}"/>
    <cellStyle name="Migliaia [0] 59 2 6" xfId="7290" xr:uid="{A6C97C71-A2DC-4F1A-8937-10C1C07B2710}"/>
    <cellStyle name="Migliaia [0] 59 3" xfId="1645" xr:uid="{00000000-0005-0000-0000-0000B0020000}"/>
    <cellStyle name="Migliaia [0] 59 3 2" xfId="4817" xr:uid="{EB9817E4-1086-4664-B73E-B58E57CA1FBA}"/>
    <cellStyle name="Migliaia [0] 59 3 2 2" xfId="18355" xr:uid="{3CE4E538-A511-4ACB-99B5-61CAB387D321}"/>
    <cellStyle name="Migliaia [0] 59 3 2 2 2" xfId="21829" xr:uid="{9E57064E-EF08-4701-BEA1-B351793FC619}"/>
    <cellStyle name="Migliaia [0] 59 3 2 2 2 2" xfId="38350" xr:uid="{06A86793-D0A7-4464-B58E-98B54512DCBF}"/>
    <cellStyle name="Migliaia [0] 59 3 2 2 3" xfId="43652" xr:uid="{06E8CA95-F675-4707-A9CA-96B839D53785}"/>
    <cellStyle name="Migliaia [0] 59 3 2 2 4" xfId="32999" xr:uid="{82CE9F1E-9E38-4814-BA8D-C2709370B014}"/>
    <cellStyle name="Migliaia [0] 59 3 2 3" xfId="35885" xr:uid="{7C9CB7C5-6EB8-45DD-B436-F4B18D1730E3}"/>
    <cellStyle name="Migliaia [0] 59 3 2 4" xfId="41001" xr:uid="{5E692BB5-A193-486D-ABF2-EAE4B189C9E2}"/>
    <cellStyle name="Migliaia [0] 59 3 2 5" xfId="48331" xr:uid="{16C797D5-B518-4E1E-A7BD-D3F5D017602E}"/>
    <cellStyle name="Migliaia [0] 59 3 2 6" xfId="50857" xr:uid="{3F8AD34B-1107-46E9-BC1F-00E1E96B2146}"/>
    <cellStyle name="Migliaia [0] 59 3 2 7" xfId="53873" xr:uid="{E1DA514F-23E2-4B7C-A818-F994E65F0651}"/>
    <cellStyle name="Migliaia [0] 59 3 2 8" xfId="17631" xr:uid="{C1348997-770A-45B9-97F6-DD8815B01B37}"/>
    <cellStyle name="Migliaia [0] 59 3 2 9" xfId="11874" xr:uid="{BDC8CFE3-C7C2-4729-B8E5-5E6851E2E9A4}"/>
    <cellStyle name="Migliaia [0] 59 3 3" xfId="6044" xr:uid="{B52BFB1A-28E7-417A-8CCF-1E007ADAF3FF}"/>
    <cellStyle name="Migliaia [0] 59 3 3 2" xfId="12364" xr:uid="{4938FAC0-E8F0-4502-8BF8-305BDD7757BB}"/>
    <cellStyle name="Migliaia [0] 59 3 4" xfId="3091" xr:uid="{4BDC48B6-5B27-4D1A-AEF8-52FAA4229BE3}"/>
    <cellStyle name="Migliaia [0] 59 3 4 2" xfId="21361" xr:uid="{E67C9B07-EB88-495A-9DBA-4CBFD43B4EFF}"/>
    <cellStyle name="Migliaia [0] 59 3 4 3" xfId="35978" xr:uid="{7FE0FBD3-1298-4F7C-A0A3-53A81EAA9EAD}"/>
    <cellStyle name="Migliaia [0] 59 3 4 4" xfId="50376" xr:uid="{6A5DA285-9157-4F55-8DDC-14B5E9E7062C}"/>
    <cellStyle name="Migliaia [0] 59 3 4 5" xfId="53392" xr:uid="{08921868-2E63-4F76-B790-89F08CDF6A40}"/>
    <cellStyle name="Migliaia [0] 59 3 4 6" xfId="10726" xr:uid="{D3F1F05B-DCD6-4DBA-B2F5-BE635A7B1DF8}"/>
    <cellStyle name="Migliaia [0] 59 3 5" xfId="19770" xr:uid="{C3A6737F-188E-4621-B3EC-86B78A5966C6}"/>
    <cellStyle name="Migliaia [0] 59 3 6" xfId="24155" xr:uid="{D5923145-E9B9-4B6A-A259-A0E30F104938}"/>
    <cellStyle name="Migliaia [0] 59 3 7" xfId="8238" xr:uid="{97234D1A-FDEE-4D10-AF93-F61D6F9A1AAD}"/>
    <cellStyle name="Migliaia [0] 59 4" xfId="3092" xr:uid="{74607B56-75B4-41D7-8722-27D5621E1CAE}"/>
    <cellStyle name="Migliaia [0] 59 4 2" xfId="4818" xr:uid="{80C400A6-B90A-4204-81B7-730CEFEC2390}"/>
    <cellStyle name="Migliaia [0] 59 4 2 2" xfId="35123" xr:uid="{AF167865-94FD-4B13-A43A-28844A2F0C4B}"/>
    <cellStyle name="Migliaia [0] 59 4 2 2 2" xfId="40281" xr:uid="{0D7D05FA-E367-49C5-A634-209E3EC71FB8}"/>
    <cellStyle name="Migliaia [0] 59 4 2 2 3" xfId="45583" xr:uid="{147369F3-86C2-4332-8A92-D757EEE4E259}"/>
    <cellStyle name="Migliaia [0] 59 4 2 3" xfId="37630" xr:uid="{12015804-D70C-46A7-B73E-E183154E466A}"/>
    <cellStyle name="Migliaia [0] 59 4 2 4" xfId="42932" xr:uid="{E718DC67-5E1F-4D51-BAF5-74BE23737228}"/>
    <cellStyle name="Migliaia [0] 59 4 2 5" xfId="17063" xr:uid="{4DC4B956-2571-49A6-AFFE-B2EFC58FB3DF}"/>
    <cellStyle name="Migliaia [0] 59 4 3" xfId="6045" xr:uid="{20CC54EB-6DED-476B-A13A-33EE0E996F19}"/>
    <cellStyle name="Migliaia [0] 59 4 3 2" xfId="38351" xr:uid="{A19DF8F5-703A-4B8A-8D91-FB4832B27D5D}"/>
    <cellStyle name="Migliaia [0] 59 4 3 3" xfId="43653" xr:uid="{16C8B3FF-6C09-4606-A1F3-F301D4B9653B}"/>
    <cellStyle name="Migliaia [0] 59 4 3 4" xfId="33000" xr:uid="{E55C34B8-4A5C-4286-8AEC-300F729FFCD7}"/>
    <cellStyle name="Migliaia [0] 59 4 3 5" xfId="19771" xr:uid="{3585605B-7E01-4F44-9F51-9EC189AEA3CE}"/>
    <cellStyle name="Migliaia [0] 59 4 4" xfId="35886" xr:uid="{D6CFF758-1A1F-421E-9812-E8FBDD192198}"/>
    <cellStyle name="Migliaia [0] 59 4 5" xfId="41002" xr:uid="{EDFDAEEF-06DC-486A-856A-F03A4B5542C5}"/>
    <cellStyle name="Migliaia [0] 59 4 6" xfId="16005" xr:uid="{1044268F-CD29-410F-9958-2FBAD86F740D}"/>
    <cellStyle name="Migliaia [0] 59 4 7" xfId="7818" xr:uid="{E95536B1-3698-4EAA-A99B-B23BA7645F60}"/>
    <cellStyle name="Migliaia [0] 59 5" xfId="4814" xr:uid="{E3ACD634-6BB8-4A42-A021-E00918023DEF}"/>
    <cellStyle name="Migliaia [0] 59 5 2" xfId="33001" xr:uid="{6BDCE75B-5CF3-4DD6-ACA7-E118699655FC}"/>
    <cellStyle name="Migliaia [0] 59 5 2 2" xfId="38352" xr:uid="{DF40A019-F86D-4D40-8E8D-3DAE5DF18940}"/>
    <cellStyle name="Migliaia [0] 59 5 2 3" xfId="43654" xr:uid="{C3E2CB71-0723-470C-9E3C-71F99930B869}"/>
    <cellStyle name="Migliaia [0] 59 5 3" xfId="35887" xr:uid="{BB8FC5F1-149F-44C0-ADD0-7CF8E475D318}"/>
    <cellStyle name="Migliaia [0] 59 5 4" xfId="41003" xr:uid="{FA05C8C6-2F13-48E6-8F86-81CBFA424202}"/>
    <cellStyle name="Migliaia [0] 59 5 5" xfId="17132" xr:uid="{50D5B9F6-6DE9-43E3-AB0A-96F17E5846FA}"/>
    <cellStyle name="Migliaia [0] 59 6" xfId="6042" xr:uid="{24A8B4F7-5C46-439A-BE01-A146F1C5384A}"/>
    <cellStyle name="Migliaia [0] 59 6 2" xfId="38348" xr:uid="{F47A5D04-BAAA-4147-BBCD-249E0137C68E}"/>
    <cellStyle name="Migliaia [0] 59 6 3" xfId="43650" xr:uid="{84461FCD-D445-4982-A8FC-74C8AB821110}"/>
    <cellStyle name="Migliaia [0] 59 6 4" xfId="32997" xr:uid="{D3BD00FF-22C7-42AD-B8D1-D5C737EE367C}"/>
    <cellStyle name="Migliaia [0] 59 6 5" xfId="19767" xr:uid="{897C3390-1878-4A49-B90A-B8CA09DDB29B}"/>
    <cellStyle name="Migliaia [0] 59 7" xfId="3088" xr:uid="{0C50AC25-51E0-4A2F-85C2-9FFC90D3ECB4}"/>
    <cellStyle name="Migliaia [0] 59 7 2" xfId="35883" xr:uid="{A9898DA6-326C-4C99-A5C6-EC5ABE3025B8}"/>
    <cellStyle name="Migliaia [0] 59 8" xfId="40999" xr:uid="{A26FF09E-0BFD-4A6F-B5EC-631B582C405F}"/>
    <cellStyle name="Migliaia [0] 59 9" xfId="7039" xr:uid="{50658F4A-8F87-4532-A50B-7BB96611062C}"/>
    <cellStyle name="Migliaia [0] 6" xfId="297" xr:uid="{00000000-0005-0000-0000-0000B1020000}"/>
    <cellStyle name="Migliaia [0] 6 2" xfId="1646" xr:uid="{00000000-0005-0000-0000-0000B2020000}"/>
    <cellStyle name="Migliaia [0] 6 2 2" xfId="1647" xr:uid="{00000000-0005-0000-0000-0000B3020000}"/>
    <cellStyle name="Migliaia [0] 6 2 2 2" xfId="4821" xr:uid="{FF5AD1E6-BF59-4926-860A-A6AF43F6EDD7}"/>
    <cellStyle name="Migliaia [0] 6 2 2 2 2" xfId="21830" xr:uid="{985DD9CA-4663-4CF5-8A6E-3CE536199F53}"/>
    <cellStyle name="Migliaia [0] 6 2 2 2 3" xfId="47710" xr:uid="{825903D6-FFFF-4382-8AE5-6E36716DC031}"/>
    <cellStyle name="Migliaia [0] 6 2 2 2 4" xfId="50858" xr:uid="{46FD46A1-3430-4B6E-86F3-A1D99547107F}"/>
    <cellStyle name="Migliaia [0] 6 2 2 2 5" xfId="53874" xr:uid="{EF9B4486-83C5-43F8-913F-F6E26C0829E0}"/>
    <cellStyle name="Migliaia [0] 6 2 2 2 6" xfId="11875" xr:uid="{33CB4D07-F94D-4F85-816B-C673DF34C52B}"/>
    <cellStyle name="Migliaia [0] 6 2 2 3" xfId="3095" xr:uid="{88769076-2B97-4D93-A1B7-1FD5D4A4DE80}"/>
    <cellStyle name="Migliaia [0] 6 2 2 3 2" xfId="12323" xr:uid="{57DA90E9-6C75-471E-B67D-7B6B46DF61B4}"/>
    <cellStyle name="Migliaia [0] 6 2 2 4" xfId="10727" xr:uid="{836DC3A4-1203-4912-B5EF-161E620BC906}"/>
    <cellStyle name="Migliaia [0] 6 2 2 4 2" xfId="21362" xr:uid="{EE3122E3-8A24-4919-B6B5-843DCB329708}"/>
    <cellStyle name="Migliaia [0] 6 2 2 4 3" xfId="46200" xr:uid="{A9A65261-3241-4A86-9C05-03525C23DBBA}"/>
    <cellStyle name="Migliaia [0] 6 2 2 4 4" xfId="50377" xr:uid="{CD5E948A-6C49-44EC-AA99-FF1459A7B070}"/>
    <cellStyle name="Migliaia [0] 6 2 2 4 5" xfId="53393" xr:uid="{A3A4BEF0-A69E-4BB1-A81A-B785C27A69F2}"/>
    <cellStyle name="Migliaia [0] 6 2 2 5" xfId="19774" xr:uid="{F9091FA5-3043-4DB3-82D0-49C63E4DD0CC}"/>
    <cellStyle name="Migliaia [0] 6 2 2 6" xfId="24159" xr:uid="{8A33E2F2-B4AE-41B1-99F4-B6F2ECED124B}"/>
    <cellStyle name="Migliaia [0] 6 2 2 7" xfId="48875" xr:uid="{2928278A-EA75-4438-88DB-C0F8914C78D5}"/>
    <cellStyle name="Migliaia [0] 6 2 2 8" xfId="49781" xr:uid="{A3620AA8-3664-4566-B281-95CD4B26EF4F}"/>
    <cellStyle name="Migliaia [0] 6 2 2 9" xfId="8481" xr:uid="{03E88658-21F0-4CC9-94F0-7FF4691AFD41}"/>
    <cellStyle name="Migliaia [0] 6 2 3" xfId="4820" xr:uid="{07119281-F52E-4B61-B6B8-6853C39659D0}"/>
    <cellStyle name="Migliaia [0] 6 2 3 2" xfId="33003" xr:uid="{83F92554-EEAD-4F66-A23A-C2C455DC45D7}"/>
    <cellStyle name="Migliaia [0] 6 2 3 2 2" xfId="38354" xr:uid="{2447B25D-6CA8-4437-B900-F5A9EEE5DA77}"/>
    <cellStyle name="Migliaia [0] 6 2 3 2 3" xfId="43656" xr:uid="{EBAE7F4B-6227-4C18-898A-77286AA8A9CA}"/>
    <cellStyle name="Migliaia [0] 6 2 3 3" xfId="35889" xr:uid="{3FF88BE8-815E-4764-BB2B-11F80EFBD51F}"/>
    <cellStyle name="Migliaia [0] 6 2 3 4" xfId="41005" xr:uid="{588F4A87-26C1-4CC1-B4AD-D256F223D5D6}"/>
    <cellStyle name="Migliaia [0] 6 2 3 5" xfId="11876" xr:uid="{4A8DB07B-63E6-4A5D-92D3-8239ACE098B0}"/>
    <cellStyle name="Migliaia [0] 6 2 4" xfId="6047" xr:uid="{6E5A1789-70C8-4D16-96A1-50B74A305560}"/>
    <cellStyle name="Migliaia [0] 6 2 4 2" xfId="19773" xr:uid="{89AA7129-FD4F-4871-B37F-B99E62F9A2CA}"/>
    <cellStyle name="Migliaia [0] 6 2 5" xfId="3094" xr:uid="{B036836A-83C9-48FA-9A4A-5D3972FC7101}"/>
    <cellStyle name="Migliaia [0] 6 2 5 2" xfId="24158" xr:uid="{AB51A166-7344-441D-B7E9-3FC3EB324A4E}"/>
    <cellStyle name="Migliaia [0] 6 2 6" xfId="7291" xr:uid="{3E9E49E6-3582-44F1-B9B5-68D63289066C}"/>
    <cellStyle name="Migliaia [0] 6 3" xfId="1648" xr:uid="{00000000-0005-0000-0000-0000B4020000}"/>
    <cellStyle name="Migliaia [0] 6 3 2" xfId="4822" xr:uid="{7E9DC6DA-73D6-44AA-AFAE-9AFAD5309075}"/>
    <cellStyle name="Migliaia [0] 6 3 2 2" xfId="18356" xr:uid="{84D1C199-DA33-4A14-931F-C9BE71869D8E}"/>
    <cellStyle name="Migliaia [0] 6 3 2 2 2" xfId="21831" xr:uid="{B6A40EFC-FB4B-4CDC-9792-147C311C7D32}"/>
    <cellStyle name="Migliaia [0] 6 3 2 2 2 2" xfId="38355" xr:uid="{A1FCF414-87EA-47B9-8C14-7AEE3FFA91D0}"/>
    <cellStyle name="Migliaia [0] 6 3 2 2 3" xfId="43657" xr:uid="{A4554BBB-8986-4554-BB87-345F7A034225}"/>
    <cellStyle name="Migliaia [0] 6 3 2 2 4" xfId="33004" xr:uid="{C2DF3B31-6EBC-446C-82EB-0E4B95CCEA4B}"/>
    <cellStyle name="Migliaia [0] 6 3 2 3" xfId="35890" xr:uid="{D3878B8E-A183-4AFB-9DB3-C3F5826F725D}"/>
    <cellStyle name="Migliaia [0] 6 3 2 4" xfId="41006" xr:uid="{C42C5208-5CF7-4C37-A818-12BE783D4871}"/>
    <cellStyle name="Migliaia [0] 6 3 2 5" xfId="46296" xr:uid="{93F5301C-42B4-4FE9-9042-6AD3B97B8F2C}"/>
    <cellStyle name="Migliaia [0] 6 3 2 6" xfId="50859" xr:uid="{74B83789-6E98-485D-A56E-B28996A9260F}"/>
    <cellStyle name="Migliaia [0] 6 3 2 7" xfId="53875" xr:uid="{3BE108F2-F6F9-4784-BFC9-E52B0A7A0645}"/>
    <cellStyle name="Migliaia [0] 6 3 2 8" xfId="17632" xr:uid="{87434F8E-64AB-4EAB-A6CA-1AB9071A9134}"/>
    <cellStyle name="Migliaia [0] 6 3 2 9" xfId="11877" xr:uid="{6643665E-86D7-4FCF-8F2D-45978C4E4F25}"/>
    <cellStyle name="Migliaia [0] 6 3 3" xfId="6048" xr:uid="{0317DC0F-AC0C-4EE0-A856-82BCF9EAC3FE}"/>
    <cellStyle name="Migliaia [0] 6 3 3 2" xfId="12363" xr:uid="{BFA10650-B349-4B61-BB7E-0ADE332931F7}"/>
    <cellStyle name="Migliaia [0] 6 3 4" xfId="3096" xr:uid="{C4071D29-EBE0-4E0C-9B02-F64AA92CBDC6}"/>
    <cellStyle name="Migliaia [0] 6 3 4 2" xfId="21363" xr:uid="{99DB898F-0317-4939-907E-6784203184AA}"/>
    <cellStyle name="Migliaia [0] 6 3 4 3" xfId="47072" xr:uid="{805E58AC-5E42-4912-BD7D-27776B5CE78E}"/>
    <cellStyle name="Migliaia [0] 6 3 4 4" xfId="50378" xr:uid="{CD1C68D4-35EA-4912-A69B-EE3AF939767A}"/>
    <cellStyle name="Migliaia [0] 6 3 4 5" xfId="53394" xr:uid="{3275830C-49CD-4029-B1B1-39190A186741}"/>
    <cellStyle name="Migliaia [0] 6 3 4 6" xfId="10728" xr:uid="{2D80C08C-AA56-4131-8746-BC39BBA78DAC}"/>
    <cellStyle name="Migliaia [0] 6 3 5" xfId="19775" xr:uid="{506F6968-55FF-440E-A756-A8CC50F122CA}"/>
    <cellStyle name="Migliaia [0] 6 3 6" xfId="24161" xr:uid="{DCEE9CB8-4FD1-449F-9A0E-6DF7958DAED2}"/>
    <cellStyle name="Migliaia [0] 6 3 7" xfId="8239" xr:uid="{0C866B08-9463-4FB7-B1F0-0E357FA91B22}"/>
    <cellStyle name="Migliaia [0] 6 4" xfId="3097" xr:uid="{6FE6AD64-0378-4351-B73D-F471E98294AF}"/>
    <cellStyle name="Migliaia [0] 6 4 2" xfId="4823" xr:uid="{C738CE35-7D29-4F54-B19D-AE4AB19913A7}"/>
    <cellStyle name="Migliaia [0] 6 4 2 2" xfId="35124" xr:uid="{A509F258-C842-4E1A-A1C8-323F3B10CA14}"/>
    <cellStyle name="Migliaia [0] 6 4 2 2 2" xfId="40282" xr:uid="{084461FA-EE20-4238-A509-0CAEA9D4356C}"/>
    <cellStyle name="Migliaia [0] 6 4 2 2 3" xfId="45584" xr:uid="{6D0BC7EC-C841-4116-8A46-3E9931610A2A}"/>
    <cellStyle name="Migliaia [0] 6 4 2 3" xfId="37631" xr:uid="{1E72F787-4553-4F98-8ADF-321EF10E6622}"/>
    <cellStyle name="Migliaia [0] 6 4 2 4" xfId="42933" xr:uid="{51B9C8DC-D1BD-47E6-AF52-DEF1A13078AB}"/>
    <cellStyle name="Migliaia [0] 6 4 2 5" xfId="17064" xr:uid="{6F4E5A48-E525-4DB8-ACBA-D03E9064D8BC}"/>
    <cellStyle name="Migliaia [0] 6 4 3" xfId="6049" xr:uid="{AC863FE8-FF82-49F9-9828-D7A33A4C7C31}"/>
    <cellStyle name="Migliaia [0] 6 4 3 2" xfId="38356" xr:uid="{4E7168E2-FB30-463A-BE5C-7740C060E828}"/>
    <cellStyle name="Migliaia [0] 6 4 3 3" xfId="43658" xr:uid="{C70F8A95-58B9-4B10-9FD8-75D9E5C2B00B}"/>
    <cellStyle name="Migliaia [0] 6 4 3 4" xfId="33005" xr:uid="{B239F9F9-A093-4A90-9AC4-685EB0A06CFC}"/>
    <cellStyle name="Migliaia [0] 6 4 3 5" xfId="19776" xr:uid="{4A4A9D09-CF3E-41C8-B624-A7893C14144C}"/>
    <cellStyle name="Migliaia [0] 6 4 4" xfId="35891" xr:uid="{DCF1788D-20D1-472D-9C1D-38364D6129A3}"/>
    <cellStyle name="Migliaia [0] 6 4 5" xfId="41007" xr:uid="{3AD16752-56AA-4F4B-85C7-2A57FFA3ECD6}"/>
    <cellStyle name="Migliaia [0] 6 4 6" xfId="16006" xr:uid="{97A4223E-6AB8-43D1-98A9-9E83C61A851B}"/>
    <cellStyle name="Migliaia [0] 6 4 7" xfId="7819" xr:uid="{84F2DAA4-1D7E-474A-8B34-A01BF338A6CF}"/>
    <cellStyle name="Migliaia [0] 6 5" xfId="4819" xr:uid="{34ACB464-23E0-4A92-B6DB-E45AE5B36925}"/>
    <cellStyle name="Migliaia [0] 6 5 2" xfId="33006" xr:uid="{530BCBDA-FB26-495A-8749-401834A39AE1}"/>
    <cellStyle name="Migliaia [0] 6 5 2 2" xfId="38357" xr:uid="{CF456DE0-5BEE-4169-8FE5-CEC6A5719A17}"/>
    <cellStyle name="Migliaia [0] 6 5 2 3" xfId="43659" xr:uid="{2F25991D-2090-4CC5-87E1-5E2CC2F4C075}"/>
    <cellStyle name="Migliaia [0] 6 5 3" xfId="35892" xr:uid="{6A6C0E28-DE07-4B36-889D-D615E0EE7EA3}"/>
    <cellStyle name="Migliaia [0] 6 5 4" xfId="41008" xr:uid="{662BA6A0-1488-49CE-A526-803C5F71F5B5}"/>
    <cellStyle name="Migliaia [0] 6 5 5" xfId="17133" xr:uid="{EA2F9F99-A5B4-4736-B303-C7F85F226D37}"/>
    <cellStyle name="Migliaia [0] 6 6" xfId="6046" xr:uid="{B1A0424C-8D6F-44D8-AD14-84D4B0537A13}"/>
    <cellStyle name="Migliaia [0] 6 6 2" xfId="38353" xr:uid="{E44F0F06-9C04-4470-A98A-E493DC8B483A}"/>
    <cellStyle name="Migliaia [0] 6 6 3" xfId="43655" xr:uid="{AB706C5F-9579-4C37-8AD0-2C03BCCFD2FC}"/>
    <cellStyle name="Migliaia [0] 6 6 4" xfId="33002" xr:uid="{0446C9C7-B98E-4AC0-9B7A-8101C408741D}"/>
    <cellStyle name="Migliaia [0] 6 6 5" xfId="19772" xr:uid="{B237526B-C920-4ACA-8896-A8DD052400C9}"/>
    <cellStyle name="Migliaia [0] 6 7" xfId="3093" xr:uid="{970D0782-8B41-4CA2-8EE1-02BAFF50D160}"/>
    <cellStyle name="Migliaia [0] 6 7 2" xfId="35888" xr:uid="{4250154D-A1B1-4799-A927-D748E4C662D2}"/>
    <cellStyle name="Migliaia [0] 6 8" xfId="41004" xr:uid="{542A35E1-8B48-4969-8B05-31C03968993E}"/>
    <cellStyle name="Migliaia [0] 6 9" xfId="7040" xr:uid="{07F0BB81-AD39-4273-A61C-88EBB03E33F5}"/>
    <cellStyle name="Migliaia [0] 7" xfId="298" xr:uid="{00000000-0005-0000-0000-0000B5020000}"/>
    <cellStyle name="Migliaia [0] 7 2" xfId="1649" xr:uid="{00000000-0005-0000-0000-0000B6020000}"/>
    <cellStyle name="Migliaia [0] 7 2 2" xfId="1650" xr:uid="{00000000-0005-0000-0000-0000B7020000}"/>
    <cellStyle name="Migliaia [0] 7 2 2 2" xfId="4826" xr:uid="{3A230641-9A52-4047-B624-C50A6C2658C9}"/>
    <cellStyle name="Migliaia [0] 7 2 2 2 2" xfId="21832" xr:uid="{E64E36A0-4CAD-42AC-BFD0-500FF337CD4D}"/>
    <cellStyle name="Migliaia [0] 7 2 2 2 3" xfId="46297" xr:uid="{DB0A6D25-C44B-41B5-AB72-387B499E67BF}"/>
    <cellStyle name="Migliaia [0] 7 2 2 2 4" xfId="50860" xr:uid="{4D323808-1AD6-405C-A250-5965F029CC4D}"/>
    <cellStyle name="Migliaia [0] 7 2 2 2 5" xfId="53876" xr:uid="{CF36B1BC-8B41-41F9-A5C9-578ACB66A82E}"/>
    <cellStyle name="Migliaia [0] 7 2 2 2 6" xfId="11878" xr:uid="{B49315C7-B81B-48F9-AE71-58B46AD7059D}"/>
    <cellStyle name="Migliaia [0] 7 2 2 3" xfId="3100" xr:uid="{1285F521-5119-45F3-9B09-FE0AE282ED90}"/>
    <cellStyle name="Migliaia [0] 7 2 2 3 2" xfId="11679" xr:uid="{5FEE2D2D-107E-4B2B-B76E-EE3331D49C28}"/>
    <cellStyle name="Migliaia [0] 7 2 2 4" xfId="10729" xr:uid="{CB502C9C-90E6-4564-997D-96A79F80B47E}"/>
    <cellStyle name="Migliaia [0] 7 2 2 4 2" xfId="21364" xr:uid="{C0287757-834B-415A-BF4F-DCE36D1FDAE8}"/>
    <cellStyle name="Migliaia [0] 7 2 2 4 3" xfId="46201" xr:uid="{8CD23A32-6854-46D5-9AFD-A69E5A6866B6}"/>
    <cellStyle name="Migliaia [0] 7 2 2 4 4" xfId="50379" xr:uid="{0CA7837D-3A77-4431-99BD-B4DAD2E74894}"/>
    <cellStyle name="Migliaia [0] 7 2 2 4 5" xfId="53395" xr:uid="{DBCD65CC-6061-4267-B215-4759FAD9DF35}"/>
    <cellStyle name="Migliaia [0] 7 2 2 5" xfId="19779" xr:uid="{D08B5603-21A6-4744-8D42-38D51C2E6D71}"/>
    <cellStyle name="Migliaia [0] 7 2 2 6" xfId="24167" xr:uid="{A8B4864A-2645-42CA-A80C-CEC81EF1B2C9}"/>
    <cellStyle name="Migliaia [0] 7 2 2 7" xfId="48876" xr:uid="{7AA684FD-04AB-43C1-A191-D3D0224AFBD4}"/>
    <cellStyle name="Migliaia [0] 7 2 2 8" xfId="49782" xr:uid="{617434F1-4C55-43CE-B417-3A9DF26DBCD6}"/>
    <cellStyle name="Migliaia [0] 7 2 2 9" xfId="8482" xr:uid="{737E5244-1C0A-4442-8ED9-3ED735421684}"/>
    <cellStyle name="Migliaia [0] 7 2 3" xfId="4825" xr:uid="{30DB4908-B790-40A6-8735-F2E75985CFBD}"/>
    <cellStyle name="Migliaia [0] 7 2 3 2" xfId="33008" xr:uid="{6C737C9D-C4C7-423F-9A42-7CAF30B22DA9}"/>
    <cellStyle name="Migliaia [0] 7 2 3 2 2" xfId="38359" xr:uid="{C762AD10-C481-4AFD-AA38-E8952B84FF67}"/>
    <cellStyle name="Migliaia [0] 7 2 3 2 3" xfId="43661" xr:uid="{1C591BFA-1001-45A4-A3AC-7CDA0B7ED2BD}"/>
    <cellStyle name="Migliaia [0] 7 2 3 3" xfId="35894" xr:uid="{8E9B994E-1540-42D4-BC3D-E5A5E8524B25}"/>
    <cellStyle name="Migliaia [0] 7 2 3 4" xfId="41010" xr:uid="{CC0D9EFC-761B-4E40-A882-0313D49565DA}"/>
    <cellStyle name="Migliaia [0] 7 2 3 5" xfId="11879" xr:uid="{8924A4FB-31F8-48CD-B7ED-5B0B21E6B6A7}"/>
    <cellStyle name="Migliaia [0] 7 2 4" xfId="6051" xr:uid="{E0C8543D-CE12-485D-94A1-4EFE78497198}"/>
    <cellStyle name="Migliaia [0] 7 2 4 2" xfId="19778" xr:uid="{ED16BCBF-00C9-4F10-A458-D987565CF2B8}"/>
    <cellStyle name="Migliaia [0] 7 2 5" xfId="3099" xr:uid="{314EBA8D-5665-44F2-B50A-D71B73D77714}"/>
    <cellStyle name="Migliaia [0] 7 2 5 2" xfId="24166" xr:uid="{5761338A-2170-4A14-8E3D-4988DF5F9E1F}"/>
    <cellStyle name="Migliaia [0] 7 2 6" xfId="7292" xr:uid="{54487EC0-06E0-470B-BEB3-D5CD957A1898}"/>
    <cellStyle name="Migliaia [0] 7 3" xfId="1651" xr:uid="{00000000-0005-0000-0000-0000B8020000}"/>
    <cellStyle name="Migliaia [0] 7 3 2" xfId="4827" xr:uid="{5991A37A-BC88-4FE1-A1EA-DDBCAE813419}"/>
    <cellStyle name="Migliaia [0] 7 3 2 2" xfId="18357" xr:uid="{FC614E08-0756-48E9-9A69-5B7100EE203C}"/>
    <cellStyle name="Migliaia [0] 7 3 2 2 2" xfId="21833" xr:uid="{9DA38163-4D86-4F49-8E22-374571CA2CA5}"/>
    <cellStyle name="Migliaia [0] 7 3 2 2 2 2" xfId="38360" xr:uid="{206FE0C2-B469-456A-9688-CD0CE0C86AF3}"/>
    <cellStyle name="Migliaia [0] 7 3 2 2 3" xfId="43662" xr:uid="{30AAA158-8441-4E33-AE9E-2B19A328C7D5}"/>
    <cellStyle name="Migliaia [0] 7 3 2 2 4" xfId="33009" xr:uid="{5C6AF449-CE22-43DD-82AC-55C74646DB0A}"/>
    <cellStyle name="Migliaia [0] 7 3 2 3" xfId="35895" xr:uid="{D07BF74B-AAA4-45CB-B4DF-1EE09C95A402}"/>
    <cellStyle name="Migliaia [0] 7 3 2 4" xfId="41011" xr:uid="{5084AEE2-8FF8-4102-9B20-928C1C6C9B3B}"/>
    <cellStyle name="Migliaia [0] 7 3 2 5" xfId="36321" xr:uid="{1C15DD6E-9F37-4D9D-8C3A-7021D5BF9F6D}"/>
    <cellStyle name="Migliaia [0] 7 3 2 6" xfId="50861" xr:uid="{A5E1726B-D19E-45BD-88EE-7CFC16F990AB}"/>
    <cellStyle name="Migliaia [0] 7 3 2 7" xfId="53877" xr:uid="{CC4B7AA7-EF6F-4928-9185-EAB1CB8BCA19}"/>
    <cellStyle name="Migliaia [0] 7 3 2 8" xfId="17633" xr:uid="{59B23268-C601-4477-A8DB-25621BE0DB21}"/>
    <cellStyle name="Migliaia [0] 7 3 2 9" xfId="11880" xr:uid="{AB35F12B-EACC-4435-BFEF-72485E704DE7}"/>
    <cellStyle name="Migliaia [0] 7 3 3" xfId="6052" xr:uid="{D351C09E-EEDC-4759-84B0-B06D795522C0}"/>
    <cellStyle name="Migliaia [0] 7 3 3 2" xfId="11670" xr:uid="{B5B7AF32-6C2A-4111-B313-F1EAC712A1FF}"/>
    <cellStyle name="Migliaia [0] 7 3 4" xfId="3101" xr:uid="{999862CA-74D9-47CB-901B-27C03647BD3B}"/>
    <cellStyle name="Migliaia [0] 7 3 4 2" xfId="21365" xr:uid="{69C7D7C8-DE79-40FA-8C63-92000A7799CC}"/>
    <cellStyle name="Migliaia [0] 7 3 4 3" xfId="47412" xr:uid="{A5945849-D7D3-41A1-A63A-427F8FC99B4C}"/>
    <cellStyle name="Migliaia [0] 7 3 4 4" xfId="50380" xr:uid="{F16619B2-819F-4B5F-9D54-5CA122C16CFC}"/>
    <cellStyle name="Migliaia [0] 7 3 4 5" xfId="53396" xr:uid="{C37CEEA0-DDE1-4E29-849D-A3A09803E0A8}"/>
    <cellStyle name="Migliaia [0] 7 3 4 6" xfId="10730" xr:uid="{6AD08E28-4270-4B10-BFBB-F33A82F90923}"/>
    <cellStyle name="Migliaia [0] 7 3 5" xfId="19780" xr:uid="{BAEE20DB-D820-440F-840D-EDAD3B2066C3}"/>
    <cellStyle name="Migliaia [0] 7 3 6" xfId="24169" xr:uid="{F98F91EE-28F7-4F4C-98A0-499A6A8492C7}"/>
    <cellStyle name="Migliaia [0] 7 3 7" xfId="8240" xr:uid="{AB170E3B-4C90-41FA-B45A-206F82A3D513}"/>
    <cellStyle name="Migliaia [0] 7 4" xfId="3102" xr:uid="{09E6BB3F-14A3-45CB-8011-94723E00218C}"/>
    <cellStyle name="Migliaia [0] 7 4 2" xfId="4828" xr:uid="{F7546F5C-EB34-4392-9AA3-880BEBC9E473}"/>
    <cellStyle name="Migliaia [0] 7 4 2 2" xfId="35125" xr:uid="{E580768C-47BD-4476-8A7C-94C3B9C6786A}"/>
    <cellStyle name="Migliaia [0] 7 4 2 2 2" xfId="40283" xr:uid="{9867E8F8-06B7-4624-808E-6F01303564B7}"/>
    <cellStyle name="Migliaia [0] 7 4 2 2 3" xfId="45585" xr:uid="{48F4634B-8189-4EBA-8266-EB1320B12529}"/>
    <cellStyle name="Migliaia [0] 7 4 2 3" xfId="37632" xr:uid="{6297F5FE-A5A4-412B-9A95-48E01E11F420}"/>
    <cellStyle name="Migliaia [0] 7 4 2 4" xfId="42934" xr:uid="{A0415E9E-A9AA-4671-B05C-65F937B63A54}"/>
    <cellStyle name="Migliaia [0] 7 4 2 5" xfId="17065" xr:uid="{EC959530-1D47-4883-8E30-3E887439F7C9}"/>
    <cellStyle name="Migliaia [0] 7 4 3" xfId="6053" xr:uid="{3389BD2C-FF73-4DC5-8845-50CC901B7313}"/>
    <cellStyle name="Migliaia [0] 7 4 3 2" xfId="38361" xr:uid="{52FEC27E-BF0A-4061-A5A3-8341A4AE3B24}"/>
    <cellStyle name="Migliaia [0] 7 4 3 3" xfId="43663" xr:uid="{56F4DD85-06F7-48CD-AF22-08BF9098CE10}"/>
    <cellStyle name="Migliaia [0] 7 4 3 4" xfId="33010" xr:uid="{8C2AA744-7AA7-46D9-92BC-0CDC2E8D890D}"/>
    <cellStyle name="Migliaia [0] 7 4 3 5" xfId="19781" xr:uid="{D0409FB5-C36A-4B75-96A7-BADB8E4BA9EA}"/>
    <cellStyle name="Migliaia [0] 7 4 4" xfId="35896" xr:uid="{F05943B4-E6D5-450C-89E2-402E1F2DB192}"/>
    <cellStyle name="Migliaia [0] 7 4 5" xfId="41012" xr:uid="{6A0DB98A-6860-4082-8454-9CA497DB8654}"/>
    <cellStyle name="Migliaia [0] 7 4 6" xfId="16007" xr:uid="{74B311BC-CCAB-45CC-B4C6-87C066EB8C50}"/>
    <cellStyle name="Migliaia [0] 7 4 7" xfId="7820" xr:uid="{03B81DA7-18F9-47E5-A9D7-F802BE5E66F6}"/>
    <cellStyle name="Migliaia [0] 7 5" xfId="4824" xr:uid="{BA326C9D-72AD-49D3-BE9A-C036757DAFD9}"/>
    <cellStyle name="Migliaia [0] 7 5 2" xfId="33011" xr:uid="{79DA1F16-9D0F-4FEA-A2A0-18EAEE4735B5}"/>
    <cellStyle name="Migliaia [0] 7 5 2 2" xfId="38362" xr:uid="{97F4244E-34FE-4761-969A-64014D35A76E}"/>
    <cellStyle name="Migliaia [0] 7 5 2 3" xfId="43664" xr:uid="{58662F27-A16F-44CD-B412-E2CB5D2EC60C}"/>
    <cellStyle name="Migliaia [0] 7 5 3" xfId="35897" xr:uid="{394E25FF-857B-43C5-9997-5E6905CD6D71}"/>
    <cellStyle name="Migliaia [0] 7 5 4" xfId="41013" xr:uid="{E7754B27-04EC-4022-869C-67DA4165FD0C}"/>
    <cellStyle name="Migliaia [0] 7 5 5" xfId="17134" xr:uid="{7A9CB8E5-485A-4CA2-9F82-879B7FA0F035}"/>
    <cellStyle name="Migliaia [0] 7 6" xfId="6050" xr:uid="{A4F0FA15-22CB-446D-9876-CA21805D843A}"/>
    <cellStyle name="Migliaia [0] 7 6 2" xfId="38358" xr:uid="{3C3A828B-3019-429F-9955-463EF6E06A97}"/>
    <cellStyle name="Migliaia [0] 7 6 3" xfId="43660" xr:uid="{4CC10430-F244-4D8A-B76C-446D73F6462A}"/>
    <cellStyle name="Migliaia [0] 7 6 4" xfId="33007" xr:uid="{5EE8DEEE-FE0B-41C8-BDB5-80D43CF9DC5A}"/>
    <cellStyle name="Migliaia [0] 7 6 5" xfId="19777" xr:uid="{5618D6EA-25AB-464E-951D-504AEA5A6C19}"/>
    <cellStyle name="Migliaia [0] 7 7" xfId="3098" xr:uid="{1FE9D56E-3E9A-4936-99BE-862A4D79822E}"/>
    <cellStyle name="Migliaia [0] 7 7 2" xfId="35893" xr:uid="{C8DC1C45-7E8C-401C-B872-D4AED2ABDBED}"/>
    <cellStyle name="Migliaia [0] 7 8" xfId="41009" xr:uid="{47373865-41FA-49E7-B744-25CD09B58908}"/>
    <cellStyle name="Migliaia [0] 7 9" xfId="7041" xr:uid="{02010990-4D80-4000-8779-A3ABB6712779}"/>
    <cellStyle name="Migliaia [0] 8" xfId="299" xr:uid="{00000000-0005-0000-0000-0000B9020000}"/>
    <cellStyle name="Migliaia [0] 8 2" xfId="1652" xr:uid="{00000000-0005-0000-0000-0000BA020000}"/>
    <cellStyle name="Migliaia [0] 8 2 2" xfId="1653" xr:uid="{00000000-0005-0000-0000-0000BB020000}"/>
    <cellStyle name="Migliaia [0] 8 2 2 2" xfId="4831" xr:uid="{9FF8390D-759B-407C-B69D-8F4ACB183510}"/>
    <cellStyle name="Migliaia [0] 8 2 2 2 2" xfId="21834" xr:uid="{2AF0D86E-15D9-4143-BB5D-925CFA6E032B}"/>
    <cellStyle name="Migliaia [0] 8 2 2 2 3" xfId="46743" xr:uid="{FE9F316E-9250-4448-88E6-13BF3D1B833F}"/>
    <cellStyle name="Migliaia [0] 8 2 2 2 4" xfId="50862" xr:uid="{5A1B8C22-6DBD-46D5-996E-0B80E5B58789}"/>
    <cellStyle name="Migliaia [0] 8 2 2 2 5" xfId="53878" xr:uid="{B42AC399-45EF-435A-9134-44AB8BA0AC3A}"/>
    <cellStyle name="Migliaia [0] 8 2 2 2 6" xfId="11881" xr:uid="{CBBCBC42-B9DC-4CAC-98D0-9A8321143F2B}"/>
    <cellStyle name="Migliaia [0] 8 2 2 3" xfId="3105" xr:uid="{CE98BE60-9006-41AE-9AF0-2EFD47090D4C}"/>
    <cellStyle name="Migliaia [0] 8 2 2 3 2" xfId="11556" xr:uid="{2F6DC517-4B44-47BE-83E6-DBF7A2398A47}"/>
    <cellStyle name="Migliaia [0] 8 2 2 4" xfId="10731" xr:uid="{F65D0762-EF99-4CED-8805-FB3B51745DFD}"/>
    <cellStyle name="Migliaia [0] 8 2 2 4 2" xfId="21366" xr:uid="{BA336212-D19F-4F74-AE54-FEB5862645C5}"/>
    <cellStyle name="Migliaia [0] 8 2 2 4 3" xfId="46202" xr:uid="{279DC2AB-E11F-4811-B69D-CBD135FD428C}"/>
    <cellStyle name="Migliaia [0] 8 2 2 4 4" xfId="50381" xr:uid="{414DA6C7-A29F-4613-903D-B47AA3A640F3}"/>
    <cellStyle name="Migliaia [0] 8 2 2 4 5" xfId="53397" xr:uid="{B8433AB4-D8A0-473F-8E72-1D062D9C95E4}"/>
    <cellStyle name="Migliaia [0] 8 2 2 5" xfId="19784" xr:uid="{009755DC-ADC0-4C33-B166-38C9E4C6ED76}"/>
    <cellStyle name="Migliaia [0] 8 2 2 6" xfId="24175" xr:uid="{B6B96997-B9AE-4FB9-95F7-9802B382F043}"/>
    <cellStyle name="Migliaia [0] 8 2 2 7" xfId="48877" xr:uid="{130DF843-6123-4B22-8005-3D43179C2842}"/>
    <cellStyle name="Migliaia [0] 8 2 2 8" xfId="49783" xr:uid="{42A7906C-ADA1-44ED-9557-75B4E51A991B}"/>
    <cellStyle name="Migliaia [0] 8 2 2 9" xfId="8483" xr:uid="{E378C287-5D92-4C50-8B33-07E7ADA6AE1E}"/>
    <cellStyle name="Migliaia [0] 8 2 3" xfId="4830" xr:uid="{A8C927B4-1E32-482C-A022-A6005C8DAE4A}"/>
    <cellStyle name="Migliaia [0] 8 2 3 2" xfId="33013" xr:uid="{401E6A3E-3E15-4F83-9183-7B97E6DEE2BD}"/>
    <cellStyle name="Migliaia [0] 8 2 3 2 2" xfId="38364" xr:uid="{B67758E2-973D-4591-AF3F-13F1067B0A4E}"/>
    <cellStyle name="Migliaia [0] 8 2 3 2 3" xfId="43666" xr:uid="{79DAC828-77CE-460F-B9B6-B3B0725FE43B}"/>
    <cellStyle name="Migliaia [0] 8 2 3 3" xfId="35899" xr:uid="{F033EB53-607A-4BEA-A15B-6F2CA4C60F50}"/>
    <cellStyle name="Migliaia [0] 8 2 3 4" xfId="41015" xr:uid="{B4DC6553-A2B4-4DD6-9E32-85CFD6803856}"/>
    <cellStyle name="Migliaia [0] 8 2 3 5" xfId="11882" xr:uid="{DA927751-272E-4ECD-B61F-B0AC3168FE0C}"/>
    <cellStyle name="Migliaia [0] 8 2 4" xfId="6055" xr:uid="{E152400E-ED79-44C2-A01E-B930E293D9F2}"/>
    <cellStyle name="Migliaia [0] 8 2 4 2" xfId="19783" xr:uid="{7F30A2EA-2F1C-4431-AD9A-24AB94DD1288}"/>
    <cellStyle name="Migliaia [0] 8 2 5" xfId="3104" xr:uid="{5EF69358-7B7B-4A74-B581-C1A333FE779B}"/>
    <cellStyle name="Migliaia [0] 8 2 5 2" xfId="24174" xr:uid="{FB02C2BB-546C-4861-980B-F94BDBDBE9A2}"/>
    <cellStyle name="Migliaia [0] 8 2 6" xfId="7293" xr:uid="{99F8A046-2FCB-4F1C-80E4-9F0E5AD8B857}"/>
    <cellStyle name="Migliaia [0] 8 3" xfId="1654" xr:uid="{00000000-0005-0000-0000-0000BC020000}"/>
    <cellStyle name="Migliaia [0] 8 3 2" xfId="4832" xr:uid="{E55D5662-5EC5-4C89-81E2-268A5AF9CF4C}"/>
    <cellStyle name="Migliaia [0] 8 3 2 2" xfId="18358" xr:uid="{EF3DA47C-324D-4A7D-A116-090D9572ECF5}"/>
    <cellStyle name="Migliaia [0] 8 3 2 2 2" xfId="21835" xr:uid="{72BFD90A-58D0-4634-A8B9-33217C6DF941}"/>
    <cellStyle name="Migliaia [0] 8 3 2 2 2 2" xfId="38365" xr:uid="{BD17B3C8-95ED-4983-AD14-088A02794F43}"/>
    <cellStyle name="Migliaia [0] 8 3 2 2 3" xfId="43667" xr:uid="{B297C598-5C76-4BDF-83A5-DC9219D787E1}"/>
    <cellStyle name="Migliaia [0] 8 3 2 2 4" xfId="33014" xr:uid="{2E5385C9-5849-4071-82A4-E300E31870AF}"/>
    <cellStyle name="Migliaia [0] 8 3 2 3" xfId="35900" xr:uid="{3002CA44-EE12-428D-A567-92E5140996BB}"/>
    <cellStyle name="Migliaia [0] 8 3 2 4" xfId="41016" xr:uid="{FD3CA9DA-597B-4364-8126-437D2FD96B73}"/>
    <cellStyle name="Migliaia [0] 8 3 2 5" xfId="48289" xr:uid="{CD5BEA9B-CD7A-489E-8DE2-05E6E39A8161}"/>
    <cellStyle name="Migliaia [0] 8 3 2 6" xfId="50863" xr:uid="{DE89E45C-5A29-427B-A84E-16FC3445D661}"/>
    <cellStyle name="Migliaia [0] 8 3 2 7" xfId="53879" xr:uid="{9E2C641D-3982-490B-9798-F51794BA230A}"/>
    <cellStyle name="Migliaia [0] 8 3 2 8" xfId="17634" xr:uid="{10E41853-A306-4B8F-87CC-3CC0C2462330}"/>
    <cellStyle name="Migliaia [0] 8 3 2 9" xfId="11883" xr:uid="{B6739F1C-A223-4EED-A918-E752F6966BD0}"/>
    <cellStyle name="Migliaia [0] 8 3 3" xfId="6056" xr:uid="{AB173F62-079B-4446-A80C-A8CDF8B32301}"/>
    <cellStyle name="Migliaia [0] 8 3 3 2" xfId="11119" xr:uid="{82E2988B-33DA-4AD0-9EB6-618565C0F7A4}"/>
    <cellStyle name="Migliaia [0] 8 3 4" xfId="3106" xr:uid="{EA9158A6-4B9F-4616-9C20-EA3633CFC18D}"/>
    <cellStyle name="Migliaia [0] 8 3 4 2" xfId="21367" xr:uid="{927FBC3F-A0C4-48BF-AAAE-4BFDD7962D4F}"/>
    <cellStyle name="Migliaia [0] 8 3 4 3" xfId="48004" xr:uid="{94F66C76-7375-4DDE-88EB-E85E7F50E280}"/>
    <cellStyle name="Migliaia [0] 8 3 4 4" xfId="50382" xr:uid="{7FD4032B-A2EC-42D1-B880-514B7CF3CC98}"/>
    <cellStyle name="Migliaia [0] 8 3 4 5" xfId="53398" xr:uid="{95B58BB9-422E-4A36-AA90-4634A6A4C8BC}"/>
    <cellStyle name="Migliaia [0] 8 3 4 6" xfId="10732" xr:uid="{EAC687A2-FC6D-4AAD-800A-6F88DDAFF224}"/>
    <cellStyle name="Migliaia [0] 8 3 5" xfId="19785" xr:uid="{410A9B43-1501-4D2C-A94A-C7F70E127F65}"/>
    <cellStyle name="Migliaia [0] 8 3 6" xfId="24177" xr:uid="{00542776-6BBC-4659-B7D6-743818E7BE43}"/>
    <cellStyle name="Migliaia [0] 8 3 7" xfId="8241" xr:uid="{D3AA93F1-07AA-456A-B354-2608732E32C8}"/>
    <cellStyle name="Migliaia [0] 8 4" xfId="3107" xr:uid="{42B44F06-A944-448B-B636-0A94D87A6196}"/>
    <cellStyle name="Migliaia [0] 8 4 2" xfId="4833" xr:uid="{0018B7D3-7EC0-4AF5-8260-6ACDB9FE225A}"/>
    <cellStyle name="Migliaia [0] 8 4 2 2" xfId="35126" xr:uid="{1FBD7255-64DF-40FD-95C8-55339791449D}"/>
    <cellStyle name="Migliaia [0] 8 4 2 2 2" xfId="40284" xr:uid="{CDDAB619-58F6-485C-8E5D-8B531D1DE302}"/>
    <cellStyle name="Migliaia [0] 8 4 2 2 3" xfId="45586" xr:uid="{96FD5A2A-D2D7-4F48-B1AB-7DF0F5026647}"/>
    <cellStyle name="Migliaia [0] 8 4 2 3" xfId="37633" xr:uid="{5486A701-D70D-4510-B021-BADC62960F32}"/>
    <cellStyle name="Migliaia [0] 8 4 2 4" xfId="42935" xr:uid="{6CC0E4BA-E5F3-4F4F-9B00-F6AE8F5432FD}"/>
    <cellStyle name="Migliaia [0] 8 4 2 5" xfId="17066" xr:uid="{8273B699-03B5-4A9F-9C2B-17C36FB8C933}"/>
    <cellStyle name="Migliaia [0] 8 4 3" xfId="6057" xr:uid="{64F68C14-9D61-4E40-A078-7F44F6A3061B}"/>
    <cellStyle name="Migliaia [0] 8 4 3 2" xfId="38366" xr:uid="{74B3C009-B8B0-4C5F-A5B6-B7D9D1685474}"/>
    <cellStyle name="Migliaia [0] 8 4 3 3" xfId="43668" xr:uid="{E346D102-8406-41F4-A1D3-8C35672A2AC5}"/>
    <cellStyle name="Migliaia [0] 8 4 3 4" xfId="33015" xr:uid="{86C5CB38-79F0-4D70-98A2-F61D0BF9DF72}"/>
    <cellStyle name="Migliaia [0] 8 4 3 5" xfId="19786" xr:uid="{D44AB121-020C-42EF-BFDE-9F2D88191257}"/>
    <cellStyle name="Migliaia [0] 8 4 4" xfId="35901" xr:uid="{1E57E387-EA9B-48C2-A13B-00A02A331A69}"/>
    <cellStyle name="Migliaia [0] 8 4 5" xfId="41017" xr:uid="{ECFEB6CD-EC8B-490D-8196-B0B0305FB982}"/>
    <cellStyle name="Migliaia [0] 8 4 6" xfId="16008" xr:uid="{4B58D1DD-70B2-4621-8223-57016BFC8F6A}"/>
    <cellStyle name="Migliaia [0] 8 4 7" xfId="7821" xr:uid="{5565D122-6CBA-43C1-BB81-052CB0866005}"/>
    <cellStyle name="Migliaia [0] 8 5" xfId="4829" xr:uid="{56154EF9-C464-4DE3-9645-CF40DA145D87}"/>
    <cellStyle name="Migliaia [0] 8 5 2" xfId="33016" xr:uid="{E026C3E9-0D7D-4466-996A-B9237D1E8C9C}"/>
    <cellStyle name="Migliaia [0] 8 5 2 2" xfId="38367" xr:uid="{2BBD9858-CD75-4C4A-ADAE-82DE96E1CCBE}"/>
    <cellStyle name="Migliaia [0] 8 5 2 3" xfId="43669" xr:uid="{EB8F1B7D-66EF-4F70-8F9E-70148A5676C8}"/>
    <cellStyle name="Migliaia [0] 8 5 3" xfId="35902" xr:uid="{5168D489-6856-4E73-BAD9-C143A78E23DC}"/>
    <cellStyle name="Migliaia [0] 8 5 4" xfId="41018" xr:uid="{24A4E1EE-C405-4ADD-A16D-7CEE963DCC80}"/>
    <cellStyle name="Migliaia [0] 8 5 5" xfId="17135" xr:uid="{7232076D-C757-47B4-8111-738592EDB332}"/>
    <cellStyle name="Migliaia [0] 8 6" xfId="6054" xr:uid="{24649AC4-A41B-478E-AD8D-63197797D7FC}"/>
    <cellStyle name="Migliaia [0] 8 6 2" xfId="38363" xr:uid="{014E37F0-7FC6-437E-BF6B-B8FF0874E1C2}"/>
    <cellStyle name="Migliaia [0] 8 6 3" xfId="43665" xr:uid="{CAC220A1-2975-4105-9097-6BFC959B9E52}"/>
    <cellStyle name="Migliaia [0] 8 6 4" xfId="33012" xr:uid="{9F3D76B0-B62F-4A5D-A50E-D319303F3551}"/>
    <cellStyle name="Migliaia [0] 8 6 5" xfId="19782" xr:uid="{6EEEC5D2-41A2-4861-88A7-A1A1C9BBDA33}"/>
    <cellStyle name="Migliaia [0] 8 7" xfId="3103" xr:uid="{9ED4EE9C-176B-4AE4-A8CB-F564CB0B63AB}"/>
    <cellStyle name="Migliaia [0] 8 7 2" xfId="35898" xr:uid="{04718543-EEE1-432F-AE5F-00A953382B27}"/>
    <cellStyle name="Migliaia [0] 8 8" xfId="41014" xr:uid="{B0D92C83-CEEC-42D6-B393-6AE333354439}"/>
    <cellStyle name="Migliaia [0] 8 9" xfId="7042" xr:uid="{382FCB15-65DB-48C9-B4F1-55E5AD09D05C}"/>
    <cellStyle name="Migliaia [0] 9" xfId="300" xr:uid="{00000000-0005-0000-0000-0000BD020000}"/>
    <cellStyle name="Migliaia [0] 9 2" xfId="1655" xr:uid="{00000000-0005-0000-0000-0000BE020000}"/>
    <cellStyle name="Migliaia [0] 9 2 2" xfId="1656" xr:uid="{00000000-0005-0000-0000-0000BF020000}"/>
    <cellStyle name="Migliaia [0] 9 2 2 2" xfId="4836" xr:uid="{5FD7E025-5265-4BBB-8D2C-1F4E23AD1990}"/>
    <cellStyle name="Migliaia [0] 9 2 2 2 2" xfId="21836" xr:uid="{F102BC42-ADE4-42AB-868C-5642262ABABA}"/>
    <cellStyle name="Migliaia [0] 9 2 2 2 3" xfId="46298" xr:uid="{68A780D6-8307-4290-96DC-BED8849C39A6}"/>
    <cellStyle name="Migliaia [0] 9 2 2 2 4" xfId="50864" xr:uid="{39B9513E-C92B-49A5-A9C3-EA01D5CAED7C}"/>
    <cellStyle name="Migliaia [0] 9 2 2 2 5" xfId="53880" xr:uid="{5F696234-F7A2-4E28-8753-192C511FC38B}"/>
    <cellStyle name="Migliaia [0] 9 2 2 2 6" xfId="11884" xr:uid="{EA035CC6-8B84-4161-A18A-8807131DAC39}"/>
    <cellStyle name="Migliaia [0] 9 2 2 3" xfId="3110" xr:uid="{1981BF27-08BC-4CC5-94C3-737DE5898ADF}"/>
    <cellStyle name="Migliaia [0] 9 2 2 3 2" xfId="12322" xr:uid="{220D6EED-13E8-4DBC-BCDC-DB5F9CF2F4BF}"/>
    <cellStyle name="Migliaia [0] 9 2 2 4" xfId="10733" xr:uid="{E231DAEB-F6EF-47FF-BAA9-0FE7173CD7C4}"/>
    <cellStyle name="Migliaia [0] 9 2 2 4 2" xfId="21368" xr:uid="{E12FAAAB-96F0-4615-93CC-87A282CA6D0B}"/>
    <cellStyle name="Migliaia [0] 9 2 2 4 3" xfId="25358" xr:uid="{775B05F2-07EF-4539-85B9-79018041FDE9}"/>
    <cellStyle name="Migliaia [0] 9 2 2 4 4" xfId="50383" xr:uid="{C9ADF795-C884-49B9-8B70-13C54029E1BB}"/>
    <cellStyle name="Migliaia [0] 9 2 2 4 5" xfId="53399" xr:uid="{E8EE116F-5016-462B-9F19-CA5C518DDEEB}"/>
    <cellStyle name="Migliaia [0] 9 2 2 5" xfId="19789" xr:uid="{34130ECF-F33D-41B8-ACAA-C0CE58DAFB21}"/>
    <cellStyle name="Migliaia [0] 9 2 2 6" xfId="24183" xr:uid="{780B2AE8-08E8-4AF2-BF8E-9A95CC199176}"/>
    <cellStyle name="Migliaia [0] 9 2 2 7" xfId="48878" xr:uid="{68499EA8-6D44-4C1D-9200-17F74D89980D}"/>
    <cellStyle name="Migliaia [0] 9 2 2 8" xfId="49784" xr:uid="{7A272495-8C1D-461F-A7E0-9A1185597E02}"/>
    <cellStyle name="Migliaia [0] 9 2 2 9" xfId="8484" xr:uid="{88F9B1DC-3277-464E-8F36-E0D3F19FE70C}"/>
    <cellStyle name="Migliaia [0] 9 2 3" xfId="4835" xr:uid="{4E4EC15B-B91E-4087-899B-AEED016B64C7}"/>
    <cellStyle name="Migliaia [0] 9 2 3 2" xfId="33018" xr:uid="{463FC740-7C2C-44A5-95B3-DB5FB58D2965}"/>
    <cellStyle name="Migliaia [0] 9 2 3 2 2" xfId="38369" xr:uid="{053E50CC-0EFE-48F9-82CE-ADABF0EF42C0}"/>
    <cellStyle name="Migliaia [0] 9 2 3 2 3" xfId="43671" xr:uid="{0EAA14CC-8090-4A5A-8DE5-360AEB54BA19}"/>
    <cellStyle name="Migliaia [0] 9 2 3 3" xfId="35904" xr:uid="{7B84D886-0AF0-4121-BC6D-301B3CB2FC62}"/>
    <cellStyle name="Migliaia [0] 9 2 3 4" xfId="41020" xr:uid="{59740AB5-5738-4D13-9E99-7F153C819B3C}"/>
    <cellStyle name="Migliaia [0] 9 2 3 5" xfId="11885" xr:uid="{662E611D-46C2-4878-96A6-4459A8E70D23}"/>
    <cellStyle name="Migliaia [0] 9 2 4" xfId="6059" xr:uid="{6CFC8A18-C5C9-45B1-9BC2-3D210B8763A5}"/>
    <cellStyle name="Migliaia [0] 9 2 4 2" xfId="19788" xr:uid="{71662E0E-EE60-4181-BFE3-09E94898F19D}"/>
    <cellStyle name="Migliaia [0] 9 2 5" xfId="3109" xr:uid="{B2D83EED-D225-4823-BB0E-34B1D854D514}"/>
    <cellStyle name="Migliaia [0] 9 2 5 2" xfId="24182" xr:uid="{36F295FC-BF71-4C1E-A418-016420BB3B9E}"/>
    <cellStyle name="Migliaia [0] 9 2 6" xfId="7294" xr:uid="{45B35A55-218F-4B1A-8F82-096E50EB5113}"/>
    <cellStyle name="Migliaia [0] 9 3" xfId="1657" xr:uid="{00000000-0005-0000-0000-0000C0020000}"/>
    <cellStyle name="Migliaia [0] 9 3 2" xfId="4837" xr:uid="{0F8FBF84-3CE8-4C49-A992-F0056AD59728}"/>
    <cellStyle name="Migliaia [0] 9 3 2 2" xfId="18359" xr:uid="{D082EE40-9EBD-4986-AC83-ED3474A8EE6C}"/>
    <cellStyle name="Migliaia [0] 9 3 2 2 2" xfId="21837" xr:uid="{3825037A-CA81-49C2-AA42-7A6D27A08454}"/>
    <cellStyle name="Migliaia [0] 9 3 2 2 2 2" xfId="38370" xr:uid="{9317554C-40C5-40ED-AFDB-83F6C4195ADD}"/>
    <cellStyle name="Migliaia [0] 9 3 2 2 3" xfId="43672" xr:uid="{A3912BB2-987E-4933-B772-364564D15378}"/>
    <cellStyle name="Migliaia [0] 9 3 2 2 4" xfId="33019" xr:uid="{1CB45D6E-0ED6-4C39-A4FA-BA2EE604C985}"/>
    <cellStyle name="Migliaia [0] 9 3 2 3" xfId="35905" xr:uid="{5792ECEB-D999-4002-8E07-29804C607138}"/>
    <cellStyle name="Migliaia [0] 9 3 2 4" xfId="41021" xr:uid="{F2950D2C-00B1-4569-AD2E-FFDBC0BEDBB4}"/>
    <cellStyle name="Migliaia [0] 9 3 2 5" xfId="47225" xr:uid="{61AF55A0-B723-4174-B01A-700235B4575B}"/>
    <cellStyle name="Migliaia [0] 9 3 2 6" xfId="50865" xr:uid="{4B6A6FD7-2699-453C-9AEC-F038C014749B}"/>
    <cellStyle name="Migliaia [0] 9 3 2 7" xfId="53881" xr:uid="{3EB412AD-42B0-493C-879E-C38E436B000B}"/>
    <cellStyle name="Migliaia [0] 9 3 2 8" xfId="17635" xr:uid="{D3F9336E-11A5-4230-95F4-981C7080F8C2}"/>
    <cellStyle name="Migliaia [0] 9 3 2 9" xfId="11886" xr:uid="{DC01DA1D-8CC9-490E-9DE9-2A8BFDE07332}"/>
    <cellStyle name="Migliaia [0] 9 3 3" xfId="6060" xr:uid="{05A47E1A-B474-45C5-8F9D-874462179E20}"/>
    <cellStyle name="Migliaia [0] 9 3 3 2" xfId="12362" xr:uid="{023C2C59-74FE-4D73-8927-E414F1662E0E}"/>
    <cellStyle name="Migliaia [0] 9 3 4" xfId="3111" xr:uid="{79205EAD-548A-4299-ADDC-BC70D5B50083}"/>
    <cellStyle name="Migliaia [0] 9 3 4 2" xfId="21369" xr:uid="{43250911-A6FA-47D6-BB49-2F9AE4328EDF}"/>
    <cellStyle name="Migliaia [0] 9 3 4 3" xfId="47800" xr:uid="{16A013D1-5F63-4811-B0B5-5498D6EE7846}"/>
    <cellStyle name="Migliaia [0] 9 3 4 4" xfId="50384" xr:uid="{B15573F9-BDFB-4A14-A49D-3C529CE50A65}"/>
    <cellStyle name="Migliaia [0] 9 3 4 5" xfId="53400" xr:uid="{E1981AA1-45C0-4886-9FBC-C9D2690052A4}"/>
    <cellStyle name="Migliaia [0] 9 3 4 6" xfId="10734" xr:uid="{8F30582D-D45C-4EED-9543-1B8BA3120636}"/>
    <cellStyle name="Migliaia [0] 9 3 5" xfId="19790" xr:uid="{0E0B3BA5-755C-449E-9713-829C1ACA968F}"/>
    <cellStyle name="Migliaia [0] 9 3 6" xfId="24185" xr:uid="{501B27FD-C3C7-4548-91A8-141928F30402}"/>
    <cellStyle name="Migliaia [0] 9 3 7" xfId="8242" xr:uid="{97B1513C-CDC2-4EDB-82C0-1E928F73617F}"/>
    <cellStyle name="Migliaia [0] 9 4" xfId="3112" xr:uid="{19D79E60-EEE3-4AFF-9789-9908328B7618}"/>
    <cellStyle name="Migliaia [0] 9 4 2" xfId="4838" xr:uid="{672546F8-B57B-4A09-806D-F24E1A45D124}"/>
    <cellStyle name="Migliaia [0] 9 4 2 2" xfId="35127" xr:uid="{094F6DCB-26C5-4993-8511-670DF2CDBEA0}"/>
    <cellStyle name="Migliaia [0] 9 4 2 2 2" xfId="40285" xr:uid="{C67C351B-009B-4D90-9CE5-E14D927D754B}"/>
    <cellStyle name="Migliaia [0] 9 4 2 2 3" xfId="45587" xr:uid="{80FC3C66-1790-484E-8BFB-18615AD4C405}"/>
    <cellStyle name="Migliaia [0] 9 4 2 3" xfId="37634" xr:uid="{5631AF58-0E81-4E59-A92B-DDCAA5E3943B}"/>
    <cellStyle name="Migliaia [0] 9 4 2 4" xfId="42936" xr:uid="{05777389-EB4A-4F6A-94B6-963AE12696F0}"/>
    <cellStyle name="Migliaia [0] 9 4 2 5" xfId="17576" xr:uid="{B1091FA4-D733-4710-A61A-5C541C6F9F99}"/>
    <cellStyle name="Migliaia [0] 9 4 3" xfId="6061" xr:uid="{C3490AC5-BC11-484A-A3B8-A8D8D45F77E7}"/>
    <cellStyle name="Migliaia [0] 9 4 3 2" xfId="38371" xr:uid="{036D3A43-A3F1-4F6B-B1F4-159C276D6CBE}"/>
    <cellStyle name="Migliaia [0] 9 4 3 3" xfId="43673" xr:uid="{6459CAFB-DD41-415B-AC12-B0202E854C28}"/>
    <cellStyle name="Migliaia [0] 9 4 3 4" xfId="33020" xr:uid="{9373E3F7-6A97-4240-AC43-0A6AB51B929A}"/>
    <cellStyle name="Migliaia [0] 9 4 3 5" xfId="19791" xr:uid="{10CE5B63-D8E2-4F2C-86A2-BAB15D8B8AEE}"/>
    <cellStyle name="Migliaia [0] 9 4 4" xfId="35906" xr:uid="{47FCC044-E27F-4718-8311-1F4966D0D5B0}"/>
    <cellStyle name="Migliaia [0] 9 4 5" xfId="41022" xr:uid="{50C83FA1-8F64-477D-AD10-107BAA6E0A02}"/>
    <cellStyle name="Migliaia [0] 9 4 6" xfId="16009" xr:uid="{7C221D1E-E4B0-496E-9031-208068D77601}"/>
    <cellStyle name="Migliaia [0] 9 4 7" xfId="7822" xr:uid="{1D8FCED2-3849-40A2-A95B-FEAED93DA73A}"/>
    <cellStyle name="Migliaia [0] 9 5" xfId="4834" xr:uid="{7FF4374C-0386-4479-AAC9-401AD615DAB2}"/>
    <cellStyle name="Migliaia [0] 9 5 2" xfId="33021" xr:uid="{0F49F8EB-5C75-4855-8B7A-AAD84F021630}"/>
    <cellStyle name="Migliaia [0] 9 5 2 2" xfId="38372" xr:uid="{8B7959D2-810D-49FF-ACF4-BCA5B53B38EB}"/>
    <cellStyle name="Migliaia [0] 9 5 2 3" xfId="43674" xr:uid="{7A86860D-150B-4C92-B64F-40005C3BEEB6}"/>
    <cellStyle name="Migliaia [0] 9 5 3" xfId="35907" xr:uid="{2991CA7B-F253-42C8-BE2F-52EAB7E12093}"/>
    <cellStyle name="Migliaia [0] 9 5 4" xfId="41023" xr:uid="{B5C9B9EA-52FF-4BF1-8523-FBDB98C518BD}"/>
    <cellStyle name="Migliaia [0] 9 5 5" xfId="17136" xr:uid="{AA059FA3-0D0E-4F0A-B194-061770CF70E8}"/>
    <cellStyle name="Migliaia [0] 9 6" xfId="6058" xr:uid="{1169638F-FCB5-4427-BF62-698B0CFAB2A4}"/>
    <cellStyle name="Migliaia [0] 9 6 2" xfId="38368" xr:uid="{F59335D7-5F6D-4311-BD02-23A37AF04B5A}"/>
    <cellStyle name="Migliaia [0] 9 6 3" xfId="43670" xr:uid="{05CE6E27-8FC5-4E7C-9CFD-459508511D36}"/>
    <cellStyle name="Migliaia [0] 9 6 4" xfId="33017" xr:uid="{CA80F2A3-DED6-4461-98CD-18AF505E6B73}"/>
    <cellStyle name="Migliaia [0] 9 6 5" xfId="19787" xr:uid="{4934403C-04E3-4911-BBB3-9276DDDE3545}"/>
    <cellStyle name="Migliaia [0] 9 7" xfId="3108" xr:uid="{E97C50CB-0575-494D-A9D4-E7B7C540CDF9}"/>
    <cellStyle name="Migliaia [0] 9 7 2" xfId="35903" xr:uid="{852E73C3-C10D-4EC2-9A82-BBC487659376}"/>
    <cellStyle name="Migliaia [0] 9 8" xfId="41019" xr:uid="{5C5D33C9-06F4-436A-A072-A4072DB7CABF}"/>
    <cellStyle name="Migliaia [0] 9 9" xfId="7043" xr:uid="{9F2673B6-1657-4E60-8141-7A2B3DED0BD6}"/>
    <cellStyle name="Migliaia 10" xfId="301" xr:uid="{00000000-0005-0000-0000-0000C1020000}"/>
    <cellStyle name="Migliaia 10 10" xfId="6062" xr:uid="{9F3F750A-25A9-4F5F-8AAE-D77FD64D6E26}"/>
    <cellStyle name="Migliaia 10 10 2" xfId="38373" xr:uid="{F784C85F-2312-44AA-A303-7272EF53D8B5}"/>
    <cellStyle name="Migliaia 10 10 3" xfId="43675" xr:uid="{B77EA58E-BD1F-4FFC-ABF2-3B13039518CC}"/>
    <cellStyle name="Migliaia 10 10 4" xfId="33022" xr:uid="{734CC00F-99E4-4F90-AE5B-BE994B440C05}"/>
    <cellStyle name="Migliaia 10 10 5" xfId="19792" xr:uid="{33B32DF4-4C75-4785-B52E-42E5F3A43F9C}"/>
    <cellStyle name="Migliaia 10 11" xfId="3113" xr:uid="{87F0B160-BE96-4131-8803-06789C394A9A}"/>
    <cellStyle name="Migliaia 10 11 2" xfId="35908" xr:uid="{772EA25E-95DE-4B57-84F1-0091322815E3}"/>
    <cellStyle name="Migliaia 10 12" xfId="41024" xr:uid="{794F1C1E-D695-490B-BFF2-1ED610DDCE98}"/>
    <cellStyle name="Migliaia 10 13" xfId="7044" xr:uid="{54F84677-1036-4798-B85A-71F01322967C}"/>
    <cellStyle name="Migliaia 10 2" xfId="302" xr:uid="{00000000-0005-0000-0000-0000C2020000}"/>
    <cellStyle name="Migliaia 10 2 2" xfId="1658" xr:uid="{00000000-0005-0000-0000-0000C3020000}"/>
    <cellStyle name="Migliaia 10 2 2 2" xfId="4841" xr:uid="{4FCCF3A9-551F-4251-A9FA-066227C7A3CC}"/>
    <cellStyle name="Migliaia 10 2 2 2 2" xfId="14363" xr:uid="{7A98FF72-189D-4919-A58D-E556BC74D311}"/>
    <cellStyle name="Migliaia 10 2 2 2 2 2" xfId="38374" xr:uid="{DE9D6479-A919-408E-BB93-303A2614B3E7}"/>
    <cellStyle name="Migliaia 10 2 2 2 2 3" xfId="43676" xr:uid="{8307411A-92F3-40B7-BA5D-A245A73D214A}"/>
    <cellStyle name="Migliaia 10 2 2 2 3" xfId="18360" xr:uid="{36C4A1FF-54CF-47F3-8F25-F6DA09BC48B1}"/>
    <cellStyle name="Migliaia 10 2 2 2 4" xfId="19795" xr:uid="{AED175D7-13B9-48D1-AE03-EB5E2C5ACBD9}"/>
    <cellStyle name="Migliaia 10 2 2 2 4 2" xfId="41025" xr:uid="{6D686C9E-7C4A-46A6-A051-8E622C700ABA}"/>
    <cellStyle name="Migliaia 10 2 2 2 5" xfId="16010" xr:uid="{A0C55B20-68CF-4E66-98CA-1FDC0B73C513}"/>
    <cellStyle name="Migliaia 10 2 2 2 6" xfId="8486" xr:uid="{0A559FB9-9899-47BD-8FA0-D9020CCBA890}"/>
    <cellStyle name="Migliaia 10 2 2 3" xfId="6064" xr:uid="{F236CB6D-CD39-47FC-965F-4D8928DB3590}"/>
    <cellStyle name="Migliaia 10 2 2 3 2" xfId="35128" xr:uid="{028A8DBD-9E3B-4F60-8BCB-51870851E166}"/>
    <cellStyle name="Migliaia 10 2 2 3 2 2" xfId="40286" xr:uid="{B3674F73-2FFA-4E17-B8A0-C02E6C2FD7C9}"/>
    <cellStyle name="Migliaia 10 2 2 3 2 3" xfId="45588" xr:uid="{64CEA3EB-6155-45BF-B76F-C175CC42DC17}"/>
    <cellStyle name="Migliaia 10 2 2 3 3" xfId="37635" xr:uid="{64269FBB-35BD-42FD-9995-D418FAD0BB4D}"/>
    <cellStyle name="Migliaia 10 2 2 3 4" xfId="42937" xr:uid="{592014CA-E08D-4BC3-A36A-766C00B41CAA}"/>
    <cellStyle name="Migliaia 10 2 2 3 5" xfId="11592" xr:uid="{F4BF75AD-DD12-4435-9A85-FF08495D0E75}"/>
    <cellStyle name="Migliaia 10 2 2 4" xfId="3115" xr:uid="{307CC970-7098-47DB-8D61-6D998AE07405}"/>
    <cellStyle name="Migliaia 10 2 2 4 2" xfId="21370" xr:uid="{22EC565F-C151-4596-B60F-FE926EA7D4C8}"/>
    <cellStyle name="Migliaia 10 2 2 4 3" xfId="46639" xr:uid="{AD494A6C-FFCC-451B-BD88-432E4F21D101}"/>
    <cellStyle name="Migliaia 10 2 2 4 4" xfId="50385" xr:uid="{ECAB7405-681D-4273-B04E-EBC9151937D0}"/>
    <cellStyle name="Migliaia 10 2 2 4 5" xfId="53401" xr:uid="{5EF2FC4A-7145-425A-A41A-E459E2F670C8}"/>
    <cellStyle name="Migliaia 10 2 2 4 6" xfId="10735" xr:uid="{6224F5F3-3E32-461A-9B33-33E64CA54293}"/>
    <cellStyle name="Migliaia 10 2 2 5" xfId="19794" xr:uid="{43C58FD7-6328-4F9C-A3CD-2C3240799631}"/>
    <cellStyle name="Migliaia 10 2 2 6" xfId="24191" xr:uid="{4788BF93-8692-4606-B86A-E4F6C5095497}"/>
    <cellStyle name="Migliaia 10 2 2 7" xfId="7296" xr:uid="{E9BB3108-23ED-4145-AB29-5F384B1EBBA7}"/>
    <cellStyle name="Migliaia 10 2 3" xfId="3116" xr:uid="{14E37A83-20BF-4C1A-90EE-3795AF12FBED}"/>
    <cellStyle name="Migliaia 10 2 3 2" xfId="4842" xr:uid="{3A07B38C-04D6-4CB5-9F52-879D0FDB345C}"/>
    <cellStyle name="Migliaia 10 2 3 2 2" xfId="35129" xr:uid="{06559696-D95D-4461-B323-6DE7E4A90454}"/>
    <cellStyle name="Migliaia 10 2 3 2 2 2" xfId="40287" xr:uid="{5374D27D-5511-46D4-B5BB-24A4FCF277F7}"/>
    <cellStyle name="Migliaia 10 2 3 2 2 3" xfId="45589" xr:uid="{3B497547-4F80-462C-A32B-482A857EBD3D}"/>
    <cellStyle name="Migliaia 10 2 3 2 3" xfId="37636" xr:uid="{97AF2DE9-C4A2-4FB1-8EAD-1B3E04434F00}"/>
    <cellStyle name="Migliaia 10 2 3 2 4" xfId="42938" xr:uid="{99FD44B7-7D6B-4C15-85A6-242ED0539950}"/>
    <cellStyle name="Migliaia 10 2 3 2 5" xfId="14182" xr:uid="{4FEA0C00-7FE7-4B82-B4E4-29ED320BB56F}"/>
    <cellStyle name="Migliaia 10 2 3 3" xfId="6065" xr:uid="{A3A626A1-4E21-41B2-8711-6F4F455DCC2D}"/>
    <cellStyle name="Migliaia 10 2 3 3 2" xfId="38375" xr:uid="{48FBFDE2-1ED3-4BF9-8EBA-E7933CB41AEF}"/>
    <cellStyle name="Migliaia 10 2 3 3 3" xfId="43677" xr:uid="{9CAED91B-5C9A-4B0C-8B5E-026545B47BDE}"/>
    <cellStyle name="Migliaia 10 2 3 3 4" xfId="33024" xr:uid="{734D6A8E-C3F7-46BE-8A8B-C5386F14DFBC}"/>
    <cellStyle name="Migliaia 10 2 3 3 5" xfId="19796" xr:uid="{B4FF55BF-EF54-48AD-A6CD-E01EF0AD9E4E}"/>
    <cellStyle name="Migliaia 10 2 3 4" xfId="35910" xr:uid="{D92EDAE9-46D6-4F08-B40C-F9EDCF6D7B60}"/>
    <cellStyle name="Migliaia 10 2 3 5" xfId="41026" xr:uid="{32A08195-D533-4DC0-9A7F-EEAF0616D5CD}"/>
    <cellStyle name="Migliaia 10 2 3 6" xfId="16011" xr:uid="{9CB4AD0F-23B3-4A17-A5FE-68C4C254D46D}"/>
    <cellStyle name="Migliaia 10 2 3 7" xfId="8244" xr:uid="{537CF635-4D42-4C5A-A860-405C7DE9EE51}"/>
    <cellStyle name="Migliaia 10 2 4" xfId="4840" xr:uid="{F2E1EBAC-0DE2-4790-8A21-20FE86499B4E}"/>
    <cellStyle name="Migliaia 10 2 4 2" xfId="13885" xr:uid="{9E6CE036-4D2C-493E-86D0-E31821B69314}"/>
    <cellStyle name="Migliaia 10 2 4 2 2" xfId="38376" xr:uid="{367E7EFE-D0F9-4D61-B957-54BC985B4206}"/>
    <cellStyle name="Migliaia 10 2 4 2 3" xfId="43678" xr:uid="{71CDD133-6F80-49AB-B81D-39676540F154}"/>
    <cellStyle name="Migliaia 10 2 4 3" xfId="18729" xr:uid="{A8BE815D-C1E9-424A-A2B3-072E78BA1059}"/>
    <cellStyle name="Migliaia 10 2 4 4" xfId="19797" xr:uid="{F62BB894-1835-4117-B180-9BD78226D71D}"/>
    <cellStyle name="Migliaia 10 2 4 4 2" xfId="41027" xr:uid="{DF0C6CF2-4DD5-43B7-B417-F8B72FE927CF}"/>
    <cellStyle name="Migliaia 10 2 4 5" xfId="16012" xr:uid="{5B7566D4-65A5-4C3E-BDEA-1711E9241B03}"/>
    <cellStyle name="Migliaia 10 2 4 6" xfId="7824" xr:uid="{6827ACA4-7532-494F-BF75-3B6530EE89B8}"/>
    <cellStyle name="Migliaia 10 2 5" xfId="6063" xr:uid="{4902E973-CA72-49EA-8846-1609DFB6CDB3}"/>
    <cellStyle name="Migliaia 10 2 5 2" xfId="33026" xr:uid="{F97A5B6E-065A-412B-B07C-564649D8975C}"/>
    <cellStyle name="Migliaia 10 2 5 2 2" xfId="38377" xr:uid="{FB5FCF8A-5427-4DA1-A943-A02D298FBEC7}"/>
    <cellStyle name="Migliaia 10 2 5 2 3" xfId="43679" xr:uid="{30A5C614-0B39-4F7F-8B55-F394DA291DD0}"/>
    <cellStyle name="Migliaia 10 2 5 3" xfId="35911" xr:uid="{C7E3D2D8-82A3-4578-BA31-2C461FECFB33}"/>
    <cellStyle name="Migliaia 10 2 5 4" xfId="41028" xr:uid="{D4781B12-41E8-46F1-9F4E-C226061F2C37}"/>
    <cellStyle name="Migliaia 10 2 5 5" xfId="13103" xr:uid="{D3000516-E8B6-48B7-8005-4A2FEFF2C3AB}"/>
    <cellStyle name="Migliaia 10 2 6" xfId="3114" xr:uid="{2ABEF558-69AA-4301-BCE1-CA87D073A5BB}"/>
    <cellStyle name="Migliaia 10 2 6 2" xfId="33027" xr:uid="{C8122728-AB78-4620-94D3-B83A42F5ABA6}"/>
    <cellStyle name="Migliaia 10 2 6 2 2" xfId="38378" xr:uid="{118641D2-73FC-47E0-9C13-2CFD73F4AB37}"/>
    <cellStyle name="Migliaia 10 2 6 2 3" xfId="43680" xr:uid="{D6F4EED3-EC12-43A8-8A56-4431A7744F7A}"/>
    <cellStyle name="Migliaia 10 2 6 3" xfId="35912" xr:uid="{1A9D24E7-3550-46B1-BBAB-0CD087992FC6}"/>
    <cellStyle name="Migliaia 10 2 6 4" xfId="41029" xr:uid="{775E3F37-0C8A-470C-97C9-9B7611F63084}"/>
    <cellStyle name="Migliaia 10 2 6 5" xfId="24195" xr:uid="{486D1188-D3A4-4EDA-B3A4-DDCFBB7F3B35}"/>
    <cellStyle name="Migliaia 10 2 6 6" xfId="19793" xr:uid="{FA257537-9EE2-4AA2-9382-3F42F7AE4ACB}"/>
    <cellStyle name="Migliaia 10 2 7" xfId="24190" xr:uid="{BD5A7D44-6CDB-43A9-AED8-AA93E7F264C5}"/>
    <cellStyle name="Migliaia 10 2 8" xfId="7045" xr:uid="{1BCD4E8B-1923-4FE9-BDC5-AB33A66CF62F}"/>
    <cellStyle name="Migliaia 10 3" xfId="303" xr:uid="{00000000-0005-0000-0000-0000C4020000}"/>
    <cellStyle name="Migliaia 10 3 10" xfId="24196" xr:uid="{0BB18BD9-D144-42B2-A25F-4F0E24DC27DF}"/>
    <cellStyle name="Migliaia 10 3 11" xfId="16013" xr:uid="{26851F4A-FDD7-4A36-A154-3BF1C627F6BE}"/>
    <cellStyle name="Migliaia 10 3 12" xfId="7046" xr:uid="{B806D1EC-3128-4FE5-88A4-8BC26E9F36EE}"/>
    <cellStyle name="Migliaia 10 3 2" xfId="304" xr:uid="{00000000-0005-0000-0000-0000C5020000}"/>
    <cellStyle name="Migliaia 10 3 2 2" xfId="1659" xr:uid="{00000000-0005-0000-0000-0000C6020000}"/>
    <cellStyle name="Migliaia 10 3 2 2 2" xfId="4845" xr:uid="{E1235BE6-2F34-41F0-BC63-0F6DBE40EB9F}"/>
    <cellStyle name="Migliaia 10 3 2 2 2 2" xfId="18361" xr:uid="{83618839-D4BE-4EA1-80F3-391325A46F3F}"/>
    <cellStyle name="Migliaia 10 3 2 2 2 2 2" xfId="21838" xr:uid="{E24E37EE-8FAF-4CE4-ACAE-33578A471C81}"/>
    <cellStyle name="Migliaia 10 3 2 2 2 2 2 2" xfId="38379" xr:uid="{0EC60797-6158-4EC7-8B11-CF1E5D797E17}"/>
    <cellStyle name="Migliaia 10 3 2 2 2 2 3" xfId="43681" xr:uid="{3B31803F-851E-4A78-A497-AA16AE58B6B7}"/>
    <cellStyle name="Migliaia 10 3 2 2 2 2 4" xfId="33028" xr:uid="{0252CB39-D3F9-4BC9-92E0-03F096044535}"/>
    <cellStyle name="Migliaia 10 3 2 2 2 3" xfId="35913" xr:uid="{87FD4EAB-67F8-4BFE-948C-A3560240FC29}"/>
    <cellStyle name="Migliaia 10 3 2 2 2 4" xfId="41030" xr:uid="{2081D1A2-E580-4C0D-ADDC-C5D602D3239F}"/>
    <cellStyle name="Migliaia 10 3 2 2 2 5" xfId="46744" xr:uid="{B79C0A41-827D-4CF3-9710-8B65C2FB8303}"/>
    <cellStyle name="Migliaia 10 3 2 2 2 6" xfId="50866" xr:uid="{56828E72-0754-4305-A993-F933C21D00D8}"/>
    <cellStyle name="Migliaia 10 3 2 2 2 7" xfId="53882" xr:uid="{905334BE-E823-4C05-85C9-6A88E6702DDE}"/>
    <cellStyle name="Migliaia 10 3 2 2 2 8" xfId="17639" xr:uid="{1A6A6AA2-9213-433E-A2F2-2799E31188A4}"/>
    <cellStyle name="Migliaia 10 3 2 2 2 9" xfId="11887" xr:uid="{992148A2-C2B4-4A94-BB26-2BBBF317C0F9}"/>
    <cellStyle name="Migliaia 10 3 2 2 3" xfId="6068" xr:uid="{C13E6D0F-BAB4-490D-860E-2E7D42017FCE}"/>
    <cellStyle name="Migliaia 10 3 2 2 3 2" xfId="11680" xr:uid="{570323AC-A38F-4AA8-A2BE-187CCEB68AA4}"/>
    <cellStyle name="Migliaia 10 3 2 2 4" xfId="3119" xr:uid="{DF55D60F-9DD1-4D2D-9D89-C6E84D2A4718}"/>
    <cellStyle name="Migliaia 10 3 2 2 4 2" xfId="21371" xr:uid="{485A9FC3-904B-4D99-BE34-294834F8514A}"/>
    <cellStyle name="Migliaia 10 3 2 2 4 3" xfId="48315" xr:uid="{3A83FA8A-89EC-4B86-83AE-E27DCFCFE53B}"/>
    <cellStyle name="Migliaia 10 3 2 2 4 4" xfId="50386" xr:uid="{4CA09EE8-CC3C-4EC9-AF11-BBCFEA2FA2B4}"/>
    <cellStyle name="Migliaia 10 3 2 2 4 5" xfId="53402" xr:uid="{8E192F1C-4049-4BFE-879B-7367A7776619}"/>
    <cellStyle name="Migliaia 10 3 2 2 4 6" xfId="10736" xr:uid="{6BC7DC2B-23D8-48CA-8659-5B9108671078}"/>
    <cellStyle name="Migliaia 10 3 2 2 5" xfId="19800" xr:uid="{805F853E-9E6E-494B-921C-FE0E3D6FAD5F}"/>
    <cellStyle name="Migliaia 10 3 2 2 6" xfId="24198" xr:uid="{61385194-FBB5-47A0-B25C-BB43D5DD0EBF}"/>
    <cellStyle name="Migliaia 10 3 2 2 7" xfId="8488" xr:uid="{14F6E90B-5C52-40F6-8623-9A165FB49414}"/>
    <cellStyle name="Migliaia 10 3 2 3" xfId="4844" xr:uid="{3B06EAF2-A82A-4A34-B174-E3D996F1FE55}"/>
    <cellStyle name="Migliaia 10 3 2 3 2" xfId="11655" xr:uid="{4F205021-8B05-4DC4-83AB-19A241CED703}"/>
    <cellStyle name="Migliaia 10 3 2 3 2 2" xfId="38380" xr:uid="{CE126976-1E01-4645-91F8-298D03B5C69B}"/>
    <cellStyle name="Migliaia 10 3 2 3 2 3" xfId="43682" xr:uid="{40F49801-7DB8-468A-9771-4B0A621CF716}"/>
    <cellStyle name="Migliaia 10 3 2 3 2 4" xfId="33029" xr:uid="{A60DDAA8-8614-4F91-85C5-2A47447D34AB}"/>
    <cellStyle name="Migliaia 10 3 2 3 3" xfId="11888" xr:uid="{105ADD8A-462F-4909-AE6D-70AB38D9B5DB}"/>
    <cellStyle name="Migliaia 10 3 2 3 4" xfId="19801" xr:uid="{43500F48-58BB-4540-BAE7-C615921F2816}"/>
    <cellStyle name="Migliaia 10 3 2 3 4 2" xfId="41031" xr:uid="{80CE712F-2E25-4001-9E6F-B21208F0B4BF}"/>
    <cellStyle name="Migliaia 10 3 2 3 5" xfId="16014" xr:uid="{487F19B4-1903-4C9E-9794-BA8A23238A79}"/>
    <cellStyle name="Migliaia 10 3 2 3 6" xfId="7826" xr:uid="{5458986E-7654-40F9-9195-DA454D677B16}"/>
    <cellStyle name="Migliaia 10 3 2 4" xfId="6067" xr:uid="{FC2CB318-F6FE-4ACB-BED8-EC3F67D4821D}"/>
    <cellStyle name="Migliaia 10 3 2 4 2" xfId="18058" xr:uid="{1E2E6B95-202F-478F-988C-0862D0688CE7}"/>
    <cellStyle name="Migliaia 10 3 2 4 2 2" xfId="38381" xr:uid="{642E818A-6DB0-4509-8799-4427D25BDE7E}"/>
    <cellStyle name="Migliaia 10 3 2 4 2 3" xfId="43683" xr:uid="{934ACF79-5106-42E8-A807-87FA93246FFA}"/>
    <cellStyle name="Migliaia 10 3 2 4 3" xfId="35914" xr:uid="{227F7294-5C62-4958-806E-E757A8F5FF26}"/>
    <cellStyle name="Migliaia 10 3 2 4 4" xfId="41032" xr:uid="{B6EDAA83-A312-4127-BB3D-EF25583CB568}"/>
    <cellStyle name="Migliaia 10 3 2 4 5" xfId="17138" xr:uid="{26DCCEE5-89B8-4EA6-BF53-4D4BE338E264}"/>
    <cellStyle name="Migliaia 10 3 2 4 6" xfId="11240" xr:uid="{518B6165-E289-493A-8A33-A349C37B314E}"/>
    <cellStyle name="Migliaia 10 3 2 5" xfId="3118" xr:uid="{1E34D88F-DEF6-4F54-8120-3FBA217AAEB4}"/>
    <cellStyle name="Migliaia 10 3 2 5 2" xfId="33030" xr:uid="{DE318458-F9EF-424F-B129-F77681BE6854}"/>
    <cellStyle name="Migliaia 10 3 2 5 2 2" xfId="38382" xr:uid="{5A9AFC85-0C69-4076-B036-D1AEC935501B}"/>
    <cellStyle name="Migliaia 10 3 2 5 2 3" xfId="43684" xr:uid="{7AD11381-D574-48B6-932C-1CE4CFF3BFAF}"/>
    <cellStyle name="Migliaia 10 3 2 5 3" xfId="35915" xr:uid="{3433D10E-9537-4A48-8B47-ADF22EA16FF8}"/>
    <cellStyle name="Migliaia 10 3 2 5 4" xfId="41033" xr:uid="{83E77CFC-8FB5-48C2-B409-2B069F819223}"/>
    <cellStyle name="Migliaia 10 3 2 5 5" xfId="17423" xr:uid="{D6E0EB1F-2225-4D21-A697-71B37D351747}"/>
    <cellStyle name="Migliaia 10 3 2 6" xfId="19799" xr:uid="{F364556D-F03D-4D09-8373-8F0DE85EBEB9}"/>
    <cellStyle name="Migliaia 10 3 2 6 2" xfId="33031" xr:uid="{1D0CB567-3CED-468E-A4E6-D00633088DC9}"/>
    <cellStyle name="Migliaia 10 3 2 6 2 2" xfId="38383" xr:uid="{C2ACE18D-F4E2-480C-A71F-B825CCFCFEA7}"/>
    <cellStyle name="Migliaia 10 3 2 6 2 3" xfId="43685" xr:uid="{160030AC-31AD-4A4D-904E-6296043AC657}"/>
    <cellStyle name="Migliaia 10 3 2 6 3" xfId="35916" xr:uid="{E2DAF72D-6A14-4F2F-92EF-0E2F73DBD553}"/>
    <cellStyle name="Migliaia 10 3 2 6 4" xfId="41034" xr:uid="{26EFD44A-6F71-4699-9974-295660263ADB}"/>
    <cellStyle name="Migliaia 10 3 2 6 5" xfId="24199" xr:uid="{F047C080-F3DA-4E6F-95A7-3A882FDE0CE8}"/>
    <cellStyle name="Migliaia 10 3 2 7" xfId="24197" xr:uid="{423DDBAA-7324-4B30-9D54-0D0C70C5839D}"/>
    <cellStyle name="Migliaia 10 3 2 8" xfId="7298" xr:uid="{B4D6F97E-30A8-4B10-8109-B6F36098EDD9}"/>
    <cellStyle name="Migliaia 10 3 3" xfId="3120" xr:uid="{0948A49E-6D7B-42C7-BF5B-976A458A2C37}"/>
    <cellStyle name="Migliaia 10 3 3 10" xfId="7297" xr:uid="{7085520C-6F95-483D-8F84-A9A8E5B50EE2}"/>
    <cellStyle name="Migliaia 10 3 3 2" xfId="4846" xr:uid="{08CECC23-E5FF-4977-825A-CBC4C1C262AB}"/>
    <cellStyle name="Migliaia 10 3 3 2 2" xfId="9884" xr:uid="{CD1858EE-CCEF-4C13-B833-1B8E319D68F5}"/>
    <cellStyle name="Migliaia 10 3 3 2 2 2" xfId="38385" xr:uid="{9042CA58-96A2-488C-9BD3-675603DA0EAA}"/>
    <cellStyle name="Migliaia 10 3 3 2 2 3" xfId="43687" xr:uid="{9441884F-F653-4675-8086-DE071FA70750}"/>
    <cellStyle name="Migliaia 10 3 3 2 3" xfId="18164" xr:uid="{B1645D78-A744-48DF-B7F4-620C81952727}"/>
    <cellStyle name="Migliaia 10 3 3 2 4" xfId="19803" xr:uid="{0A2A4069-85C1-45BE-AE39-21D715DDE4FC}"/>
    <cellStyle name="Migliaia 10 3 3 2 4 2" xfId="41036" xr:uid="{06194262-3FCB-427D-AD95-547851D4731A}"/>
    <cellStyle name="Migliaia 10 3 3 2 5" xfId="16016" xr:uid="{6DE750F6-AE2D-4FF7-83AC-5EF3CDB5C8CC}"/>
    <cellStyle name="Migliaia 10 3 3 2 6" xfId="8487" xr:uid="{2E3130DC-DF67-4890-8F4C-F0766E94FD88}"/>
    <cellStyle name="Migliaia 10 3 3 3" xfId="6069" xr:uid="{CBC98E31-301A-4B97-813F-5F47DC5A6D78}"/>
    <cellStyle name="Migliaia 10 3 3 3 2" xfId="33033" xr:uid="{BAF43114-CD1E-44BA-A318-A757107F9D4D}"/>
    <cellStyle name="Migliaia 10 3 3 3 2 2" xfId="38386" xr:uid="{DCFB7BA9-CEEE-416B-B4E7-CDEC3E0EA4BC}"/>
    <cellStyle name="Migliaia 10 3 3 3 2 3" xfId="43688" xr:uid="{5D96C78A-1529-40FC-AF6C-E63C97B5F6B1}"/>
    <cellStyle name="Migliaia 10 3 3 3 3" xfId="35918" xr:uid="{58E47E64-54BF-46FA-969C-5CBC78C8022C}"/>
    <cellStyle name="Migliaia 10 3 3 3 4" xfId="41037" xr:uid="{05CF7AC1-9C15-47A8-BB8A-839E09597173}"/>
    <cellStyle name="Migliaia 10 3 3 3 5" xfId="9647" xr:uid="{69AF992F-FBCC-4B70-A769-3FE11516DFF8}"/>
    <cellStyle name="Migliaia 10 3 3 4" xfId="19802" xr:uid="{7D3D02D2-4041-4BBB-95CA-F3528B79452A}"/>
    <cellStyle name="Migliaia 10 3 3 4 2" xfId="33034" xr:uid="{AE2CFB3C-FC5D-4340-B59C-4C76A8C59A6A}"/>
    <cellStyle name="Migliaia 10 3 3 4 2 2" xfId="38387" xr:uid="{34746D06-5510-4E2B-9A27-FD399F0C634A}"/>
    <cellStyle name="Migliaia 10 3 3 4 2 3" xfId="43689" xr:uid="{7D940EE8-4DD2-4F83-9A12-202C83DBCA41}"/>
    <cellStyle name="Migliaia 10 3 3 4 3" xfId="35919" xr:uid="{3BB47F75-D675-4638-9F16-A9E08D13E29C}"/>
    <cellStyle name="Migliaia 10 3 3 4 4" xfId="41038" xr:uid="{49C9C523-9651-445C-B571-22C37949A0EE}"/>
    <cellStyle name="Migliaia 10 3 3 4 5" xfId="24200" xr:uid="{1FC2162E-6926-411E-B3CA-C8BAB56D5D48}"/>
    <cellStyle name="Migliaia 10 3 3 5" xfId="24201" xr:uid="{DF83B178-3840-4760-99A7-AEB28EE40584}"/>
    <cellStyle name="Migliaia 10 3 3 5 2" xfId="33035" xr:uid="{8B5C4904-55CE-446F-A6F4-3072A8EAE433}"/>
    <cellStyle name="Migliaia 10 3 3 5 2 2" xfId="38388" xr:uid="{981C680C-0AEA-4329-9841-4F07D267D4B6}"/>
    <cellStyle name="Migliaia 10 3 3 5 2 3" xfId="43690" xr:uid="{53B84925-57B2-4697-9377-C856F3301B03}"/>
    <cellStyle name="Migliaia 10 3 3 5 3" xfId="35920" xr:uid="{A3EE613C-622E-4EAF-9D7B-16657129EA72}"/>
    <cellStyle name="Migliaia 10 3 3 5 4" xfId="41039" xr:uid="{6BD2A3FD-D7D9-41BA-AB5A-4BD89F13645E}"/>
    <cellStyle name="Migliaia 10 3 3 6" xfId="33032" xr:uid="{BABC7F37-05CE-479F-AF44-03EE46926F13}"/>
    <cellStyle name="Migliaia 10 3 3 6 2" xfId="38384" xr:uid="{1A39FD20-806B-4B84-9A76-0296E10EB6AE}"/>
    <cellStyle name="Migliaia 10 3 3 6 3" xfId="43686" xr:uid="{455EA34E-5E8E-4359-A0D0-0D5FB6881E76}"/>
    <cellStyle name="Migliaia 10 3 3 7" xfId="35917" xr:uid="{42F25869-937D-4CF3-A55E-17843A5FAC04}"/>
    <cellStyle name="Migliaia 10 3 3 8" xfId="41035" xr:uid="{5D09BCFD-A054-4570-B037-EFB58D5FFAC0}"/>
    <cellStyle name="Migliaia 10 3 3 9" xfId="16015" xr:uid="{FDC9D046-AB57-473D-A58E-7BE14F557377}"/>
    <cellStyle name="Migliaia 10 3 4" xfId="3121" xr:uid="{B7E0A7F7-2847-44E4-84FC-0E1BFDD43C6F}"/>
    <cellStyle name="Migliaia 10 3 4 2" xfId="4847" xr:uid="{84E2367F-EA71-47BD-A054-361AC4EBDDF5}"/>
    <cellStyle name="Migliaia 10 3 4 2 2" xfId="14424" xr:uid="{A3D6F486-04E3-45BD-96AD-B670F0F4E7BF}"/>
    <cellStyle name="Migliaia 10 3 4 2 3" xfId="18592" xr:uid="{1936CCDD-7DE7-465F-A106-940BB0F4FD32}"/>
    <cellStyle name="Migliaia 10 3 4 2 4" xfId="19805" xr:uid="{C4F11703-182B-4B7E-A4FA-83D8C8707DC6}"/>
    <cellStyle name="Migliaia 10 3 4 2 5" xfId="32287" xr:uid="{C3647BCC-E255-45C4-B4C8-7FDD214859BF}"/>
    <cellStyle name="Migliaia 10 3 4 2 6" xfId="16018" xr:uid="{787B8079-86F7-45FF-829A-A9E820E09B2B}"/>
    <cellStyle name="Migliaia 10 3 4 2 7" xfId="8847" xr:uid="{4F456014-87B2-4088-9967-E0C472406102}"/>
    <cellStyle name="Migliaia 10 3 4 3" xfId="6070" xr:uid="{90618E43-F9FF-4B04-8CDC-5F117A836CED}"/>
    <cellStyle name="Migliaia 10 3 4 3 2" xfId="35130" xr:uid="{F216CA8B-2481-4117-8835-7E7521CE67B9}"/>
    <cellStyle name="Migliaia 10 3 4 3 2 2" xfId="40288" xr:uid="{2CAC6AEF-E126-4DC7-A8DD-7530E4B3ACF3}"/>
    <cellStyle name="Migliaia 10 3 4 3 2 3" xfId="45590" xr:uid="{07CFD376-A020-4F74-8503-A941833506C1}"/>
    <cellStyle name="Migliaia 10 3 4 3 3" xfId="37637" xr:uid="{66A4F44F-E95F-4AA6-A84C-CD4FCD39FE3D}"/>
    <cellStyle name="Migliaia 10 3 4 3 4" xfId="42939" xr:uid="{EFA98F51-D2BD-4E48-B3E1-95B373C71ABC}"/>
    <cellStyle name="Migliaia 10 3 4 3 5" xfId="13672" xr:uid="{6CA29724-E257-4EAC-96D5-E3486DB13877}"/>
    <cellStyle name="Migliaia 10 3 4 4" xfId="19804" xr:uid="{AAB06F87-2D83-49A8-AC58-9EB2624FE6A1}"/>
    <cellStyle name="Migliaia 10 3 4 4 2" xfId="38389" xr:uid="{07434B65-1240-4AC7-974E-C2E609746464}"/>
    <cellStyle name="Migliaia 10 3 4 4 3" xfId="43691" xr:uid="{BB875F6E-45F0-401E-91B1-8C903258F504}"/>
    <cellStyle name="Migliaia 10 3 4 4 4" xfId="33036" xr:uid="{8CE4910A-5B4C-4C99-9EE9-B5BA553AC1EA}"/>
    <cellStyle name="Migliaia 10 3 4 5" xfId="35921" xr:uid="{DE0869C8-583D-45EC-964E-0CDB9FD9017D}"/>
    <cellStyle name="Migliaia 10 3 4 6" xfId="41040" xr:uid="{4856DBD4-7CF7-4654-B07A-C8BF0FF3185A}"/>
    <cellStyle name="Migliaia 10 3 4 7" xfId="16017" xr:uid="{2A42489D-2E0C-47EC-88AA-BB4039145FF2}"/>
    <cellStyle name="Migliaia 10 3 4 8" xfId="7657" xr:uid="{BBF40409-80FC-4D47-B181-FDD91576E0DB}"/>
    <cellStyle name="Migliaia 10 3 5" xfId="3122" xr:uid="{F96CBF0E-061A-48FC-9797-824F455E142B}"/>
    <cellStyle name="Migliaia 10 3 5 2" xfId="4848" xr:uid="{5B7DC88E-31B8-478D-8015-192461C09EEA}"/>
    <cellStyle name="Migliaia 10 3 5 2 2" xfId="35131" xr:uid="{035B954D-F62C-4AA9-BE30-717B7CB244F1}"/>
    <cellStyle name="Migliaia 10 3 5 2 2 2" xfId="40289" xr:uid="{49D39D70-0D1B-4607-B9DF-8732D6DDF1D7}"/>
    <cellStyle name="Migliaia 10 3 5 2 2 3" xfId="45591" xr:uid="{E8B69CC2-73D3-4329-8BCD-AE94FC43E1E3}"/>
    <cellStyle name="Migliaia 10 3 5 2 3" xfId="37638" xr:uid="{980F3C59-89E7-411D-8329-837E934B2E1F}"/>
    <cellStyle name="Migliaia 10 3 5 2 4" xfId="42940" xr:uid="{D07594CB-6257-47B2-8D2E-99F84AADC7E9}"/>
    <cellStyle name="Migliaia 10 3 5 2 5" xfId="14183" xr:uid="{1E6C17E5-06A1-445E-95D9-04C3AC081424}"/>
    <cellStyle name="Migliaia 10 3 5 3" xfId="6071" xr:uid="{F1CCDB85-F1B0-47A8-9401-26F98A8398E2}"/>
    <cellStyle name="Migliaia 10 3 5 3 2" xfId="38390" xr:uid="{F9A264BF-3790-40F5-8C44-8DFB9D828CF2}"/>
    <cellStyle name="Migliaia 10 3 5 3 3" xfId="43692" xr:uid="{4DBB674C-573E-40B2-B17C-5F3EF7D7A053}"/>
    <cellStyle name="Migliaia 10 3 5 3 4" xfId="33037" xr:uid="{C404EF6F-50BB-4FAE-91A4-AA3E17525168}"/>
    <cellStyle name="Migliaia 10 3 5 3 5" xfId="19806" xr:uid="{F8B71149-7585-44E0-8F01-3376AA99ECC1}"/>
    <cellStyle name="Migliaia 10 3 5 4" xfId="35922" xr:uid="{10EC2465-B497-4545-9231-54917BDB6BF9}"/>
    <cellStyle name="Migliaia 10 3 5 5" xfId="41041" xr:uid="{2FBD258B-5334-48DA-A6FF-EF67C9E7C2B3}"/>
    <cellStyle name="Migliaia 10 3 5 6" xfId="16019" xr:uid="{1B80E2FF-39BF-43B7-A209-0F16F9D4407D}"/>
    <cellStyle name="Migliaia 10 3 5 7" xfId="8245" xr:uid="{B7E097A1-B07D-4952-8198-33C0231E8C38}"/>
    <cellStyle name="Migliaia 10 3 6" xfId="4843" xr:uid="{FDE819AD-8544-4629-833F-AAFE16D76846}"/>
    <cellStyle name="Migliaia 10 3 6 2" xfId="13886" xr:uid="{03A2ACF5-3613-4B8B-93CF-77F964C6555D}"/>
    <cellStyle name="Migliaia 10 3 6 2 2" xfId="38391" xr:uid="{E3EB6A9F-B788-414D-8F3C-F4EC946913CF}"/>
    <cellStyle name="Migliaia 10 3 6 2 3" xfId="43693" xr:uid="{399ABB55-3F3D-43DD-AEB9-3797422C4E27}"/>
    <cellStyle name="Migliaia 10 3 6 3" xfId="18012" xr:uid="{22AF749F-7E19-4FA2-AA83-0E8E1284FC55}"/>
    <cellStyle name="Migliaia 10 3 6 4" xfId="19807" xr:uid="{CC97025D-7AA6-453E-87FA-D50812376534}"/>
    <cellStyle name="Migliaia 10 3 6 4 2" xfId="41042" xr:uid="{5907A9A3-3B8D-467A-AE84-DDF0C35EE270}"/>
    <cellStyle name="Migliaia 10 3 6 5" xfId="16020" xr:uid="{BE95C28D-327D-49E4-9D8C-00CDC1A038F0}"/>
    <cellStyle name="Migliaia 10 3 6 6" xfId="7825" xr:uid="{FA8303E5-DE33-407A-BF1D-5BD1803F0238}"/>
    <cellStyle name="Migliaia 10 3 7" xfId="6066" xr:uid="{4DF2092F-3ABA-4FB2-B53D-B465F95C33F9}"/>
    <cellStyle name="Migliaia 10 3 7 2" xfId="33038" xr:uid="{1E7964BB-6166-4487-A48F-8B6EB597A788}"/>
    <cellStyle name="Migliaia 10 3 7 2 2" xfId="38392" xr:uid="{59B6A50C-1548-4D8F-9292-B9D97DEAB94E}"/>
    <cellStyle name="Migliaia 10 3 7 2 3" xfId="43694" xr:uid="{1EDC4A82-3FD0-485B-A6E4-B716DB80E295}"/>
    <cellStyle name="Migliaia 10 3 7 3" xfId="35923" xr:uid="{C40E2745-CF9F-4395-898C-D1A385A1871B}"/>
    <cellStyle name="Migliaia 10 3 7 4" xfId="41043" xr:uid="{1EC1209E-84E6-42C0-BB65-8C239C998D1C}"/>
    <cellStyle name="Migliaia 10 3 7 5" xfId="12276" xr:uid="{43F86B71-8C7B-46E2-90D3-08CE0D45A5E6}"/>
    <cellStyle name="Migliaia 10 3 8" xfId="3117" xr:uid="{746B2425-6AD4-4F0C-BB23-1E59ABD48EC1}"/>
    <cellStyle name="Migliaia 10 3 8 2" xfId="33039" xr:uid="{98318447-1268-4E8E-A334-3031B9EE5979}"/>
    <cellStyle name="Migliaia 10 3 8 2 2" xfId="38393" xr:uid="{CB60C938-060F-4BD6-AE05-BB77B9707A72}"/>
    <cellStyle name="Migliaia 10 3 8 2 3" xfId="43695" xr:uid="{92E2E3C2-9978-4948-952B-319589C95A63}"/>
    <cellStyle name="Migliaia 10 3 8 3" xfId="35924" xr:uid="{7F7A59B3-77D1-4811-A47D-C7443153D4A4}"/>
    <cellStyle name="Migliaia 10 3 8 4" xfId="41044" xr:uid="{DED7EACF-F155-4275-9E29-71724B81B91E}"/>
    <cellStyle name="Migliaia 10 3 8 5" xfId="24202" xr:uid="{33A1819D-3E4F-4A76-8716-18589C78A21E}"/>
    <cellStyle name="Migliaia 10 3 8 6" xfId="17424" xr:uid="{101D78B2-C469-4480-9157-60475DE013F1}"/>
    <cellStyle name="Migliaia 10 3 9" xfId="19798" xr:uid="{2987F523-DBCA-4A62-B2CB-393E2E450036}"/>
    <cellStyle name="Migliaia 10 4" xfId="1660" xr:uid="{00000000-0005-0000-0000-0000C7020000}"/>
    <cellStyle name="Migliaia 10 4 2" xfId="1661" xr:uid="{00000000-0005-0000-0000-0000C8020000}"/>
    <cellStyle name="Migliaia 10 4 2 2" xfId="4850" xr:uid="{8F9C726E-1C8B-4551-B54D-5238D09BF7D0}"/>
    <cellStyle name="Migliaia 10 4 2 2 2" xfId="33040" xr:uid="{E3BC5533-79B2-497F-A036-4C0196FBBEC5}"/>
    <cellStyle name="Migliaia 10 4 2 2 2 2" xfId="38394" xr:uid="{13DFFCA3-B938-4EE6-97D7-DE649F2068FA}"/>
    <cellStyle name="Migliaia 10 4 2 2 2 3" xfId="43696" xr:uid="{FA013846-5767-4929-B097-9ABB15A085BA}"/>
    <cellStyle name="Migliaia 10 4 2 2 3" xfId="35925" xr:uid="{B09079C5-EFD9-4531-9B38-D539418347F6}"/>
    <cellStyle name="Migliaia 10 4 2 2 4" xfId="41045" xr:uid="{9BD14A60-C68F-4ECE-9D18-B7E4033337A7}"/>
    <cellStyle name="Migliaia 10 4 2 2 5" xfId="9110" xr:uid="{7B0EA1CC-600D-4B0C-AB70-5AEAE8A0D1AC}"/>
    <cellStyle name="Migliaia 10 4 2 3" xfId="3124" xr:uid="{2D4C33D0-627F-4385-A6F8-68EC9772BE78}"/>
    <cellStyle name="Migliaia 10 4 2 3 2" xfId="33041" xr:uid="{F8DAFD43-4662-4358-A964-FF98D47639F6}"/>
    <cellStyle name="Migliaia 10 4 2 3 2 2" xfId="38395" xr:uid="{20A5C621-E923-42F9-A3C7-E0BBFD5B2603}"/>
    <cellStyle name="Migliaia 10 4 2 3 2 3" xfId="43697" xr:uid="{665CA418-2408-43F0-AA07-A69769054FB4}"/>
    <cellStyle name="Migliaia 10 4 2 3 3" xfId="35926" xr:uid="{AA8C4658-A872-41CA-A118-CEB8687966E0}"/>
    <cellStyle name="Migliaia 10 4 2 3 4" xfId="41046" xr:uid="{30377856-5B56-43D6-B25E-25C693A25C91}"/>
    <cellStyle name="Migliaia 10 4 2 3 5" xfId="11889" xr:uid="{CEA82364-D205-4BFB-943B-C3AF819AAD63}"/>
    <cellStyle name="Migliaia 10 4 2 4" xfId="11242" xr:uid="{D019FDDD-9A3E-4E25-BEE0-2C73225B3BBA}"/>
    <cellStyle name="Migliaia 10 4 2 5" xfId="10738" xr:uid="{5898AD6E-4788-428A-999C-F58AAE3BD8D5}"/>
    <cellStyle name="Migliaia 10 4 2 5 2" xfId="21373" xr:uid="{076366D1-B188-4E7D-A049-842298EB7667}"/>
    <cellStyle name="Migliaia 10 4 2 5 3" xfId="47957" xr:uid="{2265BBDA-6E28-4699-BA20-1B58BAB99EB1}"/>
    <cellStyle name="Migliaia 10 4 2 5 4" xfId="50388" xr:uid="{E12B09DF-B8BF-4B7D-952D-D085777A368E}"/>
    <cellStyle name="Migliaia 10 4 2 5 5" xfId="53404" xr:uid="{3B1CEB5D-3CA4-4767-89FB-1AB7AF3D7E7E}"/>
    <cellStyle name="Migliaia 10 4 2 6" xfId="19809" xr:uid="{7F339EAB-7B91-4105-8510-0DBE06BEB552}"/>
    <cellStyle name="Migliaia 10 4 2 7" xfId="24204" xr:uid="{1E04CBA7-0C39-48E8-904D-CD8BDB95B0DE}"/>
    <cellStyle name="Migliaia 10 4 2 8" xfId="8489" xr:uid="{37BA63F5-6508-491A-BF24-EDE5DB2ADC99}"/>
    <cellStyle name="Migliaia 10 4 3" xfId="4849" xr:uid="{BB6069B6-2D7D-4094-BF97-248D87C1D109}"/>
    <cellStyle name="Migliaia 10 4 3 2" xfId="18165" xr:uid="{4B4920B1-EFE1-4554-8C5A-243C024F238A}"/>
    <cellStyle name="Migliaia 10 4 3 2 2" xfId="38396" xr:uid="{2F11E619-DF2C-4477-98F9-89E9B9CC3811}"/>
    <cellStyle name="Migliaia 10 4 3 2 3" xfId="43698" xr:uid="{AB6FCA67-682B-4B5B-A540-3EBB9BFB885D}"/>
    <cellStyle name="Migliaia 10 4 3 3" xfId="35927" xr:uid="{2C3AEEB1-DEBE-466F-A9AD-25977749F4DB}"/>
    <cellStyle name="Migliaia 10 4 3 4" xfId="41047" xr:uid="{098570C1-B8F7-4961-844F-AB2AF915BD1D}"/>
    <cellStyle name="Migliaia 10 4 3 5" xfId="17422" xr:uid="{4985D47C-ECE1-4EE3-B053-79B0143199C4}"/>
    <cellStyle name="Migliaia 10 4 3 6" xfId="9111" xr:uid="{62A75B44-489B-4CBF-9ACD-D55D7C6DDAEF}"/>
    <cellStyle name="Migliaia 10 4 4" xfId="6072" xr:uid="{360C3AFB-E763-427F-A942-1698565FD6CE}"/>
    <cellStyle name="Migliaia 10 4 4 2" xfId="33042" xr:uid="{734F7A93-FF30-4B93-AF8A-CA4A5E6A4538}"/>
    <cellStyle name="Migliaia 10 4 4 2 2" xfId="38397" xr:uid="{0E7DB8AF-5053-48EF-9A6F-34FFBCDC6639}"/>
    <cellStyle name="Migliaia 10 4 4 2 3" xfId="43699" xr:uid="{7E5576F2-56F9-4494-A954-005A7D7E340D}"/>
    <cellStyle name="Migliaia 10 4 4 3" xfId="35928" xr:uid="{0F4C9AFB-FA68-4161-BC76-F3CD41DCE12B}"/>
    <cellStyle name="Migliaia 10 4 4 4" xfId="41048" xr:uid="{3F5CA090-C87F-4641-905F-9A2520C2F4C1}"/>
    <cellStyle name="Migliaia 10 4 4 5" xfId="11890" xr:uid="{E7A091AA-70F3-4B3E-9709-FAF5A3B7D854}"/>
    <cellStyle name="Migliaia 10 4 5" xfId="3123" xr:uid="{9C1BE531-3890-42D5-96D3-125218BF4744}"/>
    <cellStyle name="Migliaia 10 4 5 2" xfId="33043" xr:uid="{E8881BF7-7F00-497C-86C1-6BAAFB87FE5E}"/>
    <cellStyle name="Migliaia 10 4 5 2 2" xfId="38398" xr:uid="{06C97317-C55E-4C5C-94EA-562E0B1A9789}"/>
    <cellStyle name="Migliaia 10 4 5 2 3" xfId="43700" xr:uid="{0763BEF9-C996-4A45-B0C7-A92421E20F71}"/>
    <cellStyle name="Migliaia 10 4 5 3" xfId="35929" xr:uid="{E367446B-65E5-4F55-BFE7-959BC5691AE8}"/>
    <cellStyle name="Migliaia 10 4 5 4" xfId="41049" xr:uid="{EEC05DA6-8267-4CA4-9CE3-BD89E77E489C}"/>
    <cellStyle name="Migliaia 10 4 5 5" xfId="11241" xr:uid="{789E6A8A-5BC6-496C-99D2-6C283CAD8ABF}"/>
    <cellStyle name="Migliaia 10 4 6" xfId="10737" xr:uid="{D7661B85-E522-49C6-BCE4-B3925852C7F2}"/>
    <cellStyle name="Migliaia 10 4 6 2" xfId="21372" xr:uid="{1035E6FD-2FC0-432B-949D-7D7F4AB393BB}"/>
    <cellStyle name="Migliaia 10 4 6 2 2" xfId="38399" xr:uid="{7022E3BD-916C-4172-9E42-705F1B587E17}"/>
    <cellStyle name="Migliaia 10 4 6 2 3" xfId="43701" xr:uid="{FC6C0958-DC9F-488D-801B-0F26DEEACEBF}"/>
    <cellStyle name="Migliaia 10 4 6 2 4" xfId="33044" xr:uid="{3693AA26-0DB1-47C1-AA7A-0FE7E293F1C3}"/>
    <cellStyle name="Migliaia 10 4 6 3" xfId="35930" xr:uid="{2B5E449A-BC03-4246-AB05-5EB7C620E94B}"/>
    <cellStyle name="Migliaia 10 4 6 4" xfId="41050" xr:uid="{A31C3261-EEBE-45B6-B3C4-57C63533F1D0}"/>
    <cellStyle name="Migliaia 10 4 6 5" xfId="24205" xr:uid="{CA03FA9F-E8B1-4E23-A442-59F30CE21883}"/>
    <cellStyle name="Migliaia 10 4 6 6" xfId="47701" xr:uid="{F4923C64-57BA-418F-BA37-FABA98EF86DB}"/>
    <cellStyle name="Migliaia 10 4 6 7" xfId="50387" xr:uid="{0058ED10-31BC-4AC0-A78B-678C57787A96}"/>
    <cellStyle name="Migliaia 10 4 6 8" xfId="53403" xr:uid="{C313877B-AF4D-41D5-8310-CAD8DACB38ED}"/>
    <cellStyle name="Migliaia 10 4 7" xfId="19808" xr:uid="{1E218CA5-FFA2-4CA8-86E3-DFA2180F0835}"/>
    <cellStyle name="Migliaia 10 4 7 2" xfId="33045" xr:uid="{C41454B3-84A1-463B-AB15-D72508FAE43A}"/>
    <cellStyle name="Migliaia 10 4 7 2 2" xfId="38400" xr:uid="{6547C331-4D63-40EA-BC21-3984577CED03}"/>
    <cellStyle name="Migliaia 10 4 7 2 3" xfId="43702" xr:uid="{E1CF8836-F640-4D0B-B2E9-37AD9A874359}"/>
    <cellStyle name="Migliaia 10 4 7 3" xfId="35931" xr:uid="{E63641BE-8F97-47BC-BFC0-E1AEE7D4EA84}"/>
    <cellStyle name="Migliaia 10 4 7 4" xfId="41051" xr:uid="{7E670ADD-76B4-46B8-A67C-99D03842C87C}"/>
    <cellStyle name="Migliaia 10 4 7 5" xfId="24206" xr:uid="{B147E2DA-E39E-4B98-A8CA-453CE72B7C55}"/>
    <cellStyle name="Migliaia 10 4 8" xfId="24203" xr:uid="{D5A36A86-444C-4F32-8086-02AC42702954}"/>
    <cellStyle name="Migliaia 10 4 9" xfId="7299" xr:uid="{426E2FD8-B012-4749-B135-4AB86C9F9702}"/>
    <cellStyle name="Migliaia 10 5" xfId="1662" xr:uid="{00000000-0005-0000-0000-0000C9020000}"/>
    <cellStyle name="Migliaia 10 5 2" xfId="4851" xr:uid="{E060A36F-61DF-4504-B124-0E69E2C47AC5}"/>
    <cellStyle name="Migliaia 10 5 2 2" xfId="18362" xr:uid="{8BBCC8AE-CFF7-4DF9-AE02-D2896E500125}"/>
    <cellStyle name="Migliaia 10 5 2 2 2" xfId="38401" xr:uid="{1647A652-5C9C-40B5-9643-E298A8C76A74}"/>
    <cellStyle name="Migliaia 10 5 2 2 3" xfId="43703" xr:uid="{E1EA1B31-4147-4FF8-81B1-DDD43AA9A496}"/>
    <cellStyle name="Migliaia 10 5 2 3" xfId="19811" xr:uid="{342F7C15-73D5-4C3F-9C5A-415B99038220}"/>
    <cellStyle name="Migliaia 10 5 2 3 2" xfId="35932" xr:uid="{AA9430CB-9E88-45AD-AD80-37A9E3907E36}"/>
    <cellStyle name="Migliaia 10 5 2 4" xfId="41052" xr:uid="{0293D786-B5B9-40E2-BF01-D75F91CE0DB7}"/>
    <cellStyle name="Migliaia 10 5 2 5" xfId="16021" xr:uid="{E6FEA9D4-644E-4593-A5E3-0654519999AB}"/>
    <cellStyle name="Migliaia 10 5 2 6" xfId="8490" xr:uid="{FDAC7057-42C4-4980-8CCE-4B358892E722}"/>
    <cellStyle name="Migliaia 10 5 3" xfId="6073" xr:uid="{9E882E1C-D9DC-497A-B655-2C78871294F7}"/>
    <cellStyle name="Migliaia 10 5 3 2" xfId="33046" xr:uid="{ECAA7FB6-49FD-4E41-8001-38D0A9FA28D1}"/>
    <cellStyle name="Migliaia 10 5 3 2 2" xfId="38402" xr:uid="{55836247-98DF-45F6-BC51-234D3786953E}"/>
    <cellStyle name="Migliaia 10 5 3 2 3" xfId="43704" xr:uid="{879A2EB2-E1A9-47ED-B96C-D2F938E19D0D}"/>
    <cellStyle name="Migliaia 10 5 3 3" xfId="35933" xr:uid="{BFAF56B8-4A05-4C7E-B41A-178836B563C0}"/>
    <cellStyle name="Migliaia 10 5 3 4" xfId="41053" xr:uid="{F3DA0CD7-60B6-4CFD-AA4E-6B9381B3E9A3}"/>
    <cellStyle name="Migliaia 10 5 3 5" xfId="11243" xr:uid="{6FB8DBB3-EE71-46A1-951A-1DC326B56D83}"/>
    <cellStyle name="Migliaia 10 5 4" xfId="3125" xr:uid="{FAEC4E63-52D4-44A3-92D4-07B0C8162E94}"/>
    <cellStyle name="Migliaia 10 5 4 2" xfId="21374" xr:uid="{3E678015-D82B-482C-8167-2C9DDEA10705}"/>
    <cellStyle name="Migliaia 10 5 4 2 2" xfId="38403" xr:uid="{FA2A1996-61CC-4313-A2BA-8B18B93A3524}"/>
    <cellStyle name="Migliaia 10 5 4 2 3" xfId="43705" xr:uid="{1A4AE99E-9594-483A-BB61-C0262970E56D}"/>
    <cellStyle name="Migliaia 10 5 4 2 4" xfId="33047" xr:uid="{DB88C7E3-636E-43C8-8EF7-D65449994F6C}"/>
    <cellStyle name="Migliaia 10 5 4 3" xfId="35934" xr:uid="{388EE42B-A5AD-4910-8E21-93E924EF33E8}"/>
    <cellStyle name="Migliaia 10 5 4 4" xfId="41054" xr:uid="{EF0BF780-91B5-4C11-9EB1-9C1E850B9AA6}"/>
    <cellStyle name="Migliaia 10 5 4 5" xfId="24208" xr:uid="{F1F3B79C-B198-4751-A3BA-DA14DE941295}"/>
    <cellStyle name="Migliaia 10 5 4 6" xfId="46203" xr:uid="{1CA80317-795A-42FE-9BA5-9D57722F7306}"/>
    <cellStyle name="Migliaia 10 5 4 7" xfId="50389" xr:uid="{094A8035-AD46-4FAE-BDE6-83BD852154B4}"/>
    <cellStyle name="Migliaia 10 5 4 8" xfId="53405" xr:uid="{F975230B-48F8-4F0C-86E6-3097B4D712F2}"/>
    <cellStyle name="Migliaia 10 5 4 9" xfId="10739" xr:uid="{07471954-6222-4E1F-9926-2A893AA6A636}"/>
    <cellStyle name="Migliaia 10 5 5" xfId="19810" xr:uid="{6B0EED63-4396-435F-9B59-24C66868AD98}"/>
    <cellStyle name="Migliaia 10 5 5 2" xfId="33048" xr:uid="{41EDC250-0D79-4EFD-9061-2ACB8778873A}"/>
    <cellStyle name="Migliaia 10 5 5 2 2" xfId="38404" xr:uid="{1B8447D8-CD24-4F8E-B136-EB76EB331217}"/>
    <cellStyle name="Migliaia 10 5 5 2 3" xfId="43706" xr:uid="{42DD5A95-74CC-41D3-B588-DA69B2720D2E}"/>
    <cellStyle name="Migliaia 10 5 5 3" xfId="35935" xr:uid="{430122D2-5C7C-4F61-B4A1-C548A2A27936}"/>
    <cellStyle name="Migliaia 10 5 5 4" xfId="41055" xr:uid="{9980DAE9-D8AC-4650-94CD-6CAB1C823CD3}"/>
    <cellStyle name="Migliaia 10 5 5 5" xfId="24209" xr:uid="{A227F11D-8953-4FDC-9D1D-396B51964D1F}"/>
    <cellStyle name="Migliaia 10 5 6" xfId="24210" xr:uid="{609D12C4-6007-40DB-9928-09097552DA6B}"/>
    <cellStyle name="Migliaia 10 5 6 2" xfId="33049" xr:uid="{3A0BBD35-B065-40C7-B76F-C8A1E6CE962A}"/>
    <cellStyle name="Migliaia 10 5 6 2 2" xfId="38405" xr:uid="{480CFF07-1DFC-4BBC-AF88-076A93F82BEB}"/>
    <cellStyle name="Migliaia 10 5 6 2 3" xfId="43707" xr:uid="{F18CDAC5-AE13-4375-8B62-7CCD01BC4054}"/>
    <cellStyle name="Migliaia 10 5 6 3" xfId="35936" xr:uid="{8BE8D414-9F33-4840-84D8-5E6B333F37CF}"/>
    <cellStyle name="Migliaia 10 5 6 4" xfId="41056" xr:uid="{789B9A0D-3D97-4B12-BB85-D27CA0E8C329}"/>
    <cellStyle name="Migliaia 10 5 7" xfId="24207" xr:uid="{111CBD8F-137A-4784-988E-E6131203525D}"/>
    <cellStyle name="Migliaia 10 5 8" xfId="7300" xr:uid="{EA18520E-2FAA-4953-A1F5-2F7E87EF67C0}"/>
    <cellStyle name="Migliaia 10 6" xfId="3126" xr:uid="{0F51BBE6-FE90-4D8C-8B79-7A1342EA8CB3}"/>
    <cellStyle name="Migliaia 10 6 2" xfId="4852" xr:uid="{29BFF3CF-F15F-4255-BBA9-0630A2E67775}"/>
    <cellStyle name="Migliaia 10 6 2 2" xfId="9883" xr:uid="{2E9E0464-19B5-4236-A281-A9B0C91E714B}"/>
    <cellStyle name="Migliaia 10 6 2 3" xfId="18679" xr:uid="{093FC479-B379-4016-9986-17EDECA82D3E}"/>
    <cellStyle name="Migliaia 10 6 2 4" xfId="19813" xr:uid="{20E30726-4F2B-4FD7-BAC0-15B1C6A09D62}"/>
    <cellStyle name="Migliaia 10 6 2 5" xfId="32288" xr:uid="{1259BE39-9975-4C4D-9D59-C891D815A5FE}"/>
    <cellStyle name="Migliaia 10 6 2 6" xfId="16023" xr:uid="{EA2CE1BD-4FE7-4BB5-824B-F323DA00E0F2}"/>
    <cellStyle name="Migliaia 10 6 2 7" xfId="8485" xr:uid="{2D988804-A27B-4424-A05D-1BDCB7B02FFA}"/>
    <cellStyle name="Migliaia 10 6 3" xfId="6074" xr:uid="{DBEB1514-0A89-4CBD-BD9D-319B65171784}"/>
    <cellStyle name="Migliaia 10 6 3 2" xfId="35132" xr:uid="{A32D96CE-39AA-490A-8F9E-43910004E198}"/>
    <cellStyle name="Migliaia 10 6 3 2 2" xfId="40290" xr:uid="{7A30BF86-E4E6-41C8-8902-11BD57442E8E}"/>
    <cellStyle name="Migliaia 10 6 3 2 3" xfId="45592" xr:uid="{CC5D6749-DC92-496C-873E-7EB9D7FDC507}"/>
    <cellStyle name="Migliaia 10 6 3 3" xfId="37639" xr:uid="{C84D6789-EB73-472B-8BEB-2492210B2490}"/>
    <cellStyle name="Migliaia 10 6 3 4" xfId="42941" xr:uid="{4C7C0E5A-0D8C-45F7-9D37-8805B5A93A40}"/>
    <cellStyle name="Migliaia 10 6 3 5" xfId="9646" xr:uid="{6B341894-912F-4D68-8B67-FA3FAADCD8CA}"/>
    <cellStyle name="Migliaia 10 6 4" xfId="19812" xr:uid="{5A586E89-99FD-4F56-98EB-71AAD9E646D9}"/>
    <cellStyle name="Migliaia 10 6 4 2" xfId="38406" xr:uid="{2151C159-8D93-4E45-BD7A-1E7BB1407A8A}"/>
    <cellStyle name="Migliaia 10 6 4 3" xfId="43708" xr:uid="{CE62DB15-04B1-44B8-9080-87A66F467F53}"/>
    <cellStyle name="Migliaia 10 6 4 4" xfId="33050" xr:uid="{FA14E3BF-C228-4CF6-A704-EFFCF58F52C0}"/>
    <cellStyle name="Migliaia 10 6 5" xfId="35937" xr:uid="{0642DEA6-565B-4731-B7BA-36A22D0B36F5}"/>
    <cellStyle name="Migliaia 10 6 6" xfId="41057" xr:uid="{1183C200-C35D-45CB-B2F5-6658BE54C747}"/>
    <cellStyle name="Migliaia 10 6 7" xfId="16022" xr:uid="{E8DC6B82-A8D0-4728-A56A-CD07E229F98A}"/>
    <cellStyle name="Migliaia 10 6 8" xfId="7295" xr:uid="{97F685AD-8A04-4D77-A421-001B2C194955}"/>
    <cellStyle name="Migliaia 10 7" xfId="3127" xr:uid="{D0143A49-652C-4E00-B6A3-460BB4626E63}"/>
    <cellStyle name="Migliaia 10 7 2" xfId="4853" xr:uid="{4F79149A-4801-46BD-8949-B3D68BE4121D}"/>
    <cellStyle name="Migliaia 10 7 2 2" xfId="35133" xr:uid="{ED382DD5-CDF9-43E9-B1A2-E529D920555F}"/>
    <cellStyle name="Migliaia 10 7 2 2 2" xfId="40291" xr:uid="{21B2AD8E-88AC-4DFF-9B01-C8190020C41F}"/>
    <cellStyle name="Migliaia 10 7 2 2 3" xfId="45593" xr:uid="{99C0BE82-5B9B-4EA8-A76D-1F99C133D6C1}"/>
    <cellStyle name="Migliaia 10 7 2 3" xfId="37640" xr:uid="{BEA17B88-00AA-48DC-A7A3-9779FCB4FB4F}"/>
    <cellStyle name="Migliaia 10 7 2 4" xfId="42942" xr:uid="{61891E76-5C0E-4668-BC2C-1CB681B49B6E}"/>
    <cellStyle name="Migliaia 10 7 2 5" xfId="14181" xr:uid="{54F0284C-483C-4E3C-AD07-6F21B6123D15}"/>
    <cellStyle name="Migliaia 10 7 3" xfId="6075" xr:uid="{490A4E8B-87DE-4B89-A1A7-F6C3A2A17262}"/>
    <cellStyle name="Migliaia 10 7 3 2" xfId="38407" xr:uid="{13F40CF3-7589-49CD-90D6-DFAE584EE629}"/>
    <cellStyle name="Migliaia 10 7 3 3" xfId="43709" xr:uid="{9EDB761F-FF95-4C03-844F-8B11AA8E9CAD}"/>
    <cellStyle name="Migliaia 10 7 3 4" xfId="33051" xr:uid="{E4A9EBD2-31BF-493A-A977-19D9366E9701}"/>
    <cellStyle name="Migliaia 10 7 3 5" xfId="19814" xr:uid="{7B631F32-E86E-48C7-AB69-6281C676DBE9}"/>
    <cellStyle name="Migliaia 10 7 4" xfId="35938" xr:uid="{7F1C4C02-F3D8-47D5-9DFB-7382A4CC4A13}"/>
    <cellStyle name="Migliaia 10 7 5" xfId="41058" xr:uid="{85E2ECDA-68C2-47A5-83E3-8B86BC1193C1}"/>
    <cellStyle name="Migliaia 10 7 6" xfId="16024" xr:uid="{666CB71F-A22B-4792-9CA7-B42D722AE27E}"/>
    <cellStyle name="Migliaia 10 7 7" xfId="8243" xr:uid="{91069F64-EAE0-45D3-9ECD-B3B658DC70E6}"/>
    <cellStyle name="Migliaia 10 8" xfId="3128" xr:uid="{BF9A5880-9F67-48E8-ADB4-666ADFB60A7D}"/>
    <cellStyle name="Migliaia 10 8 2" xfId="4854" xr:uid="{48EDDB18-C419-43C8-B92D-D749E9574BC4}"/>
    <cellStyle name="Migliaia 10 8 2 2" xfId="35134" xr:uid="{3500DB30-E505-4463-968D-A73E1452D0FE}"/>
    <cellStyle name="Migliaia 10 8 2 2 2" xfId="40292" xr:uid="{4FB06E45-1CE0-48B9-A086-E2F31E7C08FF}"/>
    <cellStyle name="Migliaia 10 8 2 2 3" xfId="45594" xr:uid="{48CC1811-FF32-4544-A3A6-A83C9295611F}"/>
    <cellStyle name="Migliaia 10 8 2 3" xfId="37641" xr:uid="{4D52F04F-78C8-4505-AD28-E921CE8710A0}"/>
    <cellStyle name="Migliaia 10 8 2 4" xfId="42943" xr:uid="{48BDCCE4-6D13-4C45-9884-FFCF923957AE}"/>
    <cellStyle name="Migliaia 10 8 2 5" xfId="13884" xr:uid="{7E178EAD-4E09-4B2A-ACDE-9F23816D449F}"/>
    <cellStyle name="Migliaia 10 8 3" xfId="6076" xr:uid="{50214093-927B-41B6-893F-AC512265B1E8}"/>
    <cellStyle name="Migliaia 10 8 3 2" xfId="38408" xr:uid="{BD5FB56C-DDA2-443A-85DC-8A6F129C4DE5}"/>
    <cellStyle name="Migliaia 10 8 3 3" xfId="43710" xr:uid="{BA4E7AB5-C757-4C1B-93E8-886C10FA58CD}"/>
    <cellStyle name="Migliaia 10 8 3 4" xfId="33052" xr:uid="{AED3F2BD-91B0-4473-A140-00DAF7DECB1E}"/>
    <cellStyle name="Migliaia 10 8 3 5" xfId="19815" xr:uid="{EB4FEBF2-B83B-408C-A89E-003D958BFD2C}"/>
    <cellStyle name="Migliaia 10 8 4" xfId="35939" xr:uid="{A8E15174-75F9-4706-B627-F7B8739CBD2C}"/>
    <cellStyle name="Migliaia 10 8 5" xfId="41059" xr:uid="{F3480BFB-50E0-4B0E-8D3E-CE16FB0BA00A}"/>
    <cellStyle name="Migliaia 10 8 6" xfId="16025" xr:uid="{0D37ACDB-143C-435B-96D2-282CCA2E1641}"/>
    <cellStyle name="Migliaia 10 8 7" xfId="7823" xr:uid="{F9BF198E-66D7-479E-9506-5125AA872A51}"/>
    <cellStyle name="Migliaia 10 9" xfId="4839" xr:uid="{608DDB49-0C32-46DA-8C0D-F30A28222E60}"/>
    <cellStyle name="Migliaia 10 9 2" xfId="33053" xr:uid="{289AD822-5C2C-4548-BEC3-8F544D89F94F}"/>
    <cellStyle name="Migliaia 10 9 2 2" xfId="38409" xr:uid="{0D001090-D0DB-4022-942C-56FCD2A5BEAD}"/>
    <cellStyle name="Migliaia 10 9 2 3" xfId="43711" xr:uid="{804A11EB-3381-4595-9971-36A88D7B95A7}"/>
    <cellStyle name="Migliaia 10 9 3" xfId="35940" xr:uid="{8EAA9508-1B28-48AA-BE0B-BABB1D7AA594}"/>
    <cellStyle name="Migliaia 10 9 4" xfId="41060" xr:uid="{4C88263F-CA4B-4A74-BE74-CE3482A6B410}"/>
    <cellStyle name="Migliaia 10 9 5" xfId="17137" xr:uid="{14587E9A-5CBA-49C0-84A7-59F59B8753AB}"/>
    <cellStyle name="Migliaia 11" xfId="305" xr:uid="{00000000-0005-0000-0000-0000CA020000}"/>
    <cellStyle name="Migliaia 11 10" xfId="6077" xr:uid="{0EAFB025-663C-4013-981E-176C1559EAAC}"/>
    <cellStyle name="Migliaia 11 10 2" xfId="38410" xr:uid="{FAC99363-226A-470F-939D-CB443ED20A64}"/>
    <cellStyle name="Migliaia 11 10 3" xfId="43712" xr:uid="{86AE2004-6714-4AC8-8D3B-20C3F59D32A3}"/>
    <cellStyle name="Migliaia 11 10 4" xfId="33054" xr:uid="{1BA83DCF-3099-42E6-A296-94C4DA98EB40}"/>
    <cellStyle name="Migliaia 11 10 5" xfId="19816" xr:uid="{508FB6CB-5AC3-404E-8398-1DDFE0342751}"/>
    <cellStyle name="Migliaia 11 11" xfId="3129" xr:uid="{54D4DD11-4824-4ADC-BE1F-0FB9DD0C6FCC}"/>
    <cellStyle name="Migliaia 11 11 2" xfId="35941" xr:uid="{9BD75323-47D4-4209-8B20-EFDCA1BE008F}"/>
    <cellStyle name="Migliaia 11 12" xfId="41061" xr:uid="{4EC75411-6BDE-43DE-8E77-C1D72D3A0427}"/>
    <cellStyle name="Migliaia 11 13" xfId="7047" xr:uid="{A4499F92-6917-48BB-B409-2C5B14FF588F}"/>
    <cellStyle name="Migliaia 11 2" xfId="306" xr:uid="{00000000-0005-0000-0000-0000CB020000}"/>
    <cellStyle name="Migliaia 11 2 2" xfId="1663" xr:uid="{00000000-0005-0000-0000-0000CC020000}"/>
    <cellStyle name="Migliaia 11 2 2 2" xfId="4857" xr:uid="{0304DF01-975C-4853-85F4-F4F21E1AFE16}"/>
    <cellStyle name="Migliaia 11 2 2 2 2" xfId="14364" xr:uid="{8B0193CF-143D-4DF1-9AF9-4F3F20502ABE}"/>
    <cellStyle name="Migliaia 11 2 2 2 2 2" xfId="38411" xr:uid="{424D5A56-6ADE-41EB-A99E-14B0A3620FD9}"/>
    <cellStyle name="Migliaia 11 2 2 2 2 3" xfId="43713" xr:uid="{00FA5BE9-C902-46E1-BBC6-E18A04AD926E}"/>
    <cellStyle name="Migliaia 11 2 2 2 3" xfId="18363" xr:uid="{945F1F7E-633A-4EEE-BF11-14B9996CCF99}"/>
    <cellStyle name="Migliaia 11 2 2 2 4" xfId="19819" xr:uid="{8D013C28-C202-4F0D-8167-43F0010B23EC}"/>
    <cellStyle name="Migliaia 11 2 2 2 4 2" xfId="41062" xr:uid="{B6B8FF7B-FE57-48A5-A956-099EC04580E1}"/>
    <cellStyle name="Migliaia 11 2 2 2 5" xfId="16026" xr:uid="{23E94E19-4B43-45F9-B9D4-C1DC5226D0D7}"/>
    <cellStyle name="Migliaia 11 2 2 2 6" xfId="8492" xr:uid="{9D8183F4-7551-484A-BBFE-41A6290355BF}"/>
    <cellStyle name="Migliaia 11 2 2 3" xfId="6079" xr:uid="{9B6CABAB-B548-4639-AA2E-EECD3EF420E7}"/>
    <cellStyle name="Migliaia 11 2 2 3 2" xfId="35135" xr:uid="{5BDF2FD9-A7FD-4555-96E8-B323C24E6C23}"/>
    <cellStyle name="Migliaia 11 2 2 3 2 2" xfId="40293" xr:uid="{ECAF88AC-E87C-44D6-B0CC-FDA572A39747}"/>
    <cellStyle name="Migliaia 11 2 2 3 2 3" xfId="45595" xr:uid="{0F583FC1-57DF-49DC-B716-C281BDFD4C83}"/>
    <cellStyle name="Migliaia 11 2 2 3 3" xfId="37642" xr:uid="{A0740379-21B6-4E3B-9891-43E63B88D4B2}"/>
    <cellStyle name="Migliaia 11 2 2 3 4" xfId="42944" xr:uid="{6DC521E2-2E59-4363-A422-382DD272A0FF}"/>
    <cellStyle name="Migliaia 11 2 2 3 5" xfId="11593" xr:uid="{AEF5FA45-5B29-4D38-B913-C89171BDAEC9}"/>
    <cellStyle name="Migliaia 11 2 2 4" xfId="3131" xr:uid="{F6DF6EF6-1AC3-4CEA-AA8D-544D2A4A17DB}"/>
    <cellStyle name="Migliaia 11 2 2 4 2" xfId="21375" xr:uid="{72347E97-5826-4845-A451-2B2E96218765}"/>
    <cellStyle name="Migliaia 11 2 2 4 3" xfId="48575" xr:uid="{B57D2743-7F4C-4DC5-8B90-D317AE293BC5}"/>
    <cellStyle name="Migliaia 11 2 2 4 4" xfId="50390" xr:uid="{C6299139-0D0C-4C86-B691-7E4720ED74FA}"/>
    <cellStyle name="Migliaia 11 2 2 4 5" xfId="53406" xr:uid="{9B9A52E9-FAF8-4598-9282-99EA4A9D0D33}"/>
    <cellStyle name="Migliaia 11 2 2 4 6" xfId="10740" xr:uid="{8B7EF734-5C45-4F8F-9103-A9EB8ADAE6F1}"/>
    <cellStyle name="Migliaia 11 2 2 5" xfId="19818" xr:uid="{CCAA7C9C-EB63-4702-8788-D0031580EE1A}"/>
    <cellStyle name="Migliaia 11 2 2 6" xfId="24217" xr:uid="{6BEAEFE8-C955-4DAC-AB18-6453C3AE5622}"/>
    <cellStyle name="Migliaia 11 2 2 7" xfId="7302" xr:uid="{9C354C65-1D61-41C7-AA16-240B5093AB1E}"/>
    <cellStyle name="Migliaia 11 2 3" xfId="3132" xr:uid="{E8CC12A4-850F-44C1-A0BC-A9947DEF2FC0}"/>
    <cellStyle name="Migliaia 11 2 3 2" xfId="4858" xr:uid="{D7B585F8-783F-4544-90B0-41C573527E3B}"/>
    <cellStyle name="Migliaia 11 2 3 2 2" xfId="35136" xr:uid="{232FDCCE-DB60-417F-B605-25B677F26ABB}"/>
    <cellStyle name="Migliaia 11 2 3 2 2 2" xfId="40294" xr:uid="{CEFE72DD-C007-4647-9CD8-BE6CEA9A8E7A}"/>
    <cellStyle name="Migliaia 11 2 3 2 2 3" xfId="45596" xr:uid="{ED005900-4283-4397-8BD5-915B08899E36}"/>
    <cellStyle name="Migliaia 11 2 3 2 3" xfId="37643" xr:uid="{ADB46E5B-AC6D-4C30-AD14-F92923EAE289}"/>
    <cellStyle name="Migliaia 11 2 3 2 4" xfId="42945" xr:uid="{A1081070-F1E1-4ED4-8A13-7A8056EA10CA}"/>
    <cellStyle name="Migliaia 11 2 3 2 5" xfId="14185" xr:uid="{F2188590-F011-45D9-8426-5B7995B7A7CC}"/>
    <cellStyle name="Migliaia 11 2 3 3" xfId="6080" xr:uid="{0D7E27F5-92FC-4969-BF57-43D4795617E4}"/>
    <cellStyle name="Migliaia 11 2 3 3 2" xfId="38412" xr:uid="{728EC0A6-3658-4F36-9A3E-979C0BB083D0}"/>
    <cellStyle name="Migliaia 11 2 3 3 3" xfId="43714" xr:uid="{B980F1AA-6BCE-4628-9828-33977803DC11}"/>
    <cellStyle name="Migliaia 11 2 3 3 4" xfId="33055" xr:uid="{C63C779B-B72B-420B-BCCE-47996CE6CD08}"/>
    <cellStyle name="Migliaia 11 2 3 3 5" xfId="19820" xr:uid="{DDC92DEA-1A71-4FF1-AD5E-D47D8F497DAF}"/>
    <cellStyle name="Migliaia 11 2 3 4" xfId="35943" xr:uid="{51A03957-68F5-4D09-962C-CFAB937EC72D}"/>
    <cellStyle name="Migliaia 11 2 3 5" xfId="41063" xr:uid="{F61B34E0-9821-4778-BE7D-93CCA52A091E}"/>
    <cellStyle name="Migliaia 11 2 3 6" xfId="16027" xr:uid="{38F5E8FE-AE1A-4F14-AE91-64C0FB09327F}"/>
    <cellStyle name="Migliaia 11 2 3 7" xfId="8247" xr:uid="{F573B1B2-ACCD-4D44-B6AD-0FC795D485DB}"/>
    <cellStyle name="Migliaia 11 2 4" xfId="4856" xr:uid="{1F8B22D0-8E08-4D4E-8CB2-EB859C1F9D58}"/>
    <cellStyle name="Migliaia 11 2 4 2" xfId="13888" xr:uid="{FEF8F492-FFD5-41EC-97E7-A8EC6FAF9889}"/>
    <cellStyle name="Migliaia 11 2 4 2 2" xfId="38413" xr:uid="{8980B084-0680-491E-8E97-DB4F691F2E20}"/>
    <cellStyle name="Migliaia 11 2 4 2 3" xfId="43715" xr:uid="{77709262-0596-46F4-B345-00E1B3AD8390}"/>
    <cellStyle name="Migliaia 11 2 4 3" xfId="18728" xr:uid="{F7EF99E1-43A1-482F-AC46-70BFCA6A5D90}"/>
    <cellStyle name="Migliaia 11 2 4 4" xfId="19821" xr:uid="{64E12827-18D6-4BDF-B0CE-F81D0E896CF4}"/>
    <cellStyle name="Migliaia 11 2 4 4 2" xfId="41064" xr:uid="{4C9ADBA5-8AF9-47E8-9733-F5070D256F33}"/>
    <cellStyle name="Migliaia 11 2 4 5" xfId="16028" xr:uid="{B8BAC049-5D95-4FBC-B7C1-7C239EA4D54E}"/>
    <cellStyle name="Migliaia 11 2 4 6" xfId="7828" xr:uid="{71604E2F-D380-4B77-A73C-A356018E8546}"/>
    <cellStyle name="Migliaia 11 2 5" xfId="6078" xr:uid="{8E6B8D50-9008-4732-9215-4845FADAC8CB}"/>
    <cellStyle name="Migliaia 11 2 5 2" xfId="33056" xr:uid="{7F94B2A8-73C2-4832-86DE-AA383AB5E309}"/>
    <cellStyle name="Migliaia 11 2 5 2 2" xfId="38414" xr:uid="{D1E5C4BF-72F2-4624-A813-A3701B3F1589}"/>
    <cellStyle name="Migliaia 11 2 5 2 3" xfId="43716" xr:uid="{EF859BAE-77D3-4966-B5AB-45475CD62FE9}"/>
    <cellStyle name="Migliaia 11 2 5 3" xfId="35944" xr:uid="{B96487C4-9469-4440-9364-EBBF78712955}"/>
    <cellStyle name="Migliaia 11 2 5 4" xfId="41065" xr:uid="{9C37EBB6-9605-45A2-A829-C89A3CA1D2F0}"/>
    <cellStyle name="Migliaia 11 2 5 5" xfId="13104" xr:uid="{97B9C592-1187-4B5C-86B1-BA56B5587DF2}"/>
    <cellStyle name="Migliaia 11 2 6" xfId="3130" xr:uid="{1407B6B4-6D42-4A83-93C1-184B4BB79A70}"/>
    <cellStyle name="Migliaia 11 2 6 2" xfId="33057" xr:uid="{FE7E29E4-1377-476B-A6C9-C713D11C0C99}"/>
    <cellStyle name="Migliaia 11 2 6 2 2" xfId="38415" xr:uid="{50507246-DF1F-4704-BD37-6B2106478906}"/>
    <cellStyle name="Migliaia 11 2 6 2 3" xfId="43717" xr:uid="{D843F19E-4DF5-4EB7-B034-5599423274B0}"/>
    <cellStyle name="Migliaia 11 2 6 3" xfId="35945" xr:uid="{76C8D876-AA39-461D-90C1-5401E7B32A4D}"/>
    <cellStyle name="Migliaia 11 2 6 4" xfId="41066" xr:uid="{64A10968-D070-425E-A18A-AF15515BCCDB}"/>
    <cellStyle name="Migliaia 11 2 6 5" xfId="24221" xr:uid="{7096E83C-80CF-4AEA-A6F1-C96AD8EE03C4}"/>
    <cellStyle name="Migliaia 11 2 6 6" xfId="19817" xr:uid="{38018FBA-1925-4DB6-AD97-7EE02B434E1C}"/>
    <cellStyle name="Migliaia 11 2 7" xfId="24216" xr:uid="{72F9B30F-258D-453F-BB76-1DBA62CB6900}"/>
    <cellStyle name="Migliaia 11 2 8" xfId="7048" xr:uid="{6670FB75-AC00-4F44-88B7-9E61FEEBA966}"/>
    <cellStyle name="Migliaia 11 3" xfId="307" xr:uid="{00000000-0005-0000-0000-0000CD020000}"/>
    <cellStyle name="Migliaia 11 3 10" xfId="24222" xr:uid="{23E85A32-DD50-4610-96B3-783E5F0CC01F}"/>
    <cellStyle name="Migliaia 11 3 11" xfId="16029" xr:uid="{17E7EB31-A600-4F5C-8B25-E633B9098BD4}"/>
    <cellStyle name="Migliaia 11 3 12" xfId="7049" xr:uid="{2198E147-0EF3-48A6-B2C5-B31D7133EFB3}"/>
    <cellStyle name="Migliaia 11 3 2" xfId="308" xr:uid="{00000000-0005-0000-0000-0000CE020000}"/>
    <cellStyle name="Migliaia 11 3 2 2" xfId="1664" xr:uid="{00000000-0005-0000-0000-0000CF020000}"/>
    <cellStyle name="Migliaia 11 3 2 2 2" xfId="4861" xr:uid="{9A41124B-162D-4B6E-A25E-950C0E55B9E3}"/>
    <cellStyle name="Migliaia 11 3 2 2 2 2" xfId="18364" xr:uid="{B66A5436-0E9C-46C1-B749-772C8223BA6F}"/>
    <cellStyle name="Migliaia 11 3 2 2 2 2 2" xfId="21839" xr:uid="{C34870A5-4D8E-4063-954F-90C32DCF02F2}"/>
    <cellStyle name="Migliaia 11 3 2 2 2 2 2 2" xfId="38416" xr:uid="{52483619-DA74-48CC-921D-EC3AF676C9CF}"/>
    <cellStyle name="Migliaia 11 3 2 2 2 2 3" xfId="43718" xr:uid="{41807A3A-4472-4744-87B1-BED4FB5DB975}"/>
    <cellStyle name="Migliaia 11 3 2 2 2 2 4" xfId="33058" xr:uid="{5BBE9BFF-A5A3-4293-BA00-12D058A2F35C}"/>
    <cellStyle name="Migliaia 11 3 2 2 2 3" xfId="35946" xr:uid="{F0B696B4-33C4-4EDD-AFFC-F3EA53FBC545}"/>
    <cellStyle name="Migliaia 11 3 2 2 2 4" xfId="41067" xr:uid="{0DF72EE9-3D50-4C1E-83FB-6BE0F6CA2A09}"/>
    <cellStyle name="Migliaia 11 3 2 2 2 5" xfId="37187" xr:uid="{D3C2BFC0-43EB-428D-A6D9-68CDC895F024}"/>
    <cellStyle name="Migliaia 11 3 2 2 2 6" xfId="50867" xr:uid="{A7E11DA1-15DB-4947-9C31-B3EBD4F4F2CF}"/>
    <cellStyle name="Migliaia 11 3 2 2 2 7" xfId="53883" xr:uid="{62947DD3-0D63-44C4-9E8F-E361ABBD36DB}"/>
    <cellStyle name="Migliaia 11 3 2 2 2 8" xfId="17640" xr:uid="{361048DE-BB41-45D8-824C-7EC4CC1A8689}"/>
    <cellStyle name="Migliaia 11 3 2 2 2 9" xfId="11891" xr:uid="{B1F79E77-736D-49C9-9AC5-0B5B9AFC89AC}"/>
    <cellStyle name="Migliaia 11 3 2 2 3" xfId="6083" xr:uid="{A51089CD-A31F-4E30-A2CF-A040CE6C293A}"/>
    <cellStyle name="Migliaia 11 3 2 2 3 2" xfId="11681" xr:uid="{C4C23991-D23A-421B-9EED-9EE9E99FFD25}"/>
    <cellStyle name="Migliaia 11 3 2 2 4" xfId="3135" xr:uid="{1AF9A8FF-8900-4449-90F7-4179CFCFEB0E}"/>
    <cellStyle name="Migliaia 11 3 2 2 4 2" xfId="21376" xr:uid="{7C5832AE-E752-4F4D-85C3-398F6930E31A}"/>
    <cellStyle name="Migliaia 11 3 2 2 4 3" xfId="25357" xr:uid="{48A2BBE0-CC45-4D25-9915-318A353C632D}"/>
    <cellStyle name="Migliaia 11 3 2 2 4 4" xfId="50391" xr:uid="{798F8AD0-CB3F-409E-848C-D8B742BD53CF}"/>
    <cellStyle name="Migliaia 11 3 2 2 4 5" xfId="53407" xr:uid="{1CB8B2DF-365B-4FA4-B906-6933948BF2D0}"/>
    <cellStyle name="Migliaia 11 3 2 2 4 6" xfId="10741" xr:uid="{D9DE7C30-EA84-4ECB-B606-BB78E8556CC5}"/>
    <cellStyle name="Migliaia 11 3 2 2 5" xfId="19824" xr:uid="{77222F61-18F5-4398-99AE-30B19E7B9B3C}"/>
    <cellStyle name="Migliaia 11 3 2 2 6" xfId="24224" xr:uid="{E2921DE3-E92F-4227-99FD-0A34D2B49CAE}"/>
    <cellStyle name="Migliaia 11 3 2 2 7" xfId="8494" xr:uid="{DA2CD189-A596-4B98-A539-B794382358ED}"/>
    <cellStyle name="Migliaia 11 3 2 3" xfId="4860" xr:uid="{463CD9AF-E241-4C6A-8E12-83419741BE09}"/>
    <cellStyle name="Migliaia 11 3 2 3 2" xfId="11513" xr:uid="{52B5C78E-D643-4938-A584-9E700F38A236}"/>
    <cellStyle name="Migliaia 11 3 2 3 2 2" xfId="38417" xr:uid="{D972E1ED-33BF-4DDC-A657-751A98C04DF1}"/>
    <cellStyle name="Migliaia 11 3 2 3 2 3" xfId="43719" xr:uid="{2A1CCBDB-817C-41D0-9807-A8738B25372B}"/>
    <cellStyle name="Migliaia 11 3 2 3 2 4" xfId="33059" xr:uid="{F699D3C6-1E27-4E7F-8FFD-30DD9C20B408}"/>
    <cellStyle name="Migliaia 11 3 2 3 3" xfId="11892" xr:uid="{28C72BB3-B701-4C8B-8397-F891217FF6D0}"/>
    <cellStyle name="Migliaia 11 3 2 3 4" xfId="19825" xr:uid="{F5743A35-2C49-4ADF-B4F0-FBC81B149E3B}"/>
    <cellStyle name="Migliaia 11 3 2 3 4 2" xfId="41068" xr:uid="{7931A887-080B-4D21-BB6C-0A025CEAF0D5}"/>
    <cellStyle name="Migliaia 11 3 2 3 5" xfId="16030" xr:uid="{32C712F8-34DD-488F-BC17-8B2219693CFF}"/>
    <cellStyle name="Migliaia 11 3 2 3 6" xfId="7830" xr:uid="{484053C9-3B37-40F7-8DCC-1133A1D221F9}"/>
    <cellStyle name="Migliaia 11 3 2 4" xfId="6082" xr:uid="{856A064C-297D-4D0D-ABF3-44EB7EAD9040}"/>
    <cellStyle name="Migliaia 11 3 2 4 2" xfId="18059" xr:uid="{7E11B823-7A14-42DA-98E1-4DED924A3603}"/>
    <cellStyle name="Migliaia 11 3 2 4 2 2" xfId="38418" xr:uid="{E101FA77-D817-4992-8DED-08D018D8449B}"/>
    <cellStyle name="Migliaia 11 3 2 4 2 3" xfId="43720" xr:uid="{CEF1318B-183D-43E4-8E37-9975CAC61855}"/>
    <cellStyle name="Migliaia 11 3 2 4 3" xfId="35947" xr:uid="{67D79C5C-BBDB-4A74-9023-B9544A53CA88}"/>
    <cellStyle name="Migliaia 11 3 2 4 4" xfId="41069" xr:uid="{E17AEAF5-F039-453D-8CC9-326BB16F1592}"/>
    <cellStyle name="Migliaia 11 3 2 4 5" xfId="17140" xr:uid="{76EC371E-4A6B-4546-9BE5-85BA409B9670}"/>
    <cellStyle name="Migliaia 11 3 2 4 6" xfId="11244" xr:uid="{B1F5188D-990D-4BC4-B0F2-AFDA7F10D808}"/>
    <cellStyle name="Migliaia 11 3 2 5" xfId="3134" xr:uid="{7519487A-66A7-4327-A8FA-B90336674E35}"/>
    <cellStyle name="Migliaia 11 3 2 5 2" xfId="33060" xr:uid="{26DC63AF-9329-425A-8D1F-4C98E823F869}"/>
    <cellStyle name="Migliaia 11 3 2 5 2 2" xfId="38419" xr:uid="{D1D10E81-9623-4826-817A-8FC20CDA65F0}"/>
    <cellStyle name="Migliaia 11 3 2 5 2 3" xfId="43721" xr:uid="{61BA0AAF-45C0-4F03-BBAA-BD83E96C4B4A}"/>
    <cellStyle name="Migliaia 11 3 2 5 3" xfId="35948" xr:uid="{42674128-14C9-4012-BD23-39D928A15EEB}"/>
    <cellStyle name="Migliaia 11 3 2 5 4" xfId="41070" xr:uid="{03FA2339-0FBE-42B3-A562-22D9D82F4B1B}"/>
    <cellStyle name="Migliaia 11 3 2 5 5" xfId="17420" xr:uid="{067ACE90-7621-4EC9-B0B6-53C7693C2AAC}"/>
    <cellStyle name="Migliaia 11 3 2 6" xfId="19823" xr:uid="{FD9D362F-57CE-4763-83DB-4AF9197A35D7}"/>
    <cellStyle name="Migliaia 11 3 2 6 2" xfId="33061" xr:uid="{5A913EB3-896F-4174-B823-D6638B14BEF6}"/>
    <cellStyle name="Migliaia 11 3 2 6 2 2" xfId="38420" xr:uid="{92812238-7365-468F-A5AD-241B095D721D}"/>
    <cellStyle name="Migliaia 11 3 2 6 2 3" xfId="43722" xr:uid="{767F1629-8D6A-418E-AA63-D8D086C81125}"/>
    <cellStyle name="Migliaia 11 3 2 6 3" xfId="35949" xr:uid="{E3C59C1C-3658-4BFA-ACCD-EF37DD00D097}"/>
    <cellStyle name="Migliaia 11 3 2 6 4" xfId="41071" xr:uid="{89C23AC6-D709-406B-8B8A-4B533F087AAB}"/>
    <cellStyle name="Migliaia 11 3 2 6 5" xfId="24225" xr:uid="{ACD4C163-94E4-49BE-A7C1-CB97C4B947AD}"/>
    <cellStyle name="Migliaia 11 3 2 7" xfId="24223" xr:uid="{37325770-4163-4368-852D-073EAF4AD980}"/>
    <cellStyle name="Migliaia 11 3 2 8" xfId="7304" xr:uid="{13CC51D6-8E76-41B5-8DFB-A8601ED3C374}"/>
    <cellStyle name="Migliaia 11 3 3" xfId="3136" xr:uid="{81E70F5A-4FB2-45F1-A9F4-F21F14CF5FE4}"/>
    <cellStyle name="Migliaia 11 3 3 10" xfId="7303" xr:uid="{F4FAE1B7-2C02-4475-AE39-ACA23417A170}"/>
    <cellStyle name="Migliaia 11 3 3 2" xfId="4862" xr:uid="{038B4243-7E04-46DF-8688-33D36104651A}"/>
    <cellStyle name="Migliaia 11 3 3 2 2" xfId="9886" xr:uid="{990C5413-B859-484C-83DE-B2291C8C9E6C}"/>
    <cellStyle name="Migliaia 11 3 3 2 2 2" xfId="38422" xr:uid="{5857FEE1-6993-4917-B2EF-CC0C2B62431D}"/>
    <cellStyle name="Migliaia 11 3 3 2 2 3" xfId="43724" xr:uid="{96607074-39EE-448A-A7B5-7F873D05A719}"/>
    <cellStyle name="Migliaia 11 3 3 2 3" xfId="18166" xr:uid="{16165DA6-6517-4101-BC1A-435EDEABE5D3}"/>
    <cellStyle name="Migliaia 11 3 3 2 4" xfId="19827" xr:uid="{F70107F5-22D8-47CE-9961-71AB40367985}"/>
    <cellStyle name="Migliaia 11 3 3 2 4 2" xfId="41073" xr:uid="{7AAAC637-A23B-4143-87F2-634A6AAB73AE}"/>
    <cellStyle name="Migliaia 11 3 3 2 5" xfId="16032" xr:uid="{8FEFE68B-9E93-45FA-BA24-40193B136AFE}"/>
    <cellStyle name="Migliaia 11 3 3 2 6" xfId="8493" xr:uid="{C14514DA-4249-4C9A-8D3F-100190CECE59}"/>
    <cellStyle name="Migliaia 11 3 3 3" xfId="6084" xr:uid="{65803611-EF28-4E04-9A92-C57536E4078A}"/>
    <cellStyle name="Migliaia 11 3 3 3 2" xfId="33064" xr:uid="{B987B6CC-F76E-4175-BDCA-BB8EBA5DEC6C}"/>
    <cellStyle name="Migliaia 11 3 3 3 2 2" xfId="38423" xr:uid="{539C41C4-F6D6-41CD-8CCE-87EB0128158B}"/>
    <cellStyle name="Migliaia 11 3 3 3 2 3" xfId="43725" xr:uid="{4D485CBA-0BB2-474B-B2A8-2981334CF001}"/>
    <cellStyle name="Migliaia 11 3 3 3 3" xfId="35952" xr:uid="{40AE6753-1796-4BE7-9C18-369DD5117AA0}"/>
    <cellStyle name="Migliaia 11 3 3 3 4" xfId="41074" xr:uid="{E4F51AB0-4E7D-4001-8196-94D64C9CE6E6}"/>
    <cellStyle name="Migliaia 11 3 3 3 5" xfId="9649" xr:uid="{520A90D9-F148-4F56-B90E-C2270DDBD6BA}"/>
    <cellStyle name="Migliaia 11 3 3 4" xfId="19826" xr:uid="{AF924097-95B6-460B-8F9E-7443FAADA317}"/>
    <cellStyle name="Migliaia 11 3 3 4 2" xfId="33065" xr:uid="{C3F86C30-E53F-419A-B475-76BDCDEE70C4}"/>
    <cellStyle name="Migliaia 11 3 3 4 2 2" xfId="38424" xr:uid="{573FABEA-E308-4737-9E6D-7484AE54414F}"/>
    <cellStyle name="Migliaia 11 3 3 4 2 3" xfId="43726" xr:uid="{D8779A34-CBF5-4C0E-83C8-FD4EE7FD5674}"/>
    <cellStyle name="Migliaia 11 3 3 4 3" xfId="35953" xr:uid="{A677FC94-38E3-44B1-AB06-2F7A4A915E54}"/>
    <cellStyle name="Migliaia 11 3 3 4 4" xfId="41075" xr:uid="{E969E798-CEF6-4B6F-9266-5D4FD1441DC6}"/>
    <cellStyle name="Migliaia 11 3 3 4 5" xfId="24228" xr:uid="{A993664F-6507-43CC-BF58-EE2479EED228}"/>
    <cellStyle name="Migliaia 11 3 3 5" xfId="24229" xr:uid="{009188B6-46CC-47FB-8485-BF70D1D27C60}"/>
    <cellStyle name="Migliaia 11 3 3 5 2" xfId="33066" xr:uid="{944ECE57-6889-45A4-A18C-95FB5463AC63}"/>
    <cellStyle name="Migliaia 11 3 3 5 2 2" xfId="38425" xr:uid="{E63307C3-624E-41CF-B5AE-C1E171BA1B2B}"/>
    <cellStyle name="Migliaia 11 3 3 5 2 3" xfId="43727" xr:uid="{BB53147A-BCA8-4BD7-B5BE-FD09DE19683D}"/>
    <cellStyle name="Migliaia 11 3 3 5 3" xfId="35954" xr:uid="{05CC7947-B90E-4264-A62A-E1ABEF72F5B7}"/>
    <cellStyle name="Migliaia 11 3 3 5 4" xfId="41076" xr:uid="{6C12E90A-4900-44DC-B0F5-0A78808EA760}"/>
    <cellStyle name="Migliaia 11 3 3 6" xfId="33062" xr:uid="{9E827D1D-708B-4756-A962-BAE02A019B35}"/>
    <cellStyle name="Migliaia 11 3 3 6 2" xfId="38421" xr:uid="{9086A638-7923-4167-8512-FFF557AA86CE}"/>
    <cellStyle name="Migliaia 11 3 3 6 3" xfId="43723" xr:uid="{4CE4C2D3-781D-4DFC-A96D-F96671C356F0}"/>
    <cellStyle name="Migliaia 11 3 3 7" xfId="35950" xr:uid="{E2144051-B919-4592-997B-30E972F8212B}"/>
    <cellStyle name="Migliaia 11 3 3 8" xfId="41072" xr:uid="{480B6466-E5B1-4052-98FF-B3A9F9715589}"/>
    <cellStyle name="Migliaia 11 3 3 9" xfId="16031" xr:uid="{476336D4-D681-4B4E-A4E0-56A278E35ACE}"/>
    <cellStyle name="Migliaia 11 3 4" xfId="3137" xr:uid="{96A4160B-9CA5-420A-929F-C1407976CA36}"/>
    <cellStyle name="Migliaia 11 3 4 2" xfId="4863" xr:uid="{A41B862D-1B69-493A-8C4F-C6018D9A0D73}"/>
    <cellStyle name="Migliaia 11 3 4 2 2" xfId="14425" xr:uid="{4EB7D7A3-9E44-4D68-B5C6-E206977EBBAA}"/>
    <cellStyle name="Migliaia 11 3 4 2 3" xfId="18593" xr:uid="{815D1B30-214B-4D2E-AEA2-09A9760A7382}"/>
    <cellStyle name="Migliaia 11 3 4 2 4" xfId="19829" xr:uid="{E4A806CA-80DA-47E5-91C5-6704449271C6}"/>
    <cellStyle name="Migliaia 11 3 4 2 5" xfId="32293" xr:uid="{DEBE0F8C-5116-4E34-AD2B-3C2D1638ED4F}"/>
    <cellStyle name="Migliaia 11 3 4 2 6" xfId="16034" xr:uid="{95F43DA0-959E-436A-87D3-4A64CC3815DA}"/>
    <cellStyle name="Migliaia 11 3 4 2 7" xfId="8848" xr:uid="{81F326DB-B0B0-4912-BFF0-FA0AD013DA04}"/>
    <cellStyle name="Migliaia 11 3 4 3" xfId="6085" xr:uid="{30E7FB46-7E2E-4476-B660-1D6B016D1E47}"/>
    <cellStyle name="Migliaia 11 3 4 3 2" xfId="35137" xr:uid="{FE2524FD-867B-4061-A86A-B6FFC49699D3}"/>
    <cellStyle name="Migliaia 11 3 4 3 2 2" xfId="40295" xr:uid="{DB58CEC5-36B8-4CD2-8662-E935E80480E3}"/>
    <cellStyle name="Migliaia 11 3 4 3 2 3" xfId="45597" xr:uid="{ABAE5C8C-AA1A-450D-8D5E-42ED4D946C93}"/>
    <cellStyle name="Migliaia 11 3 4 3 3" xfId="37644" xr:uid="{16410F23-3F58-4897-A096-132F8C0B14C6}"/>
    <cellStyle name="Migliaia 11 3 4 3 4" xfId="42946" xr:uid="{40982078-FEFB-4A7E-89FE-17BCCDD9B3D1}"/>
    <cellStyle name="Migliaia 11 3 4 3 5" xfId="13673" xr:uid="{CD4F32CF-96F8-463F-ABD8-E64C6C2A69C2}"/>
    <cellStyle name="Migliaia 11 3 4 4" xfId="19828" xr:uid="{2765BF5E-62F7-4BEC-A34D-25114044E8A8}"/>
    <cellStyle name="Migliaia 11 3 4 4 2" xfId="38426" xr:uid="{542152AB-4E03-4676-BBB1-BC497A219685}"/>
    <cellStyle name="Migliaia 11 3 4 4 3" xfId="43728" xr:uid="{A14DADAA-D855-415E-820F-E5390B582900}"/>
    <cellStyle name="Migliaia 11 3 4 4 4" xfId="33067" xr:uid="{E0EFBE94-8B19-4533-A979-8734DA1AAD42}"/>
    <cellStyle name="Migliaia 11 3 4 5" xfId="35955" xr:uid="{41A1490B-3C46-4D7F-95F7-3819466EA6AB}"/>
    <cellStyle name="Migliaia 11 3 4 6" xfId="41077" xr:uid="{E390D9A8-208A-43CA-9754-8810EA33FDC2}"/>
    <cellStyle name="Migliaia 11 3 4 7" xfId="16033" xr:uid="{96E7810E-E4B9-4B68-9849-034404254938}"/>
    <cellStyle name="Migliaia 11 3 4 8" xfId="7658" xr:uid="{FE3FAD9A-A079-454B-9F8B-AF5B6A8A9E69}"/>
    <cellStyle name="Migliaia 11 3 5" xfId="3138" xr:uid="{3E6DCE25-E8B6-4D5D-8986-9F0C8458C12B}"/>
    <cellStyle name="Migliaia 11 3 5 2" xfId="4864" xr:uid="{89C3D5B7-A2F4-4701-8447-E7AF10AC7769}"/>
    <cellStyle name="Migliaia 11 3 5 2 2" xfId="35138" xr:uid="{E03F9E08-6CCF-4B62-BD4B-548FA410AD74}"/>
    <cellStyle name="Migliaia 11 3 5 2 2 2" xfId="40296" xr:uid="{E180F4AC-3005-4BCB-AB3C-9DD7897D043D}"/>
    <cellStyle name="Migliaia 11 3 5 2 2 3" xfId="45598" xr:uid="{B7681753-D214-473F-B81E-78563E882F47}"/>
    <cellStyle name="Migliaia 11 3 5 2 3" xfId="37645" xr:uid="{60A3DAA8-BC1B-4D3B-84B3-4026E363C2D1}"/>
    <cellStyle name="Migliaia 11 3 5 2 4" xfId="42947" xr:uid="{F2745D64-60A9-4396-88B3-4124659175AF}"/>
    <cellStyle name="Migliaia 11 3 5 2 5" xfId="14186" xr:uid="{3D7DFE32-3D70-4F1B-BB6A-E71308CAE57E}"/>
    <cellStyle name="Migliaia 11 3 5 3" xfId="6086" xr:uid="{4F6A8136-CA0B-4D7A-B210-074670FFB571}"/>
    <cellStyle name="Migliaia 11 3 5 3 2" xfId="38427" xr:uid="{AD06C9AD-D6E4-4F74-8EDC-AEC187ED590B}"/>
    <cellStyle name="Migliaia 11 3 5 3 3" xfId="43729" xr:uid="{4F920C02-42E0-4768-ACB7-2E8129B60F3A}"/>
    <cellStyle name="Migliaia 11 3 5 3 4" xfId="33068" xr:uid="{5FEEC074-2365-4434-8EC9-9897C5C6B1A2}"/>
    <cellStyle name="Migliaia 11 3 5 3 5" xfId="19830" xr:uid="{5A66C21F-2A0A-42E7-A6E2-2591AE225C3E}"/>
    <cellStyle name="Migliaia 11 3 5 4" xfId="35956" xr:uid="{E34EFDE1-FF49-4567-928C-0729333C8A79}"/>
    <cellStyle name="Migliaia 11 3 5 5" xfId="41078" xr:uid="{4E8C9793-06D7-4480-BC80-CD2E4217168D}"/>
    <cellStyle name="Migliaia 11 3 5 6" xfId="16035" xr:uid="{9947D53E-C7AC-48A0-A7C6-29E56EE978E5}"/>
    <cellStyle name="Migliaia 11 3 5 7" xfId="8248" xr:uid="{63F40F5E-4001-4ABF-97CC-A2739AD12881}"/>
    <cellStyle name="Migliaia 11 3 6" xfId="4859" xr:uid="{90E817AB-42D9-4E62-BDCB-2762854E06A7}"/>
    <cellStyle name="Migliaia 11 3 6 2" xfId="13889" xr:uid="{6BA3083A-0798-4CCF-AE81-BA3242D46CDD}"/>
    <cellStyle name="Migliaia 11 3 6 2 2" xfId="38428" xr:uid="{27929A19-CA73-4C60-AE4C-24A8C3A822A9}"/>
    <cellStyle name="Migliaia 11 3 6 2 3" xfId="43730" xr:uid="{393DF830-E4F0-45D9-B8A2-D6AC6076179A}"/>
    <cellStyle name="Migliaia 11 3 6 3" xfId="18622" xr:uid="{C6F4CCC8-07D3-4999-8F7D-6711BF962EBF}"/>
    <cellStyle name="Migliaia 11 3 6 4" xfId="19831" xr:uid="{719AFA64-600D-4929-A1B3-1A3445A3B77A}"/>
    <cellStyle name="Migliaia 11 3 6 4 2" xfId="41079" xr:uid="{8FC71D5B-34DC-4B7D-99EB-58EC55EDF6A9}"/>
    <cellStyle name="Migliaia 11 3 6 5" xfId="16036" xr:uid="{2DCDDF92-FEF7-4CEC-898F-BFAB565C7CFC}"/>
    <cellStyle name="Migliaia 11 3 6 6" xfId="7829" xr:uid="{57831F66-090C-42F2-ADCB-8C1F19D2D71E}"/>
    <cellStyle name="Migliaia 11 3 7" xfId="6081" xr:uid="{8E5FFF7A-24FF-4136-956C-8A6837C2A323}"/>
    <cellStyle name="Migliaia 11 3 7 2" xfId="33069" xr:uid="{B1E1404E-0272-4B25-A062-1FF47A7CC85A}"/>
    <cellStyle name="Migliaia 11 3 7 2 2" xfId="38429" xr:uid="{29E7A079-91FC-4EAC-9841-1CB2B62455C7}"/>
    <cellStyle name="Migliaia 11 3 7 2 3" xfId="43731" xr:uid="{23F15BDC-0794-49AC-A995-7B8472BA33DB}"/>
    <cellStyle name="Migliaia 11 3 7 3" xfId="35957" xr:uid="{0F45C87A-7F3D-42DC-9DE2-BFACD7304535}"/>
    <cellStyle name="Migliaia 11 3 7 4" xfId="41080" xr:uid="{D5FB0069-37A3-486F-BBFA-44C0ED06F7C8}"/>
    <cellStyle name="Migliaia 11 3 7 5" xfId="11223" xr:uid="{D71ADC74-26C3-45DA-92BC-A07C7AE75602}"/>
    <cellStyle name="Migliaia 11 3 8" xfId="3133" xr:uid="{1E0949C0-D6E0-4144-B3FC-C0A41691A577}"/>
    <cellStyle name="Migliaia 11 3 8 2" xfId="33070" xr:uid="{B66F7E45-D136-427A-AAAA-146709016567}"/>
    <cellStyle name="Migliaia 11 3 8 2 2" xfId="38430" xr:uid="{A4F81C65-6B0A-44CB-87D0-490CF6B143E6}"/>
    <cellStyle name="Migliaia 11 3 8 2 3" xfId="43732" xr:uid="{F0E03347-93C8-48E5-BA29-75F9E91A8872}"/>
    <cellStyle name="Migliaia 11 3 8 3" xfId="35958" xr:uid="{8AAB70F8-C752-40BB-BE9C-FD93DBEA4045}"/>
    <cellStyle name="Migliaia 11 3 8 4" xfId="41081" xr:uid="{F0A54E0E-97B1-411F-AF18-922ED575F6F4}"/>
    <cellStyle name="Migliaia 11 3 8 5" xfId="24230" xr:uid="{BF5490E9-622C-4BE6-B112-9A37A95B5E4A}"/>
    <cellStyle name="Migliaia 11 3 8 6" xfId="17421" xr:uid="{BC968FC3-7A51-45C9-8EB0-C2D0B6C35602}"/>
    <cellStyle name="Migliaia 11 3 9" xfId="19822" xr:uid="{B1A3440F-D0BF-4229-AD9D-5A0CBD7DBAFF}"/>
    <cellStyle name="Migliaia 11 4" xfId="1665" xr:uid="{00000000-0005-0000-0000-0000D0020000}"/>
    <cellStyle name="Migliaia 11 4 2" xfId="1666" xr:uid="{00000000-0005-0000-0000-0000D1020000}"/>
    <cellStyle name="Migliaia 11 4 2 2" xfId="4866" xr:uid="{5483FAEB-2B8B-4702-9141-B22E54F03B50}"/>
    <cellStyle name="Migliaia 11 4 2 2 2" xfId="33071" xr:uid="{D9B838EF-DB8C-4CAA-801E-503BD8A301E8}"/>
    <cellStyle name="Migliaia 11 4 2 2 2 2" xfId="38431" xr:uid="{21EA483C-A248-4141-A95B-884D06E68E2E}"/>
    <cellStyle name="Migliaia 11 4 2 2 2 3" xfId="43733" xr:uid="{69CD9F6F-A34A-415C-A328-B7782FE4A353}"/>
    <cellStyle name="Migliaia 11 4 2 2 3" xfId="35959" xr:uid="{E2CD5DEC-2628-458D-A40B-AB9CBE65DC36}"/>
    <cellStyle name="Migliaia 11 4 2 2 4" xfId="41082" xr:uid="{7BF810B0-000E-4B82-9A71-6E57F581BC3B}"/>
    <cellStyle name="Migliaia 11 4 2 2 5" xfId="9112" xr:uid="{C4FFE22F-02B9-4E2D-845C-71089F8E4CCB}"/>
    <cellStyle name="Migliaia 11 4 2 3" xfId="3140" xr:uid="{6C884B19-13C5-4E6E-A1C7-D37EBBFA88DE}"/>
    <cellStyle name="Migliaia 11 4 2 3 2" xfId="33072" xr:uid="{9AA407A3-8D7F-4C9A-A1EB-B34BC19B4BD3}"/>
    <cellStyle name="Migliaia 11 4 2 3 2 2" xfId="38432" xr:uid="{D868BB0F-0677-4570-BC49-0E8878CF5674}"/>
    <cellStyle name="Migliaia 11 4 2 3 2 3" xfId="43734" xr:uid="{AA307775-4E4E-42D8-8C81-4F3516640949}"/>
    <cellStyle name="Migliaia 11 4 2 3 3" xfId="35960" xr:uid="{6D7A5E16-CAB7-4C7C-AD12-AB77305EEE12}"/>
    <cellStyle name="Migliaia 11 4 2 3 4" xfId="41083" xr:uid="{2C8DDCA3-3A33-4FB5-A448-06FED257AAFD}"/>
    <cellStyle name="Migliaia 11 4 2 3 5" xfId="11893" xr:uid="{847DD85B-7E49-4D1E-842E-E756AB0B0D2D}"/>
    <cellStyle name="Migliaia 11 4 2 4" xfId="11246" xr:uid="{4EAB69A2-D0DD-4E67-96AA-70D08319877B}"/>
    <cellStyle name="Migliaia 11 4 2 5" xfId="10743" xr:uid="{45017053-3CCD-4343-BBFD-D059977CD789}"/>
    <cellStyle name="Migliaia 11 4 2 5 2" xfId="21378" xr:uid="{D3811DFE-989B-4E65-8532-2007CE70D4BC}"/>
    <cellStyle name="Migliaia 11 4 2 5 3" xfId="46640" xr:uid="{E08A5518-D3BF-4CB0-AD6B-3B8BC40C9599}"/>
    <cellStyle name="Migliaia 11 4 2 5 4" xfId="50393" xr:uid="{5D067085-27DE-4B59-898F-B97F465FCDD4}"/>
    <cellStyle name="Migliaia 11 4 2 5 5" xfId="53409" xr:uid="{85D93763-DE0A-4C35-B178-F8C0A00016F2}"/>
    <cellStyle name="Migliaia 11 4 2 6" xfId="19833" xr:uid="{04690116-CBF6-4C0B-A3F0-4B9474071290}"/>
    <cellStyle name="Migliaia 11 4 2 7" xfId="24232" xr:uid="{4C93959A-F75F-4560-8FEE-7D5685B3C892}"/>
    <cellStyle name="Migliaia 11 4 2 8" xfId="8495" xr:uid="{009273B4-B7F6-4284-A45D-A97D81430295}"/>
    <cellStyle name="Migliaia 11 4 3" xfId="4865" xr:uid="{C707F8C5-2504-4811-B50F-76628C743FA8}"/>
    <cellStyle name="Migliaia 11 4 3 2" xfId="18167" xr:uid="{E8A081CC-BB8B-4575-9C2A-4F894A6603C3}"/>
    <cellStyle name="Migliaia 11 4 3 2 2" xfId="38433" xr:uid="{F59D2DB1-53A2-4F1A-A40D-D0CFABF3CCDF}"/>
    <cellStyle name="Migliaia 11 4 3 2 3" xfId="43735" xr:uid="{2BDABAA9-06A6-4FFC-B22D-848671C481F6}"/>
    <cellStyle name="Migliaia 11 4 3 3" xfId="35961" xr:uid="{8E3FA350-517B-4805-B777-F9CC40C42404}"/>
    <cellStyle name="Migliaia 11 4 3 4" xfId="41084" xr:uid="{A853A241-E7B9-473D-A76F-7D3B6B92F3F7}"/>
    <cellStyle name="Migliaia 11 4 3 5" xfId="17419" xr:uid="{733702F4-0169-420C-8C4A-B21E663CC489}"/>
    <cellStyle name="Migliaia 11 4 3 6" xfId="9113" xr:uid="{4B8C3723-D7A4-4BDB-82F9-41063005C79B}"/>
    <cellStyle name="Migliaia 11 4 4" xfId="6087" xr:uid="{7469A170-1BD1-4BE6-BC43-47E03BA52379}"/>
    <cellStyle name="Migliaia 11 4 4 2" xfId="33073" xr:uid="{D03A1377-D10E-4C00-B3F7-C90370DEDF0E}"/>
    <cellStyle name="Migliaia 11 4 4 2 2" xfId="38434" xr:uid="{B85BBB1B-EC09-4453-82B1-D21220EA57A3}"/>
    <cellStyle name="Migliaia 11 4 4 2 3" xfId="43736" xr:uid="{9FD0E627-A19E-4D18-A72C-1B82B7647BE2}"/>
    <cellStyle name="Migliaia 11 4 4 3" xfId="35962" xr:uid="{1E02B574-1515-4B2F-A061-CC9F6FB38EF2}"/>
    <cellStyle name="Migliaia 11 4 4 4" xfId="41085" xr:uid="{9AFF10DA-CF5E-48E5-B3FF-74E9804E4448}"/>
    <cellStyle name="Migliaia 11 4 4 5" xfId="11894" xr:uid="{17809C20-72FE-4EAC-88AA-FB3C0ED18796}"/>
    <cellStyle name="Migliaia 11 4 5" xfId="3139" xr:uid="{C8B7C00B-0B4E-4065-BB74-DE0D67BC5DD9}"/>
    <cellStyle name="Migliaia 11 4 5 2" xfId="33074" xr:uid="{927723EF-9E36-4316-9369-1A5838C6B098}"/>
    <cellStyle name="Migliaia 11 4 5 2 2" xfId="38435" xr:uid="{8ABDFE06-5235-47F2-BB19-F3EB684B90D0}"/>
    <cellStyle name="Migliaia 11 4 5 2 3" xfId="43737" xr:uid="{04BD3AD5-787F-450B-B179-3CEE6C7F71E7}"/>
    <cellStyle name="Migliaia 11 4 5 3" xfId="35963" xr:uid="{3E425902-22F2-4216-965A-9CA5FD76BC85}"/>
    <cellStyle name="Migliaia 11 4 5 4" xfId="41086" xr:uid="{DE9C556E-313E-4F21-B603-C6B46859A6A5}"/>
    <cellStyle name="Migliaia 11 4 5 5" xfId="11245" xr:uid="{CD365FF7-E9CF-4314-82AB-FC07828761AD}"/>
    <cellStyle name="Migliaia 11 4 6" xfId="10742" xr:uid="{3EF6740A-8C04-49D2-90E2-DE41006C1817}"/>
    <cellStyle name="Migliaia 11 4 6 2" xfId="21377" xr:uid="{C1C89AA8-6B28-428C-BCCC-EE6465030340}"/>
    <cellStyle name="Migliaia 11 4 6 2 2" xfId="38436" xr:uid="{60BDCC1D-75CF-41B3-8165-56115B6F9674}"/>
    <cellStyle name="Migliaia 11 4 6 2 3" xfId="43738" xr:uid="{47F9129D-B70C-4DE8-B20B-F876269D9DE8}"/>
    <cellStyle name="Migliaia 11 4 6 2 4" xfId="33075" xr:uid="{0F1595E9-B700-453E-A585-1777FFD4C2DD}"/>
    <cellStyle name="Migliaia 11 4 6 3" xfId="35964" xr:uid="{D6472F65-B6BD-474C-A5AD-9BEFBE8EF1D6}"/>
    <cellStyle name="Migliaia 11 4 6 4" xfId="41087" xr:uid="{445D38D8-E326-4DCD-857B-77753D012291}"/>
    <cellStyle name="Migliaia 11 4 6 5" xfId="24233" xr:uid="{AF9ABCDF-824E-4C86-8DB1-499B0C87F4EB}"/>
    <cellStyle name="Migliaia 11 4 6 6" xfId="48378" xr:uid="{30703708-565F-4169-B959-7FC76804EEED}"/>
    <cellStyle name="Migliaia 11 4 6 7" xfId="50392" xr:uid="{EE06010F-A2B9-436F-A180-C4B268C9E4F9}"/>
    <cellStyle name="Migliaia 11 4 6 8" xfId="53408" xr:uid="{098BA4E1-9A98-457C-800E-A732C0DC89CE}"/>
    <cellStyle name="Migliaia 11 4 7" xfId="19832" xr:uid="{7084E221-9DC3-4376-A0DE-DFC916D213AB}"/>
    <cellStyle name="Migliaia 11 4 7 2" xfId="33076" xr:uid="{144DD849-99A2-4315-BD3E-756EB3EAFC68}"/>
    <cellStyle name="Migliaia 11 4 7 2 2" xfId="38437" xr:uid="{1FB5F72C-28D5-4239-B150-7D8B9D9C949A}"/>
    <cellStyle name="Migliaia 11 4 7 2 3" xfId="43739" xr:uid="{C9295C56-2B00-4134-AF27-4FCF2A377A49}"/>
    <cellStyle name="Migliaia 11 4 7 3" xfId="35965" xr:uid="{04F9B28E-DBA5-4FDF-B2E6-E43169EE1D8F}"/>
    <cellStyle name="Migliaia 11 4 7 4" xfId="41088" xr:uid="{0EFFBCF5-7C00-4B77-A5FC-71BCD07D5B45}"/>
    <cellStyle name="Migliaia 11 4 7 5" xfId="24234" xr:uid="{72740029-7484-4CC5-89B1-1DB58A0D954A}"/>
    <cellStyle name="Migliaia 11 4 8" xfId="24231" xr:uid="{81A02212-6398-41F3-9606-99CD7CDF4B11}"/>
    <cellStyle name="Migliaia 11 4 9" xfId="7305" xr:uid="{890F536D-038F-4A93-A293-7A644B05D812}"/>
    <cellStyle name="Migliaia 11 5" xfId="1667" xr:uid="{00000000-0005-0000-0000-0000D2020000}"/>
    <cellStyle name="Migliaia 11 5 2" xfId="4867" xr:uid="{7164FA7B-381C-4AE9-9662-37CB4B6EC591}"/>
    <cellStyle name="Migliaia 11 5 2 2" xfId="18365" xr:uid="{14952D32-D99B-40B7-B894-EE9A2160DFC3}"/>
    <cellStyle name="Migliaia 11 5 2 2 2" xfId="38438" xr:uid="{AF54A3DD-805B-4B34-B9B6-3392F74AF3BD}"/>
    <cellStyle name="Migliaia 11 5 2 2 3" xfId="43740" xr:uid="{F107CC82-480E-46FA-8D0B-C7B3B7580B8F}"/>
    <cellStyle name="Migliaia 11 5 2 3" xfId="19835" xr:uid="{5C754404-158F-4C3C-9B8B-0EB4B1239A9B}"/>
    <cellStyle name="Migliaia 11 5 2 3 2" xfId="35966" xr:uid="{E3FC403C-FDDF-4303-AC3E-B2F1E4D625A8}"/>
    <cellStyle name="Migliaia 11 5 2 4" xfId="41089" xr:uid="{87CC99B4-2D86-42D9-BB59-1C7A6D08B97C}"/>
    <cellStyle name="Migliaia 11 5 2 5" xfId="16037" xr:uid="{9D3622A5-5FE6-406C-82BF-B2F68A9BC37E}"/>
    <cellStyle name="Migliaia 11 5 2 6" xfId="8496" xr:uid="{EDB83B02-CF87-4DE2-A065-7CCA77A23C92}"/>
    <cellStyle name="Migliaia 11 5 3" xfId="6088" xr:uid="{1D86F9FE-1313-46DC-A14F-F88D47148B86}"/>
    <cellStyle name="Migliaia 11 5 3 2" xfId="33078" xr:uid="{91A3AB8F-6072-4ACB-AF66-F07C78D3FF7B}"/>
    <cellStyle name="Migliaia 11 5 3 2 2" xfId="38439" xr:uid="{673CFDBD-BDC4-4803-B423-CF682E888FBF}"/>
    <cellStyle name="Migliaia 11 5 3 2 3" xfId="43741" xr:uid="{21E3FCC1-42BB-46B6-A500-113DA07AEED4}"/>
    <cellStyle name="Migliaia 11 5 3 3" xfId="35967" xr:uid="{DEF977D4-A61B-4C3C-B7A2-2796676563F9}"/>
    <cellStyle name="Migliaia 11 5 3 4" xfId="41090" xr:uid="{473ED65B-E5C8-4695-81BB-F4FF7CE4E630}"/>
    <cellStyle name="Migliaia 11 5 3 5" xfId="11247" xr:uid="{70A25781-CF7D-4FC0-BDA6-48E8247A2F01}"/>
    <cellStyle name="Migliaia 11 5 4" xfId="3141" xr:uid="{474CACC1-97B9-413D-9CE1-30AB918D1582}"/>
    <cellStyle name="Migliaia 11 5 4 2" xfId="21379" xr:uid="{1198ABA7-13A7-46A4-9283-2EF8833AD008}"/>
    <cellStyle name="Migliaia 11 5 4 2 2" xfId="38440" xr:uid="{A8D01F96-26C2-4A5F-B4E4-AC4EA827F55B}"/>
    <cellStyle name="Migliaia 11 5 4 2 3" xfId="43742" xr:uid="{FABC1752-B1BA-4673-A3B4-5D64F1F47606}"/>
    <cellStyle name="Migliaia 11 5 4 2 4" xfId="33079" xr:uid="{62B4FEA7-B933-47F5-8EC1-8EF2A864CB08}"/>
    <cellStyle name="Migliaia 11 5 4 3" xfId="35968" xr:uid="{18E10CF4-2670-4F3B-8304-B21A9EC81EBB}"/>
    <cellStyle name="Migliaia 11 5 4 4" xfId="41091" xr:uid="{D649C296-10AE-4039-AB82-3C8E5A7DC522}"/>
    <cellStyle name="Migliaia 11 5 4 5" xfId="24236" xr:uid="{40F735E6-4C34-44DD-980B-EF31F5E42505}"/>
    <cellStyle name="Migliaia 11 5 4 6" xfId="47447" xr:uid="{3C0AA143-C3B4-4935-BC96-EA557D2B6DA9}"/>
    <cellStyle name="Migliaia 11 5 4 7" xfId="50394" xr:uid="{85A9339D-71B5-4E44-A695-8D564A0AF129}"/>
    <cellStyle name="Migliaia 11 5 4 8" xfId="53410" xr:uid="{8815ADAC-31FF-459B-8B39-9CAA19F83A91}"/>
    <cellStyle name="Migliaia 11 5 4 9" xfId="10744" xr:uid="{239B5468-532D-4128-A79C-968E879498A7}"/>
    <cellStyle name="Migliaia 11 5 5" xfId="19834" xr:uid="{B4F06CB1-5215-47C1-BCB9-7A342C9A7255}"/>
    <cellStyle name="Migliaia 11 5 5 2" xfId="33080" xr:uid="{A34DFA7A-6318-4CA6-B071-9BB6165E8975}"/>
    <cellStyle name="Migliaia 11 5 5 2 2" xfId="38441" xr:uid="{3BC2F84A-4F7B-4BCB-BBAB-30CA9768C407}"/>
    <cellStyle name="Migliaia 11 5 5 2 3" xfId="43743" xr:uid="{EB91DD8C-5ECB-4059-A3A6-D433A66801DA}"/>
    <cellStyle name="Migliaia 11 5 5 3" xfId="35969" xr:uid="{7D1E607B-384F-4158-A908-51F3663EE04C}"/>
    <cellStyle name="Migliaia 11 5 5 4" xfId="41092" xr:uid="{72B8EC25-C7D8-4D9B-ADB8-2EEACEF3A7B1}"/>
    <cellStyle name="Migliaia 11 5 5 5" xfId="24237" xr:uid="{166296BD-C668-4A01-8500-16FB89283C7D}"/>
    <cellStyle name="Migliaia 11 5 6" xfId="24238" xr:uid="{51756D87-7154-4C27-8BB2-EDB3491A09D5}"/>
    <cellStyle name="Migliaia 11 5 6 2" xfId="33081" xr:uid="{18AE86B4-BA6A-4438-BE49-4829B3EEDF9A}"/>
    <cellStyle name="Migliaia 11 5 6 2 2" xfId="38442" xr:uid="{AA140A72-588A-4F7C-8FB0-9265A048ADD0}"/>
    <cellStyle name="Migliaia 11 5 6 2 3" xfId="43744" xr:uid="{94661234-06B3-414E-8C85-AFDE93A03FBE}"/>
    <cellStyle name="Migliaia 11 5 6 3" xfId="35970" xr:uid="{FE13D14B-6749-428B-978D-B1256016B878}"/>
    <cellStyle name="Migliaia 11 5 6 4" xfId="41093" xr:uid="{8EB99B13-E1F4-49D7-A907-50BBBFC3D7AB}"/>
    <cellStyle name="Migliaia 11 5 7" xfId="24235" xr:uid="{A76B842B-C355-4C77-B7AE-C19DB0FD5E02}"/>
    <cellStyle name="Migliaia 11 5 8" xfId="7306" xr:uid="{5D6D5528-1E7B-4F91-9374-4347CDCBE8D3}"/>
    <cellStyle name="Migliaia 11 6" xfId="3142" xr:uid="{D394E5D4-1D0D-4BDA-A8B0-FB38CD9F764F}"/>
    <cellStyle name="Migliaia 11 6 2" xfId="4868" xr:uid="{F08DA367-879F-47E2-A0E3-710BF60542EC}"/>
    <cellStyle name="Migliaia 11 6 2 2" xfId="9885" xr:uid="{A9C7C073-60E0-4F1C-9AAE-4AE52B29009F}"/>
    <cellStyle name="Migliaia 11 6 2 3" xfId="18678" xr:uid="{D5981EE9-A59F-4240-8FF5-22292C27EEC3}"/>
    <cellStyle name="Migliaia 11 6 2 4" xfId="19837" xr:uid="{8410B7D6-EC74-425C-B74F-D58A08312B5A}"/>
    <cellStyle name="Migliaia 11 6 2 5" xfId="32294" xr:uid="{E31D2403-2EFF-4920-B060-50987B41D28C}"/>
    <cellStyle name="Migliaia 11 6 2 6" xfId="16039" xr:uid="{CFA809BE-E357-457B-B516-D710F953F9CD}"/>
    <cellStyle name="Migliaia 11 6 2 7" xfId="8491" xr:uid="{332CEE8F-D46B-4FA3-A672-65A6006F9F85}"/>
    <cellStyle name="Migliaia 11 6 3" xfId="6089" xr:uid="{C6CE8509-8012-47AF-BDA2-084D2D976117}"/>
    <cellStyle name="Migliaia 11 6 3 2" xfId="35139" xr:uid="{8792CE31-5EA2-4074-968D-996ED88522E1}"/>
    <cellStyle name="Migliaia 11 6 3 2 2" xfId="40297" xr:uid="{F32C30A0-AD57-42B2-A9E4-392A86CB846D}"/>
    <cellStyle name="Migliaia 11 6 3 2 3" xfId="45599" xr:uid="{368FE72A-F5D1-4EA6-9431-D58340C4D077}"/>
    <cellStyle name="Migliaia 11 6 3 3" xfId="37646" xr:uid="{E1A4C125-4D53-4FB6-8FE9-71B53B57DE8D}"/>
    <cellStyle name="Migliaia 11 6 3 4" xfId="42948" xr:uid="{DE193785-C433-4CAE-BB74-C2AD7391FF57}"/>
    <cellStyle name="Migliaia 11 6 3 5" xfId="9648" xr:uid="{A3852EC6-3E68-4A85-9B80-CD7524E757EC}"/>
    <cellStyle name="Migliaia 11 6 4" xfId="19836" xr:uid="{1A844A5F-CF61-4943-9F1B-03EABF99C7CF}"/>
    <cellStyle name="Migliaia 11 6 4 2" xfId="38443" xr:uid="{E5FEBF78-18BA-49AE-9307-E82CE011FF92}"/>
    <cellStyle name="Migliaia 11 6 4 3" xfId="43745" xr:uid="{54665BD4-EC21-422A-81E7-A51361DE3D45}"/>
    <cellStyle name="Migliaia 11 6 4 4" xfId="33082" xr:uid="{92F5A3FC-88D7-42E9-822F-660163DAB222}"/>
    <cellStyle name="Migliaia 11 6 5" xfId="35971" xr:uid="{98378BD1-3DE9-4EFA-A483-DDF35620282D}"/>
    <cellStyle name="Migliaia 11 6 6" xfId="41094" xr:uid="{CF41769C-CCE8-49D9-8B09-0A8EC681C310}"/>
    <cellStyle name="Migliaia 11 6 7" xfId="16038" xr:uid="{5AB46A6F-3EA2-40A6-84A3-246C2A8737EA}"/>
    <cellStyle name="Migliaia 11 6 8" xfId="7301" xr:uid="{8567CF1C-A852-4C17-8ABB-A77814921024}"/>
    <cellStyle name="Migliaia 11 7" xfId="3143" xr:uid="{7A437DCE-82F4-4584-9795-4D0E740AB800}"/>
    <cellStyle name="Migliaia 11 7 2" xfId="4869" xr:uid="{409F1A58-8268-4316-A7C4-B7D3613204CA}"/>
    <cellStyle name="Migliaia 11 7 2 2" xfId="35140" xr:uid="{6582E216-8039-4D7C-A21A-9184742BBE95}"/>
    <cellStyle name="Migliaia 11 7 2 2 2" xfId="40298" xr:uid="{48930345-9230-40CB-AE75-2C81B49A60D3}"/>
    <cellStyle name="Migliaia 11 7 2 2 3" xfId="45600" xr:uid="{83B61023-9892-4E3C-921C-78926D416AAB}"/>
    <cellStyle name="Migliaia 11 7 2 3" xfId="37647" xr:uid="{DB57D04E-F979-4656-A049-511B529361B8}"/>
    <cellStyle name="Migliaia 11 7 2 4" xfId="42949" xr:uid="{9D3A1008-9886-4B82-9058-1F15C8ABAE8C}"/>
    <cellStyle name="Migliaia 11 7 2 5" xfId="14184" xr:uid="{C7142A99-7A83-49B5-B508-056A74C0B9D4}"/>
    <cellStyle name="Migliaia 11 7 3" xfId="6090" xr:uid="{E8AC16F1-5F20-45A6-B66A-4AD0F2EFEAF3}"/>
    <cellStyle name="Migliaia 11 7 3 2" xfId="38444" xr:uid="{6894B772-C47F-4498-A4F5-46E48B234062}"/>
    <cellStyle name="Migliaia 11 7 3 3" xfId="43746" xr:uid="{552BDBA2-FDA9-47E4-930F-8B301C4EA44A}"/>
    <cellStyle name="Migliaia 11 7 3 4" xfId="33083" xr:uid="{C6BF7E01-BCB7-4D5B-8D71-CDE7EC877C84}"/>
    <cellStyle name="Migliaia 11 7 3 5" xfId="19838" xr:uid="{F44984C4-C81D-4CA4-A4E2-2BACA7B681AF}"/>
    <cellStyle name="Migliaia 11 7 4" xfId="35972" xr:uid="{D7163561-119C-4B4D-92F2-8C71060F7ED7}"/>
    <cellStyle name="Migliaia 11 7 5" xfId="41095" xr:uid="{F9298D75-3284-44A2-8FDA-162B4D5E99AA}"/>
    <cellStyle name="Migliaia 11 7 6" xfId="16040" xr:uid="{8699E510-73C6-4D25-BC7A-BEF757E1528C}"/>
    <cellStyle name="Migliaia 11 7 7" xfId="8246" xr:uid="{F1DD2914-1EB2-471F-811F-7C00AE0359A5}"/>
    <cellStyle name="Migliaia 11 8" xfId="3144" xr:uid="{06A245D8-65AD-43DC-B36D-7656E6869C0B}"/>
    <cellStyle name="Migliaia 11 8 2" xfId="4870" xr:uid="{79AE1711-416E-48F7-83FA-C9B633EC6929}"/>
    <cellStyle name="Migliaia 11 8 2 2" xfId="35141" xr:uid="{7B63A434-284D-4D2B-A135-590FFCE89871}"/>
    <cellStyle name="Migliaia 11 8 2 2 2" xfId="40299" xr:uid="{09E01FD3-AC02-4AE4-A7D2-75E5913B38E5}"/>
    <cellStyle name="Migliaia 11 8 2 2 3" xfId="45601" xr:uid="{822EFEDF-D7B1-48DA-BE10-E347EE089983}"/>
    <cellStyle name="Migliaia 11 8 2 3" xfId="37648" xr:uid="{2F390BA3-0C7D-42C9-B386-5E8FAE342FD5}"/>
    <cellStyle name="Migliaia 11 8 2 4" xfId="42950" xr:uid="{E911E81E-0DF0-4FEB-8891-A7D0099D0997}"/>
    <cellStyle name="Migliaia 11 8 2 5" xfId="13887" xr:uid="{7DBFCDED-434F-4F8B-A684-C10FA824E194}"/>
    <cellStyle name="Migliaia 11 8 3" xfId="6091" xr:uid="{A6491D5E-7B5D-43D5-A473-6E1A49EAD4C8}"/>
    <cellStyle name="Migliaia 11 8 3 2" xfId="38445" xr:uid="{49A740D0-00AA-42E7-B70F-E3DB35E47500}"/>
    <cellStyle name="Migliaia 11 8 3 3" xfId="43747" xr:uid="{BA5C4DD6-EE02-47C2-94BB-9D23212B5486}"/>
    <cellStyle name="Migliaia 11 8 3 4" xfId="33084" xr:uid="{250A15A1-A489-4AC5-BF7B-A70BA5872A8B}"/>
    <cellStyle name="Migliaia 11 8 3 5" xfId="19839" xr:uid="{DA1823BD-C056-4C3D-B4A4-FECFB1CD7CEE}"/>
    <cellStyle name="Migliaia 11 8 4" xfId="35973" xr:uid="{7CC6BF5C-0E4C-4839-9A90-F8B61E757CE0}"/>
    <cellStyle name="Migliaia 11 8 5" xfId="41096" xr:uid="{4985ABE5-9933-4020-82F2-4AADC30FDF04}"/>
    <cellStyle name="Migliaia 11 8 6" xfId="16041" xr:uid="{2C487B48-2413-448E-9A3E-EF7230EB54CF}"/>
    <cellStyle name="Migliaia 11 8 7" xfId="7827" xr:uid="{413797A7-AB24-4F66-8FF8-EEEEB981821A}"/>
    <cellStyle name="Migliaia 11 9" xfId="4855" xr:uid="{31A8ED30-21DA-4D61-8426-0799E74A3DB1}"/>
    <cellStyle name="Migliaia 11 9 2" xfId="33085" xr:uid="{490BEFED-40F0-4A09-83FD-6F75A89EB238}"/>
    <cellStyle name="Migliaia 11 9 2 2" xfId="38446" xr:uid="{EB983F49-9635-49C8-930E-7D64963B84EB}"/>
    <cellStyle name="Migliaia 11 9 2 3" xfId="43748" xr:uid="{8B5543F6-B41F-4C7E-B92E-9563476F6901}"/>
    <cellStyle name="Migliaia 11 9 3" xfId="35974" xr:uid="{D7DA4EA2-32D6-47FA-A4C5-5229D776D077}"/>
    <cellStyle name="Migliaia 11 9 4" xfId="41097" xr:uid="{23FDB36D-DFB8-4C28-849B-D415CFBE14AB}"/>
    <cellStyle name="Migliaia 11 9 5" xfId="17139" xr:uid="{1F6054F1-018A-4233-BC12-7497D025CC2A}"/>
    <cellStyle name="Migliaia 12" xfId="309" xr:uid="{00000000-0005-0000-0000-0000D3020000}"/>
    <cellStyle name="Migliaia 12 10" xfId="6092" xr:uid="{A39D08B0-BD17-4105-A192-A973B91A9317}"/>
    <cellStyle name="Migliaia 12 10 2" xfId="38447" xr:uid="{B0C8F6EE-2381-4316-A07F-60E6CC90A593}"/>
    <cellStyle name="Migliaia 12 10 3" xfId="43749" xr:uid="{DD3A56A3-C828-413E-9A0A-BB90453DD12B}"/>
    <cellStyle name="Migliaia 12 10 4" xfId="33086" xr:uid="{70674CEB-DAF0-45E3-9271-6DD5ECDB6FEC}"/>
    <cellStyle name="Migliaia 12 10 5" xfId="19840" xr:uid="{86DA4700-C825-4BEA-A0D2-4C20A28D8D46}"/>
    <cellStyle name="Migliaia 12 11" xfId="3145" xr:uid="{966C89CC-7E67-4DD7-9BFB-01D1700CC2B6}"/>
    <cellStyle name="Migliaia 12 11 2" xfId="35975" xr:uid="{D6547A79-6A08-4223-8908-7612C22CAD91}"/>
    <cellStyle name="Migliaia 12 12" xfId="41098" xr:uid="{20FF2A5C-2900-4E0B-9846-17A6D8F71F1E}"/>
    <cellStyle name="Migliaia 12 13" xfId="7050" xr:uid="{3ACCC9A0-263C-47DD-BE84-7DC48CB57F33}"/>
    <cellStyle name="Migliaia 12 2" xfId="310" xr:uid="{00000000-0005-0000-0000-0000D4020000}"/>
    <cellStyle name="Migliaia 12 2 2" xfId="1668" xr:uid="{00000000-0005-0000-0000-0000D5020000}"/>
    <cellStyle name="Migliaia 12 2 2 2" xfId="4873" xr:uid="{EA916E09-61D2-4C42-B5D2-AD4DF848E103}"/>
    <cellStyle name="Migliaia 12 2 2 2 2" xfId="14365" xr:uid="{7B8E4A71-356C-4AE6-A4DA-F09EEC39C4FD}"/>
    <cellStyle name="Migliaia 12 2 2 2 2 2" xfId="38448" xr:uid="{F6F85033-4BAF-42A3-850E-1225CEA2B259}"/>
    <cellStyle name="Migliaia 12 2 2 2 2 3" xfId="43750" xr:uid="{4E47BE33-F6B9-4748-9960-2BA0F6D2A313}"/>
    <cellStyle name="Migliaia 12 2 2 2 3" xfId="18366" xr:uid="{E0BFDAE8-6734-47C6-B090-F713DD8D704E}"/>
    <cellStyle name="Migliaia 12 2 2 2 4" xfId="19843" xr:uid="{24691676-1FCE-4EAF-B0B2-504BB9CBD176}"/>
    <cellStyle name="Migliaia 12 2 2 2 4 2" xfId="41099" xr:uid="{213B0192-1DEB-493C-898C-66CCD4DEE126}"/>
    <cellStyle name="Migliaia 12 2 2 2 5" xfId="16042" xr:uid="{655FA59B-207B-43C1-94F9-FCEC9A17E790}"/>
    <cellStyle name="Migliaia 12 2 2 2 6" xfId="8498" xr:uid="{583F87B1-DD81-4923-B245-E7956AB70549}"/>
    <cellStyle name="Migliaia 12 2 2 3" xfId="6094" xr:uid="{C32B766A-9919-40D8-909F-831B5EBFB133}"/>
    <cellStyle name="Migliaia 12 2 2 3 2" xfId="35142" xr:uid="{5C2FF071-A325-406F-8519-D75A7A25BC46}"/>
    <cellStyle name="Migliaia 12 2 2 3 2 2" xfId="40300" xr:uid="{14FEA47A-3F34-4ED9-AFFE-DE0E8D8F465C}"/>
    <cellStyle name="Migliaia 12 2 2 3 2 3" xfId="45602" xr:uid="{4501CA6E-C589-4185-8D45-E54B2079CAFE}"/>
    <cellStyle name="Migliaia 12 2 2 3 3" xfId="37649" xr:uid="{F32FD5AF-F8C3-4F1F-929C-BB8DC1090E38}"/>
    <cellStyle name="Migliaia 12 2 2 3 4" xfId="42951" xr:uid="{3634FFF9-FFC6-4096-86D5-279F3894CEA9}"/>
    <cellStyle name="Migliaia 12 2 2 3 5" xfId="11594" xr:uid="{81164C20-2BE0-416B-9A77-04DA27A7A112}"/>
    <cellStyle name="Migliaia 12 2 2 4" xfId="3147" xr:uid="{88E4A111-B9A2-4C6B-AE71-FB565826A997}"/>
    <cellStyle name="Migliaia 12 2 2 4 2" xfId="21380" xr:uid="{C8818AB8-77AA-476E-ADE7-24C4D010064D}"/>
    <cellStyle name="Migliaia 12 2 2 4 3" xfId="48281" xr:uid="{3B9E1049-DAED-42BE-9EF9-690B830CA18F}"/>
    <cellStyle name="Migliaia 12 2 2 4 4" xfId="50395" xr:uid="{7B5D5DFC-559E-4B13-8B18-D87784A19028}"/>
    <cellStyle name="Migliaia 12 2 2 4 5" xfId="53411" xr:uid="{EBCF095B-9699-4198-88C2-4D2449793A13}"/>
    <cellStyle name="Migliaia 12 2 2 4 6" xfId="10745" xr:uid="{737A91C4-F1F8-43C9-9494-233A8FFF58A0}"/>
    <cellStyle name="Migliaia 12 2 2 5" xfId="19842" xr:uid="{21DDE780-010B-48E4-B38A-5E720AAE2295}"/>
    <cellStyle name="Migliaia 12 2 2 6" xfId="24245" xr:uid="{396C2D6E-7BF3-4F42-89C1-79E0BABCEEE0}"/>
    <cellStyle name="Migliaia 12 2 2 7" xfId="7308" xr:uid="{604AE35C-EE2D-49D4-BFCF-701763D8A7C8}"/>
    <cellStyle name="Migliaia 12 2 3" xfId="3148" xr:uid="{6246DD2B-0CEA-4D07-8876-CE13DD323C4C}"/>
    <cellStyle name="Migliaia 12 2 3 2" xfId="4874" xr:uid="{A87A6FED-81D1-471C-88B8-5BA8761E7A68}"/>
    <cellStyle name="Migliaia 12 2 3 2 2" xfId="35143" xr:uid="{D13D16A5-26E3-4343-A505-66B9091AA8ED}"/>
    <cellStyle name="Migliaia 12 2 3 2 2 2" xfId="40301" xr:uid="{A6A5D919-C422-4C24-BB15-78614D9EAFEF}"/>
    <cellStyle name="Migliaia 12 2 3 2 2 3" xfId="45603" xr:uid="{0BB9D846-9D14-4158-A663-354E5CE922C4}"/>
    <cellStyle name="Migliaia 12 2 3 2 3" xfId="37650" xr:uid="{4EB86900-3160-4717-83CF-9A2237F1B03E}"/>
    <cellStyle name="Migliaia 12 2 3 2 4" xfId="42952" xr:uid="{F62305C6-1058-4722-9E32-53684E42BCCD}"/>
    <cellStyle name="Migliaia 12 2 3 2 5" xfId="14188" xr:uid="{EEFB6274-5270-4FCD-9BD3-4FA696D9C50B}"/>
    <cellStyle name="Migliaia 12 2 3 3" xfId="6095" xr:uid="{ECEA7AEB-2C08-44D4-A23B-7B6DF767D1C2}"/>
    <cellStyle name="Migliaia 12 2 3 3 2" xfId="38449" xr:uid="{06069845-FF88-4D87-8E79-7730CC529273}"/>
    <cellStyle name="Migliaia 12 2 3 3 3" xfId="43751" xr:uid="{F3030B31-71B5-49AD-9110-30AC05121E3B}"/>
    <cellStyle name="Migliaia 12 2 3 3 4" xfId="33088" xr:uid="{10CB57F3-C4BB-4343-973F-98DB47E8C74E}"/>
    <cellStyle name="Migliaia 12 2 3 3 5" xfId="19844" xr:uid="{8CDEFEE4-1D5C-433C-9A69-65EDD6A7A8F4}"/>
    <cellStyle name="Migliaia 12 2 3 4" xfId="35977" xr:uid="{E64F0EFD-5E54-4CDB-84C2-3FDF8F0F178F}"/>
    <cellStyle name="Migliaia 12 2 3 5" xfId="41100" xr:uid="{756DDC53-1299-4C10-A4D3-C57F5981B7D1}"/>
    <cellStyle name="Migliaia 12 2 3 6" xfId="16043" xr:uid="{CD99462F-6DF8-4938-B394-05291E6FD199}"/>
    <cellStyle name="Migliaia 12 2 3 7" xfId="8250" xr:uid="{5FFF8C5D-A8F0-4BB2-89D0-84FA13E027F1}"/>
    <cellStyle name="Migliaia 12 2 4" xfId="4872" xr:uid="{07AFB867-CB38-4385-B48D-BDE6F40D71F0}"/>
    <cellStyle name="Migliaia 12 2 4 2" xfId="13891" xr:uid="{0F5AB71F-8669-49A3-9B5B-1722B929C55C}"/>
    <cellStyle name="Migliaia 12 2 4 2 2" xfId="38450" xr:uid="{356633D7-BD20-4E11-B713-2FB8A5A7A98D}"/>
    <cellStyle name="Migliaia 12 2 4 2 3" xfId="43752" xr:uid="{5B8EE256-58B9-4BB7-95B0-FBF7A65FE3C8}"/>
    <cellStyle name="Migliaia 12 2 4 3" xfId="18727" xr:uid="{65EC6344-0CC4-4B7F-8FC7-EBA73170B5BB}"/>
    <cellStyle name="Migliaia 12 2 4 4" xfId="19845" xr:uid="{2B0F027E-2172-41ED-B66A-BCD11D54BDEF}"/>
    <cellStyle name="Migliaia 12 2 4 4 2" xfId="41101" xr:uid="{4507A536-EC36-4E28-80F7-0E2FA46AD86F}"/>
    <cellStyle name="Migliaia 12 2 4 5" xfId="16044" xr:uid="{6D5AED41-404D-44E9-AD58-FF3923561BAA}"/>
    <cellStyle name="Migliaia 12 2 4 6" xfId="7832" xr:uid="{2B776454-DA6F-465D-8380-ECE4E2A05E07}"/>
    <cellStyle name="Migliaia 12 2 5" xfId="6093" xr:uid="{93457ABC-4951-4796-B168-0EA3FF289D8E}"/>
    <cellStyle name="Migliaia 12 2 5 2" xfId="33090" xr:uid="{F9B5D1F0-32AC-4A5A-B120-060660CD8ABA}"/>
    <cellStyle name="Migliaia 12 2 5 2 2" xfId="38451" xr:uid="{A4038E8F-FFD5-4A6E-973B-5E5EEFD9AA94}"/>
    <cellStyle name="Migliaia 12 2 5 2 3" xfId="43753" xr:uid="{24889139-1FF0-4AD6-9F0A-BE100DF72BA0}"/>
    <cellStyle name="Migliaia 12 2 5 3" xfId="35979" xr:uid="{97C5FD55-EFBF-4BF9-8FF2-DC42DB3AB5DA}"/>
    <cellStyle name="Migliaia 12 2 5 4" xfId="41102" xr:uid="{558DF3D4-E854-4AB1-B13E-070703AC6B7B}"/>
    <cellStyle name="Migliaia 12 2 5 5" xfId="13105" xr:uid="{2326F0D4-2028-495F-9684-999B8CFB98E5}"/>
    <cellStyle name="Migliaia 12 2 6" xfId="3146" xr:uid="{6FC51661-0B9F-4AE6-B0A9-F8AEDF4A46D8}"/>
    <cellStyle name="Migliaia 12 2 6 2" xfId="33091" xr:uid="{340ECF12-954E-4D25-9DCF-3C569E7F9110}"/>
    <cellStyle name="Migliaia 12 2 6 2 2" xfId="38452" xr:uid="{1A6C1B3B-994D-4404-A903-58A66EA37E66}"/>
    <cellStyle name="Migliaia 12 2 6 2 3" xfId="43754" xr:uid="{5B111669-E56B-4CA6-85F6-4695AB3F2574}"/>
    <cellStyle name="Migliaia 12 2 6 3" xfId="35980" xr:uid="{2E4E0830-7E21-4D6C-A050-56ACDE3FC7D1}"/>
    <cellStyle name="Migliaia 12 2 6 4" xfId="41103" xr:uid="{77B7AC4A-69F5-491B-9A86-1A2568E5F065}"/>
    <cellStyle name="Migliaia 12 2 6 5" xfId="24250" xr:uid="{2B14F3D9-6485-4EFC-BBE0-87806886D4FD}"/>
    <cellStyle name="Migliaia 12 2 6 6" xfId="19841" xr:uid="{2BBE3CD7-1A25-4081-9D8E-E663459D3AF2}"/>
    <cellStyle name="Migliaia 12 2 7" xfId="24244" xr:uid="{01BDC120-21FB-4F32-9549-CC070B8803A1}"/>
    <cellStyle name="Migliaia 12 2 8" xfId="7051" xr:uid="{550F0390-D3F4-483B-B11B-5F5A930974D6}"/>
    <cellStyle name="Migliaia 12 3" xfId="311" xr:uid="{00000000-0005-0000-0000-0000D6020000}"/>
    <cellStyle name="Migliaia 12 3 10" xfId="24251" xr:uid="{AAF843E3-8F8E-416B-A340-D83BA25652A9}"/>
    <cellStyle name="Migliaia 12 3 11" xfId="16045" xr:uid="{0F1C52BB-77F3-415C-9381-6CDCC59C294C}"/>
    <cellStyle name="Migliaia 12 3 12" xfId="7052" xr:uid="{42F943C2-0271-4D55-8F24-80EAF14195E5}"/>
    <cellStyle name="Migliaia 12 3 2" xfId="312" xr:uid="{00000000-0005-0000-0000-0000D7020000}"/>
    <cellStyle name="Migliaia 12 3 2 2" xfId="1669" xr:uid="{00000000-0005-0000-0000-0000D8020000}"/>
    <cellStyle name="Migliaia 12 3 2 2 2" xfId="4877" xr:uid="{64915956-DBCE-4E20-A832-C7AA2A9EE279}"/>
    <cellStyle name="Migliaia 12 3 2 2 2 2" xfId="18367" xr:uid="{CAF10101-C2E0-4B76-AE48-5839C35FC3C1}"/>
    <cellStyle name="Migliaia 12 3 2 2 2 2 2" xfId="21840" xr:uid="{6FADA2DA-43D8-4980-A223-CE8ED06EABB1}"/>
    <cellStyle name="Migliaia 12 3 2 2 2 2 2 2" xfId="38453" xr:uid="{2CA34184-2C1C-45F4-A533-035B7083E32A}"/>
    <cellStyle name="Migliaia 12 3 2 2 2 2 3" xfId="43755" xr:uid="{EB851ACE-EAF0-44BE-BC39-AA10AA78901E}"/>
    <cellStyle name="Migliaia 12 3 2 2 2 2 4" xfId="33092" xr:uid="{79E94513-2001-4061-B6A3-B1380E51111E}"/>
    <cellStyle name="Migliaia 12 3 2 2 2 3" xfId="35981" xr:uid="{1723DE7E-42C6-4EEF-A53E-5D632CA172C1}"/>
    <cellStyle name="Migliaia 12 3 2 2 2 4" xfId="41104" xr:uid="{2DFB82AD-F3C4-4C0B-9516-B9B4863106F3}"/>
    <cellStyle name="Migliaia 12 3 2 2 2 5" xfId="47911" xr:uid="{A6F58015-025A-4782-B49A-CA53782B61AB}"/>
    <cellStyle name="Migliaia 12 3 2 2 2 6" xfId="50868" xr:uid="{506A5F96-A7F1-43EF-93EB-5586D4F1805A}"/>
    <cellStyle name="Migliaia 12 3 2 2 2 7" xfId="53884" xr:uid="{4D551C9A-A29F-4920-A39E-C82A65D0C45D}"/>
    <cellStyle name="Migliaia 12 3 2 2 2 8" xfId="17641" xr:uid="{281F5BE3-6DF4-4F59-9EDE-4A53D3182D87}"/>
    <cellStyle name="Migliaia 12 3 2 2 2 9" xfId="11895" xr:uid="{355D974B-DBD1-446B-90D3-079DFBA17D14}"/>
    <cellStyle name="Migliaia 12 3 2 2 3" xfId="6098" xr:uid="{227E8D48-F0F9-4B9D-8968-FE490EA19686}"/>
    <cellStyle name="Migliaia 12 3 2 2 3 2" xfId="11682" xr:uid="{EF36E6E7-931F-4040-AD21-68B5C96F3743}"/>
    <cellStyle name="Migliaia 12 3 2 2 4" xfId="3151" xr:uid="{9220755F-364E-44E4-BC8F-AE1BA6350B1F}"/>
    <cellStyle name="Migliaia 12 3 2 2 4 2" xfId="21381" xr:uid="{4BC9C546-A896-4A90-9389-B9F1A5560D35}"/>
    <cellStyle name="Migliaia 12 3 2 2 4 3" xfId="48528" xr:uid="{11735ABE-3C54-4CCF-84A6-D2ABA60ECF15}"/>
    <cellStyle name="Migliaia 12 3 2 2 4 4" xfId="50396" xr:uid="{27A64EDA-DE05-46BF-9200-0B7E59B7644E}"/>
    <cellStyle name="Migliaia 12 3 2 2 4 5" xfId="53412" xr:uid="{D198BF60-2C02-494A-A243-46534D2F13A7}"/>
    <cellStyle name="Migliaia 12 3 2 2 4 6" xfId="10746" xr:uid="{BFF3BF29-74D2-42FA-91B0-041D2736B0EE}"/>
    <cellStyle name="Migliaia 12 3 2 2 5" xfId="19848" xr:uid="{5483F4DA-4FCB-4D69-9CF6-1493DB9F39B0}"/>
    <cellStyle name="Migliaia 12 3 2 2 6" xfId="24253" xr:uid="{813F887A-0795-4249-9EA4-19D16D03CA38}"/>
    <cellStyle name="Migliaia 12 3 2 2 7" xfId="8500" xr:uid="{D8EF3C64-D33E-4D57-B320-5B6E2B15E787}"/>
    <cellStyle name="Migliaia 12 3 2 3" xfId="4876" xr:uid="{4752DE17-AE2E-4065-BB62-0D4309E8C7B0}"/>
    <cellStyle name="Migliaia 12 3 2 3 2" xfId="11654" xr:uid="{B6B81104-E13D-4806-9F69-5B999972540F}"/>
    <cellStyle name="Migliaia 12 3 2 3 2 2" xfId="38454" xr:uid="{0A0D6ED7-BFAA-4677-80C3-50E9109D9090}"/>
    <cellStyle name="Migliaia 12 3 2 3 2 3" xfId="43756" xr:uid="{A3950FB0-9E27-46BA-ADD3-D5ACF83A5FBF}"/>
    <cellStyle name="Migliaia 12 3 2 3 2 4" xfId="33093" xr:uid="{39E7B1D3-1C2C-43AF-BC56-1550119BE9FC}"/>
    <cellStyle name="Migliaia 12 3 2 3 3" xfId="11896" xr:uid="{87833FEC-22AC-471B-A7F2-DB0BDE9FFB36}"/>
    <cellStyle name="Migliaia 12 3 2 3 4" xfId="19849" xr:uid="{B5BDD554-B5AD-4766-A9D6-82B0755675CE}"/>
    <cellStyle name="Migliaia 12 3 2 3 4 2" xfId="41105" xr:uid="{DE1069CC-1F1A-4290-A75E-EE1300A62A0D}"/>
    <cellStyle name="Migliaia 12 3 2 3 5" xfId="16046" xr:uid="{6C75238F-291F-472B-A040-03C52223C452}"/>
    <cellStyle name="Migliaia 12 3 2 3 6" xfId="7834" xr:uid="{F05CB76A-842A-4420-A846-BC7B1481D4EE}"/>
    <cellStyle name="Migliaia 12 3 2 4" xfId="6097" xr:uid="{9783CE4D-C188-4C6E-ACAF-D23E24B50F9D}"/>
    <cellStyle name="Migliaia 12 3 2 4 2" xfId="18060" xr:uid="{8932F2D5-4B25-4947-AF6C-490B9E309F2F}"/>
    <cellStyle name="Migliaia 12 3 2 4 2 2" xfId="38455" xr:uid="{039AD27D-C5E2-4A76-87F4-896A9717923A}"/>
    <cellStyle name="Migliaia 12 3 2 4 2 3" xfId="43757" xr:uid="{AD9AA7D2-8AA3-470A-95CD-82E9EC9D4936}"/>
    <cellStyle name="Migliaia 12 3 2 4 3" xfId="35983" xr:uid="{7968ECF6-9763-48BF-BF69-6AE1BFBE6544}"/>
    <cellStyle name="Migliaia 12 3 2 4 4" xfId="41106" xr:uid="{DEC740ED-5970-4053-AA44-7D2ABBD23EEA}"/>
    <cellStyle name="Migliaia 12 3 2 4 5" xfId="17142" xr:uid="{ACDA19C6-71E4-4138-94B2-FF3A218021A4}"/>
    <cellStyle name="Migliaia 12 3 2 4 6" xfId="11248" xr:uid="{9B7F8D6D-64C0-461C-86B0-BB28DADBFEF6}"/>
    <cellStyle name="Migliaia 12 3 2 5" xfId="3150" xr:uid="{509466E2-8570-45F8-925D-A5017F3EA9EB}"/>
    <cellStyle name="Migliaia 12 3 2 5 2" xfId="33095" xr:uid="{168A5DBD-66DF-4F66-8B89-B3F17FD16688}"/>
    <cellStyle name="Migliaia 12 3 2 5 2 2" xfId="38456" xr:uid="{ED7692B6-76D7-42D3-A2B6-14FD3DC29784}"/>
    <cellStyle name="Migliaia 12 3 2 5 2 3" xfId="43758" xr:uid="{B7948B87-947A-48D5-92D9-02AE8696D5A4}"/>
    <cellStyle name="Migliaia 12 3 2 5 3" xfId="35984" xr:uid="{392CDBCA-4D6E-420E-BD46-EAE630B110CA}"/>
    <cellStyle name="Migliaia 12 3 2 5 4" xfId="41107" xr:uid="{D03ECC54-FE09-4875-B7D8-00DBB64915D3}"/>
    <cellStyle name="Migliaia 12 3 2 5 5" xfId="17417" xr:uid="{91412D42-F273-4C30-BCEE-DC2FDB1A2362}"/>
    <cellStyle name="Migliaia 12 3 2 6" xfId="19847" xr:uid="{D1681F4D-097B-4430-8214-F8718A99C25C}"/>
    <cellStyle name="Migliaia 12 3 2 6 2" xfId="33096" xr:uid="{2E101E68-C5AE-4EE8-9198-BE3E1B605A0A}"/>
    <cellStyle name="Migliaia 12 3 2 6 2 2" xfId="38457" xr:uid="{8A496BC8-E8DC-4180-A371-0AE38766EE30}"/>
    <cellStyle name="Migliaia 12 3 2 6 2 3" xfId="43759" xr:uid="{324A326E-70DA-4BD7-B94A-1CB01A88FBDD}"/>
    <cellStyle name="Migliaia 12 3 2 6 3" xfId="35985" xr:uid="{46A612CA-B23F-47BB-A9A7-4077E989DE91}"/>
    <cellStyle name="Migliaia 12 3 2 6 4" xfId="41108" xr:uid="{2181CE59-97EE-49C9-9B5E-6D040852C9DC}"/>
    <cellStyle name="Migliaia 12 3 2 6 5" xfId="24257" xr:uid="{F48EB044-0E2E-46C8-B896-EB525AB93B4C}"/>
    <cellStyle name="Migliaia 12 3 2 7" xfId="24252" xr:uid="{70ED79D0-8522-4257-AA74-374D1FC88B1A}"/>
    <cellStyle name="Migliaia 12 3 2 8" xfId="7310" xr:uid="{A1980EB5-2894-4A5E-96DF-BFAA9E9B61B3}"/>
    <cellStyle name="Migliaia 12 3 3" xfId="3152" xr:uid="{054AABEF-7611-4991-9857-BC68111C252F}"/>
    <cellStyle name="Migliaia 12 3 3 10" xfId="7309" xr:uid="{B52CD6CD-8659-4A6F-BC98-9579C93D5105}"/>
    <cellStyle name="Migliaia 12 3 3 2" xfId="4878" xr:uid="{3B652F87-4782-4790-9068-73ED6193A85E}"/>
    <cellStyle name="Migliaia 12 3 3 2 2" xfId="9888" xr:uid="{C5FC8A24-D211-45CF-A067-E6D90E5F9C70}"/>
    <cellStyle name="Migliaia 12 3 3 2 2 2" xfId="38459" xr:uid="{159DB88E-3E4F-49A1-903C-BF704C17BA96}"/>
    <cellStyle name="Migliaia 12 3 3 2 2 3" xfId="43761" xr:uid="{C529AE89-4A76-42CB-8686-0924D3C214AC}"/>
    <cellStyle name="Migliaia 12 3 3 2 3" xfId="18168" xr:uid="{6BAE5166-787D-44C8-9AB1-E2AC78CA45CC}"/>
    <cellStyle name="Migliaia 12 3 3 2 4" xfId="19851" xr:uid="{0484AC00-89A7-45D4-9696-DA78C32D94F5}"/>
    <cellStyle name="Migliaia 12 3 3 2 4 2" xfId="41110" xr:uid="{EEEFCEC9-6E52-4DDD-92FF-D502DA951ADE}"/>
    <cellStyle name="Migliaia 12 3 3 2 5" xfId="16048" xr:uid="{A821B3F6-8593-41FF-8AB9-715856A73F7B}"/>
    <cellStyle name="Migliaia 12 3 3 2 6" xfId="8499" xr:uid="{2F9C9565-7ACA-43FF-9B09-2997BAF9075B}"/>
    <cellStyle name="Migliaia 12 3 3 3" xfId="6099" xr:uid="{FEAB8AB0-B68A-4BC1-9B9F-5AB2461CCE08}"/>
    <cellStyle name="Migliaia 12 3 3 3 2" xfId="33098" xr:uid="{FB46E013-93D7-4632-80B5-81B7B0BD2423}"/>
    <cellStyle name="Migliaia 12 3 3 3 2 2" xfId="38460" xr:uid="{132EECF2-4BCF-406C-AE8C-D4DFD4E9581B}"/>
    <cellStyle name="Migliaia 12 3 3 3 2 3" xfId="43762" xr:uid="{52BF490C-1BF6-40D7-9E32-14D0114226AD}"/>
    <cellStyle name="Migliaia 12 3 3 3 3" xfId="35988" xr:uid="{0CDAA2CA-54AF-493D-9D4F-E96AD2B95FEA}"/>
    <cellStyle name="Migliaia 12 3 3 3 4" xfId="41111" xr:uid="{847B1144-8DC0-4CF0-824A-3D9F150F5461}"/>
    <cellStyle name="Migliaia 12 3 3 3 5" xfId="9651" xr:uid="{92A1CD86-A373-4361-BAC8-18A0AE1B589D}"/>
    <cellStyle name="Migliaia 12 3 3 4" xfId="19850" xr:uid="{628ADE3C-D347-400A-817D-7040F911B996}"/>
    <cellStyle name="Migliaia 12 3 3 4 2" xfId="33099" xr:uid="{EEE8F4C8-D660-460F-9267-E5A56F559263}"/>
    <cellStyle name="Migliaia 12 3 3 4 2 2" xfId="38461" xr:uid="{2F76566C-1F4C-497F-B875-97ACB52AAF98}"/>
    <cellStyle name="Migliaia 12 3 3 4 2 3" xfId="43763" xr:uid="{D32B6ED0-51BA-449C-8ECA-A0735B427E53}"/>
    <cellStyle name="Migliaia 12 3 3 4 3" xfId="35989" xr:uid="{905F5EE4-7D72-4515-A0CE-3572BA2FCBE6}"/>
    <cellStyle name="Migliaia 12 3 3 4 4" xfId="41112" xr:uid="{AD98609D-EE5E-4514-8902-786195A1D8FC}"/>
    <cellStyle name="Migliaia 12 3 3 4 5" xfId="24261" xr:uid="{AD0A866D-388C-4D11-8B93-43FF2CC74228}"/>
    <cellStyle name="Migliaia 12 3 3 5" xfId="24262" xr:uid="{9405E816-7D31-46F8-86CF-10749A39859C}"/>
    <cellStyle name="Migliaia 12 3 3 5 2" xfId="33100" xr:uid="{ACA042AD-B094-4818-8B67-728840B0F15B}"/>
    <cellStyle name="Migliaia 12 3 3 5 2 2" xfId="38462" xr:uid="{E546D26B-EEEB-44F3-9C4A-5A2A8C84AE94}"/>
    <cellStyle name="Migliaia 12 3 3 5 2 3" xfId="43764" xr:uid="{EF63C6F4-1E45-462F-9C47-2857633BBEF0}"/>
    <cellStyle name="Migliaia 12 3 3 5 3" xfId="35990" xr:uid="{38C3040C-32FD-4A62-B1FD-89820E2D3A63}"/>
    <cellStyle name="Migliaia 12 3 3 5 4" xfId="41113" xr:uid="{A2167B8D-7B9E-4302-8C73-FEF5D01D71A9}"/>
    <cellStyle name="Migliaia 12 3 3 6" xfId="33097" xr:uid="{E19F74C1-B207-4BC4-B8CD-AB2118E50EFF}"/>
    <cellStyle name="Migliaia 12 3 3 6 2" xfId="38458" xr:uid="{21805F46-75CA-41B8-BA91-618F3FBD8F0E}"/>
    <cellStyle name="Migliaia 12 3 3 6 3" xfId="43760" xr:uid="{ADC5E415-7E5E-4276-8553-3BC475D2FEE3}"/>
    <cellStyle name="Migliaia 12 3 3 7" xfId="35986" xr:uid="{D5295890-961F-4BAA-A895-00E72E47F3BC}"/>
    <cellStyle name="Migliaia 12 3 3 8" xfId="41109" xr:uid="{3AF944F9-5F4E-447C-9300-61873196C06B}"/>
    <cellStyle name="Migliaia 12 3 3 9" xfId="16047" xr:uid="{737589E5-6834-4128-91AA-1F1FE6859184}"/>
    <cellStyle name="Migliaia 12 3 4" xfId="3153" xr:uid="{8178739E-405A-435A-A7C7-1BB8B63F3A4A}"/>
    <cellStyle name="Migliaia 12 3 4 2" xfId="4879" xr:uid="{AFDD348B-746B-4BD8-89A7-AFB7611D5890}"/>
    <cellStyle name="Migliaia 12 3 4 2 2" xfId="14426" xr:uid="{8AEDBDAA-50D9-4381-AB33-23E4BC0928C9}"/>
    <cellStyle name="Migliaia 12 3 4 2 3" xfId="18123" xr:uid="{B99A7B18-CA51-4589-A482-514E63287654}"/>
    <cellStyle name="Migliaia 12 3 4 2 4" xfId="19853" xr:uid="{2B935762-984F-4012-88C6-3A94B6081A02}"/>
    <cellStyle name="Migliaia 12 3 4 2 5" xfId="32300" xr:uid="{5B8A38F5-1400-4CE0-9C5B-F8DF71F3497A}"/>
    <cellStyle name="Migliaia 12 3 4 2 6" xfId="16050" xr:uid="{79740858-8735-4BA7-9BB1-666B54081424}"/>
    <cellStyle name="Migliaia 12 3 4 2 7" xfId="8849" xr:uid="{7641843A-DE05-4B25-8872-1FE0621877F1}"/>
    <cellStyle name="Migliaia 12 3 4 3" xfId="6100" xr:uid="{5AF1D86E-62BC-4A97-A496-263DD57BE6D8}"/>
    <cellStyle name="Migliaia 12 3 4 3 2" xfId="35144" xr:uid="{85C3E2A0-3E4B-49AD-8C57-499EC4FC3B0F}"/>
    <cellStyle name="Migliaia 12 3 4 3 2 2" xfId="40302" xr:uid="{B83CCE3D-ECAE-44A5-BA93-57812BD95610}"/>
    <cellStyle name="Migliaia 12 3 4 3 2 3" xfId="45604" xr:uid="{1F16817A-844B-46AA-89EC-4E368470113B}"/>
    <cellStyle name="Migliaia 12 3 4 3 3" xfId="37651" xr:uid="{F934ED5B-BBCD-4203-B86F-8E057FFE7FAA}"/>
    <cellStyle name="Migliaia 12 3 4 3 4" xfId="42953" xr:uid="{E2016880-55A0-410A-8BC7-079837FC3065}"/>
    <cellStyle name="Migliaia 12 3 4 3 5" xfId="13674" xr:uid="{4038EBBF-CA20-4C4B-926D-BA59DE298C9B}"/>
    <cellStyle name="Migliaia 12 3 4 4" xfId="19852" xr:uid="{53965E50-C3BD-4784-8F6D-550B02EE3A48}"/>
    <cellStyle name="Migliaia 12 3 4 4 2" xfId="38463" xr:uid="{C2BDA08A-DD98-4CF6-AF66-9E53EA43A85F}"/>
    <cellStyle name="Migliaia 12 3 4 4 3" xfId="43765" xr:uid="{BB65B032-51EE-469F-91C8-B0847F814F1A}"/>
    <cellStyle name="Migliaia 12 3 4 4 4" xfId="33101" xr:uid="{C9A7C269-5F98-44A1-BE39-2B888A9B6360}"/>
    <cellStyle name="Migliaia 12 3 4 5" xfId="35991" xr:uid="{B8415B6B-F224-4473-9B28-254C8FEE0784}"/>
    <cellStyle name="Migliaia 12 3 4 6" xfId="41114" xr:uid="{EE6CD038-58AD-424A-B091-EAA8339650F0}"/>
    <cellStyle name="Migliaia 12 3 4 7" xfId="16049" xr:uid="{66D31040-5982-41D9-A097-DCF246BD5DB3}"/>
    <cellStyle name="Migliaia 12 3 4 8" xfId="7659" xr:uid="{5DDBA917-C3FA-4CB9-90E9-DE5D70A9E948}"/>
    <cellStyle name="Migliaia 12 3 5" xfId="3154" xr:uid="{492F36A3-B5D0-4AEB-842D-2464647AD64C}"/>
    <cellStyle name="Migliaia 12 3 5 2" xfId="4880" xr:uid="{66DA381E-E6CF-4D4C-AA56-BA4987492713}"/>
    <cellStyle name="Migliaia 12 3 5 2 2" xfId="35145" xr:uid="{AC86EA49-695B-4C67-B81C-788BC8377685}"/>
    <cellStyle name="Migliaia 12 3 5 2 2 2" xfId="40303" xr:uid="{84CD675B-1381-4FC3-A4F8-FA04A79370AC}"/>
    <cellStyle name="Migliaia 12 3 5 2 2 3" xfId="45605" xr:uid="{B2DFB04E-C2D3-4565-AB45-A1B937C2C02B}"/>
    <cellStyle name="Migliaia 12 3 5 2 3" xfId="37652" xr:uid="{B5FFD926-7FFE-4DEA-B8DE-222625F7C548}"/>
    <cellStyle name="Migliaia 12 3 5 2 4" xfId="42954" xr:uid="{474CF11E-1C9B-4587-9462-3C158CC7FC2C}"/>
    <cellStyle name="Migliaia 12 3 5 2 5" xfId="14189" xr:uid="{67F64A2C-E52E-46E1-9FA3-3E1C6BE1451A}"/>
    <cellStyle name="Migliaia 12 3 5 3" xfId="6101" xr:uid="{970692A7-995C-477A-AB08-2FAB0920E134}"/>
    <cellStyle name="Migliaia 12 3 5 3 2" xfId="38464" xr:uid="{71759DC9-2952-4F59-B1A1-CDE341373FED}"/>
    <cellStyle name="Migliaia 12 3 5 3 3" xfId="43766" xr:uid="{80B729B2-89B4-4372-8A14-7694C5CEA6D0}"/>
    <cellStyle name="Migliaia 12 3 5 3 4" xfId="33102" xr:uid="{A30BAE08-F452-4876-8087-E4F664BFD433}"/>
    <cellStyle name="Migliaia 12 3 5 3 5" xfId="19854" xr:uid="{3A49DE88-9602-4A2A-9E73-EB05C89D0877}"/>
    <cellStyle name="Migliaia 12 3 5 4" xfId="35992" xr:uid="{84235D84-FCCD-4810-9FE0-B258F64FB0C2}"/>
    <cellStyle name="Migliaia 12 3 5 5" xfId="41115" xr:uid="{8BC3D49F-080A-460A-A879-A94EFC733C9E}"/>
    <cellStyle name="Migliaia 12 3 5 6" xfId="16051" xr:uid="{B721255E-8831-4130-ADFD-40CC0F499D97}"/>
    <cellStyle name="Migliaia 12 3 5 7" xfId="8251" xr:uid="{D94F7CBE-F17D-4EC1-8AF8-D3DBED0FB401}"/>
    <cellStyle name="Migliaia 12 3 6" xfId="4875" xr:uid="{C448DC17-F901-42C0-B428-A6B0E69CD659}"/>
    <cellStyle name="Migliaia 12 3 6 2" xfId="13892" xr:uid="{51F0ABF4-2696-4E7C-8FDA-7D07DEC9BF79}"/>
    <cellStyle name="Migliaia 12 3 6 2 2" xfId="38465" xr:uid="{652B75A3-5FD6-4FCD-A9F9-13D3667139C2}"/>
    <cellStyle name="Migliaia 12 3 6 2 3" xfId="43767" xr:uid="{75B492BF-B72A-40F8-B833-20A3A301F1B5}"/>
    <cellStyle name="Migliaia 12 3 6 3" xfId="18726" xr:uid="{4C130FC1-DF28-42CB-AF2E-A1059B5D61F9}"/>
    <cellStyle name="Migliaia 12 3 6 4" xfId="19855" xr:uid="{9EEF38E7-611A-4766-8E86-59A61F30B69E}"/>
    <cellStyle name="Migliaia 12 3 6 4 2" xfId="41116" xr:uid="{E9AFBBC5-1F79-46A2-BD76-D1CCCBAD2EBF}"/>
    <cellStyle name="Migliaia 12 3 6 5" xfId="16052" xr:uid="{0B86DB14-C7C1-460D-BC29-494DF084CEB1}"/>
    <cellStyle name="Migliaia 12 3 6 6" xfId="7833" xr:uid="{95101843-DFCF-4E9B-9FC7-87F768A12011}"/>
    <cellStyle name="Migliaia 12 3 7" xfId="6096" xr:uid="{591653F3-782E-43B7-B29C-5FB6E4E94E44}"/>
    <cellStyle name="Migliaia 12 3 7 2" xfId="33103" xr:uid="{8DA47C13-9DE7-46C1-9FAD-4AEE827C0285}"/>
    <cellStyle name="Migliaia 12 3 7 2 2" xfId="38466" xr:uid="{479A9DC7-4FE3-489A-9B57-AD7039244C41}"/>
    <cellStyle name="Migliaia 12 3 7 2 3" xfId="43768" xr:uid="{B663BEA7-9E3C-44F9-A0E1-DD52D91EC2AB}"/>
    <cellStyle name="Migliaia 12 3 7 3" xfId="35994" xr:uid="{FB308374-5EAE-4744-9E4B-7E56930F4F60}"/>
    <cellStyle name="Migliaia 12 3 7 4" xfId="41117" xr:uid="{89F96890-EACC-42BC-B095-9E0DB7A5DBA5}"/>
    <cellStyle name="Migliaia 12 3 7 5" xfId="11536" xr:uid="{5E436DE7-1627-40A5-B379-72A31D0A766B}"/>
    <cellStyle name="Migliaia 12 3 8" xfId="3149" xr:uid="{D033ECDC-07B2-4114-8759-D3578544B6F0}"/>
    <cellStyle name="Migliaia 12 3 8 2" xfId="33104" xr:uid="{1D7658F6-DF5A-4AAD-84D8-999D02B67E32}"/>
    <cellStyle name="Migliaia 12 3 8 2 2" xfId="38467" xr:uid="{533B5539-F15B-473D-B98E-8CA77FFEC85E}"/>
    <cellStyle name="Migliaia 12 3 8 2 3" xfId="43769" xr:uid="{5E58C54B-8844-4DFB-983C-AB230A7D4976}"/>
    <cellStyle name="Migliaia 12 3 8 3" xfId="35995" xr:uid="{8D2C9D1B-FA73-45A0-9EEF-8A02D6CD49B8}"/>
    <cellStyle name="Migliaia 12 3 8 4" xfId="41118" xr:uid="{E1798DB6-EDBB-4008-8432-A6F41E8DB994}"/>
    <cellStyle name="Migliaia 12 3 8 5" xfId="24266" xr:uid="{41099032-7CCD-4296-BF4A-3E327594E623}"/>
    <cellStyle name="Migliaia 12 3 8 6" xfId="17418" xr:uid="{5340246C-4BCA-4637-890A-F0AA232CA0EB}"/>
    <cellStyle name="Migliaia 12 3 9" xfId="19846" xr:uid="{63A36259-6855-42BC-AB2C-03BB619C177C}"/>
    <cellStyle name="Migliaia 12 4" xfId="1670" xr:uid="{00000000-0005-0000-0000-0000D9020000}"/>
    <cellStyle name="Migliaia 12 4 2" xfId="1671" xr:uid="{00000000-0005-0000-0000-0000DA020000}"/>
    <cellStyle name="Migliaia 12 4 2 2" xfId="4882" xr:uid="{64ADEC96-35AE-427F-AC03-E63B5C4A0257}"/>
    <cellStyle name="Migliaia 12 4 2 2 2" xfId="33105" xr:uid="{E3185428-5948-417D-A144-E51BC3D6C28D}"/>
    <cellStyle name="Migliaia 12 4 2 2 2 2" xfId="38468" xr:uid="{C4B6B87C-7B6E-4505-847B-62898F914631}"/>
    <cellStyle name="Migliaia 12 4 2 2 2 3" xfId="43770" xr:uid="{C7D6EB93-A869-4984-B271-DFECA0C98ACC}"/>
    <cellStyle name="Migliaia 12 4 2 2 3" xfId="35996" xr:uid="{2304D37D-1763-45ED-93E0-70C05A642AE6}"/>
    <cellStyle name="Migliaia 12 4 2 2 4" xfId="41119" xr:uid="{F2ADE3E7-185B-496A-ACF8-A82036C23878}"/>
    <cellStyle name="Migliaia 12 4 2 2 5" xfId="9114" xr:uid="{6965DF6D-9E0B-4304-8BF1-45E726CE1929}"/>
    <cellStyle name="Migliaia 12 4 2 3" xfId="3156" xr:uid="{2DFE1BE3-1A35-4771-90E3-BFD323A3B8AE}"/>
    <cellStyle name="Migliaia 12 4 2 3 2" xfId="33106" xr:uid="{F8084055-C1B7-4137-A34E-B13A30959B2A}"/>
    <cellStyle name="Migliaia 12 4 2 3 2 2" xfId="38469" xr:uid="{9FEEBBE1-B8D0-4E90-AC26-EF92E5235787}"/>
    <cellStyle name="Migliaia 12 4 2 3 2 3" xfId="43771" xr:uid="{2A7AB3B9-1FF0-49CC-8848-DD0FA0D7A4F8}"/>
    <cellStyle name="Migliaia 12 4 2 3 3" xfId="35997" xr:uid="{70915F0D-040C-4913-B388-34CC31A50735}"/>
    <cellStyle name="Migliaia 12 4 2 3 4" xfId="41120" xr:uid="{2409F0C3-D826-4BFA-AD44-22FD604088DC}"/>
    <cellStyle name="Migliaia 12 4 2 3 5" xfId="11897" xr:uid="{3F2C8E16-53D4-4CE3-AEAF-67BAA38E7FE2}"/>
    <cellStyle name="Migliaia 12 4 2 4" xfId="11250" xr:uid="{1FC66FA4-1B68-4B08-91A0-750213AB1518}"/>
    <cellStyle name="Migliaia 12 4 2 5" xfId="10748" xr:uid="{ABC22400-A317-4B6D-9215-FFA6F8F6482A}"/>
    <cellStyle name="Migliaia 12 4 2 5 2" xfId="21383" xr:uid="{43E29348-A924-46E4-80CF-8D5AEDE9D58D}"/>
    <cellStyle name="Migliaia 12 4 2 5 3" xfId="46204" xr:uid="{174E0A5A-9E00-4557-9ACA-6F62F49ADFC0}"/>
    <cellStyle name="Migliaia 12 4 2 5 4" xfId="50398" xr:uid="{76763F90-5EEC-4567-AFC2-81EE7B675D78}"/>
    <cellStyle name="Migliaia 12 4 2 5 5" xfId="53414" xr:uid="{D3B0504E-A96D-490D-85D7-FF519FCB153B}"/>
    <cellStyle name="Migliaia 12 4 2 6" xfId="19857" xr:uid="{92FE4C58-72D3-4143-92A1-9E335FB7B6A8}"/>
    <cellStyle name="Migliaia 12 4 2 7" xfId="24268" xr:uid="{ABFE2CC6-EA4C-4A9E-B105-75C42C97B700}"/>
    <cellStyle name="Migliaia 12 4 2 8" xfId="8501" xr:uid="{8AC895DB-EF11-4D75-9C62-2E84EC759CA8}"/>
    <cellStyle name="Migliaia 12 4 3" xfId="4881" xr:uid="{94686066-066E-4C73-8762-AFA38DA81BA6}"/>
    <cellStyle name="Migliaia 12 4 3 2" xfId="18169" xr:uid="{563499E1-D9CB-491B-AC5C-4073A9B005D1}"/>
    <cellStyle name="Migliaia 12 4 3 2 2" xfId="38470" xr:uid="{72956707-2D8B-44C3-9A6E-B8C2BF7AE82C}"/>
    <cellStyle name="Migliaia 12 4 3 2 3" xfId="43772" xr:uid="{49F9CD8E-4D9A-4E4D-B103-1A6E45DDD7F7}"/>
    <cellStyle name="Migliaia 12 4 3 3" xfId="35998" xr:uid="{87A19D24-F3BB-4DDD-9406-185FE481C561}"/>
    <cellStyle name="Migliaia 12 4 3 4" xfId="41121" xr:uid="{E236DE1A-C6AD-4B7A-B9E8-81439C4E6802}"/>
    <cellStyle name="Migliaia 12 4 3 5" xfId="17416" xr:uid="{1FF24943-555E-41C3-BE61-9BA235EFA38D}"/>
    <cellStyle name="Migliaia 12 4 3 6" xfId="9115" xr:uid="{4F452EDD-A485-4099-ABB5-53CDF76CDDB6}"/>
    <cellStyle name="Migliaia 12 4 4" xfId="6102" xr:uid="{F5F5D41C-7F64-43A1-A652-3A5B4A45F42A}"/>
    <cellStyle name="Migliaia 12 4 4 2" xfId="33108" xr:uid="{27283054-22A0-431B-8E3B-6E4CAB1F4410}"/>
    <cellStyle name="Migliaia 12 4 4 2 2" xfId="38471" xr:uid="{1B60651E-8759-43F2-A647-EA1EEE8B74DE}"/>
    <cellStyle name="Migliaia 12 4 4 2 3" xfId="43773" xr:uid="{4F23A831-D3FE-4BBD-BB85-0F3A71C95485}"/>
    <cellStyle name="Migliaia 12 4 4 3" xfId="35999" xr:uid="{4826B3B2-DCB5-4C8D-AFC0-EA5F6AD8F662}"/>
    <cellStyle name="Migliaia 12 4 4 4" xfId="41122" xr:uid="{7D2FB3EE-6274-40E8-8790-C510C3858A69}"/>
    <cellStyle name="Migliaia 12 4 4 5" xfId="11898" xr:uid="{1F26541D-0E4F-47CB-A3F6-1FAC3C6ABFB4}"/>
    <cellStyle name="Migliaia 12 4 5" xfId="3155" xr:uid="{F4C2503B-6570-41EF-B2E5-5822E770F9E7}"/>
    <cellStyle name="Migliaia 12 4 5 2" xfId="33109" xr:uid="{073AC3D0-9D14-4D30-9DE5-19C81A6710A7}"/>
    <cellStyle name="Migliaia 12 4 5 2 2" xfId="38472" xr:uid="{81967BB2-AE48-4DAF-9065-23589834B289}"/>
    <cellStyle name="Migliaia 12 4 5 2 3" xfId="43774" xr:uid="{D717F0EB-363F-46CC-A35D-5B1CB1B019D7}"/>
    <cellStyle name="Migliaia 12 4 5 3" xfId="36000" xr:uid="{5B94E344-7F45-48C3-8D7E-458D687DFDA5}"/>
    <cellStyle name="Migliaia 12 4 5 4" xfId="41123" xr:uid="{1623BBA7-6B86-4E4F-B9DF-E6BF7527CDD9}"/>
    <cellStyle name="Migliaia 12 4 5 5" xfId="11249" xr:uid="{DB961A35-D30A-4706-96AD-C5729942A9FC}"/>
    <cellStyle name="Migliaia 12 4 6" xfId="10747" xr:uid="{0E44F4B0-C0DC-4980-A6C7-91C7EEFC001A}"/>
    <cellStyle name="Migliaia 12 4 6 2" xfId="21382" xr:uid="{A5161040-DC56-42C2-929F-439243C2FA9F}"/>
    <cellStyle name="Migliaia 12 4 6 2 2" xfId="38473" xr:uid="{47250455-BFA8-4C49-A995-7AB4B577165E}"/>
    <cellStyle name="Migliaia 12 4 6 2 3" xfId="43775" xr:uid="{67509E28-6E64-43EB-BB47-946D43CD218B}"/>
    <cellStyle name="Migliaia 12 4 6 2 4" xfId="33110" xr:uid="{8C395921-333B-42A6-B6F7-D1C5F3CB490F}"/>
    <cellStyle name="Migliaia 12 4 6 3" xfId="36001" xr:uid="{CBAAA4DC-CAD3-48FE-BA84-BAECBD6C1B06}"/>
    <cellStyle name="Migliaia 12 4 6 4" xfId="41124" xr:uid="{33E8A58D-FB40-40A9-88AD-978A37B7C474}"/>
    <cellStyle name="Migliaia 12 4 6 5" xfId="24272" xr:uid="{F9BA27D1-C906-4EA5-B14A-3CC76C4FE324}"/>
    <cellStyle name="Migliaia 12 4 6 6" xfId="47657" xr:uid="{6FBA7373-FE78-494B-A606-2F91B03AF46F}"/>
    <cellStyle name="Migliaia 12 4 6 7" xfId="50397" xr:uid="{BD2E9B3F-F241-4AE2-8471-734C81AE0040}"/>
    <cellStyle name="Migliaia 12 4 6 8" xfId="53413" xr:uid="{4AC236A4-589D-4D37-9925-5A7E54A04C7F}"/>
    <cellStyle name="Migliaia 12 4 7" xfId="19856" xr:uid="{E382010E-F11A-44C6-9428-B801C6A1A2AE}"/>
    <cellStyle name="Migliaia 12 4 7 2" xfId="33111" xr:uid="{45E76D08-77B5-438D-873D-774A514356D4}"/>
    <cellStyle name="Migliaia 12 4 7 2 2" xfId="38474" xr:uid="{8A58B1B7-1AA9-48E2-B49F-DF06BCF7E696}"/>
    <cellStyle name="Migliaia 12 4 7 2 3" xfId="43776" xr:uid="{3980248D-9BF2-4E58-8D98-6A0EC2B58A8B}"/>
    <cellStyle name="Migliaia 12 4 7 3" xfId="36002" xr:uid="{6503FF19-931B-4A95-923F-3936DBAF0A86}"/>
    <cellStyle name="Migliaia 12 4 7 4" xfId="41125" xr:uid="{3E7B9802-8B41-4666-B424-21AB6B217243}"/>
    <cellStyle name="Migliaia 12 4 7 5" xfId="24273" xr:uid="{57599DAD-BE95-4CDB-9AAE-89486D1AD948}"/>
    <cellStyle name="Migliaia 12 4 8" xfId="24267" xr:uid="{E50C9890-56BF-44CF-BD6C-58314AD36454}"/>
    <cellStyle name="Migliaia 12 4 9" xfId="7311" xr:uid="{E67A72F3-FDBC-482C-AFE8-981201F3B316}"/>
    <cellStyle name="Migliaia 12 5" xfId="1672" xr:uid="{00000000-0005-0000-0000-0000DB020000}"/>
    <cellStyle name="Migliaia 12 5 2" xfId="4883" xr:uid="{38762639-744D-4E2E-A5D1-1F058BE1A8F3}"/>
    <cellStyle name="Migliaia 12 5 2 2" xfId="18368" xr:uid="{71E55D41-C6BE-425F-AE2C-A7C30123C942}"/>
    <cellStyle name="Migliaia 12 5 2 2 2" xfId="38475" xr:uid="{217B2B4D-B95A-4D0B-B583-74F441071C6D}"/>
    <cellStyle name="Migliaia 12 5 2 2 3" xfId="43777" xr:uid="{3F0331B1-9C6C-4836-BF3A-8A74143D5F6D}"/>
    <cellStyle name="Migliaia 12 5 2 3" xfId="19859" xr:uid="{73597348-2646-4C73-9E09-02E7F9155314}"/>
    <cellStyle name="Migliaia 12 5 2 3 2" xfId="36003" xr:uid="{89B665C8-429E-4B6C-BE68-9B0B299EA61A}"/>
    <cellStyle name="Migliaia 12 5 2 4" xfId="41126" xr:uid="{B7EAFB53-6DF3-42E8-A332-78A8F70526F3}"/>
    <cellStyle name="Migliaia 12 5 2 5" xfId="16053" xr:uid="{A2823AEA-97F5-4D5B-9549-0E1E7D6B5581}"/>
    <cellStyle name="Migliaia 12 5 2 6" xfId="8502" xr:uid="{7F891993-5C45-4390-8E29-AF1885D07973}"/>
    <cellStyle name="Migliaia 12 5 3" xfId="6103" xr:uid="{08AD2E37-95D7-47B9-925A-1BFC38CC5B52}"/>
    <cellStyle name="Migliaia 12 5 3 2" xfId="33112" xr:uid="{C05DB0A5-E5AD-4FC7-BCC6-233E580213A9}"/>
    <cellStyle name="Migliaia 12 5 3 2 2" xfId="38476" xr:uid="{38E97CA1-3195-4A37-BB19-68D4866B219F}"/>
    <cellStyle name="Migliaia 12 5 3 2 3" xfId="43778" xr:uid="{FA94798E-198F-462A-8E94-8190B667C68A}"/>
    <cellStyle name="Migliaia 12 5 3 3" xfId="36004" xr:uid="{04567FDB-5E60-4439-958B-400754FCAFD1}"/>
    <cellStyle name="Migliaia 12 5 3 4" xfId="41127" xr:uid="{2B295F00-911D-4ED5-BCFB-3B618F741532}"/>
    <cellStyle name="Migliaia 12 5 3 5" xfId="11251" xr:uid="{B1640766-966F-4D55-95FB-C27FCA81203B}"/>
    <cellStyle name="Migliaia 12 5 4" xfId="3157" xr:uid="{18458A4A-BDBC-4D50-9F14-16CBB8C6CEAA}"/>
    <cellStyle name="Migliaia 12 5 4 2" xfId="21384" xr:uid="{D03914BA-BBD2-48C7-AE62-C5F0FA8C243F}"/>
    <cellStyle name="Migliaia 12 5 4 2 2" xfId="38477" xr:uid="{8393E3F9-F4B2-4845-AA3F-C44FD09644A8}"/>
    <cellStyle name="Migliaia 12 5 4 2 3" xfId="43779" xr:uid="{8BF1FEDE-C760-48D9-AD9A-7E536AC3020C}"/>
    <cellStyle name="Migliaia 12 5 4 2 4" xfId="33113" xr:uid="{5203F827-A6AC-4738-9553-206A08764ECB}"/>
    <cellStyle name="Migliaia 12 5 4 3" xfId="36005" xr:uid="{86CEEA9A-4AF7-466D-AF6B-1A88C29191AE}"/>
    <cellStyle name="Migliaia 12 5 4 4" xfId="41128" xr:uid="{860A5A78-AC34-46B6-AA54-0579ED4E94E4}"/>
    <cellStyle name="Migliaia 12 5 4 5" xfId="24276" xr:uid="{AADA9F79-F02D-4FBF-8CCC-B403DBC5EA7E}"/>
    <cellStyle name="Migliaia 12 5 4 6" xfId="48468" xr:uid="{0FC1A687-533A-4705-8975-F49C2B39A204}"/>
    <cellStyle name="Migliaia 12 5 4 7" xfId="50399" xr:uid="{C87C876E-F9D5-43A4-A968-7F06C4CABAE3}"/>
    <cellStyle name="Migliaia 12 5 4 8" xfId="53415" xr:uid="{25317C33-BE77-4649-82A8-EF36577362EF}"/>
    <cellStyle name="Migliaia 12 5 4 9" xfId="10749" xr:uid="{DBE81409-9D14-47DD-9A48-83E135EADCFC}"/>
    <cellStyle name="Migliaia 12 5 5" xfId="19858" xr:uid="{ED261F33-4123-4A41-B20E-E6DD02D2CB26}"/>
    <cellStyle name="Migliaia 12 5 5 2" xfId="33114" xr:uid="{87330F1E-1CE4-49C8-9B3E-12C474804E5E}"/>
    <cellStyle name="Migliaia 12 5 5 2 2" xfId="38478" xr:uid="{EB1F1A63-D1BF-4090-8845-963EE93149AB}"/>
    <cellStyle name="Migliaia 12 5 5 2 3" xfId="43780" xr:uid="{E49EAC13-485A-456D-8234-55F34E818194}"/>
    <cellStyle name="Migliaia 12 5 5 3" xfId="36006" xr:uid="{272DE43A-E75B-46B8-A721-EF98E202F3CD}"/>
    <cellStyle name="Migliaia 12 5 5 4" xfId="41129" xr:uid="{51D3AD3B-F6BB-4392-B116-16CE330E8C0E}"/>
    <cellStyle name="Migliaia 12 5 5 5" xfId="24277" xr:uid="{DE401DB1-FC28-45E7-8C88-4AB10FABC349}"/>
    <cellStyle name="Migliaia 12 5 6" xfId="24278" xr:uid="{FB96238B-3512-4240-9F5A-8051A46D5AFA}"/>
    <cellStyle name="Migliaia 12 5 6 2" xfId="33115" xr:uid="{59AA7262-BA13-4F36-A6D9-93828687D1F4}"/>
    <cellStyle name="Migliaia 12 5 6 2 2" xfId="38479" xr:uid="{803569C6-9635-4D88-A262-9279BF9E4CA8}"/>
    <cellStyle name="Migliaia 12 5 6 2 3" xfId="43781" xr:uid="{208ACF1B-49D7-458E-AE83-3625EE7B261B}"/>
    <cellStyle name="Migliaia 12 5 6 3" xfId="36007" xr:uid="{3E6A5515-493B-46E2-ACF7-AB38FD821524}"/>
    <cellStyle name="Migliaia 12 5 6 4" xfId="41130" xr:uid="{EECDEAA8-60FC-4CCA-AF65-BE1BC15C3CC9}"/>
    <cellStyle name="Migliaia 12 5 7" xfId="24274" xr:uid="{0596E5D3-8816-469F-A6A7-96C0370D9E4A}"/>
    <cellStyle name="Migliaia 12 5 8" xfId="7312" xr:uid="{A210C92F-8AC7-4AE7-AF31-2CD433175374}"/>
    <cellStyle name="Migliaia 12 6" xfId="3158" xr:uid="{9503B7AD-BA91-46F1-B22D-A652C757E984}"/>
    <cellStyle name="Migliaia 12 6 2" xfId="4884" xr:uid="{877E4229-2819-4A41-944C-85AF6E445815}"/>
    <cellStyle name="Migliaia 12 6 2 2" xfId="9887" xr:uid="{81EC56C0-6154-43A0-9982-5C5FB555308E}"/>
    <cellStyle name="Migliaia 12 6 2 3" xfId="18677" xr:uid="{C1B72BF1-28F3-475C-B823-9AB6517DC6C2}"/>
    <cellStyle name="Migliaia 12 6 2 4" xfId="19861" xr:uid="{23CE94BF-2D50-4A3E-A0E0-562BE6C3E409}"/>
    <cellStyle name="Migliaia 12 6 2 5" xfId="32302" xr:uid="{FAFD3320-AC4B-4931-B785-88C9A37BE917}"/>
    <cellStyle name="Migliaia 12 6 2 6" xfId="16055" xr:uid="{219AB93B-D1C5-4992-9075-C746CD3D3A17}"/>
    <cellStyle name="Migliaia 12 6 2 7" xfId="8497" xr:uid="{6BEBFF2F-C4B5-4ADC-A2D1-1FEEEDBCE211}"/>
    <cellStyle name="Migliaia 12 6 3" xfId="6104" xr:uid="{B5987781-2502-4D75-855B-0A3CF0ACF3F6}"/>
    <cellStyle name="Migliaia 12 6 3 2" xfId="35146" xr:uid="{40962928-69EB-4797-8403-6C1F60A7F313}"/>
    <cellStyle name="Migliaia 12 6 3 2 2" xfId="40304" xr:uid="{C59C36A0-F225-4F65-BD95-EC16D94C0F59}"/>
    <cellStyle name="Migliaia 12 6 3 2 3" xfId="45606" xr:uid="{49F8FAC3-5BBE-4203-B022-D93627441748}"/>
    <cellStyle name="Migliaia 12 6 3 3" xfId="37653" xr:uid="{E626ECBE-5AAB-4F77-A61B-585D2A790628}"/>
    <cellStyle name="Migliaia 12 6 3 4" xfId="42955" xr:uid="{F430EFE5-49C3-4FA9-B118-E6E57C594BBE}"/>
    <cellStyle name="Migliaia 12 6 3 5" xfId="9650" xr:uid="{DF96AC1A-7C3D-4C1B-83F2-FA39BBB80365}"/>
    <cellStyle name="Migliaia 12 6 4" xfId="19860" xr:uid="{3913EDBF-1E4F-460F-8195-101839DA5F44}"/>
    <cellStyle name="Migliaia 12 6 4 2" xfId="38480" xr:uid="{9D4D7D40-866F-4432-8D18-C1103679F37E}"/>
    <cellStyle name="Migliaia 12 6 4 3" xfId="43782" xr:uid="{2ABA948F-C61C-4E95-AF1E-04DDF1BC630A}"/>
    <cellStyle name="Migliaia 12 6 4 4" xfId="33116" xr:uid="{09F992A9-9075-4A87-A8B5-37E8F8FB5971}"/>
    <cellStyle name="Migliaia 12 6 5" xfId="36008" xr:uid="{18628A60-A1D0-4C05-B36A-522A57217C5F}"/>
    <cellStyle name="Migliaia 12 6 6" xfId="41131" xr:uid="{5332A66B-CBD0-4879-9928-F5438EF99AC3}"/>
    <cellStyle name="Migliaia 12 6 7" xfId="16054" xr:uid="{A8E3BB26-EEC1-4F0A-8E64-FB587FE67FE0}"/>
    <cellStyle name="Migliaia 12 6 8" xfId="7307" xr:uid="{F41E35DC-07A1-46F2-8E6E-87638C2DDE67}"/>
    <cellStyle name="Migliaia 12 7" xfId="3159" xr:uid="{ACF34F87-6BB0-47D8-B927-0C79E96B6B07}"/>
    <cellStyle name="Migliaia 12 7 2" xfId="4885" xr:uid="{8E2875EA-BF38-4B52-B802-C75B67C1756E}"/>
    <cellStyle name="Migliaia 12 7 2 2" xfId="35147" xr:uid="{FE4CDB15-38F0-4D98-B1CE-1FA939DBF18B}"/>
    <cellStyle name="Migliaia 12 7 2 2 2" xfId="40305" xr:uid="{75744782-80EF-4131-BA2A-BF51C59CBD04}"/>
    <cellStyle name="Migliaia 12 7 2 2 3" xfId="45607" xr:uid="{76514405-332F-4B7F-A16C-08A9E3EE800C}"/>
    <cellStyle name="Migliaia 12 7 2 3" xfId="37654" xr:uid="{08B492BB-7FD7-44AF-ACBB-501A43843748}"/>
    <cellStyle name="Migliaia 12 7 2 4" xfId="42956" xr:uid="{3409CE2E-4BEB-4344-B2DC-BD148F110FFB}"/>
    <cellStyle name="Migliaia 12 7 2 5" xfId="14187" xr:uid="{75BC3BC1-02CE-4370-BA94-5E73642C7A45}"/>
    <cellStyle name="Migliaia 12 7 3" xfId="6105" xr:uid="{4CCDF21F-2D5C-4788-9FF7-E5DC671434CA}"/>
    <cellStyle name="Migliaia 12 7 3 2" xfId="38481" xr:uid="{600FCA9D-3462-4021-99EA-F71B9ED6BEC0}"/>
    <cellStyle name="Migliaia 12 7 3 3" xfId="43783" xr:uid="{7B2DBBAC-9AF5-4D8A-A08E-E87A439DDA1F}"/>
    <cellStyle name="Migliaia 12 7 3 4" xfId="33117" xr:uid="{BB463672-C3FA-4CB0-B98C-A5248D86E82F}"/>
    <cellStyle name="Migliaia 12 7 3 5" xfId="19862" xr:uid="{DD11B9A0-5BDF-42FF-A0C7-B44E20B75E8A}"/>
    <cellStyle name="Migliaia 12 7 4" xfId="36009" xr:uid="{98B6DD39-1D5B-426E-B7D0-5FEEA3C8579C}"/>
    <cellStyle name="Migliaia 12 7 5" xfId="41132" xr:uid="{747C7715-5D04-450C-93D2-9EA43750ACBD}"/>
    <cellStyle name="Migliaia 12 7 6" xfId="16056" xr:uid="{5A5EDEC6-5D47-40E1-AF0F-AF0327D0FE7D}"/>
    <cellStyle name="Migliaia 12 7 7" xfId="8249" xr:uid="{6773306B-4AC9-41AD-BEEC-0EAED601DF4B}"/>
    <cellStyle name="Migliaia 12 8" xfId="3160" xr:uid="{1DB4988F-B914-42C9-A67D-9B3082907BFA}"/>
    <cellStyle name="Migliaia 12 8 2" xfId="4886" xr:uid="{199382FC-D74F-49AF-9B0A-818EEDE5DE3A}"/>
    <cellStyle name="Migliaia 12 8 2 2" xfId="35148" xr:uid="{64E71298-5F0E-4DD1-B6EB-3DC6C39B4C3F}"/>
    <cellStyle name="Migliaia 12 8 2 2 2" xfId="40306" xr:uid="{EA23738D-B13A-4319-8457-DF5D468CF5AC}"/>
    <cellStyle name="Migliaia 12 8 2 2 3" xfId="45608" xr:uid="{88722D66-43EC-4DB3-8D0B-B8FFD07056B3}"/>
    <cellStyle name="Migliaia 12 8 2 3" xfId="37655" xr:uid="{849D623E-6CD8-4E4B-9975-798D1A10A8B4}"/>
    <cellStyle name="Migliaia 12 8 2 4" xfId="42957" xr:uid="{625042D2-C03C-40FE-A9DD-60C548C43A4E}"/>
    <cellStyle name="Migliaia 12 8 2 5" xfId="13890" xr:uid="{A3840AF2-F8D3-4203-91E0-2121ACF29014}"/>
    <cellStyle name="Migliaia 12 8 3" xfId="6106" xr:uid="{BB4E5FF9-63DB-47C2-B924-94818810A7BE}"/>
    <cellStyle name="Migliaia 12 8 3 2" xfId="38482" xr:uid="{EA9C82BA-23FA-4393-ABC5-4DDB0292A3FF}"/>
    <cellStyle name="Migliaia 12 8 3 3" xfId="43784" xr:uid="{4D589F99-7E5E-45E3-A890-84ADCF36992A}"/>
    <cellStyle name="Migliaia 12 8 3 4" xfId="33118" xr:uid="{68E63804-E5BC-4A56-8C65-145C081A4465}"/>
    <cellStyle name="Migliaia 12 8 3 5" xfId="19863" xr:uid="{17E8517C-18E2-4AF3-BD19-ACE17988E01D}"/>
    <cellStyle name="Migliaia 12 8 4" xfId="36010" xr:uid="{7EA59135-826F-4499-887E-E1387CF981D8}"/>
    <cellStyle name="Migliaia 12 8 5" xfId="41133" xr:uid="{04A9B474-960A-42FC-81A3-C59E96F648D3}"/>
    <cellStyle name="Migliaia 12 8 6" xfId="16057" xr:uid="{BDDF4167-F03B-4069-A4AD-82D256622D39}"/>
    <cellStyle name="Migliaia 12 8 7" xfId="7831" xr:uid="{08C7BABC-E205-439C-A2EA-1748B7FC8FDB}"/>
    <cellStyle name="Migliaia 12 9" xfId="4871" xr:uid="{F28BA2FE-2EE4-4FE3-A14B-DC4F9E9E900A}"/>
    <cellStyle name="Migliaia 12 9 2" xfId="33119" xr:uid="{57B9718D-D61C-4D7F-A588-DD93FEB11BB9}"/>
    <cellStyle name="Migliaia 12 9 2 2" xfId="38483" xr:uid="{08F86D5A-5665-41F5-BF25-63510F6E54C9}"/>
    <cellStyle name="Migliaia 12 9 2 3" xfId="43785" xr:uid="{655F32DD-2489-4DF6-A0F8-4B9ABF6373B9}"/>
    <cellStyle name="Migliaia 12 9 3" xfId="36011" xr:uid="{213D324D-5962-4823-8FAE-15AE6F88DB61}"/>
    <cellStyle name="Migliaia 12 9 4" xfId="41134" xr:uid="{74F9B252-C58A-448B-A5A4-0326B9D9478A}"/>
    <cellStyle name="Migliaia 12 9 5" xfId="17141" xr:uid="{6B116451-9D68-4769-977E-34D58B33D316}"/>
    <cellStyle name="Migliaia 13" xfId="313" xr:uid="{00000000-0005-0000-0000-0000DC020000}"/>
    <cellStyle name="Migliaia 13 10" xfId="6107" xr:uid="{5D6D4B16-DA40-47C3-8243-13938052D7C9}"/>
    <cellStyle name="Migliaia 13 10 2" xfId="38484" xr:uid="{F67A63B2-67BD-4B49-8CAE-CE3580D9F233}"/>
    <cellStyle name="Migliaia 13 10 3" xfId="43786" xr:uid="{A6906076-D7B4-4362-9A47-EAE0C89CF1C4}"/>
    <cellStyle name="Migliaia 13 10 4" xfId="33120" xr:uid="{90ED5AD3-EEAE-4B52-BDF8-38C7D5D6B083}"/>
    <cellStyle name="Migliaia 13 10 5" xfId="19864" xr:uid="{59E0AF99-0056-4C21-BD30-A4518964AD2F}"/>
    <cellStyle name="Migliaia 13 11" xfId="3161" xr:uid="{09E6412F-0F58-4666-B9AC-2E9D7F747AFC}"/>
    <cellStyle name="Migliaia 13 11 2" xfId="36012" xr:uid="{80347B30-FBC9-4C1C-9874-1FCF616EE567}"/>
    <cellStyle name="Migliaia 13 12" xfId="41135" xr:uid="{0275051D-5344-45F1-95F2-D56B4326A273}"/>
    <cellStyle name="Migliaia 13 13" xfId="7053" xr:uid="{CF46D87E-8AE9-4310-B4D1-C58A7F7B90E7}"/>
    <cellStyle name="Migliaia 13 2" xfId="314" xr:uid="{00000000-0005-0000-0000-0000DD020000}"/>
    <cellStyle name="Migliaia 13 2 2" xfId="1673" xr:uid="{00000000-0005-0000-0000-0000DE020000}"/>
    <cellStyle name="Migliaia 13 2 2 2" xfId="4889" xr:uid="{FC4E82FF-9D03-45BA-A766-864BD39DB474}"/>
    <cellStyle name="Migliaia 13 2 2 2 2" xfId="14366" xr:uid="{8085C5DC-A28E-4EEF-9E2E-D93914FF5F6C}"/>
    <cellStyle name="Migliaia 13 2 2 2 2 2" xfId="38485" xr:uid="{F0295566-2DCE-463F-BFE1-4187CFB6288F}"/>
    <cellStyle name="Migliaia 13 2 2 2 2 3" xfId="43787" xr:uid="{8AC8E510-A905-41A0-8AE9-89B37CA638F0}"/>
    <cellStyle name="Migliaia 13 2 2 2 3" xfId="18369" xr:uid="{9B3DF302-C990-4D04-8105-965D853267CA}"/>
    <cellStyle name="Migliaia 13 2 2 2 4" xfId="19867" xr:uid="{0874976D-2306-43ED-85CA-23E41097DE53}"/>
    <cellStyle name="Migliaia 13 2 2 2 4 2" xfId="41136" xr:uid="{77D432EB-F043-41DA-A707-8A773E676929}"/>
    <cellStyle name="Migliaia 13 2 2 2 5" xfId="16058" xr:uid="{28359CFC-53A3-49F0-BEA4-EEAB048CBCB4}"/>
    <cellStyle name="Migliaia 13 2 2 2 6" xfId="8504" xr:uid="{11D30C22-4B12-4FFF-BD70-E9028D2E32FA}"/>
    <cellStyle name="Migliaia 13 2 2 3" xfId="6109" xr:uid="{DB9DC704-4F9C-42AB-9FDB-7985C106CC11}"/>
    <cellStyle name="Migliaia 13 2 2 3 2" xfId="35149" xr:uid="{0BC149C7-702D-493F-830B-3BD678D41C81}"/>
    <cellStyle name="Migliaia 13 2 2 3 2 2" xfId="40307" xr:uid="{C241327A-DA4E-4D3D-AB3E-C97935C31123}"/>
    <cellStyle name="Migliaia 13 2 2 3 2 3" xfId="45609" xr:uid="{11E406DB-F8ED-45FB-843B-6D531B32DFF0}"/>
    <cellStyle name="Migliaia 13 2 2 3 3" xfId="37656" xr:uid="{8839FCCA-F64C-45A3-A310-527926A8D08F}"/>
    <cellStyle name="Migliaia 13 2 2 3 4" xfId="42958" xr:uid="{A9DB306F-3257-4207-A897-0AC2A893CCD2}"/>
    <cellStyle name="Migliaia 13 2 2 3 5" xfId="11595" xr:uid="{8C2747FD-822B-4B5C-B6BE-E6E8EE5DA491}"/>
    <cellStyle name="Migliaia 13 2 2 4" xfId="3163" xr:uid="{63D960BE-A424-478C-84BF-5B369371F83F}"/>
    <cellStyle name="Migliaia 13 2 2 4 2" xfId="21385" xr:uid="{B18B73E1-5B8B-4AE2-B81A-C1FAB9949309}"/>
    <cellStyle name="Migliaia 13 2 2 4 3" xfId="47709" xr:uid="{F7E92C70-761E-479A-8118-B8F93F4A2FA2}"/>
    <cellStyle name="Migliaia 13 2 2 4 4" xfId="50400" xr:uid="{9BCD673C-5CE5-45BE-A6FB-90B674646E81}"/>
    <cellStyle name="Migliaia 13 2 2 4 5" xfId="53416" xr:uid="{A5BB65DA-3651-4428-89E5-6F9435AFD18D}"/>
    <cellStyle name="Migliaia 13 2 2 4 6" xfId="10750" xr:uid="{C250C1A3-6DF8-40EB-B045-6ECB1B9CBEEE}"/>
    <cellStyle name="Migliaia 13 2 2 5" xfId="19866" xr:uid="{4C447600-16F0-48C6-A087-B3FE8FEA363F}"/>
    <cellStyle name="Migliaia 13 2 2 6" xfId="24282" xr:uid="{4287D536-BFF7-4B17-A404-B472494774B9}"/>
    <cellStyle name="Migliaia 13 2 2 7" xfId="7314" xr:uid="{6F1F2658-62A9-462C-A4D6-5854274C48B1}"/>
    <cellStyle name="Migliaia 13 2 3" xfId="3164" xr:uid="{9D27D88A-F843-4C61-8D6A-73876A5CA16D}"/>
    <cellStyle name="Migliaia 13 2 3 2" xfId="4890" xr:uid="{9BFFE2B8-2E98-44AB-8CF3-CCAC76611FFB}"/>
    <cellStyle name="Migliaia 13 2 3 2 2" xfId="35150" xr:uid="{1860E640-F5A8-4567-A4AB-3E86B945A2B8}"/>
    <cellStyle name="Migliaia 13 2 3 2 2 2" xfId="40308" xr:uid="{F605E033-3E78-41B0-AD06-4F06955666FB}"/>
    <cellStyle name="Migliaia 13 2 3 2 2 3" xfId="45610" xr:uid="{E221A1DE-0ED2-4CD1-9FB2-FAE3E1C612E8}"/>
    <cellStyle name="Migliaia 13 2 3 2 3" xfId="37657" xr:uid="{8DD8CE83-B111-4B08-9835-F07E993178F6}"/>
    <cellStyle name="Migliaia 13 2 3 2 4" xfId="42959" xr:uid="{3E052F91-C5C2-4953-A868-0D9ED0F2D095}"/>
    <cellStyle name="Migliaia 13 2 3 2 5" xfId="14191" xr:uid="{E4E48BAC-9D4E-4B18-966C-031DCA6E7360}"/>
    <cellStyle name="Migliaia 13 2 3 3" xfId="6110" xr:uid="{CA312D67-2DBF-4A1D-B861-7AF4731EB0E3}"/>
    <cellStyle name="Migliaia 13 2 3 3 2" xfId="38486" xr:uid="{55D047DE-34B6-4B76-9009-D75DD3882308}"/>
    <cellStyle name="Migliaia 13 2 3 3 3" xfId="43788" xr:uid="{A13FA218-5544-48A8-93D3-B5A6F7B393B2}"/>
    <cellStyle name="Migliaia 13 2 3 3 4" xfId="33121" xr:uid="{9A24475F-082E-47CF-B30A-38869019002B}"/>
    <cellStyle name="Migliaia 13 2 3 3 5" xfId="19868" xr:uid="{BB89726D-8C6A-417A-BB7F-07859DAF66C0}"/>
    <cellStyle name="Migliaia 13 2 3 4" xfId="36013" xr:uid="{6856A3A9-0F1E-4C33-BB55-E6D12B509E40}"/>
    <cellStyle name="Migliaia 13 2 3 5" xfId="41137" xr:uid="{C042C2B1-167D-4157-874D-0198495306B8}"/>
    <cellStyle name="Migliaia 13 2 3 6" xfId="16059" xr:uid="{A7FCB255-068E-4A36-8DA1-CD15D8346A84}"/>
    <cellStyle name="Migliaia 13 2 3 7" xfId="8253" xr:uid="{626E2F1A-FAF5-48E9-AF16-2F8C313584CE}"/>
    <cellStyle name="Migliaia 13 2 4" xfId="4888" xr:uid="{C45F99DF-7532-49A3-AFEB-2DA09467268B}"/>
    <cellStyle name="Migliaia 13 2 4 2" xfId="13894" xr:uid="{8679ED33-92BD-4499-8258-284F3E21D6B5}"/>
    <cellStyle name="Migliaia 13 2 4 2 2" xfId="38487" xr:uid="{DB95A8D4-2D80-449F-90A4-806AC79EACB9}"/>
    <cellStyle name="Migliaia 13 2 4 2 3" xfId="43789" xr:uid="{80D0F791-CD39-48F8-B1AB-7F38E0984602}"/>
    <cellStyle name="Migliaia 13 2 4 3" xfId="18621" xr:uid="{378C210E-8804-4E38-91B1-32A62ABFBB9B}"/>
    <cellStyle name="Migliaia 13 2 4 4" xfId="19869" xr:uid="{52FDD361-D03A-40D0-8C89-9B0C991DF2FE}"/>
    <cellStyle name="Migliaia 13 2 4 4 2" xfId="41138" xr:uid="{9206F731-DCDE-45D7-A59F-E50ECBCA9421}"/>
    <cellStyle name="Migliaia 13 2 4 5" xfId="16060" xr:uid="{E3B8C340-FCEA-4349-A627-99524F7FD3C8}"/>
    <cellStyle name="Migliaia 13 2 4 6" xfId="7836" xr:uid="{9E621748-536A-47F5-B18F-FE4FD33A6A18}"/>
    <cellStyle name="Migliaia 13 2 5" xfId="6108" xr:uid="{115A4F19-8093-4D4E-AC14-9B16F248F8E6}"/>
    <cellStyle name="Migliaia 13 2 5 2" xfId="33122" xr:uid="{DB17DBE3-EEC5-444C-B205-0BB38C480B99}"/>
    <cellStyle name="Migliaia 13 2 5 2 2" xfId="38488" xr:uid="{6A83248A-B5C2-48FC-967A-40C974600140}"/>
    <cellStyle name="Migliaia 13 2 5 2 3" xfId="43790" xr:uid="{E2F8F938-D4B6-411D-B499-B58043F1B15F}"/>
    <cellStyle name="Migliaia 13 2 5 3" xfId="36014" xr:uid="{33D2F415-AE0F-41A1-AD17-2FABEB261CF0}"/>
    <cellStyle name="Migliaia 13 2 5 4" xfId="41139" xr:uid="{7EE94C8E-B5A1-41FC-A97E-3A4AFB06F801}"/>
    <cellStyle name="Migliaia 13 2 5 5" xfId="13106" xr:uid="{D993BD00-D523-4B87-9B23-0BA34634053E}"/>
    <cellStyle name="Migliaia 13 2 6" xfId="3162" xr:uid="{155E54D4-3460-40DA-81FC-81B681406173}"/>
    <cellStyle name="Migliaia 13 2 6 2" xfId="33123" xr:uid="{BF9C1BCB-8B3F-4D8B-A4BF-F81B0618849F}"/>
    <cellStyle name="Migliaia 13 2 6 2 2" xfId="38489" xr:uid="{09F32E4A-7A8F-4084-A799-A40B1DD206AA}"/>
    <cellStyle name="Migliaia 13 2 6 2 3" xfId="43791" xr:uid="{CFA04556-86B4-45F7-821A-7A6F637C3AC1}"/>
    <cellStyle name="Migliaia 13 2 6 3" xfId="36015" xr:uid="{E4467274-CF25-4E1E-873A-04918D969CCD}"/>
    <cellStyle name="Migliaia 13 2 6 4" xfId="41140" xr:uid="{C8D9ADAB-2423-43D6-BA6E-2FA530D8A74F}"/>
    <cellStyle name="Migliaia 13 2 6 5" xfId="24284" xr:uid="{0040627A-8CB5-448B-A827-0663CF6BE835}"/>
    <cellStyle name="Migliaia 13 2 6 6" xfId="19865" xr:uid="{A58575B0-F2D3-4E2C-8FEA-9B909A5CD456}"/>
    <cellStyle name="Migliaia 13 2 7" xfId="24281" xr:uid="{D3B5A207-4D2B-46AE-9610-DDC7A5F04828}"/>
    <cellStyle name="Migliaia 13 2 8" xfId="7054" xr:uid="{377355B7-526A-498D-B72E-828072E1B355}"/>
    <cellStyle name="Migliaia 13 3" xfId="315" xr:uid="{00000000-0005-0000-0000-0000DF020000}"/>
    <cellStyle name="Migliaia 13 3 10" xfId="24285" xr:uid="{695D1931-698C-4CF6-A0C7-7E9EC01F4365}"/>
    <cellStyle name="Migliaia 13 3 11" xfId="16061" xr:uid="{BD5217E7-E09F-4A0F-9CC3-BE873F781575}"/>
    <cellStyle name="Migliaia 13 3 12" xfId="7055" xr:uid="{E19C80BB-9220-411C-930E-5501D863BD63}"/>
    <cellStyle name="Migliaia 13 3 2" xfId="316" xr:uid="{00000000-0005-0000-0000-0000E0020000}"/>
    <cellStyle name="Migliaia 13 3 2 2" xfId="1674" xr:uid="{00000000-0005-0000-0000-0000E1020000}"/>
    <cellStyle name="Migliaia 13 3 2 2 2" xfId="4893" xr:uid="{C5056A13-1A38-4030-8737-65812B4CF267}"/>
    <cellStyle name="Migliaia 13 3 2 2 2 2" xfId="18370" xr:uid="{B547A2C3-9D4F-4732-B19D-3AA54F697E17}"/>
    <cellStyle name="Migliaia 13 3 2 2 2 2 2" xfId="21841" xr:uid="{1FE4410A-553F-4D7C-BF7E-B8CC6BA955D2}"/>
    <cellStyle name="Migliaia 13 3 2 2 2 2 2 2" xfId="38490" xr:uid="{7A5F0233-06FC-4A85-948F-130CF9AC0EE6}"/>
    <cellStyle name="Migliaia 13 3 2 2 2 2 3" xfId="43792" xr:uid="{8F0A4DA3-9956-4DC5-B39E-A1AA97512353}"/>
    <cellStyle name="Migliaia 13 3 2 2 2 2 4" xfId="33124" xr:uid="{4CA4199D-0F76-455B-8385-AB62C37E4BBA}"/>
    <cellStyle name="Migliaia 13 3 2 2 2 3" xfId="36016" xr:uid="{C8C1097D-E6F2-488D-97D6-8181D41E099F}"/>
    <cellStyle name="Migliaia 13 3 2 2 2 4" xfId="41141" xr:uid="{2229C532-A8DE-4BD8-972A-3143EA2C0BA1}"/>
    <cellStyle name="Migliaia 13 3 2 2 2 5" xfId="48319" xr:uid="{F7EB2BCD-6E22-4ACF-85FD-862DF1EB39B8}"/>
    <cellStyle name="Migliaia 13 3 2 2 2 6" xfId="50869" xr:uid="{4BF544EA-66CD-408C-A691-CED96E8E9CA8}"/>
    <cellStyle name="Migliaia 13 3 2 2 2 7" xfId="53885" xr:uid="{17AE7836-24CE-4391-A275-A09F9804629F}"/>
    <cellStyle name="Migliaia 13 3 2 2 2 8" xfId="17642" xr:uid="{CF0FF939-4751-4B57-8DC6-75740FD3BB3F}"/>
    <cellStyle name="Migliaia 13 3 2 2 2 9" xfId="11899" xr:uid="{8D7C2397-3413-4305-8F80-2F8AB8ACD510}"/>
    <cellStyle name="Migliaia 13 3 2 2 3" xfId="6113" xr:uid="{CD15CD71-C6D3-43F6-A745-C7428349F5FA}"/>
    <cellStyle name="Migliaia 13 3 2 2 3 2" xfId="11683" xr:uid="{B4D644D2-2BD4-4640-B454-64B1ECB46E3F}"/>
    <cellStyle name="Migliaia 13 3 2 2 4" xfId="3167" xr:uid="{36D8744D-29B7-435E-9C04-FDD237B7375D}"/>
    <cellStyle name="Migliaia 13 3 2 2 4 2" xfId="21386" xr:uid="{893481CA-DF44-47EB-AE1D-4F776286302F}"/>
    <cellStyle name="Migliaia 13 3 2 2 4 3" xfId="46205" xr:uid="{E681A86C-33F8-4594-9F47-0782B78D5D3B}"/>
    <cellStyle name="Migliaia 13 3 2 2 4 4" xfId="50401" xr:uid="{8D4C01F6-EA58-4439-8DD5-A7DEC3E65316}"/>
    <cellStyle name="Migliaia 13 3 2 2 4 5" xfId="53417" xr:uid="{5979F21D-3E13-4266-B1A1-23085DB7D931}"/>
    <cellStyle name="Migliaia 13 3 2 2 4 6" xfId="10751" xr:uid="{33BCDF90-2BBA-44FE-AFE1-23CADCA3E763}"/>
    <cellStyle name="Migliaia 13 3 2 2 5" xfId="19872" xr:uid="{5F99DD9F-F84F-43A4-9ECA-077C54E6DC98}"/>
    <cellStyle name="Migliaia 13 3 2 2 6" xfId="24287" xr:uid="{7B5A2AF3-103B-4E8B-A035-24C59B93EC25}"/>
    <cellStyle name="Migliaia 13 3 2 2 7" xfId="8506" xr:uid="{BCFC9975-5D01-4183-951E-85BE2F8CAD4A}"/>
    <cellStyle name="Migliaia 13 3 2 3" xfId="4892" xr:uid="{C74095C0-EB27-42DC-9582-C1C0DF80B826}"/>
    <cellStyle name="Migliaia 13 3 2 3 2" xfId="12230" xr:uid="{10A1B32D-2ECA-47B1-B547-126E5FCDEA7C}"/>
    <cellStyle name="Migliaia 13 3 2 3 2 2" xfId="38491" xr:uid="{C55E11EC-AE83-4A3A-A0D3-DDC9875C799D}"/>
    <cellStyle name="Migliaia 13 3 2 3 2 3" xfId="43793" xr:uid="{558A9F79-7892-4635-960A-2285D95B854D}"/>
    <cellStyle name="Migliaia 13 3 2 3 2 4" xfId="33125" xr:uid="{8D56D85E-1C64-4220-92A3-4E29E7F86464}"/>
    <cellStyle name="Migliaia 13 3 2 3 3" xfId="11900" xr:uid="{57D5AF94-7EEF-48EC-B95C-14D88190AB34}"/>
    <cellStyle name="Migliaia 13 3 2 3 4" xfId="19873" xr:uid="{06F64D4C-C265-4CD7-A8FD-4E5EFDFA7B5C}"/>
    <cellStyle name="Migliaia 13 3 2 3 4 2" xfId="41142" xr:uid="{393E1E55-39FF-4134-B492-6ED53634DB55}"/>
    <cellStyle name="Migliaia 13 3 2 3 5" xfId="16062" xr:uid="{55285ADD-5319-4D74-ABE1-C63DB5BE83A0}"/>
    <cellStyle name="Migliaia 13 3 2 3 6" xfId="7838" xr:uid="{7E40BFE7-5ACD-42BE-BBFD-6622F787FB06}"/>
    <cellStyle name="Migliaia 13 3 2 4" xfId="6112" xr:uid="{A3E9D46F-E1E5-46B7-BD89-05FEDAAC51A8}"/>
    <cellStyle name="Migliaia 13 3 2 4 2" xfId="18061" xr:uid="{A275D42F-EE70-4C5A-BAF7-2340AEE030CF}"/>
    <cellStyle name="Migliaia 13 3 2 4 2 2" xfId="38492" xr:uid="{DA8A71F5-9C43-4D16-A9A2-B0FE59739F98}"/>
    <cellStyle name="Migliaia 13 3 2 4 2 3" xfId="43794" xr:uid="{5D84E24F-24F6-45DE-BE74-4DB3B77E8F58}"/>
    <cellStyle name="Migliaia 13 3 2 4 3" xfId="36017" xr:uid="{048E8295-D2B6-4D4F-96E3-5CCF4E44E550}"/>
    <cellStyle name="Migliaia 13 3 2 4 4" xfId="41143" xr:uid="{41E2DDA9-B9DA-4EA4-B88C-2AAE416E2F45}"/>
    <cellStyle name="Migliaia 13 3 2 4 5" xfId="17144" xr:uid="{21807994-EC28-4420-945B-67882487FBA0}"/>
    <cellStyle name="Migliaia 13 3 2 4 6" xfId="11252" xr:uid="{2E0D13EF-F558-45F6-BAE8-26183AE47D99}"/>
    <cellStyle name="Migliaia 13 3 2 5" xfId="3166" xr:uid="{83C5FE20-DFA4-4E8F-9C85-83F3D81FA44B}"/>
    <cellStyle name="Migliaia 13 3 2 5 2" xfId="33126" xr:uid="{FD303AD3-F20E-414B-A281-B3E36EA99D29}"/>
    <cellStyle name="Migliaia 13 3 2 5 2 2" xfId="38493" xr:uid="{1C85637A-897C-405C-9073-81879DE41D4A}"/>
    <cellStyle name="Migliaia 13 3 2 5 2 3" xfId="43795" xr:uid="{D061C224-D057-40CD-A6D4-0C8E00345105}"/>
    <cellStyle name="Migliaia 13 3 2 5 3" xfId="36018" xr:uid="{3AFD2D73-58FF-4D97-9491-539CD6519DBE}"/>
    <cellStyle name="Migliaia 13 3 2 5 4" xfId="41144" xr:uid="{D95A87AD-FFB0-474D-9635-05F7429B0D5F}"/>
    <cellStyle name="Migliaia 13 3 2 5 5" xfId="17414" xr:uid="{0ABC631B-D0EA-4465-A688-87CDD0FD0439}"/>
    <cellStyle name="Migliaia 13 3 2 6" xfId="19871" xr:uid="{A5DB9374-5340-469C-8803-D39428C77295}"/>
    <cellStyle name="Migliaia 13 3 2 6 2" xfId="33127" xr:uid="{DD2E9D13-C409-4C6A-8DC7-A22322C709A7}"/>
    <cellStyle name="Migliaia 13 3 2 6 2 2" xfId="38494" xr:uid="{EFD0F37C-E8E8-43FC-9002-DDA4B06F1465}"/>
    <cellStyle name="Migliaia 13 3 2 6 2 3" xfId="43796" xr:uid="{D192DCE6-2F25-498B-9E95-71F5BF551E1B}"/>
    <cellStyle name="Migliaia 13 3 2 6 3" xfId="36019" xr:uid="{96458C42-1853-4CF8-A593-C5CC1F4C5F30}"/>
    <cellStyle name="Migliaia 13 3 2 6 4" xfId="41145" xr:uid="{D4BC9B6F-81EF-48EB-AEE2-AD251202D68E}"/>
    <cellStyle name="Migliaia 13 3 2 6 5" xfId="24288" xr:uid="{5DE57111-FBD3-4ED6-9C9A-5F8A9A268B61}"/>
    <cellStyle name="Migliaia 13 3 2 7" xfId="24286" xr:uid="{D97A8603-8D04-4D94-9A36-41EAA0EEF273}"/>
    <cellStyle name="Migliaia 13 3 2 8" xfId="7316" xr:uid="{15BA2662-E48D-4A6F-B62A-4352918D46AC}"/>
    <cellStyle name="Migliaia 13 3 3" xfId="3168" xr:uid="{01C7999D-9801-4DF6-9189-0B1618EBC488}"/>
    <cellStyle name="Migliaia 13 3 3 10" xfId="7315" xr:uid="{F7776939-DF37-4BF4-8EB4-492423E3E058}"/>
    <cellStyle name="Migliaia 13 3 3 2" xfId="4894" xr:uid="{9B8F57F6-0A2A-4DF3-AC3C-8570DB1143D2}"/>
    <cellStyle name="Migliaia 13 3 3 2 2" xfId="9890" xr:uid="{A758C2BC-B7FE-4C20-B742-DC246E608DB3}"/>
    <cellStyle name="Migliaia 13 3 3 2 2 2" xfId="38496" xr:uid="{DBCE2735-2F02-41DD-91E8-3F6AEEFEA2BE}"/>
    <cellStyle name="Migliaia 13 3 3 2 2 3" xfId="43798" xr:uid="{C466FE7A-C2F6-4882-9E53-D6B7BF46ED40}"/>
    <cellStyle name="Migliaia 13 3 3 2 3" xfId="18170" xr:uid="{ACC28F55-18A6-43D8-89CE-5101369651BA}"/>
    <cellStyle name="Migliaia 13 3 3 2 4" xfId="19875" xr:uid="{CB1FDCEC-B04F-4184-9133-94EB05D9C70E}"/>
    <cellStyle name="Migliaia 13 3 3 2 4 2" xfId="41147" xr:uid="{BC0AD68D-98D2-4B8A-9334-2A2219B1D8D6}"/>
    <cellStyle name="Migliaia 13 3 3 2 5" xfId="16064" xr:uid="{235EE33F-01D5-45AF-B502-826E25C2A0E2}"/>
    <cellStyle name="Migliaia 13 3 3 2 6" xfId="8505" xr:uid="{FB37B0DE-CEC0-449A-B7B1-4A82ED5D3AD3}"/>
    <cellStyle name="Migliaia 13 3 3 3" xfId="6114" xr:uid="{B5370FC0-1A0A-4602-A6AE-9CA4C871D6BA}"/>
    <cellStyle name="Migliaia 13 3 3 3 2" xfId="33129" xr:uid="{F0289015-94F8-4595-AE42-9E5449B48096}"/>
    <cellStyle name="Migliaia 13 3 3 3 2 2" xfId="38497" xr:uid="{A8422077-E7F1-4FC8-AA51-991633B69F55}"/>
    <cellStyle name="Migliaia 13 3 3 3 2 3" xfId="43799" xr:uid="{8CFE1B3F-96BA-432F-8C24-241BADD76598}"/>
    <cellStyle name="Migliaia 13 3 3 3 3" xfId="36021" xr:uid="{CE1C219F-ADF3-4997-AD39-B664B33BF472}"/>
    <cellStyle name="Migliaia 13 3 3 3 4" xfId="41148" xr:uid="{B1752BD1-99D9-4AA7-9747-1E3D1CD0C7BB}"/>
    <cellStyle name="Migliaia 13 3 3 3 5" xfId="9653" xr:uid="{2B09EBCB-1661-4599-ABA2-9F8EEF1D51A3}"/>
    <cellStyle name="Migliaia 13 3 3 4" xfId="19874" xr:uid="{3F335271-1239-4887-9289-471982AFD78D}"/>
    <cellStyle name="Migliaia 13 3 3 4 2" xfId="33130" xr:uid="{9ED262FD-FAF3-48DD-8D41-8B47819F917A}"/>
    <cellStyle name="Migliaia 13 3 3 4 2 2" xfId="38498" xr:uid="{937533F2-E8EB-4939-912F-A0A22F298F0F}"/>
    <cellStyle name="Migliaia 13 3 3 4 2 3" xfId="43800" xr:uid="{263A51B5-1785-4660-82AA-C688242F5DDB}"/>
    <cellStyle name="Migliaia 13 3 3 4 3" xfId="36022" xr:uid="{0AB07C8F-338D-47C2-BE6E-BF26FDC6806D}"/>
    <cellStyle name="Migliaia 13 3 3 4 4" xfId="41149" xr:uid="{27D3ACF9-C645-4DFF-8A1E-957054AFF3F3}"/>
    <cellStyle name="Migliaia 13 3 3 4 5" xfId="24289" xr:uid="{ABA023FE-B396-41C2-8EB3-9A5E33954AC5}"/>
    <cellStyle name="Migliaia 13 3 3 5" xfId="24290" xr:uid="{BC0457B8-C6B4-457F-9866-6BFB94DAB4CC}"/>
    <cellStyle name="Migliaia 13 3 3 5 2" xfId="33131" xr:uid="{27AC7BCB-B3D9-4724-B8DC-590AA4F8C410}"/>
    <cellStyle name="Migliaia 13 3 3 5 2 2" xfId="38499" xr:uid="{27F8D0A6-87B6-48A5-BFAC-9F83CC60A92E}"/>
    <cellStyle name="Migliaia 13 3 3 5 2 3" xfId="43801" xr:uid="{9C0F05C7-6A98-4E22-956E-47B175665C94}"/>
    <cellStyle name="Migliaia 13 3 3 5 3" xfId="36023" xr:uid="{85D52C16-E518-4DFF-AF7E-537755BEA870}"/>
    <cellStyle name="Migliaia 13 3 3 5 4" xfId="41150" xr:uid="{6CBE42E2-8985-4D08-A465-AF200F4EF6AC}"/>
    <cellStyle name="Migliaia 13 3 3 6" xfId="33128" xr:uid="{26DEDCCE-1D15-4FC3-A793-DD2EA6B989C9}"/>
    <cellStyle name="Migliaia 13 3 3 6 2" xfId="38495" xr:uid="{14921817-ED05-434C-860E-36C175A64480}"/>
    <cellStyle name="Migliaia 13 3 3 6 3" xfId="43797" xr:uid="{44EDCE3B-FC96-43F2-928E-6F293F2A5389}"/>
    <cellStyle name="Migliaia 13 3 3 7" xfId="36020" xr:uid="{DEB8B4E7-859D-445C-BFBF-08327548E1C5}"/>
    <cellStyle name="Migliaia 13 3 3 8" xfId="41146" xr:uid="{6C71EB55-5407-44CE-AD16-36C9B827E763}"/>
    <cellStyle name="Migliaia 13 3 3 9" xfId="16063" xr:uid="{C4BD6F7C-9873-4D20-AF0B-9A3C71E463E6}"/>
    <cellStyle name="Migliaia 13 3 4" xfId="3169" xr:uid="{A61A1210-B8E5-475E-BABD-732487E89306}"/>
    <cellStyle name="Migliaia 13 3 4 2" xfId="4895" xr:uid="{18EE2707-D1BC-47FD-8981-5F175A889292}"/>
    <cellStyle name="Migliaia 13 3 4 2 2" xfId="14427" xr:uid="{73DFCAF7-FD19-43C0-8790-E266D0478E38}"/>
    <cellStyle name="Migliaia 13 3 4 2 3" xfId="18124" xr:uid="{FC927985-1816-4500-8A1B-64AF30BE2D8A}"/>
    <cellStyle name="Migliaia 13 3 4 2 4" xfId="19877" xr:uid="{69229E31-9236-4F5C-8352-DDB32A4A94D5}"/>
    <cellStyle name="Migliaia 13 3 4 2 5" xfId="32306" xr:uid="{6C2D9659-3434-4A93-AE0F-BA61E6C4E378}"/>
    <cellStyle name="Migliaia 13 3 4 2 6" xfId="16066" xr:uid="{955A3673-DD14-4B83-AD6E-A7DF401DBA6B}"/>
    <cellStyle name="Migliaia 13 3 4 2 7" xfId="8850" xr:uid="{81006866-8338-4E60-BFDA-49025DD9C642}"/>
    <cellStyle name="Migliaia 13 3 4 3" xfId="6115" xr:uid="{261F2727-3BF5-4372-B120-02CEE8202AD5}"/>
    <cellStyle name="Migliaia 13 3 4 3 2" xfId="35151" xr:uid="{EEADC89F-AAE8-4359-A9CA-AD64FC80D0CA}"/>
    <cellStyle name="Migliaia 13 3 4 3 2 2" xfId="40309" xr:uid="{B4EC5F4C-66D1-4CEA-B264-ECDD02686F06}"/>
    <cellStyle name="Migliaia 13 3 4 3 2 3" xfId="45611" xr:uid="{C93BE1F3-928F-466F-A7EC-D2215D0B7E30}"/>
    <cellStyle name="Migliaia 13 3 4 3 3" xfId="37658" xr:uid="{7CF8D75E-8641-4CE5-96C3-FC691D2A271A}"/>
    <cellStyle name="Migliaia 13 3 4 3 4" xfId="42960" xr:uid="{EDF99230-0DB4-48D9-A2DD-4F5F20559890}"/>
    <cellStyle name="Migliaia 13 3 4 3 5" xfId="13675" xr:uid="{D0607EC0-3F04-43D4-97A3-A08457C234A7}"/>
    <cellStyle name="Migliaia 13 3 4 4" xfId="19876" xr:uid="{214F7C01-2B87-40E3-B66B-AAD106ED3755}"/>
    <cellStyle name="Migliaia 13 3 4 4 2" xfId="38500" xr:uid="{D1D1F8B2-0A13-4E14-8B92-DF619EAEC31F}"/>
    <cellStyle name="Migliaia 13 3 4 4 3" xfId="43802" xr:uid="{0E86EB3C-37C7-43EE-8E1F-2C45C517931B}"/>
    <cellStyle name="Migliaia 13 3 4 4 4" xfId="33132" xr:uid="{08901327-461B-4AD5-B87C-A7E223196985}"/>
    <cellStyle name="Migliaia 13 3 4 5" xfId="36024" xr:uid="{A94D2549-0E20-4D2B-8C0E-B30B7F832C06}"/>
    <cellStyle name="Migliaia 13 3 4 6" xfId="41151" xr:uid="{A6F91BD4-120C-4692-9A69-F4553CD82A77}"/>
    <cellStyle name="Migliaia 13 3 4 7" xfId="16065" xr:uid="{AC745AA2-7921-45BC-9F3B-95839445EA95}"/>
    <cellStyle name="Migliaia 13 3 4 8" xfId="7660" xr:uid="{7FE1FE73-7BEA-4DB4-97DD-755206E79271}"/>
    <cellStyle name="Migliaia 13 3 5" xfId="3170" xr:uid="{410ABB33-A421-470A-8A3F-4D60B1326D36}"/>
    <cellStyle name="Migliaia 13 3 5 2" xfId="4896" xr:uid="{D6AD3404-3C82-400C-B5ED-E6C80DB31045}"/>
    <cellStyle name="Migliaia 13 3 5 2 2" xfId="35152" xr:uid="{623362B1-2325-40DD-84E0-9A6846463EE5}"/>
    <cellStyle name="Migliaia 13 3 5 2 2 2" xfId="40310" xr:uid="{5B6C4EEA-28D4-46C6-BF22-411DC9CCC834}"/>
    <cellStyle name="Migliaia 13 3 5 2 2 3" xfId="45612" xr:uid="{21DAC837-6EDC-45CC-A271-6C7A85713867}"/>
    <cellStyle name="Migliaia 13 3 5 2 3" xfId="37659" xr:uid="{3537F842-7A65-4C95-AE4A-0629E55AA5CC}"/>
    <cellStyle name="Migliaia 13 3 5 2 4" xfId="42961" xr:uid="{9828CCFB-92F0-438E-B7A3-E93F6C051E36}"/>
    <cellStyle name="Migliaia 13 3 5 2 5" xfId="14192" xr:uid="{98B20F58-13F0-45E6-881B-EFA409C2EE32}"/>
    <cellStyle name="Migliaia 13 3 5 3" xfId="6116" xr:uid="{7E5E9E5D-C0FC-4126-9366-9A48628C0366}"/>
    <cellStyle name="Migliaia 13 3 5 3 2" xfId="38501" xr:uid="{4D6787F4-A4F3-44E5-A535-45EE62F18B72}"/>
    <cellStyle name="Migliaia 13 3 5 3 3" xfId="43803" xr:uid="{969BE628-8F89-416F-8280-92AAD471AA06}"/>
    <cellStyle name="Migliaia 13 3 5 3 4" xfId="33133" xr:uid="{74257700-84B0-4D96-8E52-05A000E58170}"/>
    <cellStyle name="Migliaia 13 3 5 3 5" xfId="19878" xr:uid="{1EE49E10-9088-49F3-99C1-3621EE6A3C57}"/>
    <cellStyle name="Migliaia 13 3 5 4" xfId="36025" xr:uid="{F82926E8-79C7-48FC-8BD3-6BEB24F7AA0D}"/>
    <cellStyle name="Migliaia 13 3 5 5" xfId="41152" xr:uid="{71E76345-4CFA-4F22-BF2E-9521085DE6E6}"/>
    <cellStyle name="Migliaia 13 3 5 6" xfId="16067" xr:uid="{6B663030-38C1-45FA-BAF2-0E0436DC556A}"/>
    <cellStyle name="Migliaia 13 3 5 7" xfId="8254" xr:uid="{538F63B1-BC54-497F-BEC2-61EBE5A49466}"/>
    <cellStyle name="Migliaia 13 3 6" xfId="4891" xr:uid="{858D9BBD-0F9D-4BCE-8635-24FBC9C78950}"/>
    <cellStyle name="Migliaia 13 3 6 2" xfId="13895" xr:uid="{290E83DA-5657-402C-BA1C-682AFFA9CD1C}"/>
    <cellStyle name="Migliaia 13 3 6 2 2" xfId="38502" xr:uid="{FAE024C9-EA9F-48AE-919E-C83D9B342A25}"/>
    <cellStyle name="Migliaia 13 3 6 2 3" xfId="43804" xr:uid="{87E7924D-97D0-44BA-A3B7-E34C47479F57}"/>
    <cellStyle name="Migliaia 13 3 6 3" xfId="18725" xr:uid="{3DC852B0-0D48-4062-BB8F-9E32E566B535}"/>
    <cellStyle name="Migliaia 13 3 6 4" xfId="19879" xr:uid="{BE2139F2-D9C7-40CC-87CE-9708724929A6}"/>
    <cellStyle name="Migliaia 13 3 6 4 2" xfId="41153" xr:uid="{7C5674B4-1DE4-44F7-9DD3-9F6DF50502F9}"/>
    <cellStyle name="Migliaia 13 3 6 5" xfId="16068" xr:uid="{A6DB407F-9E8B-4DFA-9A13-3E173B75DAF7}"/>
    <cellStyle name="Migliaia 13 3 6 6" xfId="7837" xr:uid="{D91B749A-12EA-4CD4-AE96-748E2FE7E442}"/>
    <cellStyle name="Migliaia 13 3 7" xfId="6111" xr:uid="{C486398C-25B5-4552-AC69-2C4289274139}"/>
    <cellStyle name="Migliaia 13 3 7 2" xfId="33134" xr:uid="{81702407-5EE1-4CAF-BE33-ABF8036D39CC}"/>
    <cellStyle name="Migliaia 13 3 7 2 2" xfId="38503" xr:uid="{477B24C5-E712-4828-8F53-A61631A08F59}"/>
    <cellStyle name="Migliaia 13 3 7 2 3" xfId="43805" xr:uid="{C9C26002-ECF8-4222-A1CE-1CB93E46ECBC}"/>
    <cellStyle name="Migliaia 13 3 7 3" xfId="36026" xr:uid="{6FA27A09-B079-4049-9D59-5A860EB266A0}"/>
    <cellStyle name="Migliaia 13 3 7 4" xfId="41154" xr:uid="{38420493-5B58-4657-9F9F-4DD158F4F44B}"/>
    <cellStyle name="Migliaia 13 3 7 5" xfId="11537" xr:uid="{969E253F-C756-48AD-BD9D-53CF197F0596}"/>
    <cellStyle name="Migliaia 13 3 8" xfId="3165" xr:uid="{2B86652C-9C3C-46EC-AD65-45BF4149F07D}"/>
    <cellStyle name="Migliaia 13 3 8 2" xfId="33135" xr:uid="{33147197-AC59-4888-8730-5D125F12FF40}"/>
    <cellStyle name="Migliaia 13 3 8 2 2" xfId="38504" xr:uid="{3D2C07EC-82E5-414F-9BD5-2B996E73627B}"/>
    <cellStyle name="Migliaia 13 3 8 2 3" xfId="43806" xr:uid="{5759B342-F93E-45CD-805A-E1032A612750}"/>
    <cellStyle name="Migliaia 13 3 8 3" xfId="36027" xr:uid="{A47A6518-EBB2-423F-8087-7F84C43B2BD0}"/>
    <cellStyle name="Migliaia 13 3 8 4" xfId="41155" xr:uid="{06CFD5C4-1F05-47D9-B8E4-1E7EE5F5E985}"/>
    <cellStyle name="Migliaia 13 3 8 5" xfId="24291" xr:uid="{2C3B42CA-5537-43CE-BE04-D7F42962C0F4}"/>
    <cellStyle name="Migliaia 13 3 8 6" xfId="17415" xr:uid="{CFC3A4D7-B714-47AF-B98B-A5498F1F49A9}"/>
    <cellStyle name="Migliaia 13 3 9" xfId="19870" xr:uid="{6793AB0E-B160-484F-8D65-A4AC0B645956}"/>
    <cellStyle name="Migliaia 13 4" xfId="1675" xr:uid="{00000000-0005-0000-0000-0000E2020000}"/>
    <cellStyle name="Migliaia 13 4 2" xfId="1676" xr:uid="{00000000-0005-0000-0000-0000E3020000}"/>
    <cellStyle name="Migliaia 13 4 2 2" xfId="4898" xr:uid="{B3A36047-123D-47F2-B1E0-E4A09A8F394D}"/>
    <cellStyle name="Migliaia 13 4 2 2 2" xfId="33136" xr:uid="{42A87BD4-FA4C-4592-A29A-5E2084D9F38D}"/>
    <cellStyle name="Migliaia 13 4 2 2 2 2" xfId="38505" xr:uid="{9B016901-822B-4C0D-8922-7C93475B4935}"/>
    <cellStyle name="Migliaia 13 4 2 2 2 3" xfId="43807" xr:uid="{DD4F9299-C638-44DB-B4FD-ABF8719C419A}"/>
    <cellStyle name="Migliaia 13 4 2 2 3" xfId="36028" xr:uid="{D795B05E-0498-4BE2-B520-8E7B7FCEA16A}"/>
    <cellStyle name="Migliaia 13 4 2 2 4" xfId="41156" xr:uid="{0A450C79-74B2-4CE9-AC47-A7610FE61F4F}"/>
    <cellStyle name="Migliaia 13 4 2 2 5" xfId="9116" xr:uid="{D4329E2E-F283-49BC-BEA4-F8E7517E490A}"/>
    <cellStyle name="Migliaia 13 4 2 3" xfId="3172" xr:uid="{83692C0B-9970-497B-A1B1-6A5560D3D7D9}"/>
    <cellStyle name="Migliaia 13 4 2 3 2" xfId="33137" xr:uid="{FA545E86-B25F-47D7-A340-A5ADD4290845}"/>
    <cellStyle name="Migliaia 13 4 2 3 2 2" xfId="38506" xr:uid="{B7515984-017C-46C9-8896-5046A9C659D9}"/>
    <cellStyle name="Migliaia 13 4 2 3 2 3" xfId="43808" xr:uid="{0805016D-394D-4B06-9E3E-F960301BA524}"/>
    <cellStyle name="Migliaia 13 4 2 3 3" xfId="36029" xr:uid="{8570B593-871C-4CB8-B1A0-9EBD282E5AED}"/>
    <cellStyle name="Migliaia 13 4 2 3 4" xfId="41157" xr:uid="{55E20B4E-E723-42B1-9FE6-BBAE9B1E3829}"/>
    <cellStyle name="Migliaia 13 4 2 3 5" xfId="11901" xr:uid="{755EC655-7EB0-4C63-91B9-BEE848AE690D}"/>
    <cellStyle name="Migliaia 13 4 2 4" xfId="11254" xr:uid="{670949F5-0B83-42E5-AFC9-F88DBB625F1F}"/>
    <cellStyle name="Migliaia 13 4 2 5" xfId="10753" xr:uid="{E50D963F-10B9-4321-9C7D-FBB8D62FD49E}"/>
    <cellStyle name="Migliaia 13 4 2 5 2" xfId="21388" xr:uid="{59FA774F-F561-4F1E-B6A5-363F0D8787A3}"/>
    <cellStyle name="Migliaia 13 4 2 5 3" xfId="46206" xr:uid="{8337E772-1C5A-40CD-9FEE-670C20E89F82}"/>
    <cellStyle name="Migliaia 13 4 2 5 4" xfId="50403" xr:uid="{D823162B-C1C7-4927-A9E7-7F7BF5045AD1}"/>
    <cellStyle name="Migliaia 13 4 2 5 5" xfId="53419" xr:uid="{461DD0CB-0B65-4567-88A8-4C967A4B5A19}"/>
    <cellStyle name="Migliaia 13 4 2 6" xfId="19881" xr:uid="{75D90760-AAB5-4F0B-A1FE-3AAC4C092F96}"/>
    <cellStyle name="Migliaia 13 4 2 7" xfId="24293" xr:uid="{885BA528-8F2D-4840-8816-C51D83EC4838}"/>
    <cellStyle name="Migliaia 13 4 2 8" xfId="8507" xr:uid="{D2425F8B-79FD-45D4-8AE1-F50DFE0D7C64}"/>
    <cellStyle name="Migliaia 13 4 3" xfId="4897" xr:uid="{711F58F8-8663-4039-A95F-0C01D4930FB8}"/>
    <cellStyle name="Migliaia 13 4 3 2" xfId="18171" xr:uid="{80AFED1D-F92E-4EAA-A039-8AA2520967F0}"/>
    <cellStyle name="Migliaia 13 4 3 2 2" xfId="38507" xr:uid="{5A770A35-68FB-4C3A-B6FD-DD7DD5AFD4C0}"/>
    <cellStyle name="Migliaia 13 4 3 2 3" xfId="43809" xr:uid="{6BA74E7D-56EE-4DCA-9764-820929A46BB8}"/>
    <cellStyle name="Migliaia 13 4 3 3" xfId="36030" xr:uid="{2BC186DE-F7FF-4557-AF9C-FAF1F1DDBAE9}"/>
    <cellStyle name="Migliaia 13 4 3 4" xfId="41158" xr:uid="{F35D50BF-5206-48CF-A5A6-615C596F4C06}"/>
    <cellStyle name="Migliaia 13 4 3 5" xfId="17413" xr:uid="{74B06A15-5B26-4034-B567-28980FCAAE8A}"/>
    <cellStyle name="Migliaia 13 4 3 6" xfId="9117" xr:uid="{7725E552-2DC4-40E8-B42B-3C7A8859FC65}"/>
    <cellStyle name="Migliaia 13 4 4" xfId="6117" xr:uid="{D81A398A-2A1B-43C5-A7F9-2DAC2AC3B283}"/>
    <cellStyle name="Migliaia 13 4 4 2" xfId="33138" xr:uid="{D503203A-8A81-47F8-94ED-06DBD04EBBE5}"/>
    <cellStyle name="Migliaia 13 4 4 2 2" xfId="38508" xr:uid="{E14BD15B-17CE-46D6-AF94-1CFFD35FE955}"/>
    <cellStyle name="Migliaia 13 4 4 2 3" xfId="43810" xr:uid="{2F9031C6-2B4D-43B4-B61E-369CB253D2A7}"/>
    <cellStyle name="Migliaia 13 4 4 3" xfId="36031" xr:uid="{48157D7F-E9D9-4C35-BE97-B8293E9DB038}"/>
    <cellStyle name="Migliaia 13 4 4 4" xfId="41159" xr:uid="{0FDF23F0-B66B-4287-AF04-3E0EF385244E}"/>
    <cellStyle name="Migliaia 13 4 4 5" xfId="11902" xr:uid="{D725919C-0D72-440E-8ADC-9D796E635EA0}"/>
    <cellStyle name="Migliaia 13 4 5" xfId="3171" xr:uid="{0AD3A0E4-6ACF-45CD-B481-0B20E880362E}"/>
    <cellStyle name="Migliaia 13 4 5 2" xfId="33139" xr:uid="{A6FBFE95-DA72-40C9-97F4-45A297B7D64D}"/>
    <cellStyle name="Migliaia 13 4 5 2 2" xfId="38509" xr:uid="{FF1939D3-877C-4D40-959D-F799DDE733C0}"/>
    <cellStyle name="Migliaia 13 4 5 2 3" xfId="43811" xr:uid="{6469BE71-5D00-4E1F-ADF9-ED6160D201A3}"/>
    <cellStyle name="Migliaia 13 4 5 3" xfId="36032" xr:uid="{DD21A5DD-566F-4C45-9F3E-F9BD4928D54D}"/>
    <cellStyle name="Migliaia 13 4 5 4" xfId="41160" xr:uid="{D6E72F80-D7AF-4492-8596-B789E4992E45}"/>
    <cellStyle name="Migliaia 13 4 5 5" xfId="11253" xr:uid="{6C2828DD-E6A0-464B-B1EB-003507C311BD}"/>
    <cellStyle name="Migliaia 13 4 6" xfId="10752" xr:uid="{C3479E68-1FDC-41B6-AF0D-2236C461F5C7}"/>
    <cellStyle name="Migliaia 13 4 6 2" xfId="21387" xr:uid="{B8FBC699-8E57-4365-9B34-BB441F893A9F}"/>
    <cellStyle name="Migliaia 13 4 6 2 2" xfId="38510" xr:uid="{61752FDD-91E4-4FC6-B973-F28F34236A26}"/>
    <cellStyle name="Migliaia 13 4 6 2 3" xfId="43812" xr:uid="{8CF414B0-63FD-4B22-82E7-350F082B1818}"/>
    <cellStyle name="Migliaia 13 4 6 2 4" xfId="33140" xr:uid="{8D17FBAB-6737-42D7-B5DF-1B65EFBA01F9}"/>
    <cellStyle name="Migliaia 13 4 6 3" xfId="36033" xr:uid="{1A3C2171-D24D-45AC-8BB9-2C2ECF1E937C}"/>
    <cellStyle name="Migliaia 13 4 6 4" xfId="41161" xr:uid="{E6D68F82-D2EA-416C-B8DF-D5810BFB0E2D}"/>
    <cellStyle name="Migliaia 13 4 6 5" xfId="24294" xr:uid="{F20AE55E-52DD-4D37-8E32-BC863D171E35}"/>
    <cellStyle name="Migliaia 13 4 6 6" xfId="48288" xr:uid="{56EE33AB-B482-4E4B-B444-B7802C6D1CCB}"/>
    <cellStyle name="Migliaia 13 4 6 7" xfId="50402" xr:uid="{1DC1C5E2-BF86-4D5E-9127-AD40E1F57A51}"/>
    <cellStyle name="Migliaia 13 4 6 8" xfId="53418" xr:uid="{DE6B36BB-8B67-4ECF-A912-EB0F1C517D89}"/>
    <cellStyle name="Migliaia 13 4 7" xfId="19880" xr:uid="{67DB3A32-E343-46DF-AF5E-6656A1CCE6E9}"/>
    <cellStyle name="Migliaia 13 4 7 2" xfId="33141" xr:uid="{99716DFD-B47C-4BCB-9051-FBE069955238}"/>
    <cellStyle name="Migliaia 13 4 7 2 2" xfId="38511" xr:uid="{CC03CFA4-F469-4510-9F71-A45F835B98D9}"/>
    <cellStyle name="Migliaia 13 4 7 2 3" xfId="43813" xr:uid="{F78DEA16-C7A8-43F8-9F47-CFE6318DE90A}"/>
    <cellStyle name="Migliaia 13 4 7 3" xfId="36034" xr:uid="{68B75C7E-51ED-4F1A-9CBF-AF650261CB81}"/>
    <cellStyle name="Migliaia 13 4 7 4" xfId="41162" xr:uid="{61109483-2544-47FA-B7F5-83B9AD506574}"/>
    <cellStyle name="Migliaia 13 4 7 5" xfId="24295" xr:uid="{88F0DA72-2DE2-4514-AF17-D3F991493C87}"/>
    <cellStyle name="Migliaia 13 4 8" xfId="24292" xr:uid="{77BD7B34-EA3B-4AF9-9AF7-A87CD3766043}"/>
    <cellStyle name="Migliaia 13 4 9" xfId="7317" xr:uid="{97D325CC-3DB2-4CF0-B782-DC432AF1327D}"/>
    <cellStyle name="Migliaia 13 5" xfId="1677" xr:uid="{00000000-0005-0000-0000-0000E4020000}"/>
    <cellStyle name="Migliaia 13 5 2" xfId="4899" xr:uid="{F18C8C67-41AE-4411-92E0-0E2781DA4201}"/>
    <cellStyle name="Migliaia 13 5 2 2" xfId="18371" xr:uid="{55FB874F-81D8-45B7-BA89-93452E1673CA}"/>
    <cellStyle name="Migliaia 13 5 2 2 2" xfId="38512" xr:uid="{6EB933B8-9E75-4B81-A73E-C2A2994D94F0}"/>
    <cellStyle name="Migliaia 13 5 2 2 3" xfId="43814" xr:uid="{94694091-1CCF-49E1-B1CC-2FE6BC41800A}"/>
    <cellStyle name="Migliaia 13 5 2 3" xfId="19883" xr:uid="{58657380-4904-42BF-8F60-0018A1A472C4}"/>
    <cellStyle name="Migliaia 13 5 2 3 2" xfId="36035" xr:uid="{888EC172-D6B7-4DCB-9E06-6D2C5DC4FD80}"/>
    <cellStyle name="Migliaia 13 5 2 4" xfId="41163" xr:uid="{9911A6B1-FFFF-45B1-89D9-82282017420A}"/>
    <cellStyle name="Migliaia 13 5 2 5" xfId="16069" xr:uid="{BD0334E2-E8DE-4C74-9E92-53C6DC8ED15A}"/>
    <cellStyle name="Migliaia 13 5 2 6" xfId="8508" xr:uid="{544106B1-FDAE-484F-9A5A-7D80A14AA199}"/>
    <cellStyle name="Migliaia 13 5 3" xfId="6118" xr:uid="{66ED7BD3-5C9C-4C53-9DF5-B8F8BA69CB87}"/>
    <cellStyle name="Migliaia 13 5 3 2" xfId="33142" xr:uid="{9636B4EA-4742-4FC4-9B6D-84529E6D40CF}"/>
    <cellStyle name="Migliaia 13 5 3 2 2" xfId="38513" xr:uid="{33CA0F71-7CFE-4B31-8EBA-F3B77FD39712}"/>
    <cellStyle name="Migliaia 13 5 3 2 3" xfId="43815" xr:uid="{5B8BC182-0065-426C-A060-9FDE6560C2B2}"/>
    <cellStyle name="Migliaia 13 5 3 3" xfId="36036" xr:uid="{44816237-00D7-4410-B664-20865B1206FC}"/>
    <cellStyle name="Migliaia 13 5 3 4" xfId="41164" xr:uid="{44F0EB65-8076-463C-83CE-2D007287ECC5}"/>
    <cellStyle name="Migliaia 13 5 3 5" xfId="11255" xr:uid="{484F4FA7-B5C8-4541-9CA2-F29DC81FD8B4}"/>
    <cellStyle name="Migliaia 13 5 4" xfId="3173" xr:uid="{A0836E60-A796-4B81-9C6A-4C3FB9145E77}"/>
    <cellStyle name="Migliaia 13 5 4 2" xfId="21389" xr:uid="{DF479013-38F7-4C8E-9633-FA1A4C5C2A91}"/>
    <cellStyle name="Migliaia 13 5 4 2 2" xfId="38514" xr:uid="{3E217622-D775-4549-A674-8B1A9DF7463B}"/>
    <cellStyle name="Migliaia 13 5 4 2 3" xfId="43816" xr:uid="{BD8EC983-7AB8-455A-852E-53920CA24780}"/>
    <cellStyle name="Migliaia 13 5 4 2 4" xfId="33143" xr:uid="{EE66C35C-4BE4-4E11-AD9A-7C7B1DB994CE}"/>
    <cellStyle name="Migliaia 13 5 4 3" xfId="36037" xr:uid="{D8E6F0DD-9F7C-4A05-AA74-1E178D9F254B}"/>
    <cellStyle name="Migliaia 13 5 4 4" xfId="41165" xr:uid="{67D588DE-C809-409B-8A8A-1BAA07459325}"/>
    <cellStyle name="Migliaia 13 5 4 5" xfId="24297" xr:uid="{3B84B158-1380-4880-9D21-2B4128B70EF1}"/>
    <cellStyle name="Migliaia 13 5 4 6" xfId="47300" xr:uid="{375E4AE2-8DAC-450D-8D1B-148BBE122808}"/>
    <cellStyle name="Migliaia 13 5 4 7" xfId="50404" xr:uid="{6A05FEF6-2D49-44DA-88FD-3BA0DB68A360}"/>
    <cellStyle name="Migliaia 13 5 4 8" xfId="53420" xr:uid="{C191B21B-74BD-464E-9119-36A5B4A11AAF}"/>
    <cellStyle name="Migliaia 13 5 4 9" xfId="10754" xr:uid="{D6DB2D08-9DDB-48C3-BB7D-0F42BAFF0512}"/>
    <cellStyle name="Migliaia 13 5 5" xfId="19882" xr:uid="{6A9EF6F7-FCB2-4AFB-9526-EDA7D993D363}"/>
    <cellStyle name="Migliaia 13 5 5 2" xfId="33144" xr:uid="{5BDEC56E-8725-454E-A552-2ED6FC7EC391}"/>
    <cellStyle name="Migliaia 13 5 5 2 2" xfId="38515" xr:uid="{558B4B65-65BC-4C57-A00C-3B15091E2FB1}"/>
    <cellStyle name="Migliaia 13 5 5 2 3" xfId="43817" xr:uid="{21C72AC5-BAA4-40BB-9831-93F2769B7188}"/>
    <cellStyle name="Migliaia 13 5 5 3" xfId="36038" xr:uid="{53E73467-8D26-443C-902B-E6D31E8B856A}"/>
    <cellStyle name="Migliaia 13 5 5 4" xfId="41166" xr:uid="{B254FE10-DF0A-4F09-8576-8A82587488FE}"/>
    <cellStyle name="Migliaia 13 5 5 5" xfId="24298" xr:uid="{C2C013C0-E0ED-4CEE-A396-4580C57EA267}"/>
    <cellStyle name="Migliaia 13 5 6" xfId="24299" xr:uid="{FC0BB3D2-C55C-4E3C-BB2E-399BE35492B9}"/>
    <cellStyle name="Migliaia 13 5 6 2" xfId="33145" xr:uid="{1BA155B9-2BF7-48C3-81F0-4BC774AA16FC}"/>
    <cellStyle name="Migliaia 13 5 6 2 2" xfId="38516" xr:uid="{A3CAEC0D-2CD6-45A9-9AB9-7160F516C0DC}"/>
    <cellStyle name="Migliaia 13 5 6 2 3" xfId="43818" xr:uid="{165A1816-544D-4291-8574-BC1C42099227}"/>
    <cellStyle name="Migliaia 13 5 6 3" xfId="36039" xr:uid="{D808C6E8-C7D8-41EF-B382-00CCAC06725C}"/>
    <cellStyle name="Migliaia 13 5 6 4" xfId="41167" xr:uid="{D36663F6-0567-40C7-ABB3-D4BC0B7A7804}"/>
    <cellStyle name="Migliaia 13 5 7" xfId="24296" xr:uid="{83349A3D-ED20-4913-AC3A-8B78EE590400}"/>
    <cellStyle name="Migliaia 13 5 8" xfId="7318" xr:uid="{4DA8059C-A065-40DB-841B-CCEDAAD72BA4}"/>
    <cellStyle name="Migliaia 13 6" xfId="3174" xr:uid="{CE1B7F1C-7D78-4B76-A55C-FE5798633F07}"/>
    <cellStyle name="Migliaia 13 6 2" xfId="4900" xr:uid="{E3B8178D-DDED-4F1F-A089-ADA8A44EFF91}"/>
    <cellStyle name="Migliaia 13 6 2 2" xfId="9889" xr:uid="{6671354B-9ACE-42A6-8A6D-5E0551C6E069}"/>
    <cellStyle name="Migliaia 13 6 2 3" xfId="18676" xr:uid="{004783EA-B33A-4B50-9B18-24DA65A6E4B5}"/>
    <cellStyle name="Migliaia 13 6 2 4" xfId="19885" xr:uid="{41FF3440-A793-42AD-ABB2-9EF374AC4D58}"/>
    <cellStyle name="Migliaia 13 6 2 5" xfId="32307" xr:uid="{80C0F73C-521B-48B2-B5D6-28F02E6669DE}"/>
    <cellStyle name="Migliaia 13 6 2 6" xfId="16071" xr:uid="{DBCF1BAB-0CE7-466A-92F7-368029320C2F}"/>
    <cellStyle name="Migliaia 13 6 2 7" xfId="8503" xr:uid="{5FADAEA8-31F2-4207-8CDC-CFB4A1C4E133}"/>
    <cellStyle name="Migliaia 13 6 3" xfId="6119" xr:uid="{A2AA4359-D3F0-4189-B69B-B61DC128451E}"/>
    <cellStyle name="Migliaia 13 6 3 2" xfId="35153" xr:uid="{FC157022-F096-4E6E-AC8D-4781D30B0642}"/>
    <cellStyle name="Migliaia 13 6 3 2 2" xfId="40311" xr:uid="{8379A4B3-8195-4B61-8212-6731C5AF9F8E}"/>
    <cellStyle name="Migliaia 13 6 3 2 3" xfId="45613" xr:uid="{031D1A15-8890-4220-9C01-B7D995BF27D8}"/>
    <cellStyle name="Migliaia 13 6 3 3" xfId="37660" xr:uid="{178C8F4E-BD29-46D7-99E7-2BC9D462D282}"/>
    <cellStyle name="Migliaia 13 6 3 4" xfId="42962" xr:uid="{E6904C30-5B5A-4D49-B20D-AF53A783DC9D}"/>
    <cellStyle name="Migliaia 13 6 3 5" xfId="9652" xr:uid="{66B9BA0F-B3DE-46F6-81CA-3767647C7EF3}"/>
    <cellStyle name="Migliaia 13 6 4" xfId="19884" xr:uid="{A43AB79D-576B-4A82-AA9A-A8DD635F427B}"/>
    <cellStyle name="Migliaia 13 6 4 2" xfId="38517" xr:uid="{B346B248-F048-4C7D-B35E-E7A467541FB6}"/>
    <cellStyle name="Migliaia 13 6 4 3" xfId="43819" xr:uid="{F0F607BC-11C3-4726-80C3-0DB80A655C57}"/>
    <cellStyle name="Migliaia 13 6 4 4" xfId="33146" xr:uid="{EA11353A-51B6-4CA7-90A2-6225A266F2EB}"/>
    <cellStyle name="Migliaia 13 6 5" xfId="36040" xr:uid="{15C76789-B972-4419-AF33-B3DD28004BA7}"/>
    <cellStyle name="Migliaia 13 6 6" xfId="41168" xr:uid="{90E9163A-2762-4B37-9A1F-25EF1AE41D5C}"/>
    <cellStyle name="Migliaia 13 6 7" xfId="16070" xr:uid="{72483167-9ED5-418A-874C-9D58D43DACBA}"/>
    <cellStyle name="Migliaia 13 6 8" xfId="7313" xr:uid="{8B4695D9-CE5E-4F83-A358-8E4906EF3440}"/>
    <cellStyle name="Migliaia 13 7" xfId="3175" xr:uid="{F2B4D53E-3B7A-4476-B9EA-28716B1C0261}"/>
    <cellStyle name="Migliaia 13 7 2" xfId="4901" xr:uid="{EE3FAAD7-ECDA-4512-80E1-D398A5ACCAF5}"/>
    <cellStyle name="Migliaia 13 7 2 2" xfId="35154" xr:uid="{460CE8EC-12F9-4083-9C6E-B44FF8763609}"/>
    <cellStyle name="Migliaia 13 7 2 2 2" xfId="40312" xr:uid="{C99EA8DA-BD57-4595-A641-F2212C346108}"/>
    <cellStyle name="Migliaia 13 7 2 2 3" xfId="45614" xr:uid="{1BCBA3F7-5445-4012-8199-CC222797A478}"/>
    <cellStyle name="Migliaia 13 7 2 3" xfId="37661" xr:uid="{4521D11D-A4B8-45F0-B36E-787A4586E2D3}"/>
    <cellStyle name="Migliaia 13 7 2 4" xfId="42963" xr:uid="{1A7B0B3C-A03C-4466-8254-AB14A085CAD0}"/>
    <cellStyle name="Migliaia 13 7 2 5" xfId="14190" xr:uid="{2D687C2C-A340-40B6-B857-3C50999F3E58}"/>
    <cellStyle name="Migliaia 13 7 3" xfId="6120" xr:uid="{AAE0BC7D-E9A3-4924-AD41-8819BB72148B}"/>
    <cellStyle name="Migliaia 13 7 3 2" xfId="38518" xr:uid="{B1AB54A1-DEFD-420E-A634-80BEEF82F4A0}"/>
    <cellStyle name="Migliaia 13 7 3 3" xfId="43820" xr:uid="{03A84541-2D34-41BA-A152-E3BE9083E5F6}"/>
    <cellStyle name="Migliaia 13 7 3 4" xfId="33147" xr:uid="{1E7E1196-05C0-4B82-8B96-E45A7D397341}"/>
    <cellStyle name="Migliaia 13 7 3 5" xfId="19886" xr:uid="{185331CA-A25A-4CD2-A1B0-3E63F506BDBF}"/>
    <cellStyle name="Migliaia 13 7 4" xfId="36041" xr:uid="{B50927E9-0F20-44C0-AC6D-0C7D9070B1D7}"/>
    <cellStyle name="Migliaia 13 7 5" xfId="41169" xr:uid="{12F81F7E-6B98-47AA-8587-AD44E6F5866F}"/>
    <cellStyle name="Migliaia 13 7 6" xfId="16072" xr:uid="{D4AF85A0-CE02-4580-A425-3DE81A685154}"/>
    <cellStyle name="Migliaia 13 7 7" xfId="8252" xr:uid="{60A6F641-699A-4752-8A61-5E44838C29AA}"/>
    <cellStyle name="Migliaia 13 8" xfId="3176" xr:uid="{6C611D75-8C11-4475-ABEC-F475F7738929}"/>
    <cellStyle name="Migliaia 13 8 2" xfId="4902" xr:uid="{CCEF93C9-81AF-4D94-94A4-117CF2EA4B6C}"/>
    <cellStyle name="Migliaia 13 8 2 2" xfId="35155" xr:uid="{C1881006-959F-41A2-AB28-17FBC0322BD4}"/>
    <cellStyle name="Migliaia 13 8 2 2 2" xfId="40313" xr:uid="{D9781DDB-C60F-4A97-B678-6C0FE1A086E0}"/>
    <cellStyle name="Migliaia 13 8 2 2 3" xfId="45615" xr:uid="{09AA256B-1220-441E-B436-386AF7A77F1F}"/>
    <cellStyle name="Migliaia 13 8 2 3" xfId="37662" xr:uid="{7B704A5E-6CE6-4EE7-91B4-26BF0F3EB353}"/>
    <cellStyle name="Migliaia 13 8 2 4" xfId="42964" xr:uid="{1529B2DC-2FAE-4696-9673-AE0F687443D7}"/>
    <cellStyle name="Migliaia 13 8 2 5" xfId="13893" xr:uid="{16DB425E-B24E-4E1A-93DD-F021FC9B7B3D}"/>
    <cellStyle name="Migliaia 13 8 3" xfId="6121" xr:uid="{16DF3222-E734-45C8-A646-AAB2935B52AE}"/>
    <cellStyle name="Migliaia 13 8 3 2" xfId="38519" xr:uid="{51BA05D8-B55F-4F8A-9521-BA7BF92DBEEC}"/>
    <cellStyle name="Migliaia 13 8 3 3" xfId="43821" xr:uid="{7AC84393-9FCD-4ED6-BB45-E266F7EA5109}"/>
    <cellStyle name="Migliaia 13 8 3 4" xfId="33148" xr:uid="{4E27C67D-B8C5-4AE3-8862-D7EEBE8BC8CB}"/>
    <cellStyle name="Migliaia 13 8 3 5" xfId="19887" xr:uid="{907D0214-F1D7-412F-9BD1-BC4F7BDAE411}"/>
    <cellStyle name="Migliaia 13 8 4" xfId="36042" xr:uid="{A5FB4337-B083-4D6A-B04B-A142E038ABB5}"/>
    <cellStyle name="Migliaia 13 8 5" xfId="41170" xr:uid="{1EF852E5-8761-4D92-B8CC-E8027721B105}"/>
    <cellStyle name="Migliaia 13 8 6" xfId="16073" xr:uid="{772E4B4A-90D7-4547-81D2-FC2E18C146D3}"/>
    <cellStyle name="Migliaia 13 8 7" xfId="7835" xr:uid="{8E7BEBA3-7D2D-43DF-9868-4E31E989B326}"/>
    <cellStyle name="Migliaia 13 9" xfId="4887" xr:uid="{C6B1E964-4974-4B1E-AB6E-DF1142806F8B}"/>
    <cellStyle name="Migliaia 13 9 2" xfId="33149" xr:uid="{F36BFB54-76CF-4FBB-A28F-664A9305AEC0}"/>
    <cellStyle name="Migliaia 13 9 2 2" xfId="38520" xr:uid="{A545EAC1-C2F0-478A-ADBC-AC2C730CCEAE}"/>
    <cellStyle name="Migliaia 13 9 2 3" xfId="43822" xr:uid="{9FC89445-7036-4E33-ABFB-60C5A194BE03}"/>
    <cellStyle name="Migliaia 13 9 3" xfId="36043" xr:uid="{6792ED95-35D0-4205-9A4A-5C000D3BC63A}"/>
    <cellStyle name="Migliaia 13 9 4" xfId="41171" xr:uid="{9B4ED42D-6811-4F77-A928-F22C42BCD3FB}"/>
    <cellStyle name="Migliaia 13 9 5" xfId="17143" xr:uid="{7856E001-00F8-4F01-B6BF-0841F2A7B796}"/>
    <cellStyle name="Migliaia 14" xfId="317" xr:uid="{00000000-0005-0000-0000-0000E5020000}"/>
    <cellStyle name="Migliaia 14 10" xfId="6122" xr:uid="{AFACF5B1-C2F3-4AEB-9BCE-49C4D3ACC986}"/>
    <cellStyle name="Migliaia 14 10 2" xfId="38521" xr:uid="{C1D0AA0D-ADE9-4823-9412-E884A2F5A337}"/>
    <cellStyle name="Migliaia 14 10 3" xfId="43823" xr:uid="{09E85EBD-AD99-40FC-85C7-5B7C9F6D2E79}"/>
    <cellStyle name="Migliaia 14 10 4" xfId="33150" xr:uid="{27C0FAD6-B2D7-4401-916B-6875DBB1BA32}"/>
    <cellStyle name="Migliaia 14 10 5" xfId="19888" xr:uid="{D023BE3A-68B3-4041-ACFB-2B38111494EC}"/>
    <cellStyle name="Migliaia 14 11" xfId="3177" xr:uid="{78461DA8-8FA0-482B-8F9A-044A55B48314}"/>
    <cellStyle name="Migliaia 14 11 2" xfId="36044" xr:uid="{901FF3A3-DB9D-44CC-8AFA-15B63AB82D2E}"/>
    <cellStyle name="Migliaia 14 12" xfId="41172" xr:uid="{6CA679D3-47A1-435A-8621-11C5991464A1}"/>
    <cellStyle name="Migliaia 14 13" xfId="7056" xr:uid="{1AA3B54C-E46A-430E-9C89-E178B6D4A471}"/>
    <cellStyle name="Migliaia 14 2" xfId="318" xr:uid="{00000000-0005-0000-0000-0000E6020000}"/>
    <cellStyle name="Migliaia 14 2 2" xfId="1678" xr:uid="{00000000-0005-0000-0000-0000E7020000}"/>
    <cellStyle name="Migliaia 14 2 2 2" xfId="4905" xr:uid="{F52D6DEA-4681-4C4C-BBA3-BF6643C38E59}"/>
    <cellStyle name="Migliaia 14 2 2 2 2" xfId="14367" xr:uid="{E5EC9185-E031-45F8-A675-B5602138B5B8}"/>
    <cellStyle name="Migliaia 14 2 2 2 2 2" xfId="38522" xr:uid="{ACAA560D-B2A0-455A-B38F-298F6CA0D90D}"/>
    <cellStyle name="Migliaia 14 2 2 2 2 3" xfId="43824" xr:uid="{C4B506F5-02C9-403E-9C48-ADC8D27A9A76}"/>
    <cellStyle name="Migliaia 14 2 2 2 3" xfId="18372" xr:uid="{7357510F-A1BA-45E2-9F46-317AD1B26B5A}"/>
    <cellStyle name="Migliaia 14 2 2 2 4" xfId="19891" xr:uid="{636AF86B-0331-46C9-9EA1-370477A226A1}"/>
    <cellStyle name="Migliaia 14 2 2 2 4 2" xfId="41173" xr:uid="{10CD394B-336E-44D9-8B41-DC7A6FF81772}"/>
    <cellStyle name="Migliaia 14 2 2 2 5" xfId="16074" xr:uid="{87492518-09C8-46D8-BB8A-113BC75804D5}"/>
    <cellStyle name="Migliaia 14 2 2 2 6" xfId="8510" xr:uid="{AE80EF08-F13D-4D7D-9C2A-76E5B14EDD72}"/>
    <cellStyle name="Migliaia 14 2 2 3" xfId="6124" xr:uid="{5D9525EA-ECB8-4772-BE57-F5038E65D7E8}"/>
    <cellStyle name="Migliaia 14 2 2 3 2" xfId="35156" xr:uid="{B45DCD7A-905B-4595-B838-38A13A3B1DAB}"/>
    <cellStyle name="Migliaia 14 2 2 3 2 2" xfId="40314" xr:uid="{ADE803AC-299E-4ADA-8F28-1190A302E7A5}"/>
    <cellStyle name="Migliaia 14 2 2 3 2 3" xfId="45616" xr:uid="{3BE61AD0-A66D-49CE-81F4-9D75D1C2DBEF}"/>
    <cellStyle name="Migliaia 14 2 2 3 3" xfId="37663" xr:uid="{EE0C7E03-FF60-4CB5-BB50-15BBFC08CC87}"/>
    <cellStyle name="Migliaia 14 2 2 3 4" xfId="42965" xr:uid="{C02EC9C1-2539-4BAB-84E7-918FAC90E6DC}"/>
    <cellStyle name="Migliaia 14 2 2 3 5" xfId="11596" xr:uid="{9771F3F0-1D8D-4D42-A975-CCAB3F982230}"/>
    <cellStyle name="Migliaia 14 2 2 4" xfId="3179" xr:uid="{82FBAFE7-646B-42EC-B368-3B8605EFADBD}"/>
    <cellStyle name="Migliaia 14 2 2 4 2" xfId="21390" xr:uid="{150DB793-BD82-4A20-95EF-81F8DE788D2D}"/>
    <cellStyle name="Migliaia 14 2 2 4 3" xfId="46207" xr:uid="{924E932C-7A9E-439A-ACB2-1FFF7EEEF8AD}"/>
    <cellStyle name="Migliaia 14 2 2 4 4" xfId="50405" xr:uid="{9EDF6B1D-980B-4133-8E32-6773098E33F4}"/>
    <cellStyle name="Migliaia 14 2 2 4 5" xfId="53421" xr:uid="{0B024939-FFA6-4BF0-84CB-1464A3502D89}"/>
    <cellStyle name="Migliaia 14 2 2 4 6" xfId="10755" xr:uid="{A4D6208B-4C4A-473A-B168-2C326266DB54}"/>
    <cellStyle name="Migliaia 14 2 2 5" xfId="19890" xr:uid="{D98561F1-9AF5-477C-B687-D3CA4DF6C98E}"/>
    <cellStyle name="Migliaia 14 2 2 6" xfId="24301" xr:uid="{25EDC3C1-2499-4277-A931-39059B13D39E}"/>
    <cellStyle name="Migliaia 14 2 2 7" xfId="7320" xr:uid="{5E273ABD-F298-4801-B795-A60BA5CCBD07}"/>
    <cellStyle name="Migliaia 14 2 3" xfId="3180" xr:uid="{32BEA417-3353-4F51-B00C-88EE0C5B6102}"/>
    <cellStyle name="Migliaia 14 2 3 2" xfId="4906" xr:uid="{940981CB-36D8-4ECE-B7D0-01CB84AF46C7}"/>
    <cellStyle name="Migliaia 14 2 3 2 2" xfId="35157" xr:uid="{31E77326-7DAC-4C5B-A545-6DF97E660CE0}"/>
    <cellStyle name="Migliaia 14 2 3 2 2 2" xfId="40315" xr:uid="{B72E752F-B372-4441-AF11-6A30DB08772F}"/>
    <cellStyle name="Migliaia 14 2 3 2 2 3" xfId="45617" xr:uid="{DA943A6B-B947-42F0-9D3B-4C1D8640FA15}"/>
    <cellStyle name="Migliaia 14 2 3 2 3" xfId="37664" xr:uid="{1C864A16-55AF-4BA3-8EFE-D0DF7FBD0A2D}"/>
    <cellStyle name="Migliaia 14 2 3 2 4" xfId="42966" xr:uid="{9C20A4C3-F36E-4255-A08B-4B69130E7E9C}"/>
    <cellStyle name="Migliaia 14 2 3 2 5" xfId="14194" xr:uid="{5B9DBDF0-1950-4462-8E30-BEB83954E99C}"/>
    <cellStyle name="Migliaia 14 2 3 3" xfId="6125" xr:uid="{D561AFD0-14F8-493C-9F25-E619828D2D6F}"/>
    <cellStyle name="Migliaia 14 2 3 3 2" xfId="38523" xr:uid="{DB1C3635-96E2-4157-B650-5C951016FF2B}"/>
    <cellStyle name="Migliaia 14 2 3 3 3" xfId="43825" xr:uid="{CF2D76E8-9128-4934-A823-35EB0EC637B7}"/>
    <cellStyle name="Migliaia 14 2 3 3 4" xfId="33151" xr:uid="{EC00FCC0-B2C8-4DFD-982A-13966D70C726}"/>
    <cellStyle name="Migliaia 14 2 3 3 5" xfId="19892" xr:uid="{3056E3C4-0582-41F3-BD32-D34F1E796536}"/>
    <cellStyle name="Migliaia 14 2 3 4" xfId="36045" xr:uid="{E8E45BC3-8B16-49F7-B6F9-B0117DFB6CDF}"/>
    <cellStyle name="Migliaia 14 2 3 5" xfId="41174" xr:uid="{5CCD46FC-06BD-4688-84D8-09DAB39FA0E3}"/>
    <cellStyle name="Migliaia 14 2 3 6" xfId="16075" xr:uid="{A0191910-BC00-4732-B64C-78DCDB890E52}"/>
    <cellStyle name="Migliaia 14 2 3 7" xfId="8256" xr:uid="{A0088051-C4DD-4CFC-BC6D-D4B74A2F2AAC}"/>
    <cellStyle name="Migliaia 14 2 4" xfId="4904" xr:uid="{5251EC31-29E0-4091-AB8A-DC3B8E62B3DB}"/>
    <cellStyle name="Migliaia 14 2 4 2" xfId="13897" xr:uid="{8B1715B8-6472-423D-97C8-45B8C6E4EC97}"/>
    <cellStyle name="Migliaia 14 2 4 2 2" xfId="38524" xr:uid="{5ECEEC35-67E7-42CC-9DCC-2439189F1957}"/>
    <cellStyle name="Migliaia 14 2 4 2 3" xfId="43826" xr:uid="{14CC94F0-DC98-41E4-8857-72CD4256BD4C}"/>
    <cellStyle name="Migliaia 14 2 4 3" xfId="18013" xr:uid="{93047A84-3441-4FF9-B44D-1FFC28A97CCE}"/>
    <cellStyle name="Migliaia 14 2 4 4" xfId="19893" xr:uid="{4FE7A76C-B401-45C6-B332-CB77CC9B92AB}"/>
    <cellStyle name="Migliaia 14 2 4 4 2" xfId="41175" xr:uid="{00DC8DA6-8601-4CFD-9E94-260E7DB0D1C1}"/>
    <cellStyle name="Migliaia 14 2 4 5" xfId="16076" xr:uid="{AC35D904-385A-4AE6-B325-06C02AC61BAE}"/>
    <cellStyle name="Migliaia 14 2 4 6" xfId="7840" xr:uid="{08FC95BF-F9E6-40C1-9340-666208CEBA5B}"/>
    <cellStyle name="Migliaia 14 2 5" xfId="6123" xr:uid="{09CD4F76-96EC-494D-A98B-7D418438084F}"/>
    <cellStyle name="Migliaia 14 2 5 2" xfId="33152" xr:uid="{B5927BDD-FD9B-4EB1-9AC9-2FE9D14335F7}"/>
    <cellStyle name="Migliaia 14 2 5 2 2" xfId="38525" xr:uid="{B41DA60F-40CA-4AFD-82A5-F77AC7ACF9A1}"/>
    <cellStyle name="Migliaia 14 2 5 2 3" xfId="43827" xr:uid="{7F959AC0-D57D-498F-A938-720033F8C50D}"/>
    <cellStyle name="Migliaia 14 2 5 3" xfId="36046" xr:uid="{A8E01118-0C5A-45B7-B570-AA5144C9A25A}"/>
    <cellStyle name="Migliaia 14 2 5 4" xfId="41176" xr:uid="{BA12B95B-04BA-4A4C-96A8-CABFFEFFF6CA}"/>
    <cellStyle name="Migliaia 14 2 5 5" xfId="13107" xr:uid="{1B731F3E-8161-42A7-BE4A-0260599E2A9F}"/>
    <cellStyle name="Migliaia 14 2 6" xfId="3178" xr:uid="{74A4A554-2E88-4081-A7EB-F7671F8EB68D}"/>
    <cellStyle name="Migliaia 14 2 6 2" xfId="33153" xr:uid="{59F4F62C-627C-4AE0-95C1-549991C484A8}"/>
    <cellStyle name="Migliaia 14 2 6 2 2" xfId="38526" xr:uid="{FCB188E5-B1D2-4787-B4A0-210D168818CC}"/>
    <cellStyle name="Migliaia 14 2 6 2 3" xfId="43828" xr:uid="{784D1E07-BCB3-4D87-90C5-CDE826E9CAC5}"/>
    <cellStyle name="Migliaia 14 2 6 3" xfId="36047" xr:uid="{2F992291-C9FE-4CA3-9236-6BAE63F6693F}"/>
    <cellStyle name="Migliaia 14 2 6 4" xfId="41177" xr:uid="{0A9ABF8A-38A6-46FD-934F-26918FFDC674}"/>
    <cellStyle name="Migliaia 14 2 6 5" xfId="24302" xr:uid="{8F759785-B364-4570-82EE-A5D516E2FAC9}"/>
    <cellStyle name="Migliaia 14 2 6 6" xfId="19889" xr:uid="{0781619E-19B4-41B2-A2EC-53028DDAE5E7}"/>
    <cellStyle name="Migliaia 14 2 7" xfId="24300" xr:uid="{3A6E4FD7-695F-4FE9-9078-9CA638F59A3C}"/>
    <cellStyle name="Migliaia 14 2 8" xfId="7057" xr:uid="{A54FBA84-0C4B-49D3-A766-61FC1FB4B94D}"/>
    <cellStyle name="Migliaia 14 3" xfId="319" xr:uid="{00000000-0005-0000-0000-0000E8020000}"/>
    <cellStyle name="Migliaia 14 3 10" xfId="24303" xr:uid="{3C2CA67B-A5EC-4101-9EFC-98BEA704E975}"/>
    <cellStyle name="Migliaia 14 3 11" xfId="16077" xr:uid="{577AFD19-FB0C-49DE-9847-3BF393646A3C}"/>
    <cellStyle name="Migliaia 14 3 12" xfId="7058" xr:uid="{16F23169-127F-4C8C-BDDB-4272236A52CC}"/>
    <cellStyle name="Migliaia 14 3 2" xfId="320" xr:uid="{00000000-0005-0000-0000-0000E9020000}"/>
    <cellStyle name="Migliaia 14 3 2 2" xfId="1679" xr:uid="{00000000-0005-0000-0000-0000EA020000}"/>
    <cellStyle name="Migliaia 14 3 2 2 2" xfId="4909" xr:uid="{41CE3350-31F8-46B8-BC3F-A316BB34751B}"/>
    <cellStyle name="Migliaia 14 3 2 2 2 2" xfId="18373" xr:uid="{F165BAFD-5488-46DE-ADE1-B9D024088B95}"/>
    <cellStyle name="Migliaia 14 3 2 2 2 2 2" xfId="21842" xr:uid="{E7248319-FC69-4610-809A-1918A9E8FFB8}"/>
    <cellStyle name="Migliaia 14 3 2 2 2 2 2 2" xfId="38527" xr:uid="{F021E581-1495-4577-B3F4-B8263D515DDB}"/>
    <cellStyle name="Migliaia 14 3 2 2 2 2 3" xfId="43829" xr:uid="{ECB2152B-F24F-4539-B4E0-E70FD9943C46}"/>
    <cellStyle name="Migliaia 14 3 2 2 2 2 4" xfId="33154" xr:uid="{18CB0AFA-69BC-44DA-A7D6-76E799CC1AE8}"/>
    <cellStyle name="Migliaia 14 3 2 2 2 3" xfId="36048" xr:uid="{F0209CFE-DFBA-4F09-99B1-46119262B1C6}"/>
    <cellStyle name="Migliaia 14 3 2 2 2 4" xfId="41178" xr:uid="{E8A668D1-AA73-4798-A0BB-B951C1ADE450}"/>
    <cellStyle name="Migliaia 14 3 2 2 2 5" xfId="47011" xr:uid="{FA873E99-A689-4F0B-922B-6F3A796FD069}"/>
    <cellStyle name="Migliaia 14 3 2 2 2 6" xfId="50870" xr:uid="{7A3FAC1A-FC31-45E8-BCAB-E34B9E635EDD}"/>
    <cellStyle name="Migliaia 14 3 2 2 2 7" xfId="53886" xr:uid="{4732F40A-43B1-49D1-8399-38EAF56E6B2D}"/>
    <cellStyle name="Migliaia 14 3 2 2 2 8" xfId="17643" xr:uid="{B4B3959D-E2A7-4668-8C4C-B416870198E6}"/>
    <cellStyle name="Migliaia 14 3 2 2 2 9" xfId="11903" xr:uid="{E6C98EEE-56DA-41E7-968D-AB4A40323D7A}"/>
    <cellStyle name="Migliaia 14 3 2 2 3" xfId="6128" xr:uid="{D802CEEB-D8D8-4D38-8969-12DF2413B3AD}"/>
    <cellStyle name="Migliaia 14 3 2 2 3 2" xfId="11684" xr:uid="{63E62E25-7D6A-4054-ABD2-5B4FDD2A8F3E}"/>
    <cellStyle name="Migliaia 14 3 2 2 4" xfId="3183" xr:uid="{74E7B9BD-C74A-4CB3-8CCF-ABBC90B4FC95}"/>
    <cellStyle name="Migliaia 14 3 2 2 4 2" xfId="21391" xr:uid="{FC0037A1-E5F4-4D4E-B8AD-B307246EFBD3}"/>
    <cellStyle name="Migliaia 14 3 2 2 4 3" xfId="47893" xr:uid="{1ED8681A-C796-45DA-8A69-A704D2CC3C17}"/>
    <cellStyle name="Migliaia 14 3 2 2 4 4" xfId="50406" xr:uid="{A44DCC71-0956-46C2-A8C8-0F62B513B9E5}"/>
    <cellStyle name="Migliaia 14 3 2 2 4 5" xfId="53422" xr:uid="{845BA1D3-4177-4988-9BEC-7BD316EC6752}"/>
    <cellStyle name="Migliaia 14 3 2 2 4 6" xfId="10756" xr:uid="{481CA621-C63A-478B-92DC-B97B08147A1A}"/>
    <cellStyle name="Migliaia 14 3 2 2 5" xfId="19896" xr:uid="{6E54C4D9-F41A-430E-8A6E-2DB8D11D7E53}"/>
    <cellStyle name="Migliaia 14 3 2 2 6" xfId="24305" xr:uid="{18EDD79C-E717-4DC1-9323-EEE4E5D4A467}"/>
    <cellStyle name="Migliaia 14 3 2 2 7" xfId="8512" xr:uid="{FCAB6E4A-85EE-41A7-8D68-A52014D4059F}"/>
    <cellStyle name="Migliaia 14 3 2 3" xfId="4908" xr:uid="{B232A490-8FE6-420F-B286-0DD6248FEF86}"/>
    <cellStyle name="Migliaia 14 3 2 3 2" xfId="12229" xr:uid="{9631D86B-DB0A-4A58-8969-A12D21B85006}"/>
    <cellStyle name="Migliaia 14 3 2 3 2 2" xfId="38528" xr:uid="{0C353A9F-71C1-4367-AAFE-773592B983E7}"/>
    <cellStyle name="Migliaia 14 3 2 3 2 3" xfId="43830" xr:uid="{8B125071-DDB3-494B-8D3B-9795EEADF1AE}"/>
    <cellStyle name="Migliaia 14 3 2 3 2 4" xfId="33155" xr:uid="{A13E61A6-19CA-4FAC-A874-D4187B8788C8}"/>
    <cellStyle name="Migliaia 14 3 2 3 3" xfId="11904" xr:uid="{90C262F6-124A-4992-8EE4-6412C7E78C80}"/>
    <cellStyle name="Migliaia 14 3 2 3 4" xfId="19897" xr:uid="{23E6B408-F54B-46D1-AD0A-A22285BC8124}"/>
    <cellStyle name="Migliaia 14 3 2 3 4 2" xfId="41179" xr:uid="{051FC932-8766-4086-ACAE-3829056C5EB2}"/>
    <cellStyle name="Migliaia 14 3 2 3 5" xfId="16078" xr:uid="{36D3AF57-3608-4EDD-93FB-3698B4367CE3}"/>
    <cellStyle name="Migliaia 14 3 2 3 6" xfId="7842" xr:uid="{393C3883-3C3D-4FE8-810A-B6291E8D40F4}"/>
    <cellStyle name="Migliaia 14 3 2 4" xfId="6127" xr:uid="{39C6231B-DA26-4A21-B036-C02DB5C2B50C}"/>
    <cellStyle name="Migliaia 14 3 2 4 2" xfId="18062" xr:uid="{C34D441C-5812-40BD-BCFD-B98B474B437C}"/>
    <cellStyle name="Migliaia 14 3 2 4 2 2" xfId="38529" xr:uid="{59BB7ABF-30FA-4AC3-9467-15637B92D1A0}"/>
    <cellStyle name="Migliaia 14 3 2 4 2 3" xfId="43831" xr:uid="{420702B3-8DD4-476E-A531-5CBD2F5640A6}"/>
    <cellStyle name="Migliaia 14 3 2 4 3" xfId="36049" xr:uid="{76AD4847-2435-4F42-BD9B-AAA6531A845F}"/>
    <cellStyle name="Migliaia 14 3 2 4 4" xfId="41180" xr:uid="{C7C98953-1CEB-42A6-9CA6-729C31B418D3}"/>
    <cellStyle name="Migliaia 14 3 2 4 5" xfId="17146" xr:uid="{EBC447C4-539B-4BCD-81CC-762C44C4C9CA}"/>
    <cellStyle name="Migliaia 14 3 2 4 6" xfId="11256" xr:uid="{42699003-3C2A-4188-8142-CEBEC766AD48}"/>
    <cellStyle name="Migliaia 14 3 2 5" xfId="3182" xr:uid="{6D45E44A-773D-49DB-9840-317B2F7A8008}"/>
    <cellStyle name="Migliaia 14 3 2 5 2" xfId="33156" xr:uid="{B9637F82-6EE0-4621-837C-E0F196C9A393}"/>
    <cellStyle name="Migliaia 14 3 2 5 2 2" xfId="38530" xr:uid="{3DD8EA34-0584-483F-96F5-688AF1BF7DE5}"/>
    <cellStyle name="Migliaia 14 3 2 5 2 3" xfId="43832" xr:uid="{B5D1CF3C-0FDD-4DDF-9523-D697934AB166}"/>
    <cellStyle name="Migliaia 14 3 2 5 3" xfId="36050" xr:uid="{7B25D02E-F2EF-4306-80F4-964E18F4BAED}"/>
    <cellStyle name="Migliaia 14 3 2 5 4" xfId="41181" xr:uid="{3A44DED8-098C-4730-A498-2617A1F6A7D4}"/>
    <cellStyle name="Migliaia 14 3 2 5 5" xfId="17411" xr:uid="{76F949D4-7ABC-43E3-96C9-93197C996827}"/>
    <cellStyle name="Migliaia 14 3 2 6" xfId="19895" xr:uid="{D7F6CBED-CCEF-4AFC-97EA-3BB281D8F9F4}"/>
    <cellStyle name="Migliaia 14 3 2 6 2" xfId="33157" xr:uid="{6D2298B3-F96D-4833-8FFB-A6B94443581F}"/>
    <cellStyle name="Migliaia 14 3 2 6 2 2" xfId="38531" xr:uid="{FDAB7E14-42FF-4CF7-AF7F-E2674775459F}"/>
    <cellStyle name="Migliaia 14 3 2 6 2 3" xfId="43833" xr:uid="{247A7D39-2E94-4400-A1DA-82381C6239CC}"/>
    <cellStyle name="Migliaia 14 3 2 6 3" xfId="36051" xr:uid="{0369604B-4637-4618-B4A7-DBE4E287255B}"/>
    <cellStyle name="Migliaia 14 3 2 6 4" xfId="41182" xr:uid="{0678942B-4EC1-4E5F-8297-B8E45E4D915E}"/>
    <cellStyle name="Migliaia 14 3 2 6 5" xfId="24306" xr:uid="{C26446E8-BC5B-4B19-8DF4-48D926804253}"/>
    <cellStyle name="Migliaia 14 3 2 7" xfId="24304" xr:uid="{3073E27F-1D88-4971-8BD4-F66A3D312FBB}"/>
    <cellStyle name="Migliaia 14 3 2 8" xfId="7322" xr:uid="{FD2CB1D8-FB23-4070-8C0B-DBDDADFCF949}"/>
    <cellStyle name="Migliaia 14 3 3" xfId="3184" xr:uid="{77B6B7C9-BEE3-4219-9908-79E01EEC9A5E}"/>
    <cellStyle name="Migliaia 14 3 3 10" xfId="7321" xr:uid="{FA332ECA-DE23-4C7B-834E-908D2150B1B2}"/>
    <cellStyle name="Migliaia 14 3 3 2" xfId="4910" xr:uid="{339D99ED-FA04-4698-9C93-F6AFE701BD66}"/>
    <cellStyle name="Migliaia 14 3 3 2 2" xfId="9892" xr:uid="{587DC493-344C-4124-B1EE-BD32D41511EF}"/>
    <cellStyle name="Migliaia 14 3 3 2 2 2" xfId="38533" xr:uid="{E4CB58DC-79F9-4516-BD88-5EDC8D00AC5C}"/>
    <cellStyle name="Migliaia 14 3 3 2 2 3" xfId="43835" xr:uid="{EFED0053-7707-49E5-BD18-3EE82DA74B4A}"/>
    <cellStyle name="Migliaia 14 3 3 2 3" xfId="18172" xr:uid="{7E0F3060-4AD8-4204-86E9-33D4F5A2BF83}"/>
    <cellStyle name="Migliaia 14 3 3 2 4" xfId="19899" xr:uid="{70EAA542-2F49-4135-AF5F-503F243F3E3A}"/>
    <cellStyle name="Migliaia 14 3 3 2 4 2" xfId="41184" xr:uid="{C8856DF2-DE56-477F-872F-5269E2D2315C}"/>
    <cellStyle name="Migliaia 14 3 3 2 5" xfId="16080" xr:uid="{2C65882F-58CE-4F94-AC22-DC04C2EC1DCD}"/>
    <cellStyle name="Migliaia 14 3 3 2 6" xfId="8511" xr:uid="{CE32ACB1-3EB5-4341-B9AF-A9DCE93788FA}"/>
    <cellStyle name="Migliaia 14 3 3 3" xfId="6129" xr:uid="{537EF845-9A4C-4164-A1AB-E22DA3A22BAB}"/>
    <cellStyle name="Migliaia 14 3 3 3 2" xfId="33159" xr:uid="{6BD2C782-177A-4B31-A175-E04B9A3B9C79}"/>
    <cellStyle name="Migliaia 14 3 3 3 2 2" xfId="38534" xr:uid="{452A7293-2610-415E-BBA5-19F35A3C632E}"/>
    <cellStyle name="Migliaia 14 3 3 3 2 3" xfId="43836" xr:uid="{E92BB78A-A4C7-47D1-80F0-9D8D86A4DF47}"/>
    <cellStyle name="Migliaia 14 3 3 3 3" xfId="36053" xr:uid="{3D564776-4873-460E-BD50-18EBAAC59A68}"/>
    <cellStyle name="Migliaia 14 3 3 3 4" xfId="41185" xr:uid="{1D8259A2-528E-44E3-BC86-3EDAEE399D6D}"/>
    <cellStyle name="Migliaia 14 3 3 3 5" xfId="9655" xr:uid="{9E655186-3CB7-4583-AE39-1C897B184717}"/>
    <cellStyle name="Migliaia 14 3 3 4" xfId="19898" xr:uid="{DBCF3341-2705-45A6-8042-FA8A4B6EF773}"/>
    <cellStyle name="Migliaia 14 3 3 4 2" xfId="33160" xr:uid="{E6D2BBC2-E76A-4191-A957-423093CCBCCE}"/>
    <cellStyle name="Migliaia 14 3 3 4 2 2" xfId="38535" xr:uid="{FC117751-711A-4ABC-8A4C-84F89A0E4DF9}"/>
    <cellStyle name="Migliaia 14 3 3 4 2 3" xfId="43837" xr:uid="{651BA3B7-F7A2-4A03-8F1F-55132F9A40F7}"/>
    <cellStyle name="Migliaia 14 3 3 4 3" xfId="36054" xr:uid="{480794EB-B3CA-4F48-9458-D83902B5B588}"/>
    <cellStyle name="Migliaia 14 3 3 4 4" xfId="41186" xr:uid="{C76E9435-8D56-4175-AB8E-9FF108E02C0B}"/>
    <cellStyle name="Migliaia 14 3 3 4 5" xfId="24307" xr:uid="{3717FECF-7419-4249-BDFA-7C4949136229}"/>
    <cellStyle name="Migliaia 14 3 3 5" xfId="24308" xr:uid="{C44713CE-D2BB-4A7F-A15A-42BB17B77EE9}"/>
    <cellStyle name="Migliaia 14 3 3 5 2" xfId="33161" xr:uid="{3AD90E83-45DC-49A4-BC53-E307C7D17C84}"/>
    <cellStyle name="Migliaia 14 3 3 5 2 2" xfId="38536" xr:uid="{88DF9220-7A09-4DA3-8B16-3EAC43347424}"/>
    <cellStyle name="Migliaia 14 3 3 5 2 3" xfId="43838" xr:uid="{9C029CB2-FA4D-4A60-8059-233EB6DC365D}"/>
    <cellStyle name="Migliaia 14 3 3 5 3" xfId="36055" xr:uid="{22E54C94-EBDC-4A33-A481-3EACCFB38345}"/>
    <cellStyle name="Migliaia 14 3 3 5 4" xfId="41187" xr:uid="{A363EA79-30F9-4886-B1A9-2238E07B8587}"/>
    <cellStyle name="Migliaia 14 3 3 6" xfId="33158" xr:uid="{2E3A7C85-084A-4AB8-AE14-57CAA78C0B59}"/>
    <cellStyle name="Migliaia 14 3 3 6 2" xfId="38532" xr:uid="{574E574A-3ABF-4423-8C9E-F7A6D4A9E803}"/>
    <cellStyle name="Migliaia 14 3 3 6 3" xfId="43834" xr:uid="{A60C0015-96AB-46DF-BD3B-C730EE3C6F87}"/>
    <cellStyle name="Migliaia 14 3 3 7" xfId="36052" xr:uid="{6688C23E-CE50-4731-B2F1-0B09A5A01C7D}"/>
    <cellStyle name="Migliaia 14 3 3 8" xfId="41183" xr:uid="{10E156EF-0DB7-45F9-84E5-1BCE52AF1752}"/>
    <cellStyle name="Migliaia 14 3 3 9" xfId="16079" xr:uid="{BB3D3A44-D38C-4B86-9A6B-55081F602EE7}"/>
    <cellStyle name="Migliaia 14 3 4" xfId="3185" xr:uid="{A1EA2DB7-F7D2-4E69-A1E3-C4E9B0E70487}"/>
    <cellStyle name="Migliaia 14 3 4 2" xfId="4911" xr:uid="{9DB0BA99-6A06-41B5-87EE-FF0581E1AD4A}"/>
    <cellStyle name="Migliaia 14 3 4 2 2" xfId="14428" xr:uid="{DFB52A4B-79D4-421E-B208-3EE984846675}"/>
    <cellStyle name="Migliaia 14 3 4 2 3" xfId="18590" xr:uid="{1DC66BA3-68FE-415B-96A1-DB0F26D1D895}"/>
    <cellStyle name="Migliaia 14 3 4 2 4" xfId="19901" xr:uid="{3CE5CD89-6C71-437B-B0D0-61888BBD8F3A}"/>
    <cellStyle name="Migliaia 14 3 4 2 5" xfId="32308" xr:uid="{79FF99F2-EF60-4F5C-9AF8-5006B2477015}"/>
    <cellStyle name="Migliaia 14 3 4 2 6" xfId="16082" xr:uid="{EB8CD7E3-6FAC-411A-94C8-7BD71EBCBDB4}"/>
    <cellStyle name="Migliaia 14 3 4 2 7" xfId="8851" xr:uid="{EC80AF0C-CD31-481E-9D60-649518A0B3C8}"/>
    <cellStyle name="Migliaia 14 3 4 3" xfId="6130" xr:uid="{F2793EA7-0D19-41B5-B2C8-CEBC7078C830}"/>
    <cellStyle name="Migliaia 14 3 4 3 2" xfId="35158" xr:uid="{9583A157-10CD-47D5-9699-8A583F1C1392}"/>
    <cellStyle name="Migliaia 14 3 4 3 2 2" xfId="40316" xr:uid="{45203ABE-A586-4D72-ABAC-C5630AD01C9E}"/>
    <cellStyle name="Migliaia 14 3 4 3 2 3" xfId="45618" xr:uid="{F9255F09-FA4E-4092-A858-2E3DB350C3AC}"/>
    <cellStyle name="Migliaia 14 3 4 3 3" xfId="37665" xr:uid="{2C672F2C-5C47-4B39-BC55-0AB1BD715A26}"/>
    <cellStyle name="Migliaia 14 3 4 3 4" xfId="42967" xr:uid="{D9AB312D-6385-4874-91BA-0360BBC0A08B}"/>
    <cellStyle name="Migliaia 14 3 4 3 5" xfId="13676" xr:uid="{1BEC15A8-E0D3-42A2-AA2F-25975BDB41AC}"/>
    <cellStyle name="Migliaia 14 3 4 4" xfId="19900" xr:uid="{87095BB7-AE7A-4AC7-8618-986AAB4EB90B}"/>
    <cellStyle name="Migliaia 14 3 4 4 2" xfId="38537" xr:uid="{ED0F0894-D8AE-4A0F-A922-1F21848A235B}"/>
    <cellStyle name="Migliaia 14 3 4 4 3" xfId="43839" xr:uid="{0A77125C-F34B-4925-BBDB-BC18E7E96427}"/>
    <cellStyle name="Migliaia 14 3 4 4 4" xfId="33162" xr:uid="{2992360E-AB4C-4401-8F84-7CBC91CE112F}"/>
    <cellStyle name="Migliaia 14 3 4 5" xfId="36056" xr:uid="{2E307412-7358-436F-9ADB-F7129F0D50E3}"/>
    <cellStyle name="Migliaia 14 3 4 6" xfId="41188" xr:uid="{230BEC15-61E2-4844-BCC8-549EFB4667FE}"/>
    <cellStyle name="Migliaia 14 3 4 7" xfId="16081" xr:uid="{4DD9A0F3-DE3E-4B02-A0AF-766D850E9158}"/>
    <cellStyle name="Migliaia 14 3 4 8" xfId="7661" xr:uid="{C32E770C-8456-478F-B0C4-7F1CD1CE7C60}"/>
    <cellStyle name="Migliaia 14 3 5" xfId="3186" xr:uid="{45BB84BB-5639-4FF8-A183-C59773CCAD04}"/>
    <cellStyle name="Migliaia 14 3 5 2" xfId="4912" xr:uid="{6A4A9AA9-46A7-4B3F-A8C0-22FD0377A141}"/>
    <cellStyle name="Migliaia 14 3 5 2 2" xfId="35159" xr:uid="{734B478F-FAAE-4A6D-AB78-AF15A013B6CF}"/>
    <cellStyle name="Migliaia 14 3 5 2 2 2" xfId="40317" xr:uid="{15FD9506-0B53-4D75-BAD7-7CD74C134D44}"/>
    <cellStyle name="Migliaia 14 3 5 2 2 3" xfId="45619" xr:uid="{79489D8A-7768-4B2E-BA34-745ECF3D0A6F}"/>
    <cellStyle name="Migliaia 14 3 5 2 3" xfId="37666" xr:uid="{40DA44B5-F2B8-44CD-8AD5-5A8D697FCEEB}"/>
    <cellStyle name="Migliaia 14 3 5 2 4" xfId="42968" xr:uid="{AA9B2593-3402-476B-8BE6-1C9052D363ED}"/>
    <cellStyle name="Migliaia 14 3 5 2 5" xfId="14195" xr:uid="{B1E0D2D8-AD1E-45BC-87A4-2D60EB2A7DB1}"/>
    <cellStyle name="Migliaia 14 3 5 3" xfId="6131" xr:uid="{99C11310-EE17-4A91-8C4B-96692250718C}"/>
    <cellStyle name="Migliaia 14 3 5 3 2" xfId="38538" xr:uid="{314EAED1-319C-4E71-A315-488100612951}"/>
    <cellStyle name="Migliaia 14 3 5 3 3" xfId="43840" xr:uid="{C0D1BB47-795D-4C6E-BFC8-77000989D3CB}"/>
    <cellStyle name="Migliaia 14 3 5 3 4" xfId="33163" xr:uid="{B45A5D82-969E-4CBD-B374-343A7EE5DCDB}"/>
    <cellStyle name="Migliaia 14 3 5 3 5" xfId="19902" xr:uid="{139B61D3-5DBB-452B-9FB1-A993D96E58E8}"/>
    <cellStyle name="Migliaia 14 3 5 4" xfId="36057" xr:uid="{6700DDD3-5D31-4BAA-8061-BE7149DDEBEF}"/>
    <cellStyle name="Migliaia 14 3 5 5" xfId="41189" xr:uid="{A49DB6D4-F9E7-460C-A62F-C396CA90C224}"/>
    <cellStyle name="Migliaia 14 3 5 6" xfId="16083" xr:uid="{1808A08F-4AED-43EF-BCCF-3CD38FD34504}"/>
    <cellStyle name="Migliaia 14 3 5 7" xfId="8257" xr:uid="{FDB96DC4-8E80-4D4C-AA6B-DADDB8257F70}"/>
    <cellStyle name="Migliaia 14 3 6" xfId="4907" xr:uid="{C9EE868E-C7D0-43EC-9439-13FF0AFEFCFE}"/>
    <cellStyle name="Migliaia 14 3 6 2" xfId="13898" xr:uid="{0E047370-C71D-4FE4-B845-1DB669AF2AE9}"/>
    <cellStyle name="Migliaia 14 3 6 2 2" xfId="38539" xr:uid="{24989A41-780C-43FF-B176-B146D611F711}"/>
    <cellStyle name="Migliaia 14 3 6 2 3" xfId="43841" xr:uid="{A8C68BD0-6A07-436B-ACD3-07230F44D937}"/>
    <cellStyle name="Migliaia 14 3 6 3" xfId="18724" xr:uid="{400511DF-CA84-43C0-861F-6EE414128397}"/>
    <cellStyle name="Migliaia 14 3 6 4" xfId="19903" xr:uid="{9D0D3DAC-9DF6-4F2E-AC8F-38CA6967F12A}"/>
    <cellStyle name="Migliaia 14 3 6 4 2" xfId="41190" xr:uid="{C30170C7-509C-409A-B6CD-E828A21F9878}"/>
    <cellStyle name="Migliaia 14 3 6 5" xfId="16084" xr:uid="{0DDBA85D-4950-4C28-AA42-25868A12CF57}"/>
    <cellStyle name="Migliaia 14 3 6 6" xfId="7841" xr:uid="{3FC9C6B4-68F1-4319-A722-1503B797D9B5}"/>
    <cellStyle name="Migliaia 14 3 7" xfId="6126" xr:uid="{17DF4EE6-88E2-48FB-B2A3-BBC49217EFAC}"/>
    <cellStyle name="Migliaia 14 3 7 2" xfId="33164" xr:uid="{AA0133B9-ACD5-4BB9-ABE9-CB0EA7B223B0}"/>
    <cellStyle name="Migliaia 14 3 7 2 2" xfId="38540" xr:uid="{F41AE793-46A8-4164-9E60-76E22D8688E5}"/>
    <cellStyle name="Migliaia 14 3 7 2 3" xfId="43842" xr:uid="{3E6F5B3D-99A6-49B8-AAFF-D16781CD3C1B}"/>
    <cellStyle name="Migliaia 14 3 7 3" xfId="36059" xr:uid="{3C2F6237-1ADE-4D88-838E-95AB22DE5F22}"/>
    <cellStyle name="Migliaia 14 3 7 4" xfId="41191" xr:uid="{8149C89B-E7FF-431D-9741-5D4F27F87332}"/>
    <cellStyle name="Migliaia 14 3 7 5" xfId="11222" xr:uid="{F8E240BF-37C9-4F7E-A9D0-46B408D72649}"/>
    <cellStyle name="Migliaia 14 3 8" xfId="3181" xr:uid="{6BE41C24-B8C9-445C-878A-E46708774162}"/>
    <cellStyle name="Migliaia 14 3 8 2" xfId="33165" xr:uid="{E5588EBE-0F92-4037-978B-A08578EF87D6}"/>
    <cellStyle name="Migliaia 14 3 8 2 2" xfId="38541" xr:uid="{7908F303-6EA5-46DE-A501-C630CE5E2968}"/>
    <cellStyle name="Migliaia 14 3 8 2 3" xfId="43843" xr:uid="{6BE97FAA-D0AA-49C5-BBF3-0ADB57F28AE6}"/>
    <cellStyle name="Migliaia 14 3 8 3" xfId="36060" xr:uid="{F51A75B7-E6FD-4304-8219-7CCF9F7622F8}"/>
    <cellStyle name="Migliaia 14 3 8 4" xfId="41192" xr:uid="{15605105-CEB5-4B1B-8FC4-CCDA6D4BE1EC}"/>
    <cellStyle name="Migliaia 14 3 8 5" xfId="24310" xr:uid="{05839B43-0693-458E-9228-5E42759D4D48}"/>
    <cellStyle name="Migliaia 14 3 8 6" xfId="17412" xr:uid="{31E6400B-65A0-43D3-B240-61FD8C45C119}"/>
    <cellStyle name="Migliaia 14 3 9" xfId="19894" xr:uid="{FE9F0DBB-3286-4DA1-B06E-A527148BCF74}"/>
    <cellStyle name="Migliaia 14 4" xfId="1680" xr:uid="{00000000-0005-0000-0000-0000EB020000}"/>
    <cellStyle name="Migliaia 14 4 2" xfId="1681" xr:uid="{00000000-0005-0000-0000-0000EC020000}"/>
    <cellStyle name="Migliaia 14 4 2 2" xfId="4914" xr:uid="{5221FF7D-2A52-41F0-AE8B-10CBECCFF2EC}"/>
    <cellStyle name="Migliaia 14 4 2 2 2" xfId="33166" xr:uid="{C704FB6B-4D44-4005-A1D4-CDB5B481C518}"/>
    <cellStyle name="Migliaia 14 4 2 2 2 2" xfId="38542" xr:uid="{E16FD695-71F7-4870-B6CB-49D6495CA6BF}"/>
    <cellStyle name="Migliaia 14 4 2 2 2 3" xfId="43844" xr:uid="{7F2C7774-1DF0-418C-8194-D10637692481}"/>
    <cellStyle name="Migliaia 14 4 2 2 3" xfId="36061" xr:uid="{435B6F30-13A1-4428-8079-F1238F73F8C5}"/>
    <cellStyle name="Migliaia 14 4 2 2 4" xfId="41193" xr:uid="{01B51405-6D33-490C-8DBE-2A8FE8FDAA7A}"/>
    <cellStyle name="Migliaia 14 4 2 2 5" xfId="9118" xr:uid="{3A9759FA-F3D9-443E-8B6A-7F3814EA5D3A}"/>
    <cellStyle name="Migliaia 14 4 2 3" xfId="3188" xr:uid="{C54C62C7-FA7C-47A7-B735-283770C5007E}"/>
    <cellStyle name="Migliaia 14 4 2 3 2" xfId="33167" xr:uid="{6FFCF5CA-CF45-4954-B5E6-53E05705D5C5}"/>
    <cellStyle name="Migliaia 14 4 2 3 2 2" xfId="38543" xr:uid="{844C308F-E676-4295-807A-E8CB8BA8E960}"/>
    <cellStyle name="Migliaia 14 4 2 3 2 3" xfId="43845" xr:uid="{BB6CF709-512C-43FE-81FF-7B57AE083B5C}"/>
    <cellStyle name="Migliaia 14 4 2 3 3" xfId="36062" xr:uid="{7567DBC5-1221-416C-AED1-9EC43AEA80DE}"/>
    <cellStyle name="Migliaia 14 4 2 3 4" xfId="41194" xr:uid="{ED3998BD-2AC8-4C10-9492-51A86EFC513A}"/>
    <cellStyle name="Migliaia 14 4 2 3 5" xfId="11905" xr:uid="{E202E015-00DB-4566-B194-A370D272CD0D}"/>
    <cellStyle name="Migliaia 14 4 2 4" xfId="11258" xr:uid="{83BA6371-BE5B-456F-BA81-FBEDD4E54662}"/>
    <cellStyle name="Migliaia 14 4 2 5" xfId="10758" xr:uid="{97214CF5-BFFE-4B54-A873-0820CEE6184F}"/>
    <cellStyle name="Migliaia 14 4 2 5 2" xfId="21393" xr:uid="{0BE20979-43C7-4702-B186-550DCDA52703}"/>
    <cellStyle name="Migliaia 14 4 2 5 3" xfId="46209" xr:uid="{AE1D45B8-9A22-417E-AC28-7EEDE6D8637F}"/>
    <cellStyle name="Migliaia 14 4 2 5 4" xfId="50408" xr:uid="{D69CE45E-8F16-41C6-AB94-9B061C23E406}"/>
    <cellStyle name="Migliaia 14 4 2 5 5" xfId="53424" xr:uid="{43D40255-7BD9-4321-B429-DF4DDC275D75}"/>
    <cellStyle name="Migliaia 14 4 2 6" xfId="19905" xr:uid="{E1DF71DB-7B9C-4CD5-B1C3-5FD54D7A9E4F}"/>
    <cellStyle name="Migliaia 14 4 2 7" xfId="24312" xr:uid="{65BE748B-B680-4C1F-9516-6FCDA8891358}"/>
    <cellStyle name="Migliaia 14 4 2 8" xfId="8513" xr:uid="{F50C578F-AF3F-4866-8BFB-391A768AA1DC}"/>
    <cellStyle name="Migliaia 14 4 3" xfId="4913" xr:uid="{918A0472-B2C7-4907-891C-E492A19C61BB}"/>
    <cellStyle name="Migliaia 14 4 3 2" xfId="18173" xr:uid="{1A01C0F3-16BC-4D5F-84DE-A56E997B3479}"/>
    <cellStyle name="Migliaia 14 4 3 2 2" xfId="38544" xr:uid="{5CB8E730-6635-4394-ADEF-7091503EE53E}"/>
    <cellStyle name="Migliaia 14 4 3 2 3" xfId="43846" xr:uid="{89DF4FB0-A96D-493F-AB52-D794D81ECD61}"/>
    <cellStyle name="Migliaia 14 4 3 3" xfId="36063" xr:uid="{1E59D8F0-F2B2-4948-85C6-7FE025079D46}"/>
    <cellStyle name="Migliaia 14 4 3 4" xfId="41195" xr:uid="{F113262A-34BE-414A-B596-611E33791E7B}"/>
    <cellStyle name="Migliaia 14 4 3 5" xfId="17410" xr:uid="{B9512EBD-8148-4CF4-AEC1-7C9559B0D807}"/>
    <cellStyle name="Migliaia 14 4 3 6" xfId="9119" xr:uid="{8A5991F9-3F66-4BDA-B231-774D92BF8AE1}"/>
    <cellStyle name="Migliaia 14 4 4" xfId="6132" xr:uid="{820D8213-5592-4CFF-982D-9851E2FD878D}"/>
    <cellStyle name="Migliaia 14 4 4 2" xfId="33169" xr:uid="{548EE332-CB17-47D5-91AD-6FC58EBD6780}"/>
    <cellStyle name="Migliaia 14 4 4 2 2" xfId="38545" xr:uid="{3ED5EECA-DDBD-4A19-B2C1-3043574DDA59}"/>
    <cellStyle name="Migliaia 14 4 4 2 3" xfId="43847" xr:uid="{69552277-121A-4B21-8FBF-0B195DA1F5A2}"/>
    <cellStyle name="Migliaia 14 4 4 3" xfId="36064" xr:uid="{638F3A29-3F43-4252-A1AA-A0B3C7D1990A}"/>
    <cellStyle name="Migliaia 14 4 4 4" xfId="41196" xr:uid="{6160DB15-A213-4051-B4E6-D2DD2D395D13}"/>
    <cellStyle name="Migliaia 14 4 4 5" xfId="11906" xr:uid="{94CC2C6A-D0E3-409D-A262-A424745E6FB7}"/>
    <cellStyle name="Migliaia 14 4 5" xfId="3187" xr:uid="{BC286E36-6ADB-44AB-ACF3-BDB94DD408AD}"/>
    <cellStyle name="Migliaia 14 4 5 2" xfId="33170" xr:uid="{23DFE0CB-6D0A-4B23-B89E-7A819D9A5FAB}"/>
    <cellStyle name="Migliaia 14 4 5 2 2" xfId="38546" xr:uid="{84432882-82A8-49E7-B6CE-876D06DFD05A}"/>
    <cellStyle name="Migliaia 14 4 5 2 3" xfId="43848" xr:uid="{7F3BBC49-4995-41B4-B4E6-F0F4BEE78E17}"/>
    <cellStyle name="Migliaia 14 4 5 3" xfId="36065" xr:uid="{1C5F57EB-9D0A-415B-A95A-B066DA06C54D}"/>
    <cellStyle name="Migliaia 14 4 5 4" xfId="41197" xr:uid="{F6539369-384D-4777-869B-90F562C9EEBF}"/>
    <cellStyle name="Migliaia 14 4 5 5" xfId="11257" xr:uid="{3E2423AA-4F19-450D-94EB-E85B08938075}"/>
    <cellStyle name="Migliaia 14 4 6" xfId="10757" xr:uid="{13D001F7-533F-4052-89FA-080CE9973E2A}"/>
    <cellStyle name="Migliaia 14 4 6 2" xfId="21392" xr:uid="{4C13B776-52AB-4FC0-A8C7-87F4118CE5EB}"/>
    <cellStyle name="Migliaia 14 4 6 2 2" xfId="38547" xr:uid="{E59ABBC9-F6C2-46B1-B1F5-DFD5D4F17EB4}"/>
    <cellStyle name="Migliaia 14 4 6 2 3" xfId="43849" xr:uid="{09A7900C-15ED-400C-AAE1-08C15CC03702}"/>
    <cellStyle name="Migliaia 14 4 6 2 4" xfId="33171" xr:uid="{6476E19B-A2A3-4934-8863-28D84F49324F}"/>
    <cellStyle name="Migliaia 14 4 6 3" xfId="36066" xr:uid="{2C9C94C9-7C98-4E6F-8EED-DA3D2C88FEB0}"/>
    <cellStyle name="Migliaia 14 4 6 4" xfId="41198" xr:uid="{AF028236-4B5D-4625-96A9-E9E3AB24C063}"/>
    <cellStyle name="Migliaia 14 4 6 5" xfId="24317" xr:uid="{31C01CDC-B91C-4CFB-B359-E7046E5B665E}"/>
    <cellStyle name="Migliaia 14 4 6 6" xfId="46208" xr:uid="{D578CE96-B7DA-408F-A9D5-1B80B8F2A0D2}"/>
    <cellStyle name="Migliaia 14 4 6 7" xfId="50407" xr:uid="{8AAFA9B6-F204-4059-A9D0-7D761B2A689F}"/>
    <cellStyle name="Migliaia 14 4 6 8" xfId="53423" xr:uid="{5E4530AF-2BE5-46E3-833A-E83BED27882D}"/>
    <cellStyle name="Migliaia 14 4 7" xfId="19904" xr:uid="{C30689F5-5A26-4CFE-8F85-F6DAEABC167D}"/>
    <cellStyle name="Migliaia 14 4 7 2" xfId="33172" xr:uid="{51DA1C08-73FC-4695-9A3B-4DCB93F2D66A}"/>
    <cellStyle name="Migliaia 14 4 7 2 2" xfId="38548" xr:uid="{94720733-CC76-4467-BFF1-16C0A5ED3A69}"/>
    <cellStyle name="Migliaia 14 4 7 2 3" xfId="43850" xr:uid="{DB2EC6B0-230D-4295-9FAA-FE086441EDA2}"/>
    <cellStyle name="Migliaia 14 4 7 3" xfId="36067" xr:uid="{56501EC8-0857-4905-9D3B-93080C53507B}"/>
    <cellStyle name="Migliaia 14 4 7 4" xfId="41199" xr:uid="{1759DA51-E062-4060-8F96-A85F1ED11F35}"/>
    <cellStyle name="Migliaia 14 4 7 5" xfId="24318" xr:uid="{2C52EE2C-B77A-4B99-BA92-01327501B22D}"/>
    <cellStyle name="Migliaia 14 4 8" xfId="24311" xr:uid="{EDE59271-68B3-4CCF-A68D-492361390C36}"/>
    <cellStyle name="Migliaia 14 4 9" xfId="7323" xr:uid="{4F0140F9-9981-41C8-9259-85FF4DA3679A}"/>
    <cellStyle name="Migliaia 14 5" xfId="1682" xr:uid="{00000000-0005-0000-0000-0000ED020000}"/>
    <cellStyle name="Migliaia 14 5 2" xfId="4915" xr:uid="{482ABD40-BBF9-46F6-8409-5A5630DB9417}"/>
    <cellStyle name="Migliaia 14 5 2 2" xfId="18374" xr:uid="{ABE91369-3A22-4FE6-8733-2EAAF987EDB4}"/>
    <cellStyle name="Migliaia 14 5 2 2 2" xfId="38549" xr:uid="{9D17CF5F-13DE-4EB0-8888-5FB2297E0584}"/>
    <cellStyle name="Migliaia 14 5 2 2 3" xfId="43851" xr:uid="{AFFDE406-FC32-48C6-98AC-2CBAB1C005DD}"/>
    <cellStyle name="Migliaia 14 5 2 3" xfId="19907" xr:uid="{298F394A-D808-43FE-BFF4-A1B7DCED90F2}"/>
    <cellStyle name="Migliaia 14 5 2 3 2" xfId="36068" xr:uid="{B0193DB0-7C52-4915-A1A6-D1AD06143203}"/>
    <cellStyle name="Migliaia 14 5 2 4" xfId="41200" xr:uid="{51A8ABCC-50B6-48FE-A09C-6E7E0F7B2C90}"/>
    <cellStyle name="Migliaia 14 5 2 5" xfId="16085" xr:uid="{7AD4DEAA-037B-4817-9ADB-F4CBD3169358}"/>
    <cellStyle name="Migliaia 14 5 2 6" xfId="8514" xr:uid="{5382C5CF-7954-4E1A-A123-645B8A2D0BCD}"/>
    <cellStyle name="Migliaia 14 5 3" xfId="6133" xr:uid="{067A04A7-0942-47F2-87E4-D968C2557137}"/>
    <cellStyle name="Migliaia 14 5 3 2" xfId="33173" xr:uid="{7846DF79-6E29-404B-95C8-968154E0C8D9}"/>
    <cellStyle name="Migliaia 14 5 3 2 2" xfId="38550" xr:uid="{A707B04C-DC72-450B-9AA3-A38114DDD3C6}"/>
    <cellStyle name="Migliaia 14 5 3 2 3" xfId="43852" xr:uid="{150F9117-6D81-49A6-A1F0-E0B230B5DD9A}"/>
    <cellStyle name="Migliaia 14 5 3 3" xfId="36069" xr:uid="{89CE4FBE-D0F7-4DBA-AA16-CABAA66E54C0}"/>
    <cellStyle name="Migliaia 14 5 3 4" xfId="41201" xr:uid="{110DA762-B507-4834-94DB-AC981413EDA9}"/>
    <cellStyle name="Migliaia 14 5 3 5" xfId="11259" xr:uid="{C7A9032A-E1B7-4EDE-A84E-126A87A30DD7}"/>
    <cellStyle name="Migliaia 14 5 4" xfId="3189" xr:uid="{EAF6DF6C-09F4-464E-AE15-06C92F06EE35}"/>
    <cellStyle name="Migliaia 14 5 4 2" xfId="21394" xr:uid="{266C1A7D-0C26-4867-9CA7-BDB8FEB3EF1D}"/>
    <cellStyle name="Migliaia 14 5 4 2 2" xfId="38551" xr:uid="{06385F11-350F-4D6B-A4F9-B5ABD0EB6F7C}"/>
    <cellStyle name="Migliaia 14 5 4 2 3" xfId="43853" xr:uid="{3BE60867-6C5A-4D3C-BEA1-6ABCD3147E46}"/>
    <cellStyle name="Migliaia 14 5 4 2 4" xfId="33174" xr:uid="{BB3F4199-7E76-4CD9-AF0A-68FE164B6106}"/>
    <cellStyle name="Migliaia 14 5 4 3" xfId="36070" xr:uid="{51165706-6B89-4E9F-8179-78AB24BFE68F}"/>
    <cellStyle name="Migliaia 14 5 4 4" xfId="41202" xr:uid="{342D0E3A-08E2-45FB-A6BB-2DA6CD451653}"/>
    <cellStyle name="Migliaia 14 5 4 5" xfId="24320" xr:uid="{44059D4D-04A5-49E7-9C63-E4A5A7C638AB}"/>
    <cellStyle name="Migliaia 14 5 4 6" xfId="47596" xr:uid="{E26BD476-4A4F-4B7A-AC33-560BA750A4DA}"/>
    <cellStyle name="Migliaia 14 5 4 7" xfId="50409" xr:uid="{29D2FBB3-CDA9-4452-AC38-A60BBA804E7C}"/>
    <cellStyle name="Migliaia 14 5 4 8" xfId="53425" xr:uid="{FCAAFA3E-F705-4BA5-BA06-8FB5F4DE78EA}"/>
    <cellStyle name="Migliaia 14 5 4 9" xfId="10759" xr:uid="{99BC7182-7F3B-4F05-885C-E5D5DCC7804A}"/>
    <cellStyle name="Migliaia 14 5 5" xfId="19906" xr:uid="{486B8BEA-F11B-4BBF-B784-E7E77F744896}"/>
    <cellStyle name="Migliaia 14 5 5 2" xfId="33175" xr:uid="{205CC15B-F12C-40AF-AC10-87248B83B077}"/>
    <cellStyle name="Migliaia 14 5 5 2 2" xfId="38552" xr:uid="{25194D83-80DC-4D0D-84AE-00A70CF0538D}"/>
    <cellStyle name="Migliaia 14 5 5 2 3" xfId="43854" xr:uid="{D9820F54-BA95-4B1B-A7DD-23C54AB5D453}"/>
    <cellStyle name="Migliaia 14 5 5 3" xfId="36071" xr:uid="{938D8CB8-303A-466A-A731-2287FD281D0A}"/>
    <cellStyle name="Migliaia 14 5 5 4" xfId="41203" xr:uid="{D8A12F15-92EF-4ACC-98CB-1F38308CA0DC}"/>
    <cellStyle name="Migliaia 14 5 5 5" xfId="24321" xr:uid="{45FE23E9-B485-4B87-96CE-D8A3CC65188E}"/>
    <cellStyle name="Migliaia 14 5 6" xfId="24322" xr:uid="{D1E31FEB-4E62-4EB9-99C9-4AD036773D3E}"/>
    <cellStyle name="Migliaia 14 5 6 2" xfId="33176" xr:uid="{2CF5C1D8-5F64-4C59-825F-E4243D2005D5}"/>
    <cellStyle name="Migliaia 14 5 6 2 2" xfId="38553" xr:uid="{09E23AD8-AE07-4677-953F-3746AF7839D0}"/>
    <cellStyle name="Migliaia 14 5 6 2 3" xfId="43855" xr:uid="{E330AA27-8139-4B05-A4D4-FA5FFBEE785F}"/>
    <cellStyle name="Migliaia 14 5 6 3" xfId="36072" xr:uid="{AB316B6B-3D7D-4DE1-8591-034E83C8E8F5}"/>
    <cellStyle name="Migliaia 14 5 6 4" xfId="41204" xr:uid="{A10BC7AF-3CFD-4712-BC0C-7F282DF8E785}"/>
    <cellStyle name="Migliaia 14 5 7" xfId="24319" xr:uid="{88CBA463-82AB-459D-9EED-D762C89A995A}"/>
    <cellStyle name="Migliaia 14 5 8" xfId="7324" xr:uid="{5CA77168-DEC3-41EE-82E3-705DE97F1C48}"/>
    <cellStyle name="Migliaia 14 6" xfId="3190" xr:uid="{5B7FA07A-DD4B-48EA-8CAE-35B92D471FB4}"/>
    <cellStyle name="Migliaia 14 6 2" xfId="4916" xr:uid="{E8054902-4583-4A77-805E-3D0CFC3FB816}"/>
    <cellStyle name="Migliaia 14 6 2 2" xfId="9891" xr:uid="{564B511C-8971-4280-9049-0285A200A4F0}"/>
    <cellStyle name="Migliaia 14 6 2 3" xfId="18675" xr:uid="{9EDFC359-4002-445A-8EB3-1BA98237E902}"/>
    <cellStyle name="Migliaia 14 6 2 4" xfId="19909" xr:uid="{B2D64AC8-680B-42E3-AFD3-DBDBCC6194D0}"/>
    <cellStyle name="Migliaia 14 6 2 5" xfId="32309" xr:uid="{1CEC483F-87A5-4AD7-87AA-52C6921F4575}"/>
    <cellStyle name="Migliaia 14 6 2 6" xfId="16087" xr:uid="{760B41B5-8C85-4379-AB17-E9F5ED9AA4A7}"/>
    <cellStyle name="Migliaia 14 6 2 7" xfId="8509" xr:uid="{9FCF0930-296C-4BE8-BC15-693C5E8156EC}"/>
    <cellStyle name="Migliaia 14 6 3" xfId="6134" xr:uid="{A9BB2211-B30D-42E8-AAE1-3CDA90774B32}"/>
    <cellStyle name="Migliaia 14 6 3 2" xfId="35160" xr:uid="{39B12B02-B26C-4F10-ACAE-03C79B99AE48}"/>
    <cellStyle name="Migliaia 14 6 3 2 2" xfId="40318" xr:uid="{B50A9FCF-416D-44D1-B9B7-C9B0E317148F}"/>
    <cellStyle name="Migliaia 14 6 3 2 3" xfId="45620" xr:uid="{D3B1625E-4860-4699-86D1-CF8E15B878D4}"/>
    <cellStyle name="Migliaia 14 6 3 3" xfId="37667" xr:uid="{DBB7F981-5D93-45E5-9466-8BEBE7962DDF}"/>
    <cellStyle name="Migliaia 14 6 3 4" xfId="42969" xr:uid="{466F168B-218E-4E34-9541-E2B43B5B4066}"/>
    <cellStyle name="Migliaia 14 6 3 5" xfId="9654" xr:uid="{FAC0C2FF-75D0-4E4F-8961-A4BFD7C7E4CD}"/>
    <cellStyle name="Migliaia 14 6 4" xfId="19908" xr:uid="{91FF11CB-6A53-4A21-9DF0-242C79B56B90}"/>
    <cellStyle name="Migliaia 14 6 4 2" xfId="38554" xr:uid="{8F10A1A7-242F-4518-ACBA-5D7695198679}"/>
    <cellStyle name="Migliaia 14 6 4 3" xfId="43856" xr:uid="{25A4AEFB-C135-4E27-A3D3-0C196471F652}"/>
    <cellStyle name="Migliaia 14 6 4 4" xfId="33177" xr:uid="{2CB052FB-08BE-4144-BA60-D9F9136A8337}"/>
    <cellStyle name="Migliaia 14 6 5" xfId="36073" xr:uid="{94E336ED-45DB-4324-ACB5-33EC83087EBC}"/>
    <cellStyle name="Migliaia 14 6 6" xfId="41205" xr:uid="{A4C7B944-6F03-46F5-A3D7-B1370B9C061B}"/>
    <cellStyle name="Migliaia 14 6 7" xfId="16086" xr:uid="{A63FCDB5-ED33-489B-BC8F-CD4AB98B478D}"/>
    <cellStyle name="Migliaia 14 6 8" xfId="7319" xr:uid="{2DE58EB7-FBD0-4C09-BC15-8B57F6590484}"/>
    <cellStyle name="Migliaia 14 7" xfId="3191" xr:uid="{B0502376-8199-4235-998D-A43526585DF6}"/>
    <cellStyle name="Migliaia 14 7 2" xfId="4917" xr:uid="{81C9A68C-3CA4-4195-A397-794860A0D82B}"/>
    <cellStyle name="Migliaia 14 7 2 2" xfId="35161" xr:uid="{1E734DBA-E3B3-444E-AFA7-2AF5801753D1}"/>
    <cellStyle name="Migliaia 14 7 2 2 2" xfId="40319" xr:uid="{AF5794FD-3BB7-472A-BC19-1DCE8A06C032}"/>
    <cellStyle name="Migliaia 14 7 2 2 3" xfId="45621" xr:uid="{053F2957-11D9-48F7-969E-BC2B252EB66C}"/>
    <cellStyle name="Migliaia 14 7 2 3" xfId="37668" xr:uid="{BDE7E447-B931-413B-9D17-0B2D51801402}"/>
    <cellStyle name="Migliaia 14 7 2 4" xfId="42970" xr:uid="{33D8A830-9E16-4252-9810-87EE0BF3818E}"/>
    <cellStyle name="Migliaia 14 7 2 5" xfId="14193" xr:uid="{12B62338-45E7-4544-BBEF-891D69FE4EFF}"/>
    <cellStyle name="Migliaia 14 7 3" xfId="6135" xr:uid="{FFAD9086-CABD-41F9-9A98-0B3F6E130EB4}"/>
    <cellStyle name="Migliaia 14 7 3 2" xfId="38555" xr:uid="{8E0F0460-2A52-4F0D-AFBC-8E8AEFB89C9A}"/>
    <cellStyle name="Migliaia 14 7 3 3" xfId="43857" xr:uid="{0104A5D2-6379-4080-BB0C-262C68792B38}"/>
    <cellStyle name="Migliaia 14 7 3 4" xfId="33178" xr:uid="{12CB694E-5862-4854-884D-633B319F3DDC}"/>
    <cellStyle name="Migliaia 14 7 3 5" xfId="19910" xr:uid="{6609AB38-564E-4E05-80F9-32FFDC58E535}"/>
    <cellStyle name="Migliaia 14 7 4" xfId="36074" xr:uid="{10FA7D14-F33C-4CBB-A9BD-6669B418DF15}"/>
    <cellStyle name="Migliaia 14 7 5" xfId="41206" xr:uid="{C3C5EC8F-7CFD-4B7F-817F-F73C8C9B7332}"/>
    <cellStyle name="Migliaia 14 7 6" xfId="16088" xr:uid="{8274DACF-9E6B-404B-8DA5-647241CAC3AD}"/>
    <cellStyle name="Migliaia 14 7 7" xfId="8255" xr:uid="{C8EAA807-E443-4015-9762-7810125EE12F}"/>
    <cellStyle name="Migliaia 14 8" xfId="3192" xr:uid="{99BD47AC-F989-47E9-93BE-9704085BD7F7}"/>
    <cellStyle name="Migliaia 14 8 2" xfId="4918" xr:uid="{E4CF2ED6-EF0B-4C64-A84D-736089083BC6}"/>
    <cellStyle name="Migliaia 14 8 2 2" xfId="35162" xr:uid="{B651276A-0AAD-4520-B94F-59F3F19A4914}"/>
    <cellStyle name="Migliaia 14 8 2 2 2" xfId="40320" xr:uid="{84CC97EF-9B26-464D-9FE6-96183909240B}"/>
    <cellStyle name="Migliaia 14 8 2 2 3" xfId="45622" xr:uid="{0D790391-FB65-4ED2-AE7A-62F72CFF64C5}"/>
    <cellStyle name="Migliaia 14 8 2 3" xfId="37669" xr:uid="{68DDF553-8C75-4365-BA0C-AD36FD2AC169}"/>
    <cellStyle name="Migliaia 14 8 2 4" xfId="42971" xr:uid="{0206C107-0BF1-45CC-80A5-803679777F54}"/>
    <cellStyle name="Migliaia 14 8 2 5" xfId="13896" xr:uid="{1C90DD37-055C-4463-A0BC-6236FADDB0FD}"/>
    <cellStyle name="Migliaia 14 8 3" xfId="6136" xr:uid="{0F04EDF2-8A69-48D2-88FB-7C3B10DDA678}"/>
    <cellStyle name="Migliaia 14 8 3 2" xfId="38556" xr:uid="{BB31E680-2DFE-4448-842C-1B7E0EE0C3DA}"/>
    <cellStyle name="Migliaia 14 8 3 3" xfId="43858" xr:uid="{42E5AB70-435E-4507-8962-A8AA9BEA0806}"/>
    <cellStyle name="Migliaia 14 8 3 4" xfId="33179" xr:uid="{0DF923AF-382F-413D-87D3-CCBD2EE87AC1}"/>
    <cellStyle name="Migliaia 14 8 3 5" xfId="19911" xr:uid="{E82E3222-3391-405C-93B3-9C474389C5EE}"/>
    <cellStyle name="Migliaia 14 8 4" xfId="36075" xr:uid="{051C96D6-BEAC-4781-9C6B-67799AC9ED4F}"/>
    <cellStyle name="Migliaia 14 8 5" xfId="41207" xr:uid="{2CEFD0A0-D6CB-4E12-9138-3B411379CADA}"/>
    <cellStyle name="Migliaia 14 8 6" xfId="16089" xr:uid="{11E247F1-68FC-4CF0-81F2-92C7F2C8B6B9}"/>
    <cellStyle name="Migliaia 14 8 7" xfId="7839" xr:uid="{D9A3D342-7A85-4050-8D61-706C97AF3D24}"/>
    <cellStyle name="Migliaia 14 9" xfId="4903" xr:uid="{CBE8CFEB-CA4A-407E-8C18-4385B40E25C9}"/>
    <cellStyle name="Migliaia 14 9 2" xfId="33180" xr:uid="{780DB616-3014-435C-B151-7602DA64DBEC}"/>
    <cellStyle name="Migliaia 14 9 2 2" xfId="38557" xr:uid="{AEBBA2D7-DDA4-4959-A74D-4F2AC1E5C0E0}"/>
    <cellStyle name="Migliaia 14 9 2 3" xfId="43859" xr:uid="{C5C75F99-269C-4ECC-AA32-4B8B49F1803C}"/>
    <cellStyle name="Migliaia 14 9 3" xfId="36076" xr:uid="{211CD71C-32D7-4E21-9425-9ACB72163D50}"/>
    <cellStyle name="Migliaia 14 9 4" xfId="41208" xr:uid="{525F3C53-2B9C-496B-9B12-21A3F9EDC990}"/>
    <cellStyle name="Migliaia 14 9 5" xfId="17145" xr:uid="{53D60D71-32B6-45E7-9AAD-6F6FA02ABC3C}"/>
    <cellStyle name="Migliaia 15" xfId="321" xr:uid="{00000000-0005-0000-0000-0000EE020000}"/>
    <cellStyle name="Migliaia 15 10" xfId="6137" xr:uid="{7B07B8FF-C2D1-44C1-A38B-753950E972E6}"/>
    <cellStyle name="Migliaia 15 10 2" xfId="38558" xr:uid="{11A07A7C-85AC-4F5A-9525-BD6F9F2A4C75}"/>
    <cellStyle name="Migliaia 15 10 3" xfId="43860" xr:uid="{DC1DB7D6-9CC1-478D-9259-771C6F098FD8}"/>
    <cellStyle name="Migliaia 15 10 4" xfId="33181" xr:uid="{912444F5-EBBA-4596-8DA0-A0C770515A2D}"/>
    <cellStyle name="Migliaia 15 10 5" xfId="19912" xr:uid="{4386BB8A-13B7-4048-BE65-8E45A82350E9}"/>
    <cellStyle name="Migliaia 15 11" xfId="3193" xr:uid="{3858E639-CA17-4088-809F-78DA78A8ADBF}"/>
    <cellStyle name="Migliaia 15 11 2" xfId="36077" xr:uid="{08C4200A-8E5E-4D10-93F7-C1114F2C87D7}"/>
    <cellStyle name="Migliaia 15 12" xfId="41209" xr:uid="{2EE01587-C9FA-4A28-97B8-6FDC8F2B0412}"/>
    <cellStyle name="Migliaia 15 13" xfId="7059" xr:uid="{2A88EACC-4028-49E8-A19D-B7AC74ABE5B9}"/>
    <cellStyle name="Migliaia 15 2" xfId="322" xr:uid="{00000000-0005-0000-0000-0000EF020000}"/>
    <cellStyle name="Migliaia 15 2 2" xfId="1683" xr:uid="{00000000-0005-0000-0000-0000F0020000}"/>
    <cellStyle name="Migliaia 15 2 2 2" xfId="4921" xr:uid="{D9FDB017-771C-4B12-844E-FA437A7D6E76}"/>
    <cellStyle name="Migliaia 15 2 2 2 2" xfId="14368" xr:uid="{D6A66F0E-97DD-48B1-AB12-421AB7FE19B9}"/>
    <cellStyle name="Migliaia 15 2 2 2 2 2" xfId="38559" xr:uid="{C003DAC4-DCCB-49C3-9596-75823A029641}"/>
    <cellStyle name="Migliaia 15 2 2 2 2 3" xfId="43861" xr:uid="{F6075E7D-C940-4401-9F49-D78F7D204D6E}"/>
    <cellStyle name="Migliaia 15 2 2 2 3" xfId="18375" xr:uid="{C7D60D10-18BA-42DE-8120-24799FFF4967}"/>
    <cellStyle name="Migliaia 15 2 2 2 4" xfId="19915" xr:uid="{5C806F89-DA94-49FF-A8EA-A0460A33ECD1}"/>
    <cellStyle name="Migliaia 15 2 2 2 4 2" xfId="41210" xr:uid="{20AA1C01-FAA4-45F4-A400-270C35267AC1}"/>
    <cellStyle name="Migliaia 15 2 2 2 5" xfId="16090" xr:uid="{BE1BA2B7-E894-4082-95F6-7AC8D92B569A}"/>
    <cellStyle name="Migliaia 15 2 2 2 6" xfId="8516" xr:uid="{EAEEB7A1-4846-4C0F-988E-FCF0E395B3F7}"/>
    <cellStyle name="Migliaia 15 2 2 3" xfId="6139" xr:uid="{37155FB9-7BC1-4086-B933-A7C2AEAF8181}"/>
    <cellStyle name="Migliaia 15 2 2 3 2" xfId="35163" xr:uid="{F1649E24-DE3B-4C86-9CB4-59BDB60E48E3}"/>
    <cellStyle name="Migliaia 15 2 2 3 2 2" xfId="40321" xr:uid="{06E3350A-A00E-4CCA-98BC-B731114C009B}"/>
    <cellStyle name="Migliaia 15 2 2 3 2 3" xfId="45623" xr:uid="{065C9284-DFEF-4394-B762-3809BD358255}"/>
    <cellStyle name="Migliaia 15 2 2 3 3" xfId="37670" xr:uid="{BFA2D767-43D3-466F-8C13-0FC204613731}"/>
    <cellStyle name="Migliaia 15 2 2 3 4" xfId="42972" xr:uid="{77922209-776E-4252-B2A4-ABB5D6F962C5}"/>
    <cellStyle name="Migliaia 15 2 2 3 5" xfId="11597" xr:uid="{DD2152A7-81FD-4F63-8E61-CFDA59B47CD2}"/>
    <cellStyle name="Migliaia 15 2 2 4" xfId="3195" xr:uid="{5DFBFD05-EDAC-4F4A-83D5-82D47E6CB0EA}"/>
    <cellStyle name="Migliaia 15 2 2 4 2" xfId="21395" xr:uid="{71C19F4C-4586-401F-963C-1AA20A5B2DB1}"/>
    <cellStyle name="Migliaia 15 2 2 4 3" xfId="47595" xr:uid="{E6D9376C-005F-4C8B-AC21-32A9CB49308E}"/>
    <cellStyle name="Migliaia 15 2 2 4 4" xfId="50410" xr:uid="{D8FD9946-3607-487B-91AF-2968E419097E}"/>
    <cellStyle name="Migliaia 15 2 2 4 5" xfId="53426" xr:uid="{45B66E3F-2D97-491C-A62F-417B0F2183B9}"/>
    <cellStyle name="Migliaia 15 2 2 4 6" xfId="10760" xr:uid="{AEDCEB8A-2ECD-4C4E-9731-A3D866FBA551}"/>
    <cellStyle name="Migliaia 15 2 2 5" xfId="19914" xr:uid="{2A08E29C-ED91-4989-AD49-1ADB7A2089BF}"/>
    <cellStyle name="Migliaia 15 2 2 6" xfId="24326" xr:uid="{5699C1E9-122C-41F7-9E6B-51872CD4CF88}"/>
    <cellStyle name="Migliaia 15 2 2 7" xfId="7326" xr:uid="{00FFA949-D6CF-4CBC-B6C2-E3F4B85C07FA}"/>
    <cellStyle name="Migliaia 15 2 3" xfId="3196" xr:uid="{481F3C6A-B2FB-47C5-ABD5-4E4CEA617EE3}"/>
    <cellStyle name="Migliaia 15 2 3 2" xfId="4922" xr:uid="{1600B0C0-F5B7-40A1-8564-FBFDEAFC3445}"/>
    <cellStyle name="Migliaia 15 2 3 2 2" xfId="35164" xr:uid="{30B1DD7C-DADA-4F4C-9E38-4EA424AA2D96}"/>
    <cellStyle name="Migliaia 15 2 3 2 2 2" xfId="40322" xr:uid="{FE73B2F9-3B2C-4762-950D-006BD21945B8}"/>
    <cellStyle name="Migliaia 15 2 3 2 2 3" xfId="45624" xr:uid="{0D8F9653-97D1-481C-9395-25CF5B62870C}"/>
    <cellStyle name="Migliaia 15 2 3 2 3" xfId="37671" xr:uid="{41F4A060-73D1-4BAC-AE88-B169C7BB0CB5}"/>
    <cellStyle name="Migliaia 15 2 3 2 4" xfId="42973" xr:uid="{8E585128-5AFA-4594-9BE2-2B97285617D4}"/>
    <cellStyle name="Migliaia 15 2 3 2 5" xfId="14197" xr:uid="{DCB7CAFC-BDBC-4E6E-ACEE-7CBF06826F37}"/>
    <cellStyle name="Migliaia 15 2 3 3" xfId="6140" xr:uid="{ABDB16BF-A422-42B8-BD44-6AC6A2A855DF}"/>
    <cellStyle name="Migliaia 15 2 3 3 2" xfId="38560" xr:uid="{841D0831-763E-449D-852C-EF43134B324B}"/>
    <cellStyle name="Migliaia 15 2 3 3 3" xfId="43862" xr:uid="{EA85454F-ED10-4097-805B-40E2E6A150BB}"/>
    <cellStyle name="Migliaia 15 2 3 3 4" xfId="33182" xr:uid="{52943425-108E-4583-BC71-1464C241FAB1}"/>
    <cellStyle name="Migliaia 15 2 3 3 5" xfId="19916" xr:uid="{2CFF87B4-78E3-4F71-9F51-1EF3614E37DC}"/>
    <cellStyle name="Migliaia 15 2 3 4" xfId="36078" xr:uid="{DDB0E0DE-0A6A-4ADE-AF39-C6339E27BEE2}"/>
    <cellStyle name="Migliaia 15 2 3 5" xfId="41211" xr:uid="{C5AAADC5-17DF-478E-AFB5-DE0BD86AAFED}"/>
    <cellStyle name="Migliaia 15 2 3 6" xfId="16091" xr:uid="{0382422C-9FC5-4C32-99BD-A0D9A7638B0D}"/>
    <cellStyle name="Migliaia 15 2 3 7" xfId="8259" xr:uid="{F20EF821-18C9-4D47-9D79-4E5749EAEB7A}"/>
    <cellStyle name="Migliaia 15 2 4" xfId="4920" xr:uid="{36129831-AD7B-4BDE-A8F7-8C1AAFCD490F}"/>
    <cellStyle name="Migliaia 15 2 4 2" xfId="13900" xr:uid="{9FD0CE0B-C445-48A8-98D0-7B8E89A16293}"/>
    <cellStyle name="Migliaia 15 2 4 2 2" xfId="38561" xr:uid="{A2F4D02F-9F81-4534-ABE4-D7968DF5DF54}"/>
    <cellStyle name="Migliaia 15 2 4 2 3" xfId="43863" xr:uid="{2E316C59-7053-4451-9A51-C2BE7E71A02E}"/>
    <cellStyle name="Migliaia 15 2 4 3" xfId="18014" xr:uid="{01A8CFC1-A3F6-41C8-8161-33F856DF2D44}"/>
    <cellStyle name="Migliaia 15 2 4 4" xfId="19917" xr:uid="{7300AEE2-4960-4B70-B881-3201B9EDA0C2}"/>
    <cellStyle name="Migliaia 15 2 4 4 2" xfId="41212" xr:uid="{772B7D9E-A332-441C-A002-645324B51F59}"/>
    <cellStyle name="Migliaia 15 2 4 5" xfId="16092" xr:uid="{BF5DA47D-4FDC-46CC-96CE-AD688DE69CED}"/>
    <cellStyle name="Migliaia 15 2 4 6" xfId="7844" xr:uid="{97B8A1A5-6D7E-4F7D-8200-A677833F6DAF}"/>
    <cellStyle name="Migliaia 15 2 5" xfId="6138" xr:uid="{4874C8E8-3ABD-4056-A296-F6E4D301D127}"/>
    <cellStyle name="Migliaia 15 2 5 2" xfId="33184" xr:uid="{AF483B0D-6010-4771-AB77-F673E615AB0F}"/>
    <cellStyle name="Migliaia 15 2 5 2 2" xfId="38562" xr:uid="{84E74B02-1588-4D99-9723-0A93AE8231BF}"/>
    <cellStyle name="Migliaia 15 2 5 2 3" xfId="43864" xr:uid="{9DBDF50F-74E9-4D44-BCBB-9CADF7AA407F}"/>
    <cellStyle name="Migliaia 15 2 5 3" xfId="36080" xr:uid="{7D8350C7-5B92-4BD3-969B-0BB330E42B92}"/>
    <cellStyle name="Migliaia 15 2 5 4" xfId="41213" xr:uid="{69BCCED4-DCED-4A4B-84DD-F28E9FF42950}"/>
    <cellStyle name="Migliaia 15 2 5 5" xfId="13108" xr:uid="{6CE107F1-6880-4D06-B545-74A311F015D3}"/>
    <cellStyle name="Migliaia 15 2 6" xfId="3194" xr:uid="{7C2277CD-4845-4997-B428-97F4B1717E11}"/>
    <cellStyle name="Migliaia 15 2 6 2" xfId="33185" xr:uid="{18F26002-6342-4F10-A562-85CF6354D745}"/>
    <cellStyle name="Migliaia 15 2 6 2 2" xfId="38563" xr:uid="{D146C577-3762-456A-9EDA-8FAE59C0EAC2}"/>
    <cellStyle name="Migliaia 15 2 6 2 3" xfId="43865" xr:uid="{E5447242-8755-4A5C-AE6A-6C869F8DB1A0}"/>
    <cellStyle name="Migliaia 15 2 6 3" xfId="36081" xr:uid="{8C9EB6F4-AA78-43BB-B460-E37893D392B4}"/>
    <cellStyle name="Migliaia 15 2 6 4" xfId="41214" xr:uid="{5CCC43EC-D958-4FAC-95EA-A4A4FD77DC10}"/>
    <cellStyle name="Migliaia 15 2 6 5" xfId="24329" xr:uid="{E5EC63EE-08FF-4B95-911F-857B902BF3A0}"/>
    <cellStyle name="Migliaia 15 2 6 6" xfId="19913" xr:uid="{E13C2399-E29C-4A8A-AC93-95778FD5E03C}"/>
    <cellStyle name="Migliaia 15 2 7" xfId="24325" xr:uid="{73372E14-D1E6-47FB-94E3-C18CE2BDC393}"/>
    <cellStyle name="Migliaia 15 2 8" xfId="7060" xr:uid="{FFD0FF5C-E011-4F4B-8BAA-089F3CBE270B}"/>
    <cellStyle name="Migliaia 15 3" xfId="323" xr:uid="{00000000-0005-0000-0000-0000F1020000}"/>
    <cellStyle name="Migliaia 15 3 10" xfId="24330" xr:uid="{D40DC108-28EB-4BE5-B584-3AA0C3B4906E}"/>
    <cellStyle name="Migliaia 15 3 11" xfId="16093" xr:uid="{CCE925FF-1A9E-4D63-ACB7-DBEFD91A60FF}"/>
    <cellStyle name="Migliaia 15 3 12" xfId="7061" xr:uid="{668EDB5D-37C0-447A-9A6A-29C98C309E13}"/>
    <cellStyle name="Migliaia 15 3 2" xfId="324" xr:uid="{00000000-0005-0000-0000-0000F2020000}"/>
    <cellStyle name="Migliaia 15 3 2 2" xfId="1684" xr:uid="{00000000-0005-0000-0000-0000F3020000}"/>
    <cellStyle name="Migliaia 15 3 2 2 2" xfId="4925" xr:uid="{A23F9B21-E516-4B42-A1A5-C78BCB985F94}"/>
    <cellStyle name="Migliaia 15 3 2 2 2 2" xfId="18376" xr:uid="{44B5F166-DEA9-4721-8764-44871C6E45DB}"/>
    <cellStyle name="Migliaia 15 3 2 2 2 2 2" xfId="21843" xr:uid="{2B07E006-1522-4BC6-96E7-60B178CE2251}"/>
    <cellStyle name="Migliaia 15 3 2 2 2 2 2 2" xfId="38564" xr:uid="{49FFF2E3-9217-457C-AD4C-934DE73E4FCD}"/>
    <cellStyle name="Migliaia 15 3 2 2 2 2 3" xfId="43866" xr:uid="{1DA434DE-2151-4D4E-A9E3-F626BD49E8A4}"/>
    <cellStyle name="Migliaia 15 3 2 2 2 2 4" xfId="33186" xr:uid="{635AB27F-C8AD-47FB-9EEE-0031F22331C5}"/>
    <cellStyle name="Migliaia 15 3 2 2 2 3" xfId="36082" xr:uid="{93F31CB1-DEFE-474C-9DCB-872313FFC23C}"/>
    <cellStyle name="Migliaia 15 3 2 2 2 4" xfId="41215" xr:uid="{C9B17755-8B89-4522-930C-7F6CD2B33BB8}"/>
    <cellStyle name="Migliaia 15 3 2 2 2 5" xfId="48485" xr:uid="{BCE3C54A-EC5D-4D0B-BF6D-B42790C2E061}"/>
    <cellStyle name="Migliaia 15 3 2 2 2 6" xfId="50871" xr:uid="{D4A9BCC9-6C24-4A7A-B765-37577262EBA3}"/>
    <cellStyle name="Migliaia 15 3 2 2 2 7" xfId="53887" xr:uid="{F498E164-03C1-4082-A9BE-586BB67F08CE}"/>
    <cellStyle name="Migliaia 15 3 2 2 2 8" xfId="17644" xr:uid="{53897B8B-978E-49DC-942E-D125F85E15F1}"/>
    <cellStyle name="Migliaia 15 3 2 2 2 9" xfId="11907" xr:uid="{FD08D605-6014-436A-A437-2768C68FCAB3}"/>
    <cellStyle name="Migliaia 15 3 2 2 3" xfId="6143" xr:uid="{9B1CE36B-50AB-4823-B464-F06ED05E7278}"/>
    <cellStyle name="Migliaia 15 3 2 2 3 2" xfId="11685" xr:uid="{76D5CF1F-3F61-45AB-9FDA-6164AA3B3482}"/>
    <cellStyle name="Migliaia 15 3 2 2 4" xfId="3199" xr:uid="{9BE245FA-3D26-4EEB-8E8D-683B64F61F6B}"/>
    <cellStyle name="Migliaia 15 3 2 2 4 2" xfId="21396" xr:uid="{8B6D74E6-FF50-46E3-9237-DA6BE6B71F6E}"/>
    <cellStyle name="Migliaia 15 3 2 2 4 3" xfId="46210" xr:uid="{3CFE6D8A-76B5-4BBA-B106-9C45C2E3F8EB}"/>
    <cellStyle name="Migliaia 15 3 2 2 4 4" xfId="50411" xr:uid="{BDA18968-9D77-49C8-8A7A-A5DFF0960861}"/>
    <cellStyle name="Migliaia 15 3 2 2 4 5" xfId="53427" xr:uid="{2431C386-02A3-46B5-BC6C-08EE1A574941}"/>
    <cellStyle name="Migliaia 15 3 2 2 4 6" xfId="10761" xr:uid="{3B45739C-CB70-4285-96DC-C97D3494D1B2}"/>
    <cellStyle name="Migliaia 15 3 2 2 5" xfId="19920" xr:uid="{631B6751-0440-46D9-8204-B63D68BC5697}"/>
    <cellStyle name="Migliaia 15 3 2 2 6" xfId="24332" xr:uid="{C8E57F2F-AAF2-4FD6-899E-0DA1D28F99FA}"/>
    <cellStyle name="Migliaia 15 3 2 2 7" xfId="8518" xr:uid="{4936CCE3-33A0-43EF-8F73-6A455C17A087}"/>
    <cellStyle name="Migliaia 15 3 2 3" xfId="4924" xr:uid="{D35E0E3C-31DE-47C9-A845-D82E40A1C66C}"/>
    <cellStyle name="Migliaia 15 3 2 3 2" xfId="12422" xr:uid="{DBFDB9E4-1D28-47FF-8153-8FBBF2343008}"/>
    <cellStyle name="Migliaia 15 3 2 3 2 2" xfId="38565" xr:uid="{B6AC02F1-7DB7-42FD-B2AD-4DF80ADE0FC4}"/>
    <cellStyle name="Migliaia 15 3 2 3 2 3" xfId="43867" xr:uid="{09CEB574-E7F5-4DBB-AA11-985B4E70B9A3}"/>
    <cellStyle name="Migliaia 15 3 2 3 2 4" xfId="33187" xr:uid="{C0B2248E-68D3-4ED7-B753-25A7D9F6BC6E}"/>
    <cellStyle name="Migliaia 15 3 2 3 3" xfId="11908" xr:uid="{105B8FA4-AF3F-489D-834E-C290E2324910}"/>
    <cellStyle name="Migliaia 15 3 2 3 4" xfId="19921" xr:uid="{37962CC0-8361-48C0-8F57-0A5813CC988F}"/>
    <cellStyle name="Migliaia 15 3 2 3 4 2" xfId="41216" xr:uid="{CB848C29-1F13-4B2C-A8D9-67E92932D065}"/>
    <cellStyle name="Migliaia 15 3 2 3 5" xfId="16094" xr:uid="{E3C20EFC-B67E-401B-B0EB-506DD6A014BB}"/>
    <cellStyle name="Migliaia 15 3 2 3 6" xfId="7846" xr:uid="{28A64F2F-C9DA-48F8-A80D-7C22D2E0A692}"/>
    <cellStyle name="Migliaia 15 3 2 4" xfId="6142" xr:uid="{F3AF43DF-A99B-4688-BCE6-2E3E5B173773}"/>
    <cellStyle name="Migliaia 15 3 2 4 2" xfId="18063" xr:uid="{613AD36D-4D1A-4458-B564-FE7373138C27}"/>
    <cellStyle name="Migliaia 15 3 2 4 2 2" xfId="38566" xr:uid="{56343C3C-D9D7-4C0F-835B-1E87E90675C7}"/>
    <cellStyle name="Migliaia 15 3 2 4 2 3" xfId="43868" xr:uid="{C55F7573-BF36-4909-89FB-B5E8EE53E14A}"/>
    <cellStyle name="Migliaia 15 3 2 4 3" xfId="36084" xr:uid="{5865A52E-2C38-4C31-A850-10BDD59D5766}"/>
    <cellStyle name="Migliaia 15 3 2 4 4" xfId="41217" xr:uid="{A9B15E84-2F5E-484E-A849-F4F23859BB9E}"/>
    <cellStyle name="Migliaia 15 3 2 4 5" xfId="17148" xr:uid="{74546613-5143-41DF-BC17-5D3BD6DC56C5}"/>
    <cellStyle name="Migliaia 15 3 2 4 6" xfId="11260" xr:uid="{BFCD491A-AE83-48DE-8854-010426531088}"/>
    <cellStyle name="Migliaia 15 3 2 5" xfId="3198" xr:uid="{5E82AD15-F9A0-410A-91E5-F26E020B9186}"/>
    <cellStyle name="Migliaia 15 3 2 5 2" xfId="33188" xr:uid="{9C080A51-35BC-44A9-A9B8-CF4C9B21109B}"/>
    <cellStyle name="Migliaia 15 3 2 5 2 2" xfId="38567" xr:uid="{051CC32A-8347-4986-9730-DA16651EFA9F}"/>
    <cellStyle name="Migliaia 15 3 2 5 2 3" xfId="43869" xr:uid="{6F6DC3E7-F54D-4A9A-A593-CCB5470E3C08}"/>
    <cellStyle name="Migliaia 15 3 2 5 3" xfId="36085" xr:uid="{A771EEF5-8399-471E-9C79-E53F28CE5160}"/>
    <cellStyle name="Migliaia 15 3 2 5 4" xfId="41218" xr:uid="{24EF94EA-7F29-41D2-92EB-66A74BFD145A}"/>
    <cellStyle name="Migliaia 15 3 2 5 5" xfId="17408" xr:uid="{7A96F778-7E2A-48A6-BC18-5F86F55131A2}"/>
    <cellStyle name="Migliaia 15 3 2 6" xfId="19919" xr:uid="{DEC335CF-5750-4006-9F4D-2EC7547B6DD7}"/>
    <cellStyle name="Migliaia 15 3 2 6 2" xfId="33189" xr:uid="{12BA0B1E-C4F7-4FAE-B1A0-19D826209945}"/>
    <cellStyle name="Migliaia 15 3 2 6 2 2" xfId="38568" xr:uid="{243E513E-3AB2-4CEE-ADFF-241E64231D6D}"/>
    <cellStyle name="Migliaia 15 3 2 6 2 3" xfId="43870" xr:uid="{986B5792-8181-4ED5-89DC-BAB8B70149E1}"/>
    <cellStyle name="Migliaia 15 3 2 6 3" xfId="36086" xr:uid="{ADBB4EC0-28BA-4EE8-9458-7573BAB4DBD7}"/>
    <cellStyle name="Migliaia 15 3 2 6 4" xfId="41219" xr:uid="{63B68AFD-DD46-4D0B-80CC-C03BF2C79EE2}"/>
    <cellStyle name="Migliaia 15 3 2 6 5" xfId="24335" xr:uid="{36F942EE-4477-4637-8CD1-10E78519C580}"/>
    <cellStyle name="Migliaia 15 3 2 7" xfId="24331" xr:uid="{395FBB99-BC3F-491B-BDB7-557685363973}"/>
    <cellStyle name="Migliaia 15 3 2 8" xfId="7328" xr:uid="{F6E8A6EC-088A-4480-886D-71C00F1DCDE6}"/>
    <cellStyle name="Migliaia 15 3 3" xfId="3200" xr:uid="{D8D3A422-13AD-4B2E-9C66-20BD6A9ABA85}"/>
    <cellStyle name="Migliaia 15 3 3 10" xfId="7327" xr:uid="{7C32527C-D102-442D-9B31-7F2627BAC3FA}"/>
    <cellStyle name="Migliaia 15 3 3 2" xfId="4926" xr:uid="{BA3E4949-F9B6-40BC-A13D-9C45349CF198}"/>
    <cellStyle name="Migliaia 15 3 3 2 2" xfId="9894" xr:uid="{D611FEA1-672B-43DB-A961-533DE1CAF6C6}"/>
    <cellStyle name="Migliaia 15 3 3 2 2 2" xfId="38570" xr:uid="{C3BB2381-EA62-46E3-8EC9-AD92FFF66538}"/>
    <cellStyle name="Migliaia 15 3 3 2 2 3" xfId="43872" xr:uid="{0C1A2697-B19A-4B22-B5E8-9A1BD7DAAB82}"/>
    <cellStyle name="Migliaia 15 3 3 2 3" xfId="18174" xr:uid="{C93684CA-CFC1-4458-AB76-A90677D86A45}"/>
    <cellStyle name="Migliaia 15 3 3 2 4" xfId="19923" xr:uid="{0EC98329-D4FB-4F38-B0E5-A4CD29494025}"/>
    <cellStyle name="Migliaia 15 3 3 2 4 2" xfId="41221" xr:uid="{169593CC-CE45-4EED-BA1D-81833AF6AD32}"/>
    <cellStyle name="Migliaia 15 3 3 2 5" xfId="16096" xr:uid="{8B38113D-1E68-43C8-BFB9-9CB8DEDA68A7}"/>
    <cellStyle name="Migliaia 15 3 3 2 6" xfId="8517" xr:uid="{460EA830-7CC0-4E3D-AA51-35D7F9F77631}"/>
    <cellStyle name="Migliaia 15 3 3 3" xfId="6144" xr:uid="{F3155F4F-FE05-4660-A85F-A83E0B774135}"/>
    <cellStyle name="Migliaia 15 3 3 3 2" xfId="33191" xr:uid="{A1FB5D6A-29F5-4C56-B2F7-69B2DED4F336}"/>
    <cellStyle name="Migliaia 15 3 3 3 2 2" xfId="38571" xr:uid="{9519E60B-0B55-4A46-B153-427CDBCEEA06}"/>
    <cellStyle name="Migliaia 15 3 3 3 2 3" xfId="43873" xr:uid="{DB994C24-C141-48E4-AB9F-05C451BCC237}"/>
    <cellStyle name="Migliaia 15 3 3 3 3" xfId="36088" xr:uid="{4441885D-DE21-4B34-8C3B-95EB2AF2BC96}"/>
    <cellStyle name="Migliaia 15 3 3 3 4" xfId="41222" xr:uid="{774906B2-CADC-40AF-BDE7-556C65CD7966}"/>
    <cellStyle name="Migliaia 15 3 3 3 5" xfId="9657" xr:uid="{B89BB049-B9E5-4090-B6EB-89DD6AF8AE32}"/>
    <cellStyle name="Migliaia 15 3 3 4" xfId="19922" xr:uid="{3E1B9852-0825-444A-A13F-EA992469C130}"/>
    <cellStyle name="Migliaia 15 3 3 4 2" xfId="33192" xr:uid="{EA8F1862-6011-4C28-8E2F-C43E9B432C26}"/>
    <cellStyle name="Migliaia 15 3 3 4 2 2" xfId="38572" xr:uid="{ECC96FCD-1457-49F6-9179-C8FEDB4687CA}"/>
    <cellStyle name="Migliaia 15 3 3 4 2 3" xfId="43874" xr:uid="{A7E49DAA-954E-4D5C-8088-08A68C0234F2}"/>
    <cellStyle name="Migliaia 15 3 3 4 3" xfId="36089" xr:uid="{A656913F-B9D7-4DE0-9B74-A2B8F96F9BED}"/>
    <cellStyle name="Migliaia 15 3 3 4 4" xfId="41223" xr:uid="{08093C6B-BD16-4BF5-A890-B272537D0B8D}"/>
    <cellStyle name="Migliaia 15 3 3 4 5" xfId="24336" xr:uid="{B4DB413B-05F5-47DB-8545-173347434EED}"/>
    <cellStyle name="Migliaia 15 3 3 5" xfId="24337" xr:uid="{E7367F17-670B-43E2-AB9A-303738C45EBE}"/>
    <cellStyle name="Migliaia 15 3 3 5 2" xfId="33193" xr:uid="{8BE0B32C-A42E-4E44-86B1-8ED7920C399C}"/>
    <cellStyle name="Migliaia 15 3 3 5 2 2" xfId="38573" xr:uid="{B50F54C9-D5FD-49CB-B16C-2405E3D6C8B5}"/>
    <cellStyle name="Migliaia 15 3 3 5 2 3" xfId="43875" xr:uid="{DC9D3F08-3CB6-423A-9053-1DA216A0B0AF}"/>
    <cellStyle name="Migliaia 15 3 3 5 3" xfId="36090" xr:uid="{FF8B30C5-EB8B-4311-A185-F9DF646EDC71}"/>
    <cellStyle name="Migliaia 15 3 3 5 4" xfId="41224" xr:uid="{FC93AAE0-6E0F-438F-9A24-D8042B78E1E6}"/>
    <cellStyle name="Migliaia 15 3 3 6" xfId="33190" xr:uid="{77B56A12-1F72-42CB-86E6-32150B92896D}"/>
    <cellStyle name="Migliaia 15 3 3 6 2" xfId="38569" xr:uid="{433FC8B3-654D-4A82-96A3-3F8B8C014DB7}"/>
    <cellStyle name="Migliaia 15 3 3 6 3" xfId="43871" xr:uid="{202F1EE6-A0F5-40C5-B052-D71D1F5591EA}"/>
    <cellStyle name="Migliaia 15 3 3 7" xfId="36087" xr:uid="{8BEE766D-EEAB-47B1-B4CE-FAF3E16865F0}"/>
    <cellStyle name="Migliaia 15 3 3 8" xfId="41220" xr:uid="{9C5713C9-A789-4F2A-8B7F-B7C26C72C012}"/>
    <cellStyle name="Migliaia 15 3 3 9" xfId="16095" xr:uid="{4D259F98-DDB9-499B-9FBA-F7F991918B1E}"/>
    <cellStyle name="Migliaia 15 3 4" xfId="3201" xr:uid="{BF52E8F6-432C-4E48-9E70-815FE8DBC92E}"/>
    <cellStyle name="Migliaia 15 3 4 2" xfId="4927" xr:uid="{0688F647-C651-4606-9B37-A716D0090F0B}"/>
    <cellStyle name="Migliaia 15 3 4 2 2" xfId="14429" xr:uid="{6D0CB39E-B78F-4A97-A575-D9E2893E92FD}"/>
    <cellStyle name="Migliaia 15 3 4 2 3" xfId="18591" xr:uid="{68EAA470-FD29-49C2-870C-46E23FA89D7D}"/>
    <cellStyle name="Migliaia 15 3 4 2 4" xfId="19925" xr:uid="{0D5D0468-BB56-40CF-B715-FAEB5FFB299D}"/>
    <cellStyle name="Migliaia 15 3 4 2 5" xfId="32312" xr:uid="{6ECB50DE-FB38-47A8-B745-8D2088A891ED}"/>
    <cellStyle name="Migliaia 15 3 4 2 6" xfId="16098" xr:uid="{A7A555EB-2F8D-4F9A-823C-E5ABB57E1C16}"/>
    <cellStyle name="Migliaia 15 3 4 2 7" xfId="8852" xr:uid="{03E22A7D-1F54-465B-9551-45DBEB5A947C}"/>
    <cellStyle name="Migliaia 15 3 4 3" xfId="6145" xr:uid="{20358AD4-7B8A-4072-965E-BCE96F1D6104}"/>
    <cellStyle name="Migliaia 15 3 4 3 2" xfId="35165" xr:uid="{CC90B20D-142E-482B-95CD-FEDB6743A596}"/>
    <cellStyle name="Migliaia 15 3 4 3 2 2" xfId="40323" xr:uid="{072866A9-50B6-4C16-9DC2-9DC37D1269F2}"/>
    <cellStyle name="Migliaia 15 3 4 3 2 3" xfId="45625" xr:uid="{CB1C8D84-62CB-4B4F-8771-26C8D7DD3DD6}"/>
    <cellStyle name="Migliaia 15 3 4 3 3" xfId="37672" xr:uid="{10FE2FF4-A723-4583-A7E3-82528810F8BC}"/>
    <cellStyle name="Migliaia 15 3 4 3 4" xfId="42974" xr:uid="{DFA97211-083D-4203-9A8E-6D64361476E2}"/>
    <cellStyle name="Migliaia 15 3 4 3 5" xfId="13677" xr:uid="{CD7C8617-4D77-4543-89DF-B1AA54EFB9CC}"/>
    <cellStyle name="Migliaia 15 3 4 4" xfId="19924" xr:uid="{D5CC2850-94BB-4674-8A7A-10A3CDD4FF24}"/>
    <cellStyle name="Migliaia 15 3 4 4 2" xfId="38574" xr:uid="{84754F8C-3B25-4F0A-A184-58F3E13CA5A8}"/>
    <cellStyle name="Migliaia 15 3 4 4 3" xfId="43876" xr:uid="{83EDC33A-A937-45B7-A393-8E6A9FED00F7}"/>
    <cellStyle name="Migliaia 15 3 4 4 4" xfId="33194" xr:uid="{5C28A453-0629-4D5C-A7C5-03F45E6C19C7}"/>
    <cellStyle name="Migliaia 15 3 4 5" xfId="36091" xr:uid="{DABC904D-C8A7-41C4-A6CB-99A589FCA8AD}"/>
    <cellStyle name="Migliaia 15 3 4 6" xfId="41225" xr:uid="{9229A211-7576-478C-AFBC-F5160B4F5AC6}"/>
    <cellStyle name="Migliaia 15 3 4 7" xfId="16097" xr:uid="{6DD76090-C7BB-4A29-80A3-621B06060CFB}"/>
    <cellStyle name="Migliaia 15 3 4 8" xfId="7662" xr:uid="{65DACACE-587A-465D-BC04-F3C147C9E582}"/>
    <cellStyle name="Migliaia 15 3 5" xfId="3202" xr:uid="{906EC72C-390D-4FAF-BC90-1C63139743B5}"/>
    <cellStyle name="Migliaia 15 3 5 2" xfId="4928" xr:uid="{6C2BE880-1069-4E36-8FFB-74E0B90B150E}"/>
    <cellStyle name="Migliaia 15 3 5 2 2" xfId="35166" xr:uid="{C8F63AC4-0446-4818-BDE2-4502FE84277E}"/>
    <cellStyle name="Migliaia 15 3 5 2 2 2" xfId="40324" xr:uid="{8BD5BA2F-E985-4C2D-8909-E8A90D7B6B98}"/>
    <cellStyle name="Migliaia 15 3 5 2 2 3" xfId="45626" xr:uid="{C8E66F7B-80EE-43EB-883E-F2E23B3F9B3B}"/>
    <cellStyle name="Migliaia 15 3 5 2 3" xfId="37673" xr:uid="{EB9A4446-0A6B-4272-A020-22E812986353}"/>
    <cellStyle name="Migliaia 15 3 5 2 4" xfId="42975" xr:uid="{5C4378FA-DB03-431F-9999-074076FF4DB9}"/>
    <cellStyle name="Migliaia 15 3 5 2 5" xfId="14198" xr:uid="{CE6ADBE2-BBFF-4979-B3D3-C3B752AB3D21}"/>
    <cellStyle name="Migliaia 15 3 5 3" xfId="6146" xr:uid="{6C3041CF-B857-4B58-84E7-E3655F4FCA1D}"/>
    <cellStyle name="Migliaia 15 3 5 3 2" xfId="38575" xr:uid="{B30052FC-A7EF-4875-8957-81DC639BFDCD}"/>
    <cellStyle name="Migliaia 15 3 5 3 3" xfId="43877" xr:uid="{A50B9900-4836-4DB9-B2C0-14B981109C22}"/>
    <cellStyle name="Migliaia 15 3 5 3 4" xfId="33195" xr:uid="{0C1447ED-51FF-40E8-A673-7B0A56A7C03D}"/>
    <cellStyle name="Migliaia 15 3 5 3 5" xfId="19926" xr:uid="{CF39F007-F988-40EF-B3C6-9984E811069D}"/>
    <cellStyle name="Migliaia 15 3 5 4" xfId="36092" xr:uid="{56AE81C5-9746-4BF5-AD90-85A2027B452C}"/>
    <cellStyle name="Migliaia 15 3 5 5" xfId="41226" xr:uid="{8AA7019D-4851-46DD-AC72-D198D8043BB0}"/>
    <cellStyle name="Migliaia 15 3 5 6" xfId="16099" xr:uid="{A5E56ED5-A2DF-47F6-AA9A-61429F411BE7}"/>
    <cellStyle name="Migliaia 15 3 5 7" xfId="8260" xr:uid="{B8C60512-9A0E-41EE-B429-64BAE20F162F}"/>
    <cellStyle name="Migliaia 15 3 6" xfId="4923" xr:uid="{1D5A5665-20A8-4010-B6BE-CC7C9D7435FE}"/>
    <cellStyle name="Migliaia 15 3 6 2" xfId="13901" xr:uid="{5088B75D-4B4C-4BAC-8AAE-5A12E078B90C}"/>
    <cellStyle name="Migliaia 15 3 6 2 2" xfId="38576" xr:uid="{02117926-BD2C-44A5-A1B2-6293053D2FA7}"/>
    <cellStyle name="Migliaia 15 3 6 2 3" xfId="43878" xr:uid="{DD9ED174-3985-4B34-AB0F-E79FFE9D81ED}"/>
    <cellStyle name="Migliaia 15 3 6 3" xfId="18723" xr:uid="{FAE251E3-9E2F-4F12-A44B-4111103BDF11}"/>
    <cellStyle name="Migliaia 15 3 6 4" xfId="19927" xr:uid="{A336C3E9-7374-4F12-8DDC-77519D6D56B4}"/>
    <cellStyle name="Migliaia 15 3 6 4 2" xfId="41227" xr:uid="{77EB948E-2AEA-44F0-B34B-DD6DFA064CB2}"/>
    <cellStyle name="Migliaia 15 3 6 5" xfId="16100" xr:uid="{D04FA320-5E0A-447F-8682-F606F7188830}"/>
    <cellStyle name="Migliaia 15 3 6 6" xfId="7845" xr:uid="{97FAE22F-7694-4004-93CF-96ECB7DE0DAD}"/>
    <cellStyle name="Migliaia 15 3 7" xfId="6141" xr:uid="{76D5811D-D168-4737-B64B-386D4C94D7D3}"/>
    <cellStyle name="Migliaia 15 3 7 2" xfId="33196" xr:uid="{725C7AAF-8892-4AB6-B275-E3FEE32E3394}"/>
    <cellStyle name="Migliaia 15 3 7 2 2" xfId="38577" xr:uid="{4238FA93-64EC-4848-8856-24090CE9A882}"/>
    <cellStyle name="Migliaia 15 3 7 2 3" xfId="43879" xr:uid="{88AF4724-1761-4840-90AA-23591146BFDB}"/>
    <cellStyle name="Migliaia 15 3 7 3" xfId="36093" xr:uid="{A443084D-6F24-47EA-AC63-1EE69E7BBCE7}"/>
    <cellStyle name="Migliaia 15 3 7 4" xfId="41228" xr:uid="{52EDE628-774D-4044-AC96-39943BA419EB}"/>
    <cellStyle name="Migliaia 15 3 7 5" xfId="12240" xr:uid="{CCA112BB-E2C6-4AD6-AAB7-73534765989F}"/>
    <cellStyle name="Migliaia 15 3 8" xfId="3197" xr:uid="{BECCB3E2-8A0A-487C-964D-9A075F5A9432}"/>
    <cellStyle name="Migliaia 15 3 8 2" xfId="33197" xr:uid="{703D4EC3-98DB-4B6B-AC3C-740BC567ADA2}"/>
    <cellStyle name="Migliaia 15 3 8 2 2" xfId="38578" xr:uid="{54CA03AE-C1E2-4F6C-8863-C158895728F9}"/>
    <cellStyle name="Migliaia 15 3 8 2 3" xfId="43880" xr:uid="{00BF184E-A4F7-443B-AC4A-24994736A3A1}"/>
    <cellStyle name="Migliaia 15 3 8 3" xfId="36094" xr:uid="{5E5D7CF4-CBF3-4AD0-958A-5E1092D42A99}"/>
    <cellStyle name="Migliaia 15 3 8 4" xfId="41229" xr:uid="{9022CFAC-355B-4193-B4A6-284AFCD79C95}"/>
    <cellStyle name="Migliaia 15 3 8 5" xfId="24338" xr:uid="{3EABDB17-BA7A-4479-ACC5-1ED84CBA7055}"/>
    <cellStyle name="Migliaia 15 3 8 6" xfId="17409" xr:uid="{14495BB6-89B9-4B3F-B2FD-EB222FBC98E3}"/>
    <cellStyle name="Migliaia 15 3 9" xfId="19918" xr:uid="{CF096428-5BDE-4C2F-82FB-775202223F29}"/>
    <cellStyle name="Migliaia 15 4" xfId="1685" xr:uid="{00000000-0005-0000-0000-0000F4020000}"/>
    <cellStyle name="Migliaia 15 4 2" xfId="1686" xr:uid="{00000000-0005-0000-0000-0000F5020000}"/>
    <cellStyle name="Migliaia 15 4 2 2" xfId="4930" xr:uid="{F0315FC7-1B6D-4DCB-9A82-93271EAED387}"/>
    <cellStyle name="Migliaia 15 4 2 2 2" xfId="33198" xr:uid="{0A49BFED-3FD1-40F3-AAAD-4DF062533BB6}"/>
    <cellStyle name="Migliaia 15 4 2 2 2 2" xfId="38579" xr:uid="{15FE8F4A-6C7D-42CF-BDD3-A2639A7705AE}"/>
    <cellStyle name="Migliaia 15 4 2 2 2 3" xfId="43881" xr:uid="{4235525F-2439-43BB-BD7D-0404B39D977D}"/>
    <cellStyle name="Migliaia 15 4 2 2 3" xfId="36095" xr:uid="{876AA161-0D39-4755-AD01-0358D3971840}"/>
    <cellStyle name="Migliaia 15 4 2 2 4" xfId="41230" xr:uid="{D678CC23-7220-4933-B139-10707F46C501}"/>
    <cellStyle name="Migliaia 15 4 2 2 5" xfId="9120" xr:uid="{08009A0D-0411-42B7-A91C-BD7D2F5D3A33}"/>
    <cellStyle name="Migliaia 15 4 2 3" xfId="3204" xr:uid="{D7D70FDB-1670-4614-90A7-3910191D886B}"/>
    <cellStyle name="Migliaia 15 4 2 3 2" xfId="33199" xr:uid="{F7FF87C4-5742-436D-A4C3-45C8D650F781}"/>
    <cellStyle name="Migliaia 15 4 2 3 2 2" xfId="38580" xr:uid="{C6075D65-73C4-4812-9162-A9EB89BF9FF3}"/>
    <cellStyle name="Migliaia 15 4 2 3 2 3" xfId="43882" xr:uid="{1859AF7B-8811-438A-BC9D-B5D6A9CC96AC}"/>
    <cellStyle name="Migliaia 15 4 2 3 3" xfId="36096" xr:uid="{34453133-AC57-47B9-B2AA-2C7229371A69}"/>
    <cellStyle name="Migliaia 15 4 2 3 4" xfId="41231" xr:uid="{77D37543-0143-4EE0-AB5D-6DE1BC0ADFD5}"/>
    <cellStyle name="Migliaia 15 4 2 3 5" xfId="11909" xr:uid="{1799EF63-05F0-45EF-85F4-7612DA0ED60D}"/>
    <cellStyle name="Migliaia 15 4 2 4" xfId="11262" xr:uid="{7EC25FB2-1DA8-4D80-8F80-CA5058E4CA8D}"/>
    <cellStyle name="Migliaia 15 4 2 5" xfId="10763" xr:uid="{4127AC4B-6ECF-4E0A-93C0-8829EE2F7A52}"/>
    <cellStyle name="Migliaia 15 4 2 5 2" xfId="21398" xr:uid="{A2D8743D-2CB8-4BC6-AEF1-02E055AFD249}"/>
    <cellStyle name="Migliaia 15 4 2 5 3" xfId="46211" xr:uid="{99815DE9-BB18-490E-8A20-746DBB447059}"/>
    <cellStyle name="Migliaia 15 4 2 5 4" xfId="50413" xr:uid="{46629FC9-E433-4B57-87D8-72584957D39D}"/>
    <cellStyle name="Migliaia 15 4 2 5 5" xfId="53429" xr:uid="{148571E1-3084-46A9-9822-96954AE1B0DB}"/>
    <cellStyle name="Migliaia 15 4 2 6" xfId="19929" xr:uid="{D74E1B6F-2760-4C77-874F-D05F30A29F7A}"/>
    <cellStyle name="Migliaia 15 4 2 7" xfId="24340" xr:uid="{96CB7F97-AC59-4E45-9D8D-FE7669A75A32}"/>
    <cellStyle name="Migliaia 15 4 2 8" xfId="8519" xr:uid="{FD2BA068-62EA-4FF6-85F5-71F951A3F397}"/>
    <cellStyle name="Migliaia 15 4 3" xfId="4929" xr:uid="{74F9374A-0F94-4442-8850-61E54C977B71}"/>
    <cellStyle name="Migliaia 15 4 3 2" xfId="18175" xr:uid="{8B019767-B1F3-42EF-A955-1C7D80B4D1FB}"/>
    <cellStyle name="Migliaia 15 4 3 2 2" xfId="38581" xr:uid="{00B5773E-0D4C-4110-8EBF-7E92CD4E2CCA}"/>
    <cellStyle name="Migliaia 15 4 3 2 3" xfId="43883" xr:uid="{FC0B8896-3A09-46BC-B9FE-4E20D708E407}"/>
    <cellStyle name="Migliaia 15 4 3 3" xfId="36097" xr:uid="{0C39596F-2AE3-4AAD-BDA7-8312594EB738}"/>
    <cellStyle name="Migliaia 15 4 3 4" xfId="41232" xr:uid="{9584CA4A-AE03-4700-B778-E587640AE6FB}"/>
    <cellStyle name="Migliaia 15 4 3 5" xfId="17407" xr:uid="{AFE243A3-15AC-4333-8555-5C256223B302}"/>
    <cellStyle name="Migliaia 15 4 3 6" xfId="9121" xr:uid="{CE69A2CE-8514-46CA-BCB4-8A375BC4A440}"/>
    <cellStyle name="Migliaia 15 4 4" xfId="6147" xr:uid="{99B47C6C-44E3-432F-BEF7-061E82C9C296}"/>
    <cellStyle name="Migliaia 15 4 4 2" xfId="33200" xr:uid="{225C6E99-BCDD-4A7D-A21C-BADCD06609BF}"/>
    <cellStyle name="Migliaia 15 4 4 2 2" xfId="38582" xr:uid="{CDEDD6E6-0962-4D30-9340-27817EF1D7F7}"/>
    <cellStyle name="Migliaia 15 4 4 2 3" xfId="43884" xr:uid="{93D50303-D849-421F-8E5E-AC543B46C274}"/>
    <cellStyle name="Migliaia 15 4 4 3" xfId="36098" xr:uid="{79F9080E-B9E7-47CE-A4E3-6A4639E34617}"/>
    <cellStyle name="Migliaia 15 4 4 4" xfId="41233" xr:uid="{BCFF5229-2614-4637-B319-FA3511BEE021}"/>
    <cellStyle name="Migliaia 15 4 4 5" xfId="11910" xr:uid="{8262A869-0C79-46BD-B010-CA258380DAE7}"/>
    <cellStyle name="Migliaia 15 4 5" xfId="3203" xr:uid="{3C459EEA-2071-4A48-9706-F3AA822F3A39}"/>
    <cellStyle name="Migliaia 15 4 5 2" xfId="33201" xr:uid="{B5F1F146-AD1E-443C-8907-D57DF38914A0}"/>
    <cellStyle name="Migliaia 15 4 5 2 2" xfId="38583" xr:uid="{D722A848-8E23-4F6D-9D01-57AC030B2A60}"/>
    <cellStyle name="Migliaia 15 4 5 2 3" xfId="43885" xr:uid="{F3A4B3B9-C2EC-4932-A1C1-C2FF657666AE}"/>
    <cellStyle name="Migliaia 15 4 5 3" xfId="36099" xr:uid="{4C9B3F0C-4CD9-4FFB-8EBC-9E3EBCDA3CCE}"/>
    <cellStyle name="Migliaia 15 4 5 4" xfId="41234" xr:uid="{CC916DAA-BD2A-4D9D-B519-B7141A50A5CA}"/>
    <cellStyle name="Migliaia 15 4 5 5" xfId="11261" xr:uid="{25DF2ABC-5AB5-49D2-86D1-1EFCB326376D}"/>
    <cellStyle name="Migliaia 15 4 6" xfId="10762" xr:uid="{09143AFD-0ABB-4F1B-883F-A1DA59BEADFC}"/>
    <cellStyle name="Migliaia 15 4 6 2" xfId="21397" xr:uid="{5251B042-ED16-4026-ADDF-BE0CBF8F1C69}"/>
    <cellStyle name="Migliaia 15 4 6 2 2" xfId="38584" xr:uid="{903DD8CB-B6F7-419B-A9BB-FD08F0604A15}"/>
    <cellStyle name="Migliaia 15 4 6 2 3" xfId="43886" xr:uid="{20CE1D35-53C7-4261-8460-0CD3F7FC5281}"/>
    <cellStyle name="Migliaia 15 4 6 2 4" xfId="33202" xr:uid="{D99B4463-4F33-4E85-82EF-2E7C382C63BD}"/>
    <cellStyle name="Migliaia 15 4 6 3" xfId="36100" xr:uid="{D53F2F64-EE9B-4AC0-9CC7-F7F0FCDAD3DD}"/>
    <cellStyle name="Migliaia 15 4 6 4" xfId="41235" xr:uid="{845009BB-DDAE-4480-968F-9E2F52FA5243}"/>
    <cellStyle name="Migliaia 15 4 6 5" xfId="24341" xr:uid="{D2CCA8C5-76F0-4006-B720-581FB04CE051}"/>
    <cellStyle name="Migliaia 15 4 6 6" xfId="48171" xr:uid="{1D6983AF-E2C4-4213-A661-246918E54E99}"/>
    <cellStyle name="Migliaia 15 4 6 7" xfId="50412" xr:uid="{C7FA1F9B-178B-48DB-9F27-4BDD74053704}"/>
    <cellStyle name="Migliaia 15 4 6 8" xfId="53428" xr:uid="{839A56CC-F103-49C0-AFA5-CB3519C272DA}"/>
    <cellStyle name="Migliaia 15 4 7" xfId="19928" xr:uid="{E8C8E4FC-9621-4925-BE3D-51AA09C436CD}"/>
    <cellStyle name="Migliaia 15 4 7 2" xfId="33203" xr:uid="{A6CF1D92-4817-4F0C-9298-36D0381852C9}"/>
    <cellStyle name="Migliaia 15 4 7 2 2" xfId="38585" xr:uid="{CA13D40F-EC12-42FF-98F3-D2FDC20803AB}"/>
    <cellStyle name="Migliaia 15 4 7 2 3" xfId="43887" xr:uid="{AB2FD64F-D60C-4EF2-A592-673651223788}"/>
    <cellStyle name="Migliaia 15 4 7 3" xfId="36101" xr:uid="{8E1653DB-6071-479E-B5A6-BB4CB250645C}"/>
    <cellStyle name="Migliaia 15 4 7 4" xfId="41236" xr:uid="{4EFF631D-D700-4867-8828-8F3FBD947E39}"/>
    <cellStyle name="Migliaia 15 4 7 5" xfId="24342" xr:uid="{0BBB819A-9B21-4C29-8A5C-F8B85224AA21}"/>
    <cellStyle name="Migliaia 15 4 8" xfId="24339" xr:uid="{83696358-CEE8-462E-953D-7119B70AA20D}"/>
    <cellStyle name="Migliaia 15 4 9" xfId="7329" xr:uid="{B298B8B8-ECDB-49C3-9E3C-6964125295FB}"/>
    <cellStyle name="Migliaia 15 5" xfId="1687" xr:uid="{00000000-0005-0000-0000-0000F6020000}"/>
    <cellStyle name="Migliaia 15 5 2" xfId="4931" xr:uid="{406E4B41-3978-412D-A8EB-3DAE53749793}"/>
    <cellStyle name="Migliaia 15 5 2 2" xfId="18377" xr:uid="{CDC6A4D0-C079-4024-9D34-F2CD41D9A3E4}"/>
    <cellStyle name="Migliaia 15 5 2 2 2" xfId="38586" xr:uid="{98BE843E-DA04-4997-B8FF-443DBBA238D3}"/>
    <cellStyle name="Migliaia 15 5 2 2 3" xfId="43888" xr:uid="{6CCAE07D-6005-4DE8-8FEB-93D8CB634ABE}"/>
    <cellStyle name="Migliaia 15 5 2 3" xfId="19931" xr:uid="{6A9507A3-0A7E-40E9-A86F-75AC01E3353F}"/>
    <cellStyle name="Migliaia 15 5 2 3 2" xfId="36102" xr:uid="{8AA64F52-E913-40E3-ADF8-3720788E40E6}"/>
    <cellStyle name="Migliaia 15 5 2 4" xfId="41237" xr:uid="{E03F0380-96D2-482E-A5AE-3A2E2159DBC6}"/>
    <cellStyle name="Migliaia 15 5 2 5" xfId="16101" xr:uid="{1CECC315-7CD2-48A6-A99B-EF21C5E4E829}"/>
    <cellStyle name="Migliaia 15 5 2 6" xfId="8520" xr:uid="{C0AF20CB-9D0B-4AD1-8448-8EBA53EE0AFC}"/>
    <cellStyle name="Migliaia 15 5 3" xfId="6148" xr:uid="{BAEB0A72-3CED-432B-B54F-15E743DD28F3}"/>
    <cellStyle name="Migliaia 15 5 3 2" xfId="33204" xr:uid="{C1A468E7-D95B-4F87-8541-C795A769D11F}"/>
    <cellStyle name="Migliaia 15 5 3 2 2" xfId="38587" xr:uid="{A1DFF070-3B6D-4E2E-8CEE-49FEA2974945}"/>
    <cellStyle name="Migliaia 15 5 3 2 3" xfId="43889" xr:uid="{D1DAD569-5BBD-4FD1-AA9E-1F1B6DCE1AA1}"/>
    <cellStyle name="Migliaia 15 5 3 3" xfId="36103" xr:uid="{4034F7FB-1731-4316-8082-028602A9FCDE}"/>
    <cellStyle name="Migliaia 15 5 3 4" xfId="41238" xr:uid="{8B0ACE90-4E5B-491B-BA7B-65170AD6B89E}"/>
    <cellStyle name="Migliaia 15 5 3 5" xfId="11263" xr:uid="{58466D27-32F6-4AA0-A93B-F0E4FBBD5558}"/>
    <cellStyle name="Migliaia 15 5 4" xfId="3205" xr:uid="{A1490F85-18DA-4582-A053-BD0899C472C3}"/>
    <cellStyle name="Migliaia 15 5 4 2" xfId="21399" xr:uid="{F9EC2B49-DF8F-4CCF-BB48-FC4AC45C6C88}"/>
    <cellStyle name="Migliaia 15 5 4 2 2" xfId="38588" xr:uid="{D9848CF4-5E00-442D-ACD4-4994ADFE1430}"/>
    <cellStyle name="Migliaia 15 5 4 2 3" xfId="43890" xr:uid="{B57A342A-3D7B-4D3D-85D1-872947390C4F}"/>
    <cellStyle name="Migliaia 15 5 4 2 4" xfId="33205" xr:uid="{B0ECC455-8D57-47DF-8A93-85C4F931EBCA}"/>
    <cellStyle name="Migliaia 15 5 4 3" xfId="36104" xr:uid="{D9EE240B-C4CC-4EF7-8147-045ABAA253AC}"/>
    <cellStyle name="Migliaia 15 5 4 4" xfId="41239" xr:uid="{15FF85F9-02C1-4A67-8AC5-1E7F00DE665A}"/>
    <cellStyle name="Migliaia 15 5 4 5" xfId="24344" xr:uid="{B1D1788A-AD8E-46C6-92A1-F1D951909493}"/>
    <cellStyle name="Migliaia 15 5 4 6" xfId="33089" xr:uid="{9714EC3B-5AE4-4D29-AB26-B7B01383F863}"/>
    <cellStyle name="Migliaia 15 5 4 7" xfId="50414" xr:uid="{4C730DE1-3922-473C-9E11-ACB5C63E4D72}"/>
    <cellStyle name="Migliaia 15 5 4 8" xfId="53430" xr:uid="{E7ADE665-B312-45A4-9B84-8A2FDF0F50C7}"/>
    <cellStyle name="Migliaia 15 5 4 9" xfId="10764" xr:uid="{50C18D8C-6415-49EA-BF7D-D7BE8AC47A69}"/>
    <cellStyle name="Migliaia 15 5 5" xfId="19930" xr:uid="{59CBCC75-CBF0-47B9-90EE-EE4A9D8C9F68}"/>
    <cellStyle name="Migliaia 15 5 5 2" xfId="33206" xr:uid="{612D6F72-9062-44E5-AB21-6E83A9788EF7}"/>
    <cellStyle name="Migliaia 15 5 5 2 2" xfId="38589" xr:uid="{A0642FC7-1CB4-4182-B34F-DFE5DE79C1BD}"/>
    <cellStyle name="Migliaia 15 5 5 2 3" xfId="43891" xr:uid="{78C09E2F-E92A-4BCA-B047-006BF4354802}"/>
    <cellStyle name="Migliaia 15 5 5 3" xfId="36105" xr:uid="{3DDAADC9-4491-4367-A98A-FC6A425B5A63}"/>
    <cellStyle name="Migliaia 15 5 5 4" xfId="41240" xr:uid="{A471E0F8-0214-41BD-BEEC-2C52192C817F}"/>
    <cellStyle name="Migliaia 15 5 5 5" xfId="24345" xr:uid="{F0B2258F-8CE9-4CB2-AC00-264EA0E794EB}"/>
    <cellStyle name="Migliaia 15 5 6" xfId="24346" xr:uid="{EAC7EE6C-315E-414E-9672-2AE70720EF6F}"/>
    <cellStyle name="Migliaia 15 5 6 2" xfId="33207" xr:uid="{DA190A61-34AA-48A0-894C-761697F9E0AF}"/>
    <cellStyle name="Migliaia 15 5 6 2 2" xfId="38590" xr:uid="{2F21BCA3-90D6-4CAC-AC33-84CF97C30373}"/>
    <cellStyle name="Migliaia 15 5 6 2 3" xfId="43892" xr:uid="{A8484B54-A080-4F03-ADEE-444C0E893B33}"/>
    <cellStyle name="Migliaia 15 5 6 3" xfId="36106" xr:uid="{69539C14-30F7-463C-B90B-C30D24D07186}"/>
    <cellStyle name="Migliaia 15 5 6 4" xfId="41241" xr:uid="{F54B652D-CDA4-4C29-86D0-51E4D8F21E1E}"/>
    <cellStyle name="Migliaia 15 5 7" xfId="24343" xr:uid="{37C3FFD0-BF64-4685-A65C-F662C5E34274}"/>
    <cellStyle name="Migliaia 15 5 8" xfId="7330" xr:uid="{A543D059-332E-4B16-9F79-A3D59272FC87}"/>
    <cellStyle name="Migliaia 15 6" xfId="3206" xr:uid="{91C84716-3AB3-47AC-814F-628D07476DA0}"/>
    <cellStyle name="Migliaia 15 6 2" xfId="4932" xr:uid="{41DEB13C-20EF-4157-91D8-656487658DA6}"/>
    <cellStyle name="Migliaia 15 6 2 2" xfId="9893" xr:uid="{73946358-1D0F-43CE-9329-A27CEDCDFAF8}"/>
    <cellStyle name="Migliaia 15 6 2 3" xfId="18674" xr:uid="{E6AA9546-4717-473A-BB41-A57AAA133938}"/>
    <cellStyle name="Migliaia 15 6 2 4" xfId="19933" xr:uid="{C4EDBF7B-3B3F-4EF8-BA80-F2F6D26A87B4}"/>
    <cellStyle name="Migliaia 15 6 2 5" xfId="32313" xr:uid="{686DB2CC-B738-4D1B-8301-4766E072F276}"/>
    <cellStyle name="Migliaia 15 6 2 6" xfId="16103" xr:uid="{5C5CF37B-580E-44AC-8BED-E0D0189E2CA1}"/>
    <cellStyle name="Migliaia 15 6 2 7" xfId="8515" xr:uid="{15DFE0EB-B2B7-47C3-B027-A88F57D55162}"/>
    <cellStyle name="Migliaia 15 6 3" xfId="6149" xr:uid="{F5E79BA5-3C71-44DA-991A-6F3A3698B9D2}"/>
    <cellStyle name="Migliaia 15 6 3 2" xfId="35167" xr:uid="{E3680E98-E574-4F63-B08E-7C2A7F807C15}"/>
    <cellStyle name="Migliaia 15 6 3 2 2" xfId="40325" xr:uid="{FFC783FE-B82F-4498-8CF6-F47623F60559}"/>
    <cellStyle name="Migliaia 15 6 3 2 3" xfId="45627" xr:uid="{A50215F3-16DF-4D05-B958-B3812D371080}"/>
    <cellStyle name="Migliaia 15 6 3 3" xfId="37674" xr:uid="{1F73D95C-3861-4B73-9809-DAF20BD891C4}"/>
    <cellStyle name="Migliaia 15 6 3 4" xfId="42976" xr:uid="{4562C6A3-B2C3-4DA9-8B66-58301540C506}"/>
    <cellStyle name="Migliaia 15 6 3 5" xfId="9656" xr:uid="{B248C432-D489-4608-88F4-81F15FABD68C}"/>
    <cellStyle name="Migliaia 15 6 4" xfId="19932" xr:uid="{EDF20483-B7DA-447C-BCC8-E23106825C09}"/>
    <cellStyle name="Migliaia 15 6 4 2" xfId="38591" xr:uid="{856FE62C-EB8F-4513-B33D-40C5F6DCFDCB}"/>
    <cellStyle name="Migliaia 15 6 4 3" xfId="43893" xr:uid="{FFFC54FF-E489-4287-B71D-86CB4A87551C}"/>
    <cellStyle name="Migliaia 15 6 4 4" xfId="33208" xr:uid="{21065ECC-AF19-4A1A-9926-B1DFFEEAD8C1}"/>
    <cellStyle name="Migliaia 15 6 5" xfId="36107" xr:uid="{FE884AA2-B617-4AA9-A1F4-5DD036E9C322}"/>
    <cellStyle name="Migliaia 15 6 6" xfId="41242" xr:uid="{E6FB7D0C-4B39-45D9-80A5-59757D635509}"/>
    <cellStyle name="Migliaia 15 6 7" xfId="16102" xr:uid="{DFA394D4-90EB-4456-9A39-74B63A3B24F8}"/>
    <cellStyle name="Migliaia 15 6 8" xfId="7325" xr:uid="{C22DC42A-F004-493C-ACB8-64D07B7AC35B}"/>
    <cellStyle name="Migliaia 15 7" xfId="3207" xr:uid="{C2051085-84AA-4FB9-B3A2-8112F538E386}"/>
    <cellStyle name="Migliaia 15 7 2" xfId="4933" xr:uid="{97DD9A87-770D-4E17-9423-B9792975C01C}"/>
    <cellStyle name="Migliaia 15 7 2 2" xfId="35168" xr:uid="{77233111-71DF-4132-B39A-3C13E3BD6034}"/>
    <cellStyle name="Migliaia 15 7 2 2 2" xfId="40326" xr:uid="{9635E57B-0E1F-4262-8BBE-A282881F2E7D}"/>
    <cellStyle name="Migliaia 15 7 2 2 3" xfId="45628" xr:uid="{29CD9648-43EB-4BCE-9387-5FB9F809671C}"/>
    <cellStyle name="Migliaia 15 7 2 3" xfId="37675" xr:uid="{06F1AA65-FCF7-4C13-A5D2-BE1FCBEF267A}"/>
    <cellStyle name="Migliaia 15 7 2 4" xfId="42977" xr:uid="{6882F342-27A7-4E5C-91E9-6D9A6B47DEAB}"/>
    <cellStyle name="Migliaia 15 7 2 5" xfId="14196" xr:uid="{0A07FD1D-100F-49F9-A7EB-5A5440DDB266}"/>
    <cellStyle name="Migliaia 15 7 3" xfId="6150" xr:uid="{9D13C3A7-40DD-4DC9-A1C1-319CB80BC3E1}"/>
    <cellStyle name="Migliaia 15 7 3 2" xfId="38592" xr:uid="{B0CEC19E-3193-434C-954E-CDEC1FC2343C}"/>
    <cellStyle name="Migliaia 15 7 3 3" xfId="43894" xr:uid="{34E9F4E8-3C5A-46E0-839E-61805697986D}"/>
    <cellStyle name="Migliaia 15 7 3 4" xfId="33209" xr:uid="{3F1DA8E6-7BAC-426C-B1AD-B1940613111B}"/>
    <cellStyle name="Migliaia 15 7 3 5" xfId="19934" xr:uid="{D3651384-8636-454E-8D10-8742019EAEF4}"/>
    <cellStyle name="Migliaia 15 7 4" xfId="36108" xr:uid="{D4E69C3B-1A8B-4E54-A367-EEEFA0707C2E}"/>
    <cellStyle name="Migliaia 15 7 5" xfId="41243" xr:uid="{F07389DE-D396-43B4-8909-8D578361C9B9}"/>
    <cellStyle name="Migliaia 15 7 6" xfId="16104" xr:uid="{82DF921F-81C9-498D-9FFE-28E05C34C955}"/>
    <cellStyle name="Migliaia 15 7 7" xfId="8258" xr:uid="{40352F0E-DE47-488C-90B1-133DB4061443}"/>
    <cellStyle name="Migliaia 15 8" xfId="3208" xr:uid="{F9FB3714-966D-4FD4-84D8-F3EEDB8F10D0}"/>
    <cellStyle name="Migliaia 15 8 2" xfId="4934" xr:uid="{34E7FDAB-5CED-485A-BA5F-DDB25AF1A923}"/>
    <cellStyle name="Migliaia 15 8 2 2" xfId="35169" xr:uid="{67B1BC95-9AC0-4A58-88BB-80CA8C9401C7}"/>
    <cellStyle name="Migliaia 15 8 2 2 2" xfId="40327" xr:uid="{311012E3-D276-4BB1-A153-625CEA4F7A3F}"/>
    <cellStyle name="Migliaia 15 8 2 2 3" xfId="45629" xr:uid="{AD984597-3329-4A11-9406-78E290C18142}"/>
    <cellStyle name="Migliaia 15 8 2 3" xfId="37676" xr:uid="{15520B55-D864-44EF-91B0-E81AE0AD7607}"/>
    <cellStyle name="Migliaia 15 8 2 4" xfId="42978" xr:uid="{0E54E2B6-CBBD-4546-8455-CE1C78C4842D}"/>
    <cellStyle name="Migliaia 15 8 2 5" xfId="13899" xr:uid="{7C7BE377-4C25-4F1E-B4C0-AEC680E38782}"/>
    <cellStyle name="Migliaia 15 8 3" xfId="6151" xr:uid="{C46C367F-F677-4C36-AC0E-3E931A673B03}"/>
    <cellStyle name="Migliaia 15 8 3 2" xfId="38593" xr:uid="{E788DFCE-5D09-4061-8A10-4786C4B7F338}"/>
    <cellStyle name="Migliaia 15 8 3 3" xfId="43895" xr:uid="{78B258E9-AB28-4BEB-AFD9-1C3D1209D841}"/>
    <cellStyle name="Migliaia 15 8 3 4" xfId="33210" xr:uid="{E6BE2D53-2319-46F1-B8CC-18811ADE838A}"/>
    <cellStyle name="Migliaia 15 8 3 5" xfId="19935" xr:uid="{43378650-EB70-4468-9779-28A11CB55F2F}"/>
    <cellStyle name="Migliaia 15 8 4" xfId="36109" xr:uid="{0DC367DB-C70F-4686-92FD-D91BACD6B171}"/>
    <cellStyle name="Migliaia 15 8 5" xfId="41244" xr:uid="{B9E900DC-FCE9-4A2E-92ED-52C94EA2167F}"/>
    <cellStyle name="Migliaia 15 8 6" xfId="16105" xr:uid="{2C64FBDB-3FE3-45E5-86F1-63293CAC2349}"/>
    <cellStyle name="Migliaia 15 8 7" xfId="7843" xr:uid="{D40F5D92-DD8D-4C3B-9969-4AD4B48D2D8F}"/>
    <cellStyle name="Migliaia 15 9" xfId="4919" xr:uid="{29D03140-C706-474F-B3A8-566A2EC01030}"/>
    <cellStyle name="Migliaia 15 9 2" xfId="33211" xr:uid="{C8249F94-F5A3-4151-A7E8-21C27EAAFE39}"/>
    <cellStyle name="Migliaia 15 9 2 2" xfId="38594" xr:uid="{9AE1B65F-C3B1-4D7C-AD04-4D261E07C8E9}"/>
    <cellStyle name="Migliaia 15 9 2 3" xfId="43896" xr:uid="{F05446DD-2394-40D9-9C37-ED392EDAC6F4}"/>
    <cellStyle name="Migliaia 15 9 3" xfId="36110" xr:uid="{B01CA184-B9FC-4C79-B0CA-545ED79EAB34}"/>
    <cellStyle name="Migliaia 15 9 4" xfId="41245" xr:uid="{2ACBCD6F-0454-4578-9F60-560173BF612C}"/>
    <cellStyle name="Migliaia 15 9 5" xfId="17147" xr:uid="{186D5303-3F8F-4BAA-8C28-C568FB516A29}"/>
    <cellStyle name="Migliaia 16" xfId="325" xr:uid="{00000000-0005-0000-0000-0000F7020000}"/>
    <cellStyle name="Migliaia 16 10" xfId="6152" xr:uid="{A458F813-D2A8-40BA-9C11-FB508621C721}"/>
    <cellStyle name="Migliaia 16 10 2" xfId="38595" xr:uid="{580FFBBD-6EC9-45B7-BA77-128414CDB4C1}"/>
    <cellStyle name="Migliaia 16 10 3" xfId="43897" xr:uid="{1A4E3B8B-F111-4F77-B3E1-05B0AEC42DCE}"/>
    <cellStyle name="Migliaia 16 10 4" xfId="33212" xr:uid="{6B4A887F-920F-4474-B4B2-FCFB205C13D4}"/>
    <cellStyle name="Migliaia 16 10 5" xfId="19936" xr:uid="{EB13F93B-E979-4758-938C-945A5C438237}"/>
    <cellStyle name="Migliaia 16 11" xfId="3209" xr:uid="{D0E80C30-C1E1-4410-97DE-A42569E1E65E}"/>
    <cellStyle name="Migliaia 16 11 2" xfId="36111" xr:uid="{A23FF212-4C7F-4E1D-A939-D7C90131A548}"/>
    <cellStyle name="Migliaia 16 12" xfId="41246" xr:uid="{E4D5949E-EBFF-494E-B7E1-4DCA133B8C1D}"/>
    <cellStyle name="Migliaia 16 13" xfId="7062" xr:uid="{E9BCFE29-E45D-400C-B93D-B298A40B27F1}"/>
    <cellStyle name="Migliaia 16 2" xfId="326" xr:uid="{00000000-0005-0000-0000-0000F8020000}"/>
    <cellStyle name="Migliaia 16 2 2" xfId="1688" xr:uid="{00000000-0005-0000-0000-0000F9020000}"/>
    <cellStyle name="Migliaia 16 2 2 2" xfId="4937" xr:uid="{E1DD2827-8E5B-4DB5-A199-FEF4BD8CCCE4}"/>
    <cellStyle name="Migliaia 16 2 2 2 2" xfId="14369" xr:uid="{48F4A20E-F1E4-4070-B3BC-A290754EDA14}"/>
    <cellStyle name="Migliaia 16 2 2 2 2 2" xfId="38596" xr:uid="{483DED47-1434-4E37-877C-CB58C6A81953}"/>
    <cellStyle name="Migliaia 16 2 2 2 2 3" xfId="43898" xr:uid="{575A14C4-A833-41E5-AD60-5976B456FAE4}"/>
    <cellStyle name="Migliaia 16 2 2 2 3" xfId="18378" xr:uid="{80923644-EC6E-4E8E-9D85-932BC2E69DA0}"/>
    <cellStyle name="Migliaia 16 2 2 2 4" xfId="19939" xr:uid="{D828F2D0-763D-4811-A6F0-AA28B33822C7}"/>
    <cellStyle name="Migliaia 16 2 2 2 4 2" xfId="41247" xr:uid="{39A4F227-7A83-46B0-B968-F2722EADCE22}"/>
    <cellStyle name="Migliaia 16 2 2 2 5" xfId="16106" xr:uid="{B60F561A-C698-4358-9B46-3A8C0B586E39}"/>
    <cellStyle name="Migliaia 16 2 2 2 6" xfId="8522" xr:uid="{255A2A75-E874-450A-8E7F-B277971E51B5}"/>
    <cellStyle name="Migliaia 16 2 2 3" xfId="6154" xr:uid="{D660994A-5113-4282-AFB3-817CC42605D2}"/>
    <cellStyle name="Migliaia 16 2 2 3 2" xfId="35170" xr:uid="{4AC40687-A37B-4099-BAA0-658C94BEEBA3}"/>
    <cellStyle name="Migliaia 16 2 2 3 2 2" xfId="40328" xr:uid="{B571613A-E271-4F48-8904-85B88238A82A}"/>
    <cellStyle name="Migliaia 16 2 2 3 2 3" xfId="45630" xr:uid="{B26B5A04-E65A-4C70-B0F7-76419BFA3732}"/>
    <cellStyle name="Migliaia 16 2 2 3 3" xfId="37677" xr:uid="{67EF8772-6F3C-4910-B63C-33918878E8CF}"/>
    <cellStyle name="Migliaia 16 2 2 3 4" xfId="42979" xr:uid="{13138C05-CD9C-46C2-BAA1-822B9E657BDC}"/>
    <cellStyle name="Migliaia 16 2 2 3 5" xfId="11598" xr:uid="{CF440F0E-40C9-4C1B-8573-57687949BC45}"/>
    <cellStyle name="Migliaia 16 2 2 4" xfId="3211" xr:uid="{324ED930-B00C-4F15-8EFB-D7046203C253}"/>
    <cellStyle name="Migliaia 16 2 2 4 2" xfId="21400" xr:uid="{21EFAF0C-D56C-4220-A2D5-0023E5CAEC74}"/>
    <cellStyle name="Migliaia 16 2 2 4 3" xfId="47115" xr:uid="{106AA8EA-36D6-4645-A770-BA731C3F807D}"/>
    <cellStyle name="Migliaia 16 2 2 4 4" xfId="50415" xr:uid="{CADF2D6D-2692-479F-B08B-2F545BAEE0F0}"/>
    <cellStyle name="Migliaia 16 2 2 4 5" xfId="53431" xr:uid="{2744779D-CC06-4333-AD68-632394E11433}"/>
    <cellStyle name="Migliaia 16 2 2 4 6" xfId="10765" xr:uid="{AF36D93C-E3F0-4583-B2E7-E61EA757AA1D}"/>
    <cellStyle name="Migliaia 16 2 2 5" xfId="19938" xr:uid="{75793145-35F6-4048-8A4D-EEFD805327A4}"/>
    <cellStyle name="Migliaia 16 2 2 6" xfId="24348" xr:uid="{C89C41FE-786D-43A5-8F33-3C92A1A6B1AB}"/>
    <cellStyle name="Migliaia 16 2 2 7" xfId="7332" xr:uid="{C186AF65-D7A1-4C43-A706-6540EE788DD7}"/>
    <cellStyle name="Migliaia 16 2 3" xfId="3212" xr:uid="{8D050877-C74C-4E3B-BF05-0027D5C5482C}"/>
    <cellStyle name="Migliaia 16 2 3 2" xfId="4938" xr:uid="{25BA2046-E345-4D53-9150-232D9788F847}"/>
    <cellStyle name="Migliaia 16 2 3 2 2" xfId="35171" xr:uid="{0ADF95AA-8E7F-4F53-A2E7-FA64542A98BA}"/>
    <cellStyle name="Migliaia 16 2 3 2 2 2" xfId="40329" xr:uid="{3842A115-FFA5-4368-A80D-2F29E980C933}"/>
    <cellStyle name="Migliaia 16 2 3 2 2 3" xfId="45631" xr:uid="{3CAA23FA-7F6C-46A8-928C-E251B1E21A6F}"/>
    <cellStyle name="Migliaia 16 2 3 2 3" xfId="37678" xr:uid="{E28C9AE9-BF45-4B6C-955E-4C6F83368F85}"/>
    <cellStyle name="Migliaia 16 2 3 2 4" xfId="42980" xr:uid="{82C04E44-41B6-4B9E-9DCC-499CD0299503}"/>
    <cellStyle name="Migliaia 16 2 3 2 5" xfId="14200" xr:uid="{48631341-D131-4E5C-920B-F92DCF614C25}"/>
    <cellStyle name="Migliaia 16 2 3 3" xfId="6155" xr:uid="{E223A856-631D-4177-B855-17F93EF56F47}"/>
    <cellStyle name="Migliaia 16 2 3 3 2" xfId="38597" xr:uid="{3069F65E-99EC-4701-81E5-24B853157E9E}"/>
    <cellStyle name="Migliaia 16 2 3 3 3" xfId="43899" xr:uid="{1D9A3A2B-8644-4F1B-AA8E-91FAF6A16488}"/>
    <cellStyle name="Migliaia 16 2 3 3 4" xfId="33213" xr:uid="{7A6B18F3-5937-4423-9D4A-6AA5A682A712}"/>
    <cellStyle name="Migliaia 16 2 3 3 5" xfId="19940" xr:uid="{129FBC72-626D-4991-9A32-02A98F2A2B54}"/>
    <cellStyle name="Migliaia 16 2 3 4" xfId="36112" xr:uid="{60B6AA46-8355-421E-919D-337470BF36E1}"/>
    <cellStyle name="Migliaia 16 2 3 5" xfId="41248" xr:uid="{560FA2C2-F049-4599-9ACD-EA193946A008}"/>
    <cellStyle name="Migliaia 16 2 3 6" xfId="16107" xr:uid="{F7530E43-7845-472F-B8D6-8657FDBBA7B5}"/>
    <cellStyle name="Migliaia 16 2 3 7" xfId="8262" xr:uid="{AA5ABC2C-BEC1-4235-A529-7800FEF158B9}"/>
    <cellStyle name="Migliaia 16 2 4" xfId="4936" xr:uid="{A6CD6303-25FE-4FA1-980D-0C8F0846086D}"/>
    <cellStyle name="Migliaia 16 2 4 2" xfId="13903" xr:uid="{1C6018B7-30C1-4058-812C-1976E9DFFAB1}"/>
    <cellStyle name="Migliaia 16 2 4 2 2" xfId="38598" xr:uid="{C4FE7BF6-DDBC-462B-9928-095AA55C1FE4}"/>
    <cellStyle name="Migliaia 16 2 4 2 3" xfId="43900" xr:uid="{5447D9B4-5913-4E6A-B937-8E2483F8A772}"/>
    <cellStyle name="Migliaia 16 2 4 3" xfId="18015" xr:uid="{3EB38968-6DF8-48D0-9188-5BAB43520042}"/>
    <cellStyle name="Migliaia 16 2 4 4" xfId="19941" xr:uid="{0884916E-335F-49A4-B63A-D0A0704898EE}"/>
    <cellStyle name="Migliaia 16 2 4 4 2" xfId="41249" xr:uid="{3D0369B8-B3DD-4755-A559-45901E368969}"/>
    <cellStyle name="Migliaia 16 2 4 5" xfId="16108" xr:uid="{A10AD8B7-2E88-4F55-B4B3-66FB036C890E}"/>
    <cellStyle name="Migliaia 16 2 4 6" xfId="7848" xr:uid="{18CE678E-9656-46D4-880C-EA6F1FE3CE29}"/>
    <cellStyle name="Migliaia 16 2 5" xfId="6153" xr:uid="{B2950C2F-0546-4574-A6DD-4BE0709E50BE}"/>
    <cellStyle name="Migliaia 16 2 5 2" xfId="33214" xr:uid="{8DBB98E3-CB5C-409A-97A2-6FDD46E6B63F}"/>
    <cellStyle name="Migliaia 16 2 5 2 2" xfId="38599" xr:uid="{7C8B14BD-951C-425E-B77F-084A5495556F}"/>
    <cellStyle name="Migliaia 16 2 5 2 3" xfId="43901" xr:uid="{38F1C8C5-6D95-4C73-AF4B-A4E8B382EA2E}"/>
    <cellStyle name="Migliaia 16 2 5 3" xfId="36113" xr:uid="{ED133F94-C983-4F5C-8B6C-231ED2EE94AE}"/>
    <cellStyle name="Migliaia 16 2 5 4" xfId="41250" xr:uid="{50B4E326-E5DE-413E-ACAC-12417BD562B0}"/>
    <cellStyle name="Migliaia 16 2 5 5" xfId="13109" xr:uid="{EB0A5617-FDF1-45CA-8775-A64040C2B70A}"/>
    <cellStyle name="Migliaia 16 2 6" xfId="3210" xr:uid="{8368FD26-3CEC-4A82-80D5-403BC16C9C61}"/>
    <cellStyle name="Migliaia 16 2 6 2" xfId="33215" xr:uid="{0E92BFCF-9DD9-4146-8F03-78481DA34BC9}"/>
    <cellStyle name="Migliaia 16 2 6 2 2" xfId="38600" xr:uid="{534B4425-6322-4315-BA6D-1E930D71C1B8}"/>
    <cellStyle name="Migliaia 16 2 6 2 3" xfId="43902" xr:uid="{21DB6734-8A1C-42EE-A389-1C071CA3A89C}"/>
    <cellStyle name="Migliaia 16 2 6 3" xfId="36114" xr:uid="{BF8547DC-1E9A-4326-83A1-64C5FA8E7BE6}"/>
    <cellStyle name="Migliaia 16 2 6 4" xfId="41251" xr:uid="{9D146AFE-343F-42A4-85F7-321F9A49398F}"/>
    <cellStyle name="Migliaia 16 2 6 5" xfId="24349" xr:uid="{CCDF1F01-BB63-45FC-83F3-BF6443298462}"/>
    <cellStyle name="Migliaia 16 2 6 6" xfId="19937" xr:uid="{CB8D31F7-2BA9-40DA-80F9-0594FE977433}"/>
    <cellStyle name="Migliaia 16 2 7" xfId="24347" xr:uid="{DCF8C17D-F1FF-4296-AA7F-D0D534648B1E}"/>
    <cellStyle name="Migliaia 16 2 8" xfId="7063" xr:uid="{20D80B1C-69F5-4D8B-A5A1-04BF3AA5AD33}"/>
    <cellStyle name="Migliaia 16 3" xfId="327" xr:uid="{00000000-0005-0000-0000-0000FA020000}"/>
    <cellStyle name="Migliaia 16 3 10" xfId="24350" xr:uid="{B1101935-AAA4-4E58-A7F1-D2B0CC60E34E}"/>
    <cellStyle name="Migliaia 16 3 11" xfId="16109" xr:uid="{70794D43-0390-4B01-99C5-B9D0E3A7FF6B}"/>
    <cellStyle name="Migliaia 16 3 12" xfId="7064" xr:uid="{AA8E639A-0D6A-4265-B2FD-7C4FE62ADC78}"/>
    <cellStyle name="Migliaia 16 3 2" xfId="328" xr:uid="{00000000-0005-0000-0000-0000FB020000}"/>
    <cellStyle name="Migliaia 16 3 2 2" xfId="1689" xr:uid="{00000000-0005-0000-0000-0000FC020000}"/>
    <cellStyle name="Migliaia 16 3 2 2 2" xfId="4941" xr:uid="{D5C00C69-87FB-428A-B87A-C0A76BFFEBF9}"/>
    <cellStyle name="Migliaia 16 3 2 2 2 2" xfId="18379" xr:uid="{7D027C33-FF8F-49A2-BDB0-FA39C4851CD1}"/>
    <cellStyle name="Migliaia 16 3 2 2 2 2 2" xfId="21844" xr:uid="{A863E0A2-73EB-4A35-AA4B-7DE60306830F}"/>
    <cellStyle name="Migliaia 16 3 2 2 2 2 2 2" xfId="38601" xr:uid="{13602CA6-863D-45E5-847C-973C06EA5570}"/>
    <cellStyle name="Migliaia 16 3 2 2 2 2 3" xfId="43903" xr:uid="{863AF04C-8573-4EED-817E-9C97AF1780B5}"/>
    <cellStyle name="Migliaia 16 3 2 2 2 2 4" xfId="33216" xr:uid="{8793F260-04CE-40B1-AECE-1E94E2378364}"/>
    <cellStyle name="Migliaia 16 3 2 2 2 3" xfId="36115" xr:uid="{F7801852-DE25-4565-BD81-8B6F72DAE665}"/>
    <cellStyle name="Migliaia 16 3 2 2 2 4" xfId="41252" xr:uid="{660B5676-A503-4A0F-B911-AD997596D0BA}"/>
    <cellStyle name="Migliaia 16 3 2 2 2 5" xfId="47450" xr:uid="{29A33919-FE04-46EA-99CD-3E0D0B5EEF58}"/>
    <cellStyle name="Migliaia 16 3 2 2 2 6" xfId="50872" xr:uid="{5CBC10B4-02B1-480E-BA08-BF1EDF727C8A}"/>
    <cellStyle name="Migliaia 16 3 2 2 2 7" xfId="53888" xr:uid="{F9B12965-B0FE-49D3-8AAD-03C05D613A94}"/>
    <cellStyle name="Migliaia 16 3 2 2 2 8" xfId="17645" xr:uid="{1658718C-B791-4456-A8D8-D90BD5D66184}"/>
    <cellStyle name="Migliaia 16 3 2 2 2 9" xfId="11911" xr:uid="{6EA20DDE-EDC5-4B9B-8875-646B719DF6AF}"/>
    <cellStyle name="Migliaia 16 3 2 2 3" xfId="6158" xr:uid="{7ED3B557-4352-409A-B9F7-CA638A0C95DD}"/>
    <cellStyle name="Migliaia 16 3 2 2 3 2" xfId="11686" xr:uid="{9AD16051-B1D7-4575-969B-A079C5F0B6BF}"/>
    <cellStyle name="Migliaia 16 3 2 2 4" xfId="3215" xr:uid="{6BEF3A34-01EF-4ECC-AC62-39BA76C482F6}"/>
    <cellStyle name="Migliaia 16 3 2 2 4 2" xfId="21401" xr:uid="{5CC6138A-3A1E-49C0-97A5-3D671B369EB2}"/>
    <cellStyle name="Migliaia 16 3 2 2 4 3" xfId="47301" xr:uid="{A31D9E93-FD5A-45AC-9127-06517B651F28}"/>
    <cellStyle name="Migliaia 16 3 2 2 4 4" xfId="50416" xr:uid="{DB671147-669F-42F7-A0DB-B0C44606AB16}"/>
    <cellStyle name="Migliaia 16 3 2 2 4 5" xfId="53432" xr:uid="{B0D8FC51-3BDC-4601-ACEA-92AC588D859B}"/>
    <cellStyle name="Migliaia 16 3 2 2 4 6" xfId="10766" xr:uid="{A2CE2A4D-8F58-40F1-A883-166E429C9B73}"/>
    <cellStyle name="Migliaia 16 3 2 2 5" xfId="19944" xr:uid="{DEF6BB5F-0363-47AC-8E2B-0532382ED797}"/>
    <cellStyle name="Migliaia 16 3 2 2 6" xfId="24352" xr:uid="{EFA82FBE-AD4F-45AD-B46F-9778C71017C0}"/>
    <cellStyle name="Migliaia 16 3 2 2 7" xfId="8524" xr:uid="{2991651A-2CC2-4996-B5C0-C716763E8880}"/>
    <cellStyle name="Migliaia 16 3 2 3" xfId="4940" xr:uid="{8C06B9D4-7CA3-4861-B45B-20C32E99E95C}"/>
    <cellStyle name="Migliaia 16 3 2 3 2" xfId="12421" xr:uid="{91FD7417-6EC0-4B07-89ED-22A9667BBBFF}"/>
    <cellStyle name="Migliaia 16 3 2 3 2 2" xfId="38602" xr:uid="{6EA744AC-051D-4220-AE79-98695875EAC7}"/>
    <cellStyle name="Migliaia 16 3 2 3 2 3" xfId="43904" xr:uid="{0C5FC094-8E71-44C9-8B10-35D1EB8F1F35}"/>
    <cellStyle name="Migliaia 16 3 2 3 2 4" xfId="33217" xr:uid="{F84A9AA8-7CD8-4F92-B819-EA70EB62BFDA}"/>
    <cellStyle name="Migliaia 16 3 2 3 3" xfId="11912" xr:uid="{E8780139-44FD-44F8-8DF3-3FA490D21425}"/>
    <cellStyle name="Migliaia 16 3 2 3 4" xfId="19945" xr:uid="{02A59375-880C-4CDD-A01A-99C77FF591C9}"/>
    <cellStyle name="Migliaia 16 3 2 3 4 2" xfId="41253" xr:uid="{9F749291-5D93-4176-B2D9-E17E6DFCA50A}"/>
    <cellStyle name="Migliaia 16 3 2 3 5" xfId="16110" xr:uid="{763DC202-9C01-42B2-AB45-793367135D21}"/>
    <cellStyle name="Migliaia 16 3 2 3 6" xfId="7850" xr:uid="{AD3BC069-8281-402B-B4E3-11EF8680322D}"/>
    <cellStyle name="Migliaia 16 3 2 4" xfId="6157" xr:uid="{BAB117E8-8454-4F3D-AFFD-6E5D20F5C2C3}"/>
    <cellStyle name="Migliaia 16 3 2 4 2" xfId="18064" xr:uid="{1DBB4243-C452-4E03-B21A-BE8D699E4FDA}"/>
    <cellStyle name="Migliaia 16 3 2 4 2 2" xfId="38603" xr:uid="{6EB1CD47-9EF9-4E72-A288-E1EAA55FE58C}"/>
    <cellStyle name="Migliaia 16 3 2 4 2 3" xfId="43905" xr:uid="{97700F0B-DDD5-4D43-9236-6B5E6EF3DD5D}"/>
    <cellStyle name="Migliaia 16 3 2 4 3" xfId="36116" xr:uid="{6706A706-A7E0-4F69-A14D-7790255E9F1F}"/>
    <cellStyle name="Migliaia 16 3 2 4 4" xfId="41254" xr:uid="{908D67BE-E046-4AC4-A266-F79587B28E66}"/>
    <cellStyle name="Migliaia 16 3 2 4 5" xfId="17150" xr:uid="{A07FF433-BBB7-43DF-8332-F184A9DC89DB}"/>
    <cellStyle name="Migliaia 16 3 2 4 6" xfId="11264" xr:uid="{9800D830-6628-4550-B010-2B10505A278B}"/>
    <cellStyle name="Migliaia 16 3 2 5" xfId="3214" xr:uid="{0736BE52-8B4E-4198-BD8D-B2545DBB7C79}"/>
    <cellStyle name="Migliaia 16 3 2 5 2" xfId="33218" xr:uid="{8863A6D2-06FF-4F19-BED2-1BA93BBDC669}"/>
    <cellStyle name="Migliaia 16 3 2 5 2 2" xfId="38604" xr:uid="{52B9FE63-88AF-4116-B369-8C681366C57C}"/>
    <cellStyle name="Migliaia 16 3 2 5 2 3" xfId="43906" xr:uid="{61185E90-0F28-4654-8A06-CD8974F3C975}"/>
    <cellStyle name="Migliaia 16 3 2 5 3" xfId="36117" xr:uid="{22A3FC9B-AA49-4BB9-8ABA-97F8E9E020DD}"/>
    <cellStyle name="Migliaia 16 3 2 5 4" xfId="41255" xr:uid="{532D34B0-C1DE-492E-92DC-2EFA73012F05}"/>
    <cellStyle name="Migliaia 16 3 2 5 5" xfId="17405" xr:uid="{FD46D9CB-2106-4527-9A00-3F2FBE51F953}"/>
    <cellStyle name="Migliaia 16 3 2 6" xfId="19943" xr:uid="{98A686BD-7C89-41A7-A16A-8609BA469430}"/>
    <cellStyle name="Migliaia 16 3 2 6 2" xfId="33219" xr:uid="{C085A391-7B31-499B-8A2B-202E6A74B341}"/>
    <cellStyle name="Migliaia 16 3 2 6 2 2" xfId="38605" xr:uid="{09899627-5D1F-400A-BEAD-2714F4B2B645}"/>
    <cellStyle name="Migliaia 16 3 2 6 2 3" xfId="43907" xr:uid="{3E1CE7C6-D015-4B21-B0FC-98B1CA414FAF}"/>
    <cellStyle name="Migliaia 16 3 2 6 3" xfId="36118" xr:uid="{EA788965-6DB0-4957-81AF-749EA47CC3F4}"/>
    <cellStyle name="Migliaia 16 3 2 6 4" xfId="41256" xr:uid="{59D679EC-8169-4FB4-8E7B-EF2E381F695C}"/>
    <cellStyle name="Migliaia 16 3 2 6 5" xfId="24353" xr:uid="{D9C46003-FEEB-4256-AC90-FF23C52914F4}"/>
    <cellStyle name="Migliaia 16 3 2 7" xfId="24351" xr:uid="{0A91F369-32A4-4C27-BF7D-530C768D7617}"/>
    <cellStyle name="Migliaia 16 3 2 8" xfId="7334" xr:uid="{BA7C866C-91C6-4EE5-A54D-EDA1A619B81E}"/>
    <cellStyle name="Migliaia 16 3 3" xfId="3216" xr:uid="{21A3FBAC-31AF-4780-AAC4-1A173292D86D}"/>
    <cellStyle name="Migliaia 16 3 3 10" xfId="7333" xr:uid="{AEC2CFEE-DF4B-4796-97B5-AEDC729EE8C3}"/>
    <cellStyle name="Migliaia 16 3 3 2" xfId="4942" xr:uid="{2B9D2E43-3C7F-468F-B5AA-DE807D4E18D6}"/>
    <cellStyle name="Migliaia 16 3 3 2 2" xfId="9896" xr:uid="{46B0FB47-1EA7-47FB-A51A-D122288001E4}"/>
    <cellStyle name="Migliaia 16 3 3 2 2 2" xfId="38607" xr:uid="{89D48AFC-2D78-4AA2-8794-17364C99B906}"/>
    <cellStyle name="Migliaia 16 3 3 2 2 3" xfId="43909" xr:uid="{751AE55B-87B1-4671-AF02-1522866A2024}"/>
    <cellStyle name="Migliaia 16 3 3 2 3" xfId="18176" xr:uid="{4705A63F-1A0D-40E3-A473-FF8D48FC1310}"/>
    <cellStyle name="Migliaia 16 3 3 2 4" xfId="19947" xr:uid="{1F22D0C2-07AA-440A-84D1-BC0D988696BB}"/>
    <cellStyle name="Migliaia 16 3 3 2 4 2" xfId="41258" xr:uid="{D069E7A1-BE7C-436E-AF58-A47D5D243354}"/>
    <cellStyle name="Migliaia 16 3 3 2 5" xfId="16112" xr:uid="{0125EB12-9C2D-4340-B71F-006FE75A7E31}"/>
    <cellStyle name="Migliaia 16 3 3 2 6" xfId="8523" xr:uid="{0B52F541-A946-491D-908D-C42304483AC2}"/>
    <cellStyle name="Migliaia 16 3 3 3" xfId="6159" xr:uid="{660E4021-C2B9-4652-9296-9D45E689D00C}"/>
    <cellStyle name="Migliaia 16 3 3 3 2" xfId="33221" xr:uid="{79161D8F-889D-460C-81A3-8F20335154C7}"/>
    <cellStyle name="Migliaia 16 3 3 3 2 2" xfId="38608" xr:uid="{DC8A3ACA-0B18-4C8A-95E8-08AA7F2F194A}"/>
    <cellStyle name="Migliaia 16 3 3 3 2 3" xfId="43910" xr:uid="{5432FED6-267F-47C5-AEB4-B9B8DF96C354}"/>
    <cellStyle name="Migliaia 16 3 3 3 3" xfId="36120" xr:uid="{AAFE74F9-9001-45ED-A72C-9894BA6B0953}"/>
    <cellStyle name="Migliaia 16 3 3 3 4" xfId="41259" xr:uid="{2CA6A201-8965-4EDC-8642-38EBE650975E}"/>
    <cellStyle name="Migliaia 16 3 3 3 5" xfId="9659" xr:uid="{AFC7AD12-C7C0-45BD-A475-2EE4CDAB8952}"/>
    <cellStyle name="Migliaia 16 3 3 4" xfId="19946" xr:uid="{DDFF46A2-E5B1-419D-AB61-46262264F079}"/>
    <cellStyle name="Migliaia 16 3 3 4 2" xfId="33222" xr:uid="{92FE2A99-2E19-432B-910F-2D41DB26BC4F}"/>
    <cellStyle name="Migliaia 16 3 3 4 2 2" xfId="38609" xr:uid="{023E9884-54EB-449E-B14A-C14F61EF206D}"/>
    <cellStyle name="Migliaia 16 3 3 4 2 3" xfId="43911" xr:uid="{805C37D8-AC38-4FAA-B297-7D6A0C45F497}"/>
    <cellStyle name="Migliaia 16 3 3 4 3" xfId="36121" xr:uid="{9BDEE3A5-0C73-4284-9DAA-BAEA927DE310}"/>
    <cellStyle name="Migliaia 16 3 3 4 4" xfId="41260" xr:uid="{3C7F90A0-BF46-44DD-8924-76C544583BA0}"/>
    <cellStyle name="Migliaia 16 3 3 4 5" xfId="24354" xr:uid="{BEF3779F-AE39-4092-81A0-D90ECE3DFDEB}"/>
    <cellStyle name="Migliaia 16 3 3 5" xfId="24355" xr:uid="{37D188C2-2F40-4D43-B686-E5635F2E3BA5}"/>
    <cellStyle name="Migliaia 16 3 3 5 2" xfId="33223" xr:uid="{743817CB-3F79-4390-9F5E-AB0874D73F9F}"/>
    <cellStyle name="Migliaia 16 3 3 5 2 2" xfId="38610" xr:uid="{D63AC7DC-859B-4F98-AC12-9A6A5F72B5DA}"/>
    <cellStyle name="Migliaia 16 3 3 5 2 3" xfId="43912" xr:uid="{8FF7278D-3B75-4664-BFA9-DDCF35997CF7}"/>
    <cellStyle name="Migliaia 16 3 3 5 3" xfId="36122" xr:uid="{D00ED263-FFB4-4AD1-A552-A1913E495F16}"/>
    <cellStyle name="Migliaia 16 3 3 5 4" xfId="41261" xr:uid="{68F055CC-E72C-4929-B10A-8728CAF906BA}"/>
    <cellStyle name="Migliaia 16 3 3 6" xfId="33220" xr:uid="{4572C456-0ABD-47F5-8AFB-96F8835EC85E}"/>
    <cellStyle name="Migliaia 16 3 3 6 2" xfId="38606" xr:uid="{294A6879-D97C-421B-BE05-4449643186CC}"/>
    <cellStyle name="Migliaia 16 3 3 6 3" xfId="43908" xr:uid="{0C996361-8933-4B9D-9D5C-93751BF0145C}"/>
    <cellStyle name="Migliaia 16 3 3 7" xfId="36119" xr:uid="{42E0F65F-FA22-47B4-ABC4-AA7CBC9DD497}"/>
    <cellStyle name="Migliaia 16 3 3 8" xfId="41257" xr:uid="{97195DAA-26AE-4D44-BAC1-CB0DFFCFD670}"/>
    <cellStyle name="Migliaia 16 3 3 9" xfId="16111" xr:uid="{A3CA392C-6659-4531-B0C1-6BE31C77C442}"/>
    <cellStyle name="Migliaia 16 3 4" xfId="3217" xr:uid="{2BC36462-1492-4B99-9ED1-41E3181EECB0}"/>
    <cellStyle name="Migliaia 16 3 4 2" xfId="4943" xr:uid="{20849AFC-71DE-4430-A01C-83EBB7DF3642}"/>
    <cellStyle name="Migliaia 16 3 4 2 2" xfId="14430" xr:uid="{729E1CC7-DE38-4979-9BDF-E419ADA96ABC}"/>
    <cellStyle name="Migliaia 16 3 4 2 3" xfId="18033" xr:uid="{0C3B9A4C-60D7-48F4-AEF2-E833C421C890}"/>
    <cellStyle name="Migliaia 16 3 4 2 4" xfId="19949" xr:uid="{77CCA6E6-852B-48F3-9A95-247582E41990}"/>
    <cellStyle name="Migliaia 16 3 4 2 5" xfId="32314" xr:uid="{D3B016D8-5A60-4B4C-BAB8-D3DEB056AA3D}"/>
    <cellStyle name="Migliaia 16 3 4 2 6" xfId="16114" xr:uid="{2F037308-8C98-45B8-890D-96D666B8F798}"/>
    <cellStyle name="Migliaia 16 3 4 2 7" xfId="8853" xr:uid="{3D73D651-8E51-4E61-A256-85F4271498FB}"/>
    <cellStyle name="Migliaia 16 3 4 3" xfId="6160" xr:uid="{97EF078D-C318-45EA-AAFF-3A421D7EAFB7}"/>
    <cellStyle name="Migliaia 16 3 4 3 2" xfId="35172" xr:uid="{1E4556D5-1C28-48C4-AA7D-CDC5E21556F0}"/>
    <cellStyle name="Migliaia 16 3 4 3 2 2" xfId="40330" xr:uid="{647AD4B4-6769-4C98-8268-0DB22751B549}"/>
    <cellStyle name="Migliaia 16 3 4 3 2 3" xfId="45632" xr:uid="{8E0F2ED4-780D-43CF-B04E-2A43C12BEA87}"/>
    <cellStyle name="Migliaia 16 3 4 3 3" xfId="37679" xr:uid="{C1048131-4340-496D-97C2-F39353451DA1}"/>
    <cellStyle name="Migliaia 16 3 4 3 4" xfId="42981" xr:uid="{08B128DD-7BC0-48B6-9A19-3C782843DF8C}"/>
    <cellStyle name="Migliaia 16 3 4 3 5" xfId="13678" xr:uid="{654AC9E1-7776-4E00-A82E-F39B2AF5B854}"/>
    <cellStyle name="Migliaia 16 3 4 4" xfId="19948" xr:uid="{CE87768F-1727-4084-AAFE-4928E6027F71}"/>
    <cellStyle name="Migliaia 16 3 4 4 2" xfId="38611" xr:uid="{941A5F7E-0A9D-4396-A806-3BFC4852F29A}"/>
    <cellStyle name="Migliaia 16 3 4 4 3" xfId="43913" xr:uid="{36746A1A-29A6-40AD-AB14-590405E9EE3B}"/>
    <cellStyle name="Migliaia 16 3 4 4 4" xfId="33224" xr:uid="{B8BF7D7E-A677-4134-A174-389418E3D5E4}"/>
    <cellStyle name="Migliaia 16 3 4 5" xfId="36123" xr:uid="{F1DF0FD2-D0C5-4D2C-AFF7-ECE698CB630D}"/>
    <cellStyle name="Migliaia 16 3 4 6" xfId="41262" xr:uid="{BB1DFEF6-4CE0-4E15-8E29-839D789807C4}"/>
    <cellStyle name="Migliaia 16 3 4 7" xfId="16113" xr:uid="{1B9794BC-62F3-4BE8-9358-750F59621231}"/>
    <cellStyle name="Migliaia 16 3 4 8" xfId="7663" xr:uid="{6F746281-9CAA-4991-BBB8-6019CCAD0073}"/>
    <cellStyle name="Migliaia 16 3 5" xfId="3218" xr:uid="{A90785C4-DFDF-4332-AC54-1CDA67480740}"/>
    <cellStyle name="Migliaia 16 3 5 2" xfId="4944" xr:uid="{3E5199E1-1F7E-4A2D-9961-E629987FEE54}"/>
    <cellStyle name="Migliaia 16 3 5 2 2" xfId="35173" xr:uid="{C88DE0B6-08C1-4B29-A69A-DAC15D643001}"/>
    <cellStyle name="Migliaia 16 3 5 2 2 2" xfId="40331" xr:uid="{389F3B4B-EE37-4146-8F38-2947D35F26A1}"/>
    <cellStyle name="Migliaia 16 3 5 2 2 3" xfId="45633" xr:uid="{08F3DFB8-1AAC-4348-98D1-87F211FF1CEB}"/>
    <cellStyle name="Migliaia 16 3 5 2 3" xfId="37680" xr:uid="{77ABD28E-8FBF-4D1E-A288-EC5792B97530}"/>
    <cellStyle name="Migliaia 16 3 5 2 4" xfId="42982" xr:uid="{88C51716-65F5-42E9-8C12-B224893401EE}"/>
    <cellStyle name="Migliaia 16 3 5 2 5" xfId="14201" xr:uid="{43501212-D93D-4BCF-B0CA-D8C7F00E146E}"/>
    <cellStyle name="Migliaia 16 3 5 3" xfId="6161" xr:uid="{FC833FDF-BDCD-4896-B72F-B830E950E2DD}"/>
    <cellStyle name="Migliaia 16 3 5 3 2" xfId="38612" xr:uid="{A8DC8F0A-EA71-4572-AD97-8996893F3DC0}"/>
    <cellStyle name="Migliaia 16 3 5 3 3" xfId="43914" xr:uid="{A45D209B-D4EB-4A95-AE22-EB133C5AA682}"/>
    <cellStyle name="Migliaia 16 3 5 3 4" xfId="33225" xr:uid="{5723E308-51DB-41D1-B4A7-903EEDE721F3}"/>
    <cellStyle name="Migliaia 16 3 5 3 5" xfId="19950" xr:uid="{2FC04596-793C-4604-917A-B37EE251375B}"/>
    <cellStyle name="Migliaia 16 3 5 4" xfId="36124" xr:uid="{23B0D030-6B0A-4FC0-9C84-679D08E72CD9}"/>
    <cellStyle name="Migliaia 16 3 5 5" xfId="41263" xr:uid="{617F6816-B0BB-42E6-9746-F0A08280F9F4}"/>
    <cellStyle name="Migliaia 16 3 5 6" xfId="16115" xr:uid="{A4223CC8-C19B-45FE-9F17-DA2B72EB3A30}"/>
    <cellStyle name="Migliaia 16 3 5 7" xfId="8263" xr:uid="{292D34DB-F48D-41E5-BA03-2213FDD66A87}"/>
    <cellStyle name="Migliaia 16 3 6" xfId="4939" xr:uid="{5EA4443C-0496-4476-B8BE-A5CE1F575BE8}"/>
    <cellStyle name="Migliaia 16 3 6 2" xfId="13904" xr:uid="{F75E4FF9-4E17-4C8B-A242-F9865202BAEF}"/>
    <cellStyle name="Migliaia 16 3 6 2 2" xfId="38613" xr:uid="{24B0ABDD-76CF-46FC-B369-0652DCECD64B}"/>
    <cellStyle name="Migliaia 16 3 6 2 3" xfId="43915" xr:uid="{3B33BE0D-56D2-4661-88AB-EFB27FEA1992}"/>
    <cellStyle name="Migliaia 16 3 6 3" xfId="18722" xr:uid="{89D5115E-3963-47C9-A289-7315B5644DC8}"/>
    <cellStyle name="Migliaia 16 3 6 4" xfId="19951" xr:uid="{53A27B17-0297-4045-9623-46FDF3BA264F}"/>
    <cellStyle name="Migliaia 16 3 6 4 2" xfId="41264" xr:uid="{282688B0-D7F9-48E2-B9C6-320424F4A433}"/>
    <cellStyle name="Migliaia 16 3 6 5" xfId="16116" xr:uid="{EEE2977B-0296-4F31-9522-CC24EE552F98}"/>
    <cellStyle name="Migliaia 16 3 6 6" xfId="7849" xr:uid="{7CD7F2B0-63B9-406F-A512-0F56EA4C8104}"/>
    <cellStyle name="Migliaia 16 3 7" xfId="6156" xr:uid="{FBE4E020-7F17-4AE8-A927-05DCC289AC59}"/>
    <cellStyle name="Migliaia 16 3 7 2" xfId="33226" xr:uid="{B4AFDA9D-3910-43A9-956B-1E6D802EAFFF}"/>
    <cellStyle name="Migliaia 16 3 7 2 2" xfId="38614" xr:uid="{07F404D2-A898-468E-B9EF-90D5424C63F2}"/>
    <cellStyle name="Migliaia 16 3 7 2 3" xfId="43916" xr:uid="{A6C7C660-3E5A-42ED-B2A1-EEA1CCD1F3E1}"/>
    <cellStyle name="Migliaia 16 3 7 3" xfId="36125" xr:uid="{A349CDC9-F91F-4868-B9DC-6825E0DFCC79}"/>
    <cellStyle name="Migliaia 16 3 7 4" xfId="41265" xr:uid="{46BB699E-F31D-4FDB-A104-AFA9FA8CAAF3}"/>
    <cellStyle name="Migliaia 16 3 7 5" xfId="12279" xr:uid="{E7B27C3C-5CA0-4E90-BF25-D1569DD63009}"/>
    <cellStyle name="Migliaia 16 3 8" xfId="3213" xr:uid="{37890EC3-B3B9-4EDE-876F-E9882B80912E}"/>
    <cellStyle name="Migliaia 16 3 8 2" xfId="33227" xr:uid="{A475BDCC-C1A1-48FA-8168-9A91B8943EA4}"/>
    <cellStyle name="Migliaia 16 3 8 2 2" xfId="38615" xr:uid="{CDEA2418-E10D-4EA1-AF6E-2361ADBA120D}"/>
    <cellStyle name="Migliaia 16 3 8 2 3" xfId="43917" xr:uid="{43871EA1-C002-4403-97D1-2278CB1CAF99}"/>
    <cellStyle name="Migliaia 16 3 8 3" xfId="36126" xr:uid="{835A928C-9FF5-4789-BAF8-9BF8E486E9D5}"/>
    <cellStyle name="Migliaia 16 3 8 4" xfId="41266" xr:uid="{B1D34873-2CB7-4FD0-81C6-25460582F713}"/>
    <cellStyle name="Migliaia 16 3 8 5" xfId="24356" xr:uid="{FDE3C7F7-A581-438A-8FB9-E8AFDFA9CDE0}"/>
    <cellStyle name="Migliaia 16 3 8 6" xfId="17406" xr:uid="{2E08B518-923F-4965-8CBC-FBB2AC0FA6FA}"/>
    <cellStyle name="Migliaia 16 3 9" xfId="19942" xr:uid="{23376AF9-721D-430D-81A3-788099873787}"/>
    <cellStyle name="Migliaia 16 4" xfId="1690" xr:uid="{00000000-0005-0000-0000-0000FD020000}"/>
    <cellStyle name="Migliaia 16 4 2" xfId="1691" xr:uid="{00000000-0005-0000-0000-0000FE020000}"/>
    <cellStyle name="Migliaia 16 4 2 2" xfId="4946" xr:uid="{33748097-BF56-4AD6-ACE1-6610C0301E59}"/>
    <cellStyle name="Migliaia 16 4 2 2 2" xfId="33228" xr:uid="{EF049D46-69E6-445C-A5BF-7B8F4C7C6305}"/>
    <cellStyle name="Migliaia 16 4 2 2 2 2" xfId="38616" xr:uid="{4B3DD087-D3BC-4C29-B23B-2FD35E67DD25}"/>
    <cellStyle name="Migliaia 16 4 2 2 2 3" xfId="43918" xr:uid="{847B4C3A-D7E6-4CA4-9A9A-F640DDCE1F03}"/>
    <cellStyle name="Migliaia 16 4 2 2 3" xfId="36127" xr:uid="{CF36ACEC-1D23-458A-94BC-BC6419439DF0}"/>
    <cellStyle name="Migliaia 16 4 2 2 4" xfId="41267" xr:uid="{052316EE-13F4-407D-9429-061643E119B2}"/>
    <cellStyle name="Migliaia 16 4 2 2 5" xfId="9122" xr:uid="{12D909C1-7501-4D6A-8B89-11EC5865D1F9}"/>
    <cellStyle name="Migliaia 16 4 2 3" xfId="3220" xr:uid="{4623FA19-E8E2-4B98-88A4-5996386DF123}"/>
    <cellStyle name="Migliaia 16 4 2 3 2" xfId="33229" xr:uid="{351D522F-3D30-4779-8D5A-1F47AC8FC246}"/>
    <cellStyle name="Migliaia 16 4 2 3 2 2" xfId="38617" xr:uid="{F22C6BE1-5EB5-46BA-92D8-72DDAC190353}"/>
    <cellStyle name="Migliaia 16 4 2 3 2 3" xfId="43919" xr:uid="{57530E7E-85F3-4F72-A3E0-D6FA6C76F620}"/>
    <cellStyle name="Migliaia 16 4 2 3 3" xfId="36128" xr:uid="{530A11FE-275F-4EE6-93F5-814E080BE2C6}"/>
    <cellStyle name="Migliaia 16 4 2 3 4" xfId="41268" xr:uid="{45316445-C23B-480F-985A-C3CE4B66F6D6}"/>
    <cellStyle name="Migliaia 16 4 2 3 5" xfId="11913" xr:uid="{5C3FE879-21F7-4731-A580-ED89AFB5E08C}"/>
    <cellStyle name="Migliaia 16 4 2 4" xfId="11266" xr:uid="{FA3956EC-2CBF-4B40-A7B2-6CDC236B0AAD}"/>
    <cellStyle name="Migliaia 16 4 2 5" xfId="10768" xr:uid="{F53E1326-3D9A-4845-B5BE-2143A9D56594}"/>
    <cellStyle name="Migliaia 16 4 2 5 2" xfId="21403" xr:uid="{EAAC8579-F961-497C-82F8-E832E7F2A292}"/>
    <cellStyle name="Migliaia 16 4 2 5 3" xfId="48469" xr:uid="{6F120213-8C88-45CB-A576-B3DD9ADEB271}"/>
    <cellStyle name="Migliaia 16 4 2 5 4" xfId="50418" xr:uid="{4D5CAADE-CC53-40C5-AFBB-DA1F1AF4BABC}"/>
    <cellStyle name="Migliaia 16 4 2 5 5" xfId="53434" xr:uid="{86F8A9D1-37CC-4A67-80B8-A8E7E5A9717D}"/>
    <cellStyle name="Migliaia 16 4 2 6" xfId="19953" xr:uid="{B4A8BFF2-F36E-45D4-95B0-F2E22A416041}"/>
    <cellStyle name="Migliaia 16 4 2 7" xfId="24358" xr:uid="{610079FA-2B62-441F-9B94-F709AA6106B0}"/>
    <cellStyle name="Migliaia 16 4 2 8" xfId="8525" xr:uid="{C5965C10-D731-4894-A4BC-6E21C89DC70D}"/>
    <cellStyle name="Migliaia 16 4 3" xfId="4945" xr:uid="{612FC0C7-567C-48A8-B4C0-28E29EB27411}"/>
    <cellStyle name="Migliaia 16 4 3 2" xfId="18177" xr:uid="{1BFB51EF-1B6C-4E56-9551-7094B3BED1C8}"/>
    <cellStyle name="Migliaia 16 4 3 2 2" xfId="38618" xr:uid="{1942D815-C85E-4D27-8B3E-EC42D3E410AD}"/>
    <cellStyle name="Migliaia 16 4 3 2 3" xfId="43920" xr:uid="{98813566-5EEB-40C2-A4BB-C37296BF6C33}"/>
    <cellStyle name="Migliaia 16 4 3 3" xfId="36129" xr:uid="{BABE4B14-802B-4A2D-967A-D289C7A85396}"/>
    <cellStyle name="Migliaia 16 4 3 4" xfId="41269" xr:uid="{157305A4-BE07-4719-94B3-20FAE68BBD69}"/>
    <cellStyle name="Migliaia 16 4 3 5" xfId="17404" xr:uid="{4DA96E88-3B72-42EB-8589-BA9799272B65}"/>
    <cellStyle name="Migliaia 16 4 3 6" xfId="9123" xr:uid="{AAF6768A-7D5B-4B5D-BCFC-A51BA65340EC}"/>
    <cellStyle name="Migliaia 16 4 4" xfId="6162" xr:uid="{EE0E1019-BA5D-451C-A865-8943731C0874}"/>
    <cellStyle name="Migliaia 16 4 4 2" xfId="33230" xr:uid="{58F236F4-3BE2-4772-9E84-D66435485A88}"/>
    <cellStyle name="Migliaia 16 4 4 2 2" xfId="38619" xr:uid="{10C77992-313B-46D2-BD1D-77C83A829BF5}"/>
    <cellStyle name="Migliaia 16 4 4 2 3" xfId="43921" xr:uid="{FFE78E92-CB06-484C-A433-DB61AEC6BACE}"/>
    <cellStyle name="Migliaia 16 4 4 3" xfId="36130" xr:uid="{7EE82547-7380-46B1-8976-9FB8743BB526}"/>
    <cellStyle name="Migliaia 16 4 4 4" xfId="41270" xr:uid="{4F2B3EAC-39DF-456F-B6AB-A4D84AD508CF}"/>
    <cellStyle name="Migliaia 16 4 4 5" xfId="11914" xr:uid="{65825A56-C770-449F-A8FB-CC3598CF9551}"/>
    <cellStyle name="Migliaia 16 4 5" xfId="3219" xr:uid="{B4233E2A-7FC8-4227-B35D-15BE41C99CDD}"/>
    <cellStyle name="Migliaia 16 4 5 2" xfId="33231" xr:uid="{0887B4BE-A23D-473B-85A4-CDDD49AB6F44}"/>
    <cellStyle name="Migliaia 16 4 5 2 2" xfId="38620" xr:uid="{53F5944A-6008-4497-A4CE-7E1EB0F9C5D1}"/>
    <cellStyle name="Migliaia 16 4 5 2 3" xfId="43922" xr:uid="{8C886214-8CF9-415B-BCFB-74DACBD61771}"/>
    <cellStyle name="Migliaia 16 4 5 3" xfId="36131" xr:uid="{9B4CC388-CD41-4C06-A22B-4F7A9BFF8712}"/>
    <cellStyle name="Migliaia 16 4 5 4" xfId="41271" xr:uid="{DB50DE5E-E273-450F-98B1-E76906F11FCF}"/>
    <cellStyle name="Migliaia 16 4 5 5" xfId="11265" xr:uid="{735D7798-2E00-4BAA-8D24-71674D2E0034}"/>
    <cellStyle name="Migliaia 16 4 6" xfId="10767" xr:uid="{4D068051-EF57-487F-8DAF-D891A94FA382}"/>
    <cellStyle name="Migliaia 16 4 6 2" xfId="21402" xr:uid="{86AC641B-CD78-400C-876D-3450E47832BE}"/>
    <cellStyle name="Migliaia 16 4 6 2 2" xfId="38621" xr:uid="{30A24DDE-C8EB-4C81-8E2C-DE384D77D067}"/>
    <cellStyle name="Migliaia 16 4 6 2 3" xfId="43923" xr:uid="{D960DB82-E540-4D2F-BBF3-9C62EBB6C674}"/>
    <cellStyle name="Migliaia 16 4 6 2 4" xfId="33232" xr:uid="{1FF72B4B-4913-47AC-99B7-8E077EBEFE40}"/>
    <cellStyle name="Migliaia 16 4 6 3" xfId="36132" xr:uid="{23384D03-BEA3-440F-BD32-2E4D43A6DD1F}"/>
    <cellStyle name="Migliaia 16 4 6 4" xfId="41272" xr:uid="{60BF27B0-BEF1-4555-BBC9-B451FBF1A2FE}"/>
    <cellStyle name="Migliaia 16 4 6 5" xfId="24359" xr:uid="{A2C61E78-E862-4BC5-82C1-D466D8EA4265}"/>
    <cellStyle name="Migliaia 16 4 6 6" xfId="46212" xr:uid="{83A3F7B1-2012-47F3-BF67-52F8BB82B620}"/>
    <cellStyle name="Migliaia 16 4 6 7" xfId="50417" xr:uid="{3FF780AA-83F0-4E52-AA35-21F86EE6C8C0}"/>
    <cellStyle name="Migliaia 16 4 6 8" xfId="53433" xr:uid="{78AADC0A-FB9D-4808-90CF-80CF5B81CF9D}"/>
    <cellStyle name="Migliaia 16 4 7" xfId="19952" xr:uid="{0B1B4419-325B-4AB4-B537-424A0DA1DC5B}"/>
    <cellStyle name="Migliaia 16 4 7 2" xfId="33233" xr:uid="{CA334A4F-60B2-4A98-9200-FECD75A24D6C}"/>
    <cellStyle name="Migliaia 16 4 7 2 2" xfId="38622" xr:uid="{CAA26200-D18B-4468-B925-8CF8B140750F}"/>
    <cellStyle name="Migliaia 16 4 7 2 3" xfId="43924" xr:uid="{E41DF771-E208-4F1C-8C9E-6320F392CE13}"/>
    <cellStyle name="Migliaia 16 4 7 3" xfId="36133" xr:uid="{6FBEDDF4-2B5F-46AD-9EDF-A1317C2B2F54}"/>
    <cellStyle name="Migliaia 16 4 7 4" xfId="41273" xr:uid="{A21AA385-D7DE-4959-BF41-FBDB55DFE93C}"/>
    <cellStyle name="Migliaia 16 4 7 5" xfId="24360" xr:uid="{E8342581-B7F5-4024-807A-2A0B4B8652C0}"/>
    <cellStyle name="Migliaia 16 4 8" xfId="24357" xr:uid="{516EC437-531B-4C73-B862-BCA2B08E40B3}"/>
    <cellStyle name="Migliaia 16 4 9" xfId="7335" xr:uid="{A7D9B295-081D-4E8F-B503-0A6F77C72615}"/>
    <cellStyle name="Migliaia 16 5" xfId="1692" xr:uid="{00000000-0005-0000-0000-0000FF020000}"/>
    <cellStyle name="Migliaia 16 5 2" xfId="4947" xr:uid="{FECCBD8E-1D57-4C1D-8A50-26C3EA39370E}"/>
    <cellStyle name="Migliaia 16 5 2 2" xfId="18380" xr:uid="{1365AF44-1F22-4599-8400-C79001BE021F}"/>
    <cellStyle name="Migliaia 16 5 2 2 2" xfId="38623" xr:uid="{51E19B75-2A83-47C2-B96C-3E9E62B0B09D}"/>
    <cellStyle name="Migliaia 16 5 2 2 3" xfId="43925" xr:uid="{CDE1ABDC-7C49-4E1D-B36C-5868C5DF4A5F}"/>
    <cellStyle name="Migliaia 16 5 2 3" xfId="19955" xr:uid="{35887FD6-8349-45FA-9E7F-01D75805A6D0}"/>
    <cellStyle name="Migliaia 16 5 2 3 2" xfId="36134" xr:uid="{C89B62D1-2D04-413F-93B1-79D31F1C0855}"/>
    <cellStyle name="Migliaia 16 5 2 4" xfId="41274" xr:uid="{262800A6-8B95-4323-857A-B85DE6C1D7B2}"/>
    <cellStyle name="Migliaia 16 5 2 5" xfId="16117" xr:uid="{AF898C8E-2FA1-4813-9A7B-EAF444371143}"/>
    <cellStyle name="Migliaia 16 5 2 6" xfId="8526" xr:uid="{8780CFA9-7B3B-40E4-BD15-4F8A9CAF112C}"/>
    <cellStyle name="Migliaia 16 5 3" xfId="6163" xr:uid="{430DC52C-4757-4EEE-A55E-DF1BAAC038BA}"/>
    <cellStyle name="Migliaia 16 5 3 2" xfId="33234" xr:uid="{33C3729D-64AB-4C09-AED7-0E002F971FC8}"/>
    <cellStyle name="Migliaia 16 5 3 2 2" xfId="38624" xr:uid="{637401F0-7111-4425-8284-7DFE8C904AE3}"/>
    <cellStyle name="Migliaia 16 5 3 2 3" xfId="43926" xr:uid="{418B9CEB-B911-4F21-A0DA-3165ECBEF380}"/>
    <cellStyle name="Migliaia 16 5 3 3" xfId="36135" xr:uid="{20F550B9-DF02-4233-A585-2FA40E92CAD8}"/>
    <cellStyle name="Migliaia 16 5 3 4" xfId="41275" xr:uid="{2F6194A5-5E32-4C03-A6B8-0335069A7012}"/>
    <cellStyle name="Migliaia 16 5 3 5" xfId="11267" xr:uid="{B962C6D9-25F9-4201-9A15-0D0E9FB9547F}"/>
    <cellStyle name="Migliaia 16 5 4" xfId="3221" xr:uid="{82A7E26C-C8AC-4C75-B7F2-670D9EDDA009}"/>
    <cellStyle name="Migliaia 16 5 4 2" xfId="21404" xr:uid="{94F883B2-A3B3-4D2C-9D8B-69B70A2651F4}"/>
    <cellStyle name="Migliaia 16 5 4 2 2" xfId="38625" xr:uid="{81C56BD1-FF2A-4B9E-B316-32AA4EED3272}"/>
    <cellStyle name="Migliaia 16 5 4 2 3" xfId="43927" xr:uid="{D519B07A-F7D4-4A3A-B3AC-5D01354B49DF}"/>
    <cellStyle name="Migliaia 16 5 4 2 4" xfId="33235" xr:uid="{DEAA6BEE-5AF9-4F28-8963-18A4EB258881}"/>
    <cellStyle name="Migliaia 16 5 4 3" xfId="36136" xr:uid="{F773D170-757B-4A93-9012-A14B939C4204}"/>
    <cellStyle name="Migliaia 16 5 4 4" xfId="41276" xr:uid="{043085B1-59A2-43E9-AA3F-9F1E4FDEA2A3}"/>
    <cellStyle name="Migliaia 16 5 4 5" xfId="24362" xr:uid="{71816D7A-D4E7-4AC3-83F9-68A6F3C3C3BE}"/>
    <cellStyle name="Migliaia 16 5 4 6" xfId="47894" xr:uid="{75AA1272-A975-41FD-A304-7CB7EA6BBC01}"/>
    <cellStyle name="Migliaia 16 5 4 7" xfId="50419" xr:uid="{8519C745-7528-433A-A924-471D3D537819}"/>
    <cellStyle name="Migliaia 16 5 4 8" xfId="53435" xr:uid="{17886891-2530-4369-8F6A-1B051A064CF4}"/>
    <cellStyle name="Migliaia 16 5 4 9" xfId="10769" xr:uid="{24B15DEE-8D0A-4AB1-94D4-DD4EFF229AF7}"/>
    <cellStyle name="Migliaia 16 5 5" xfId="19954" xr:uid="{AD099A20-F304-440C-8000-A77B280E4673}"/>
    <cellStyle name="Migliaia 16 5 5 2" xfId="33236" xr:uid="{717745CB-C3D2-448C-8EDA-6508BA6B8F25}"/>
    <cellStyle name="Migliaia 16 5 5 2 2" xfId="38626" xr:uid="{10AC867C-9D67-41CF-963F-C1DF7E61BBB5}"/>
    <cellStyle name="Migliaia 16 5 5 2 3" xfId="43928" xr:uid="{BB613216-87C2-45D6-9B81-E2C365C1E860}"/>
    <cellStyle name="Migliaia 16 5 5 3" xfId="36137" xr:uid="{3C0C7346-B776-428E-819D-1743A8E0C639}"/>
    <cellStyle name="Migliaia 16 5 5 4" xfId="41277" xr:uid="{AD803BFF-75D0-43B7-902E-53ABE265D08A}"/>
    <cellStyle name="Migliaia 16 5 5 5" xfId="24363" xr:uid="{DA76A78C-8060-4176-A295-9DDF2D4077EB}"/>
    <cellStyle name="Migliaia 16 5 6" xfId="24364" xr:uid="{474643C1-2187-45DD-8A5E-62DAE1A9962A}"/>
    <cellStyle name="Migliaia 16 5 6 2" xfId="33237" xr:uid="{807017ED-334C-4BD8-9BEB-245DC299564D}"/>
    <cellStyle name="Migliaia 16 5 6 2 2" xfId="38627" xr:uid="{E6598368-A480-459B-88F4-DC3DE73095E5}"/>
    <cellStyle name="Migliaia 16 5 6 2 3" xfId="43929" xr:uid="{2707A2CC-07CF-4BB3-B112-EC238B77C993}"/>
    <cellStyle name="Migliaia 16 5 6 3" xfId="36138" xr:uid="{CAD4F7F4-1F5F-435E-81E1-20F1F10DEB34}"/>
    <cellStyle name="Migliaia 16 5 6 4" xfId="41278" xr:uid="{4B86B498-BCEB-46C1-9220-CDD7707F3E45}"/>
    <cellStyle name="Migliaia 16 5 7" xfId="24361" xr:uid="{0E117C60-DF59-4AB2-A250-1F5BC88BD99A}"/>
    <cellStyle name="Migliaia 16 5 8" xfId="7336" xr:uid="{67876D50-13A9-4EF2-A402-F46AA3E4A10B}"/>
    <cellStyle name="Migliaia 16 6" xfId="3222" xr:uid="{66EDDB79-6AA3-4646-8F38-4D76577588FD}"/>
    <cellStyle name="Migliaia 16 6 2" xfId="4948" xr:uid="{7DB9EAB6-4387-45F8-96C1-93C58C807D5F}"/>
    <cellStyle name="Migliaia 16 6 2 2" xfId="9895" xr:uid="{213CAF51-6AB9-4267-97D8-7D40998AE23B}"/>
    <cellStyle name="Migliaia 16 6 2 3" xfId="18673" xr:uid="{51E1ADCB-EA3B-42A2-9F80-C7EAD9667723}"/>
    <cellStyle name="Migliaia 16 6 2 4" xfId="19957" xr:uid="{A1BF94A8-B27E-4992-8B0D-7FC28ADABEAF}"/>
    <cellStyle name="Migliaia 16 6 2 5" xfId="32315" xr:uid="{FA06763C-E689-4682-8383-7F31DC00B50A}"/>
    <cellStyle name="Migliaia 16 6 2 6" xfId="16119" xr:uid="{AB963D8A-7E37-458B-A978-D7E7FDE88DFA}"/>
    <cellStyle name="Migliaia 16 6 2 7" xfId="8521" xr:uid="{5F91CE8D-2581-4432-956F-6CDB41CCCD42}"/>
    <cellStyle name="Migliaia 16 6 3" xfId="6164" xr:uid="{DBB586DC-B786-4B33-B3B4-E3265610A976}"/>
    <cellStyle name="Migliaia 16 6 3 2" xfId="35174" xr:uid="{5C5E259F-502F-4E83-8E6D-44D2F2DB4519}"/>
    <cellStyle name="Migliaia 16 6 3 2 2" xfId="40332" xr:uid="{02F28DDE-8D98-473B-AA8E-3DCF3651D1DC}"/>
    <cellStyle name="Migliaia 16 6 3 2 3" xfId="45634" xr:uid="{2FAC0A90-DC5F-44E7-A836-5B20C8CEB8B6}"/>
    <cellStyle name="Migliaia 16 6 3 3" xfId="37681" xr:uid="{6C58C55D-D0E0-4CDC-8C1C-8248C3781AF7}"/>
    <cellStyle name="Migliaia 16 6 3 4" xfId="42983" xr:uid="{BBEE9698-CEA4-41DA-AAE5-CD90580D2653}"/>
    <cellStyle name="Migliaia 16 6 3 5" xfId="9658" xr:uid="{17649B34-C24B-49AA-89FA-361BCC1D5416}"/>
    <cellStyle name="Migliaia 16 6 4" xfId="19956" xr:uid="{BCF18FEE-33A5-4F76-BD04-882C1DA72428}"/>
    <cellStyle name="Migliaia 16 6 4 2" xfId="38628" xr:uid="{81BAA3EC-EE2E-41EE-92C2-A105A3354191}"/>
    <cellStyle name="Migliaia 16 6 4 3" xfId="43930" xr:uid="{534C4DE5-23FB-4638-9343-2D0B517ACC09}"/>
    <cellStyle name="Migliaia 16 6 4 4" xfId="33238" xr:uid="{7ABC46CE-9B37-4049-91B5-3C1E1D1D982A}"/>
    <cellStyle name="Migliaia 16 6 5" xfId="36139" xr:uid="{D9E64C45-B0CE-4C64-972C-FF7D8D7BDFEE}"/>
    <cellStyle name="Migliaia 16 6 6" xfId="41279" xr:uid="{B992991A-F906-4D87-A17B-F0DC0765126B}"/>
    <cellStyle name="Migliaia 16 6 7" xfId="16118" xr:uid="{2B38826D-6922-4D84-95BE-D7D44561F76A}"/>
    <cellStyle name="Migliaia 16 6 8" xfId="7331" xr:uid="{53DC7EDE-EF66-47A3-8008-4BE5B848A239}"/>
    <cellStyle name="Migliaia 16 7" xfId="3223" xr:uid="{9116D72B-23F8-4790-BAB6-73152061C4CA}"/>
    <cellStyle name="Migliaia 16 7 2" xfId="4949" xr:uid="{8500CA5C-8D52-4E38-A342-3AFD01F418E4}"/>
    <cellStyle name="Migliaia 16 7 2 2" xfId="35175" xr:uid="{1B4E0CC4-CBCD-49ED-8209-20DB3C0A2E28}"/>
    <cellStyle name="Migliaia 16 7 2 2 2" xfId="40333" xr:uid="{32ED87FC-208F-46E9-9025-91A069EA2143}"/>
    <cellStyle name="Migliaia 16 7 2 2 3" xfId="45635" xr:uid="{4B0B7D04-EB3E-450F-9618-13BEFDBC807D}"/>
    <cellStyle name="Migliaia 16 7 2 3" xfId="37682" xr:uid="{86E680EB-3E3D-4B46-BEAC-F8F34FB1A28C}"/>
    <cellStyle name="Migliaia 16 7 2 4" xfId="42984" xr:uid="{17F527A1-4935-4E0B-B126-64CBC87C3753}"/>
    <cellStyle name="Migliaia 16 7 2 5" xfId="14199" xr:uid="{C9D773B8-FCB5-46A1-8478-83EFA100327B}"/>
    <cellStyle name="Migliaia 16 7 3" xfId="6165" xr:uid="{5376C883-DF44-4A3E-B3E1-A5A04B9F6B36}"/>
    <cellStyle name="Migliaia 16 7 3 2" xfId="38629" xr:uid="{56CD2025-68A3-4C0D-BA8C-702336C37ADB}"/>
    <cellStyle name="Migliaia 16 7 3 3" xfId="43931" xr:uid="{F10666B6-B6BC-482A-9EDF-4B91D3EEAA99}"/>
    <cellStyle name="Migliaia 16 7 3 4" xfId="33239" xr:uid="{181E91D4-E9C0-44E4-AD59-AD03A283CD1A}"/>
    <cellStyle name="Migliaia 16 7 3 5" xfId="19958" xr:uid="{FD590284-4016-4D5C-863F-FE313C7C0827}"/>
    <cellStyle name="Migliaia 16 7 4" xfId="36140" xr:uid="{58F89D82-6A54-4CB5-864D-ECE5667086D8}"/>
    <cellStyle name="Migliaia 16 7 5" xfId="41280" xr:uid="{2E9197E6-DE9F-41EF-ABB9-2FC069F38676}"/>
    <cellStyle name="Migliaia 16 7 6" xfId="16120" xr:uid="{E2DA430F-7327-4687-87A8-FC785D966902}"/>
    <cellStyle name="Migliaia 16 7 7" xfId="8261" xr:uid="{AC96EA17-F0D9-4D97-949B-8697780C06F1}"/>
    <cellStyle name="Migliaia 16 8" xfId="3224" xr:uid="{F5E9D481-4024-4216-B3A7-18E13A81E535}"/>
    <cellStyle name="Migliaia 16 8 2" xfId="4950" xr:uid="{719F73F2-1384-4687-8842-89D1854050D4}"/>
    <cellStyle name="Migliaia 16 8 2 2" xfId="35176" xr:uid="{17D0FD5D-8AB2-405D-B820-000BC5A29547}"/>
    <cellStyle name="Migliaia 16 8 2 2 2" xfId="40334" xr:uid="{AE854CA0-2D3C-4FB2-A53C-EA53090409DB}"/>
    <cellStyle name="Migliaia 16 8 2 2 3" xfId="45636" xr:uid="{56AF987A-7919-4675-81D8-E2CD7C7FF340}"/>
    <cellStyle name="Migliaia 16 8 2 3" xfId="37683" xr:uid="{BA4AB2DC-D25E-4462-9CF1-A28C7D2BD9E6}"/>
    <cellStyle name="Migliaia 16 8 2 4" xfId="42985" xr:uid="{7EE779EC-B4DB-445D-AA91-76BE69F58D32}"/>
    <cellStyle name="Migliaia 16 8 2 5" xfId="13902" xr:uid="{FCDDBEFB-C173-413A-BF4E-40A68A78BC29}"/>
    <cellStyle name="Migliaia 16 8 3" xfId="6166" xr:uid="{AE8F9E46-D909-4E5A-8AA1-D58B68859054}"/>
    <cellStyle name="Migliaia 16 8 3 2" xfId="38630" xr:uid="{459EA9F8-3DA3-4ED2-B7CB-5E030CCFB0EB}"/>
    <cellStyle name="Migliaia 16 8 3 3" xfId="43932" xr:uid="{8AF7B83D-C09A-4FEB-94E9-C6EE1A60CD0E}"/>
    <cellStyle name="Migliaia 16 8 3 4" xfId="33240" xr:uid="{3AF9E119-F5A8-4A6A-8DBF-0EC1FABD8E9B}"/>
    <cellStyle name="Migliaia 16 8 3 5" xfId="19959" xr:uid="{FC4A25FB-22A2-4CE3-9BC8-D9529C65D1DA}"/>
    <cellStyle name="Migliaia 16 8 4" xfId="36141" xr:uid="{49FDFD01-6E25-40E0-B090-32EEEEF86692}"/>
    <cellStyle name="Migliaia 16 8 5" xfId="41281" xr:uid="{FCE85E9B-7410-45D7-880F-C00D738455D7}"/>
    <cellStyle name="Migliaia 16 8 6" xfId="16121" xr:uid="{30222956-8E38-4A66-AFE5-83C5DDDDD8B1}"/>
    <cellStyle name="Migliaia 16 8 7" xfId="7847" xr:uid="{74169595-4600-4DBD-B413-40F6F78D1BCC}"/>
    <cellStyle name="Migliaia 16 9" xfId="4935" xr:uid="{92157AAB-3F43-49E5-A200-E9CBC37921B5}"/>
    <cellStyle name="Migliaia 16 9 2" xfId="33241" xr:uid="{6EB18193-E08B-490E-892C-09A2CCC50E03}"/>
    <cellStyle name="Migliaia 16 9 2 2" xfId="38631" xr:uid="{E0346405-24A5-4973-90DA-EC16A16AD172}"/>
    <cellStyle name="Migliaia 16 9 2 3" xfId="43933" xr:uid="{ECBF548A-6737-4D15-B133-7437002BBEAB}"/>
    <cellStyle name="Migliaia 16 9 3" xfId="36142" xr:uid="{37875761-2694-4AB8-BF3E-9457AD5E13A1}"/>
    <cellStyle name="Migliaia 16 9 4" xfId="41282" xr:uid="{14145234-0DFE-4227-B162-663D80534B9E}"/>
    <cellStyle name="Migliaia 16 9 5" xfId="17149" xr:uid="{51BCFD1C-CFB1-42A6-A6AA-AD5813325560}"/>
    <cellStyle name="Migliaia 17" xfId="329" xr:uid="{00000000-0005-0000-0000-000000030000}"/>
    <cellStyle name="Migliaia 17 10" xfId="6167" xr:uid="{B449B038-E41A-43A1-B283-DD8A34D3ED52}"/>
    <cellStyle name="Migliaia 17 10 2" xfId="38632" xr:uid="{9E8C4C0A-0DA0-4642-9D53-96DAB85B4592}"/>
    <cellStyle name="Migliaia 17 10 3" xfId="43934" xr:uid="{0669F917-DA37-420B-B237-7972D3BC5616}"/>
    <cellStyle name="Migliaia 17 10 4" xfId="33242" xr:uid="{F2239F6F-A775-4814-87DD-55A5B6C3A0B3}"/>
    <cellStyle name="Migliaia 17 10 5" xfId="19960" xr:uid="{8D10313E-BD6D-4B44-9501-2D91AD89C57F}"/>
    <cellStyle name="Migliaia 17 11" xfId="3225" xr:uid="{3046D155-BC93-4761-A084-C4E6361BB75B}"/>
    <cellStyle name="Migliaia 17 11 2" xfId="36143" xr:uid="{40A89BE5-2552-49C6-B7CD-3800EC724B2C}"/>
    <cellStyle name="Migliaia 17 12" xfId="41283" xr:uid="{A988D3D7-D0FB-4867-B681-236D1120DD48}"/>
    <cellStyle name="Migliaia 17 13" xfId="7065" xr:uid="{7E22735B-84BA-4D97-AB47-3B56FD0110CF}"/>
    <cellStyle name="Migliaia 17 2" xfId="330" xr:uid="{00000000-0005-0000-0000-000001030000}"/>
    <cellStyle name="Migliaia 17 2 2" xfId="1693" xr:uid="{00000000-0005-0000-0000-000002030000}"/>
    <cellStyle name="Migliaia 17 2 2 2" xfId="4953" xr:uid="{695FE019-1048-4F96-87E5-CB4E1C1EE737}"/>
    <cellStyle name="Migliaia 17 2 2 2 2" xfId="14370" xr:uid="{54907CFE-2036-4300-91A1-35AC6FF8E76A}"/>
    <cellStyle name="Migliaia 17 2 2 2 2 2" xfId="38633" xr:uid="{D2C73655-C532-40F8-A2D3-C865B7EBCE8C}"/>
    <cellStyle name="Migliaia 17 2 2 2 2 3" xfId="43935" xr:uid="{A318D58B-46B0-4A39-BE2E-0991896970D7}"/>
    <cellStyle name="Migliaia 17 2 2 2 3" xfId="18381" xr:uid="{C75EC32C-3A8B-4561-AFDE-4EBAFF070427}"/>
    <cellStyle name="Migliaia 17 2 2 2 4" xfId="19963" xr:uid="{C04B57C1-32CE-489B-A23C-E55F1089832A}"/>
    <cellStyle name="Migliaia 17 2 2 2 4 2" xfId="41284" xr:uid="{0FCC133E-8B9F-46BB-9EF8-551BFDCDFAF6}"/>
    <cellStyle name="Migliaia 17 2 2 2 5" xfId="16122" xr:uid="{F3FF8562-A7FF-4EEB-B146-44B98ED62041}"/>
    <cellStyle name="Migliaia 17 2 2 2 6" xfId="8528" xr:uid="{A251528A-6481-4940-99B3-DAD2BC84F726}"/>
    <cellStyle name="Migliaia 17 2 2 3" xfId="6169" xr:uid="{59EA1EA9-D1A2-4ADE-96BF-8C4DB3BDBB8C}"/>
    <cellStyle name="Migliaia 17 2 2 3 2" xfId="35177" xr:uid="{0AC0916E-06F8-4BF0-87A2-86D37B6EE8E2}"/>
    <cellStyle name="Migliaia 17 2 2 3 2 2" xfId="40335" xr:uid="{C6A3FA7B-05DF-484D-B53F-2AA83AEB1620}"/>
    <cellStyle name="Migliaia 17 2 2 3 2 3" xfId="45637" xr:uid="{32F368AF-FB11-4772-BA65-2E5905D3A254}"/>
    <cellStyle name="Migliaia 17 2 2 3 3" xfId="37684" xr:uid="{91D98528-7127-44E9-8412-6C6E5D38CF68}"/>
    <cellStyle name="Migliaia 17 2 2 3 4" xfId="42986" xr:uid="{AFFB5D2B-FAB1-4808-8F71-DD8895CCC87A}"/>
    <cellStyle name="Migliaia 17 2 2 3 5" xfId="11599" xr:uid="{F67B5F90-E355-4198-A52C-E1DC05E0C056}"/>
    <cellStyle name="Migliaia 17 2 2 4" xfId="3227" xr:uid="{7703B99E-8B88-4E71-B09F-8CE24733E721}"/>
    <cellStyle name="Migliaia 17 2 2 4 2" xfId="21405" xr:uid="{049D4B03-D639-4DE4-B18E-E5816F6EEF11}"/>
    <cellStyle name="Migliaia 17 2 2 4 3" xfId="46213" xr:uid="{3AB9506D-DE54-48BF-83F9-DDF4D8E158A2}"/>
    <cellStyle name="Migliaia 17 2 2 4 4" xfId="50420" xr:uid="{432C77BA-CC57-47CD-BED3-CCDE674C9EFF}"/>
    <cellStyle name="Migliaia 17 2 2 4 5" xfId="53436" xr:uid="{2B7F8976-2A03-4423-87EB-ED6B39825D66}"/>
    <cellStyle name="Migliaia 17 2 2 4 6" xfId="10770" xr:uid="{FF3E0A22-5FC4-4103-A0EE-8648BF9967CC}"/>
    <cellStyle name="Migliaia 17 2 2 5" xfId="19962" xr:uid="{61B53B67-7480-497B-B76F-27EBD1EB2368}"/>
    <cellStyle name="Migliaia 17 2 2 6" xfId="24366" xr:uid="{075AD09B-80FA-413E-A07D-55A3B94CD123}"/>
    <cellStyle name="Migliaia 17 2 2 7" xfId="7338" xr:uid="{ED944338-38B5-45C1-9A1D-CD6533C2505B}"/>
    <cellStyle name="Migliaia 17 2 3" xfId="3228" xr:uid="{0B847C8A-4DCD-4132-8C9E-CAA77CE9928A}"/>
    <cellStyle name="Migliaia 17 2 3 2" xfId="4954" xr:uid="{A164BD99-8283-40BF-8EB6-539D876E88F1}"/>
    <cellStyle name="Migliaia 17 2 3 2 2" xfId="35178" xr:uid="{956E3ADA-7300-4BEC-AB64-11C7B24239DE}"/>
    <cellStyle name="Migliaia 17 2 3 2 2 2" xfId="40336" xr:uid="{9BD19FEE-06D9-4866-B065-4CEB09D6D4BA}"/>
    <cellStyle name="Migliaia 17 2 3 2 2 3" xfId="45638" xr:uid="{A2DB6B2F-3DB3-4E67-BC56-228F93171424}"/>
    <cellStyle name="Migliaia 17 2 3 2 3" xfId="37685" xr:uid="{D44AA5DC-9B8D-4A34-9288-D27A55651E1A}"/>
    <cellStyle name="Migliaia 17 2 3 2 4" xfId="42987" xr:uid="{D1A33497-CE9F-47BC-88D1-41519A6F4D37}"/>
    <cellStyle name="Migliaia 17 2 3 2 5" xfId="14203" xr:uid="{8B2421FC-B8BD-47D1-8C56-3387CE87F9C5}"/>
    <cellStyle name="Migliaia 17 2 3 3" xfId="6170" xr:uid="{67FCBE1A-BC13-47B3-B5F6-D287E5FCC063}"/>
    <cellStyle name="Migliaia 17 2 3 3 2" xfId="38634" xr:uid="{8A01A3BC-BE06-4756-9650-7E03F2B14611}"/>
    <cellStyle name="Migliaia 17 2 3 3 3" xfId="43936" xr:uid="{C418E403-7F6A-431B-9F5A-3B53FF028854}"/>
    <cellStyle name="Migliaia 17 2 3 3 4" xfId="33243" xr:uid="{6DCC7D6A-A54A-46F2-9A1A-4346EE5E1CEE}"/>
    <cellStyle name="Migliaia 17 2 3 3 5" xfId="19964" xr:uid="{1F09644F-2127-41C6-B046-837605DFD386}"/>
    <cellStyle name="Migliaia 17 2 3 4" xfId="36144" xr:uid="{D3479BF0-BF0D-4337-BC83-1B10E8F53BD3}"/>
    <cellStyle name="Migliaia 17 2 3 5" xfId="41285" xr:uid="{A24D0385-2C88-4333-B018-4335BFA4ADF0}"/>
    <cellStyle name="Migliaia 17 2 3 6" xfId="16123" xr:uid="{06A31656-0AD1-4B20-B7C5-20B706B5A6CD}"/>
    <cellStyle name="Migliaia 17 2 3 7" xfId="8265" xr:uid="{1DCB137C-AC1D-492A-BAF1-525C9C5B96BD}"/>
    <cellStyle name="Migliaia 17 2 4" xfId="4952" xr:uid="{4D730830-2A8D-44F6-891A-BAE705955E6A}"/>
    <cellStyle name="Migliaia 17 2 4 2" xfId="13906" xr:uid="{989A84EA-5BE2-4C80-AE3C-AD7DF189AA11}"/>
    <cellStyle name="Migliaia 17 2 4 2 2" xfId="38635" xr:uid="{6C341AEF-0627-4B64-ABF7-CDC77F9E5361}"/>
    <cellStyle name="Migliaia 17 2 4 2 3" xfId="43937" xr:uid="{77CCFEF7-1BE9-48D1-B722-AF60FDFF8DA2}"/>
    <cellStyle name="Migliaia 17 2 4 3" xfId="18037" xr:uid="{0401657A-EBAB-4EBB-8D9B-45E3FFEBA57B}"/>
    <cellStyle name="Migliaia 17 2 4 4" xfId="19965" xr:uid="{548CB9C6-F236-4DEF-BBE8-5D6F4C4AEFAC}"/>
    <cellStyle name="Migliaia 17 2 4 4 2" xfId="41286" xr:uid="{BBDA4D85-F2E4-4B4C-860B-EABD79C7EA73}"/>
    <cellStyle name="Migliaia 17 2 4 5" xfId="16124" xr:uid="{CDC8DE12-A519-4513-83EB-C2A30B29F4F4}"/>
    <cellStyle name="Migliaia 17 2 4 6" xfId="7852" xr:uid="{3F7DF65C-F761-4829-A9E1-DCCCFFC6D60B}"/>
    <cellStyle name="Migliaia 17 2 5" xfId="6168" xr:uid="{55BF6CD0-2152-456E-9153-6075540BED1F}"/>
    <cellStyle name="Migliaia 17 2 5 2" xfId="33244" xr:uid="{4A16FC28-86E3-4F68-BA24-0EEB308E37CD}"/>
    <cellStyle name="Migliaia 17 2 5 2 2" xfId="38636" xr:uid="{CAA91EE2-43B3-4DE2-BA8E-224C74E8EAB2}"/>
    <cellStyle name="Migliaia 17 2 5 2 3" xfId="43938" xr:uid="{88E32656-36C8-4F37-AB97-E2AAD3A92381}"/>
    <cellStyle name="Migliaia 17 2 5 3" xfId="36145" xr:uid="{54D490FD-227B-4532-BE92-740882516B7D}"/>
    <cellStyle name="Migliaia 17 2 5 4" xfId="41287" xr:uid="{61BA04BF-CF65-43FF-90E8-EB338AEEF5A7}"/>
    <cellStyle name="Migliaia 17 2 5 5" xfId="13110" xr:uid="{F3BCFA3B-BA4A-465F-9AAC-B6A995D6336E}"/>
    <cellStyle name="Migliaia 17 2 6" xfId="3226" xr:uid="{FB3752D8-FD09-45FE-B603-F3340391FA73}"/>
    <cellStyle name="Migliaia 17 2 6 2" xfId="33245" xr:uid="{4E36AF71-972A-4C13-A3DC-66A549876C5B}"/>
    <cellStyle name="Migliaia 17 2 6 2 2" xfId="38637" xr:uid="{44A365DF-6C8C-4EFF-8BB3-292B7C15AF34}"/>
    <cellStyle name="Migliaia 17 2 6 2 3" xfId="43939" xr:uid="{AA75E65D-FED8-4E12-8859-938B0FBF4568}"/>
    <cellStyle name="Migliaia 17 2 6 3" xfId="36146" xr:uid="{A50137B0-B81E-4995-81D5-1D50DC9674AA}"/>
    <cellStyle name="Migliaia 17 2 6 4" xfId="41288" xr:uid="{203866A3-C66E-4128-9560-EE74A3B32DEC}"/>
    <cellStyle name="Migliaia 17 2 6 5" xfId="24367" xr:uid="{3857656E-3261-4C06-8CCC-AF56AD5C5C2E}"/>
    <cellStyle name="Migliaia 17 2 6 6" xfId="19961" xr:uid="{2F06A27F-B493-4048-962B-69CABBB9D0C4}"/>
    <cellStyle name="Migliaia 17 2 7" xfId="24365" xr:uid="{18C4B83E-8793-4404-BC47-0D212B842D42}"/>
    <cellStyle name="Migliaia 17 2 8" xfId="7066" xr:uid="{8F8CF34C-1564-40F9-849C-787625831EDD}"/>
    <cellStyle name="Migliaia 17 3" xfId="331" xr:uid="{00000000-0005-0000-0000-000003030000}"/>
    <cellStyle name="Migliaia 17 3 10" xfId="24368" xr:uid="{DC516846-AF4E-4539-8836-9A537815A8DB}"/>
    <cellStyle name="Migliaia 17 3 11" xfId="16125" xr:uid="{1B32E09C-CF63-4FBC-8244-9C4B1C6688D6}"/>
    <cellStyle name="Migliaia 17 3 12" xfId="7067" xr:uid="{F53F1333-B419-4347-A318-569ACBCBD9B2}"/>
    <cellStyle name="Migliaia 17 3 2" xfId="332" xr:uid="{00000000-0005-0000-0000-000004030000}"/>
    <cellStyle name="Migliaia 17 3 2 2" xfId="1694" xr:uid="{00000000-0005-0000-0000-000005030000}"/>
    <cellStyle name="Migliaia 17 3 2 2 2" xfId="4957" xr:uid="{EAFDC47D-6F89-4548-8DC7-9811C57B3594}"/>
    <cellStyle name="Migliaia 17 3 2 2 2 2" xfId="18382" xr:uid="{67F3E7C7-FF80-4F4F-B2FE-FD3EBC13D3F4}"/>
    <cellStyle name="Migliaia 17 3 2 2 2 2 2" xfId="21845" xr:uid="{2E742B63-7870-41AE-A8C2-35CEF1F8BACF}"/>
    <cellStyle name="Migliaia 17 3 2 2 2 2 2 2" xfId="38638" xr:uid="{35DA64C3-9935-42AD-ABD1-BA31AF46B2E3}"/>
    <cellStyle name="Migliaia 17 3 2 2 2 2 3" xfId="43940" xr:uid="{990690D4-BCF9-4132-BD02-8352FE9D6677}"/>
    <cellStyle name="Migliaia 17 3 2 2 2 2 4" xfId="33246" xr:uid="{ADFC38D2-1034-437E-BA66-3AE13DF970BF}"/>
    <cellStyle name="Migliaia 17 3 2 2 2 3" xfId="36147" xr:uid="{68B8D57B-895C-4683-A85F-916649398E60}"/>
    <cellStyle name="Migliaia 17 3 2 2 2 4" xfId="41289" xr:uid="{77823050-F214-483A-9A18-127B9BB1887B}"/>
    <cellStyle name="Migliaia 17 3 2 2 2 5" xfId="47012" xr:uid="{4BEA76B3-6E5D-4512-AAF9-860EF761BF02}"/>
    <cellStyle name="Migliaia 17 3 2 2 2 6" xfId="50873" xr:uid="{FD777EB7-111F-4CB5-8285-3A6F97B8033F}"/>
    <cellStyle name="Migliaia 17 3 2 2 2 7" xfId="53889" xr:uid="{7830D8BE-4982-4EF4-9998-C0412A9697AB}"/>
    <cellStyle name="Migliaia 17 3 2 2 2 8" xfId="17646" xr:uid="{6EE92FA2-D73A-4760-BB54-DAD6C056A290}"/>
    <cellStyle name="Migliaia 17 3 2 2 2 9" xfId="11915" xr:uid="{FD2E061B-2F60-4510-A8FB-5878B31C274F}"/>
    <cellStyle name="Migliaia 17 3 2 2 3" xfId="6173" xr:uid="{03F2D1A1-C66C-4C0E-8BC7-4884B93EF7C6}"/>
    <cellStyle name="Migliaia 17 3 2 2 3 2" xfId="11687" xr:uid="{EC0DB964-6D20-453A-814C-BEDE0F8D51F9}"/>
    <cellStyle name="Migliaia 17 3 2 2 4" xfId="3231" xr:uid="{48A5F7A4-3E71-4609-812F-59F6D9139260}"/>
    <cellStyle name="Migliaia 17 3 2 2 4 2" xfId="21406" xr:uid="{4FEE47F2-B079-4CA6-9BAF-7A0BBACF7B2B}"/>
    <cellStyle name="Migliaia 17 3 2 2 4 3" xfId="46214" xr:uid="{E1A1C1A5-A544-469C-B6F8-65B5B3075779}"/>
    <cellStyle name="Migliaia 17 3 2 2 4 4" xfId="50421" xr:uid="{EF9EB4EF-C9BD-4CEF-9EA9-364EDECAD4F4}"/>
    <cellStyle name="Migliaia 17 3 2 2 4 5" xfId="53437" xr:uid="{7F97CC5F-E93D-42F0-84E4-572BBDA23CD0}"/>
    <cellStyle name="Migliaia 17 3 2 2 4 6" xfId="10771" xr:uid="{0A5D4B7A-FF3C-460D-B825-2EB50E0EB21C}"/>
    <cellStyle name="Migliaia 17 3 2 2 5" xfId="19968" xr:uid="{C11D27C0-6219-4F92-81B5-D87F0D47C9E2}"/>
    <cellStyle name="Migliaia 17 3 2 2 6" xfId="24370" xr:uid="{E73B8BF7-E080-4F5C-9B98-ACEAF2B7B996}"/>
    <cellStyle name="Migliaia 17 3 2 2 7" xfId="8530" xr:uid="{6E6EDA39-5AD0-4A41-8288-7B8846C9BC26}"/>
    <cellStyle name="Migliaia 17 3 2 3" xfId="4956" xr:uid="{BFD71815-3366-482C-8B9F-6B7E59AC4D32}"/>
    <cellStyle name="Migliaia 17 3 2 3 2" xfId="12420" xr:uid="{6F9D5A9F-E1BA-46CC-9753-E92DDD569DD0}"/>
    <cellStyle name="Migliaia 17 3 2 3 2 2" xfId="38639" xr:uid="{76F9E58A-0528-496F-8498-4580A6EB1332}"/>
    <cellStyle name="Migliaia 17 3 2 3 2 3" xfId="43941" xr:uid="{8CB2741F-2D91-4C0A-BCD0-57389AAFD91C}"/>
    <cellStyle name="Migliaia 17 3 2 3 2 4" xfId="33247" xr:uid="{BFA832D8-FE72-4AE7-91DC-B7D8B84BADDC}"/>
    <cellStyle name="Migliaia 17 3 2 3 3" xfId="11916" xr:uid="{1E890120-C677-4FA7-91C5-D3CAF037500E}"/>
    <cellStyle name="Migliaia 17 3 2 3 4" xfId="19969" xr:uid="{BF69DC16-BDA4-419C-B1FA-03D81FCDDC81}"/>
    <cellStyle name="Migliaia 17 3 2 3 4 2" xfId="41290" xr:uid="{64E5282A-09D0-4650-8DFD-EB19570CCDEA}"/>
    <cellStyle name="Migliaia 17 3 2 3 5" xfId="16126" xr:uid="{3383E7A1-A31A-49C2-BAE2-30DBC5385028}"/>
    <cellStyle name="Migliaia 17 3 2 3 6" xfId="7854" xr:uid="{9A2671AD-2506-4BB0-B235-C11789DD5A6D}"/>
    <cellStyle name="Migliaia 17 3 2 4" xfId="6172" xr:uid="{B9C3E0C3-34CA-4438-ADDD-BFD99F6726B3}"/>
    <cellStyle name="Migliaia 17 3 2 4 2" xfId="18065" xr:uid="{5D0B996D-9F4A-468E-9E19-6E73374A7F55}"/>
    <cellStyle name="Migliaia 17 3 2 4 2 2" xfId="38640" xr:uid="{4E2A999A-2C33-4281-8541-3C8422C5BDB8}"/>
    <cellStyle name="Migliaia 17 3 2 4 2 3" xfId="43942" xr:uid="{82AD9950-8B83-4416-9F01-88C0105E1F29}"/>
    <cellStyle name="Migliaia 17 3 2 4 3" xfId="36148" xr:uid="{6CDA3637-76AA-489C-9928-232F5C134CC9}"/>
    <cellStyle name="Migliaia 17 3 2 4 4" xfId="41291" xr:uid="{9EA56CAA-6F51-4D1A-9293-4B96761C3E02}"/>
    <cellStyle name="Migliaia 17 3 2 4 5" xfId="17152" xr:uid="{37058580-AD0E-48A6-8101-C275CCF46442}"/>
    <cellStyle name="Migliaia 17 3 2 4 6" xfId="11268" xr:uid="{AB248D6D-789F-47D6-88B7-5DE9BFEACC5F}"/>
    <cellStyle name="Migliaia 17 3 2 5" xfId="3230" xr:uid="{2B9C8FD2-44DC-4C24-92A5-3D6D6B051CD1}"/>
    <cellStyle name="Migliaia 17 3 2 5 2" xfId="33248" xr:uid="{43796F83-6292-4746-823C-01513F4AC251}"/>
    <cellStyle name="Migliaia 17 3 2 5 2 2" xfId="38641" xr:uid="{9DDD84B0-9B25-4D68-9528-E993E39E9544}"/>
    <cellStyle name="Migliaia 17 3 2 5 2 3" xfId="43943" xr:uid="{80097DD2-2C57-4283-8733-AECC432D5277}"/>
    <cellStyle name="Migliaia 17 3 2 5 3" xfId="36149" xr:uid="{1D7D8393-0562-4655-9C75-AA4DE7561B84}"/>
    <cellStyle name="Migliaia 17 3 2 5 4" xfId="41292" xr:uid="{FD97BA04-0655-493D-BADF-29CC3590C07B}"/>
    <cellStyle name="Migliaia 17 3 2 5 5" xfId="17402" xr:uid="{7A6BFB72-F1AB-44B3-A334-4C4D456C5704}"/>
    <cellStyle name="Migliaia 17 3 2 6" xfId="19967" xr:uid="{BDD6326C-984E-4F3E-B644-5121FD99D045}"/>
    <cellStyle name="Migliaia 17 3 2 6 2" xfId="33249" xr:uid="{60966B9D-1083-4D22-91BB-B1E073931CBD}"/>
    <cellStyle name="Migliaia 17 3 2 6 2 2" xfId="38642" xr:uid="{34ACA1F3-AB75-485B-B7ED-C2F91EEB12A2}"/>
    <cellStyle name="Migliaia 17 3 2 6 2 3" xfId="43944" xr:uid="{7B2D9822-1884-43B6-B980-3695D40603C4}"/>
    <cellStyle name="Migliaia 17 3 2 6 3" xfId="36150" xr:uid="{2DC455FD-32BC-485C-AAB6-BF7119022913}"/>
    <cellStyle name="Migliaia 17 3 2 6 4" xfId="41293" xr:uid="{EEC08D85-1226-44E9-A191-D1111E691B26}"/>
    <cellStyle name="Migliaia 17 3 2 6 5" xfId="24371" xr:uid="{53A641D1-D732-40E4-A51E-2A7123BD3F3C}"/>
    <cellStyle name="Migliaia 17 3 2 7" xfId="24369" xr:uid="{00E0DE6D-01D2-4959-AB43-BED231203968}"/>
    <cellStyle name="Migliaia 17 3 2 8" xfId="7340" xr:uid="{8B7AEB54-A2E4-435B-82D8-99E6FC38CD18}"/>
    <cellStyle name="Migliaia 17 3 3" xfId="3232" xr:uid="{A80063E3-B088-41B8-9A02-523362C1393B}"/>
    <cellStyle name="Migliaia 17 3 3 10" xfId="7339" xr:uid="{D1E24BC9-A78A-43BF-B9ED-10D1AB47281C}"/>
    <cellStyle name="Migliaia 17 3 3 2" xfId="4958" xr:uid="{C5AAF257-1944-4FD3-8FB6-60DD81F4CFE2}"/>
    <cellStyle name="Migliaia 17 3 3 2 2" xfId="9898" xr:uid="{9747B959-3BD1-45CC-8C2A-4E2986297F9C}"/>
    <cellStyle name="Migliaia 17 3 3 2 2 2" xfId="38644" xr:uid="{CDB0D9C3-62D4-4A67-8B7E-43C61AD06C19}"/>
    <cellStyle name="Migliaia 17 3 3 2 2 3" xfId="43946" xr:uid="{785CC999-4220-436D-B1A1-E2C315A73809}"/>
    <cellStyle name="Migliaia 17 3 3 2 3" xfId="18178" xr:uid="{CC749553-EA74-4BCD-8B00-7D827C0E0CE9}"/>
    <cellStyle name="Migliaia 17 3 3 2 4" xfId="19971" xr:uid="{0A06860B-AFE4-4C62-B731-76677152E67C}"/>
    <cellStyle name="Migliaia 17 3 3 2 4 2" xfId="41295" xr:uid="{9055CDCF-17A2-4100-9876-03088326CB01}"/>
    <cellStyle name="Migliaia 17 3 3 2 5" xfId="16128" xr:uid="{5357F337-7C2B-45A6-88A6-37DFC7CD3BF2}"/>
    <cellStyle name="Migliaia 17 3 3 2 6" xfId="8529" xr:uid="{701A44FA-7557-4F56-9A1D-4A3C7B3B136A}"/>
    <cellStyle name="Migliaia 17 3 3 3" xfId="6174" xr:uid="{CC8B715A-52C4-4EC2-89C0-EB35B3C3E5CE}"/>
    <cellStyle name="Migliaia 17 3 3 3 2" xfId="33251" xr:uid="{7F29D9E0-CF8E-4BA0-BBDD-412513D956E6}"/>
    <cellStyle name="Migliaia 17 3 3 3 2 2" xfId="38645" xr:uid="{77C01EAE-9589-4DC7-9A1A-A1F2E6DA493C}"/>
    <cellStyle name="Migliaia 17 3 3 3 2 3" xfId="43947" xr:uid="{BBC3D8C9-C9D4-4F7B-B167-321BD82DEAEA}"/>
    <cellStyle name="Migliaia 17 3 3 3 3" xfId="36152" xr:uid="{24917D9D-A004-4A35-ACE4-6A265FDB9060}"/>
    <cellStyle name="Migliaia 17 3 3 3 4" xfId="41296" xr:uid="{65F77B2A-E5AF-4329-B5A9-7DF7C51CB82D}"/>
    <cellStyle name="Migliaia 17 3 3 3 5" xfId="9661" xr:uid="{7DB300FD-5344-4583-A7F7-0D17A23A3469}"/>
    <cellStyle name="Migliaia 17 3 3 4" xfId="19970" xr:uid="{347D124B-8EA5-49DB-808A-BEFA10D296D3}"/>
    <cellStyle name="Migliaia 17 3 3 4 2" xfId="33252" xr:uid="{02F33E70-C0AA-4F04-A5BE-1EB377F0C6C2}"/>
    <cellStyle name="Migliaia 17 3 3 4 2 2" xfId="38646" xr:uid="{4F65CA18-854A-4093-961E-37E8A104EB4C}"/>
    <cellStyle name="Migliaia 17 3 3 4 2 3" xfId="43948" xr:uid="{BAAFE9D4-B2E2-4E46-8D0D-00495261173F}"/>
    <cellStyle name="Migliaia 17 3 3 4 3" xfId="36153" xr:uid="{A3160904-16F1-4D2F-A7D2-031983C3523E}"/>
    <cellStyle name="Migliaia 17 3 3 4 4" xfId="41297" xr:uid="{77D74BF0-9C65-4270-91CF-450BF7A74C7C}"/>
    <cellStyle name="Migliaia 17 3 3 4 5" xfId="24372" xr:uid="{5D5DE8C0-AD38-4063-9AFC-F97781D43B59}"/>
    <cellStyle name="Migliaia 17 3 3 5" xfId="24373" xr:uid="{56551602-8A2C-4048-991A-40BB906E2C49}"/>
    <cellStyle name="Migliaia 17 3 3 5 2" xfId="33253" xr:uid="{22B5E680-FCC8-4661-AE03-B03CE2260587}"/>
    <cellStyle name="Migliaia 17 3 3 5 2 2" xfId="38647" xr:uid="{D4FB754A-3FB5-4F43-B104-B9EE128F4DB7}"/>
    <cellStyle name="Migliaia 17 3 3 5 2 3" xfId="43949" xr:uid="{759E8544-15A5-4E79-8472-1C6F3D442523}"/>
    <cellStyle name="Migliaia 17 3 3 5 3" xfId="36154" xr:uid="{82999E6F-E2A6-4592-8429-93582994919B}"/>
    <cellStyle name="Migliaia 17 3 3 5 4" xfId="41298" xr:uid="{4BAB0219-A2F2-4509-BDE0-3BF6964312AF}"/>
    <cellStyle name="Migliaia 17 3 3 6" xfId="33250" xr:uid="{6BBD938D-D7EB-4E54-99B0-9E3BCF9A536D}"/>
    <cellStyle name="Migliaia 17 3 3 6 2" xfId="38643" xr:uid="{CBCDEB96-C12E-4469-B03B-A84B50CAAE12}"/>
    <cellStyle name="Migliaia 17 3 3 6 3" xfId="43945" xr:uid="{A64E350A-6720-493B-95A6-C8639C5090A8}"/>
    <cellStyle name="Migliaia 17 3 3 7" xfId="36151" xr:uid="{ECF4CAD8-85B5-438C-9BB8-DD926AA92D9D}"/>
    <cellStyle name="Migliaia 17 3 3 8" xfId="41294" xr:uid="{11A9447A-06BE-4976-87F2-990BD95E6EBF}"/>
    <cellStyle name="Migliaia 17 3 3 9" xfId="16127" xr:uid="{B960A75C-7828-45FD-97E1-4227427E47ED}"/>
    <cellStyle name="Migliaia 17 3 4" xfId="3233" xr:uid="{8E72B6F0-A2BD-4AE4-8B2A-45ABB98C85D9}"/>
    <cellStyle name="Migliaia 17 3 4 2" xfId="4959" xr:uid="{9867DA51-5C58-4E79-AA12-71F9A24E03C9}"/>
    <cellStyle name="Migliaia 17 3 4 2 2" xfId="14431" xr:uid="{14805276-127D-4361-AE43-1B9093D4CC42}"/>
    <cellStyle name="Migliaia 17 3 4 2 3" xfId="18630" xr:uid="{F8615EF5-93CF-4A02-9A73-4FCA3C914CD4}"/>
    <cellStyle name="Migliaia 17 3 4 2 4" xfId="19973" xr:uid="{A61ADE68-485F-45B4-8558-96F0D14826CA}"/>
    <cellStyle name="Migliaia 17 3 4 2 5" xfId="32316" xr:uid="{5B600506-3B02-4E93-BE2B-C7FD0A5B4812}"/>
    <cellStyle name="Migliaia 17 3 4 2 6" xfId="16130" xr:uid="{B5227A91-678C-47A8-AD9C-4620483C2BBC}"/>
    <cellStyle name="Migliaia 17 3 4 2 7" xfId="8854" xr:uid="{33BEF809-5366-404B-8337-B7C84D656511}"/>
    <cellStyle name="Migliaia 17 3 4 3" xfId="6175" xr:uid="{99FE320E-2D40-43D6-8FE4-2EAF9FE9C851}"/>
    <cellStyle name="Migliaia 17 3 4 3 2" xfId="35179" xr:uid="{00D12E05-04BD-475C-BEFF-BEB0161E3B9B}"/>
    <cellStyle name="Migliaia 17 3 4 3 2 2" xfId="40337" xr:uid="{7C3E32C7-E0B2-497F-BF95-BE1F8FFCB60D}"/>
    <cellStyle name="Migliaia 17 3 4 3 2 3" xfId="45639" xr:uid="{19ED795C-D6A8-4147-902F-09897DF1EE69}"/>
    <cellStyle name="Migliaia 17 3 4 3 3" xfId="37686" xr:uid="{997EE07C-3329-4944-8C61-4387B8CDBAB9}"/>
    <cellStyle name="Migliaia 17 3 4 3 4" xfId="42988" xr:uid="{03BAF29D-D7B2-409C-8CE7-FB0D48272EC2}"/>
    <cellStyle name="Migliaia 17 3 4 3 5" xfId="13679" xr:uid="{93210857-95AC-4E10-A247-EDBA673889C1}"/>
    <cellStyle name="Migliaia 17 3 4 4" xfId="19972" xr:uid="{B906EDB6-AAA1-4DCA-B3FD-B29D6FF32213}"/>
    <cellStyle name="Migliaia 17 3 4 4 2" xfId="38648" xr:uid="{2A99154C-1E66-480B-A958-80F1EC52408A}"/>
    <cellStyle name="Migliaia 17 3 4 4 3" xfId="43950" xr:uid="{054323BB-AC90-4281-8F84-CA02316144BF}"/>
    <cellStyle name="Migliaia 17 3 4 4 4" xfId="33254" xr:uid="{5FC72A7C-6FDA-40C6-B64A-B4B09FD9C2B3}"/>
    <cellStyle name="Migliaia 17 3 4 5" xfId="36155" xr:uid="{29BA9455-43EA-44D8-BBD8-68347DCEA225}"/>
    <cellStyle name="Migliaia 17 3 4 6" xfId="41299" xr:uid="{1EB460CC-71C2-46CC-A078-B5AB6899B864}"/>
    <cellStyle name="Migliaia 17 3 4 7" xfId="16129" xr:uid="{CFDBCF4C-AB3B-479C-86DE-44E135FE5731}"/>
    <cellStyle name="Migliaia 17 3 4 8" xfId="7664" xr:uid="{16A4B8D8-3471-4602-B8F5-AD9129690804}"/>
    <cellStyle name="Migliaia 17 3 5" xfId="3234" xr:uid="{FA61D102-D688-4095-994F-E7644FBC5035}"/>
    <cellStyle name="Migliaia 17 3 5 2" xfId="4960" xr:uid="{975A1586-6716-459C-8B1E-F42FF417E0F1}"/>
    <cellStyle name="Migliaia 17 3 5 2 2" xfId="35180" xr:uid="{8B6E5D17-3B57-4463-99A7-43C9B12EA94D}"/>
    <cellStyle name="Migliaia 17 3 5 2 2 2" xfId="40338" xr:uid="{E4259C3E-2926-4226-A077-B716A7EB0905}"/>
    <cellStyle name="Migliaia 17 3 5 2 2 3" xfId="45640" xr:uid="{2B4897F6-0B82-4E8D-8252-D686B0EE8738}"/>
    <cellStyle name="Migliaia 17 3 5 2 3" xfId="37687" xr:uid="{4A6E6B32-1CE5-437F-AF95-49F8397DE916}"/>
    <cellStyle name="Migliaia 17 3 5 2 4" xfId="42989" xr:uid="{306E8D32-2E5A-4561-82AB-BEE570091B09}"/>
    <cellStyle name="Migliaia 17 3 5 2 5" xfId="14204" xr:uid="{63D81AA6-54DD-413B-BDB0-2B62864ADA37}"/>
    <cellStyle name="Migliaia 17 3 5 3" xfId="6176" xr:uid="{E9256CF4-117D-44BE-B3D0-E174700CC2A2}"/>
    <cellStyle name="Migliaia 17 3 5 3 2" xfId="38649" xr:uid="{8BF509B2-3D8E-4278-8227-B1B69265162B}"/>
    <cellStyle name="Migliaia 17 3 5 3 3" xfId="43951" xr:uid="{ACB54699-A892-403B-BC12-9185C8E99605}"/>
    <cellStyle name="Migliaia 17 3 5 3 4" xfId="33255" xr:uid="{F6094D80-A027-40A8-9B43-7DEBB754118D}"/>
    <cellStyle name="Migliaia 17 3 5 3 5" xfId="19974" xr:uid="{C7839D37-5DFC-43D8-BCF1-A38E306B25D8}"/>
    <cellStyle name="Migliaia 17 3 5 4" xfId="36156" xr:uid="{32C92865-3AD9-49D4-BB51-045C68942DA3}"/>
    <cellStyle name="Migliaia 17 3 5 5" xfId="41300" xr:uid="{C5F1160F-26A9-47BA-BF86-46CF8F9A5995}"/>
    <cellStyle name="Migliaia 17 3 5 6" xfId="16131" xr:uid="{BECDBD3F-89A1-451B-8636-D5638638BEA5}"/>
    <cellStyle name="Migliaia 17 3 5 7" xfId="8266" xr:uid="{A569A431-839E-4CB4-ADF4-773C7DE7DE24}"/>
    <cellStyle name="Migliaia 17 3 6" xfId="4955" xr:uid="{8C261088-6E59-4060-9B7A-9D82E997A473}"/>
    <cellStyle name="Migliaia 17 3 6 2" xfId="13907" xr:uid="{25A3E6B9-6E99-4D87-921A-4F484EFE9D81}"/>
    <cellStyle name="Migliaia 17 3 6 2 2" xfId="38650" xr:uid="{3AE8BF2F-4D2C-437F-BAC7-B37B8F636F71}"/>
    <cellStyle name="Migliaia 17 3 6 2 3" xfId="43952" xr:uid="{6188521A-7711-4354-A3EF-A2DE621C5728}"/>
    <cellStyle name="Migliaia 17 3 6 3" xfId="18151" xr:uid="{899FC44B-FEA1-4841-B268-102716824A4F}"/>
    <cellStyle name="Migliaia 17 3 6 4" xfId="19975" xr:uid="{270BC2E1-8890-42DF-B426-3EF6CDC57427}"/>
    <cellStyle name="Migliaia 17 3 6 4 2" xfId="41301" xr:uid="{47AC783C-42A5-4135-95F1-2B278D3B804E}"/>
    <cellStyle name="Migliaia 17 3 6 5" xfId="16132" xr:uid="{7740FCAC-EFB9-4681-AD32-41E74B4D20F3}"/>
    <cellStyle name="Migliaia 17 3 6 6" xfId="7853" xr:uid="{8F03D81C-5C44-4E77-BF0D-1A1C0940C15C}"/>
    <cellStyle name="Migliaia 17 3 7" xfId="6171" xr:uid="{4D0DAE86-91A0-4490-9FBE-2D8A0CB81B60}"/>
    <cellStyle name="Migliaia 17 3 7 2" xfId="33256" xr:uid="{3A8C9DC8-F7C0-4838-BA50-0711C1879C37}"/>
    <cellStyle name="Migliaia 17 3 7 2 2" xfId="38651" xr:uid="{B6075176-6C5B-4694-B70A-9E9BCAA2F1A7}"/>
    <cellStyle name="Migliaia 17 3 7 2 3" xfId="43953" xr:uid="{59C8B5B0-6534-40CC-ACC7-0FDE635A356F}"/>
    <cellStyle name="Migliaia 17 3 7 3" xfId="36157" xr:uid="{957CF238-BF16-43B3-8125-40F6AE2B3D44}"/>
    <cellStyle name="Migliaia 17 3 7 4" xfId="41302" xr:uid="{466FB695-3BCF-4679-92D2-F3294685AA28}"/>
    <cellStyle name="Migliaia 17 3 7 5" xfId="12278" xr:uid="{B41A2FFD-1ABA-4C6A-AB0E-4AF1A60A760C}"/>
    <cellStyle name="Migliaia 17 3 8" xfId="3229" xr:uid="{4C4F8F08-D78A-406A-AC12-07AFB98FD700}"/>
    <cellStyle name="Migliaia 17 3 8 2" xfId="33257" xr:uid="{7DB13F26-0960-40F3-A4EF-027840C0B2FD}"/>
    <cellStyle name="Migliaia 17 3 8 2 2" xfId="38652" xr:uid="{18FD21B3-C2CF-4FDF-8747-0BE37AB657B6}"/>
    <cellStyle name="Migliaia 17 3 8 2 3" xfId="43954" xr:uid="{83B8A6DD-4A35-404C-B788-797893FDE9E5}"/>
    <cellStyle name="Migliaia 17 3 8 3" xfId="36158" xr:uid="{1A13E3D3-FAD7-4184-AD2F-132528D9F79F}"/>
    <cellStyle name="Migliaia 17 3 8 4" xfId="41303" xr:uid="{37E0417B-B814-4237-9A2A-D12795C41D8F}"/>
    <cellStyle name="Migliaia 17 3 8 5" xfId="24374" xr:uid="{9570EF61-E08E-45AE-A35A-06B9554E7473}"/>
    <cellStyle name="Migliaia 17 3 8 6" xfId="17403" xr:uid="{4FC2E113-7A9D-46E2-B9AB-ADBF257E3857}"/>
    <cellStyle name="Migliaia 17 3 9" xfId="19966" xr:uid="{3551A41F-2308-4D7F-8E27-167C53EE4AB5}"/>
    <cellStyle name="Migliaia 17 4" xfId="1695" xr:uid="{00000000-0005-0000-0000-000006030000}"/>
    <cellStyle name="Migliaia 17 4 2" xfId="1696" xr:uid="{00000000-0005-0000-0000-000007030000}"/>
    <cellStyle name="Migliaia 17 4 2 2" xfId="4962" xr:uid="{EA948EB0-65CE-4A56-91D0-E2FDF1EFEB82}"/>
    <cellStyle name="Migliaia 17 4 2 2 2" xfId="33258" xr:uid="{4061F405-B4D1-4D43-B077-D07DF7FD9F34}"/>
    <cellStyle name="Migliaia 17 4 2 2 2 2" xfId="38653" xr:uid="{65818559-8E5D-4A4C-ABE9-DDD47657BB4B}"/>
    <cellStyle name="Migliaia 17 4 2 2 2 3" xfId="43955" xr:uid="{9FE5E140-B21B-48C0-9574-C7B33B8A94EC}"/>
    <cellStyle name="Migliaia 17 4 2 2 3" xfId="36159" xr:uid="{5A536FF2-3026-4E6C-AE98-0318E30A1FFC}"/>
    <cellStyle name="Migliaia 17 4 2 2 4" xfId="41304" xr:uid="{DBDC592E-89B4-4594-8CF1-0BFB3B499809}"/>
    <cellStyle name="Migliaia 17 4 2 2 5" xfId="9124" xr:uid="{0DE86AC9-EB78-4CBD-92CD-FD23FD7B979B}"/>
    <cellStyle name="Migliaia 17 4 2 3" xfId="3236" xr:uid="{38E83EC4-9AD6-4D1A-BB4F-2967DE7C4D9F}"/>
    <cellStyle name="Migliaia 17 4 2 3 2" xfId="33259" xr:uid="{0B5A7F66-9FA0-44AC-9FCE-A82091A3808B}"/>
    <cellStyle name="Migliaia 17 4 2 3 2 2" xfId="38654" xr:uid="{1ABD01CF-11D8-43D9-B939-FFAFAD18648C}"/>
    <cellStyle name="Migliaia 17 4 2 3 2 3" xfId="43956" xr:uid="{2C75A031-6640-4AFA-9939-DAFD8DC4AC57}"/>
    <cellStyle name="Migliaia 17 4 2 3 3" xfId="36160" xr:uid="{F2AF347D-8195-4EFB-AB3A-11AEF4F3AA7A}"/>
    <cellStyle name="Migliaia 17 4 2 3 4" xfId="41305" xr:uid="{91DE9B65-1E6A-41EF-A5D0-B3A1DF8D92D1}"/>
    <cellStyle name="Migliaia 17 4 2 3 5" xfId="11917" xr:uid="{1026604A-8C7D-4663-9851-C5B993AA6CC0}"/>
    <cellStyle name="Migliaia 17 4 2 4" xfId="11270" xr:uid="{EB074027-DC5F-413D-88D5-B0A2DA8364FF}"/>
    <cellStyle name="Migliaia 17 4 2 5" xfId="10773" xr:uid="{2BD5613F-F85E-4EEE-A18A-E01249A5DB84}"/>
    <cellStyle name="Migliaia 17 4 2 5 2" xfId="21408" xr:uid="{D46373E3-5BE1-4DCA-ADB3-2D5B81F34FE6}"/>
    <cellStyle name="Migliaia 17 4 2 5 3" xfId="46216" xr:uid="{70033626-D9DD-42C6-8D5A-732E9C167C44}"/>
    <cellStyle name="Migliaia 17 4 2 5 4" xfId="50423" xr:uid="{AA8D7321-645D-4BC5-8109-E5801E166BA4}"/>
    <cellStyle name="Migliaia 17 4 2 5 5" xfId="53439" xr:uid="{51F17C15-1656-450F-BC25-2ED31F0E529F}"/>
    <cellStyle name="Migliaia 17 4 2 6" xfId="19977" xr:uid="{EF00231F-87B9-4E85-8C4B-659A2C6EB1FA}"/>
    <cellStyle name="Migliaia 17 4 2 7" xfId="24376" xr:uid="{F8B4573F-3B1E-4115-8158-E40DCD451BA2}"/>
    <cellStyle name="Migliaia 17 4 2 8" xfId="8531" xr:uid="{F39BEE44-8774-4FB5-A290-0124ECF3F99B}"/>
    <cellStyle name="Migliaia 17 4 3" xfId="4961" xr:uid="{8D50FFE8-B994-400F-9759-66E5DCF7E603}"/>
    <cellStyle name="Migliaia 17 4 3 2" xfId="18179" xr:uid="{3E85213C-456E-42DF-9CF3-00D92770FE75}"/>
    <cellStyle name="Migliaia 17 4 3 2 2" xfId="38655" xr:uid="{22DB63BA-77DD-4D20-99F8-6BAB8D5C0A44}"/>
    <cellStyle name="Migliaia 17 4 3 2 3" xfId="43957" xr:uid="{524C9519-BEEC-4382-BB01-4BD68A570A85}"/>
    <cellStyle name="Migliaia 17 4 3 3" xfId="36161" xr:uid="{A9904348-94D7-48BE-8C4B-D736928EE1DA}"/>
    <cellStyle name="Migliaia 17 4 3 4" xfId="41306" xr:uid="{ACA46080-EDA1-4FBC-A429-35FA86A51734}"/>
    <cellStyle name="Migliaia 17 4 3 5" xfId="17401" xr:uid="{2EB8F574-849E-40E8-999C-8D10BFE2F15E}"/>
    <cellStyle name="Migliaia 17 4 3 6" xfId="9125" xr:uid="{FDFA4846-590D-4069-8EA3-CFC45784F95F}"/>
    <cellStyle name="Migliaia 17 4 4" xfId="6177" xr:uid="{4081831F-FEC0-41DD-B863-4210B06B10FF}"/>
    <cellStyle name="Migliaia 17 4 4 2" xfId="33260" xr:uid="{94DF58DB-654C-46CD-A16E-B0ADC435E92B}"/>
    <cellStyle name="Migliaia 17 4 4 2 2" xfId="38656" xr:uid="{B7697C0D-DAC7-4F73-9FA7-0A1EB98EF520}"/>
    <cellStyle name="Migliaia 17 4 4 2 3" xfId="43958" xr:uid="{D6E8B409-5DD5-4F84-944B-1C658A7CE91F}"/>
    <cellStyle name="Migliaia 17 4 4 3" xfId="36162" xr:uid="{74444F30-C178-42F5-AC80-C32054807FE7}"/>
    <cellStyle name="Migliaia 17 4 4 4" xfId="41307" xr:uid="{A9C1524F-8FAD-42C6-920B-B8C87C8CD2CE}"/>
    <cellStyle name="Migliaia 17 4 4 5" xfId="11918" xr:uid="{4340E103-1137-43CA-AD0A-F45F1B37ACF1}"/>
    <cellStyle name="Migliaia 17 4 5" xfId="3235" xr:uid="{6358207B-6C03-42A2-A1E0-B356CCA37138}"/>
    <cellStyle name="Migliaia 17 4 5 2" xfId="33261" xr:uid="{176AED85-2A7F-4400-9BF4-BD210A615CCE}"/>
    <cellStyle name="Migliaia 17 4 5 2 2" xfId="38657" xr:uid="{E47A7365-4CCE-41E8-945F-ABA934FE3EB1}"/>
    <cellStyle name="Migliaia 17 4 5 2 3" xfId="43959" xr:uid="{B076026F-269D-4A67-806E-468F004B6F0F}"/>
    <cellStyle name="Migliaia 17 4 5 3" xfId="36163" xr:uid="{D9D2A683-CA95-48A5-A0E6-B9A54FA44405}"/>
    <cellStyle name="Migliaia 17 4 5 4" xfId="41308" xr:uid="{6F448CAA-343F-4A97-A0A4-021482536502}"/>
    <cellStyle name="Migliaia 17 4 5 5" xfId="11269" xr:uid="{50E15731-58F1-4A70-94E0-98EB2DDF76C8}"/>
    <cellStyle name="Migliaia 17 4 6" xfId="10772" xr:uid="{FB79BF5F-CFE3-4AC9-BBEC-3F7C82548798}"/>
    <cellStyle name="Migliaia 17 4 6 2" xfId="21407" xr:uid="{5F615FCA-1788-4849-8EDB-7A1F7968B216}"/>
    <cellStyle name="Migliaia 17 4 6 2 2" xfId="38658" xr:uid="{9EB8BCCE-9255-43C2-82A2-1E1F4E1452B1}"/>
    <cellStyle name="Migliaia 17 4 6 2 3" xfId="43960" xr:uid="{3FF9313A-5F2C-4D1D-817A-C9259B24F060}"/>
    <cellStyle name="Migliaia 17 4 6 2 4" xfId="33262" xr:uid="{F2B1808D-A855-4838-883E-72D0118A6659}"/>
    <cellStyle name="Migliaia 17 4 6 3" xfId="36164" xr:uid="{BB43EEEA-EA9E-48F0-B868-A0D7237722D7}"/>
    <cellStyle name="Migliaia 17 4 6 4" xfId="41309" xr:uid="{CDB05B42-0D52-4A73-8BA3-CFE4C4825793}"/>
    <cellStyle name="Migliaia 17 4 6 5" xfId="24377" xr:uid="{AF64BAE4-1FE7-4BBB-B291-9A44B9667755}"/>
    <cellStyle name="Migliaia 17 4 6 6" xfId="46215" xr:uid="{BCF761A0-5281-4DDD-ADE5-83FA702DAC47}"/>
    <cellStyle name="Migliaia 17 4 6 7" xfId="50422" xr:uid="{482D063B-4886-48AB-8A1F-C00B72BD379B}"/>
    <cellStyle name="Migliaia 17 4 6 8" xfId="53438" xr:uid="{9C902ACE-E8E0-4332-931B-B7D67B2DB7FE}"/>
    <cellStyle name="Migliaia 17 4 7" xfId="19976" xr:uid="{CE56F9EE-5DB9-4B2D-AE60-5C89BD53F975}"/>
    <cellStyle name="Migliaia 17 4 7 2" xfId="33263" xr:uid="{0D80D5E6-64DB-4A90-A249-20841B19544B}"/>
    <cellStyle name="Migliaia 17 4 7 2 2" xfId="38659" xr:uid="{8203A3E7-C0EF-478D-93DC-023FAD90F108}"/>
    <cellStyle name="Migliaia 17 4 7 2 3" xfId="43961" xr:uid="{4B946A28-0FCC-4720-A822-9EA692E10795}"/>
    <cellStyle name="Migliaia 17 4 7 3" xfId="36165" xr:uid="{B55F1E95-0AF6-4AE0-8B3C-E9F85A4DC240}"/>
    <cellStyle name="Migliaia 17 4 7 4" xfId="41310" xr:uid="{CEF65EB6-50F6-4807-8CEA-FD1C297EC9EE}"/>
    <cellStyle name="Migliaia 17 4 7 5" xfId="24378" xr:uid="{C63C7EFE-5492-4E9B-9B74-5238492A17BC}"/>
    <cellStyle name="Migliaia 17 4 8" xfId="24375" xr:uid="{52BD8CE0-19AB-418F-A215-CE2485DD1F12}"/>
    <cellStyle name="Migliaia 17 4 9" xfId="7341" xr:uid="{6F0F07F6-00AD-439F-A43E-1EFF7EF39245}"/>
    <cellStyle name="Migliaia 17 5" xfId="1697" xr:uid="{00000000-0005-0000-0000-000008030000}"/>
    <cellStyle name="Migliaia 17 5 2" xfId="4963" xr:uid="{85C5DCF9-C859-4531-9C7B-A9BCF7AC412B}"/>
    <cellStyle name="Migliaia 17 5 2 2" xfId="18383" xr:uid="{AE8C7C86-9216-4FDD-AAEF-80664D60AF13}"/>
    <cellStyle name="Migliaia 17 5 2 2 2" xfId="38660" xr:uid="{2AA8F958-DBA6-4167-A4BE-23F449A06526}"/>
    <cellStyle name="Migliaia 17 5 2 2 3" xfId="43962" xr:uid="{9666F595-6F89-43D6-9AA1-BEE69BFCB88B}"/>
    <cellStyle name="Migliaia 17 5 2 3" xfId="19979" xr:uid="{A835E618-8962-47A0-AC5C-F463BE27AD94}"/>
    <cellStyle name="Migliaia 17 5 2 3 2" xfId="36166" xr:uid="{3F64D83C-F851-45E1-AA93-FFF20A749D98}"/>
    <cellStyle name="Migliaia 17 5 2 4" xfId="41311" xr:uid="{C3B929DF-2414-48A4-A732-8AEB1F76DD3B}"/>
    <cellStyle name="Migliaia 17 5 2 5" xfId="16133" xr:uid="{C2161123-CBB3-4AF0-85C2-6D49EDFF8D05}"/>
    <cellStyle name="Migliaia 17 5 2 6" xfId="8532" xr:uid="{865292EF-2F66-44EA-A3C2-95C4C74DAAE3}"/>
    <cellStyle name="Migliaia 17 5 3" xfId="6178" xr:uid="{C19D1431-B0B3-4C4D-8446-6DC11B039C80}"/>
    <cellStyle name="Migliaia 17 5 3 2" xfId="33264" xr:uid="{2BF74C71-E88C-4880-94BF-A4AA689EEA4A}"/>
    <cellStyle name="Migliaia 17 5 3 2 2" xfId="38661" xr:uid="{14CA29B7-62FC-4F08-8C6F-477D6BAE4662}"/>
    <cellStyle name="Migliaia 17 5 3 2 3" xfId="43963" xr:uid="{7290917F-D342-4B67-B8D2-4C99700BAE92}"/>
    <cellStyle name="Migliaia 17 5 3 3" xfId="36167" xr:uid="{6DC3643F-9B49-484F-BC31-9022C1B88A80}"/>
    <cellStyle name="Migliaia 17 5 3 4" xfId="41312" xr:uid="{2632C193-91B9-432C-8E4C-781B1B26D599}"/>
    <cellStyle name="Migliaia 17 5 3 5" xfId="11271" xr:uid="{3FC5DA1F-63BB-4D03-9FC1-D6BF1EFC2BF6}"/>
    <cellStyle name="Migliaia 17 5 4" xfId="3237" xr:uid="{8B1FB564-F176-448E-AF2B-2C1C55D260C9}"/>
    <cellStyle name="Migliaia 17 5 4 2" xfId="21409" xr:uid="{AD7D8ACE-9A2B-47F8-84A0-2DF7B609EE4E}"/>
    <cellStyle name="Migliaia 17 5 4 2 2" xfId="38662" xr:uid="{5FE160C5-1FB1-44C6-9145-2A4079C4AE40}"/>
    <cellStyle name="Migliaia 17 5 4 2 3" xfId="43964" xr:uid="{FAAAAB42-ECCF-42F7-AC32-47890D189BB4}"/>
    <cellStyle name="Migliaia 17 5 4 2 4" xfId="33265" xr:uid="{1F70D9E4-8A0A-4410-AE55-CEC90DAE6392}"/>
    <cellStyle name="Migliaia 17 5 4 3" xfId="36168" xr:uid="{0946D029-A713-4AC0-8CBC-01C5E046DF1D}"/>
    <cellStyle name="Migliaia 17 5 4 4" xfId="41313" xr:uid="{BB614C84-19E1-4226-8C6F-FDBBFF68B6E5}"/>
    <cellStyle name="Migliaia 17 5 4 5" xfId="24380" xr:uid="{838BE503-179B-49EA-B52B-9FF648EF4642}"/>
    <cellStyle name="Migliaia 17 5 4 6" xfId="32299" xr:uid="{C40AEEF3-0530-45D9-BB23-BC072A10C246}"/>
    <cellStyle name="Migliaia 17 5 4 7" xfId="50424" xr:uid="{99D39033-47EB-4002-B4F0-1B37ECE2C03C}"/>
    <cellStyle name="Migliaia 17 5 4 8" xfId="53440" xr:uid="{48979346-1EAA-4813-BA21-7B79AFAB02B7}"/>
    <cellStyle name="Migliaia 17 5 4 9" xfId="10774" xr:uid="{0BACDFC6-BE63-4939-A271-A50CC4DE6006}"/>
    <cellStyle name="Migliaia 17 5 5" xfId="19978" xr:uid="{3F9E7AFA-6FD6-4982-93C1-80361D42864B}"/>
    <cellStyle name="Migliaia 17 5 5 2" xfId="33266" xr:uid="{9B25D6CF-447A-4F7F-ABDE-7474F70931EC}"/>
    <cellStyle name="Migliaia 17 5 5 2 2" xfId="38663" xr:uid="{82C43B24-80AF-4EDC-B6C8-3EE77BF237E9}"/>
    <cellStyle name="Migliaia 17 5 5 2 3" xfId="43965" xr:uid="{0EC206BC-761B-4091-AF22-D5FFCD2FB92B}"/>
    <cellStyle name="Migliaia 17 5 5 3" xfId="36169" xr:uid="{0140C273-0CFA-401B-8ED7-6461A6AAD13C}"/>
    <cellStyle name="Migliaia 17 5 5 4" xfId="41314" xr:uid="{6A118074-354A-4EA1-AD2B-FD5C090D1E6A}"/>
    <cellStyle name="Migliaia 17 5 5 5" xfId="24381" xr:uid="{517F0955-CE3B-4CE3-8B48-2B36C4185769}"/>
    <cellStyle name="Migliaia 17 5 6" xfId="24382" xr:uid="{D903B164-837A-43EB-98AD-A1B4DAFC7817}"/>
    <cellStyle name="Migliaia 17 5 6 2" xfId="33267" xr:uid="{7701231E-E95F-43B4-9453-C8FC714A80DE}"/>
    <cellStyle name="Migliaia 17 5 6 2 2" xfId="38664" xr:uid="{C7A87B69-0033-4D18-A49F-6F528BACEB73}"/>
    <cellStyle name="Migliaia 17 5 6 2 3" xfId="43966" xr:uid="{3C065A06-BA1D-4221-B28C-A1E233DA3F74}"/>
    <cellStyle name="Migliaia 17 5 6 3" xfId="36170" xr:uid="{FB48427D-931E-4811-BD52-87C7FC0E3596}"/>
    <cellStyle name="Migliaia 17 5 6 4" xfId="41315" xr:uid="{251762E0-E6EC-425B-9AE7-604C43B1CAC5}"/>
    <cellStyle name="Migliaia 17 5 7" xfId="24379" xr:uid="{1B8C4579-5D17-45A2-A2AD-0E3CCB2027BF}"/>
    <cellStyle name="Migliaia 17 5 8" xfId="7342" xr:uid="{329D688F-288E-406E-A74E-F76194FD145A}"/>
    <cellStyle name="Migliaia 17 6" xfId="3238" xr:uid="{4DE26CC1-1D91-4FAF-86BA-4722C17A60B7}"/>
    <cellStyle name="Migliaia 17 6 2" xfId="4964" xr:uid="{6C405154-6A46-4C0C-846D-53DBEE1743F2}"/>
    <cellStyle name="Migliaia 17 6 2 2" xfId="9897" xr:uid="{13616DE7-0120-4A81-B8B7-BE2A7DDCCC92}"/>
    <cellStyle name="Migliaia 17 6 2 3" xfId="18672" xr:uid="{BD84A016-6641-4F4F-8CFA-9DAB422A5851}"/>
    <cellStyle name="Migliaia 17 6 2 4" xfId="19981" xr:uid="{0B1C43B3-BF3A-484B-9135-59781EEDEA88}"/>
    <cellStyle name="Migliaia 17 6 2 5" xfId="32317" xr:uid="{E352E30D-51B9-4F80-8CC9-5FBB499C1144}"/>
    <cellStyle name="Migliaia 17 6 2 6" xfId="16135" xr:uid="{AD599E8B-9579-418E-A6DD-F97BE9FF5B78}"/>
    <cellStyle name="Migliaia 17 6 2 7" xfId="8527" xr:uid="{71A8283E-A00E-4B6D-9F8C-3F4C0058A5B2}"/>
    <cellStyle name="Migliaia 17 6 3" xfId="6179" xr:uid="{FCC1FADF-1434-4BAD-9114-E749D59E36E2}"/>
    <cellStyle name="Migliaia 17 6 3 2" xfId="35181" xr:uid="{66FFD332-AEC0-4E13-B040-C7905C831173}"/>
    <cellStyle name="Migliaia 17 6 3 2 2" xfId="40339" xr:uid="{9ECE3CBF-7E0D-4E7B-9DFC-3BC949AF4A69}"/>
    <cellStyle name="Migliaia 17 6 3 2 3" xfId="45641" xr:uid="{48EB361A-DEBD-424D-9FA8-C4A61A1E6850}"/>
    <cellStyle name="Migliaia 17 6 3 3" xfId="37688" xr:uid="{C78F039B-B558-4003-953D-7CE9894A310F}"/>
    <cellStyle name="Migliaia 17 6 3 4" xfId="42990" xr:uid="{BFC91DA7-FFD3-414B-8FCE-66A1E5CC254E}"/>
    <cellStyle name="Migliaia 17 6 3 5" xfId="9660" xr:uid="{2702CC73-7D14-4D9B-B470-C01B880E7728}"/>
    <cellStyle name="Migliaia 17 6 4" xfId="19980" xr:uid="{89BBCF71-3481-4FDF-9429-895FE863CCC6}"/>
    <cellStyle name="Migliaia 17 6 4 2" xfId="38665" xr:uid="{0829433C-29C7-4B91-8B10-4D83FFA031F0}"/>
    <cellStyle name="Migliaia 17 6 4 3" xfId="43967" xr:uid="{356A5BF1-6CC6-42A1-AE5A-F249DC57551D}"/>
    <cellStyle name="Migliaia 17 6 4 4" xfId="33268" xr:uid="{C091C55B-D1ED-4A0C-8DA1-FC9A911B8BA2}"/>
    <cellStyle name="Migliaia 17 6 5" xfId="36171" xr:uid="{7E1B9F28-215F-4E3C-AF85-8A1707A61E1E}"/>
    <cellStyle name="Migliaia 17 6 6" xfId="41316" xr:uid="{94F6852E-E95A-4C2F-B8D5-0A2C33439870}"/>
    <cellStyle name="Migliaia 17 6 7" xfId="16134" xr:uid="{98F142C5-F219-4C20-8C27-032D6CC7ECA7}"/>
    <cellStyle name="Migliaia 17 6 8" xfId="7337" xr:uid="{3B2C4E45-B56B-4F22-821D-BD1014633F73}"/>
    <cellStyle name="Migliaia 17 7" xfId="3239" xr:uid="{CD92DC21-FF47-45E4-A089-FA24C227C465}"/>
    <cellStyle name="Migliaia 17 7 2" xfId="4965" xr:uid="{1E73715D-6A5F-4F26-BD3F-2AE652BF7760}"/>
    <cellStyle name="Migliaia 17 7 2 2" xfId="35182" xr:uid="{AEE52EC8-3137-4D36-82EC-3596D1903DAB}"/>
    <cellStyle name="Migliaia 17 7 2 2 2" xfId="40340" xr:uid="{8BC99FED-FDB5-4ABE-BA3E-223A748BBC5F}"/>
    <cellStyle name="Migliaia 17 7 2 2 3" xfId="45642" xr:uid="{6F5C545D-5E3C-45D5-A78E-40D575E0823F}"/>
    <cellStyle name="Migliaia 17 7 2 3" xfId="37689" xr:uid="{4456D632-B5FC-41AE-83C8-064229BF93B9}"/>
    <cellStyle name="Migliaia 17 7 2 4" xfId="42991" xr:uid="{057DF39F-368F-4066-9854-BB15762D828F}"/>
    <cellStyle name="Migliaia 17 7 2 5" xfId="14202" xr:uid="{BA824A1B-FF85-4BC4-8E40-38C82E089AF4}"/>
    <cellStyle name="Migliaia 17 7 3" xfId="6180" xr:uid="{74626AA6-CBB9-49CA-B849-B6F3A3E695D1}"/>
    <cellStyle name="Migliaia 17 7 3 2" xfId="38666" xr:uid="{ED047387-1284-4889-BFAB-D8161F904455}"/>
    <cellStyle name="Migliaia 17 7 3 3" xfId="43968" xr:uid="{0EAD3359-FE3B-46CC-80C9-FD30DE76499F}"/>
    <cellStyle name="Migliaia 17 7 3 4" xfId="33269" xr:uid="{D9B5F33A-5CA5-4D5E-974D-F757D581A991}"/>
    <cellStyle name="Migliaia 17 7 3 5" xfId="19982" xr:uid="{BC2727CF-ADD3-4B46-BE7C-46DE8D8048E4}"/>
    <cellStyle name="Migliaia 17 7 4" xfId="36172" xr:uid="{33082F20-D815-4811-A831-FEE0876F3F35}"/>
    <cellStyle name="Migliaia 17 7 5" xfId="41317" xr:uid="{20B8E61A-19F8-41DA-8F11-701CC3F61FAC}"/>
    <cellStyle name="Migliaia 17 7 6" xfId="16136" xr:uid="{3748E98A-EBF4-40B7-92EF-8EA85B9CCE05}"/>
    <cellStyle name="Migliaia 17 7 7" xfId="8264" xr:uid="{586B16B4-BC22-461A-B02A-0D9AD73BAFAB}"/>
    <cellStyle name="Migliaia 17 8" xfId="3240" xr:uid="{27BA129C-EE2A-4CE8-B3CC-77F0996D1203}"/>
    <cellStyle name="Migliaia 17 8 2" xfId="4966" xr:uid="{C157ADDC-F69A-4A90-8A04-7CB2043C705F}"/>
    <cellStyle name="Migliaia 17 8 2 2" xfId="35183" xr:uid="{B4E32680-EF84-4F61-9529-D2822E37AEE7}"/>
    <cellStyle name="Migliaia 17 8 2 2 2" xfId="40341" xr:uid="{482C7D39-452B-42EE-ABC9-7E1963DF6D93}"/>
    <cellStyle name="Migliaia 17 8 2 2 3" xfId="45643" xr:uid="{C8F069FF-58A9-4EF5-AD1F-9940947E354D}"/>
    <cellStyle name="Migliaia 17 8 2 3" xfId="37690" xr:uid="{D7B55900-88A5-43EC-8500-40432BB04BFC}"/>
    <cellStyle name="Migliaia 17 8 2 4" xfId="42992" xr:uid="{2A9A5B11-B095-4691-919B-839F3716E2E7}"/>
    <cellStyle name="Migliaia 17 8 2 5" xfId="13905" xr:uid="{82612CEE-5F50-4C31-B0B5-69D2D6C2142C}"/>
    <cellStyle name="Migliaia 17 8 3" xfId="6181" xr:uid="{2750B2C4-F597-45FF-84B2-54122E95EA12}"/>
    <cellStyle name="Migliaia 17 8 3 2" xfId="38667" xr:uid="{6AF14182-B629-457C-BE50-1699C64B764B}"/>
    <cellStyle name="Migliaia 17 8 3 3" xfId="43969" xr:uid="{09232286-1F50-4FD9-909C-D9816013EF09}"/>
    <cellStyle name="Migliaia 17 8 3 4" xfId="33270" xr:uid="{FD4F8C47-895A-4751-8802-C59B24559377}"/>
    <cellStyle name="Migliaia 17 8 3 5" xfId="19983" xr:uid="{8A5164E7-DDAF-49CB-BA50-6BC830B40941}"/>
    <cellStyle name="Migliaia 17 8 4" xfId="36173" xr:uid="{5B654AF7-84C0-4735-BC0C-55527C08E09E}"/>
    <cellStyle name="Migliaia 17 8 5" xfId="41318" xr:uid="{BFEED062-FC46-4F4A-BFC3-F20AEC9885D5}"/>
    <cellStyle name="Migliaia 17 8 6" xfId="16137" xr:uid="{A7E4A316-A9C8-43DF-860A-9C5EACFD2591}"/>
    <cellStyle name="Migliaia 17 8 7" xfId="7851" xr:uid="{37F6C097-BDE2-423D-9859-1D3A97971E8C}"/>
    <cellStyle name="Migliaia 17 9" xfId="4951" xr:uid="{3B01EF58-5995-47A2-BF0B-D0E7DDEC5F71}"/>
    <cellStyle name="Migliaia 17 9 2" xfId="33271" xr:uid="{CD0FCFD3-2726-4D00-B57C-F273560EFABD}"/>
    <cellStyle name="Migliaia 17 9 2 2" xfId="38668" xr:uid="{3EFC08D2-4934-4EE0-8177-C19FF1A85198}"/>
    <cellStyle name="Migliaia 17 9 2 3" xfId="43970" xr:uid="{7FC1C557-3E5A-4C36-8AF4-AC4991F5F12A}"/>
    <cellStyle name="Migliaia 17 9 3" xfId="36174" xr:uid="{BEEA5689-804E-4236-9B31-A8E951C5CA72}"/>
    <cellStyle name="Migliaia 17 9 4" xfId="41319" xr:uid="{146E63DC-AB5E-434C-9F4E-4EF7A42AD6B0}"/>
    <cellStyle name="Migliaia 17 9 5" xfId="17151" xr:uid="{5059C4F0-C006-4BC5-A3AF-5C2020314C80}"/>
    <cellStyle name="Migliaia 18" xfId="333" xr:uid="{00000000-0005-0000-0000-000009030000}"/>
    <cellStyle name="Migliaia 18 10" xfId="6182" xr:uid="{36F4397E-53D2-4029-A735-5FA42F1809EE}"/>
    <cellStyle name="Migliaia 18 10 2" xfId="38669" xr:uid="{07352BD3-E7E3-4F6D-8308-8EBB8A8D699D}"/>
    <cellStyle name="Migliaia 18 10 3" xfId="43971" xr:uid="{5E1A0CA7-251A-4211-9311-382057B9A08A}"/>
    <cellStyle name="Migliaia 18 10 4" xfId="33272" xr:uid="{C4C5BEA9-B9D6-43BB-9A33-2421AD7BDF1E}"/>
    <cellStyle name="Migliaia 18 10 5" xfId="19984" xr:uid="{43AB8E17-5C40-4BB5-AC0A-F76D1C3D272C}"/>
    <cellStyle name="Migliaia 18 11" xfId="3241" xr:uid="{E1980C94-BECB-4725-A3DC-DADD294D717B}"/>
    <cellStyle name="Migliaia 18 11 2" xfId="36175" xr:uid="{43FEA7D9-6496-420B-89DC-4C9340DA5BFD}"/>
    <cellStyle name="Migliaia 18 12" xfId="41320" xr:uid="{E51F50AA-7062-4BA8-A2CE-4644DB813F76}"/>
    <cellStyle name="Migliaia 18 13" xfId="7068" xr:uid="{9D67F6F4-07B7-4B62-9CBB-C5908F011424}"/>
    <cellStyle name="Migliaia 18 2" xfId="334" xr:uid="{00000000-0005-0000-0000-00000A030000}"/>
    <cellStyle name="Migliaia 18 2 2" xfId="1698" xr:uid="{00000000-0005-0000-0000-00000B030000}"/>
    <cellStyle name="Migliaia 18 2 2 2" xfId="4969" xr:uid="{A71E8641-E7CA-411E-9CA4-8900CA4196B8}"/>
    <cellStyle name="Migliaia 18 2 2 2 2" xfId="14371" xr:uid="{DE48CE36-9B29-44F1-A600-1247A1198329}"/>
    <cellStyle name="Migliaia 18 2 2 2 2 2" xfId="38670" xr:uid="{CD6B4C17-B35D-4489-8AA0-6A04522BB076}"/>
    <cellStyle name="Migliaia 18 2 2 2 2 3" xfId="43972" xr:uid="{BCD5543E-6753-440B-BDCF-C29FE7210C4D}"/>
    <cellStyle name="Migliaia 18 2 2 2 3" xfId="18384" xr:uid="{16AF4FCB-0E37-461F-B436-2F5EA80CCAF6}"/>
    <cellStyle name="Migliaia 18 2 2 2 4" xfId="19987" xr:uid="{59DC6ACE-A830-418E-A142-FF4343E17A73}"/>
    <cellStyle name="Migliaia 18 2 2 2 4 2" xfId="41321" xr:uid="{F483A4F8-9A37-4C15-8D14-3941020165F4}"/>
    <cellStyle name="Migliaia 18 2 2 2 5" xfId="16138" xr:uid="{546D2DE4-425B-4C8B-AF2C-F128D9146622}"/>
    <cellStyle name="Migliaia 18 2 2 2 6" xfId="8534" xr:uid="{4C018A12-CE66-46E3-BC6C-4EDB8D9AC4FF}"/>
    <cellStyle name="Migliaia 18 2 2 3" xfId="6184" xr:uid="{AA3AE2D2-A546-476A-A26F-908A55AEBCBE}"/>
    <cellStyle name="Migliaia 18 2 2 3 2" xfId="35184" xr:uid="{FD7B3B73-BE6D-4605-BB60-F41C1FE743D6}"/>
    <cellStyle name="Migliaia 18 2 2 3 2 2" xfId="40342" xr:uid="{D4807848-7558-4D92-AB56-37DAE7160F04}"/>
    <cellStyle name="Migliaia 18 2 2 3 2 3" xfId="45644" xr:uid="{C791E1B2-EDE9-4796-95CE-A384DBFF66BB}"/>
    <cellStyle name="Migliaia 18 2 2 3 3" xfId="37691" xr:uid="{C1E63225-C040-4D4B-8B46-2A1E8E083F0B}"/>
    <cellStyle name="Migliaia 18 2 2 3 4" xfId="42993" xr:uid="{026B24FC-90A4-4087-8B7D-FDD556C50104}"/>
    <cellStyle name="Migliaia 18 2 2 3 5" xfId="11600" xr:uid="{27C487E6-8FB6-4F4F-9641-0B1A8B21A468}"/>
    <cellStyle name="Migliaia 18 2 2 4" xfId="3243" xr:uid="{16468B8A-E153-47DF-AACF-DACAE5BF140D}"/>
    <cellStyle name="Migliaia 18 2 2 4 2" xfId="21410" xr:uid="{9DE25AF1-85A8-4927-B44A-62920A4B84BE}"/>
    <cellStyle name="Migliaia 18 2 2 4 3" xfId="24248" xr:uid="{CE0B43BC-64B2-40AE-8833-AA0E684602BC}"/>
    <cellStyle name="Migliaia 18 2 2 4 4" xfId="50425" xr:uid="{1DAA2822-418D-4210-9542-B06A2C7DB08E}"/>
    <cellStyle name="Migliaia 18 2 2 4 5" xfId="53441" xr:uid="{1AA3F0C8-5878-40CC-AB29-57FE937860A5}"/>
    <cellStyle name="Migliaia 18 2 2 4 6" xfId="10775" xr:uid="{D472331D-D401-4EC2-B7C5-CFC48C48890C}"/>
    <cellStyle name="Migliaia 18 2 2 5" xfId="19986" xr:uid="{F226DDC8-352C-40E9-8CF2-98FC75C2661B}"/>
    <cellStyle name="Migliaia 18 2 2 6" xfId="24384" xr:uid="{AD3E127E-4D72-4F9E-8EF4-6C2CBC3F6E7E}"/>
    <cellStyle name="Migliaia 18 2 2 7" xfId="7344" xr:uid="{D0F57906-1151-4CD7-8105-B93AF51BA4F2}"/>
    <cellStyle name="Migliaia 18 2 3" xfId="3244" xr:uid="{259C5CCE-5155-401E-A417-4339BBD49EA4}"/>
    <cellStyle name="Migliaia 18 2 3 2" xfId="4970" xr:uid="{45CF8233-509F-4388-87FE-F73AB72A4433}"/>
    <cellStyle name="Migliaia 18 2 3 2 2" xfId="35185" xr:uid="{47B4A5FD-1CC3-46FC-8EDD-42683FEAB7CE}"/>
    <cellStyle name="Migliaia 18 2 3 2 2 2" xfId="40343" xr:uid="{340E7D2D-BC75-4506-849A-E5374903BFD8}"/>
    <cellStyle name="Migliaia 18 2 3 2 2 3" xfId="45645" xr:uid="{D40C5D95-8C65-48B5-AE26-A0976E642E5A}"/>
    <cellStyle name="Migliaia 18 2 3 2 3" xfId="37692" xr:uid="{96CD9757-4868-43C7-9E75-EE6198A70BBB}"/>
    <cellStyle name="Migliaia 18 2 3 2 4" xfId="42994" xr:uid="{7EF79479-AD34-4EEF-A083-0131ED96F6EF}"/>
    <cellStyle name="Migliaia 18 2 3 2 5" xfId="14206" xr:uid="{AAE879C7-4802-4154-8E45-9CE901BEEFF1}"/>
    <cellStyle name="Migliaia 18 2 3 3" xfId="6185" xr:uid="{7E1CBE8C-3EEB-4485-B3F2-3BEA2C707E79}"/>
    <cellStyle name="Migliaia 18 2 3 3 2" xfId="38671" xr:uid="{F6F41B03-B2CE-48ED-ABB5-2E22ABB5058C}"/>
    <cellStyle name="Migliaia 18 2 3 3 3" xfId="43973" xr:uid="{9476F0B3-7D0C-4602-8C4C-C6CD527CA109}"/>
    <cellStyle name="Migliaia 18 2 3 3 4" xfId="33273" xr:uid="{FA25E04D-1028-44F1-BF7D-AC204BE83DA9}"/>
    <cellStyle name="Migliaia 18 2 3 3 5" xfId="19988" xr:uid="{275E030A-6CBC-42DA-BF31-B93924E60717}"/>
    <cellStyle name="Migliaia 18 2 3 4" xfId="36176" xr:uid="{F8F9CF8B-335F-4FBE-9623-3EC98452652C}"/>
    <cellStyle name="Migliaia 18 2 3 5" xfId="41322" xr:uid="{6DED6DF9-3E88-45D6-AD3D-2F8FBA710104}"/>
    <cellStyle name="Migliaia 18 2 3 6" xfId="16139" xr:uid="{7A295940-62E0-46BD-8F69-9CB46B16D161}"/>
    <cellStyle name="Migliaia 18 2 3 7" xfId="8268" xr:uid="{1851E33F-20BB-4230-AEF4-AD45DFA73E69}"/>
    <cellStyle name="Migliaia 18 2 4" xfId="4968" xr:uid="{1404A246-297D-4A47-9EE6-B70F5C069C22}"/>
    <cellStyle name="Migliaia 18 2 4 2" xfId="13909" xr:uid="{9D1592C4-39A5-429C-A867-CE21C1E6771E}"/>
    <cellStyle name="Migliaia 18 2 4 2 2" xfId="38672" xr:uid="{4CEB250E-A637-4244-AD3C-90D1DD631F0B}"/>
    <cellStyle name="Migliaia 18 2 4 2 3" xfId="43974" xr:uid="{06FEFDF8-F12E-4C31-98D2-596901BA88F4}"/>
    <cellStyle name="Migliaia 18 2 4 3" xfId="18285" xr:uid="{444B1BE0-F1DF-4E55-9FC1-9E0A91A903C7}"/>
    <cellStyle name="Migliaia 18 2 4 4" xfId="19989" xr:uid="{61B3D180-7622-4A50-8597-A9AEC53CD2B0}"/>
    <cellStyle name="Migliaia 18 2 4 4 2" xfId="41323" xr:uid="{D534000A-5316-4143-A42E-E0A26EBE001C}"/>
    <cellStyle name="Migliaia 18 2 4 5" xfId="16140" xr:uid="{CC1A21C6-21B1-43BC-89C7-A5F8DDB6BE85}"/>
    <cellStyle name="Migliaia 18 2 4 6" xfId="7856" xr:uid="{33D009F8-756B-4BBF-B6E7-84454E92D1F8}"/>
    <cellStyle name="Migliaia 18 2 5" xfId="6183" xr:uid="{21B9BB6A-2983-4B41-9CBE-72C15599D672}"/>
    <cellStyle name="Migliaia 18 2 5 2" xfId="33274" xr:uid="{7811234A-85EA-413F-830F-7FE04823AFF3}"/>
    <cellStyle name="Migliaia 18 2 5 2 2" xfId="38673" xr:uid="{33C1B2A2-F0E2-454D-8877-8124D5003F0A}"/>
    <cellStyle name="Migliaia 18 2 5 2 3" xfId="43975" xr:uid="{F5DF6B65-2E4A-4ECE-B157-A5DE4C4774C7}"/>
    <cellStyle name="Migliaia 18 2 5 3" xfId="36177" xr:uid="{38586A8B-4446-4150-87A1-29C9234F40DE}"/>
    <cellStyle name="Migliaia 18 2 5 4" xfId="41324" xr:uid="{69C321A6-200E-4D49-9BFA-13364EE119B0}"/>
    <cellStyle name="Migliaia 18 2 5 5" xfId="13111" xr:uid="{65C6AC8D-43C7-4D29-BFA3-E78572D12FE3}"/>
    <cellStyle name="Migliaia 18 2 6" xfId="3242" xr:uid="{5F30935A-B8D3-4E40-A511-758B78429BE0}"/>
    <cellStyle name="Migliaia 18 2 6 2" xfId="33275" xr:uid="{3FDFF647-5CDF-4486-A284-1E9819A79F23}"/>
    <cellStyle name="Migliaia 18 2 6 2 2" xfId="38674" xr:uid="{533D29BD-1542-4D94-BCE6-673B20C3588C}"/>
    <cellStyle name="Migliaia 18 2 6 2 3" xfId="43976" xr:uid="{8CFAABCE-2AC8-4A66-80D3-7B97FB0D3B0C}"/>
    <cellStyle name="Migliaia 18 2 6 3" xfId="36178" xr:uid="{96514600-A07C-468A-B07A-A3432F90DC45}"/>
    <cellStyle name="Migliaia 18 2 6 4" xfId="41325" xr:uid="{2E031840-2C54-44E3-9395-44B95DB2855B}"/>
    <cellStyle name="Migliaia 18 2 6 5" xfId="24385" xr:uid="{48535E4E-ADF5-45A5-9215-823AF5E58C54}"/>
    <cellStyle name="Migliaia 18 2 6 6" xfId="19985" xr:uid="{0F3F889A-B59E-40D8-ACAF-2C512B24B109}"/>
    <cellStyle name="Migliaia 18 2 7" xfId="24383" xr:uid="{09123246-14D1-4491-8741-3356B6791FF3}"/>
    <cellStyle name="Migliaia 18 2 8" xfId="7069" xr:uid="{2E9F8BC5-1E76-4532-B49D-0BEDC3BFD8A8}"/>
    <cellStyle name="Migliaia 18 3" xfId="335" xr:uid="{00000000-0005-0000-0000-00000C030000}"/>
    <cellStyle name="Migliaia 18 3 10" xfId="24386" xr:uid="{681A1F59-0D97-4866-B813-8B111DF65E7D}"/>
    <cellStyle name="Migliaia 18 3 11" xfId="16141" xr:uid="{3C9790FB-596F-404B-B392-68F23180FF02}"/>
    <cellStyle name="Migliaia 18 3 12" xfId="7070" xr:uid="{12085CDC-B5E6-49DC-999F-C9B778B3AF46}"/>
    <cellStyle name="Migliaia 18 3 2" xfId="336" xr:uid="{00000000-0005-0000-0000-00000D030000}"/>
    <cellStyle name="Migliaia 18 3 2 2" xfId="1699" xr:uid="{00000000-0005-0000-0000-00000E030000}"/>
    <cellStyle name="Migliaia 18 3 2 2 2" xfId="4973" xr:uid="{55FF77B5-B280-4A7F-B6F9-FCC79EF42BBD}"/>
    <cellStyle name="Migliaia 18 3 2 2 2 2" xfId="18385" xr:uid="{591CF16B-EF9F-41F4-BB1C-B0473CB05228}"/>
    <cellStyle name="Migliaia 18 3 2 2 2 2 2" xfId="21846" xr:uid="{89702E85-AD43-488D-B828-8276169C9C28}"/>
    <cellStyle name="Migliaia 18 3 2 2 2 2 2 2" xfId="38675" xr:uid="{A7A949B4-3F1D-4480-AE71-DB07C3F2D2C9}"/>
    <cellStyle name="Migliaia 18 3 2 2 2 2 3" xfId="43977" xr:uid="{D37C0711-C9C5-4C30-9AFC-A50A72A55B1E}"/>
    <cellStyle name="Migliaia 18 3 2 2 2 2 4" xfId="33276" xr:uid="{53185B97-9E21-49D8-9BF4-F57CEE3A96BE}"/>
    <cellStyle name="Migliaia 18 3 2 2 2 3" xfId="36179" xr:uid="{E7A5C9A8-DC79-4637-B6CA-D4C9032AB308}"/>
    <cellStyle name="Migliaia 18 3 2 2 2 4" xfId="41326" xr:uid="{BB2718B4-B866-4251-884F-5B94E399387F}"/>
    <cellStyle name="Migliaia 18 3 2 2 2 5" xfId="47610" xr:uid="{8F19EE86-63C3-483D-8C91-4EC0FC110E28}"/>
    <cellStyle name="Migliaia 18 3 2 2 2 6" xfId="50874" xr:uid="{63E8AF17-E313-49C4-8591-8032AE7D7517}"/>
    <cellStyle name="Migliaia 18 3 2 2 2 7" xfId="53890" xr:uid="{CE9360B0-118E-4F84-99BE-D07A50D7EB90}"/>
    <cellStyle name="Migliaia 18 3 2 2 2 8" xfId="17647" xr:uid="{4DB67D3F-E1F4-4CAE-BE58-E1BFCDB8B171}"/>
    <cellStyle name="Migliaia 18 3 2 2 2 9" xfId="11919" xr:uid="{3360417C-6ED2-4932-9C2F-71143127BE4B}"/>
    <cellStyle name="Migliaia 18 3 2 2 3" xfId="6188" xr:uid="{0DA875BA-3D75-4924-94FB-B39D7544A924}"/>
    <cellStyle name="Migliaia 18 3 2 2 3 2" xfId="11688" xr:uid="{EA8A5357-FC9E-49DD-A248-79E6718EF1FB}"/>
    <cellStyle name="Migliaia 18 3 2 2 4" xfId="3247" xr:uid="{A405EDCB-D416-4927-8743-A9D12C6D3421}"/>
    <cellStyle name="Migliaia 18 3 2 2 4 2" xfId="21411" xr:uid="{C3A99BA2-50BC-4D89-BABB-BC36D303829C}"/>
    <cellStyle name="Migliaia 18 3 2 2 4 3" xfId="46217" xr:uid="{434EC7BF-0D99-40B0-9B8C-E6B713F01C01}"/>
    <cellStyle name="Migliaia 18 3 2 2 4 4" xfId="50426" xr:uid="{AF9EB816-B322-4119-B3FD-2ADF4F46C9C4}"/>
    <cellStyle name="Migliaia 18 3 2 2 4 5" xfId="53442" xr:uid="{B23FA60C-C5FC-4FAA-B988-600781194CE2}"/>
    <cellStyle name="Migliaia 18 3 2 2 4 6" xfId="10776" xr:uid="{447F5304-3893-47E6-8E03-58A3C0982D40}"/>
    <cellStyle name="Migliaia 18 3 2 2 5" xfId="19992" xr:uid="{A151D3A8-2221-4DA2-9DD1-CCF9D77A659D}"/>
    <cellStyle name="Migliaia 18 3 2 2 6" xfId="24388" xr:uid="{4651FDEF-E554-4C68-8113-FAD8273C008C}"/>
    <cellStyle name="Migliaia 18 3 2 2 7" xfId="8536" xr:uid="{7BF2E9AA-0A88-45E5-A7D3-73FDF494C545}"/>
    <cellStyle name="Migliaia 18 3 2 3" xfId="4972" xr:uid="{7ED9093F-318D-4552-B1EC-C780F0CAE4CC}"/>
    <cellStyle name="Migliaia 18 3 2 3 2" xfId="12228" xr:uid="{13D97EB3-F524-4DD4-A133-86E6914EBB45}"/>
    <cellStyle name="Migliaia 18 3 2 3 2 2" xfId="38676" xr:uid="{A3F63A6B-8348-4879-B2F9-E054984FD240}"/>
    <cellStyle name="Migliaia 18 3 2 3 2 3" xfId="43978" xr:uid="{3EAE37C9-1107-420B-BF08-8A93F4C3223D}"/>
    <cellStyle name="Migliaia 18 3 2 3 2 4" xfId="33277" xr:uid="{7A710BFE-AA98-4E5C-B140-2136FA416D6F}"/>
    <cellStyle name="Migliaia 18 3 2 3 3" xfId="11920" xr:uid="{D9217884-147D-488B-A8EC-21518CFF7B91}"/>
    <cellStyle name="Migliaia 18 3 2 3 4" xfId="19993" xr:uid="{027C3AE5-62B0-4F1B-92F7-714B4A827443}"/>
    <cellStyle name="Migliaia 18 3 2 3 4 2" xfId="41327" xr:uid="{6E18E3D0-FEBB-4067-9982-7AF25555F2F8}"/>
    <cellStyle name="Migliaia 18 3 2 3 5" xfId="16142" xr:uid="{7883E0A3-AE8D-438B-A8BC-41FE043306A3}"/>
    <cellStyle name="Migliaia 18 3 2 3 6" xfId="7858" xr:uid="{85B8C7F7-1FD5-4624-9112-721C24958D4D}"/>
    <cellStyle name="Migliaia 18 3 2 4" xfId="6187" xr:uid="{B6FD2D44-EFF2-4E51-8929-DFC10D1ED45E}"/>
    <cellStyle name="Migliaia 18 3 2 4 2" xfId="18066" xr:uid="{4300E6EA-2F1D-4413-A08E-C742B2B51079}"/>
    <cellStyle name="Migliaia 18 3 2 4 2 2" xfId="38677" xr:uid="{8CAB0851-29FB-453A-9EF0-87C97CB522E5}"/>
    <cellStyle name="Migliaia 18 3 2 4 2 3" xfId="43979" xr:uid="{11198D05-EE15-4C1E-A96A-7A0BB4772296}"/>
    <cellStyle name="Migliaia 18 3 2 4 3" xfId="36180" xr:uid="{C611A11B-B61B-4A84-8978-CCA75C070B07}"/>
    <cellStyle name="Migliaia 18 3 2 4 4" xfId="41328" xr:uid="{1217C062-B334-47D5-8FC9-5B9EE749E553}"/>
    <cellStyle name="Migliaia 18 3 2 4 5" xfId="17154" xr:uid="{D1F35E32-64C7-4182-BA4D-9CB013708E0F}"/>
    <cellStyle name="Migliaia 18 3 2 4 6" xfId="11272" xr:uid="{53039961-4C18-4373-9268-924408EA620F}"/>
    <cellStyle name="Migliaia 18 3 2 5" xfId="3246" xr:uid="{FC030BE4-6931-41B1-A709-FC9C4F953837}"/>
    <cellStyle name="Migliaia 18 3 2 5 2" xfId="33278" xr:uid="{56A1F0CC-CA6A-41BB-887B-82C3D13B5BBC}"/>
    <cellStyle name="Migliaia 18 3 2 5 2 2" xfId="38678" xr:uid="{710CFF4D-40D7-4369-8E99-0A43EDBB4BFD}"/>
    <cellStyle name="Migliaia 18 3 2 5 2 3" xfId="43980" xr:uid="{EDCB2FAC-0CB8-4985-A53C-9C22B87C88B5}"/>
    <cellStyle name="Migliaia 18 3 2 5 3" xfId="36181" xr:uid="{A55B125F-4646-4697-9630-CCD21C3C95DE}"/>
    <cellStyle name="Migliaia 18 3 2 5 4" xfId="41329" xr:uid="{5FDAF3E5-C5D0-4B79-8656-DFEF09125621}"/>
    <cellStyle name="Migliaia 18 3 2 5 5" xfId="17399" xr:uid="{DFFD9AEF-5946-4727-8058-3DD7439F80FF}"/>
    <cellStyle name="Migliaia 18 3 2 6" xfId="19991" xr:uid="{76D4E2AE-F182-4EA3-9551-DAB851954CCC}"/>
    <cellStyle name="Migliaia 18 3 2 6 2" xfId="33279" xr:uid="{9B799969-CBE9-433F-AE44-CA4BC61DB0BE}"/>
    <cellStyle name="Migliaia 18 3 2 6 2 2" xfId="38679" xr:uid="{434FE026-4CEA-4DF4-9AE1-52BD336E855A}"/>
    <cellStyle name="Migliaia 18 3 2 6 2 3" xfId="43981" xr:uid="{B0450F28-F000-49D5-92F7-1728E9D847FB}"/>
    <cellStyle name="Migliaia 18 3 2 6 3" xfId="36182" xr:uid="{A884A10D-6B47-4A3D-A226-12BD576A480A}"/>
    <cellStyle name="Migliaia 18 3 2 6 4" xfId="41330" xr:uid="{D5648A08-58BD-46AE-B4D4-E978604D71FD}"/>
    <cellStyle name="Migliaia 18 3 2 6 5" xfId="24389" xr:uid="{2EAAC100-561E-4F2B-8E0D-2FFDEA3283B5}"/>
    <cellStyle name="Migliaia 18 3 2 7" xfId="24387" xr:uid="{C6B1DB9C-3512-4C0B-9D21-D284D050D38A}"/>
    <cellStyle name="Migliaia 18 3 2 8" xfId="7346" xr:uid="{A1629FEF-98C8-492F-9432-07D41357A911}"/>
    <cellStyle name="Migliaia 18 3 3" xfId="3248" xr:uid="{430B9F98-81F4-4DE4-9E7B-CC42C9FA1FB0}"/>
    <cellStyle name="Migliaia 18 3 3 10" xfId="7345" xr:uid="{5C48C6CB-03C6-4540-87D6-2053E4996974}"/>
    <cellStyle name="Migliaia 18 3 3 2" xfId="4974" xr:uid="{156C09C0-292F-4410-80BE-6124317C1B1A}"/>
    <cellStyle name="Migliaia 18 3 3 2 2" xfId="9900" xr:uid="{91BCD279-3937-46BD-8416-082888BCB9AE}"/>
    <cellStyle name="Migliaia 18 3 3 2 2 2" xfId="38681" xr:uid="{DBE520A1-2B12-40C6-994D-EAA1C3241550}"/>
    <cellStyle name="Migliaia 18 3 3 2 2 3" xfId="43983" xr:uid="{C85E1CAA-6091-4212-9EF6-0B36DE896FEA}"/>
    <cellStyle name="Migliaia 18 3 3 2 3" xfId="18180" xr:uid="{C27DC687-03DB-431E-9379-3EF588A7D317}"/>
    <cellStyle name="Migliaia 18 3 3 2 4" xfId="19995" xr:uid="{EDE35325-1F09-467D-807D-47145F5EAEF2}"/>
    <cellStyle name="Migliaia 18 3 3 2 4 2" xfId="41332" xr:uid="{C2AF6FC2-D245-48D3-BC12-D782EB5CD9AD}"/>
    <cellStyle name="Migliaia 18 3 3 2 5" xfId="16144" xr:uid="{0F50E41C-AA2D-4D80-BDE3-6059D6591260}"/>
    <cellStyle name="Migliaia 18 3 3 2 6" xfId="8535" xr:uid="{9E482B97-BA7F-43B3-B64E-5A93E568DC3A}"/>
    <cellStyle name="Migliaia 18 3 3 3" xfId="6189" xr:uid="{7B963DDB-A511-4C50-8C4D-F52EA317543F}"/>
    <cellStyle name="Migliaia 18 3 3 3 2" xfId="33281" xr:uid="{F8F5265C-7DA8-4CE7-9FF9-7F19D20CC46E}"/>
    <cellStyle name="Migliaia 18 3 3 3 2 2" xfId="38682" xr:uid="{B1CCBD7C-B29D-4E68-AF80-E238D758B1D4}"/>
    <cellStyle name="Migliaia 18 3 3 3 2 3" xfId="43984" xr:uid="{F07DE647-91A1-4A65-A02A-2899186D641C}"/>
    <cellStyle name="Migliaia 18 3 3 3 3" xfId="36184" xr:uid="{A46B7CFE-0336-421A-8825-C9A48F1FB953}"/>
    <cellStyle name="Migliaia 18 3 3 3 4" xfId="41333" xr:uid="{DE337EE4-B085-425F-93BB-48C4D29E12EE}"/>
    <cellStyle name="Migliaia 18 3 3 3 5" xfId="9663" xr:uid="{68D9AF52-E7DD-44E5-9591-B24482213A96}"/>
    <cellStyle name="Migliaia 18 3 3 4" xfId="19994" xr:uid="{37FFB616-62DC-4AB2-A30A-56B4CC14DB94}"/>
    <cellStyle name="Migliaia 18 3 3 4 2" xfId="33282" xr:uid="{DE1FAB86-A99E-4926-AA4C-EDCF8A529EFB}"/>
    <cellStyle name="Migliaia 18 3 3 4 2 2" xfId="38683" xr:uid="{AB0A081A-4B92-4CE8-834F-CF68E3E0F28B}"/>
    <cellStyle name="Migliaia 18 3 3 4 2 3" xfId="43985" xr:uid="{D042C98A-13B3-4386-9A3A-CE538118A025}"/>
    <cellStyle name="Migliaia 18 3 3 4 3" xfId="36185" xr:uid="{9E670F0A-1425-45A4-A0D9-9550663FB2A8}"/>
    <cellStyle name="Migliaia 18 3 3 4 4" xfId="41334" xr:uid="{8079C364-21DE-43E7-8F88-CF2458C5E6F0}"/>
    <cellStyle name="Migliaia 18 3 3 4 5" xfId="24390" xr:uid="{84AD111A-149D-4D22-9B2C-5767480BB02F}"/>
    <cellStyle name="Migliaia 18 3 3 5" xfId="24391" xr:uid="{4951700B-40C2-4493-B584-0AD38B67172D}"/>
    <cellStyle name="Migliaia 18 3 3 5 2" xfId="33283" xr:uid="{0EA71F77-067F-4D77-83A4-41059CBF6441}"/>
    <cellStyle name="Migliaia 18 3 3 5 2 2" xfId="38684" xr:uid="{E1C8B9D9-AFFE-4689-B032-630E32DEADEF}"/>
    <cellStyle name="Migliaia 18 3 3 5 2 3" xfId="43986" xr:uid="{20BEE44F-42C5-4B10-A1ED-0D8EA7B41D68}"/>
    <cellStyle name="Migliaia 18 3 3 5 3" xfId="36186" xr:uid="{533E9D5B-66A7-4A28-B92D-71E2FA2B57AF}"/>
    <cellStyle name="Migliaia 18 3 3 5 4" xfId="41335" xr:uid="{3B7F4615-9969-4F10-95E1-D2D0D6A976CC}"/>
    <cellStyle name="Migliaia 18 3 3 6" xfId="33280" xr:uid="{2877E676-48DE-43B5-B7B4-F995349CF5AC}"/>
    <cellStyle name="Migliaia 18 3 3 6 2" xfId="38680" xr:uid="{38E98E1B-65FF-41A2-B067-05862A14C40B}"/>
    <cellStyle name="Migliaia 18 3 3 6 3" xfId="43982" xr:uid="{AF05C728-3C87-45D0-9383-64B1463B7A39}"/>
    <cellStyle name="Migliaia 18 3 3 7" xfId="36183" xr:uid="{2BF6BA0E-9B7B-410F-B281-F901EB750583}"/>
    <cellStyle name="Migliaia 18 3 3 8" xfId="41331" xr:uid="{3297A982-DC62-4EF5-B04E-5DB455225BD9}"/>
    <cellStyle name="Migliaia 18 3 3 9" xfId="16143" xr:uid="{7B37D553-6F14-41C4-B161-1A3C144BD800}"/>
    <cellStyle name="Migliaia 18 3 4" xfId="3249" xr:uid="{F5F6F761-2D0E-4D86-8F87-37956FAF3AA6}"/>
    <cellStyle name="Migliaia 18 3 4 2" xfId="4975" xr:uid="{156AFBDD-1C9B-4CE9-B4D4-E8A357EDF98D}"/>
    <cellStyle name="Migliaia 18 3 4 2 2" xfId="14432" xr:uid="{D0DE9AD0-CC1E-4C61-8EE0-CB67E69B6909}"/>
    <cellStyle name="Migliaia 18 3 4 2 3" xfId="18044" xr:uid="{5007053C-9401-4741-86AC-E95E9BAA32F1}"/>
    <cellStyle name="Migliaia 18 3 4 2 4" xfId="19997" xr:uid="{79DCA7D9-CF90-4C8B-AEAD-B3EDE5CA40F9}"/>
    <cellStyle name="Migliaia 18 3 4 2 5" xfId="32318" xr:uid="{0A2B3F01-919A-45F0-B1B8-80B69AB2E964}"/>
    <cellStyle name="Migliaia 18 3 4 2 6" xfId="16146" xr:uid="{2A371200-7ED6-453A-9B7B-A28D548AF661}"/>
    <cellStyle name="Migliaia 18 3 4 2 7" xfId="8855" xr:uid="{86B6569F-1F56-48E0-8621-68F5459948D5}"/>
    <cellStyle name="Migliaia 18 3 4 3" xfId="6190" xr:uid="{260D90DD-FD82-4E5D-83EA-C12406F7F007}"/>
    <cellStyle name="Migliaia 18 3 4 3 2" xfId="35186" xr:uid="{FC92268E-73FF-4A4F-AF5A-B63352BDF687}"/>
    <cellStyle name="Migliaia 18 3 4 3 2 2" xfId="40344" xr:uid="{A1C2D0A8-802F-4FAB-B8E1-900FE9F0A9EF}"/>
    <cellStyle name="Migliaia 18 3 4 3 2 3" xfId="45646" xr:uid="{AAB7558C-8A2C-4593-B3C7-8D8916493ED9}"/>
    <cellStyle name="Migliaia 18 3 4 3 3" xfId="37693" xr:uid="{2165DD4A-83BE-4A2E-A85E-ABDB7A0E2898}"/>
    <cellStyle name="Migliaia 18 3 4 3 4" xfId="42995" xr:uid="{0EC0C5B5-8B8A-4CEB-823A-EBA072679CB0}"/>
    <cellStyle name="Migliaia 18 3 4 3 5" xfId="13680" xr:uid="{4DA67D68-20E5-4C19-83A4-30D6AE21CDE6}"/>
    <cellStyle name="Migliaia 18 3 4 4" xfId="19996" xr:uid="{A77675EF-4DB9-4271-AEC2-A51E3E1996B2}"/>
    <cellStyle name="Migliaia 18 3 4 4 2" xfId="38685" xr:uid="{A368F075-79B7-4890-AFD8-C763840DFBD9}"/>
    <cellStyle name="Migliaia 18 3 4 4 3" xfId="43987" xr:uid="{2B8A67CF-B9AC-4B09-8861-3293CE25D9D4}"/>
    <cellStyle name="Migliaia 18 3 4 4 4" xfId="33284" xr:uid="{F733BED8-9C5B-431C-8DA1-2A2C9B682001}"/>
    <cellStyle name="Migliaia 18 3 4 5" xfId="36187" xr:uid="{70D1D39D-88FE-4AC2-9106-39176744AD20}"/>
    <cellStyle name="Migliaia 18 3 4 6" xfId="41336" xr:uid="{B751D560-248C-4976-A1F8-094ED407E59D}"/>
    <cellStyle name="Migliaia 18 3 4 7" xfId="16145" xr:uid="{E664C4C6-F13F-4D97-989C-19DEF0A97374}"/>
    <cellStyle name="Migliaia 18 3 4 8" xfId="7665" xr:uid="{BF9A5024-504A-4A4A-9011-AC8D6C3CDD01}"/>
    <cellStyle name="Migliaia 18 3 5" xfId="3250" xr:uid="{D5FAE978-7003-4C46-A043-FCC3D4781EC9}"/>
    <cellStyle name="Migliaia 18 3 5 2" xfId="4976" xr:uid="{3E5E59C9-1C93-4DFF-82B8-D71C12297645}"/>
    <cellStyle name="Migliaia 18 3 5 2 2" xfId="35187" xr:uid="{2529F158-71D4-4C48-B533-2D90E24677AC}"/>
    <cellStyle name="Migliaia 18 3 5 2 2 2" xfId="40345" xr:uid="{DB4D5E1F-5308-4561-96B2-AB8D6D7415CA}"/>
    <cellStyle name="Migliaia 18 3 5 2 2 3" xfId="45647" xr:uid="{FAE84243-E3A5-437F-BEFB-18001616F148}"/>
    <cellStyle name="Migliaia 18 3 5 2 3" xfId="37694" xr:uid="{415C2A3B-C2DF-42B6-852F-BEC3FAC42D98}"/>
    <cellStyle name="Migliaia 18 3 5 2 4" xfId="42996" xr:uid="{0050AE0A-31EC-4378-9568-983228942821}"/>
    <cellStyle name="Migliaia 18 3 5 2 5" xfId="14207" xr:uid="{8AAF2B73-0E5C-4236-B967-73BB816E00C7}"/>
    <cellStyle name="Migliaia 18 3 5 3" xfId="6191" xr:uid="{79ACBB37-7CC4-4D6C-B59D-437DF2CFF59E}"/>
    <cellStyle name="Migliaia 18 3 5 3 2" xfId="38686" xr:uid="{F9FF17A5-F0BF-4C2B-B1B1-801237090AD6}"/>
    <cellStyle name="Migliaia 18 3 5 3 3" xfId="43988" xr:uid="{5030830B-DAA0-4180-AF8E-40337FB4BE34}"/>
    <cellStyle name="Migliaia 18 3 5 3 4" xfId="33285" xr:uid="{80409918-F10C-400B-8190-80DAD98A1F1B}"/>
    <cellStyle name="Migliaia 18 3 5 3 5" xfId="19998" xr:uid="{F3F13EC2-046B-4BA6-92A5-337846FB045B}"/>
    <cellStyle name="Migliaia 18 3 5 4" xfId="36188" xr:uid="{5B00A7EB-E3F6-492E-B8E7-9799F9A0BA41}"/>
    <cellStyle name="Migliaia 18 3 5 5" xfId="41337" xr:uid="{51562B16-CB99-4E2A-B98B-36BDB31EDA7A}"/>
    <cellStyle name="Migliaia 18 3 5 6" xfId="16147" xr:uid="{EAE26CB2-B575-4A58-8C7B-32450FF8C49B}"/>
    <cellStyle name="Migliaia 18 3 5 7" xfId="8269" xr:uid="{864908D9-F661-4492-9233-955E283107D6}"/>
    <cellStyle name="Migliaia 18 3 6" xfId="4971" xr:uid="{A251C484-39B1-480B-A25D-02ABBC4FAFA7}"/>
    <cellStyle name="Migliaia 18 3 6 2" xfId="13910" xr:uid="{FBE68077-3505-4F04-B374-F4265EC5816E}"/>
    <cellStyle name="Migliaia 18 3 6 2 2" xfId="38687" xr:uid="{30A580E2-CB6E-43AE-BF48-BB85BF2D5B1E}"/>
    <cellStyle name="Migliaia 18 3 6 2 3" xfId="43989" xr:uid="{DAC9447B-5494-4BFA-AB19-78E12A381159}"/>
    <cellStyle name="Migliaia 18 3 6 3" xfId="18721" xr:uid="{8D2F1551-EFE6-4905-9F1B-249B5BDC5A41}"/>
    <cellStyle name="Migliaia 18 3 6 4" xfId="19999" xr:uid="{EFB88A77-A737-48B5-A698-19D60852ED7D}"/>
    <cellStyle name="Migliaia 18 3 6 4 2" xfId="41338" xr:uid="{4F3D91CD-6BB7-43C6-BF9E-A9402868C722}"/>
    <cellStyle name="Migliaia 18 3 6 5" xfId="16148" xr:uid="{DEEC6800-FA44-41E0-B14D-E146B1BF3D42}"/>
    <cellStyle name="Migliaia 18 3 6 6" xfId="7857" xr:uid="{EF6231B3-6866-40B8-A940-E877448162DC}"/>
    <cellStyle name="Migliaia 18 3 7" xfId="6186" xr:uid="{86055873-FA63-4967-A37C-5BC95402A521}"/>
    <cellStyle name="Migliaia 18 3 7 2" xfId="33286" xr:uid="{793D35A3-80BB-402E-99F7-BC7E116A8286}"/>
    <cellStyle name="Migliaia 18 3 7 2 2" xfId="38688" xr:uid="{5C432C09-5139-43DE-951A-213D61845012}"/>
    <cellStyle name="Migliaia 18 3 7 2 3" xfId="43990" xr:uid="{10854C25-8965-4E42-BECF-284410FF14FC}"/>
    <cellStyle name="Migliaia 18 3 7 3" xfId="36189" xr:uid="{6B58DF25-66C7-4F00-9B59-6833322ABF66}"/>
    <cellStyle name="Migliaia 18 3 7 4" xfId="41339" xr:uid="{FCEA5F38-F740-4F14-89F2-29A7CAAEDC3C}"/>
    <cellStyle name="Migliaia 18 3 7 5" xfId="11170" xr:uid="{BF60A7EB-EC19-4FA3-A184-DD13D545862E}"/>
    <cellStyle name="Migliaia 18 3 8" xfId="3245" xr:uid="{C18AA86D-3A41-48BC-9780-FA515A7B1EDF}"/>
    <cellStyle name="Migliaia 18 3 8 2" xfId="33287" xr:uid="{C7378154-5640-4B66-B951-456D3DBAAB33}"/>
    <cellStyle name="Migliaia 18 3 8 2 2" xfId="38689" xr:uid="{A104C502-C8A3-49BE-86AD-D81CC40D8A48}"/>
    <cellStyle name="Migliaia 18 3 8 2 3" xfId="43991" xr:uid="{C03E6606-E740-4A6E-9A13-F4E3D877E74F}"/>
    <cellStyle name="Migliaia 18 3 8 3" xfId="36190" xr:uid="{8E323BBC-C397-4340-BF22-9604D8A16C68}"/>
    <cellStyle name="Migliaia 18 3 8 4" xfId="41340" xr:uid="{D532BE1D-D25E-444C-AD15-72E3C515719E}"/>
    <cellStyle name="Migliaia 18 3 8 5" xfId="24392" xr:uid="{11FD7864-56A0-4CC7-9FD0-1F17AFD53A63}"/>
    <cellStyle name="Migliaia 18 3 8 6" xfId="17400" xr:uid="{0BF0BCBC-2652-44F9-B836-DA8333D288B0}"/>
    <cellStyle name="Migliaia 18 3 9" xfId="19990" xr:uid="{E05CDBB1-A375-48F1-8DCF-229351CD9FE0}"/>
    <cellStyle name="Migliaia 18 4" xfId="1700" xr:uid="{00000000-0005-0000-0000-00000F030000}"/>
    <cellStyle name="Migliaia 18 4 2" xfId="1701" xr:uid="{00000000-0005-0000-0000-000010030000}"/>
    <cellStyle name="Migliaia 18 4 2 2" xfId="4978" xr:uid="{CB6C5291-2053-48BC-B6E4-9E3E503A7291}"/>
    <cellStyle name="Migliaia 18 4 2 2 2" xfId="33288" xr:uid="{6652A917-6E8D-4D19-A472-0AC3A923B30C}"/>
    <cellStyle name="Migliaia 18 4 2 2 2 2" xfId="38690" xr:uid="{8ADBF6D3-E9AA-4239-B0CF-F46A5451550A}"/>
    <cellStyle name="Migliaia 18 4 2 2 2 3" xfId="43992" xr:uid="{05AD4C3E-F368-4FA8-AB3E-481110AD0465}"/>
    <cellStyle name="Migliaia 18 4 2 2 3" xfId="36191" xr:uid="{C4009F50-1EE3-4004-925E-0A0E4B51E905}"/>
    <cellStyle name="Migliaia 18 4 2 2 4" xfId="41341" xr:uid="{C639436F-CE8C-4BC9-8AF5-E873F420B60B}"/>
    <cellStyle name="Migliaia 18 4 2 2 5" xfId="9126" xr:uid="{41F88C5D-5A84-4F00-B1FA-BC56475A8992}"/>
    <cellStyle name="Migliaia 18 4 2 3" xfId="3252" xr:uid="{C25EADA2-F88D-4E27-9E3E-A9381DE8B3AA}"/>
    <cellStyle name="Migliaia 18 4 2 3 2" xfId="33289" xr:uid="{3954B6AC-47A9-48B1-9976-5AC692FD979B}"/>
    <cellStyle name="Migliaia 18 4 2 3 2 2" xfId="38691" xr:uid="{187D9318-177E-4A84-AD09-4935FB0529D5}"/>
    <cellStyle name="Migliaia 18 4 2 3 2 3" xfId="43993" xr:uid="{96F0A4E4-2A52-4AC7-8371-AB07EAE8CFA6}"/>
    <cellStyle name="Migliaia 18 4 2 3 3" xfId="36192" xr:uid="{5BCA4BBE-CF45-4012-8B99-B8BADFD1CC2E}"/>
    <cellStyle name="Migliaia 18 4 2 3 4" xfId="41342" xr:uid="{2BA2DA17-26A4-4E39-98C6-192796CB8759}"/>
    <cellStyle name="Migliaia 18 4 2 3 5" xfId="11921" xr:uid="{69596C02-9D77-4D78-A2A8-E034B892A291}"/>
    <cellStyle name="Migliaia 18 4 2 4" xfId="11274" xr:uid="{4F68CEA1-CC97-4706-B51C-B535A7C62315}"/>
    <cellStyle name="Migliaia 18 4 2 5" xfId="10778" xr:uid="{9B03D567-7DC9-4BB7-906A-C0DA7E90B5E2}"/>
    <cellStyle name="Migliaia 18 4 2 5 2" xfId="21413" xr:uid="{F5A9518C-6EE2-426F-B16E-5802EA342AEC}"/>
    <cellStyle name="Migliaia 18 4 2 5 3" xfId="46218" xr:uid="{59FC0CD8-3356-4CA8-AD77-D4AD6C9959A4}"/>
    <cellStyle name="Migliaia 18 4 2 5 4" xfId="50428" xr:uid="{FB95E301-6A56-4421-B06C-F01BCB830EE8}"/>
    <cellStyle name="Migliaia 18 4 2 5 5" xfId="53444" xr:uid="{9A85C897-3D01-4358-884A-AACC1522C4DD}"/>
    <cellStyle name="Migliaia 18 4 2 6" xfId="20001" xr:uid="{30CF0E08-3D1E-43AA-95EF-B57F9549716F}"/>
    <cellStyle name="Migliaia 18 4 2 7" xfId="24394" xr:uid="{DB0C426F-7752-480E-98DB-30E88FD6ECA5}"/>
    <cellStyle name="Migliaia 18 4 2 8" xfId="8537" xr:uid="{4049AE9B-6944-46A9-B1FB-97558265EFAF}"/>
    <cellStyle name="Migliaia 18 4 3" xfId="4977" xr:uid="{C642B941-0DA9-46F6-9D7C-81EFB3C2EE7B}"/>
    <cellStyle name="Migliaia 18 4 3 2" xfId="18181" xr:uid="{B8B08D11-1095-40ED-8771-8CFD207F0730}"/>
    <cellStyle name="Migliaia 18 4 3 2 2" xfId="38692" xr:uid="{D98654C8-82E1-428E-BFA3-1DEDA133DAB7}"/>
    <cellStyle name="Migliaia 18 4 3 2 3" xfId="43994" xr:uid="{65F7A44E-25CB-4E56-896F-A8316F57AFFA}"/>
    <cellStyle name="Migliaia 18 4 3 3" xfId="36193" xr:uid="{0B9BEB65-7A7E-4F7F-93BB-BD087D781920}"/>
    <cellStyle name="Migliaia 18 4 3 4" xfId="41343" xr:uid="{05F50C14-E06C-49EF-AD9B-B9CE480CDD31}"/>
    <cellStyle name="Migliaia 18 4 3 5" xfId="17398" xr:uid="{17687B9D-3236-4ABC-B87F-EA3FADCD39BC}"/>
    <cellStyle name="Migliaia 18 4 3 6" xfId="9127" xr:uid="{F1F32696-5EC2-416B-94F3-56371523F735}"/>
    <cellStyle name="Migliaia 18 4 4" xfId="6192" xr:uid="{E6C8AD2C-FF1B-455F-9EFC-38183A76351F}"/>
    <cellStyle name="Migliaia 18 4 4 2" xfId="33290" xr:uid="{2365273E-A21A-4760-A909-1E10852C8846}"/>
    <cellStyle name="Migliaia 18 4 4 2 2" xfId="38693" xr:uid="{245A66CC-9C1B-4E5F-BA8E-E22EC796B105}"/>
    <cellStyle name="Migliaia 18 4 4 2 3" xfId="43995" xr:uid="{B279A33D-4657-4D47-944B-8383B69B744A}"/>
    <cellStyle name="Migliaia 18 4 4 3" xfId="36194" xr:uid="{4AEBB073-5F74-498A-B454-9F4430E74F9F}"/>
    <cellStyle name="Migliaia 18 4 4 4" xfId="41344" xr:uid="{2CBBC549-6E82-4E12-A93F-FE90923717C5}"/>
    <cellStyle name="Migliaia 18 4 4 5" xfId="11922" xr:uid="{5761EB8D-5CB1-4DEA-AE48-F6FFA3108812}"/>
    <cellStyle name="Migliaia 18 4 5" xfId="3251" xr:uid="{A7158CD3-8D23-4D72-93AF-9956B8CB27DE}"/>
    <cellStyle name="Migliaia 18 4 5 2" xfId="33291" xr:uid="{C1CB386F-8D88-4087-9D2F-CF96ADAE96EA}"/>
    <cellStyle name="Migliaia 18 4 5 2 2" xfId="38694" xr:uid="{35FDE9D8-F432-42DB-8C08-FD240137D1BE}"/>
    <cellStyle name="Migliaia 18 4 5 2 3" xfId="43996" xr:uid="{98BE0F5D-1E5F-4F4E-9685-5BCDD6C95076}"/>
    <cellStyle name="Migliaia 18 4 5 3" xfId="36195" xr:uid="{FC9C1A0A-0855-433E-BB0F-DD967E2FD1B1}"/>
    <cellStyle name="Migliaia 18 4 5 4" xfId="41345" xr:uid="{6741FC72-5A98-4F13-B19A-F27C4D4DFA9A}"/>
    <cellStyle name="Migliaia 18 4 5 5" xfId="11273" xr:uid="{8B8946A6-AC75-4C2B-8ECB-BFF4D8824766}"/>
    <cellStyle name="Migliaia 18 4 6" xfId="10777" xr:uid="{655FB8CB-F257-4259-BCD4-39CB791CF61C}"/>
    <cellStyle name="Migliaia 18 4 6 2" xfId="21412" xr:uid="{B8265A67-1F1A-4AE6-8778-9CC146B5165D}"/>
    <cellStyle name="Migliaia 18 4 6 2 2" xfId="38695" xr:uid="{F36D4736-CAA3-424C-B178-EBB567303379}"/>
    <cellStyle name="Migliaia 18 4 6 2 3" xfId="43997" xr:uid="{1D74F439-B913-4563-9E78-BE96600A99F8}"/>
    <cellStyle name="Migliaia 18 4 6 2 4" xfId="33292" xr:uid="{947D8056-B786-48F4-9929-63A64A37F907}"/>
    <cellStyle name="Migliaia 18 4 6 3" xfId="36196" xr:uid="{3916CF03-08DD-4F3F-8513-007D061A37BF}"/>
    <cellStyle name="Migliaia 18 4 6 4" xfId="41346" xr:uid="{CE3BC043-3294-47B8-B4E3-FFA850C26192}"/>
    <cellStyle name="Migliaia 18 4 6 5" xfId="24395" xr:uid="{EF1CAD11-BE77-4402-BD10-188ED7C51A0A}"/>
    <cellStyle name="Migliaia 18 4 6 6" xfId="47302" xr:uid="{9CF971EB-CD00-40E7-9E0A-E460A4D70DBC}"/>
    <cellStyle name="Migliaia 18 4 6 7" xfId="50427" xr:uid="{FE41136D-B87D-463B-B1D1-94BB8F3F58BD}"/>
    <cellStyle name="Migliaia 18 4 6 8" xfId="53443" xr:uid="{7659857D-FA3E-4E91-A98C-EB23B0377ECA}"/>
    <cellStyle name="Migliaia 18 4 7" xfId="20000" xr:uid="{99FFC4DB-1D65-4029-9FC3-A35B4C7C40B7}"/>
    <cellStyle name="Migliaia 18 4 7 2" xfId="33293" xr:uid="{5A166ED8-C0E9-4292-B3C3-20C77E35C078}"/>
    <cellStyle name="Migliaia 18 4 7 2 2" xfId="38696" xr:uid="{AA2ACEFF-BDA0-4809-ADBD-2F21B5DB5807}"/>
    <cellStyle name="Migliaia 18 4 7 2 3" xfId="43998" xr:uid="{9ABCFE30-847A-4D1F-92BD-ED684DE431DE}"/>
    <cellStyle name="Migliaia 18 4 7 3" xfId="36197" xr:uid="{7DC9BFED-F91E-4B3D-9AA2-FEB484BF4925}"/>
    <cellStyle name="Migliaia 18 4 7 4" xfId="41347" xr:uid="{C46B2583-8619-4679-943B-8C2886AC00E7}"/>
    <cellStyle name="Migliaia 18 4 7 5" xfId="24396" xr:uid="{98EDC7CC-8E73-4A29-8BD6-21507DF4F0B1}"/>
    <cellStyle name="Migliaia 18 4 8" xfId="24393" xr:uid="{FB6A0F4B-8D9D-4324-9C9C-A6415DBD4E7A}"/>
    <cellStyle name="Migliaia 18 4 9" xfId="7347" xr:uid="{5A147507-4BD4-4D51-B195-52B05AA8881A}"/>
    <cellStyle name="Migliaia 18 5" xfId="1702" xr:uid="{00000000-0005-0000-0000-000011030000}"/>
    <cellStyle name="Migliaia 18 5 2" xfId="4979" xr:uid="{E297393A-EC80-4BB4-853A-F766CA6B4C3A}"/>
    <cellStyle name="Migliaia 18 5 2 2" xfId="18386" xr:uid="{AB51F75D-AB03-4893-B0F0-BBE7A33C9DA9}"/>
    <cellStyle name="Migliaia 18 5 2 2 2" xfId="38697" xr:uid="{A67B46C6-2351-4EBA-B9CA-ADC5CB554369}"/>
    <cellStyle name="Migliaia 18 5 2 2 3" xfId="43999" xr:uid="{DF5F43C4-BDF2-471F-BE77-690C112B83E0}"/>
    <cellStyle name="Migliaia 18 5 2 3" xfId="20003" xr:uid="{3F0002BA-05AD-4377-B69C-2D4BA1880AA3}"/>
    <cellStyle name="Migliaia 18 5 2 3 2" xfId="36198" xr:uid="{3E26E249-E078-4F5A-B0D9-A089E76ED8E0}"/>
    <cellStyle name="Migliaia 18 5 2 4" xfId="41348" xr:uid="{87ADCE75-71BA-4BA3-B780-2B5107EE53C4}"/>
    <cellStyle name="Migliaia 18 5 2 5" xfId="16149" xr:uid="{50DDA30C-4924-484B-B67D-DA45157593C8}"/>
    <cellStyle name="Migliaia 18 5 2 6" xfId="8538" xr:uid="{3B1AE94A-ED18-44E2-A136-0BD33FA96829}"/>
    <cellStyle name="Migliaia 18 5 3" xfId="6193" xr:uid="{394108E8-E9BC-47C0-BFEC-6A27180EC848}"/>
    <cellStyle name="Migliaia 18 5 3 2" xfId="33294" xr:uid="{F4EBB68E-286C-4D7F-91B6-48718CBE046F}"/>
    <cellStyle name="Migliaia 18 5 3 2 2" xfId="38698" xr:uid="{0CC9DA3A-4101-4F26-AECB-6CF65D6B8083}"/>
    <cellStyle name="Migliaia 18 5 3 2 3" xfId="44000" xr:uid="{12F22B00-F94A-4CBB-A019-8F97891CA101}"/>
    <cellStyle name="Migliaia 18 5 3 3" xfId="36199" xr:uid="{E4589A08-008D-408A-B3FE-13DD3CA534B5}"/>
    <cellStyle name="Migliaia 18 5 3 4" xfId="41349" xr:uid="{19DFCF1B-86E4-47F7-9B11-84F97E9A5DB3}"/>
    <cellStyle name="Migliaia 18 5 3 5" xfId="11275" xr:uid="{79D33FF0-71BE-48AD-B4C4-5EA664E8E3E8}"/>
    <cellStyle name="Migliaia 18 5 4" xfId="3253" xr:uid="{74D5BC7B-ABC9-4CB8-B50B-B541E1D07398}"/>
    <cellStyle name="Migliaia 18 5 4 2" xfId="21414" xr:uid="{DFDA2728-A687-46C7-92AD-B9F3A153846D}"/>
    <cellStyle name="Migliaia 18 5 4 2 2" xfId="38699" xr:uid="{D95811D3-DAD0-4208-BFC5-189C3C944794}"/>
    <cellStyle name="Migliaia 18 5 4 2 3" xfId="44001" xr:uid="{D1E38AB0-C210-469F-A4C3-50998D1464D0}"/>
    <cellStyle name="Migliaia 18 5 4 2 4" xfId="33295" xr:uid="{8441F492-4988-4E2B-A541-3B717565DF16}"/>
    <cellStyle name="Migliaia 18 5 4 3" xfId="36200" xr:uid="{78D3DD12-E2B3-4CF2-B0A0-FA72A29C566C}"/>
    <cellStyle name="Migliaia 18 5 4 4" xfId="41350" xr:uid="{83567279-CF99-4250-90FB-EE767427DAFE}"/>
    <cellStyle name="Migliaia 18 5 4 5" xfId="24398" xr:uid="{C60EEC17-A325-4909-B3AF-92C28B28950F}"/>
    <cellStyle name="Migliaia 18 5 4 6" xfId="47895" xr:uid="{1B80AC08-FF37-4FA3-8EBE-A007712520E5}"/>
    <cellStyle name="Migliaia 18 5 4 7" xfId="50429" xr:uid="{0D1F57AD-BF70-4E2C-8574-F46A42A020C8}"/>
    <cellStyle name="Migliaia 18 5 4 8" xfId="53445" xr:uid="{3DC8128A-75C3-438B-8F91-B63BBAD341DC}"/>
    <cellStyle name="Migliaia 18 5 4 9" xfId="10779" xr:uid="{21B3D448-C28D-40C2-AB0F-4C8ACB68B283}"/>
    <cellStyle name="Migliaia 18 5 5" xfId="20002" xr:uid="{996F1C14-3653-4EF9-BD55-510883316C3A}"/>
    <cellStyle name="Migliaia 18 5 5 2" xfId="33296" xr:uid="{1B13C5B4-BC0F-42C4-902C-610B09C7530E}"/>
    <cellStyle name="Migliaia 18 5 5 2 2" xfId="38700" xr:uid="{9EB763E0-2785-4BDA-A802-12CF673CAD61}"/>
    <cellStyle name="Migliaia 18 5 5 2 3" xfId="44002" xr:uid="{8F31B599-EFD3-4075-AB62-B9B253C5BABC}"/>
    <cellStyle name="Migliaia 18 5 5 3" xfId="36201" xr:uid="{793F8D02-C9B5-488D-AFA8-08ABCC6C1A85}"/>
    <cellStyle name="Migliaia 18 5 5 4" xfId="41351" xr:uid="{8E98A27F-AE5C-4EED-A0FC-486FAB2D24FD}"/>
    <cellStyle name="Migliaia 18 5 5 5" xfId="24399" xr:uid="{0C9EFD97-B940-44FF-AA4A-D9A21AB75505}"/>
    <cellStyle name="Migliaia 18 5 6" xfId="24400" xr:uid="{4B9DAC7A-93C7-4B2B-AA59-3383BCB1EED0}"/>
    <cellStyle name="Migliaia 18 5 6 2" xfId="33297" xr:uid="{82E63DDD-D5A0-44A6-923B-31C202CEBCBB}"/>
    <cellStyle name="Migliaia 18 5 6 2 2" xfId="38701" xr:uid="{630FAC23-1692-4F57-90D1-245C6B6A66D6}"/>
    <cellStyle name="Migliaia 18 5 6 2 3" xfId="44003" xr:uid="{A4FA18E1-FB06-4DD4-BD2C-DF4F8DE21389}"/>
    <cellStyle name="Migliaia 18 5 6 3" xfId="36202" xr:uid="{8809781D-3F11-42F2-AFE6-FCA3A0320309}"/>
    <cellStyle name="Migliaia 18 5 6 4" xfId="41352" xr:uid="{B47160B1-C5CF-44FC-9587-8AD72D4E994C}"/>
    <cellStyle name="Migliaia 18 5 7" xfId="24397" xr:uid="{A4FF38FE-E0D1-484C-9187-5205415F264B}"/>
    <cellStyle name="Migliaia 18 5 8" xfId="7348" xr:uid="{FC92DDCB-EB0A-4B60-AB7F-4A26DBE22052}"/>
    <cellStyle name="Migliaia 18 6" xfId="3254" xr:uid="{3498BE42-B814-4C83-B7FD-9D05ED71684E}"/>
    <cellStyle name="Migliaia 18 6 2" xfId="4980" xr:uid="{4A83D9D6-647E-4AE2-AE6D-B898F24326A4}"/>
    <cellStyle name="Migliaia 18 6 2 2" xfId="9899" xr:uid="{274AA407-8B03-4352-9B8D-E1A785A368C8}"/>
    <cellStyle name="Migliaia 18 6 2 3" xfId="18671" xr:uid="{643953AC-64FA-4E9C-A527-B8B233AE51ED}"/>
    <cellStyle name="Migliaia 18 6 2 4" xfId="20005" xr:uid="{0C6C71C5-1136-4BB9-9711-93FFC38D6449}"/>
    <cellStyle name="Migliaia 18 6 2 5" xfId="32319" xr:uid="{71F1A15A-52A8-4B9C-BB3A-8F5FFEBEB3A8}"/>
    <cellStyle name="Migliaia 18 6 2 6" xfId="16151" xr:uid="{87BB119A-FC39-4918-832B-1E61AD93CA27}"/>
    <cellStyle name="Migliaia 18 6 2 7" xfId="8533" xr:uid="{1B1D2710-74F9-47CA-BD13-09A43E9146D3}"/>
    <cellStyle name="Migliaia 18 6 3" xfId="6194" xr:uid="{595170DD-7BCA-4302-9C2B-23DE8AA19F08}"/>
    <cellStyle name="Migliaia 18 6 3 2" xfId="35188" xr:uid="{CAA1A526-3F74-4CEB-A544-7C6C37215F11}"/>
    <cellStyle name="Migliaia 18 6 3 2 2" xfId="40346" xr:uid="{F1685436-F79D-45F6-B49F-154D1AB601E8}"/>
    <cellStyle name="Migliaia 18 6 3 2 3" xfId="45648" xr:uid="{90F92983-A6E2-4700-ABF9-A1DFBF4B84D6}"/>
    <cellStyle name="Migliaia 18 6 3 3" xfId="37695" xr:uid="{09C4C73B-DD10-463D-9E35-034B1CAB27EC}"/>
    <cellStyle name="Migliaia 18 6 3 4" xfId="42997" xr:uid="{7DF28D8B-D05C-4CC3-BCC1-55745ED5C8AC}"/>
    <cellStyle name="Migliaia 18 6 3 5" xfId="9662" xr:uid="{36FBFE96-5CDF-4731-913A-01AE1FEC11B9}"/>
    <cellStyle name="Migliaia 18 6 4" xfId="20004" xr:uid="{6DBCDE9A-B595-425C-9D5C-11335501709A}"/>
    <cellStyle name="Migliaia 18 6 4 2" xfId="38702" xr:uid="{CC575593-3818-4D6C-8B94-7B0DF92EC86D}"/>
    <cellStyle name="Migliaia 18 6 4 3" xfId="44004" xr:uid="{E8063FFF-0DFF-42F3-A7C9-FCD46C4F5651}"/>
    <cellStyle name="Migliaia 18 6 4 4" xfId="33298" xr:uid="{38E0F131-2371-4790-ACF4-DB3162D03260}"/>
    <cellStyle name="Migliaia 18 6 5" xfId="36203" xr:uid="{001C1B2E-E0F1-4662-933C-C1E65B535271}"/>
    <cellStyle name="Migliaia 18 6 6" xfId="41353" xr:uid="{45785412-F610-4C5B-91D9-B18A40A79F4D}"/>
    <cellStyle name="Migliaia 18 6 7" xfId="16150" xr:uid="{EEBCDBDA-249D-4EF0-A65D-6E8826173A60}"/>
    <cellStyle name="Migliaia 18 6 8" xfId="7343" xr:uid="{2C1168BB-3E92-462C-AD8D-FB7D01355293}"/>
    <cellStyle name="Migliaia 18 7" xfId="3255" xr:uid="{206CE5AF-B63C-475E-9426-19CB5C7EF6A1}"/>
    <cellStyle name="Migliaia 18 7 2" xfId="4981" xr:uid="{657C8964-6238-4F06-A362-2B3D9DB238D6}"/>
    <cellStyle name="Migliaia 18 7 2 2" xfId="35189" xr:uid="{56653F05-7FCE-4E65-BD25-2B5C811E5471}"/>
    <cellStyle name="Migliaia 18 7 2 2 2" xfId="40347" xr:uid="{8E200BF2-7FBC-4D4C-8DF2-372294629BA0}"/>
    <cellStyle name="Migliaia 18 7 2 2 3" xfId="45649" xr:uid="{F5B18389-177E-46F3-B94E-5520F4E5FD63}"/>
    <cellStyle name="Migliaia 18 7 2 3" xfId="37696" xr:uid="{E20A15DC-99C7-483D-94DF-5A0C7EF83603}"/>
    <cellStyle name="Migliaia 18 7 2 4" xfId="42998" xr:uid="{7311C135-143D-45C3-B63B-478276160B9C}"/>
    <cellStyle name="Migliaia 18 7 2 5" xfId="14205" xr:uid="{D4C712AF-B14A-4C82-9F89-2444E7BE0B9D}"/>
    <cellStyle name="Migliaia 18 7 3" xfId="6195" xr:uid="{5AEBC77C-D365-432E-A1A8-C0E33617CA18}"/>
    <cellStyle name="Migliaia 18 7 3 2" xfId="38703" xr:uid="{52C64ADC-0763-4BD0-BD07-5A8B27522272}"/>
    <cellStyle name="Migliaia 18 7 3 3" xfId="44005" xr:uid="{09B8DD8D-1D53-4725-B415-087D12E5A910}"/>
    <cellStyle name="Migliaia 18 7 3 4" xfId="33299" xr:uid="{DE7FDAFD-0D8C-4B13-BE6F-DFD95C317997}"/>
    <cellStyle name="Migliaia 18 7 3 5" xfId="20006" xr:uid="{B2800E0F-355A-4187-9CF9-B5A3D7A4C54D}"/>
    <cellStyle name="Migliaia 18 7 4" xfId="36204" xr:uid="{0C5C988E-557B-47FF-B012-176821BEB0CA}"/>
    <cellStyle name="Migliaia 18 7 5" xfId="41354" xr:uid="{0C5A1683-E27E-4726-A118-D84229E4F267}"/>
    <cellStyle name="Migliaia 18 7 6" xfId="16152" xr:uid="{BFA2BD0C-E2D1-42F5-849E-A6A8E842811C}"/>
    <cellStyle name="Migliaia 18 7 7" xfId="8267" xr:uid="{A0042DB1-3E54-4F73-9158-17863CA41CC0}"/>
    <cellStyle name="Migliaia 18 8" xfId="3256" xr:uid="{6D1929A2-F3D2-4667-B144-AF276F38C545}"/>
    <cellStyle name="Migliaia 18 8 2" xfId="4982" xr:uid="{EDAE835E-7130-43B1-9258-0F1DF4940E4D}"/>
    <cellStyle name="Migliaia 18 8 2 2" xfId="35190" xr:uid="{66C74D1C-DD0C-47D3-935D-5BAB36C364DE}"/>
    <cellStyle name="Migliaia 18 8 2 2 2" xfId="40348" xr:uid="{3C68F9A8-0AFD-4952-A3CB-9C6D25AE1774}"/>
    <cellStyle name="Migliaia 18 8 2 2 3" xfId="45650" xr:uid="{D78BE253-5859-4D43-B58B-4851B7A5A276}"/>
    <cellStyle name="Migliaia 18 8 2 3" xfId="37697" xr:uid="{EEE10B04-D97D-46DF-9305-27B62A4A41C6}"/>
    <cellStyle name="Migliaia 18 8 2 4" xfId="42999" xr:uid="{318231D4-70DA-48B3-B4CB-9B177447002C}"/>
    <cellStyle name="Migliaia 18 8 2 5" xfId="13908" xr:uid="{67FBB53C-B260-40E3-86EA-FE65BAC72109}"/>
    <cellStyle name="Migliaia 18 8 3" xfId="6196" xr:uid="{08C5AA62-83C5-4B77-9684-48FECFC26092}"/>
    <cellStyle name="Migliaia 18 8 3 2" xfId="38704" xr:uid="{2B9E1853-B830-4394-84C8-5B18F4016B1F}"/>
    <cellStyle name="Migliaia 18 8 3 3" xfId="44006" xr:uid="{B95CF518-91FE-4C10-AC5D-E85D7589DB22}"/>
    <cellStyle name="Migliaia 18 8 3 4" xfId="33300" xr:uid="{BA95BE91-40A0-407A-956D-5A743C7A36EC}"/>
    <cellStyle name="Migliaia 18 8 3 5" xfId="20007" xr:uid="{A2BC7AA9-D569-42FD-8F2E-A39662548AEE}"/>
    <cellStyle name="Migliaia 18 8 4" xfId="36205" xr:uid="{7F3FED12-6AB2-4220-9C6A-63E38E8C6FA5}"/>
    <cellStyle name="Migliaia 18 8 5" xfId="41355" xr:uid="{BA9BE426-EB33-497E-87F4-98552B247504}"/>
    <cellStyle name="Migliaia 18 8 6" xfId="16153" xr:uid="{2DF86487-24BE-4D62-B84A-58803B357B9D}"/>
    <cellStyle name="Migliaia 18 8 7" xfId="7855" xr:uid="{DE682423-EBFC-4E05-A213-DCEE8522F1BB}"/>
    <cellStyle name="Migliaia 18 9" xfId="4967" xr:uid="{55F06D92-48AB-43F3-9B9C-87408D17C528}"/>
    <cellStyle name="Migliaia 18 9 2" xfId="33301" xr:uid="{D1D281F9-7A48-4005-BB27-E7E489446162}"/>
    <cellStyle name="Migliaia 18 9 2 2" xfId="38705" xr:uid="{D8FF94D1-D464-4AA3-9260-3686D7E62AD8}"/>
    <cellStyle name="Migliaia 18 9 2 3" xfId="44007" xr:uid="{F75C8D24-B11A-4C11-A56C-93C06BFB17FE}"/>
    <cellStyle name="Migliaia 18 9 3" xfId="36206" xr:uid="{AC9F9359-B98F-4901-84F8-093E1386F75F}"/>
    <cellStyle name="Migliaia 18 9 4" xfId="41356" xr:uid="{1F8481CD-70F4-4BC9-8055-92E738840BD8}"/>
    <cellStyle name="Migliaia 18 9 5" xfId="17153" xr:uid="{468122B8-2167-4393-B30A-F46B2195DA42}"/>
    <cellStyle name="Migliaia 19" xfId="337" xr:uid="{00000000-0005-0000-0000-000012030000}"/>
    <cellStyle name="Migliaia 19 10" xfId="6197" xr:uid="{C2AF1743-B07D-4726-B6A6-5F02C1CDC405}"/>
    <cellStyle name="Migliaia 19 10 2" xfId="38706" xr:uid="{2658C8A4-BE7F-450A-B5E3-1B35E1A11769}"/>
    <cellStyle name="Migliaia 19 10 3" xfId="44008" xr:uid="{3D7059F5-73DE-450E-8AAA-24C7FD5973F8}"/>
    <cellStyle name="Migliaia 19 10 4" xfId="33302" xr:uid="{D6CA8D78-2431-4224-95FB-70D7DC425A07}"/>
    <cellStyle name="Migliaia 19 10 5" xfId="20008" xr:uid="{0B6F59EC-7989-4E89-BDEF-A62A005350A7}"/>
    <cellStyle name="Migliaia 19 11" xfId="3257" xr:uid="{AB62268D-6912-4A2A-893D-E7EBC2DD6476}"/>
    <cellStyle name="Migliaia 19 11 2" xfId="36207" xr:uid="{215AC61D-4453-4055-B230-7F6C022FFFCA}"/>
    <cellStyle name="Migliaia 19 12" xfId="41357" xr:uid="{0A1DD245-6827-4971-92C6-C932FEF70640}"/>
    <cellStyle name="Migliaia 19 13" xfId="7071" xr:uid="{33891F14-4403-489E-81AA-557B08F7A800}"/>
    <cellStyle name="Migliaia 19 2" xfId="338" xr:uid="{00000000-0005-0000-0000-000013030000}"/>
    <cellStyle name="Migliaia 19 2 2" xfId="1703" xr:uid="{00000000-0005-0000-0000-000014030000}"/>
    <cellStyle name="Migliaia 19 2 2 2" xfId="4985" xr:uid="{E7BD9BEB-9AAB-418B-9D86-2BD326F53B24}"/>
    <cellStyle name="Migliaia 19 2 2 2 2" xfId="14372" xr:uid="{EB329AD8-BF55-4909-941F-AFCFB0EF5CB5}"/>
    <cellStyle name="Migliaia 19 2 2 2 2 2" xfId="38707" xr:uid="{78EEE48B-82CB-41ED-8B64-C2E229636F6C}"/>
    <cellStyle name="Migliaia 19 2 2 2 2 3" xfId="44009" xr:uid="{E9AD26BE-5F2B-4D4B-9C8C-F08F1E4DE908}"/>
    <cellStyle name="Migliaia 19 2 2 2 3" xfId="18387" xr:uid="{D9AF0AB8-A095-4F3B-8018-561DF25E161F}"/>
    <cellStyle name="Migliaia 19 2 2 2 4" xfId="20011" xr:uid="{AD745BDB-2EAA-4E24-87DB-81DDF62D2C83}"/>
    <cellStyle name="Migliaia 19 2 2 2 4 2" xfId="41358" xr:uid="{3FE8F544-6275-4611-99FD-A8440FE3786D}"/>
    <cellStyle name="Migliaia 19 2 2 2 5" xfId="16154" xr:uid="{ACC728A3-CD77-442D-94B9-B12BCEA02F16}"/>
    <cellStyle name="Migliaia 19 2 2 2 6" xfId="8540" xr:uid="{9E1B864F-C346-4BDE-A4AD-87FA808C0006}"/>
    <cellStyle name="Migliaia 19 2 2 3" xfId="6199" xr:uid="{5BA40000-DAC1-4889-AAB7-7B27DA42DB75}"/>
    <cellStyle name="Migliaia 19 2 2 3 2" xfId="35191" xr:uid="{92829383-6004-45A8-A402-EA261C510CAC}"/>
    <cellStyle name="Migliaia 19 2 2 3 2 2" xfId="40349" xr:uid="{9250C7ED-4776-4FD9-B301-E3DFFE96A3CD}"/>
    <cellStyle name="Migliaia 19 2 2 3 2 3" xfId="45651" xr:uid="{DAAB0BF6-508E-46E4-890F-783CF0A6BCDF}"/>
    <cellStyle name="Migliaia 19 2 2 3 3" xfId="37698" xr:uid="{F37C246A-5827-48DD-BA72-B24566A99AE7}"/>
    <cellStyle name="Migliaia 19 2 2 3 4" xfId="43000" xr:uid="{DC51E967-0C40-4757-83F1-A4DBA1DB0CE1}"/>
    <cellStyle name="Migliaia 19 2 2 3 5" xfId="11601" xr:uid="{EFB4BA9F-17B5-4A78-90B9-8006C5DC4B83}"/>
    <cellStyle name="Migliaia 19 2 2 4" xfId="3259" xr:uid="{4A40C458-532A-4333-BC84-0F5988C66984}"/>
    <cellStyle name="Migliaia 19 2 2 4 2" xfId="21415" xr:uid="{7931B141-5A0B-4EB6-A38A-84BDBF81C88F}"/>
    <cellStyle name="Migliaia 19 2 2 4 3" xfId="46219" xr:uid="{E69FA679-4E3D-4C1B-9176-6CDF880E327F}"/>
    <cellStyle name="Migliaia 19 2 2 4 4" xfId="50430" xr:uid="{457DBC7D-DC26-4F37-9289-1C77DF5C2BEE}"/>
    <cellStyle name="Migliaia 19 2 2 4 5" xfId="53446" xr:uid="{1639B9D7-4449-499D-88A9-9D6379223219}"/>
    <cellStyle name="Migliaia 19 2 2 4 6" xfId="10780" xr:uid="{A2068905-6933-44B9-B0FC-FDDE1BDC35F9}"/>
    <cellStyle name="Migliaia 19 2 2 5" xfId="20010" xr:uid="{E589DA89-4BF4-415F-B6EB-97FFE92D3D8D}"/>
    <cellStyle name="Migliaia 19 2 2 6" xfId="24402" xr:uid="{385EDC80-D31E-42C1-B3E1-9C1F605BECC5}"/>
    <cellStyle name="Migliaia 19 2 2 7" xfId="7350" xr:uid="{E6BFB5D5-D476-4FB1-A35F-3E700C7C9F5C}"/>
    <cellStyle name="Migliaia 19 2 3" xfId="3260" xr:uid="{93D562CB-150D-44C1-8FB4-39996E533BE7}"/>
    <cellStyle name="Migliaia 19 2 3 2" xfId="4986" xr:uid="{B96B279A-42E6-478A-9B7C-DB4BB94B714A}"/>
    <cellStyle name="Migliaia 19 2 3 2 2" xfId="35192" xr:uid="{60ECB5F1-B02C-4850-B1AA-303438DD2483}"/>
    <cellStyle name="Migliaia 19 2 3 2 2 2" xfId="40350" xr:uid="{DC36C656-A4EB-41D6-8EE7-B899C6220D30}"/>
    <cellStyle name="Migliaia 19 2 3 2 2 3" xfId="45652" xr:uid="{AB098A76-19DA-4E04-87EE-2C9959346F10}"/>
    <cellStyle name="Migliaia 19 2 3 2 3" xfId="37699" xr:uid="{E3D11CAF-BD46-4645-BC69-D5A0C2355D21}"/>
    <cellStyle name="Migliaia 19 2 3 2 4" xfId="43001" xr:uid="{EDA444F5-B534-46AC-9C6B-A3758AB48290}"/>
    <cellStyle name="Migliaia 19 2 3 2 5" xfId="14209" xr:uid="{16DE83D3-348E-4CAC-A493-B7B2D5D4FBF6}"/>
    <cellStyle name="Migliaia 19 2 3 3" xfId="6200" xr:uid="{E1A81C96-9813-49A0-958C-201DCF294027}"/>
    <cellStyle name="Migliaia 19 2 3 3 2" xfId="38708" xr:uid="{4774AA61-03CA-43A8-8937-8CD6D754A753}"/>
    <cellStyle name="Migliaia 19 2 3 3 3" xfId="44010" xr:uid="{837103F6-4DBA-4232-8E51-074D9B3D6AF3}"/>
    <cellStyle name="Migliaia 19 2 3 3 4" xfId="33303" xr:uid="{F05D2A9F-42D3-4D5B-85E3-B9988F3EF2D6}"/>
    <cellStyle name="Migliaia 19 2 3 3 5" xfId="20012" xr:uid="{B1185B14-64CA-4D6B-A841-66E773B653EE}"/>
    <cellStyle name="Migliaia 19 2 3 4" xfId="36208" xr:uid="{B801EA2F-32DB-4A64-8FEA-CEF9CA390C71}"/>
    <cellStyle name="Migliaia 19 2 3 5" xfId="41359" xr:uid="{9D5CD27E-73F1-4017-AC01-C71391C6538C}"/>
    <cellStyle name="Migliaia 19 2 3 6" xfId="16155" xr:uid="{B2FE1429-E10E-4B6F-9570-F97053A2DB1E}"/>
    <cellStyle name="Migliaia 19 2 3 7" xfId="8271" xr:uid="{2AA0577D-2B01-4C28-BB61-4845744C05B7}"/>
    <cellStyle name="Migliaia 19 2 4" xfId="4984" xr:uid="{C793143C-B402-42D0-AB28-3BD64F5249B6}"/>
    <cellStyle name="Migliaia 19 2 4 2" xfId="13912" xr:uid="{B6BDB3AE-C0E6-4FA8-A54F-98C08289EAC4}"/>
    <cellStyle name="Migliaia 19 2 4 2 2" xfId="38709" xr:uid="{619E0895-D217-451E-B61D-BB88331DCEB0}"/>
    <cellStyle name="Migliaia 19 2 4 2 3" xfId="44011" xr:uid="{46B627F4-8854-4F8A-9E27-85FF6E16AC57}"/>
    <cellStyle name="Migliaia 19 2 4 3" xfId="18620" xr:uid="{055BA807-2AF3-4B1B-9F64-805D5101C3DB}"/>
    <cellStyle name="Migliaia 19 2 4 4" xfId="20013" xr:uid="{095C0B2D-0E2A-426E-8454-3131C4DA3026}"/>
    <cellStyle name="Migliaia 19 2 4 4 2" xfId="41360" xr:uid="{7182C418-170E-46CE-8C77-0B195D1F8A62}"/>
    <cellStyle name="Migliaia 19 2 4 5" xfId="16156" xr:uid="{386FA3B7-5CC0-4D12-A684-6EA49A63EC63}"/>
    <cellStyle name="Migliaia 19 2 4 6" xfId="7860" xr:uid="{1C9C7EFF-FA94-49F1-B435-54358D6108AF}"/>
    <cellStyle name="Migliaia 19 2 5" xfId="6198" xr:uid="{AF0B5318-5D52-4428-BF2C-AC1DED89A204}"/>
    <cellStyle name="Migliaia 19 2 5 2" xfId="33304" xr:uid="{0E4B1240-3F52-4ED4-8614-D44B8F790776}"/>
    <cellStyle name="Migliaia 19 2 5 2 2" xfId="38710" xr:uid="{E23FE35B-636C-4904-ACB2-43117858EF45}"/>
    <cellStyle name="Migliaia 19 2 5 2 3" xfId="44012" xr:uid="{496E3D7B-38E3-45F9-889F-DA1CFEA2E5D7}"/>
    <cellStyle name="Migliaia 19 2 5 3" xfId="36209" xr:uid="{C2903C8A-C31C-4A6B-AA99-5C49A795664D}"/>
    <cellStyle name="Migliaia 19 2 5 4" xfId="41361" xr:uid="{29D6E7F6-C414-43EA-A55E-3C2F97848989}"/>
    <cellStyle name="Migliaia 19 2 5 5" xfId="13112" xr:uid="{0CB7EEAC-800B-4894-A9F3-1145C9234EE5}"/>
    <cellStyle name="Migliaia 19 2 6" xfId="3258" xr:uid="{85FE3AEE-D9F4-40E3-89FB-A1E14EEBD672}"/>
    <cellStyle name="Migliaia 19 2 6 2" xfId="33305" xr:uid="{007F6701-EBEA-4D37-BCA8-52AB575CA11B}"/>
    <cellStyle name="Migliaia 19 2 6 2 2" xfId="38711" xr:uid="{FE4086D8-E9FA-4CEA-BFE3-975BAA00779B}"/>
    <cellStyle name="Migliaia 19 2 6 2 3" xfId="44013" xr:uid="{B33DD25B-F7C5-4793-B740-1BBC321FFBC3}"/>
    <cellStyle name="Migliaia 19 2 6 3" xfId="36210" xr:uid="{ADA2DDA4-12EB-41C8-869B-B4EE3AA5AF5C}"/>
    <cellStyle name="Migliaia 19 2 6 4" xfId="41362" xr:uid="{F0C6DF97-650E-4745-B326-DFE608B320F3}"/>
    <cellStyle name="Migliaia 19 2 6 5" xfId="24403" xr:uid="{9C96E56D-9B76-49A7-A04F-529406A0FD8F}"/>
    <cellStyle name="Migliaia 19 2 6 6" xfId="20009" xr:uid="{997EDC78-E137-47C4-89B8-BFBD0DC84337}"/>
    <cellStyle name="Migliaia 19 2 7" xfId="24401" xr:uid="{925CC520-9E09-4E62-8036-F42D68B51135}"/>
    <cellStyle name="Migliaia 19 2 8" xfId="7072" xr:uid="{C60606A8-CD82-4790-8EE1-1F7BF688FA69}"/>
    <cellStyle name="Migliaia 19 3" xfId="339" xr:uid="{00000000-0005-0000-0000-000015030000}"/>
    <cellStyle name="Migliaia 19 3 10" xfId="24404" xr:uid="{B11E87CB-E87B-4ABC-B8EF-00D5D46D1B69}"/>
    <cellStyle name="Migliaia 19 3 11" xfId="16157" xr:uid="{9A8A9BCD-6513-44E1-B2AB-2254F6E064D4}"/>
    <cellStyle name="Migliaia 19 3 12" xfId="7073" xr:uid="{5B6384EC-9299-458D-8399-4AEB9533AFA8}"/>
    <cellStyle name="Migliaia 19 3 2" xfId="340" xr:uid="{00000000-0005-0000-0000-000016030000}"/>
    <cellStyle name="Migliaia 19 3 2 2" xfId="1704" xr:uid="{00000000-0005-0000-0000-000017030000}"/>
    <cellStyle name="Migliaia 19 3 2 2 2" xfId="4989" xr:uid="{A1BAE3DD-820A-49AF-AA68-4C3930EA6216}"/>
    <cellStyle name="Migliaia 19 3 2 2 2 2" xfId="18388" xr:uid="{7E64B54C-9224-4D10-9EA9-C7082F9206ED}"/>
    <cellStyle name="Migliaia 19 3 2 2 2 2 2" xfId="21847" xr:uid="{CAE7CDF4-7FF6-4755-9018-EF55BB4BF0C1}"/>
    <cellStyle name="Migliaia 19 3 2 2 2 2 2 2" xfId="38712" xr:uid="{A565763F-C24A-4147-B22E-AD4B5548AD36}"/>
    <cellStyle name="Migliaia 19 3 2 2 2 2 3" xfId="44014" xr:uid="{C3A597A6-AE90-407F-A357-2F9CDC3FA20E}"/>
    <cellStyle name="Migliaia 19 3 2 2 2 2 4" xfId="33306" xr:uid="{CC95B84A-5E28-455A-8850-906ACC7C4341}"/>
    <cellStyle name="Migliaia 19 3 2 2 2 3" xfId="36211" xr:uid="{91E5648B-2C3E-4789-AC9D-4F688E9B5F3D}"/>
    <cellStyle name="Migliaia 19 3 2 2 2 4" xfId="41363" xr:uid="{45B10680-EB8B-4C7B-9397-9DE71801415D}"/>
    <cellStyle name="Migliaia 19 3 2 2 2 5" xfId="48034" xr:uid="{4F54FD58-3706-49B3-BBAB-E378FD809D7B}"/>
    <cellStyle name="Migliaia 19 3 2 2 2 6" xfId="50875" xr:uid="{6E4CABF9-7D3D-41A6-90E9-322E8A6DC967}"/>
    <cellStyle name="Migliaia 19 3 2 2 2 7" xfId="53891" xr:uid="{0B513F68-70D5-462F-9718-EA27FBED58F8}"/>
    <cellStyle name="Migliaia 19 3 2 2 2 8" xfId="17648" xr:uid="{B3311226-1EFC-4C7C-9195-13232BC31F0F}"/>
    <cellStyle name="Migliaia 19 3 2 2 2 9" xfId="11923" xr:uid="{0D18327A-5B93-4DCF-A073-1AA73216A880}"/>
    <cellStyle name="Migliaia 19 3 2 2 3" xfId="6203" xr:uid="{491965D6-8099-40DA-BE0F-6272D26187E1}"/>
    <cellStyle name="Migliaia 19 3 2 2 3 2" xfId="11689" xr:uid="{7C0CB161-0732-4DDA-A977-2F36D117F8DE}"/>
    <cellStyle name="Migliaia 19 3 2 2 4" xfId="3263" xr:uid="{3401942F-8864-444A-9B47-92F0FE77A196}"/>
    <cellStyle name="Migliaia 19 3 2 2 4 2" xfId="21416" xr:uid="{7102D77A-A898-4F17-B540-94B98B3A212C}"/>
    <cellStyle name="Migliaia 19 3 2 2 4 3" xfId="48470" xr:uid="{4E7AD688-25DA-4B6A-AA60-A4C79B54F2BD}"/>
    <cellStyle name="Migliaia 19 3 2 2 4 4" xfId="50431" xr:uid="{E4DAD1D1-9450-4111-97AB-5BC8EF1D555C}"/>
    <cellStyle name="Migliaia 19 3 2 2 4 5" xfId="53447" xr:uid="{80127767-BD27-464B-BFEB-9983514A6BF9}"/>
    <cellStyle name="Migliaia 19 3 2 2 4 6" xfId="10781" xr:uid="{AABF90C6-D4B7-41E9-8749-A216FCDAD21B}"/>
    <cellStyle name="Migliaia 19 3 2 2 5" xfId="20016" xr:uid="{9A32B558-8643-4E65-B3CC-D774A853F65F}"/>
    <cellStyle name="Migliaia 19 3 2 2 6" xfId="24406" xr:uid="{FEDB7C9A-5AB3-4280-B2AE-ED33EFF31782}"/>
    <cellStyle name="Migliaia 19 3 2 2 7" xfId="8542" xr:uid="{03BB0E86-6F00-43CB-AFED-8B977C1EE595}"/>
    <cellStyle name="Migliaia 19 3 2 3" xfId="4988" xr:uid="{AAC3B8DD-58FE-4913-BE27-C5214A88C764}"/>
    <cellStyle name="Migliaia 19 3 2 3 2" xfId="11104" xr:uid="{2A9D8D9C-8B1B-40B1-B3E4-97BB5812C00E}"/>
    <cellStyle name="Migliaia 19 3 2 3 2 2" xfId="38713" xr:uid="{39E3FC52-F8D0-47C9-807F-683F65C443D5}"/>
    <cellStyle name="Migliaia 19 3 2 3 2 3" xfId="44015" xr:uid="{6CDB5EB9-0529-4590-BC4B-2FF4EE2D3E90}"/>
    <cellStyle name="Migliaia 19 3 2 3 2 4" xfId="33307" xr:uid="{7F3CEFF9-D6AA-4D10-AB53-1C656176AB6F}"/>
    <cellStyle name="Migliaia 19 3 2 3 3" xfId="11924" xr:uid="{31F01D6C-FF74-45EC-A8EE-59812A0DA611}"/>
    <cellStyle name="Migliaia 19 3 2 3 4" xfId="20017" xr:uid="{542C5E9D-87DF-4CD3-8F40-3EF5A49B5E72}"/>
    <cellStyle name="Migliaia 19 3 2 3 4 2" xfId="41364" xr:uid="{2B30DF0C-F7A4-412E-804B-194BD75736B2}"/>
    <cellStyle name="Migliaia 19 3 2 3 5" xfId="16158" xr:uid="{7ABB8FC3-4956-41B3-BAFB-4BFF0D3F3148}"/>
    <cellStyle name="Migliaia 19 3 2 3 6" xfId="7862" xr:uid="{5E9DE3C0-831B-4ACD-AFA6-1B8ADDEF2EE9}"/>
    <cellStyle name="Migliaia 19 3 2 4" xfId="6202" xr:uid="{77E51C55-6F86-4456-AC6C-E8FCD54AB083}"/>
    <cellStyle name="Migliaia 19 3 2 4 2" xfId="18067" xr:uid="{7435E20C-BC2D-436F-BA6F-63DA30C7FB80}"/>
    <cellStyle name="Migliaia 19 3 2 4 2 2" xfId="38714" xr:uid="{4FA9751E-1FBF-4D55-A1F2-1A9C5A579199}"/>
    <cellStyle name="Migliaia 19 3 2 4 2 3" xfId="44016" xr:uid="{4F09331D-8CB9-4106-9B1C-15249CADED67}"/>
    <cellStyle name="Migliaia 19 3 2 4 3" xfId="36212" xr:uid="{2B2DD447-B6D2-429C-9C4C-F7FF43646A99}"/>
    <cellStyle name="Migliaia 19 3 2 4 4" xfId="41365" xr:uid="{F51EE2EC-01F0-4669-9CE9-9A0806A40777}"/>
    <cellStyle name="Migliaia 19 3 2 4 5" xfId="17156" xr:uid="{6412584E-E599-423E-B8BF-682EB4297981}"/>
    <cellStyle name="Migliaia 19 3 2 4 6" xfId="11276" xr:uid="{D6750727-CD26-4763-8135-80512D98954A}"/>
    <cellStyle name="Migliaia 19 3 2 5" xfId="3262" xr:uid="{2BD6D86B-BC73-42BD-B1EA-B22170EA6BE9}"/>
    <cellStyle name="Migliaia 19 3 2 5 2" xfId="33308" xr:uid="{3477D35B-78BD-4CEB-9937-A2869B240140}"/>
    <cellStyle name="Migliaia 19 3 2 5 2 2" xfId="38715" xr:uid="{415E4272-F93C-416F-8C83-949E3EAD78F1}"/>
    <cellStyle name="Migliaia 19 3 2 5 2 3" xfId="44017" xr:uid="{CDEED874-6B76-4242-82F9-74045E16908B}"/>
    <cellStyle name="Migliaia 19 3 2 5 3" xfId="36213" xr:uid="{82C518B0-DF99-4923-A0CC-AB7A4E5F6307}"/>
    <cellStyle name="Migliaia 19 3 2 5 4" xfId="41366" xr:uid="{8081A9DA-2D2B-4CA4-9641-6B8217B767AD}"/>
    <cellStyle name="Migliaia 19 3 2 5 5" xfId="17396" xr:uid="{F639D3CD-B95A-4E85-B848-BB77F889BFB5}"/>
    <cellStyle name="Migliaia 19 3 2 6" xfId="20015" xr:uid="{06765607-E8FE-42E7-99B0-434810FB4616}"/>
    <cellStyle name="Migliaia 19 3 2 6 2" xfId="33309" xr:uid="{163934BF-6DE2-4DE6-BA4E-E89550D3DECF}"/>
    <cellStyle name="Migliaia 19 3 2 6 2 2" xfId="38716" xr:uid="{9D557F40-EE71-4804-B82D-6C91B9136695}"/>
    <cellStyle name="Migliaia 19 3 2 6 2 3" xfId="44018" xr:uid="{EDE35FC6-CA39-462D-9D45-F391085967F8}"/>
    <cellStyle name="Migliaia 19 3 2 6 3" xfId="36214" xr:uid="{6FAF8CD7-F346-40BB-B330-28ECE479E624}"/>
    <cellStyle name="Migliaia 19 3 2 6 4" xfId="41367" xr:uid="{77883306-BD26-4B3D-B1C1-2B2730E944B4}"/>
    <cellStyle name="Migliaia 19 3 2 6 5" xfId="24407" xr:uid="{7CECC288-A491-4854-974B-DD621F6A3947}"/>
    <cellStyle name="Migliaia 19 3 2 7" xfId="24405" xr:uid="{D65EA606-3954-4D7E-B30E-57E5F1544688}"/>
    <cellStyle name="Migliaia 19 3 2 8" xfId="7352" xr:uid="{D163855C-2D64-4290-BC34-033855794801}"/>
    <cellStyle name="Migliaia 19 3 3" xfId="3264" xr:uid="{95E934C0-2E91-490A-A54A-8CB19BB87552}"/>
    <cellStyle name="Migliaia 19 3 3 10" xfId="7351" xr:uid="{3963F2B3-A43B-43EC-804F-EABBBE604DE3}"/>
    <cellStyle name="Migliaia 19 3 3 2" xfId="4990" xr:uid="{C3BED81C-BE51-42DC-8EE0-4D6331C7903C}"/>
    <cellStyle name="Migliaia 19 3 3 2 2" xfId="9902" xr:uid="{B959FC3E-85F6-40DD-B729-0629C26EF1FE}"/>
    <cellStyle name="Migliaia 19 3 3 2 2 2" xfId="38718" xr:uid="{50D0D446-0547-470F-89AA-0FACE5504E51}"/>
    <cellStyle name="Migliaia 19 3 3 2 2 3" xfId="44020" xr:uid="{369266F0-2C9F-43DC-9B2C-99E58FCC35BE}"/>
    <cellStyle name="Migliaia 19 3 3 2 3" xfId="18182" xr:uid="{5753F73F-B7E2-42DC-A5FB-4C43F111C377}"/>
    <cellStyle name="Migliaia 19 3 3 2 4" xfId="20019" xr:uid="{D010FCF2-F5A0-4C58-9290-886226E199E9}"/>
    <cellStyle name="Migliaia 19 3 3 2 4 2" xfId="41369" xr:uid="{AF9F8D65-EDC4-41AE-A108-4CA39AC02DB7}"/>
    <cellStyle name="Migliaia 19 3 3 2 5" xfId="16160" xr:uid="{A092A9D3-7EF7-4F5B-8292-05ED2D76771E}"/>
    <cellStyle name="Migliaia 19 3 3 2 6" xfId="8541" xr:uid="{C8585DBC-2384-45BE-B2AA-D9F6023B8F77}"/>
    <cellStyle name="Migliaia 19 3 3 3" xfId="6204" xr:uid="{B42D0791-23A0-4522-B2D4-0FB9D408F63C}"/>
    <cellStyle name="Migliaia 19 3 3 3 2" xfId="33311" xr:uid="{4E730F4B-53B5-4A1F-884C-7D2F45FB28FA}"/>
    <cellStyle name="Migliaia 19 3 3 3 2 2" xfId="38719" xr:uid="{9226303F-E0FA-47E5-A4D2-3019B3312E8E}"/>
    <cellStyle name="Migliaia 19 3 3 3 2 3" xfId="44021" xr:uid="{6F4FA5B6-3522-4E44-B6D9-18C2A86E5277}"/>
    <cellStyle name="Migliaia 19 3 3 3 3" xfId="36216" xr:uid="{A4E62C0B-ACFD-4000-8625-AA34C2CD7485}"/>
    <cellStyle name="Migliaia 19 3 3 3 4" xfId="41370" xr:uid="{D17B946D-F8D3-41FD-817E-16BFBEF8561C}"/>
    <cellStyle name="Migliaia 19 3 3 3 5" xfId="9665" xr:uid="{33FF5600-03A0-4B1F-8D06-DC25D191CD7F}"/>
    <cellStyle name="Migliaia 19 3 3 4" xfId="20018" xr:uid="{205FC833-C287-4EC0-8795-B5FE9098849D}"/>
    <cellStyle name="Migliaia 19 3 3 4 2" xfId="33312" xr:uid="{C03898B3-298A-48D0-ABF3-36199B5066D5}"/>
    <cellStyle name="Migliaia 19 3 3 4 2 2" xfId="38720" xr:uid="{82B74096-7987-4C4D-AF63-79F6C72B86BC}"/>
    <cellStyle name="Migliaia 19 3 3 4 2 3" xfId="44022" xr:uid="{6229A847-4D7F-402A-B460-8E0B77B9189F}"/>
    <cellStyle name="Migliaia 19 3 3 4 3" xfId="36217" xr:uid="{3460253B-1FB6-499A-9C3B-B301BE9CB3B6}"/>
    <cellStyle name="Migliaia 19 3 3 4 4" xfId="41371" xr:uid="{CB4211F8-2DFC-40C8-BE6A-5BCA36898F12}"/>
    <cellStyle name="Migliaia 19 3 3 4 5" xfId="24408" xr:uid="{F555238A-EBA8-4730-8824-EA39C16658A8}"/>
    <cellStyle name="Migliaia 19 3 3 5" xfId="24409" xr:uid="{167E4B83-9C85-4115-874B-97AAFA5E0F78}"/>
    <cellStyle name="Migliaia 19 3 3 5 2" xfId="33313" xr:uid="{B5BB0DD3-0A83-4706-9DC8-53440778194E}"/>
    <cellStyle name="Migliaia 19 3 3 5 2 2" xfId="38721" xr:uid="{082F1FEC-A1F3-4DFD-84A4-C908553A1B84}"/>
    <cellStyle name="Migliaia 19 3 3 5 2 3" xfId="44023" xr:uid="{9283E4E7-A390-4501-AD4E-57D171ECA8DE}"/>
    <cellStyle name="Migliaia 19 3 3 5 3" xfId="36218" xr:uid="{81594651-CE07-4A6B-87EB-5B77320A89A4}"/>
    <cellStyle name="Migliaia 19 3 3 5 4" xfId="41372" xr:uid="{32A2FF99-DD29-417D-AB44-DD830A57576B}"/>
    <cellStyle name="Migliaia 19 3 3 6" xfId="33310" xr:uid="{D79FC2D4-4C18-4947-A8C9-8A2090C7EC9A}"/>
    <cellStyle name="Migliaia 19 3 3 6 2" xfId="38717" xr:uid="{C8800881-733A-4E4C-959D-5BD5EE1256D0}"/>
    <cellStyle name="Migliaia 19 3 3 6 3" xfId="44019" xr:uid="{D281916C-5557-4407-BD61-F30AC1089DED}"/>
    <cellStyle name="Migliaia 19 3 3 7" xfId="36215" xr:uid="{BB955A4F-1CCA-4428-8C76-109D7E170F99}"/>
    <cellStyle name="Migliaia 19 3 3 8" xfId="41368" xr:uid="{6E23ADE0-1137-4781-B814-B28BF1064002}"/>
    <cellStyle name="Migliaia 19 3 3 9" xfId="16159" xr:uid="{E6879DEB-D352-46F8-AACF-867C280B7458}"/>
    <cellStyle name="Migliaia 19 3 4" xfId="3265" xr:uid="{7AE4E268-5745-47EA-A3A7-1B75C330C6F2}"/>
    <cellStyle name="Migliaia 19 3 4 2" xfId="4991" xr:uid="{C43FD034-2D57-4E28-BA33-8811DD7D8BF2}"/>
    <cellStyle name="Migliaia 19 3 4 2 2" xfId="14433" xr:uid="{64AAB4EC-E513-4552-9FFC-C94FF7A86B30}"/>
    <cellStyle name="Migliaia 19 3 4 2 3" xfId="18125" xr:uid="{04834807-0E05-4F60-9114-C8A878E67004}"/>
    <cellStyle name="Migliaia 19 3 4 2 4" xfId="20021" xr:uid="{DF5EE6BD-FC0F-45F5-9628-44E478EAAAA5}"/>
    <cellStyle name="Migliaia 19 3 4 2 5" xfId="32320" xr:uid="{E3E3EB9C-68B4-4F31-8E43-6FF1EED4D586}"/>
    <cellStyle name="Migliaia 19 3 4 2 6" xfId="16162" xr:uid="{FE00FE4D-F263-4F6E-A5A1-C2D7BF606247}"/>
    <cellStyle name="Migliaia 19 3 4 2 7" xfId="8856" xr:uid="{E6359A4E-4730-48CE-B9E1-823EBC5DD857}"/>
    <cellStyle name="Migliaia 19 3 4 3" xfId="6205" xr:uid="{66ECF252-D3A6-4BEF-A3B2-38A11E62F731}"/>
    <cellStyle name="Migliaia 19 3 4 3 2" xfId="35193" xr:uid="{A8B2E4C4-3516-44EC-9B4A-118212C87BF5}"/>
    <cellStyle name="Migliaia 19 3 4 3 2 2" xfId="40351" xr:uid="{ED7A801A-3702-4531-BC71-0DA4D6969F40}"/>
    <cellStyle name="Migliaia 19 3 4 3 2 3" xfId="45653" xr:uid="{75A8AEF4-FECB-423F-94A7-EFF57534EEDA}"/>
    <cellStyle name="Migliaia 19 3 4 3 3" xfId="37700" xr:uid="{7D339279-6F1B-4EA1-B5F7-2F1F3EAE5EC1}"/>
    <cellStyle name="Migliaia 19 3 4 3 4" xfId="43002" xr:uid="{0836829D-B087-40A2-9528-6444A4F77B70}"/>
    <cellStyle name="Migliaia 19 3 4 3 5" xfId="13681" xr:uid="{4A61832F-D473-4173-BA32-7F7DD00C76A6}"/>
    <cellStyle name="Migliaia 19 3 4 4" xfId="20020" xr:uid="{C8B1E694-9B76-403A-8FA7-D2057BBCD1DB}"/>
    <cellStyle name="Migliaia 19 3 4 4 2" xfId="38722" xr:uid="{42CE11EE-F492-455C-AFD8-B58A2F484DCE}"/>
    <cellStyle name="Migliaia 19 3 4 4 3" xfId="44024" xr:uid="{3BE973E0-7ABF-4E6D-A558-C62B25A545C6}"/>
    <cellStyle name="Migliaia 19 3 4 4 4" xfId="33314" xr:uid="{4554F24A-ADFC-492A-9760-A0D9E00528B3}"/>
    <cellStyle name="Migliaia 19 3 4 5" xfId="36219" xr:uid="{D7BB8408-9F1A-4FF1-8500-567A2E4D07BD}"/>
    <cellStyle name="Migliaia 19 3 4 6" xfId="41373" xr:uid="{1688D238-C9DE-45AF-8BD7-FB21148E429D}"/>
    <cellStyle name="Migliaia 19 3 4 7" xfId="16161" xr:uid="{0903A2CA-5CA0-439A-971D-D544BEA44EDA}"/>
    <cellStyle name="Migliaia 19 3 4 8" xfId="7666" xr:uid="{A668A322-D5A9-4395-AA77-089DDCAD28B5}"/>
    <cellStyle name="Migliaia 19 3 5" xfId="3266" xr:uid="{7DBC6E18-9DCF-4DF2-B801-CA13363F3EA5}"/>
    <cellStyle name="Migliaia 19 3 5 2" xfId="4992" xr:uid="{B09A3B84-BB0E-4386-AD27-CCCBEC6CCD7F}"/>
    <cellStyle name="Migliaia 19 3 5 2 2" xfId="35194" xr:uid="{F7AB143F-84F2-49FE-A362-44A38CBFF97C}"/>
    <cellStyle name="Migliaia 19 3 5 2 2 2" xfId="40352" xr:uid="{FAF7A392-E252-4904-9D42-16FA7E54F589}"/>
    <cellStyle name="Migliaia 19 3 5 2 2 3" xfId="45654" xr:uid="{23674197-229B-4EE8-9157-6BDABC253F9C}"/>
    <cellStyle name="Migliaia 19 3 5 2 3" xfId="37701" xr:uid="{DB7E587D-1A26-485C-841C-F7F444FAA991}"/>
    <cellStyle name="Migliaia 19 3 5 2 4" xfId="43003" xr:uid="{FC624441-5BA4-4589-BC4B-D0C616A0DA7A}"/>
    <cellStyle name="Migliaia 19 3 5 2 5" xfId="14210" xr:uid="{BD7C26B5-6059-471C-B57A-B94C947B7E13}"/>
    <cellStyle name="Migliaia 19 3 5 3" xfId="6206" xr:uid="{885B50DB-7E80-4EEC-8866-2842E19F13F7}"/>
    <cellStyle name="Migliaia 19 3 5 3 2" xfId="38723" xr:uid="{233A7816-E0B9-4E81-BAB8-D01E568EF771}"/>
    <cellStyle name="Migliaia 19 3 5 3 3" xfId="44025" xr:uid="{EE6E16A8-EA85-44C1-9437-668879829C25}"/>
    <cellStyle name="Migliaia 19 3 5 3 4" xfId="33315" xr:uid="{32A852DA-89B5-4F5C-A4E6-D4AF910664CA}"/>
    <cellStyle name="Migliaia 19 3 5 3 5" xfId="20022" xr:uid="{FD7F8732-F4DC-40FF-8789-5FADBE497F23}"/>
    <cellStyle name="Migliaia 19 3 5 4" xfId="36220" xr:uid="{720051DF-5FE5-4CA8-A0D4-B88ABCF9C360}"/>
    <cellStyle name="Migliaia 19 3 5 5" xfId="41374" xr:uid="{08274A0A-A148-46B3-8F56-2F48D1229D7B}"/>
    <cellStyle name="Migliaia 19 3 5 6" xfId="16163" xr:uid="{4006E7C7-7D1F-4940-8D36-6F764103C04D}"/>
    <cellStyle name="Migliaia 19 3 5 7" xfId="8272" xr:uid="{12F25D0D-5B92-439F-B122-CE532E3D7572}"/>
    <cellStyle name="Migliaia 19 3 6" xfId="4987" xr:uid="{49C4597E-B242-4533-A086-C6465140A1F1}"/>
    <cellStyle name="Migliaia 19 3 6 2" xfId="13913" xr:uid="{4534FF77-5F4F-475D-A55B-E97E99903106}"/>
    <cellStyle name="Migliaia 19 3 6 2 2" xfId="38724" xr:uid="{DD4EEB33-7415-4568-866F-AE16FA19EEF9}"/>
    <cellStyle name="Migliaia 19 3 6 2 3" xfId="44026" xr:uid="{FEE89E05-7BA5-40B6-B8CA-A1AADBFE57C7}"/>
    <cellStyle name="Migliaia 19 3 6 3" xfId="18284" xr:uid="{4E5E1C55-EE00-41F8-8681-7DEF9AE08FC9}"/>
    <cellStyle name="Migliaia 19 3 6 4" xfId="20023" xr:uid="{B636A309-4C43-456E-AE46-85C1408CCBFC}"/>
    <cellStyle name="Migliaia 19 3 6 4 2" xfId="41375" xr:uid="{91DC4194-9F11-4CFD-9724-90E7A7A340EC}"/>
    <cellStyle name="Migliaia 19 3 6 5" xfId="16164" xr:uid="{0195F767-FD19-456A-880E-B637217D243B}"/>
    <cellStyle name="Migliaia 19 3 6 6" xfId="7861" xr:uid="{8B085D41-0E6E-4E6A-A35A-7669FE2F3476}"/>
    <cellStyle name="Migliaia 19 3 7" xfId="6201" xr:uid="{590C9D33-19A5-44AB-A278-CFCB3369BEC6}"/>
    <cellStyle name="Migliaia 19 3 7 2" xfId="33316" xr:uid="{789A6294-4653-4A96-8B19-A43619A9338C}"/>
    <cellStyle name="Migliaia 19 3 7 2 2" xfId="38725" xr:uid="{93978D2B-E222-4AEF-A2D8-1BF07CF1C2CC}"/>
    <cellStyle name="Migliaia 19 3 7 2 3" xfId="44027" xr:uid="{0499B81E-4D6A-4398-A096-D2FB7719A7B2}"/>
    <cellStyle name="Migliaia 19 3 7 3" xfId="36221" xr:uid="{4FCA7A6B-8D21-40C0-87DC-F01C4038ED96}"/>
    <cellStyle name="Migliaia 19 3 7 4" xfId="41376" xr:uid="{1F4389E1-D324-4F11-BEC3-6AD26E70319F}"/>
    <cellStyle name="Migliaia 19 3 7 5" xfId="11153" xr:uid="{24FFCA82-F75B-45C5-9B52-5D953EC1FAF0}"/>
    <cellStyle name="Migliaia 19 3 8" xfId="3261" xr:uid="{D1585B06-D85F-4FD1-9716-BA81838D8BEA}"/>
    <cellStyle name="Migliaia 19 3 8 2" xfId="33317" xr:uid="{B0DFA7A9-6DFE-47CC-ACBE-AE4DA870707E}"/>
    <cellStyle name="Migliaia 19 3 8 2 2" xfId="38726" xr:uid="{55D1ACD7-7BB6-43BE-9079-5D748AD2B522}"/>
    <cellStyle name="Migliaia 19 3 8 2 3" xfId="44028" xr:uid="{DC81B492-6270-4BF6-9BF4-9C2548ECE0A7}"/>
    <cellStyle name="Migliaia 19 3 8 3" xfId="36222" xr:uid="{061E00C2-2E68-4571-9690-590F7AC6DA0C}"/>
    <cellStyle name="Migliaia 19 3 8 4" xfId="41377" xr:uid="{D8C2AFE7-5B8E-48D3-A947-319E36BC2CCA}"/>
    <cellStyle name="Migliaia 19 3 8 5" xfId="24410" xr:uid="{D80F8E62-D46E-4885-95A4-79F9F32969B0}"/>
    <cellStyle name="Migliaia 19 3 8 6" xfId="17397" xr:uid="{8B61653D-DF12-4419-971B-00375EBE74B6}"/>
    <cellStyle name="Migliaia 19 3 9" xfId="20014" xr:uid="{1C0BDB71-3426-4777-AFDA-F2D0468604C7}"/>
    <cellStyle name="Migliaia 19 4" xfId="1705" xr:uid="{00000000-0005-0000-0000-000018030000}"/>
    <cellStyle name="Migliaia 19 4 2" xfId="1706" xr:uid="{00000000-0005-0000-0000-000019030000}"/>
    <cellStyle name="Migliaia 19 4 2 2" xfId="4994" xr:uid="{9A7E0493-C426-4B43-A10C-65DFF4630C10}"/>
    <cellStyle name="Migliaia 19 4 2 2 2" xfId="33318" xr:uid="{A3B6B49A-08B2-4A16-9A1C-44BE7801EAB6}"/>
    <cellStyle name="Migliaia 19 4 2 2 2 2" xfId="38727" xr:uid="{D02D64BD-66AB-4F14-8BFE-BB758BD4A3FB}"/>
    <cellStyle name="Migliaia 19 4 2 2 2 3" xfId="44029" xr:uid="{1883EDFD-C52E-439F-8D4E-A601E6530E7D}"/>
    <cellStyle name="Migliaia 19 4 2 2 3" xfId="36223" xr:uid="{15BE44CA-189D-4B55-8005-B6197EFB2A9B}"/>
    <cellStyle name="Migliaia 19 4 2 2 4" xfId="41378" xr:uid="{A978B24E-6DC2-4919-8BCA-25104FB0F86E}"/>
    <cellStyle name="Migliaia 19 4 2 2 5" xfId="9128" xr:uid="{D42879A1-9C59-4879-8546-2B1B0821FD6A}"/>
    <cellStyle name="Migliaia 19 4 2 3" xfId="3268" xr:uid="{0331420F-C1C0-4F70-8B65-7C19B75EA04A}"/>
    <cellStyle name="Migliaia 19 4 2 3 2" xfId="33319" xr:uid="{BBCD78B1-DFA6-4FDB-BC67-48FA8D5D1055}"/>
    <cellStyle name="Migliaia 19 4 2 3 2 2" xfId="38728" xr:uid="{ABB59DB7-D1B7-42DE-A232-7F78D47261E4}"/>
    <cellStyle name="Migliaia 19 4 2 3 2 3" xfId="44030" xr:uid="{F9DD283C-5854-404E-B77C-D63FF187C2AB}"/>
    <cellStyle name="Migliaia 19 4 2 3 3" xfId="36224" xr:uid="{90F423C1-A7F2-4E46-8818-F6395F68AE4D}"/>
    <cellStyle name="Migliaia 19 4 2 3 4" xfId="41379" xr:uid="{212AC411-B139-4B65-9281-F59EC5D1245D}"/>
    <cellStyle name="Migliaia 19 4 2 3 5" xfId="11925" xr:uid="{5AF50A60-10BB-47CD-BC90-7BB4FA1691B6}"/>
    <cellStyle name="Migliaia 19 4 2 4" xfId="11278" xr:uid="{7F97FBE8-639F-457D-9749-2CB19D52465A}"/>
    <cellStyle name="Migliaia 19 4 2 5" xfId="10783" xr:uid="{0BC90DA6-6C2D-43A6-9482-E0100B9D2EE0}"/>
    <cellStyle name="Migliaia 19 4 2 5 2" xfId="21418" xr:uid="{E18FAECE-E9A5-49B4-B3AA-AAEAD1A5EA51}"/>
    <cellStyle name="Migliaia 19 4 2 5 3" xfId="47510" xr:uid="{A915D1EE-C591-4211-8A74-EAE0FAC11A84}"/>
    <cellStyle name="Migliaia 19 4 2 5 4" xfId="50433" xr:uid="{F3DA111E-5CFA-47F2-B4E7-CC4984341588}"/>
    <cellStyle name="Migliaia 19 4 2 5 5" xfId="53449" xr:uid="{780218B4-E7A9-4CCF-9B2A-EE4E3871C0D9}"/>
    <cellStyle name="Migliaia 19 4 2 6" xfId="20025" xr:uid="{A065521C-9111-420A-9E6A-239C1F73CAED}"/>
    <cellStyle name="Migliaia 19 4 2 7" xfId="24412" xr:uid="{421F4B0F-E300-4FA2-BE45-51FD85D50ED6}"/>
    <cellStyle name="Migliaia 19 4 2 8" xfId="8543" xr:uid="{8F617E21-1BDA-48A3-B9B3-3F530C4EB201}"/>
    <cellStyle name="Migliaia 19 4 3" xfId="4993" xr:uid="{8E2B633E-7A4D-4718-A1C5-F4F5A6A43BA4}"/>
    <cellStyle name="Migliaia 19 4 3 2" xfId="18183" xr:uid="{AF1A9A07-DAB9-4EEA-BACC-D2266945B990}"/>
    <cellStyle name="Migliaia 19 4 3 2 2" xfId="38729" xr:uid="{32407F9A-BD9E-4DF2-84D7-788E5CD8CF72}"/>
    <cellStyle name="Migliaia 19 4 3 2 3" xfId="44031" xr:uid="{112AE0F2-8B94-48A4-B731-77DF762B24EC}"/>
    <cellStyle name="Migliaia 19 4 3 3" xfId="36225" xr:uid="{A9F2169A-FCA2-45FE-93E0-B491D4DB096D}"/>
    <cellStyle name="Migliaia 19 4 3 4" xfId="41380" xr:uid="{864375CB-702B-4327-907F-40C74F79F30C}"/>
    <cellStyle name="Migliaia 19 4 3 5" xfId="17395" xr:uid="{BD8B0A27-FBF1-4687-8ABC-CF4898C47DDB}"/>
    <cellStyle name="Migliaia 19 4 3 6" xfId="9129" xr:uid="{8783F385-74FD-42C7-B46F-73BF03F01F95}"/>
    <cellStyle name="Migliaia 19 4 4" xfId="6207" xr:uid="{4009F911-1E47-417E-9639-404C56AFD691}"/>
    <cellStyle name="Migliaia 19 4 4 2" xfId="33320" xr:uid="{2DC0711B-F414-45B3-93D0-8B9D5C9CFE2C}"/>
    <cellStyle name="Migliaia 19 4 4 2 2" xfId="38730" xr:uid="{CF75503A-61A8-4C7D-8280-DE06DF2034A3}"/>
    <cellStyle name="Migliaia 19 4 4 2 3" xfId="44032" xr:uid="{BE161814-B243-4357-82EC-90128F529384}"/>
    <cellStyle name="Migliaia 19 4 4 3" xfId="36226" xr:uid="{06346F87-7A21-44D3-ACA0-39D15FDB07F5}"/>
    <cellStyle name="Migliaia 19 4 4 4" xfId="41381" xr:uid="{A499EEE9-1B11-48A7-9003-26C55B85F33A}"/>
    <cellStyle name="Migliaia 19 4 4 5" xfId="11926" xr:uid="{440F1549-8ABF-4382-A7C4-CF8B6B5B5043}"/>
    <cellStyle name="Migliaia 19 4 5" xfId="3267" xr:uid="{48EFFAB1-8DE9-48F6-89BA-FE2089E96E51}"/>
    <cellStyle name="Migliaia 19 4 5 2" xfId="33321" xr:uid="{BAECF780-258D-4114-8F58-D2064BAB3DC4}"/>
    <cellStyle name="Migliaia 19 4 5 2 2" xfId="38731" xr:uid="{C7F3E419-0E03-4B71-B936-A485E48127DE}"/>
    <cellStyle name="Migliaia 19 4 5 2 3" xfId="44033" xr:uid="{FF71E524-E24B-43E2-A825-1E30C97BF310}"/>
    <cellStyle name="Migliaia 19 4 5 3" xfId="36227" xr:uid="{1DF9FD80-BE0F-4EE3-A257-8C7AE0C6AADA}"/>
    <cellStyle name="Migliaia 19 4 5 4" xfId="41382" xr:uid="{6488D82C-ADDD-471A-B575-50FC8A7F587D}"/>
    <cellStyle name="Migliaia 19 4 5 5" xfId="11277" xr:uid="{E7867458-88D9-402F-92E0-F57F93799DCA}"/>
    <cellStyle name="Migliaia 19 4 6" xfId="10782" xr:uid="{685334C2-DAC1-4141-AA26-462E4CE737F2}"/>
    <cellStyle name="Migliaia 19 4 6 2" xfId="21417" xr:uid="{68C2ED6B-FB48-4F2E-96D8-EE3E5E1FD94C}"/>
    <cellStyle name="Migliaia 19 4 6 2 2" xfId="38732" xr:uid="{0A2824EC-ADD7-4526-BFD4-452634E2C8E5}"/>
    <cellStyle name="Migliaia 19 4 6 2 3" xfId="44034" xr:uid="{BE47BBAE-ADCF-4380-AD8C-242F6805AB77}"/>
    <cellStyle name="Migliaia 19 4 6 2 4" xfId="33322" xr:uid="{F0572057-5651-4F00-A0AE-560BD8410843}"/>
    <cellStyle name="Migliaia 19 4 6 3" xfId="36228" xr:uid="{121DC5C7-6331-4642-9AD5-E2A3E298F93A}"/>
    <cellStyle name="Migliaia 19 4 6 4" xfId="41383" xr:uid="{507AB781-D461-4547-B738-1EC138CC3E34}"/>
    <cellStyle name="Migliaia 19 4 6 5" xfId="24413" xr:uid="{2E9E7209-A566-4CB6-9971-7B0C18D17ACE}"/>
    <cellStyle name="Migliaia 19 4 6 6" xfId="25356" xr:uid="{A2DD55E7-B1E5-4BD8-BCE7-E6AA66008F18}"/>
    <cellStyle name="Migliaia 19 4 6 7" xfId="50432" xr:uid="{6C2ADE09-73E0-48E1-830F-A64B105961BB}"/>
    <cellStyle name="Migliaia 19 4 6 8" xfId="53448" xr:uid="{53ED3FC4-5B36-46DE-93D1-382B074EAE5F}"/>
    <cellStyle name="Migliaia 19 4 7" xfId="20024" xr:uid="{9A123EBE-B7AF-4281-A4F4-8C06557FC750}"/>
    <cellStyle name="Migliaia 19 4 7 2" xfId="33323" xr:uid="{C9A64987-AA63-4F71-9CE5-B692E91A268A}"/>
    <cellStyle name="Migliaia 19 4 7 2 2" xfId="38733" xr:uid="{0C1AAD1C-A7AD-4012-AECE-4A39A18767AA}"/>
    <cellStyle name="Migliaia 19 4 7 2 3" xfId="44035" xr:uid="{2AAA7D85-4352-4070-BB8F-C6FB882E8818}"/>
    <cellStyle name="Migliaia 19 4 7 3" xfId="36229" xr:uid="{473E0AE4-55FE-400A-8F8B-2E2F0F825CD0}"/>
    <cellStyle name="Migliaia 19 4 7 4" xfId="41384" xr:uid="{91048FCE-E965-42FA-B508-517B45362E16}"/>
    <cellStyle name="Migliaia 19 4 7 5" xfId="24414" xr:uid="{A390FB7D-14B3-4E29-AF81-9D7FBFA28317}"/>
    <cellStyle name="Migliaia 19 4 8" xfId="24411" xr:uid="{8490E49C-14BD-45C6-A544-8AD5F0276C55}"/>
    <cellStyle name="Migliaia 19 4 9" xfId="7353" xr:uid="{EBC4F6A8-5630-4EA5-A67A-41CA3BB62B6B}"/>
    <cellStyle name="Migliaia 19 5" xfId="1707" xr:uid="{00000000-0005-0000-0000-00001A030000}"/>
    <cellStyle name="Migliaia 19 5 2" xfId="4995" xr:uid="{6C3915C5-B17E-43D0-8D4A-A8D692791784}"/>
    <cellStyle name="Migliaia 19 5 2 2" xfId="18389" xr:uid="{B7CF790D-4B89-4DA6-A117-A001F7E1332A}"/>
    <cellStyle name="Migliaia 19 5 2 2 2" xfId="38734" xr:uid="{6C86CE4D-BE6D-49A5-BA6C-E4B555A6CB29}"/>
    <cellStyle name="Migliaia 19 5 2 2 3" xfId="44036" xr:uid="{66281E05-9F28-439E-8CF2-BF0B42BB4E5B}"/>
    <cellStyle name="Migliaia 19 5 2 3" xfId="20027" xr:uid="{BB5CD387-E616-46D0-B5CD-EB485C3C2789}"/>
    <cellStyle name="Migliaia 19 5 2 3 2" xfId="36230" xr:uid="{C9392C77-188B-4CE8-909F-64631258E84D}"/>
    <cellStyle name="Migliaia 19 5 2 4" xfId="41385" xr:uid="{F3AA3698-D0AE-48E3-923F-7377B6A68903}"/>
    <cellStyle name="Migliaia 19 5 2 5" xfId="16165" xr:uid="{0636802F-CC55-4CE3-91AE-CAC4BBE78DA6}"/>
    <cellStyle name="Migliaia 19 5 2 6" xfId="8544" xr:uid="{40CC1468-1C7C-449C-8C4B-F531D0AE5A01}"/>
    <cellStyle name="Migliaia 19 5 3" xfId="6208" xr:uid="{6337CDC3-6F42-4890-8DDC-D92BCB0691A6}"/>
    <cellStyle name="Migliaia 19 5 3 2" xfId="33324" xr:uid="{B8E7C28F-C655-4DB0-BD8D-A9C7C5E4F8F0}"/>
    <cellStyle name="Migliaia 19 5 3 2 2" xfId="38735" xr:uid="{D997939B-95AC-41FD-A213-16E230B3E66D}"/>
    <cellStyle name="Migliaia 19 5 3 2 3" xfId="44037" xr:uid="{683255F6-DA7C-4EAE-87A1-3ED9A87DE886}"/>
    <cellStyle name="Migliaia 19 5 3 3" xfId="36231" xr:uid="{DCF364AF-E3DF-4469-AEEF-32E1E2D67D94}"/>
    <cellStyle name="Migliaia 19 5 3 4" xfId="41386" xr:uid="{31ADEE18-C402-4CCB-A949-80170CAC42E9}"/>
    <cellStyle name="Migliaia 19 5 3 5" xfId="11279" xr:uid="{618337C7-24BE-4AB4-B646-79DA8DFF26AA}"/>
    <cellStyle name="Migliaia 19 5 4" xfId="3269" xr:uid="{900A732B-E6FB-4C98-80FD-512C52368D6D}"/>
    <cellStyle name="Migliaia 19 5 4 2" xfId="21419" xr:uid="{9829B61A-B1B6-4280-B4A1-F54FBC0A52F7}"/>
    <cellStyle name="Migliaia 19 5 4 2 2" xfId="38736" xr:uid="{80375388-E257-424E-BDF3-86288F13E576}"/>
    <cellStyle name="Migliaia 19 5 4 2 3" xfId="44038" xr:uid="{B048E96F-DAF4-41E1-BDF9-9DAFF6810836}"/>
    <cellStyle name="Migliaia 19 5 4 2 4" xfId="33325" xr:uid="{6E71E114-14B0-4A6F-A08B-A92C40A3DA52}"/>
    <cellStyle name="Migliaia 19 5 4 3" xfId="36232" xr:uid="{23E34F39-B90E-48F5-8D04-5FDA5002DEBB}"/>
    <cellStyle name="Migliaia 19 5 4 4" xfId="41387" xr:uid="{FA84B9F7-1F5D-4353-A5AA-E38A1AEDD55F}"/>
    <cellStyle name="Migliaia 19 5 4 5" xfId="24416" xr:uid="{1CB7599E-6903-48D2-8E8E-2A4913A12985}"/>
    <cellStyle name="Migliaia 19 5 4 6" xfId="46641" xr:uid="{8D140FF8-F284-4517-BCCE-900D6A75CFD4}"/>
    <cellStyle name="Migliaia 19 5 4 7" xfId="50434" xr:uid="{C0C3E1D8-7D9A-4858-BB96-9B8CE44DA882}"/>
    <cellStyle name="Migliaia 19 5 4 8" xfId="53450" xr:uid="{9FA208F5-8C93-4D79-99AC-AF16C5C8251E}"/>
    <cellStyle name="Migliaia 19 5 4 9" xfId="10784" xr:uid="{A94E93BD-224C-4516-922F-B76236B75A70}"/>
    <cellStyle name="Migliaia 19 5 5" xfId="20026" xr:uid="{097642FD-A81D-4FE0-8BFA-F8E23473A998}"/>
    <cellStyle name="Migliaia 19 5 5 2" xfId="33326" xr:uid="{DFD1899C-E2AC-4207-8A9D-333807010F26}"/>
    <cellStyle name="Migliaia 19 5 5 2 2" xfId="38737" xr:uid="{0A731911-99E8-4417-B445-A717F3F312EA}"/>
    <cellStyle name="Migliaia 19 5 5 2 3" xfId="44039" xr:uid="{3A752BB4-F6D3-4930-B459-EC82E8FBA724}"/>
    <cellStyle name="Migliaia 19 5 5 3" xfId="36233" xr:uid="{70A75A2D-3D3F-48F9-980A-3A190FC5DFE0}"/>
    <cellStyle name="Migliaia 19 5 5 4" xfId="41388" xr:uid="{B39459B7-07ED-4AF7-A9C0-AE4B7FA32B71}"/>
    <cellStyle name="Migliaia 19 5 5 5" xfId="24417" xr:uid="{00EE7565-3381-4F9E-9E7B-061636DEAE97}"/>
    <cellStyle name="Migliaia 19 5 6" xfId="24418" xr:uid="{AE406D2F-88F6-4632-A902-9541F50D1FB6}"/>
    <cellStyle name="Migliaia 19 5 6 2" xfId="33327" xr:uid="{8B2B073B-A9F4-492D-B75E-73B274147B8E}"/>
    <cellStyle name="Migliaia 19 5 6 2 2" xfId="38738" xr:uid="{07CA01FD-7CAA-4A14-BFE1-81EFE90E87F4}"/>
    <cellStyle name="Migliaia 19 5 6 2 3" xfId="44040" xr:uid="{D817383D-FFF7-4862-86B2-559399CB9BA9}"/>
    <cellStyle name="Migliaia 19 5 6 3" xfId="36234" xr:uid="{67975F22-F13D-44C0-A323-8CA3645BD125}"/>
    <cellStyle name="Migliaia 19 5 6 4" xfId="41389" xr:uid="{281F5DE0-ADA4-44FB-B90E-212454AEFB97}"/>
    <cellStyle name="Migliaia 19 5 7" xfId="24415" xr:uid="{F77CB3E2-F500-4500-9437-9FB41F4D984A}"/>
    <cellStyle name="Migliaia 19 5 8" xfId="7354" xr:uid="{F7FCBE2B-BA32-4F27-86D8-ECEA8D97D9A9}"/>
    <cellStyle name="Migliaia 19 6" xfId="3270" xr:uid="{9E9B04EA-73B5-4D5F-AD77-19BC7159F5F6}"/>
    <cellStyle name="Migliaia 19 6 2" xfId="4996" xr:uid="{BEF9BF70-E567-427B-A749-B4BF012B562E}"/>
    <cellStyle name="Migliaia 19 6 2 2" xfId="9901" xr:uid="{E7BA0BA0-8373-4BFD-925E-1204A804741C}"/>
    <cellStyle name="Migliaia 19 6 2 3" xfId="18670" xr:uid="{8A43E0D0-0149-49F4-AD47-C1DA9E46157E}"/>
    <cellStyle name="Migliaia 19 6 2 4" xfId="20029" xr:uid="{92DD9B66-38CA-4BE4-8A66-35830E9A80D5}"/>
    <cellStyle name="Migliaia 19 6 2 5" xfId="32321" xr:uid="{21EA5E36-24E4-4288-B809-1451ACA059BD}"/>
    <cellStyle name="Migliaia 19 6 2 6" xfId="16167" xr:uid="{A7C799AA-D5C5-4D8A-A733-7195E2C8D7AA}"/>
    <cellStyle name="Migliaia 19 6 2 7" xfId="8539" xr:uid="{872DE083-59CF-462E-A3DE-FC770E01A54C}"/>
    <cellStyle name="Migliaia 19 6 3" xfId="6209" xr:uid="{AA3B5161-7F66-4F29-9650-14FB5D09038A}"/>
    <cellStyle name="Migliaia 19 6 3 2" xfId="35195" xr:uid="{688B643C-5B42-48E1-9246-DB6A89527A08}"/>
    <cellStyle name="Migliaia 19 6 3 2 2" xfId="40353" xr:uid="{7E328D6F-033C-4946-8219-D2963A202C8F}"/>
    <cellStyle name="Migliaia 19 6 3 2 3" xfId="45655" xr:uid="{3C5FA514-621E-4B37-BFE8-AC2F09FFBEC0}"/>
    <cellStyle name="Migliaia 19 6 3 3" xfId="37702" xr:uid="{CF919D72-EED1-4A8B-90A9-357700CABCBA}"/>
    <cellStyle name="Migliaia 19 6 3 4" xfId="43004" xr:uid="{2C43DFBB-FACE-4FC5-9409-943B395A05A9}"/>
    <cellStyle name="Migliaia 19 6 3 5" xfId="9664" xr:uid="{A11F4D50-BCDD-49E4-9AAC-F248D0F44E40}"/>
    <cellStyle name="Migliaia 19 6 4" xfId="20028" xr:uid="{55873864-4A84-4E32-927D-9E10F507B627}"/>
    <cellStyle name="Migliaia 19 6 4 2" xfId="38739" xr:uid="{BAA85C4E-EDCB-4BDF-B838-7EF0E5FA68B9}"/>
    <cellStyle name="Migliaia 19 6 4 3" xfId="44041" xr:uid="{AF79CA51-B8D1-4553-8593-B98D56CCB7AB}"/>
    <cellStyle name="Migliaia 19 6 4 4" xfId="33328" xr:uid="{8C1CF259-6744-47D4-8C73-4D504CE42AD1}"/>
    <cellStyle name="Migliaia 19 6 5" xfId="36235" xr:uid="{0A3C2C0C-F4FA-43AE-A424-7BA558578C72}"/>
    <cellStyle name="Migliaia 19 6 6" xfId="41390" xr:uid="{06D5E3DB-F62E-4CD7-A757-383E451801EE}"/>
    <cellStyle name="Migliaia 19 6 7" xfId="16166" xr:uid="{497BF3DF-BE9F-4EFD-9E04-050F6F78342D}"/>
    <cellStyle name="Migliaia 19 6 8" xfId="7349" xr:uid="{54770B47-5106-465C-A7BC-3AE53F5B45A6}"/>
    <cellStyle name="Migliaia 19 7" xfId="3271" xr:uid="{AF4F06DB-E708-406F-ABF3-550629CB2981}"/>
    <cellStyle name="Migliaia 19 7 2" xfId="4997" xr:uid="{25F5E1BD-2A63-4269-B98E-1FB3CC9225E7}"/>
    <cellStyle name="Migliaia 19 7 2 2" xfId="35196" xr:uid="{BF6C4F3A-28D7-40CF-8454-05A68064D552}"/>
    <cellStyle name="Migliaia 19 7 2 2 2" xfId="40354" xr:uid="{8E93AB57-B516-4B71-9A0B-2BE0A45E82B0}"/>
    <cellStyle name="Migliaia 19 7 2 2 3" xfId="45656" xr:uid="{FA1A310D-6C06-4967-9732-0189D1F6B7AE}"/>
    <cellStyle name="Migliaia 19 7 2 3" xfId="37703" xr:uid="{0B2C1D80-0FE9-40E2-A394-3BA62BEF96B1}"/>
    <cellStyle name="Migliaia 19 7 2 4" xfId="43005" xr:uid="{DA0B3067-1043-4BCE-9FE9-B8B2B4F9A0BE}"/>
    <cellStyle name="Migliaia 19 7 2 5" xfId="14208" xr:uid="{04CC0476-68F8-48FE-B0B9-D1A7ABA07F03}"/>
    <cellStyle name="Migliaia 19 7 3" xfId="6210" xr:uid="{55BDB78C-303D-4D0E-AD1D-619FA0383594}"/>
    <cellStyle name="Migliaia 19 7 3 2" xfId="38740" xr:uid="{255870B3-0735-4BEB-B923-32839B2EDB1D}"/>
    <cellStyle name="Migliaia 19 7 3 3" xfId="44042" xr:uid="{3A75D4B4-DD98-441F-810A-D734A363567A}"/>
    <cellStyle name="Migliaia 19 7 3 4" xfId="33329" xr:uid="{19F4541A-7F6B-496A-BF41-6EFF4BCE5B5A}"/>
    <cellStyle name="Migliaia 19 7 3 5" xfId="20030" xr:uid="{4C31C687-C765-4065-AAF6-CB9228CCD430}"/>
    <cellStyle name="Migliaia 19 7 4" xfId="36236" xr:uid="{4641B8FF-6010-4AF9-A9E3-10430C431DDD}"/>
    <cellStyle name="Migliaia 19 7 5" xfId="41391" xr:uid="{22B2BF61-A236-49AC-BD64-A6E0F83547E8}"/>
    <cellStyle name="Migliaia 19 7 6" xfId="16168" xr:uid="{49C7D5D8-F4C7-4217-9BCB-9F241B29A93A}"/>
    <cellStyle name="Migliaia 19 7 7" xfId="8270" xr:uid="{BEFBF744-9311-4E1B-9383-A10993ADD9B0}"/>
    <cellStyle name="Migliaia 19 8" xfId="3272" xr:uid="{5566C951-33FE-44D7-A4E8-F43C5A3EF700}"/>
    <cellStyle name="Migliaia 19 8 2" xfId="4998" xr:uid="{B8CC2568-7246-4347-916C-67F7C6ABC2A9}"/>
    <cellStyle name="Migliaia 19 8 2 2" xfId="35197" xr:uid="{80C2ABA9-004E-4C6C-BC7D-DF2D31A822D5}"/>
    <cellStyle name="Migliaia 19 8 2 2 2" xfId="40355" xr:uid="{8E9E0D33-0E8B-40EA-B60E-6F6B0E297765}"/>
    <cellStyle name="Migliaia 19 8 2 2 3" xfId="45657" xr:uid="{D9CA7C40-05D5-4A9E-B9F1-31E024932925}"/>
    <cellStyle name="Migliaia 19 8 2 3" xfId="37704" xr:uid="{B5E8B5B6-40DD-4EEC-BB8E-D08C2678FF54}"/>
    <cellStyle name="Migliaia 19 8 2 4" xfId="43006" xr:uid="{68FB98FF-0B3A-4C8B-9C1B-1903A5C3E968}"/>
    <cellStyle name="Migliaia 19 8 2 5" xfId="13911" xr:uid="{F6A67192-6A7C-4AFA-B65C-CB2B8C73BEE3}"/>
    <cellStyle name="Migliaia 19 8 3" xfId="6211" xr:uid="{BA7C29A5-E350-40E2-A6C7-2C692546E808}"/>
    <cellStyle name="Migliaia 19 8 3 2" xfId="38741" xr:uid="{0AEDEF3C-BB9D-4533-8119-BF0B1F38D2B4}"/>
    <cellStyle name="Migliaia 19 8 3 3" xfId="44043" xr:uid="{90B16E7F-8B3D-44FD-A9DA-A07529EE3986}"/>
    <cellStyle name="Migliaia 19 8 3 4" xfId="33330" xr:uid="{AE0E5C99-575E-4330-94D9-57E06691E2F2}"/>
    <cellStyle name="Migliaia 19 8 3 5" xfId="20031" xr:uid="{33A75AD8-3FDC-4AE4-A979-57E0DFB79786}"/>
    <cellStyle name="Migliaia 19 8 4" xfId="36237" xr:uid="{3B72A9A1-4B70-477E-B761-C8E770E1BD94}"/>
    <cellStyle name="Migliaia 19 8 5" xfId="41392" xr:uid="{C5AA8C2D-1954-4F0E-BC35-A436155AD194}"/>
    <cellStyle name="Migliaia 19 8 6" xfId="16169" xr:uid="{B7CACCDC-BF75-4E5F-9D0D-0F7D64E00304}"/>
    <cellStyle name="Migliaia 19 8 7" xfId="7859" xr:uid="{C2D395DD-64E1-4B4B-A554-04551546AA07}"/>
    <cellStyle name="Migliaia 19 9" xfId="4983" xr:uid="{5F3156E5-6723-4E6B-A76C-941F804F61BC}"/>
    <cellStyle name="Migliaia 19 9 2" xfId="33331" xr:uid="{94F1A84B-3C73-45E1-9BF6-0C9084279039}"/>
    <cellStyle name="Migliaia 19 9 2 2" xfId="38742" xr:uid="{76C9448F-71DE-4516-A5EE-947F75D72A95}"/>
    <cellStyle name="Migliaia 19 9 2 3" xfId="44044" xr:uid="{D5983B7A-812E-46F4-8294-3C61C35F8C2F}"/>
    <cellStyle name="Migliaia 19 9 3" xfId="36238" xr:uid="{FBC2D0F9-03F0-40D1-87C3-F5D7A85E7C5E}"/>
    <cellStyle name="Migliaia 19 9 4" xfId="41393" xr:uid="{91D85D67-B73C-4890-966B-CB95C0C1A0A0}"/>
    <cellStyle name="Migliaia 19 9 5" xfId="17155" xr:uid="{A6CA0B53-920C-430E-9463-C8AF544F5F93}"/>
    <cellStyle name="Migliaia 2" xfId="341" xr:uid="{00000000-0005-0000-0000-00001B030000}"/>
    <cellStyle name="Migliaia 2 10" xfId="4999" xr:uid="{1480CEB5-1E07-4C79-8572-8D3FB29E028C}"/>
    <cellStyle name="Migliaia 2 10 2" xfId="33333" xr:uid="{5259A681-EB37-401C-873D-850A99293890}"/>
    <cellStyle name="Migliaia 2 10 2 2" xfId="38744" xr:uid="{B2C27B2F-0A60-4668-842C-2379C9111A09}"/>
    <cellStyle name="Migliaia 2 10 2 3" xfId="44046" xr:uid="{FC82B226-C1B0-425A-9B5E-F0BFE9A7A96F}"/>
    <cellStyle name="Migliaia 2 10 3" xfId="36240" xr:uid="{54272243-0B1B-476B-9C1A-B3316468EAF6}"/>
    <cellStyle name="Migliaia 2 10 4" xfId="41395" xr:uid="{168F3A47-A8B8-445C-AD71-24863FDCCA63}"/>
    <cellStyle name="Migliaia 2 10 5" xfId="17157" xr:uid="{50AB3997-EF98-477D-B36E-B24E5C3BB31F}"/>
    <cellStyle name="Migliaia 2 11" xfId="6212" xr:uid="{E2A3FF69-2D76-49D2-860F-7E229160CB45}"/>
    <cellStyle name="Migliaia 2 11 2" xfId="38743" xr:uid="{F2624769-4AE4-42E5-92C7-F70B9C223DE4}"/>
    <cellStyle name="Migliaia 2 11 3" xfId="44045" xr:uid="{76F776ED-1B2E-46FC-9DED-4D10FB8881EE}"/>
    <cellStyle name="Migliaia 2 11 4" xfId="33332" xr:uid="{C64F5166-0B70-4F66-9D6D-FBB65B3DACB4}"/>
    <cellStyle name="Migliaia 2 11 5" xfId="20032" xr:uid="{776BF45B-35CF-4726-8F40-8787048BACC0}"/>
    <cellStyle name="Migliaia 2 12" xfId="3273" xr:uid="{D9B214DA-C113-486E-9C50-6BFF5CF73B48}"/>
    <cellStyle name="Migliaia 2 12 2" xfId="36239" xr:uid="{C20EB4FE-3AB6-4D92-8929-AD08C6C1ABD0}"/>
    <cellStyle name="Migliaia 2 13" xfId="41394" xr:uid="{A439D3C7-09EA-45FA-A41F-A3D5B3E6FFA4}"/>
    <cellStyle name="Migliaia 2 14" xfId="7074" xr:uid="{46C11791-1B9F-4CC3-9D79-5E38325D1470}"/>
    <cellStyle name="Migliaia 2 2" xfId="342" xr:uid="{00000000-0005-0000-0000-00001C030000}"/>
    <cellStyle name="Migliaia 2 2 2" xfId="343" xr:uid="{00000000-0005-0000-0000-00001D030000}"/>
    <cellStyle name="Migliaia 2 2 2 2" xfId="1708" xr:uid="{00000000-0005-0000-0000-00001E030000}"/>
    <cellStyle name="Migliaia 2 2 2 2 2" xfId="5002" xr:uid="{4151EF42-B990-4EA4-A64D-394F5CA3E2F9}"/>
    <cellStyle name="Migliaia 2 2 2 2 2 2" xfId="14373" xr:uid="{634B9219-E15F-43D6-ACCF-AD7CA4AE05A7}"/>
    <cellStyle name="Migliaia 2 2 2 2 2 2 2" xfId="40356" xr:uid="{400E14BC-391D-4DF8-A163-E0D04DADDEEE}"/>
    <cellStyle name="Migliaia 2 2 2 2 2 2 3" xfId="45658" xr:uid="{F4C9394C-0D96-492C-814B-261DC88D2D18}"/>
    <cellStyle name="Migliaia 2 2 2 2 2 3" xfId="18390" xr:uid="{5356D76D-C968-42B9-BD1F-A45DC1FC35F6}"/>
    <cellStyle name="Migliaia 2 2 2 2 2 3 2" xfId="21848" xr:uid="{6D2BF530-FECE-4CC1-A4B3-072E6A7EBC4E}"/>
    <cellStyle name="Migliaia 2 2 2 2 2 3 3" xfId="37705" xr:uid="{FB23BE44-55ED-4815-A489-246342FC59F0}"/>
    <cellStyle name="Migliaia 2 2 2 2 2 4" xfId="43007" xr:uid="{FDD52600-6612-4217-A03C-74B21C631537}"/>
    <cellStyle name="Migliaia 2 2 2 2 2 5" xfId="46299" xr:uid="{D175D9FE-E1CC-46C4-9706-1ABCBC946822}"/>
    <cellStyle name="Migliaia 2 2 2 2 2 6" xfId="50876" xr:uid="{21416358-302D-4CF7-BE7C-86C06E772A00}"/>
    <cellStyle name="Migliaia 2 2 2 2 2 7" xfId="53892" xr:uid="{0AC4011B-DED9-4D53-8984-1F822949AD6B}"/>
    <cellStyle name="Migliaia 2 2 2 2 2 8" xfId="11927" xr:uid="{E6B9DBA3-3B8E-4239-A384-69527A97D92A}"/>
    <cellStyle name="Migliaia 2 2 2 2 3" xfId="6215" xr:uid="{C9B664DE-3406-4329-AC2B-3BA5854A637C}"/>
    <cellStyle name="Migliaia 2 2 2 2 3 2" xfId="12321" xr:uid="{D2269481-46FE-4CE1-8758-2FEFB2B8BBB0}"/>
    <cellStyle name="Migliaia 2 2 2 2 4" xfId="3276" xr:uid="{27A40D0C-C092-4C67-89EA-E2BF5349A4E2}"/>
    <cellStyle name="Migliaia 2 2 2 2 4 2" xfId="21420" xr:uid="{CAB4D01A-4EFC-4AA0-A682-8C9D0E2C5476}"/>
    <cellStyle name="Migliaia 2 2 2 2 4 3" xfId="48032" xr:uid="{52FE6ECF-5F26-4AF9-86C1-37E5F8AB3296}"/>
    <cellStyle name="Migliaia 2 2 2 2 4 4" xfId="50435" xr:uid="{2DA0DB26-5C7C-48CC-BBD8-7294A0A3E612}"/>
    <cellStyle name="Migliaia 2 2 2 2 4 5" xfId="53451" xr:uid="{575757EE-20DF-4F56-BED4-911EDA53D38D}"/>
    <cellStyle name="Migliaia 2 2 2 2 4 6" xfId="10785" xr:uid="{39409F43-428D-4E1F-9770-2362BEB7FB0C}"/>
    <cellStyle name="Migliaia 2 2 2 2 5" xfId="20035" xr:uid="{BA3B9CAE-8CE1-4CBC-B02D-CE53B1917E1B}"/>
    <cellStyle name="Migliaia 2 2 2 2 6" xfId="24420" xr:uid="{6E81679C-07A5-4FC7-9F6D-55060E62D762}"/>
    <cellStyle name="Migliaia 2 2 2 2 7" xfId="48879" xr:uid="{C993A4CE-CBA9-4226-BA2D-992947409206}"/>
    <cellStyle name="Migliaia 2 2 2 2 8" xfId="49785" xr:uid="{B5E6BF6A-3DB6-4607-91E7-A0AC733D93F9}"/>
    <cellStyle name="Migliaia 2 2 2 2 9" xfId="8546" xr:uid="{039A1A85-E66D-4BC5-A634-215B12AAF005}"/>
    <cellStyle name="Migliaia 2 2 2 3" xfId="5001" xr:uid="{909FAF59-2F5D-45F8-B7F2-5DF77332F382}"/>
    <cellStyle name="Migliaia 2 2 2 3 2" xfId="13916" xr:uid="{327786BB-1CA0-4C4A-9B82-E0FC1E6E189D}"/>
    <cellStyle name="Migliaia 2 2 2 3 2 2" xfId="38746" xr:uid="{50268C34-3EB5-4512-980B-940FF5AFBFBC}"/>
    <cellStyle name="Migliaia 2 2 2 3 2 3" xfId="44048" xr:uid="{0B9B06C9-F0F9-4740-B439-C236B8576FEF}"/>
    <cellStyle name="Migliaia 2 2 2 3 3" xfId="18391" xr:uid="{6FE3F1AA-EC49-4C61-B1F8-B529794AAECF}"/>
    <cellStyle name="Migliaia 2 2 2 3 4" xfId="20036" xr:uid="{E1BA81FE-C021-4007-A482-26851C6B14CA}"/>
    <cellStyle name="Migliaia 2 2 2 3 4 2" xfId="41397" xr:uid="{ADB5545D-A72C-4251-8775-659AF11563E4}"/>
    <cellStyle name="Migliaia 2 2 2 3 5" xfId="16170" xr:uid="{0F95FBF8-F09D-43EE-92DA-55DEE89AE3F9}"/>
    <cellStyle name="Migliaia 2 2 2 3 6" xfId="7865" xr:uid="{9F4D753C-F63F-4DA7-B4CA-6F84F1A47087}"/>
    <cellStyle name="Migliaia 2 2 2 4" xfId="6214" xr:uid="{C8872AF5-4A70-4ABC-A8A7-72D0B07CCC90}"/>
    <cellStyle name="Migliaia 2 2 2 4 2" xfId="35198" xr:uid="{6D22EC10-B13B-415E-9154-6C2C6E725E6B}"/>
    <cellStyle name="Migliaia 2 2 2 4 2 2" xfId="40357" xr:uid="{43DCC28B-BA13-40E4-B125-3E13302E745D}"/>
    <cellStyle name="Migliaia 2 2 2 4 2 3" xfId="45659" xr:uid="{2CF09856-0E22-4455-83D7-1D75D30F75E3}"/>
    <cellStyle name="Migliaia 2 2 2 4 3" xfId="37706" xr:uid="{1B5C71F2-9770-4FD7-AEDC-EE8F2D0F7D76}"/>
    <cellStyle name="Migliaia 2 2 2 4 4" xfId="43008" xr:uid="{601265C3-7DE8-429F-9BD6-6D551EEB2162}"/>
    <cellStyle name="Migliaia 2 2 2 4 5" xfId="13424" xr:uid="{7386B26A-F341-4C69-8266-7FEB61228F3A}"/>
    <cellStyle name="Migliaia 2 2 2 5" xfId="3275" xr:uid="{1EB91DD0-EC1B-452B-8B94-3EB9A3794F69}"/>
    <cellStyle name="Migliaia 2 2 2 5 2" xfId="20034" xr:uid="{ADAF22FB-D013-4D46-936D-5B704C293AC5}"/>
    <cellStyle name="Migliaia 2 2 2 6" xfId="24419" xr:uid="{559A39E9-1294-4080-8CE9-B74883D48836}"/>
    <cellStyle name="Migliaia 2 2 2 7" xfId="7356" xr:uid="{B3ACA9F7-2734-4258-8725-2E75E48A5EDA}"/>
    <cellStyle name="Migliaia 2 2 3" xfId="1709" xr:uid="{00000000-0005-0000-0000-00001F030000}"/>
    <cellStyle name="Migliaia 2 2 3 2" xfId="5003" xr:uid="{01E80628-C824-494C-936A-0574AB80B482}"/>
    <cellStyle name="Migliaia 2 2 3 2 2" xfId="14212" xr:uid="{41D82864-9966-4DBF-8A9C-D8B4EE70FE68}"/>
    <cellStyle name="Migliaia 2 2 3 2 2 2" xfId="38747" xr:uid="{D6CF6732-0D3D-45F4-9E8D-D2A68BB437D9}"/>
    <cellStyle name="Migliaia 2 2 3 2 2 3" xfId="44049" xr:uid="{CDA0D9FB-DDA3-40C0-9E2F-6734FFDDB591}"/>
    <cellStyle name="Migliaia 2 2 3 2 3" xfId="18392" xr:uid="{A968516C-DC7B-47EF-962B-3963726D60B8}"/>
    <cellStyle name="Migliaia 2 2 3 2 3 2" xfId="21849" xr:uid="{DBDFB638-B052-4500-8372-9F7FD10B5021}"/>
    <cellStyle name="Migliaia 2 2 3 2 3 3" xfId="36242" xr:uid="{608A97D5-355D-43A1-8490-99067CB8C4F4}"/>
    <cellStyle name="Migliaia 2 2 3 2 4" xfId="41398" xr:uid="{A54566AB-2EB9-4093-B2AE-439CCCAA1B39}"/>
    <cellStyle name="Migliaia 2 2 3 2 5" xfId="34229" xr:uid="{43996A90-122E-4CF3-ADFC-919FC88D9C3C}"/>
    <cellStyle name="Migliaia 2 2 3 2 6" xfId="50877" xr:uid="{92F08A41-E251-495E-A371-D49505A5ACDC}"/>
    <cellStyle name="Migliaia 2 2 3 2 7" xfId="53893" xr:uid="{FDA94FBE-1235-4F94-B625-D969D85F1346}"/>
    <cellStyle name="Migliaia 2 2 3 2 8" xfId="11928" xr:uid="{C3939CA6-45C3-4CFD-AF33-841938793915}"/>
    <cellStyle name="Migliaia 2 2 3 3" xfId="6216" xr:uid="{E1BC3190-97DF-4C15-A597-B73A2D70083F}"/>
    <cellStyle name="Migliaia 2 2 3 3 2" xfId="12361" xr:uid="{1C5B7197-5FEB-463A-A363-CDB2D3DB1D79}"/>
    <cellStyle name="Migliaia 2 2 3 4" xfId="3277" xr:uid="{C7CBA413-010A-43CB-97D0-248DE553800E}"/>
    <cellStyle name="Migliaia 2 2 3 4 2" xfId="21421" xr:uid="{CFDD191F-A6C2-4A2E-873A-810FDA81F502}"/>
    <cellStyle name="Migliaia 2 2 3 4 3" xfId="32311" xr:uid="{8AA7EAC8-7A01-4494-A1F3-B28374884CBB}"/>
    <cellStyle name="Migliaia 2 2 3 4 4" xfId="50436" xr:uid="{F27E1E43-FC0D-4B8D-812A-F6C4D721ADB1}"/>
    <cellStyle name="Migliaia 2 2 3 4 5" xfId="53452" xr:uid="{5765B041-AA08-4C4B-8123-4719EE610DBC}"/>
    <cellStyle name="Migliaia 2 2 3 4 6" xfId="10786" xr:uid="{1D39699C-5029-425B-861D-033FAE8AF85F}"/>
    <cellStyle name="Migliaia 2 2 3 5" xfId="20037" xr:uid="{4518C99B-33B4-4BA0-B7AD-E9851CF1B4C4}"/>
    <cellStyle name="Migliaia 2 2 3 6" xfId="24421" xr:uid="{6DEAC35A-0284-439A-AD26-718FB366EF82}"/>
    <cellStyle name="Migliaia 2 2 3 7" xfId="8274" xr:uid="{6F9EBFAD-01BA-4C5A-AD2B-384788C66D3B}"/>
    <cellStyle name="Migliaia 2 2 4" xfId="3278" xr:uid="{3D5921FC-0AD1-48B0-A019-A9DA0E364A2A}"/>
    <cellStyle name="Migliaia 2 2 4 2" xfId="5004" xr:uid="{FDFB4F86-09F9-40DF-AA98-CFA4057DC610}"/>
    <cellStyle name="Migliaia 2 2 4 2 2" xfId="35199" xr:uid="{F9026A45-0502-4139-B406-91B84F8AAEDD}"/>
    <cellStyle name="Migliaia 2 2 4 2 2 2" xfId="40358" xr:uid="{FC015540-03A4-4CCA-8C05-A24ECDA8DE3A}"/>
    <cellStyle name="Migliaia 2 2 4 2 2 3" xfId="45660" xr:uid="{B3510D9A-36C7-4174-AC80-C6C69AD107F1}"/>
    <cellStyle name="Migliaia 2 2 4 2 3" xfId="37707" xr:uid="{AD8613F2-32B9-4882-844E-5A5AD52FABB4}"/>
    <cellStyle name="Migliaia 2 2 4 2 4" xfId="43009" xr:uid="{C0CAB8EC-EB94-4306-8367-C48CD69F51A5}"/>
    <cellStyle name="Migliaia 2 2 4 2 5" xfId="13915" xr:uid="{BDD5D86C-D37C-4DE0-A4AB-A569EDF16618}"/>
    <cellStyle name="Migliaia 2 2 4 3" xfId="6217" xr:uid="{21AFA343-1DC7-460D-A31D-639A802EBC7E}"/>
    <cellStyle name="Migliaia 2 2 4 3 2" xfId="38748" xr:uid="{6E9A2AFD-F220-4BFB-B036-4B2B8D4A0B8C}"/>
    <cellStyle name="Migliaia 2 2 4 3 3" xfId="44050" xr:uid="{79C7EB68-1384-4319-8349-51EE9FFA6351}"/>
    <cellStyle name="Migliaia 2 2 4 3 4" xfId="33335" xr:uid="{E7B13EB4-4E8F-4CF7-99E6-C79252946433}"/>
    <cellStyle name="Migliaia 2 2 4 3 5" xfId="20038" xr:uid="{A0677FDB-FBA4-40CB-843F-24AC4FA621F4}"/>
    <cellStyle name="Migliaia 2 2 4 4" xfId="36243" xr:uid="{389A1875-749B-4BFA-9C79-5D310B37F0D6}"/>
    <cellStyle name="Migliaia 2 2 4 5" xfId="41399" xr:uid="{BE606A08-AA59-4803-A4B7-411D48BBC2DC}"/>
    <cellStyle name="Migliaia 2 2 4 6" xfId="16171" xr:uid="{46942864-3D3A-4715-BA29-71D6206C761A}"/>
    <cellStyle name="Migliaia 2 2 4 7" xfId="7864" xr:uid="{22F5CFD2-C1C3-4551-9136-68009288CF83}"/>
    <cellStyle name="Migliaia 2 2 5" xfId="5000" xr:uid="{7FC49C26-C1A9-4FB4-B783-69D167268BA9}"/>
    <cellStyle name="Migliaia 2 2 5 2" xfId="33336" xr:uid="{21BD6EB9-BAE7-4F11-991A-FE6168510A53}"/>
    <cellStyle name="Migliaia 2 2 5 2 2" xfId="38749" xr:uid="{5EC8219C-DBA6-4828-862E-D2C2789588F0}"/>
    <cellStyle name="Migliaia 2 2 5 2 3" xfId="44051" xr:uid="{F1FB615B-6A86-4A4B-90F9-88CD4C1A1184}"/>
    <cellStyle name="Migliaia 2 2 5 3" xfId="36244" xr:uid="{00BF8782-5BFA-4773-8FA6-B05C34021889}"/>
    <cellStyle name="Migliaia 2 2 5 4" xfId="41400" xr:uid="{0F0498C4-104D-40DD-9883-365408396277}"/>
    <cellStyle name="Migliaia 2 2 5 5" xfId="13113" xr:uid="{82F527F3-5841-45D2-9650-F093E2B88549}"/>
    <cellStyle name="Migliaia 2 2 6" xfId="6213" xr:uid="{E99B7043-BBBD-4ED5-9F1B-376533687FEF}"/>
    <cellStyle name="Migliaia 2 2 6 2" xfId="38745" xr:uid="{E2907E9B-4BB7-464F-BA40-A828F4FEA6A5}"/>
    <cellStyle name="Migliaia 2 2 6 3" xfId="44047" xr:uid="{EEE55B37-A448-42B9-A9CC-1697A6D5BAA6}"/>
    <cellStyle name="Migliaia 2 2 6 4" xfId="33334" xr:uid="{DFBBCCF2-AD28-448F-A0B1-59B168C6F938}"/>
    <cellStyle name="Migliaia 2 2 6 5" xfId="20033" xr:uid="{F42B524A-6A34-4FFA-9C1B-83269BDE2F4E}"/>
    <cellStyle name="Migliaia 2 2 7" xfId="3274" xr:uid="{8E4D8616-416F-4F8B-84CE-4463CE69F919}"/>
    <cellStyle name="Migliaia 2 2 7 2" xfId="36241" xr:uid="{D55A64BB-4819-4E7D-9C18-35715BF895C9}"/>
    <cellStyle name="Migliaia 2 2 8" xfId="41396" xr:uid="{1DDC7795-A460-4415-9E58-AD3FABCB59DF}"/>
    <cellStyle name="Migliaia 2 2 9" xfId="7075" xr:uid="{F1337438-DC36-4938-87C2-0691AF7BEA35}"/>
    <cellStyle name="Migliaia 2 3" xfId="344" xr:uid="{00000000-0005-0000-0000-000020030000}"/>
    <cellStyle name="Migliaia 2 3 2" xfId="345" xr:uid="{00000000-0005-0000-0000-000021030000}"/>
    <cellStyle name="Migliaia 2 3 2 2" xfId="1710" xr:uid="{00000000-0005-0000-0000-000022030000}"/>
    <cellStyle name="Migliaia 2 3 2 2 2" xfId="5007" xr:uid="{23FD522D-2D1F-4361-8EEB-80C70AB7C9B6}"/>
    <cellStyle name="Migliaia 2 3 2 2 2 2" xfId="14374" xr:uid="{4EABF0AA-515B-471B-939E-AE0B2C457C3C}"/>
    <cellStyle name="Migliaia 2 3 2 2 2 2 2" xfId="40359" xr:uid="{33E81392-3E0D-40B5-A508-7330CB850B2D}"/>
    <cellStyle name="Migliaia 2 3 2 2 2 2 3" xfId="45661" xr:uid="{32FFE910-2DB4-4C8E-8C18-5EAE7415CD9A}"/>
    <cellStyle name="Migliaia 2 3 2 2 2 3" xfId="18393" xr:uid="{3E6A2B54-FE88-4C84-B6C2-778EA3DED3CD}"/>
    <cellStyle name="Migliaia 2 3 2 2 2 3 2" xfId="21850" xr:uid="{B346645F-2A1E-4BC0-81DE-003C3DCB447C}"/>
    <cellStyle name="Migliaia 2 3 2 2 2 3 3" xfId="37708" xr:uid="{41D79DE5-A80E-4724-A19E-C0253A1B2B42}"/>
    <cellStyle name="Migliaia 2 3 2 2 2 4" xfId="43010" xr:uid="{B4D968D3-455F-4608-83A6-8A1A503BF7B1}"/>
    <cellStyle name="Migliaia 2 3 2 2 2 5" xfId="48102" xr:uid="{761EA916-CECF-43E0-BE3C-6721CCAC798E}"/>
    <cellStyle name="Migliaia 2 3 2 2 2 6" xfId="50878" xr:uid="{D8F0360F-777A-4E29-8848-020F536B873B}"/>
    <cellStyle name="Migliaia 2 3 2 2 2 7" xfId="53894" xr:uid="{4C315017-F0BB-4862-87C7-BFF9F94DFF86}"/>
    <cellStyle name="Migliaia 2 3 2 2 2 8" xfId="11929" xr:uid="{9E7712A9-FC2D-4E58-A263-341A8E1EE7E5}"/>
    <cellStyle name="Migliaia 2 3 2 2 3" xfId="6220" xr:uid="{CFE0DA81-A6B2-4F4B-A137-CB592F01CAF8}"/>
    <cellStyle name="Migliaia 2 3 2 2 3 2" xfId="12320" xr:uid="{5C190C4E-EEAC-4502-9E69-6195C3652DBD}"/>
    <cellStyle name="Migliaia 2 3 2 2 4" xfId="3281" xr:uid="{46959D5D-19D9-46C3-AE7C-4377508B6F29}"/>
    <cellStyle name="Migliaia 2 3 2 2 4 2" xfId="21422" xr:uid="{AD6F2EA0-DFC2-4F0F-8F95-C6837B5C90FD}"/>
    <cellStyle name="Migliaia 2 3 2 2 4 3" xfId="48237" xr:uid="{BB82D588-6CE2-4C7E-B042-183595EA261A}"/>
    <cellStyle name="Migliaia 2 3 2 2 4 4" xfId="50437" xr:uid="{AA10A300-0AB9-4C7E-B996-A1426F9F6DF7}"/>
    <cellStyle name="Migliaia 2 3 2 2 4 5" xfId="53453" xr:uid="{9A961663-4E68-4C78-ACD2-B50942CBB37B}"/>
    <cellStyle name="Migliaia 2 3 2 2 4 6" xfId="10787" xr:uid="{E9D074DC-21EC-4D6B-9909-44401B1EC832}"/>
    <cellStyle name="Migliaia 2 3 2 2 5" xfId="20041" xr:uid="{277D31A5-A4B2-4BAA-831A-C0C1E97EC72A}"/>
    <cellStyle name="Migliaia 2 3 2 2 6" xfId="24423" xr:uid="{E3DE3A4B-55D9-40E2-BD61-02071F0C15CA}"/>
    <cellStyle name="Migliaia 2 3 2 2 7" xfId="48880" xr:uid="{1531DA26-93F0-4266-B1D7-2FD07232DD72}"/>
    <cellStyle name="Migliaia 2 3 2 2 8" xfId="49786" xr:uid="{0AE33CBE-35F5-4055-B27D-362582745849}"/>
    <cellStyle name="Migliaia 2 3 2 2 9" xfId="8547" xr:uid="{C7321832-4C68-4527-9E8F-3EE59151B027}"/>
    <cellStyle name="Migliaia 2 3 2 3" xfId="5006" xr:uid="{90607764-0333-47FE-8ADD-08043CADD077}"/>
    <cellStyle name="Migliaia 2 3 2 3 2" xfId="13918" xr:uid="{87B6CF00-5BFD-487E-94B9-CF62605EA4EB}"/>
    <cellStyle name="Migliaia 2 3 2 3 2 2" xfId="38751" xr:uid="{9D8865E1-60CA-489D-AE63-CEFBC2C03D50}"/>
    <cellStyle name="Migliaia 2 3 2 3 2 3" xfId="44053" xr:uid="{F7E3E1E4-32C2-4238-8DEA-BC2DF2AF00E2}"/>
    <cellStyle name="Migliaia 2 3 2 3 3" xfId="18394" xr:uid="{F3935CFD-B2E7-4D7A-9659-ED164322E0BA}"/>
    <cellStyle name="Migliaia 2 3 2 3 4" xfId="20042" xr:uid="{1C9A0EF9-7EB5-4710-A37B-E02A1C08727D}"/>
    <cellStyle name="Migliaia 2 3 2 3 4 2" xfId="41402" xr:uid="{2235B3F9-EE6C-4616-BE3B-AFD2A1A12726}"/>
    <cellStyle name="Migliaia 2 3 2 3 5" xfId="16172" xr:uid="{0CF55406-B8AC-461F-9F9D-7FB0EDA80A59}"/>
    <cellStyle name="Migliaia 2 3 2 3 6" xfId="7867" xr:uid="{72E1BF35-0858-4F5E-90AE-6F6EB73AE265}"/>
    <cellStyle name="Migliaia 2 3 2 4" xfId="6219" xr:uid="{39D79570-887C-4031-BE1A-84DF0F37F61B}"/>
    <cellStyle name="Migliaia 2 3 2 4 2" xfId="35200" xr:uid="{87E1C5F8-7EA9-40E2-BA42-59999D3091EC}"/>
    <cellStyle name="Migliaia 2 3 2 4 2 2" xfId="40360" xr:uid="{4CBAC95D-F3C4-4101-AD14-512479F22E7B}"/>
    <cellStyle name="Migliaia 2 3 2 4 2 3" xfId="45662" xr:uid="{ACE6B89A-A956-4C1E-AB11-AC7685A84EF0}"/>
    <cellStyle name="Migliaia 2 3 2 4 3" xfId="37709" xr:uid="{47F7759C-2F54-4FB7-8EEF-C424D2D1DB41}"/>
    <cellStyle name="Migliaia 2 3 2 4 4" xfId="43011" xr:uid="{732AE90D-36F6-4D4C-BE24-416C50D238EC}"/>
    <cellStyle name="Migliaia 2 3 2 4 5" xfId="13425" xr:uid="{627494CC-6B9E-4EFC-ABC2-24D1E1F9ED66}"/>
    <cellStyle name="Migliaia 2 3 2 5" xfId="3280" xr:uid="{D21DD2B8-0CC5-449D-A615-A2CEA3998AE9}"/>
    <cellStyle name="Migliaia 2 3 2 5 2" xfId="20040" xr:uid="{1F3342D6-695B-42C8-9E71-09C5531E02F4}"/>
    <cellStyle name="Migliaia 2 3 2 6" xfId="24422" xr:uid="{61956F49-E230-4AA6-9051-8F1399F89A5D}"/>
    <cellStyle name="Migliaia 2 3 2 7" xfId="7357" xr:uid="{B9162646-3E61-45D4-A31B-AE16D1A3BAD2}"/>
    <cellStyle name="Migliaia 2 3 3" xfId="1711" xr:uid="{00000000-0005-0000-0000-000023030000}"/>
    <cellStyle name="Migliaia 2 3 3 2" xfId="5008" xr:uid="{32E7F843-F741-464B-92D9-9D98A020FAD1}"/>
    <cellStyle name="Migliaia 2 3 3 2 2" xfId="14213" xr:uid="{64E764AA-A75A-4073-BDCF-C52135B0E42E}"/>
    <cellStyle name="Migliaia 2 3 3 2 2 2" xfId="38752" xr:uid="{E9C22E07-0751-4BEA-9BE9-E51425F5AF46}"/>
    <cellStyle name="Migliaia 2 3 3 2 2 3" xfId="44054" xr:uid="{422F67EA-3F9E-4827-BF05-5BA70CF6DD43}"/>
    <cellStyle name="Migliaia 2 3 3 2 3" xfId="18395" xr:uid="{28A6C0A4-0EC3-44D3-920D-E8C0264E3ABF}"/>
    <cellStyle name="Migliaia 2 3 3 2 3 2" xfId="21851" xr:uid="{F3022CC2-6970-43E5-A284-B3EE0086B3FE}"/>
    <cellStyle name="Migliaia 2 3 3 2 3 3" xfId="36246" xr:uid="{04F2884F-EAD8-472C-82D2-262BB4131988}"/>
    <cellStyle name="Migliaia 2 3 3 2 4" xfId="41403" xr:uid="{4B3ADBF8-3923-43DE-9CC4-6308A376AFFF}"/>
    <cellStyle name="Migliaia 2 3 3 2 5" xfId="46745" xr:uid="{98604482-C3E5-4176-9064-748C0BA4B85C}"/>
    <cellStyle name="Migliaia 2 3 3 2 6" xfId="50879" xr:uid="{04E790E9-EEC2-4B17-96D8-A5C934669C1C}"/>
    <cellStyle name="Migliaia 2 3 3 2 7" xfId="53895" xr:uid="{90C9F93C-5E82-4A33-B797-1D7C5D93DB85}"/>
    <cellStyle name="Migliaia 2 3 3 2 8" xfId="11930" xr:uid="{5ECF33B0-32F0-47E3-A5B3-5C8934352680}"/>
    <cellStyle name="Migliaia 2 3 3 3" xfId="6221" xr:uid="{CBED6DD8-C44F-4484-ADDF-27053AA8F4D9}"/>
    <cellStyle name="Migliaia 2 3 3 3 2" xfId="12206" xr:uid="{16EA82D8-46BC-4F56-9FC0-C916745E8CA9}"/>
    <cellStyle name="Migliaia 2 3 3 4" xfId="3282" xr:uid="{58CB81B8-7558-4515-99EF-269EE35CBD77}"/>
    <cellStyle name="Migliaia 2 3 3 4 2" xfId="21423" xr:uid="{53E77737-E01E-462E-A80F-BA851369D4F3}"/>
    <cellStyle name="Migliaia 2 3 3 4 3" xfId="46220" xr:uid="{8838C759-18F3-4F48-9014-74B7145CB6CE}"/>
    <cellStyle name="Migliaia 2 3 3 4 4" xfId="50438" xr:uid="{7BBA7246-AF7F-4160-A81E-919BB565683D}"/>
    <cellStyle name="Migliaia 2 3 3 4 5" xfId="53454" xr:uid="{21B9C977-9381-445F-8A49-8418F76AD605}"/>
    <cellStyle name="Migliaia 2 3 3 4 6" xfId="10788" xr:uid="{BD1AEBAB-84B7-4AC8-9CCD-45111CD1FD79}"/>
    <cellStyle name="Migliaia 2 3 3 5" xfId="20043" xr:uid="{3A6EF7C2-0D95-4E5F-A477-92C234960B75}"/>
    <cellStyle name="Migliaia 2 3 3 6" xfId="24424" xr:uid="{D66C38E9-1D24-4C1A-B81A-F8CA6DCFFDB7}"/>
    <cellStyle name="Migliaia 2 3 3 7" xfId="8275" xr:uid="{4E154A4D-0F88-4961-9BFA-BBE13C6757DE}"/>
    <cellStyle name="Migliaia 2 3 4" xfId="3283" xr:uid="{1046049D-0618-453C-8721-E7E3AFA1BBC5}"/>
    <cellStyle name="Migliaia 2 3 4 2" xfId="5009" xr:uid="{B06C11EE-4197-421B-B65A-F2F6E68134C9}"/>
    <cellStyle name="Migliaia 2 3 4 2 2" xfId="35201" xr:uid="{62537689-733E-407C-9977-DDB19CD25A23}"/>
    <cellStyle name="Migliaia 2 3 4 2 2 2" xfId="40361" xr:uid="{7816C2CA-1DE9-4C3D-ABFD-14C7800EF0C1}"/>
    <cellStyle name="Migliaia 2 3 4 2 2 3" xfId="45663" xr:uid="{6F0848A5-8F3C-4C71-921F-C6B3A8D6E8DA}"/>
    <cellStyle name="Migliaia 2 3 4 2 3" xfId="37710" xr:uid="{7C5FC91A-63FB-4E68-A103-E61DB032C598}"/>
    <cellStyle name="Migliaia 2 3 4 2 4" xfId="43012" xr:uid="{6BDCBD88-0A95-49F5-853F-33C53A10D233}"/>
    <cellStyle name="Migliaia 2 3 4 2 5" xfId="13917" xr:uid="{8D38F847-41E6-4001-B0E1-13C57F20BA7B}"/>
    <cellStyle name="Migliaia 2 3 4 3" xfId="6222" xr:uid="{4E13B1AE-3BFC-4C3C-8CC9-9AC679DF91EF}"/>
    <cellStyle name="Migliaia 2 3 4 3 2" xfId="38753" xr:uid="{DDC512B7-7612-4D0B-AA06-A6C5203A952E}"/>
    <cellStyle name="Migliaia 2 3 4 3 3" xfId="44055" xr:uid="{B8CAB0BE-2679-4C77-AC6E-6E229EF06A79}"/>
    <cellStyle name="Migliaia 2 3 4 3 4" xfId="33338" xr:uid="{11F52A5A-028F-49DB-9B58-DC3104695454}"/>
    <cellStyle name="Migliaia 2 3 4 3 5" xfId="20044" xr:uid="{63E31A92-4655-4715-96AA-61AACD8C62F1}"/>
    <cellStyle name="Migliaia 2 3 4 4" xfId="36247" xr:uid="{E7160A3A-081E-4C3A-A07F-AEBE477418C6}"/>
    <cellStyle name="Migliaia 2 3 4 5" xfId="41404" xr:uid="{B5089F96-9C2E-42CE-9D58-D311BB477DE0}"/>
    <cellStyle name="Migliaia 2 3 4 6" xfId="16173" xr:uid="{CBF2C6C3-DEF0-48CE-8CFA-A88577EB0CD7}"/>
    <cellStyle name="Migliaia 2 3 4 7" xfId="7866" xr:uid="{5A496B8A-7265-4F59-A8EC-9059852C57C3}"/>
    <cellStyle name="Migliaia 2 3 5" xfId="5005" xr:uid="{FE31A036-F8A8-4D03-A7EB-D665C8849A76}"/>
    <cellStyle name="Migliaia 2 3 5 2" xfId="33339" xr:uid="{C8BF8B99-CF52-4885-8EDF-48E72B2BA22C}"/>
    <cellStyle name="Migliaia 2 3 5 2 2" xfId="38754" xr:uid="{56BDE571-79C8-4EF8-BFFB-EBDACF366AF8}"/>
    <cellStyle name="Migliaia 2 3 5 2 3" xfId="44056" xr:uid="{E14F59FC-74AF-4CDA-9552-619F723ABCD0}"/>
    <cellStyle name="Migliaia 2 3 5 3" xfId="36248" xr:uid="{DF419E1B-AD3C-4989-A3F9-ACAD12B0F689}"/>
    <cellStyle name="Migliaia 2 3 5 4" xfId="41405" xr:uid="{610F5657-492E-45B4-866A-AA41000A013A}"/>
    <cellStyle name="Migliaia 2 3 5 5" xfId="13114" xr:uid="{313DDAC7-B3DE-44F2-8A28-EEC98135726C}"/>
    <cellStyle name="Migliaia 2 3 6" xfId="6218" xr:uid="{F415DDD9-26DC-4E6A-8F43-27B2BA59D7A2}"/>
    <cellStyle name="Migliaia 2 3 6 2" xfId="38750" xr:uid="{0BDCBA4D-4E6D-49BF-9E74-8B8956C8BD88}"/>
    <cellStyle name="Migliaia 2 3 6 3" xfId="44052" xr:uid="{2B4B1203-743F-4607-A2CE-DFE403C01910}"/>
    <cellStyle name="Migliaia 2 3 6 4" xfId="33337" xr:uid="{3F74DDFA-21E4-47C9-846C-435EFC61B321}"/>
    <cellStyle name="Migliaia 2 3 6 5" xfId="20039" xr:uid="{29398D2B-297E-4E7C-B410-0C8D9398C4DE}"/>
    <cellStyle name="Migliaia 2 3 7" xfId="3279" xr:uid="{6A53BADA-415B-42DD-91A8-5A6BAE9B0D2D}"/>
    <cellStyle name="Migliaia 2 3 7 2" xfId="36245" xr:uid="{7EFEF9FD-EA3C-40F6-A85C-65536C3ABBE2}"/>
    <cellStyle name="Migliaia 2 3 8" xfId="41401" xr:uid="{41B3BC09-7B01-4B76-8204-F941FBD3A4A2}"/>
    <cellStyle name="Migliaia 2 3 9" xfId="7076" xr:uid="{C4A315EF-6789-435A-83FD-63EEF8883597}"/>
    <cellStyle name="Migliaia 2 4" xfId="346" xr:uid="{00000000-0005-0000-0000-000024030000}"/>
    <cellStyle name="Migliaia 2 4 10" xfId="24425" xr:uid="{94909370-37FC-4EF1-BB1F-4B3BC62776BE}"/>
    <cellStyle name="Migliaia 2 4 11" xfId="16174" xr:uid="{27E50699-F19E-4808-BB93-F802378E38C2}"/>
    <cellStyle name="Migliaia 2 4 12" xfId="7077" xr:uid="{A0F4F46B-0797-436D-91F5-F18AE1855D21}"/>
    <cellStyle name="Migliaia 2 4 2" xfId="347" xr:uid="{00000000-0005-0000-0000-000025030000}"/>
    <cellStyle name="Migliaia 2 4 2 2" xfId="1712" xr:uid="{00000000-0005-0000-0000-000026030000}"/>
    <cellStyle name="Migliaia 2 4 2 2 2" xfId="5012" xr:uid="{E8E4F5F2-E2AB-42E8-A528-C5B8C0F01698}"/>
    <cellStyle name="Migliaia 2 4 2 2 2 2" xfId="18396" xr:uid="{3887D09A-46CA-4159-B5FF-3D5B4AC5233A}"/>
    <cellStyle name="Migliaia 2 4 2 2 2 2 2" xfId="21852" xr:uid="{9A5FCCF4-A082-49CB-8C4F-E0D38363DAAA}"/>
    <cellStyle name="Migliaia 2 4 2 2 2 2 2 2" xfId="38755" xr:uid="{992AECA4-EF4D-4ABB-88EB-946585A1FF8A}"/>
    <cellStyle name="Migliaia 2 4 2 2 2 2 3" xfId="44057" xr:uid="{B4ECD0EB-AB7B-4BE0-AB14-DB46F84C44B0}"/>
    <cellStyle name="Migliaia 2 4 2 2 2 2 4" xfId="33340" xr:uid="{861887CA-5ECD-40F0-94C1-615ED97865DE}"/>
    <cellStyle name="Migliaia 2 4 2 2 2 3" xfId="36249" xr:uid="{E8FA4111-974B-4C23-99EB-B3771CDB4516}"/>
    <cellStyle name="Migliaia 2 4 2 2 2 4" xfId="41406" xr:uid="{B65AE30D-F993-470C-97DD-0B49653A3F6B}"/>
    <cellStyle name="Migliaia 2 4 2 2 2 5" xfId="32369" xr:uid="{033097A5-1487-449B-8901-1BB1B682E379}"/>
    <cellStyle name="Migliaia 2 4 2 2 2 6" xfId="50880" xr:uid="{3B63C355-E090-4EE2-8C58-F644CAA4D6B5}"/>
    <cellStyle name="Migliaia 2 4 2 2 2 7" xfId="53896" xr:uid="{C151AE7F-ABBC-414A-AF2B-34935448F595}"/>
    <cellStyle name="Migliaia 2 4 2 2 2 8" xfId="17649" xr:uid="{F5D8B2FF-8BA3-45BF-A6EF-A1B01305E346}"/>
    <cellStyle name="Migliaia 2 4 2 2 2 9" xfId="11931" xr:uid="{C81C21F8-8B94-4ACD-B0BF-7E64941094DA}"/>
    <cellStyle name="Migliaia 2 4 2 2 3" xfId="6225" xr:uid="{32AAB6BA-F6BD-4F97-88BD-E82E2FE18686}"/>
    <cellStyle name="Migliaia 2 4 2 2 3 2" xfId="11135" xr:uid="{E7B8923D-5FD3-4245-B82E-BAB032A938BE}"/>
    <cellStyle name="Migliaia 2 4 2 2 4" xfId="3286" xr:uid="{93EBDA48-AC11-4098-A9DE-A4321B82135D}"/>
    <cellStyle name="Migliaia 2 4 2 2 4 2" xfId="21424" xr:uid="{22E08E11-3A2F-4E6C-A135-872E163714C5}"/>
    <cellStyle name="Migliaia 2 4 2 2 4 3" xfId="48173" xr:uid="{B311725B-E0A8-4478-887E-41C82A872CB0}"/>
    <cellStyle name="Migliaia 2 4 2 2 4 4" xfId="50439" xr:uid="{773C6CDB-6A54-4F57-BD27-CCE65CD3451C}"/>
    <cellStyle name="Migliaia 2 4 2 2 4 5" xfId="53455" xr:uid="{6B36D3D4-FDA0-407C-B26D-BE7F20D49047}"/>
    <cellStyle name="Migliaia 2 4 2 2 4 6" xfId="10789" xr:uid="{DEFC1065-1017-4544-9D44-0E1CB54EC221}"/>
    <cellStyle name="Migliaia 2 4 2 2 5" xfId="20047" xr:uid="{3FA2CD42-4E42-4DEB-8CDA-4F94BC29A48C}"/>
    <cellStyle name="Migliaia 2 4 2 2 6" xfId="24427" xr:uid="{F7B10CC9-4B8D-4D35-92F5-88CFD862F6F8}"/>
    <cellStyle name="Migliaia 2 4 2 2 7" xfId="8549" xr:uid="{67F136E0-79D8-47F5-9E7D-CF8B0A5CBFDF}"/>
    <cellStyle name="Migliaia 2 4 2 3" xfId="5011" xr:uid="{EFB12892-107F-4990-BE20-6C86ABA3CE33}"/>
    <cellStyle name="Migliaia 2 4 2 3 2" xfId="11656" xr:uid="{F8F18FBA-5E87-46B2-92C2-C130BB255D50}"/>
    <cellStyle name="Migliaia 2 4 2 3 2 2" xfId="38756" xr:uid="{D4C8504A-E16C-47C7-AF25-7B9E5205838D}"/>
    <cellStyle name="Migliaia 2 4 2 3 2 3" xfId="44058" xr:uid="{2F59D9A1-E42E-45EB-A1F5-60409F80C7FE}"/>
    <cellStyle name="Migliaia 2 4 2 3 2 4" xfId="33341" xr:uid="{8ACF2B1C-467C-4785-8718-83BC02487F48}"/>
    <cellStyle name="Migliaia 2 4 2 3 3" xfId="11932" xr:uid="{436C3C78-9C83-4408-AF68-1C9C99C1D1CB}"/>
    <cellStyle name="Migliaia 2 4 2 3 4" xfId="20048" xr:uid="{8B1260B5-EECA-4538-B49F-E6BA5B1A1DA0}"/>
    <cellStyle name="Migliaia 2 4 2 3 4 2" xfId="41407" xr:uid="{C7CF1141-1858-4DF7-BF8F-EBCC044AFFD6}"/>
    <cellStyle name="Migliaia 2 4 2 3 5" xfId="16175" xr:uid="{5AA603F1-C11D-42CD-849B-17EE80C16677}"/>
    <cellStyle name="Migliaia 2 4 2 3 6" xfId="7869" xr:uid="{3FFA4FFF-91C6-4CE2-BBFF-41642650A566}"/>
    <cellStyle name="Migliaia 2 4 2 4" xfId="6224" xr:uid="{346D6FCC-A8B2-4A45-8C76-ABCB6081163D}"/>
    <cellStyle name="Migliaia 2 4 2 4 2" xfId="18068" xr:uid="{BCEBEC2F-EF0A-47B2-8784-72FA0E746B75}"/>
    <cellStyle name="Migliaia 2 4 2 4 2 2" xfId="38757" xr:uid="{9D634947-2E62-4682-9892-9B33FC491852}"/>
    <cellStyle name="Migliaia 2 4 2 4 2 3" xfId="44059" xr:uid="{AF23BEF5-FFC7-4F2A-AF0A-805B02D3874E}"/>
    <cellStyle name="Migliaia 2 4 2 4 3" xfId="36250" xr:uid="{5AEE5AEA-0E91-4482-A819-D416562EBA8B}"/>
    <cellStyle name="Migliaia 2 4 2 4 4" xfId="41408" xr:uid="{23967B0A-0EED-496B-B242-E2953D463882}"/>
    <cellStyle name="Migliaia 2 4 2 4 5" xfId="17158" xr:uid="{7235D10B-EB52-4446-94DF-B998AC2E2359}"/>
    <cellStyle name="Migliaia 2 4 2 4 6" xfId="11280" xr:uid="{C7A99DA0-44F2-49C8-85F2-781A3FF72582}"/>
    <cellStyle name="Migliaia 2 4 2 5" xfId="3285" xr:uid="{D4B547F0-ED5F-46EE-A72A-C6C01C6C62E7}"/>
    <cellStyle name="Migliaia 2 4 2 5 2" xfId="33342" xr:uid="{F639744C-3CA3-49A7-9707-A30F11550FC5}"/>
    <cellStyle name="Migliaia 2 4 2 5 2 2" xfId="38758" xr:uid="{DF01655E-8E80-40F5-A421-0191FE21F5B8}"/>
    <cellStyle name="Migliaia 2 4 2 5 2 3" xfId="44060" xr:uid="{0FF647B3-1478-43F2-89C2-DDF65017606F}"/>
    <cellStyle name="Migliaia 2 4 2 5 3" xfId="36251" xr:uid="{D42C274C-9DFB-4EAA-8FCF-9A7950CF2208}"/>
    <cellStyle name="Migliaia 2 4 2 5 4" xfId="41409" xr:uid="{01B45585-2ED5-4505-A35C-F8C63AA6D3AA}"/>
    <cellStyle name="Migliaia 2 4 2 5 5" xfId="17393" xr:uid="{99B6405E-8577-46BF-9DCE-69AD5BFC6753}"/>
    <cellStyle name="Migliaia 2 4 2 6" xfId="20046" xr:uid="{382BE7FF-80E1-4669-976E-12FEE110776D}"/>
    <cellStyle name="Migliaia 2 4 2 6 2" xfId="33343" xr:uid="{79BA1B1A-FF34-4C55-B3E8-F59DFB3CC183}"/>
    <cellStyle name="Migliaia 2 4 2 6 2 2" xfId="38759" xr:uid="{49EE6B11-F658-4A81-A002-5B1FD76629E4}"/>
    <cellStyle name="Migliaia 2 4 2 6 2 3" xfId="44061" xr:uid="{076A9673-A5F0-4116-8E99-021A20E4C246}"/>
    <cellStyle name="Migliaia 2 4 2 6 3" xfId="36252" xr:uid="{F6A0F061-82B8-4218-AD85-AB4BFC72493B}"/>
    <cellStyle name="Migliaia 2 4 2 6 4" xfId="41410" xr:uid="{8B7655C1-2F8D-4597-BE3E-367A45A2570B}"/>
    <cellStyle name="Migliaia 2 4 2 6 5" xfId="24428" xr:uid="{C4820288-4F45-4886-86D9-2E706AC1B7EB}"/>
    <cellStyle name="Migliaia 2 4 2 7" xfId="24426" xr:uid="{88A9C379-64F3-455A-A07F-CF9274E5AFF5}"/>
    <cellStyle name="Migliaia 2 4 2 8" xfId="7359" xr:uid="{612D6CC2-A562-4C53-8B73-4441D76CEAC4}"/>
    <cellStyle name="Migliaia 2 4 3" xfId="3287" xr:uid="{6773787C-506C-4F7A-B3F4-FC25C2A3FD3D}"/>
    <cellStyle name="Migliaia 2 4 3 10" xfId="7358" xr:uid="{33311101-B47F-4D14-8BE9-8654DDFABB91}"/>
    <cellStyle name="Migliaia 2 4 3 2" xfId="5013" xr:uid="{A7C3AE6B-5FE9-4093-BB37-ABF4D206E5DD}"/>
    <cellStyle name="Migliaia 2 4 3 2 2" xfId="9904" xr:uid="{7E724A2F-7358-4297-9D72-983DA515017E}"/>
    <cellStyle name="Migliaia 2 4 3 2 2 2" xfId="38761" xr:uid="{B40B8A87-B4BC-41AE-96E5-5C466E4D8CD4}"/>
    <cellStyle name="Migliaia 2 4 3 2 2 3" xfId="44063" xr:uid="{0ED910AF-3FD3-4064-82D7-429284062633}"/>
    <cellStyle name="Migliaia 2 4 3 2 3" xfId="18184" xr:uid="{AF719FB3-17AF-48DD-8F14-F23D3DF8E195}"/>
    <cellStyle name="Migliaia 2 4 3 2 4" xfId="20050" xr:uid="{529C2AD4-6323-46CF-8D41-B3812FF1D0B5}"/>
    <cellStyle name="Migliaia 2 4 3 2 4 2" xfId="41412" xr:uid="{DEDA3555-3706-4C93-88BC-E68146B878C8}"/>
    <cellStyle name="Migliaia 2 4 3 2 5" xfId="16177" xr:uid="{F484160D-299A-4BB3-9B04-1D668D93A0AE}"/>
    <cellStyle name="Migliaia 2 4 3 2 6" xfId="8548" xr:uid="{8B3BE295-ACF6-40FD-AA2A-4F401E980870}"/>
    <cellStyle name="Migliaia 2 4 3 3" xfId="6226" xr:uid="{B93834EA-3B72-4FB4-B87D-7E85C51B412B}"/>
    <cellStyle name="Migliaia 2 4 3 3 2" xfId="33346" xr:uid="{5221B6C7-411D-4011-8F1A-D3D91C41B0F5}"/>
    <cellStyle name="Migliaia 2 4 3 3 2 2" xfId="38762" xr:uid="{C54E360C-47A1-46A3-A461-8E225EE7D3B4}"/>
    <cellStyle name="Migliaia 2 4 3 3 2 3" xfId="44064" xr:uid="{66608664-8596-4F64-A212-2CA47352DF68}"/>
    <cellStyle name="Migliaia 2 4 3 3 3" xfId="36255" xr:uid="{9EDF88B3-F947-438F-A8E4-C3F8B67C2884}"/>
    <cellStyle name="Migliaia 2 4 3 3 4" xfId="41413" xr:uid="{FB1A2B40-EA7C-4FE0-AAB0-22E8C3936B9F}"/>
    <cellStyle name="Migliaia 2 4 3 3 5" xfId="9667" xr:uid="{65CE8DA6-61AD-44E4-B4D8-DF4B7E1ACE4E}"/>
    <cellStyle name="Migliaia 2 4 3 4" xfId="20049" xr:uid="{A552C4D9-95A7-41FB-86AF-FB46CDB003E3}"/>
    <cellStyle name="Migliaia 2 4 3 4 2" xfId="33347" xr:uid="{1D97894A-302F-4670-B098-4AD749B01A62}"/>
    <cellStyle name="Migliaia 2 4 3 4 2 2" xfId="38763" xr:uid="{CA24E057-3D4B-429D-86B8-8AB924354887}"/>
    <cellStyle name="Migliaia 2 4 3 4 2 3" xfId="44065" xr:uid="{67201CC9-23D9-4BD3-A085-F62037275CDA}"/>
    <cellStyle name="Migliaia 2 4 3 4 3" xfId="36256" xr:uid="{4017E7A9-ED21-4D29-ADE0-07F5A40703B1}"/>
    <cellStyle name="Migliaia 2 4 3 4 4" xfId="41414" xr:uid="{2016016F-51B5-46E2-ADA6-D012E84CAB54}"/>
    <cellStyle name="Migliaia 2 4 3 4 5" xfId="24431" xr:uid="{FDA70345-49FC-49EC-9336-C6B661EB29FC}"/>
    <cellStyle name="Migliaia 2 4 3 5" xfId="24432" xr:uid="{46EAECE5-CF4A-480B-BF57-DC832A50573F}"/>
    <cellStyle name="Migliaia 2 4 3 5 2" xfId="33348" xr:uid="{6BBAF128-D852-48F7-ABBD-AF0BDB5BDC3A}"/>
    <cellStyle name="Migliaia 2 4 3 5 2 2" xfId="38764" xr:uid="{40E32D22-3E08-4B8D-B832-777C15E61ACD}"/>
    <cellStyle name="Migliaia 2 4 3 5 2 3" xfId="44066" xr:uid="{FC9DAF4C-3A2E-4D2E-8C60-C99A0539397C}"/>
    <cellStyle name="Migliaia 2 4 3 5 3" xfId="36257" xr:uid="{53AADF98-7F07-4257-8DE1-D2AF4A2F90EF}"/>
    <cellStyle name="Migliaia 2 4 3 5 4" xfId="41415" xr:uid="{45F795BD-1C5C-4B8A-90A5-6329C2ABA1D6}"/>
    <cellStyle name="Migliaia 2 4 3 6" xfId="33344" xr:uid="{7FBA321B-8B62-447C-A810-4C93F21CD62F}"/>
    <cellStyle name="Migliaia 2 4 3 6 2" xfId="38760" xr:uid="{E87B10FF-0BAB-46FC-9B15-162A9F377FA8}"/>
    <cellStyle name="Migliaia 2 4 3 6 3" xfId="44062" xr:uid="{8742B7FB-AF23-4ED0-9F8A-CDC8B808CD11}"/>
    <cellStyle name="Migliaia 2 4 3 7" xfId="36253" xr:uid="{EDAB03F0-5CFA-43B7-94AA-EDD7CC57E81C}"/>
    <cellStyle name="Migliaia 2 4 3 8" xfId="41411" xr:uid="{00103DEA-A384-42F5-9FBA-D12136C22335}"/>
    <cellStyle name="Migliaia 2 4 3 9" xfId="16176" xr:uid="{7C4BEDAC-EB2D-4C81-ABCD-7B42F63B23B8}"/>
    <cellStyle name="Migliaia 2 4 4" xfId="3288" xr:uid="{D2F8B913-FBFB-4260-BAE9-4FBC8FEF9287}"/>
    <cellStyle name="Migliaia 2 4 4 2" xfId="5014" xr:uid="{B1876A30-D678-4F59-96E5-F988C599CC7C}"/>
    <cellStyle name="Migliaia 2 4 4 2 2" xfId="14434" xr:uid="{B4BD31E3-0000-4C9A-80E1-75EEA80D129F}"/>
    <cellStyle name="Migliaia 2 4 4 2 3" xfId="18589" xr:uid="{9078020F-B7E1-4A23-A602-66FF5573E8CA}"/>
    <cellStyle name="Migliaia 2 4 4 2 4" xfId="20052" xr:uid="{74FC741A-3919-4D57-B9A6-C045A60D95E8}"/>
    <cellStyle name="Migliaia 2 4 4 2 5" xfId="32322" xr:uid="{B9557279-1178-4BDE-8C6C-4BFCC4BEF6C2}"/>
    <cellStyle name="Migliaia 2 4 4 2 6" xfId="16179" xr:uid="{AB1C2D0B-1316-4D43-ACBC-0B2151CC0F66}"/>
    <cellStyle name="Migliaia 2 4 4 2 7" xfId="8857" xr:uid="{280EEA2F-1A54-41D7-B82D-689CC0CD609D}"/>
    <cellStyle name="Migliaia 2 4 4 3" xfId="6227" xr:uid="{D5863DA8-CD6C-45C2-85F3-94261CC78BBE}"/>
    <cellStyle name="Migliaia 2 4 4 3 2" xfId="35202" xr:uid="{94C4657A-E0A1-4D34-A912-2BC73AC7F2DD}"/>
    <cellStyle name="Migliaia 2 4 4 3 2 2" xfId="40362" xr:uid="{73202DB0-B273-4534-BD8D-A3016E3A7476}"/>
    <cellStyle name="Migliaia 2 4 4 3 2 3" xfId="45664" xr:uid="{A0D43821-C2FE-42C6-BBB4-57BDE450F0F6}"/>
    <cellStyle name="Migliaia 2 4 4 3 3" xfId="37711" xr:uid="{60270A5A-76A2-4D24-B0E2-C6E0A4C2F9DA}"/>
    <cellStyle name="Migliaia 2 4 4 3 4" xfId="43013" xr:uid="{8ABD8B41-968E-4E26-8540-263B091CF81B}"/>
    <cellStyle name="Migliaia 2 4 4 3 5" xfId="13682" xr:uid="{A969A554-101C-469E-BEF7-6FD6EE6193E5}"/>
    <cellStyle name="Migliaia 2 4 4 4" xfId="20051" xr:uid="{F0CD82CE-64C8-475F-B996-BA9806E9C452}"/>
    <cellStyle name="Migliaia 2 4 4 4 2" xfId="38765" xr:uid="{58B6522E-2259-4FB3-B42A-2E9869D6B336}"/>
    <cellStyle name="Migliaia 2 4 4 4 3" xfId="44067" xr:uid="{C0DBF095-D419-406C-8DA4-7496632EA762}"/>
    <cellStyle name="Migliaia 2 4 4 4 4" xfId="33349" xr:uid="{ACE10792-828A-43FA-A3ED-3CED8395ACCF}"/>
    <cellStyle name="Migliaia 2 4 4 5" xfId="36258" xr:uid="{8223D4B5-31FC-47E8-8E79-A8267FB52427}"/>
    <cellStyle name="Migliaia 2 4 4 6" xfId="41416" xr:uid="{37CDC8DF-0DB1-4DD7-9639-83EDBFFB0D17}"/>
    <cellStyle name="Migliaia 2 4 4 7" xfId="16178" xr:uid="{E3E25CFD-38F4-4772-92AB-DB769AF8F304}"/>
    <cellStyle name="Migliaia 2 4 4 8" xfId="7667" xr:uid="{9BC72672-DC5C-4504-8678-9335A09B1CAB}"/>
    <cellStyle name="Migliaia 2 4 5" xfId="3289" xr:uid="{FCFD3830-21C6-43C7-B379-F69622E682A8}"/>
    <cellStyle name="Migliaia 2 4 5 2" xfId="5015" xr:uid="{2B448884-D15D-4649-B059-209AEADDFBE6}"/>
    <cellStyle name="Migliaia 2 4 5 2 2" xfId="35203" xr:uid="{6972551A-C47C-4583-8A00-C2236609F367}"/>
    <cellStyle name="Migliaia 2 4 5 2 2 2" xfId="40363" xr:uid="{A14D3FA1-3E9D-475F-B063-736C0643DCBB}"/>
    <cellStyle name="Migliaia 2 4 5 2 2 3" xfId="45665" xr:uid="{FFB9E733-2F55-49F3-A4FA-2FC687E678CB}"/>
    <cellStyle name="Migliaia 2 4 5 2 3" xfId="37712" xr:uid="{F8137B25-7A75-4A98-97F3-94473AB24D14}"/>
    <cellStyle name="Migliaia 2 4 5 2 4" xfId="43014" xr:uid="{E36284A7-BD3E-44AF-8610-9B8C05C6BED4}"/>
    <cellStyle name="Migliaia 2 4 5 2 5" xfId="14214" xr:uid="{2FD9437C-392F-4915-9FE7-DB596354F8E6}"/>
    <cellStyle name="Migliaia 2 4 5 3" xfId="6228" xr:uid="{3669D17E-14F2-41E8-B4F2-7185758F6B06}"/>
    <cellStyle name="Migliaia 2 4 5 3 2" xfId="38766" xr:uid="{B122BB19-1E71-44D4-A751-031805CB91B5}"/>
    <cellStyle name="Migliaia 2 4 5 3 3" xfId="44068" xr:uid="{FC7633DD-6FFE-4A22-BB7C-5DC0F44E913B}"/>
    <cellStyle name="Migliaia 2 4 5 3 4" xfId="33350" xr:uid="{54700EC5-AA76-4F87-894E-C2C00C332B55}"/>
    <cellStyle name="Migliaia 2 4 5 3 5" xfId="20053" xr:uid="{B1333D1D-6CE5-459F-B876-149EC204BF5B}"/>
    <cellStyle name="Migliaia 2 4 5 4" xfId="36259" xr:uid="{6409B427-BA28-4565-ADA6-4E8C7A368FA1}"/>
    <cellStyle name="Migliaia 2 4 5 5" xfId="41417" xr:uid="{3F8DEE61-DCD8-433C-8593-17BF9681C9B1}"/>
    <cellStyle name="Migliaia 2 4 5 6" xfId="16180" xr:uid="{0040A0FA-FB8E-4A77-8CF2-D0D36C857743}"/>
    <cellStyle name="Migliaia 2 4 5 7" xfId="8276" xr:uid="{6D23EB6D-D052-489E-A237-DB52B803EDE4}"/>
    <cellStyle name="Migliaia 2 4 6" xfId="5010" xr:uid="{73A036D0-27F8-4D04-90F1-CB92AC6BCB96}"/>
    <cellStyle name="Migliaia 2 4 6 2" xfId="13919" xr:uid="{4A164075-7745-41BD-AD69-DD9F7C26476E}"/>
    <cellStyle name="Migliaia 2 4 6 2 2" xfId="38767" xr:uid="{30985A6E-67E2-429C-8B98-D793506F20C4}"/>
    <cellStyle name="Migliaia 2 4 6 2 3" xfId="44069" xr:uid="{7A760A8D-B128-47E1-B156-B3809157D4D9}"/>
    <cellStyle name="Migliaia 2 4 6 3" xfId="18720" xr:uid="{BC33D941-5F45-42C1-92E0-7277D2C64BBE}"/>
    <cellStyle name="Migliaia 2 4 6 4" xfId="20054" xr:uid="{6D9AEB66-CE48-494A-A031-4B6B6803FC9F}"/>
    <cellStyle name="Migliaia 2 4 6 4 2" xfId="41418" xr:uid="{6F3CCB5A-93C7-45FF-82E9-6C1EF84764E7}"/>
    <cellStyle name="Migliaia 2 4 6 5" xfId="16181" xr:uid="{BF33451C-8D43-46FE-92C9-0F784703B777}"/>
    <cellStyle name="Migliaia 2 4 6 6" xfId="7868" xr:uid="{BAB9AB5E-7F57-4C35-AF2F-692A6678AFED}"/>
    <cellStyle name="Migliaia 2 4 7" xfId="6223" xr:uid="{8966786E-3C56-48F6-8867-236387508E69}"/>
    <cellStyle name="Migliaia 2 4 7 2" xfId="33352" xr:uid="{DA9D35F4-05CE-4116-A638-C6D781575DFF}"/>
    <cellStyle name="Migliaia 2 4 7 2 2" xfId="38768" xr:uid="{60B370FB-E041-4580-9D0F-9242E95F1D78}"/>
    <cellStyle name="Migliaia 2 4 7 2 3" xfId="44070" xr:uid="{03C22B0F-E2C1-4869-A06B-0D150D9B0AF0}"/>
    <cellStyle name="Migliaia 2 4 7 3" xfId="36261" xr:uid="{144F4996-9E31-4D39-A2E0-6BC5E268EACC}"/>
    <cellStyle name="Migliaia 2 4 7 4" xfId="41419" xr:uid="{2402890A-BB50-444B-AA6E-024D1C25278A}"/>
    <cellStyle name="Migliaia 2 4 7 5" xfId="12242" xr:uid="{1FBD43FC-4D0C-4560-9CCD-75E71B147D20}"/>
    <cellStyle name="Migliaia 2 4 8" xfId="3284" xr:uid="{17716854-2421-4F77-85A3-548D80B88D03}"/>
    <cellStyle name="Migliaia 2 4 8 2" xfId="33353" xr:uid="{42BE69ED-CF88-49CB-89FF-AA9FD527ADC3}"/>
    <cellStyle name="Migliaia 2 4 8 2 2" xfId="38769" xr:uid="{654D7A9B-2A2E-459C-BCB2-98A433427E5F}"/>
    <cellStyle name="Migliaia 2 4 8 2 3" xfId="44071" xr:uid="{9E77719C-C75C-4085-BD2B-4452CA64BC6F}"/>
    <cellStyle name="Migliaia 2 4 8 3" xfId="36262" xr:uid="{19626D6B-B5AC-4472-8168-F4105A048CCE}"/>
    <cellStyle name="Migliaia 2 4 8 4" xfId="41420" xr:uid="{24FAE28B-F397-4ECE-B7A5-DAD6AE02EA45}"/>
    <cellStyle name="Migliaia 2 4 8 5" xfId="24437" xr:uid="{EA77457D-14D2-4FAD-BA60-9A9C1185BD73}"/>
    <cellStyle name="Migliaia 2 4 8 6" xfId="17394" xr:uid="{99EDB5BF-EC0A-4EFA-A969-3F59E56F88CE}"/>
    <cellStyle name="Migliaia 2 4 9" xfId="20045" xr:uid="{9029E69C-6145-47C9-8CAA-8C2345F5BB6C}"/>
    <cellStyle name="Migliaia 2 5" xfId="1713" xr:uid="{00000000-0005-0000-0000-000027030000}"/>
    <cellStyle name="Migliaia 2 5 2" xfId="1714" xr:uid="{00000000-0005-0000-0000-000028030000}"/>
    <cellStyle name="Migliaia 2 5 2 2" xfId="5017" xr:uid="{44FADA94-FF22-4C65-B658-685C6E8AF8AD}"/>
    <cellStyle name="Migliaia 2 5 2 2 2" xfId="33354" xr:uid="{5B9E3598-DA5D-4854-A6A4-59FA7F44DBBB}"/>
    <cellStyle name="Migliaia 2 5 2 2 2 2" xfId="38770" xr:uid="{F6892D53-8174-4702-8062-6667C474B68C}"/>
    <cellStyle name="Migliaia 2 5 2 2 2 3" xfId="44072" xr:uid="{F5D1BD8D-C45F-460C-B406-A6FAB247C18E}"/>
    <cellStyle name="Migliaia 2 5 2 2 3" xfId="36263" xr:uid="{F6B52846-A4A4-46E8-B85F-ADB65EC56CBA}"/>
    <cellStyle name="Migliaia 2 5 2 2 4" xfId="41421" xr:uid="{5BED2311-2989-4E69-8404-E8A61183CC13}"/>
    <cellStyle name="Migliaia 2 5 2 2 5" xfId="9130" xr:uid="{E63E56B8-A03C-4E21-B3CE-9C5F90504AF5}"/>
    <cellStyle name="Migliaia 2 5 2 3" xfId="3291" xr:uid="{8022DF06-7796-4E28-85CC-7F90D6FDC2F9}"/>
    <cellStyle name="Migliaia 2 5 2 3 2" xfId="33355" xr:uid="{301F22E5-B1BE-4F09-B9C9-70A29B13B7C3}"/>
    <cellStyle name="Migliaia 2 5 2 3 2 2" xfId="38771" xr:uid="{B723307E-10E6-4288-8470-301972E79663}"/>
    <cellStyle name="Migliaia 2 5 2 3 2 3" xfId="44073" xr:uid="{8D8C63EF-B84E-424A-B341-CE6686D9B5EB}"/>
    <cellStyle name="Migliaia 2 5 2 3 3" xfId="36264" xr:uid="{2A2DA942-3B2E-4600-A0EC-2372F976B051}"/>
    <cellStyle name="Migliaia 2 5 2 3 4" xfId="41422" xr:uid="{C8A1A566-293C-4C9E-85B4-B4F3A8213FE9}"/>
    <cellStyle name="Migliaia 2 5 2 3 5" xfId="11933" xr:uid="{DE3624DB-86D3-4D36-BB6B-4F26BCA13C2D}"/>
    <cellStyle name="Migliaia 2 5 2 4" xfId="11282" xr:uid="{095D5B4A-78A6-4898-9598-C0F9AABF46E0}"/>
    <cellStyle name="Migliaia 2 5 2 5" xfId="10791" xr:uid="{2725919E-A49A-4219-8C4E-0F3C043A5D24}"/>
    <cellStyle name="Migliaia 2 5 2 5 2" xfId="21426" xr:uid="{28F1D639-91B5-41D3-836F-112D5C95C151}"/>
    <cellStyle name="Migliaia 2 5 2 5 3" xfId="48091" xr:uid="{4A7F872B-DE84-4C49-8D08-91EC3E42F48A}"/>
    <cellStyle name="Migliaia 2 5 2 5 4" xfId="50441" xr:uid="{9E5578B7-F6BA-43EA-80AD-0A96AB9785E0}"/>
    <cellStyle name="Migliaia 2 5 2 5 5" xfId="53457" xr:uid="{0D24BFF7-9571-4731-BA74-F76063E84BA9}"/>
    <cellStyle name="Migliaia 2 5 2 6" xfId="20056" xr:uid="{76357BE1-9A77-464E-965E-6E6FBF24D1A5}"/>
    <cellStyle name="Migliaia 2 5 2 7" xfId="24439" xr:uid="{B4FC2360-4408-4838-9FC8-27F2C750B564}"/>
    <cellStyle name="Migliaia 2 5 2 8" xfId="8550" xr:uid="{EA1CDAD3-DAE6-419A-AD7C-8CC4A6775DE2}"/>
    <cellStyle name="Migliaia 2 5 3" xfId="5016" xr:uid="{849FD1B5-8348-4CD9-ACB8-1C41D81D6DF2}"/>
    <cellStyle name="Migliaia 2 5 3 2" xfId="18185" xr:uid="{5034C0FF-5C0F-4544-BE1F-5F6D5D334000}"/>
    <cellStyle name="Migliaia 2 5 3 2 2" xfId="38772" xr:uid="{2559E454-0057-45BF-9B16-0C2AC2C2DEF8}"/>
    <cellStyle name="Migliaia 2 5 3 2 3" xfId="44074" xr:uid="{CA1A1379-D7F2-42D9-83BD-346C0916795D}"/>
    <cellStyle name="Migliaia 2 5 3 3" xfId="36265" xr:uid="{F944EE3F-38CE-4DD1-B0F1-ED46EB8534E4}"/>
    <cellStyle name="Migliaia 2 5 3 4" xfId="41423" xr:uid="{173E9DE0-7C77-4AFE-825E-8C7EDE9B0AF1}"/>
    <cellStyle name="Migliaia 2 5 3 5" xfId="17392" xr:uid="{ED3E643A-C26C-490D-B8A4-4AAD46D0CF02}"/>
    <cellStyle name="Migliaia 2 5 3 6" xfId="9131" xr:uid="{3A309D89-CA57-4309-A589-7B436A2013A4}"/>
    <cellStyle name="Migliaia 2 5 4" xfId="6229" xr:uid="{8B7CC546-7B11-46C8-AA2B-08089385C232}"/>
    <cellStyle name="Migliaia 2 5 4 2" xfId="33357" xr:uid="{F33F8C18-A7F6-4BD4-9D08-7BAC70D816B6}"/>
    <cellStyle name="Migliaia 2 5 4 2 2" xfId="38773" xr:uid="{6135C2F2-4D2D-48AE-8609-A70248F4CB44}"/>
    <cellStyle name="Migliaia 2 5 4 2 3" xfId="44075" xr:uid="{6C5680B6-6775-413C-BD98-8263AEF4D730}"/>
    <cellStyle name="Migliaia 2 5 4 3" xfId="36266" xr:uid="{F663F975-F764-42C3-AE93-4B2A42C0FEED}"/>
    <cellStyle name="Migliaia 2 5 4 4" xfId="41424" xr:uid="{CDD4E958-650F-4332-A7DF-A22DB1CD9EAB}"/>
    <cellStyle name="Migliaia 2 5 4 5" xfId="11934" xr:uid="{6934B792-02A2-4458-91B8-0C01078DAFBF}"/>
    <cellStyle name="Migliaia 2 5 5" xfId="3290" xr:uid="{22768DDA-9E50-40D6-920D-86E954561F62}"/>
    <cellStyle name="Migliaia 2 5 5 2" xfId="33358" xr:uid="{0602F257-C246-4069-B7EE-EC49BCECF9F2}"/>
    <cellStyle name="Migliaia 2 5 5 2 2" xfId="38774" xr:uid="{2A85D31E-E588-46D7-96E9-9880E8D4D5F7}"/>
    <cellStyle name="Migliaia 2 5 5 2 3" xfId="44076" xr:uid="{DBAB0D6E-624C-4A56-AF72-31322487B022}"/>
    <cellStyle name="Migliaia 2 5 5 3" xfId="36267" xr:uid="{D3294D43-972C-4906-B963-F5D072EC077A}"/>
    <cellStyle name="Migliaia 2 5 5 4" xfId="41425" xr:uid="{6B096E8C-9AF5-40A0-BA9A-DC71B3618672}"/>
    <cellStyle name="Migliaia 2 5 5 5" xfId="11281" xr:uid="{9F8DA251-393A-43D5-B2FD-58D9D3EB278B}"/>
    <cellStyle name="Migliaia 2 5 6" xfId="10790" xr:uid="{5A874BFF-95F9-4E33-AF92-4575DD2D12F1}"/>
    <cellStyle name="Migliaia 2 5 6 2" xfId="21425" xr:uid="{FE9AAD73-3D9B-4650-9A65-AD09BF95F8C6}"/>
    <cellStyle name="Migliaia 2 5 6 2 2" xfId="38775" xr:uid="{B035FB42-620D-4AA1-9513-88FD91390469}"/>
    <cellStyle name="Migliaia 2 5 6 2 3" xfId="44077" xr:uid="{E6AEA4BF-D397-4AA8-8AB0-6C71E4BF21CA}"/>
    <cellStyle name="Migliaia 2 5 6 2 4" xfId="33359" xr:uid="{A19CB3C7-7CF1-4A8A-AFCD-108910A52172}"/>
    <cellStyle name="Migliaia 2 5 6 3" xfId="36268" xr:uid="{67E9550D-D10F-4328-9D61-A05C3B66EAF8}"/>
    <cellStyle name="Migliaia 2 5 6 4" xfId="41426" xr:uid="{5A98DFDE-F46B-4ACF-84C0-24369B4AC3F0}"/>
    <cellStyle name="Migliaia 2 5 6 5" xfId="24445" xr:uid="{2B2BDA9F-897C-4A8A-B3CE-91C9C3D20218}"/>
    <cellStyle name="Migliaia 2 5 6 6" xfId="46990" xr:uid="{C386F55A-BFD6-4D82-8A63-8CC1AB778500}"/>
    <cellStyle name="Migliaia 2 5 6 7" xfId="50440" xr:uid="{0B0D1FEF-9EFF-4263-8FBC-52C6EB2BF757}"/>
    <cellStyle name="Migliaia 2 5 6 8" xfId="53456" xr:uid="{5F72D8DD-7FF2-476D-8D44-9FFE639F9EC9}"/>
    <cellStyle name="Migliaia 2 5 7" xfId="20055" xr:uid="{C43E9343-91FD-4B27-AA16-FE8D4953EF7B}"/>
    <cellStyle name="Migliaia 2 5 7 2" xfId="33360" xr:uid="{F1E51331-765E-4ADB-8458-265657B3FDA3}"/>
    <cellStyle name="Migliaia 2 5 7 2 2" xfId="38776" xr:uid="{E010D85F-BBB5-4A9F-B176-E182285FC34C}"/>
    <cellStyle name="Migliaia 2 5 7 2 3" xfId="44078" xr:uid="{F295DCE4-BA0C-4820-8191-8198351A48D3}"/>
    <cellStyle name="Migliaia 2 5 7 3" xfId="36269" xr:uid="{1BD07E4A-F7DF-4856-A703-A9C849E19BA3}"/>
    <cellStyle name="Migliaia 2 5 7 4" xfId="41427" xr:uid="{EE91D510-3527-49E5-9962-60BA0FF9FF38}"/>
    <cellStyle name="Migliaia 2 5 7 5" xfId="24446" xr:uid="{2DA02DCD-CE67-46C4-A87F-A46839E90230}"/>
    <cellStyle name="Migliaia 2 5 8" xfId="24438" xr:uid="{461E4296-B618-47C3-A7F1-BF50E9315302}"/>
    <cellStyle name="Migliaia 2 5 9" xfId="7360" xr:uid="{A3D9DDA7-DDD1-4979-9CC1-DE8308DE16A7}"/>
    <cellStyle name="Migliaia 2 6" xfId="1715" xr:uid="{00000000-0005-0000-0000-000029030000}"/>
    <cellStyle name="Migliaia 2 6 2" xfId="5018" xr:uid="{3D8FD8E2-0E5F-42AD-BC74-2A09D49DBDC6}"/>
    <cellStyle name="Migliaia 2 6 2 2" xfId="18397" xr:uid="{4A02D837-2E8A-44B5-84B9-F2F46026CDB0}"/>
    <cellStyle name="Migliaia 2 6 2 2 2" xfId="38777" xr:uid="{5EDD9192-23F5-42A1-BA75-406A789019F2}"/>
    <cellStyle name="Migliaia 2 6 2 2 3" xfId="44079" xr:uid="{987896E6-09A8-400C-820D-BA96863CA9C3}"/>
    <cellStyle name="Migliaia 2 6 2 3" xfId="20058" xr:uid="{B9DD8D7C-077A-4047-911F-0271962E3990}"/>
    <cellStyle name="Migliaia 2 6 2 3 2" xfId="36270" xr:uid="{3E43F844-CD25-4F1C-A5C3-D1633130510F}"/>
    <cellStyle name="Migliaia 2 6 2 4" xfId="41428" xr:uid="{35A905DC-F1F6-4910-B7C5-CA2044861537}"/>
    <cellStyle name="Migliaia 2 6 2 5" xfId="16182" xr:uid="{A5D19AFA-1C63-401C-A5D6-82A4BB78781A}"/>
    <cellStyle name="Migliaia 2 6 2 6" xfId="8551" xr:uid="{432113FB-DC29-4019-9AEF-4983B5447753}"/>
    <cellStyle name="Migliaia 2 6 3" xfId="6230" xr:uid="{8CFB1711-6679-4C73-A0B6-62BBBB00EA8C}"/>
    <cellStyle name="Migliaia 2 6 3 2" xfId="33362" xr:uid="{68B6A305-4E4D-4D06-9F32-93A3F4E452D9}"/>
    <cellStyle name="Migliaia 2 6 3 2 2" xfId="38778" xr:uid="{A0CF6E6B-D51F-4EFB-B897-F604A8FA3F52}"/>
    <cellStyle name="Migliaia 2 6 3 2 3" xfId="44080" xr:uid="{D32B0D67-F824-4DFC-844C-BEBB2AAFE225}"/>
    <cellStyle name="Migliaia 2 6 3 3" xfId="36271" xr:uid="{BB09F04F-43A7-4FDB-B340-0C7A86443B76}"/>
    <cellStyle name="Migliaia 2 6 3 4" xfId="41429" xr:uid="{6BB848FE-9286-4C3E-81C8-97D825225C9E}"/>
    <cellStyle name="Migliaia 2 6 3 5" xfId="11283" xr:uid="{76A6960A-050A-446C-B646-5D63515C26A7}"/>
    <cellStyle name="Migliaia 2 6 4" xfId="3292" xr:uid="{13E20299-CEF5-4C30-91A4-C2E5DFBD7A7A}"/>
    <cellStyle name="Migliaia 2 6 4 2" xfId="21427" xr:uid="{1B2E4373-3235-4C5D-B874-C1BC6B580213}"/>
    <cellStyle name="Migliaia 2 6 4 2 2" xfId="38779" xr:uid="{EA56E3A3-4B70-45A7-9785-9E43A9047B84}"/>
    <cellStyle name="Migliaia 2 6 4 2 3" xfId="44081" xr:uid="{14CE69CA-6945-4FF3-B1FA-EBA72CF07AB0}"/>
    <cellStyle name="Migliaia 2 6 4 2 4" xfId="33363" xr:uid="{72FF53FE-7740-4117-BA3D-87692A1E61F3}"/>
    <cellStyle name="Migliaia 2 6 4 3" xfId="36272" xr:uid="{6690B0B5-F47D-4519-B16F-EA3354B47EEA}"/>
    <cellStyle name="Migliaia 2 6 4 4" xfId="41430" xr:uid="{067FACF6-66DA-4412-A3F0-802E0992781F}"/>
    <cellStyle name="Migliaia 2 6 4 5" xfId="24450" xr:uid="{56B14DB1-5CFD-44C4-A6C3-C73273080188}"/>
    <cellStyle name="Migliaia 2 6 4 6" xfId="46642" xr:uid="{02828E1F-53A4-4774-B3CA-02E7C405800A}"/>
    <cellStyle name="Migliaia 2 6 4 7" xfId="50442" xr:uid="{07CD19F0-EB1A-4FF6-8071-7C204E4B14FD}"/>
    <cellStyle name="Migliaia 2 6 4 8" xfId="53458" xr:uid="{97AACED4-52AF-4773-A611-3B4C3CBE0FEC}"/>
    <cellStyle name="Migliaia 2 6 4 9" xfId="10792" xr:uid="{E861EF3C-BCBE-4011-B728-A785C95B291B}"/>
    <cellStyle name="Migliaia 2 6 5" xfId="20057" xr:uid="{955FECE2-1E2A-4102-97DF-037E544E6D4D}"/>
    <cellStyle name="Migliaia 2 6 5 2" xfId="33364" xr:uid="{70314BFF-EF07-453C-8A08-E3FB30FFCF9D}"/>
    <cellStyle name="Migliaia 2 6 5 2 2" xfId="38780" xr:uid="{43CE75A3-8E6C-4949-AB54-E1CE2393FED2}"/>
    <cellStyle name="Migliaia 2 6 5 2 3" xfId="44082" xr:uid="{D60A781C-2CED-45BA-B7BC-FB5FD40CA145}"/>
    <cellStyle name="Migliaia 2 6 5 3" xfId="36273" xr:uid="{8C91583D-4D16-4FC6-A0F4-77E978B6C791}"/>
    <cellStyle name="Migliaia 2 6 5 4" xfId="41431" xr:uid="{07661FD2-135A-4971-BD53-8A9FC283EEB8}"/>
    <cellStyle name="Migliaia 2 6 5 5" xfId="24451" xr:uid="{52BF00B2-8437-4AE1-B6C8-215A6C71D244}"/>
    <cellStyle name="Migliaia 2 6 6" xfId="24452" xr:uid="{087C5178-6ED8-42E8-B34D-AB9CBF88022C}"/>
    <cellStyle name="Migliaia 2 6 6 2" xfId="33365" xr:uid="{91612340-E1F1-4C17-9A57-C06BA43335E8}"/>
    <cellStyle name="Migliaia 2 6 6 2 2" xfId="38781" xr:uid="{10AA59C7-9AB9-41FE-A3CF-9C9758D6F09E}"/>
    <cellStyle name="Migliaia 2 6 6 2 3" xfId="44083" xr:uid="{BCC29380-45AA-4F3D-B26F-81C8B8370C31}"/>
    <cellStyle name="Migliaia 2 6 6 3" xfId="36274" xr:uid="{8447AE36-E6CB-4C1C-946B-A8334F711E2A}"/>
    <cellStyle name="Migliaia 2 6 6 4" xfId="41432" xr:uid="{2981C7F4-C366-4FA4-8B3C-A50BD5C26AED}"/>
    <cellStyle name="Migliaia 2 6 7" xfId="24447" xr:uid="{05D33622-BF2D-4D12-BB73-7663E766B191}"/>
    <cellStyle name="Migliaia 2 6 8" xfId="7361" xr:uid="{90BCD6CC-9019-4179-9FBD-D4D15513AA6A}"/>
    <cellStyle name="Migliaia 2 7" xfId="3293" xr:uid="{78903D78-8E1C-4A87-9C1C-3DCCB9D8732C}"/>
    <cellStyle name="Migliaia 2 7 2" xfId="5019" xr:uid="{7CCE4399-0168-4BFB-B938-FC5996119C9A}"/>
    <cellStyle name="Migliaia 2 7 2 2" xfId="9903" xr:uid="{EE43F49B-6489-482B-BFFF-0A8D9712A16D}"/>
    <cellStyle name="Migliaia 2 7 2 3" xfId="18669" xr:uid="{EEA65477-5CAD-49BE-BB20-8BF23455A1A7}"/>
    <cellStyle name="Migliaia 2 7 2 4" xfId="20060" xr:uid="{724B6FA3-5DA0-4C5C-B1DD-5B8668C1A090}"/>
    <cellStyle name="Migliaia 2 7 2 5" xfId="32325" xr:uid="{1A75DCEB-6299-4B71-A745-26AE42DD88CF}"/>
    <cellStyle name="Migliaia 2 7 2 6" xfId="16184" xr:uid="{B44A3509-F1CA-4B9C-97BD-1FD2776F3AE6}"/>
    <cellStyle name="Migliaia 2 7 2 7" xfId="8545" xr:uid="{AC6EBD31-DF03-4083-9106-15715F3A5799}"/>
    <cellStyle name="Migliaia 2 7 3" xfId="6231" xr:uid="{4E0449D4-F979-45B5-8C2D-5851662595C3}"/>
    <cellStyle name="Migliaia 2 7 3 2" xfId="35204" xr:uid="{59BE1629-7379-4184-8822-8EA6296D4A91}"/>
    <cellStyle name="Migliaia 2 7 3 2 2" xfId="40364" xr:uid="{B207E0D1-ABCA-46EF-A39A-2912430C3354}"/>
    <cellStyle name="Migliaia 2 7 3 2 3" xfId="45666" xr:uid="{3485CC75-43F2-472F-AFAC-8B1B128D45AF}"/>
    <cellStyle name="Migliaia 2 7 3 3" xfId="37713" xr:uid="{C96BBE19-FF21-44C2-8694-FE724A5C5016}"/>
    <cellStyle name="Migliaia 2 7 3 4" xfId="43015" xr:uid="{94C32676-D146-445D-BF80-52B8FAF39986}"/>
    <cellStyle name="Migliaia 2 7 3 5" xfId="9666" xr:uid="{D691E924-F008-45D2-B103-F04CFF042105}"/>
    <cellStyle name="Migliaia 2 7 4" xfId="20059" xr:uid="{C46704B5-FA41-47EC-9D8E-A2D19BD7DF81}"/>
    <cellStyle name="Migliaia 2 7 4 2" xfId="38782" xr:uid="{3A239D58-6322-4F8B-B973-B6430E5EECD5}"/>
    <cellStyle name="Migliaia 2 7 4 3" xfId="44084" xr:uid="{1C91332B-5AF0-49F2-A296-54B111812119}"/>
    <cellStyle name="Migliaia 2 7 4 4" xfId="33366" xr:uid="{8842D231-97AE-4B12-AF52-2D418AE3C2A0}"/>
    <cellStyle name="Migliaia 2 7 5" xfId="36275" xr:uid="{0B5A9BBD-2E87-4AF4-B84F-2C1108D9DA3A}"/>
    <cellStyle name="Migliaia 2 7 6" xfId="41433" xr:uid="{56962C13-DD4F-4A7C-9CF2-B436C75967F7}"/>
    <cellStyle name="Migliaia 2 7 7" xfId="16183" xr:uid="{9A061F21-62B0-4833-BE5F-EAA2C34462F5}"/>
    <cellStyle name="Migliaia 2 7 8" xfId="7355" xr:uid="{69B14685-1C49-45F0-9480-2C4E0E4E0DDC}"/>
    <cellStyle name="Migliaia 2 8" xfId="3294" xr:uid="{86ECFAAB-FAD6-472A-9E67-E31D3269714B}"/>
    <cellStyle name="Migliaia 2 8 2" xfId="5020" xr:uid="{3720FAC7-423A-4FD8-9816-A274ED2C4B3A}"/>
    <cellStyle name="Migliaia 2 8 2 2" xfId="35205" xr:uid="{B554A710-CE58-4CB3-8290-FFF3D7C1A5D1}"/>
    <cellStyle name="Migliaia 2 8 2 2 2" xfId="40365" xr:uid="{018E913D-9346-416D-9010-4A7F9CEC0FE2}"/>
    <cellStyle name="Migliaia 2 8 2 2 3" xfId="45667" xr:uid="{817FB4EA-D030-48FD-8C37-66A236FD10B8}"/>
    <cellStyle name="Migliaia 2 8 2 3" xfId="37714" xr:uid="{5C5DB4C1-9BBE-4F9A-BEB3-653FDC8A763B}"/>
    <cellStyle name="Migliaia 2 8 2 4" xfId="43016" xr:uid="{88A6049F-B2B1-4370-9C17-A694457E57C5}"/>
    <cellStyle name="Migliaia 2 8 2 5" xfId="14211" xr:uid="{31ACF652-9AFF-420D-8694-BB115D2BA26B}"/>
    <cellStyle name="Migliaia 2 8 3" xfId="6232" xr:uid="{150BF95C-39C8-48A7-9237-8E01383320D7}"/>
    <cellStyle name="Migliaia 2 8 3 2" xfId="38783" xr:uid="{A09ABF34-A033-4D01-B330-9294DA5A0117}"/>
    <cellStyle name="Migliaia 2 8 3 3" xfId="44085" xr:uid="{FE49A8DF-90A2-441A-9CBB-E4803A4B5125}"/>
    <cellStyle name="Migliaia 2 8 3 4" xfId="33367" xr:uid="{640AAEBA-B6EB-47FA-B7B4-481D3C76AD2C}"/>
    <cellStyle name="Migliaia 2 8 3 5" xfId="20061" xr:uid="{6A89695E-0A24-46B1-A6D3-2F8032412FA2}"/>
    <cellStyle name="Migliaia 2 8 4" xfId="36276" xr:uid="{71D6A228-5524-42FD-BEAB-33B39CE6E223}"/>
    <cellStyle name="Migliaia 2 8 5" xfId="41434" xr:uid="{B44E6F58-27CD-4B58-B96E-B02DC5C392B9}"/>
    <cellStyle name="Migliaia 2 8 6" xfId="16185" xr:uid="{070619B1-336B-4E07-852B-6353C4626989}"/>
    <cellStyle name="Migliaia 2 8 7" xfId="8273" xr:uid="{7B63F6AF-C52C-4868-99DB-8F431D6C5218}"/>
    <cellStyle name="Migliaia 2 9" xfId="3295" xr:uid="{B053A15E-2E9B-4371-875E-87510B4B7718}"/>
    <cellStyle name="Migliaia 2 9 2" xfId="5021" xr:uid="{444ADB4F-8060-4F06-B335-28548C8F684E}"/>
    <cellStyle name="Migliaia 2 9 2 2" xfId="35206" xr:uid="{619C9F1A-464A-4534-9A59-25172FF288AB}"/>
    <cellStyle name="Migliaia 2 9 2 2 2" xfId="40366" xr:uid="{214C7EDF-1A15-4DBA-AA28-5058C45D1CBF}"/>
    <cellStyle name="Migliaia 2 9 2 2 3" xfId="45668" xr:uid="{C590079A-02B1-492F-AFD1-A245EEDE081D}"/>
    <cellStyle name="Migliaia 2 9 2 3" xfId="37715" xr:uid="{2D321364-0FEC-4EFD-94A1-A263FEEFAA5B}"/>
    <cellStyle name="Migliaia 2 9 2 4" xfId="43017" xr:uid="{E688B1EA-90DD-4F15-B7A4-721704A2D139}"/>
    <cellStyle name="Migliaia 2 9 2 5" xfId="13914" xr:uid="{9DBAD143-85E6-46CB-8D0E-566C93710B83}"/>
    <cellStyle name="Migliaia 2 9 3" xfId="6233" xr:uid="{31997909-8540-4461-B1B6-FF13B8551299}"/>
    <cellStyle name="Migliaia 2 9 3 2" xfId="38784" xr:uid="{252B9866-0250-44F6-A67A-6156BC5A7DD5}"/>
    <cellStyle name="Migliaia 2 9 3 3" xfId="44086" xr:uid="{3C6C16A2-BC56-452B-8194-DAD4538D7895}"/>
    <cellStyle name="Migliaia 2 9 3 4" xfId="33368" xr:uid="{96D28798-0259-4CA7-ADF0-D0E4735CFCB3}"/>
    <cellStyle name="Migliaia 2 9 3 5" xfId="20062" xr:uid="{3A9E3403-4048-4EF6-9A70-F56264B4A479}"/>
    <cellStyle name="Migliaia 2 9 4" xfId="36277" xr:uid="{7E82CF76-F294-40E2-B9CB-3E8B633A3CE1}"/>
    <cellStyle name="Migliaia 2 9 5" xfId="41435" xr:uid="{CBBC8EF1-0DBF-45C7-99AF-B355AF41EFAC}"/>
    <cellStyle name="Migliaia 2 9 6" xfId="16186" xr:uid="{C5C582A7-2AC3-4553-B439-CB3EEBC3AA75}"/>
    <cellStyle name="Migliaia 2 9 7" xfId="7863" xr:uid="{586D940F-7A11-4792-A64B-C0C552534433}"/>
    <cellStyle name="Migliaia 2_Domestico_reg&amp;naz" xfId="348" xr:uid="{00000000-0005-0000-0000-00002A030000}"/>
    <cellStyle name="Migliaia 20" xfId="349" xr:uid="{00000000-0005-0000-0000-00002B030000}"/>
    <cellStyle name="Migliaia 20 10" xfId="6234" xr:uid="{09C1254B-4066-4040-AEC8-96E67004F079}"/>
    <cellStyle name="Migliaia 20 10 2" xfId="38785" xr:uid="{76DD6C0C-C974-4F97-8660-AAB5D4D87C75}"/>
    <cellStyle name="Migliaia 20 10 3" xfId="44087" xr:uid="{3F15227A-115E-467A-AED6-4E815D01B1B3}"/>
    <cellStyle name="Migliaia 20 10 4" xfId="33369" xr:uid="{F710BA1B-8E09-4A78-AEA0-CE7035EBD0B1}"/>
    <cellStyle name="Migliaia 20 10 5" xfId="20063" xr:uid="{6217A06B-06E4-494D-B9A7-27431E06A727}"/>
    <cellStyle name="Migliaia 20 11" xfId="3296" xr:uid="{51E0C443-0B0E-477A-A1B7-543751C10135}"/>
    <cellStyle name="Migliaia 20 11 2" xfId="36278" xr:uid="{2A6207CB-7F82-46FC-BCF3-09F4D3ECD8BB}"/>
    <cellStyle name="Migliaia 20 12" xfId="41436" xr:uid="{E972BDFC-4F25-4492-AC68-A926932CE431}"/>
    <cellStyle name="Migliaia 20 13" xfId="7078" xr:uid="{C985E475-B773-4E72-91B0-33E4F5C31830}"/>
    <cellStyle name="Migliaia 20 2" xfId="350" xr:uid="{00000000-0005-0000-0000-00002C030000}"/>
    <cellStyle name="Migliaia 20 2 2" xfId="1716" xr:uid="{00000000-0005-0000-0000-00002D030000}"/>
    <cellStyle name="Migliaia 20 2 2 2" xfId="5024" xr:uid="{4483A384-E81A-458E-8460-16A4CF5F83AE}"/>
    <cellStyle name="Migliaia 20 2 2 2 2" xfId="14375" xr:uid="{88FDFF7F-5D1F-49E2-9AFA-E23373482D75}"/>
    <cellStyle name="Migliaia 20 2 2 2 2 2" xfId="38786" xr:uid="{C40E469A-D110-42D6-A9CC-1B547ABA1F41}"/>
    <cellStyle name="Migliaia 20 2 2 2 2 3" xfId="44088" xr:uid="{BE72FC88-2621-4EDE-86F1-85A5118B3C67}"/>
    <cellStyle name="Migliaia 20 2 2 2 3" xfId="18398" xr:uid="{D085BBA0-A566-469D-AE27-143654F7FAC7}"/>
    <cellStyle name="Migliaia 20 2 2 2 4" xfId="20066" xr:uid="{8A590F44-731B-4192-821D-7949F328313F}"/>
    <cellStyle name="Migliaia 20 2 2 2 4 2" xfId="41437" xr:uid="{8EF95C7A-5039-4C93-A234-49959869E09D}"/>
    <cellStyle name="Migliaia 20 2 2 2 5" xfId="16187" xr:uid="{7D26BC8C-281F-4F74-A48D-A0E5CA54F172}"/>
    <cellStyle name="Migliaia 20 2 2 2 6" xfId="8553" xr:uid="{30742BC3-1094-4CC9-BE89-6CFBB42EF8F6}"/>
    <cellStyle name="Migliaia 20 2 2 3" xfId="6236" xr:uid="{8DAA7853-6C5C-4B96-9F8D-6048623EA17E}"/>
    <cellStyle name="Migliaia 20 2 2 3 2" xfId="35207" xr:uid="{F47C2681-93F9-46B1-B2BE-F0121A3B6EE2}"/>
    <cellStyle name="Migliaia 20 2 2 3 2 2" xfId="40367" xr:uid="{BF668FBF-F8EE-48E3-980B-74EB3F9DF5F1}"/>
    <cellStyle name="Migliaia 20 2 2 3 2 3" xfId="45669" xr:uid="{7E3DCF9E-5D73-4670-B6FD-EB77C9C5E4ED}"/>
    <cellStyle name="Migliaia 20 2 2 3 3" xfId="37716" xr:uid="{D5C58352-07B5-4259-A7CC-E80E19813802}"/>
    <cellStyle name="Migliaia 20 2 2 3 4" xfId="43018" xr:uid="{1A279B86-7699-4A1B-8A81-45F15572E7AB}"/>
    <cellStyle name="Migliaia 20 2 2 3 5" xfId="11602" xr:uid="{53B78297-7F65-496B-9C0C-3ED242ABCFB8}"/>
    <cellStyle name="Migliaia 20 2 2 4" xfId="3298" xr:uid="{BEA27ECB-21E2-4490-A30F-4137FD2E0B61}"/>
    <cellStyle name="Migliaia 20 2 2 4 2" xfId="21428" xr:uid="{8F8694E2-93B2-4862-80CF-02C83CBEA4C9}"/>
    <cellStyle name="Migliaia 20 2 2 4 3" xfId="33782" xr:uid="{DB51A685-FE78-4E79-B39A-BFB451F0D5BB}"/>
    <cellStyle name="Migliaia 20 2 2 4 4" xfId="50443" xr:uid="{0CC440D1-ED6E-40B0-9249-4F076D2C7A3D}"/>
    <cellStyle name="Migliaia 20 2 2 4 5" xfId="53459" xr:uid="{BCF27F57-FCB8-4EB6-B9BF-2A425F5A3B05}"/>
    <cellStyle name="Migliaia 20 2 2 4 6" xfId="10793" xr:uid="{C031A717-8F78-44BB-B677-70E1277DEA78}"/>
    <cellStyle name="Migliaia 20 2 2 5" xfId="20065" xr:uid="{C950557D-C313-465E-A207-04839FD43781}"/>
    <cellStyle name="Migliaia 20 2 2 6" xfId="24458" xr:uid="{2F945B28-224D-49A3-845F-C9B39CD49CDE}"/>
    <cellStyle name="Migliaia 20 2 2 7" xfId="7363" xr:uid="{CF06589C-84C2-43B9-A0CC-B85B0BEF66A1}"/>
    <cellStyle name="Migliaia 20 2 3" xfId="3299" xr:uid="{4C2C4986-E553-4008-87E4-209F6EB137BE}"/>
    <cellStyle name="Migliaia 20 2 3 2" xfId="5025" xr:uid="{0CD160EE-02EC-41AB-9FB4-51E75B9D74B4}"/>
    <cellStyle name="Migliaia 20 2 3 2 2" xfId="35208" xr:uid="{AFE56817-7F53-4436-A33A-06316BC44ED7}"/>
    <cellStyle name="Migliaia 20 2 3 2 2 2" xfId="40368" xr:uid="{1E7CF647-2F0A-45A4-BAB4-5AF38CAA1ED2}"/>
    <cellStyle name="Migliaia 20 2 3 2 2 3" xfId="45670" xr:uid="{10FD98AC-7433-4556-BCA1-A16491C89969}"/>
    <cellStyle name="Migliaia 20 2 3 2 3" xfId="37717" xr:uid="{E34D0A21-CC95-4B1D-BF85-7AB8EF34FD47}"/>
    <cellStyle name="Migliaia 20 2 3 2 4" xfId="43019" xr:uid="{EC243582-84A7-4299-9D18-D9F4067CFEFE}"/>
    <cellStyle name="Migliaia 20 2 3 2 5" xfId="14216" xr:uid="{D8693E71-F8F9-4BAF-9860-0133930022DF}"/>
    <cellStyle name="Migliaia 20 2 3 3" xfId="6237" xr:uid="{C41AEA15-B0A9-4053-8E36-222FA2906A01}"/>
    <cellStyle name="Migliaia 20 2 3 3 2" xfId="38787" xr:uid="{9B730F06-363F-4E43-93B7-44D55FE9DAA6}"/>
    <cellStyle name="Migliaia 20 2 3 3 3" xfId="44089" xr:uid="{A3A45162-2267-4076-9F16-8754BDDE8A07}"/>
    <cellStyle name="Migliaia 20 2 3 3 4" xfId="33371" xr:uid="{D109DFEA-6405-4148-87FA-2B04733B77BA}"/>
    <cellStyle name="Migliaia 20 2 3 3 5" xfId="20067" xr:uid="{BA63D5D9-EC81-44CC-8D66-3D79F3FDF5E9}"/>
    <cellStyle name="Migliaia 20 2 3 4" xfId="36280" xr:uid="{8795E217-1A34-4042-ABCC-FA0366BF8880}"/>
    <cellStyle name="Migliaia 20 2 3 5" xfId="41438" xr:uid="{7F10D9AC-AF5D-4707-B06B-3F403B054F4F}"/>
    <cellStyle name="Migliaia 20 2 3 6" xfId="16188" xr:uid="{630840ED-6968-4115-91F6-E6F8BC6C7378}"/>
    <cellStyle name="Migliaia 20 2 3 7" xfId="8278" xr:uid="{11EE2C72-32C9-4D58-BE4F-F72AF59AC700}"/>
    <cellStyle name="Migliaia 20 2 4" xfId="5023" xr:uid="{E690E513-41D2-4F5F-B2D0-3A977F8ABB90}"/>
    <cellStyle name="Migliaia 20 2 4 2" xfId="13921" xr:uid="{240FA36D-0ED3-4F18-8E10-C935A687685D}"/>
    <cellStyle name="Migliaia 20 2 4 2 2" xfId="38788" xr:uid="{A53040BF-41F6-403A-A535-68D9D60094F0}"/>
    <cellStyle name="Migliaia 20 2 4 2 3" xfId="44090" xr:uid="{B20DE2C4-5CC6-478D-A914-7FF97E8B42EF}"/>
    <cellStyle name="Migliaia 20 2 4 3" xfId="18719" xr:uid="{95E30E9D-9C15-4127-90BE-341F86C5FEDC}"/>
    <cellStyle name="Migliaia 20 2 4 4" xfId="20068" xr:uid="{38060229-A978-45F9-A009-F64761E57CC8}"/>
    <cellStyle name="Migliaia 20 2 4 4 2" xfId="41439" xr:uid="{E72DB524-F588-412D-92B2-E902EFB013A9}"/>
    <cellStyle name="Migliaia 20 2 4 5" xfId="16189" xr:uid="{3398D8AF-8665-4F50-9A65-DE8B025CAD89}"/>
    <cellStyle name="Migliaia 20 2 4 6" xfId="7871" xr:uid="{5C945C41-0018-4B8D-9627-65FED1F85F1E}"/>
    <cellStyle name="Migliaia 20 2 5" xfId="6235" xr:uid="{FF37BF19-91B6-4B3E-A92E-127F81DA7260}"/>
    <cellStyle name="Migliaia 20 2 5 2" xfId="33372" xr:uid="{3774D4EC-28C7-4CF1-849D-478D597DF977}"/>
    <cellStyle name="Migliaia 20 2 5 2 2" xfId="38789" xr:uid="{D2A45269-FD21-4316-8820-9B9813605618}"/>
    <cellStyle name="Migliaia 20 2 5 2 3" xfId="44091" xr:uid="{6B3B4FCF-1727-44AE-BFC1-FD18E90E98A7}"/>
    <cellStyle name="Migliaia 20 2 5 3" xfId="36281" xr:uid="{AF001F02-0956-450C-B298-933E1EADFCC1}"/>
    <cellStyle name="Migliaia 20 2 5 4" xfId="41440" xr:uid="{D4DE2673-ABD6-49E8-BF57-1D7406395089}"/>
    <cellStyle name="Migliaia 20 2 5 5" xfId="13115" xr:uid="{3147E584-E1B4-4A12-B4C1-F81F8DACD4A8}"/>
    <cellStyle name="Migliaia 20 2 6" xfId="3297" xr:uid="{7F3C78A9-AE06-4C91-9E2C-AAEEEABDBC72}"/>
    <cellStyle name="Migliaia 20 2 6 2" xfId="33373" xr:uid="{5675B69B-3D54-4D62-BA01-E944E9B68225}"/>
    <cellStyle name="Migliaia 20 2 6 2 2" xfId="38790" xr:uid="{C7DFF3EA-2DE6-4926-AE09-CFBADA1BEEBF}"/>
    <cellStyle name="Migliaia 20 2 6 2 3" xfId="44092" xr:uid="{AEDDDDCA-5F7A-489E-8BD6-0051340B7BF4}"/>
    <cellStyle name="Migliaia 20 2 6 3" xfId="36282" xr:uid="{7779A5A2-03E2-4617-BB8B-CB4356831D7F}"/>
    <cellStyle name="Migliaia 20 2 6 4" xfId="41441" xr:uid="{545F1D60-7680-41D2-9BF6-A4385DF82330}"/>
    <cellStyle name="Migliaia 20 2 6 5" xfId="24461" xr:uid="{9271C1FD-AA47-4249-95BE-19F40FB0A590}"/>
    <cellStyle name="Migliaia 20 2 6 6" xfId="20064" xr:uid="{09AA98A5-1EDC-468E-AFDE-AE12B98C2AE3}"/>
    <cellStyle name="Migliaia 20 2 7" xfId="24457" xr:uid="{3435B057-6D4B-426D-9C9F-9D72C7373992}"/>
    <cellStyle name="Migliaia 20 2 8" xfId="7079" xr:uid="{269FF50A-CAD5-4C6F-A8D0-F4A2B720FF13}"/>
    <cellStyle name="Migliaia 20 3" xfId="351" xr:uid="{00000000-0005-0000-0000-00002E030000}"/>
    <cellStyle name="Migliaia 20 3 10" xfId="24462" xr:uid="{A17C928C-3AB5-427B-8155-E0C11ED29699}"/>
    <cellStyle name="Migliaia 20 3 11" xfId="16190" xr:uid="{0085834A-B4BC-4E8F-9254-0B9A1770D6BE}"/>
    <cellStyle name="Migliaia 20 3 12" xfId="7080" xr:uid="{C1DA829C-A7B1-4E46-8F26-CB5C0039DA54}"/>
    <cellStyle name="Migliaia 20 3 2" xfId="352" xr:uid="{00000000-0005-0000-0000-00002F030000}"/>
    <cellStyle name="Migliaia 20 3 2 2" xfId="1717" xr:uid="{00000000-0005-0000-0000-000030030000}"/>
    <cellStyle name="Migliaia 20 3 2 2 2" xfId="5028" xr:uid="{E6FCE665-6B03-4854-BAFC-9D6DF9752672}"/>
    <cellStyle name="Migliaia 20 3 2 2 2 2" xfId="18399" xr:uid="{8BD545CE-BDCC-47E5-A826-8958ECB34B8A}"/>
    <cellStyle name="Migliaia 20 3 2 2 2 2 2" xfId="21853" xr:uid="{86BE38A1-87E0-4990-B31B-C5748BB43CAB}"/>
    <cellStyle name="Migliaia 20 3 2 2 2 2 2 2" xfId="38791" xr:uid="{69698E00-9997-4AC0-B3F7-393520D34D13}"/>
    <cellStyle name="Migliaia 20 3 2 2 2 2 3" xfId="44093" xr:uid="{3E3B7347-83EC-41D4-8076-7613BDAE7E63}"/>
    <cellStyle name="Migliaia 20 3 2 2 2 2 4" xfId="33374" xr:uid="{9B826E4A-21C7-4D5E-9221-04BB2AC381CA}"/>
    <cellStyle name="Migliaia 20 3 2 2 2 3" xfId="36283" xr:uid="{489CFB81-4E00-43E9-8E1F-180B34AE1765}"/>
    <cellStyle name="Migliaia 20 3 2 2 2 4" xfId="41442" xr:uid="{A2CFB6ED-B99B-49D0-A706-9EB8C4993BCB}"/>
    <cellStyle name="Migliaia 20 3 2 2 2 5" xfId="33410" xr:uid="{2AD93B0A-D472-4EAF-81AD-7C2A64652639}"/>
    <cellStyle name="Migliaia 20 3 2 2 2 6" xfId="50881" xr:uid="{6E2DD9F2-E3B0-4873-B6E7-EEC5E9DE4E5F}"/>
    <cellStyle name="Migliaia 20 3 2 2 2 7" xfId="53897" xr:uid="{141E300C-7AD7-4989-A1BA-833FCDBB1A4B}"/>
    <cellStyle name="Migliaia 20 3 2 2 2 8" xfId="17650" xr:uid="{9C8D73F4-14D0-4B29-9992-EAA1B8A44BFA}"/>
    <cellStyle name="Migliaia 20 3 2 2 2 9" xfId="11935" xr:uid="{DB8D743D-BE2F-4EA6-968C-7536B86BFA66}"/>
    <cellStyle name="Migliaia 20 3 2 2 3" xfId="6240" xr:uid="{57CE9A27-30DB-436C-BF92-68F3E852652C}"/>
    <cellStyle name="Migliaia 20 3 2 2 3 2" xfId="11671" xr:uid="{5A0C01CC-5C22-40FD-A29A-BA66239AC47D}"/>
    <cellStyle name="Migliaia 20 3 2 2 4" xfId="3302" xr:uid="{F74D9D9D-625F-4285-A195-459E63E670BC}"/>
    <cellStyle name="Migliaia 20 3 2 2 4 2" xfId="21429" xr:uid="{11C4FB04-4A9E-48F6-B0F1-7249603B682F}"/>
    <cellStyle name="Migliaia 20 3 2 2 4 3" xfId="47063" xr:uid="{F38DFD9D-1076-4125-A11C-2D2A7B03006F}"/>
    <cellStyle name="Migliaia 20 3 2 2 4 4" xfId="50444" xr:uid="{547268B3-28AC-4142-8060-C3BEF0FDDFEE}"/>
    <cellStyle name="Migliaia 20 3 2 2 4 5" xfId="53460" xr:uid="{264EAAFA-1672-47AF-8E23-12A65001D48D}"/>
    <cellStyle name="Migliaia 20 3 2 2 4 6" xfId="10794" xr:uid="{5FF074A4-5EB6-4068-9559-6964886301F3}"/>
    <cellStyle name="Migliaia 20 3 2 2 5" xfId="20071" xr:uid="{F6BB960D-4AA8-4D3F-9C78-A8A765A8F3B6}"/>
    <cellStyle name="Migliaia 20 3 2 2 6" xfId="24464" xr:uid="{1C224087-0A54-4488-9509-65EB2DF4EDD6}"/>
    <cellStyle name="Migliaia 20 3 2 2 7" xfId="8555" xr:uid="{BDDB9F06-A3FF-4EE9-82C6-D098ACC64F80}"/>
    <cellStyle name="Migliaia 20 3 2 3" xfId="5027" xr:uid="{8A8376F0-2401-4CFE-A451-CA53D0A8F04D}"/>
    <cellStyle name="Migliaia 20 3 2 3 2" xfId="12227" xr:uid="{E5D030C1-D702-42BD-A656-43BB87ACAF49}"/>
    <cellStyle name="Migliaia 20 3 2 3 2 2" xfId="38792" xr:uid="{14D9856F-F27D-4A4D-BC60-2A36AFFA102E}"/>
    <cellStyle name="Migliaia 20 3 2 3 2 3" xfId="44094" xr:uid="{8C468954-1D19-48B0-A34A-2A6BAAF192E1}"/>
    <cellStyle name="Migliaia 20 3 2 3 2 4" xfId="33375" xr:uid="{F96F718D-3CDA-4221-B534-CEAE5B2B96D7}"/>
    <cellStyle name="Migliaia 20 3 2 3 3" xfId="11936" xr:uid="{D708CCA0-30D5-4223-B75E-D1FE29478E81}"/>
    <cellStyle name="Migliaia 20 3 2 3 4" xfId="20072" xr:uid="{1831CCD9-D791-45F6-90B1-CF8C8AD5F6D4}"/>
    <cellStyle name="Migliaia 20 3 2 3 4 2" xfId="41443" xr:uid="{7527B870-C5B9-42DB-A79A-CD0B05026379}"/>
    <cellStyle name="Migliaia 20 3 2 3 5" xfId="16191" xr:uid="{4410F69F-71E0-44B6-8615-A277F8BEAEC6}"/>
    <cellStyle name="Migliaia 20 3 2 3 6" xfId="7873" xr:uid="{5AAB10DC-FCC2-4926-9347-B8E3321A3A25}"/>
    <cellStyle name="Migliaia 20 3 2 4" xfId="6239" xr:uid="{47707BAA-DEA3-40FD-8145-10731F90B767}"/>
    <cellStyle name="Migliaia 20 3 2 4 2" xfId="18069" xr:uid="{82D3D426-5560-4480-8B2F-F0BEBF89A972}"/>
    <cellStyle name="Migliaia 20 3 2 4 2 2" xfId="38793" xr:uid="{0E86FAC4-5699-4E9D-9FD7-12061A69A8B9}"/>
    <cellStyle name="Migliaia 20 3 2 4 2 3" xfId="44095" xr:uid="{C2082BF6-F645-4028-8E98-16621CC0507A}"/>
    <cellStyle name="Migliaia 20 3 2 4 3" xfId="36284" xr:uid="{08CEBBE6-FB5D-4C06-A433-63A29C8C35A2}"/>
    <cellStyle name="Migliaia 20 3 2 4 4" xfId="41444" xr:uid="{FA8FFA2D-E369-4A4A-9351-75FB9141C034}"/>
    <cellStyle name="Migliaia 20 3 2 4 5" xfId="17160" xr:uid="{70D8E08A-5E6A-45D1-8D38-C8633644F0EE}"/>
    <cellStyle name="Migliaia 20 3 2 4 6" xfId="11284" xr:uid="{278E56E6-2B74-4AAD-B989-50818BEB44F6}"/>
    <cellStyle name="Migliaia 20 3 2 5" xfId="3301" xr:uid="{B25961CB-D410-45B9-B077-5028FFE1B82F}"/>
    <cellStyle name="Migliaia 20 3 2 5 2" xfId="33376" xr:uid="{AD579B22-BC14-429B-97F1-0338EF0520C3}"/>
    <cellStyle name="Migliaia 20 3 2 5 2 2" xfId="38794" xr:uid="{A161C357-4789-49D9-B55C-E46311A32332}"/>
    <cellStyle name="Migliaia 20 3 2 5 2 3" xfId="44096" xr:uid="{30DC804B-4B3E-43B1-A965-B9F6936C5882}"/>
    <cellStyle name="Migliaia 20 3 2 5 3" xfId="36285" xr:uid="{D6FE94FF-A6F5-47A6-B574-200BB286272F}"/>
    <cellStyle name="Migliaia 20 3 2 5 4" xfId="41445" xr:uid="{20A22DBD-2809-4171-B924-EDB40EF3A280}"/>
    <cellStyle name="Migliaia 20 3 2 5 5" xfId="17390" xr:uid="{815E4FF7-3C87-4A51-8C50-16AC753BE700}"/>
    <cellStyle name="Migliaia 20 3 2 6" xfId="20070" xr:uid="{0DD90139-23ED-46D1-B498-F4FCF85F46A7}"/>
    <cellStyle name="Migliaia 20 3 2 6 2" xfId="33377" xr:uid="{E94146A6-52A6-4D1A-A0A4-19930607887A}"/>
    <cellStyle name="Migliaia 20 3 2 6 2 2" xfId="38795" xr:uid="{510BFE7F-4BB2-4C07-9CC6-5E6882AD3214}"/>
    <cellStyle name="Migliaia 20 3 2 6 2 3" xfId="44097" xr:uid="{DA03918C-FAE7-41D0-B988-1160F1379F35}"/>
    <cellStyle name="Migliaia 20 3 2 6 3" xfId="36286" xr:uid="{CF2D3AC7-F64E-48BE-92FA-1B9C11F1507E}"/>
    <cellStyle name="Migliaia 20 3 2 6 4" xfId="41446" xr:uid="{07759690-12A9-4D49-80FE-BC6C86B7F225}"/>
    <cellStyle name="Migliaia 20 3 2 6 5" xfId="24465" xr:uid="{25464AC2-3D96-4183-879C-19D1B47C14ED}"/>
    <cellStyle name="Migliaia 20 3 2 7" xfId="24463" xr:uid="{C66F03A7-3F9C-4F3C-B0AF-D9B17FAFD92C}"/>
    <cellStyle name="Migliaia 20 3 2 8" xfId="7365" xr:uid="{B8554499-9ECF-4F6D-9F3F-AAD59E769EFC}"/>
    <cellStyle name="Migliaia 20 3 3" xfId="3303" xr:uid="{0A7F90EE-771F-4DC2-B84D-11BB559D1429}"/>
    <cellStyle name="Migliaia 20 3 3 10" xfId="7364" xr:uid="{17B6D7B0-9193-4D17-AC17-2951A6AF8886}"/>
    <cellStyle name="Migliaia 20 3 3 2" xfId="5029" xr:uid="{6E96B5C7-43CC-465F-94A6-CB6A4C61889A}"/>
    <cellStyle name="Migliaia 20 3 3 2 2" xfId="9906" xr:uid="{C08D98CF-B599-4CE6-8AC6-26E19664F3B1}"/>
    <cellStyle name="Migliaia 20 3 3 2 2 2" xfId="38797" xr:uid="{F4CC941E-68DC-4865-9202-29DE40B17708}"/>
    <cellStyle name="Migliaia 20 3 3 2 2 3" xfId="44099" xr:uid="{8BAFC7DB-091F-4159-8D1B-3B40E0983847}"/>
    <cellStyle name="Migliaia 20 3 3 2 3" xfId="18186" xr:uid="{6FEF4D3F-4348-4639-A5CC-5B2C2EE7EBF9}"/>
    <cellStyle name="Migliaia 20 3 3 2 4" xfId="20074" xr:uid="{475CB908-5C93-459C-8FAA-EE03DBC50EB2}"/>
    <cellStyle name="Migliaia 20 3 3 2 4 2" xfId="41448" xr:uid="{EAEDF548-3F0B-4ECF-BAD0-93B35BF3851E}"/>
    <cellStyle name="Migliaia 20 3 3 2 5" xfId="16193" xr:uid="{C50B3CD1-74AB-450F-99F6-7B665561CC72}"/>
    <cellStyle name="Migliaia 20 3 3 2 6" xfId="8554" xr:uid="{115B8379-FC69-41FD-AE6E-F1B342985B61}"/>
    <cellStyle name="Migliaia 20 3 3 3" xfId="6241" xr:uid="{1584519A-704C-49C9-BFEE-0111DBF08D03}"/>
    <cellStyle name="Migliaia 20 3 3 3 2" xfId="33379" xr:uid="{A17583D3-BA04-4FA0-BE8B-915D8D0502B1}"/>
    <cellStyle name="Migliaia 20 3 3 3 2 2" xfId="38798" xr:uid="{C6D28FCC-5FF0-475E-8DD8-C7276A26F623}"/>
    <cellStyle name="Migliaia 20 3 3 3 2 3" xfId="44100" xr:uid="{70ECDD93-CED2-4D0D-B38C-6B20563848B7}"/>
    <cellStyle name="Migliaia 20 3 3 3 3" xfId="36288" xr:uid="{FA1E8770-8860-451B-8587-36BFF65E60B3}"/>
    <cellStyle name="Migliaia 20 3 3 3 4" xfId="41449" xr:uid="{79EBE2F3-633C-4074-88EC-BC1EDAEDF5A1}"/>
    <cellStyle name="Migliaia 20 3 3 3 5" xfId="9669" xr:uid="{B968158F-7243-463A-8C62-9BE226677763}"/>
    <cellStyle name="Migliaia 20 3 3 4" xfId="20073" xr:uid="{65E4927C-D330-4AE6-9609-DAC9C5028FD5}"/>
    <cellStyle name="Migliaia 20 3 3 4 2" xfId="33380" xr:uid="{942E6642-4EC1-41D1-A580-8831D28BC801}"/>
    <cellStyle name="Migliaia 20 3 3 4 2 2" xfId="38799" xr:uid="{329CE132-3AA2-418B-B6AC-D32A378AD3E0}"/>
    <cellStyle name="Migliaia 20 3 3 4 2 3" xfId="44101" xr:uid="{CEA7D693-FF0A-4B3B-9898-42C941910FF5}"/>
    <cellStyle name="Migliaia 20 3 3 4 3" xfId="36289" xr:uid="{432EEDEC-3DB1-4C3F-A598-A8785C46986E}"/>
    <cellStyle name="Migliaia 20 3 3 4 4" xfId="41450" xr:uid="{A1D711AE-72AC-4731-B6E3-6E6A768414C9}"/>
    <cellStyle name="Migliaia 20 3 3 4 5" xfId="24466" xr:uid="{C165E444-1A40-4D8C-9B03-83D69D84EBB4}"/>
    <cellStyle name="Migliaia 20 3 3 5" xfId="24467" xr:uid="{2D187CA7-328C-4857-AC00-CB27CCB256E4}"/>
    <cellStyle name="Migliaia 20 3 3 5 2" xfId="33381" xr:uid="{900B0004-3534-48AD-A40A-20BAE56151AD}"/>
    <cellStyle name="Migliaia 20 3 3 5 2 2" xfId="38800" xr:uid="{EAF6EEA0-D669-4B4A-9B93-3D200A394485}"/>
    <cellStyle name="Migliaia 20 3 3 5 2 3" xfId="44102" xr:uid="{03C3F5C4-7A7B-4787-9E2D-52DA0AE01190}"/>
    <cellStyle name="Migliaia 20 3 3 5 3" xfId="36290" xr:uid="{AB07E5E5-3D9C-4362-865F-5FDE0077218F}"/>
    <cellStyle name="Migliaia 20 3 3 5 4" xfId="41451" xr:uid="{62A161BA-C478-4101-A4F0-E7019BFBA4DC}"/>
    <cellStyle name="Migliaia 20 3 3 6" xfId="33378" xr:uid="{8EF0CF96-FEB5-4A2A-9246-A3379A5F7DFF}"/>
    <cellStyle name="Migliaia 20 3 3 6 2" xfId="38796" xr:uid="{36F36B6F-0DC0-4333-BE36-3EA684FCF596}"/>
    <cellStyle name="Migliaia 20 3 3 6 3" xfId="44098" xr:uid="{3880DD36-5495-403F-B017-C16661F60806}"/>
    <cellStyle name="Migliaia 20 3 3 7" xfId="36287" xr:uid="{72960EF2-3A26-4686-8CFC-304DB8ECA012}"/>
    <cellStyle name="Migliaia 20 3 3 8" xfId="41447" xr:uid="{8C7C277E-6656-4A9F-9293-B1725853CAEF}"/>
    <cellStyle name="Migliaia 20 3 3 9" xfId="16192" xr:uid="{B02018EA-AA95-43CA-8605-5D9FF5497731}"/>
    <cellStyle name="Migliaia 20 3 4" xfId="3304" xr:uid="{D40C12FB-7BE6-4B5C-B430-28748EF6E8CF}"/>
    <cellStyle name="Migliaia 20 3 4 2" xfId="5030" xr:uid="{AEA51B74-8505-48C0-B779-50D67A7C9DA4}"/>
    <cellStyle name="Migliaia 20 3 4 2 2" xfId="14435" xr:uid="{E0E16F88-4484-4359-A982-AC348A760F16}"/>
    <cellStyle name="Migliaia 20 3 4 2 3" xfId="18145" xr:uid="{A4A12C54-C714-46E5-88BC-3B5C26561766}"/>
    <cellStyle name="Migliaia 20 3 4 2 4" xfId="20076" xr:uid="{FDD89D5F-E57C-4161-8CFC-ED654CA66F77}"/>
    <cellStyle name="Migliaia 20 3 4 2 5" xfId="32331" xr:uid="{544F4D19-FE41-4080-B04A-E4CA67C0A811}"/>
    <cellStyle name="Migliaia 20 3 4 2 6" xfId="16195" xr:uid="{61DEAB6D-31CF-4336-A239-3B9D52751962}"/>
    <cellStyle name="Migliaia 20 3 4 2 7" xfId="8858" xr:uid="{AEC22804-151F-4396-A8F0-111B17B0E171}"/>
    <cellStyle name="Migliaia 20 3 4 3" xfId="6242" xr:uid="{E63B86CD-E5CA-43EB-8FB5-344E37318619}"/>
    <cellStyle name="Migliaia 20 3 4 3 2" xfId="35209" xr:uid="{92F1AACE-5712-4D4F-A42A-36E63FD9DD4C}"/>
    <cellStyle name="Migliaia 20 3 4 3 2 2" xfId="40369" xr:uid="{56DBF920-FEAF-4821-8E19-DB12EC1750FF}"/>
    <cellStyle name="Migliaia 20 3 4 3 2 3" xfId="45671" xr:uid="{166E0073-67B6-4E45-9BAD-6A09FD0317CF}"/>
    <cellStyle name="Migliaia 20 3 4 3 3" xfId="37718" xr:uid="{3AEBEC8C-376E-4FB4-A892-AF45B27AC5D1}"/>
    <cellStyle name="Migliaia 20 3 4 3 4" xfId="43020" xr:uid="{2CE7A09E-6172-403E-BDCE-24DD8C0C4EE0}"/>
    <cellStyle name="Migliaia 20 3 4 3 5" xfId="13683" xr:uid="{695BB32C-C6A7-410D-87B7-6662C32745E6}"/>
    <cellStyle name="Migliaia 20 3 4 4" xfId="20075" xr:uid="{0DEE9D9B-AA64-4486-A9B9-56B464CE099C}"/>
    <cellStyle name="Migliaia 20 3 4 4 2" xfId="38801" xr:uid="{490963D0-3955-4EBB-A67E-A1AC18516F4E}"/>
    <cellStyle name="Migliaia 20 3 4 4 3" xfId="44103" xr:uid="{FE4892AE-9AAB-4734-9630-5DE3D9FE7522}"/>
    <cellStyle name="Migliaia 20 3 4 4 4" xfId="33382" xr:uid="{DD4EEBFC-2228-4662-884C-9ACA57861E88}"/>
    <cellStyle name="Migliaia 20 3 4 5" xfId="36291" xr:uid="{A4CFB204-CA52-4B19-959E-37C0C7179EE4}"/>
    <cellStyle name="Migliaia 20 3 4 6" xfId="41452" xr:uid="{66A25FAD-156F-43AF-96F9-08F3A2AED1B1}"/>
    <cellStyle name="Migliaia 20 3 4 7" xfId="16194" xr:uid="{B056467A-E05E-47BD-9164-973B3CC88E13}"/>
    <cellStyle name="Migliaia 20 3 4 8" xfId="7668" xr:uid="{84B627EA-4F04-4943-848E-07B620DD8E27}"/>
    <cellStyle name="Migliaia 20 3 5" xfId="3305" xr:uid="{5A1F4818-424A-472C-BBF0-0C2DF6112EA4}"/>
    <cellStyle name="Migliaia 20 3 5 2" xfId="5031" xr:uid="{F2C81148-6863-410D-97FA-676C0B29DACB}"/>
    <cellStyle name="Migliaia 20 3 5 2 2" xfId="35210" xr:uid="{D2B24583-5599-4BF0-82F6-1323DCBC59B4}"/>
    <cellStyle name="Migliaia 20 3 5 2 2 2" xfId="40370" xr:uid="{983C6D1C-6892-4166-AE89-3BE59A68A45A}"/>
    <cellStyle name="Migliaia 20 3 5 2 2 3" xfId="45672" xr:uid="{3238683F-F38E-4B4A-8681-2C54F8EF763C}"/>
    <cellStyle name="Migliaia 20 3 5 2 3" xfId="37719" xr:uid="{FD2DCA4C-F908-4B27-8D4A-3DD90942703A}"/>
    <cellStyle name="Migliaia 20 3 5 2 4" xfId="43021" xr:uid="{3FA88A4F-27B7-4043-956C-D79C06C4BC06}"/>
    <cellStyle name="Migliaia 20 3 5 2 5" xfId="14217" xr:uid="{1F6B242F-D0AE-48FD-B8B1-3AF9D344DC73}"/>
    <cellStyle name="Migliaia 20 3 5 3" xfId="6243" xr:uid="{07C5F843-C900-4F07-A1FB-60B5A5FBDB15}"/>
    <cellStyle name="Migliaia 20 3 5 3 2" xfId="38802" xr:uid="{EF9951E2-B783-4598-A93A-C8E0AAAADEB5}"/>
    <cellStyle name="Migliaia 20 3 5 3 3" xfId="44104" xr:uid="{4B154156-53E8-41AB-B75C-50FDEF86FB6A}"/>
    <cellStyle name="Migliaia 20 3 5 3 4" xfId="33383" xr:uid="{48CC5265-E324-4F8D-A38D-E8980B648F19}"/>
    <cellStyle name="Migliaia 20 3 5 3 5" xfId="20077" xr:uid="{9E9BD431-FCF6-44BD-8477-0D5BCED5FC3C}"/>
    <cellStyle name="Migliaia 20 3 5 4" xfId="36292" xr:uid="{35AF5AD3-F090-497D-9230-1347684DCD81}"/>
    <cellStyle name="Migliaia 20 3 5 5" xfId="41453" xr:uid="{EAC45F60-0258-472C-B585-A85A534D031E}"/>
    <cellStyle name="Migliaia 20 3 5 6" xfId="16196" xr:uid="{CBAFFB81-6BD3-4C52-9296-8D83E23E111A}"/>
    <cellStyle name="Migliaia 20 3 5 7" xfId="8279" xr:uid="{1D1577AE-4F77-4F31-9BBD-6DE927211A0E}"/>
    <cellStyle name="Migliaia 20 3 6" xfId="5026" xr:uid="{82106CB1-518C-4F8C-8A1B-63A867B346BD}"/>
    <cellStyle name="Migliaia 20 3 6 2" xfId="13922" xr:uid="{D9A7239A-11BD-4AA8-A93B-876A5ECC28E3}"/>
    <cellStyle name="Migliaia 20 3 6 2 2" xfId="38803" xr:uid="{6BEF767A-5E24-4A90-BFB5-BA154C20D708}"/>
    <cellStyle name="Migliaia 20 3 6 2 3" xfId="44105" xr:uid="{8E868E35-562B-4145-9D4B-D273656D3E0B}"/>
    <cellStyle name="Migliaia 20 3 6 3" xfId="18718" xr:uid="{0174797A-0AEB-4E79-86BF-5E704437EBD2}"/>
    <cellStyle name="Migliaia 20 3 6 4" xfId="20078" xr:uid="{16DEDFFF-169D-478C-8B02-5E13A9C5F4FD}"/>
    <cellStyle name="Migliaia 20 3 6 4 2" xfId="41454" xr:uid="{3CBBAAC3-9E10-4E42-95AD-5C89A77987A0}"/>
    <cellStyle name="Migliaia 20 3 6 5" xfId="16197" xr:uid="{2235003E-A579-4614-B77B-45F1AA73248F}"/>
    <cellStyle name="Migliaia 20 3 6 6" xfId="7872" xr:uid="{30EF9DB3-2345-4A55-9959-D4C7787C4B27}"/>
    <cellStyle name="Migliaia 20 3 7" xfId="6238" xr:uid="{2B403D09-B6CD-418E-A250-A2EF9F538168}"/>
    <cellStyle name="Migliaia 20 3 7 2" xfId="33384" xr:uid="{86570340-1575-4F21-97D2-36B7F45458B1}"/>
    <cellStyle name="Migliaia 20 3 7 2 2" xfId="38804" xr:uid="{A9457E08-7C68-4F58-B49D-B74778451D9A}"/>
    <cellStyle name="Migliaia 20 3 7 2 3" xfId="44106" xr:uid="{3D34D163-9A84-4B2D-9B4B-BAE557B302C5}"/>
    <cellStyle name="Migliaia 20 3 7 3" xfId="36293" xr:uid="{67E40F71-52AD-43E8-89BA-B8237C55F234}"/>
    <cellStyle name="Migliaia 20 3 7 4" xfId="41455" xr:uid="{6B7FF468-076F-42F5-9F3B-B46D37048A32}"/>
    <cellStyle name="Migliaia 20 3 7 5" xfId="11519" xr:uid="{740375E0-5047-40AA-AE09-AE9F61604E07}"/>
    <cellStyle name="Migliaia 20 3 8" xfId="3300" xr:uid="{C9285DF3-A1A0-4BE7-A8CE-BD69AE65FECD}"/>
    <cellStyle name="Migliaia 20 3 8 2" xfId="33385" xr:uid="{367863E1-FB5C-4EC4-A185-B0CF573526B2}"/>
    <cellStyle name="Migliaia 20 3 8 2 2" xfId="38805" xr:uid="{993E1E83-CCE5-4581-B7A2-211C0DF3C856}"/>
    <cellStyle name="Migliaia 20 3 8 2 3" xfId="44107" xr:uid="{2BA5BE46-7C64-46EA-9B00-5DF34F7CA38D}"/>
    <cellStyle name="Migliaia 20 3 8 3" xfId="36294" xr:uid="{2712F54D-86B7-49F5-8C2B-0AFCD5F16BA3}"/>
    <cellStyle name="Migliaia 20 3 8 4" xfId="41456" xr:uid="{F7B6EA70-2BDD-4AF0-A580-9976FC82CE9A}"/>
    <cellStyle name="Migliaia 20 3 8 5" xfId="24468" xr:uid="{2B1D5394-8CE8-4467-8650-5274207EE8B7}"/>
    <cellStyle name="Migliaia 20 3 8 6" xfId="17391" xr:uid="{375343C9-9EB9-4BF3-B058-7B25B5408B25}"/>
    <cellStyle name="Migliaia 20 3 9" xfId="20069" xr:uid="{57D9BAAC-6A5B-49DC-962E-9E6310557B9C}"/>
    <cellStyle name="Migliaia 20 4" xfId="1718" xr:uid="{00000000-0005-0000-0000-000031030000}"/>
    <cellStyle name="Migliaia 20 4 2" xfId="1719" xr:uid="{00000000-0005-0000-0000-000032030000}"/>
    <cellStyle name="Migliaia 20 4 2 2" xfId="5033" xr:uid="{55B599D6-0F1A-47A0-B4C9-80786FA520F6}"/>
    <cellStyle name="Migliaia 20 4 2 2 2" xfId="33386" xr:uid="{2DBD3820-2CE5-4F7F-8181-9ADC41BCB3D0}"/>
    <cellStyle name="Migliaia 20 4 2 2 2 2" xfId="38806" xr:uid="{348E2E19-D1BC-4597-BDA9-182FCD6BFF80}"/>
    <cellStyle name="Migliaia 20 4 2 2 2 3" xfId="44108" xr:uid="{0F00F63C-CA14-4B56-BB32-FF497FACE7F5}"/>
    <cellStyle name="Migliaia 20 4 2 2 3" xfId="36295" xr:uid="{84CD1C53-A8F0-4461-A004-DE743E566703}"/>
    <cellStyle name="Migliaia 20 4 2 2 4" xfId="41457" xr:uid="{CE5B6616-BCEA-4807-95AE-FDE073DB957B}"/>
    <cellStyle name="Migliaia 20 4 2 2 5" xfId="9132" xr:uid="{CA246449-D33F-47ED-9001-496362F969F9}"/>
    <cellStyle name="Migliaia 20 4 2 3" xfId="3307" xr:uid="{6198E792-1BEF-4FC3-BDE0-BA62190CB66F}"/>
    <cellStyle name="Migliaia 20 4 2 3 2" xfId="33387" xr:uid="{2344B976-6A07-44C8-840E-BE78A7D3FF33}"/>
    <cellStyle name="Migliaia 20 4 2 3 2 2" xfId="38807" xr:uid="{FCD72A5A-7C10-4CC0-9689-661DE4879757}"/>
    <cellStyle name="Migliaia 20 4 2 3 2 3" xfId="44109" xr:uid="{3195810D-E6C7-4C88-A205-BF3674C7AD02}"/>
    <cellStyle name="Migliaia 20 4 2 3 3" xfId="36296" xr:uid="{4DBDE5D0-4465-472B-8F73-0190952B5EE0}"/>
    <cellStyle name="Migliaia 20 4 2 3 4" xfId="41458" xr:uid="{E77183AC-FBF7-4FD0-A3A9-7AF685246DAF}"/>
    <cellStyle name="Migliaia 20 4 2 3 5" xfId="11937" xr:uid="{60B6EAE8-A632-4C04-8FA8-4B225BF90A18}"/>
    <cellStyle name="Migliaia 20 4 2 4" xfId="11286" xr:uid="{E6CCE3C1-3E12-4FC1-B971-A51651BB8705}"/>
    <cellStyle name="Migliaia 20 4 2 5" xfId="10796" xr:uid="{7E144E6E-4A76-436E-B98E-271995D410CB}"/>
    <cellStyle name="Migliaia 20 4 2 5 2" xfId="21431" xr:uid="{A4F40495-26BE-41D7-AF58-80A441104C5D}"/>
    <cellStyle name="Migliaia 20 4 2 5 3" xfId="47597" xr:uid="{809345C9-1945-4AA0-8F07-B8F77FB722BC}"/>
    <cellStyle name="Migliaia 20 4 2 5 4" xfId="50446" xr:uid="{3652EEFE-25E3-4621-AD68-1F066BF91B32}"/>
    <cellStyle name="Migliaia 20 4 2 5 5" xfId="53462" xr:uid="{A80E0D08-10A8-428E-A95D-69F5389EC3C4}"/>
    <cellStyle name="Migliaia 20 4 2 6" xfId="20080" xr:uid="{6C7273F0-1AAF-4EE8-990D-9575C8785C7C}"/>
    <cellStyle name="Migliaia 20 4 2 7" xfId="24470" xr:uid="{73D4164A-17DB-41FA-9FE5-1AEE7C0C0F9C}"/>
    <cellStyle name="Migliaia 20 4 2 8" xfId="8556" xr:uid="{C27AB129-1A6F-498A-9B47-D590BF68BA61}"/>
    <cellStyle name="Migliaia 20 4 3" xfId="5032" xr:uid="{8E31D9DF-A807-4FC7-9B3E-D5749C7DDAB2}"/>
    <cellStyle name="Migliaia 20 4 3 2" xfId="18187" xr:uid="{08B187E4-AD24-4D32-A8E4-50FEAF9599F5}"/>
    <cellStyle name="Migliaia 20 4 3 2 2" xfId="38808" xr:uid="{95700F47-09A4-435A-8DAA-2503CB725F6C}"/>
    <cellStyle name="Migliaia 20 4 3 2 3" xfId="44110" xr:uid="{237C3B9C-CC19-4589-90C6-86CD6E6DF721}"/>
    <cellStyle name="Migliaia 20 4 3 3" xfId="36297" xr:uid="{461E3629-A884-4DBB-8B68-ADAF4A9EBFB1}"/>
    <cellStyle name="Migliaia 20 4 3 4" xfId="41459" xr:uid="{D8174299-8304-4228-93B7-D59BAAA830FB}"/>
    <cellStyle name="Migliaia 20 4 3 5" xfId="17389" xr:uid="{6848CBDF-6B26-49A2-923E-5CC1EC565863}"/>
    <cellStyle name="Migliaia 20 4 3 6" xfId="9133" xr:uid="{DB095A99-73D8-4869-800C-042B2F3FFAF1}"/>
    <cellStyle name="Migliaia 20 4 4" xfId="6244" xr:uid="{E62C35C4-36E2-42F4-AAFC-E3F161E8831D}"/>
    <cellStyle name="Migliaia 20 4 4 2" xfId="33388" xr:uid="{4E45E283-FCF2-45CD-BC1F-06FC83F719DF}"/>
    <cellStyle name="Migliaia 20 4 4 2 2" xfId="38809" xr:uid="{B8C2FDFC-E18B-4B39-ACB8-4C49ABEF3E71}"/>
    <cellStyle name="Migliaia 20 4 4 2 3" xfId="44111" xr:uid="{B910F16B-125E-466D-BC6E-55CE09CAD279}"/>
    <cellStyle name="Migliaia 20 4 4 3" xfId="36298" xr:uid="{D538A14D-38FE-4AF1-BA6C-B56EC835764A}"/>
    <cellStyle name="Migliaia 20 4 4 4" xfId="41460" xr:uid="{C7C2D3CC-29AD-44C8-B6B7-10588A66422B}"/>
    <cellStyle name="Migliaia 20 4 4 5" xfId="11938" xr:uid="{C94F591F-230F-42A2-A591-BFD98CF82A5A}"/>
    <cellStyle name="Migliaia 20 4 5" xfId="3306" xr:uid="{4FB76E85-52CF-42E2-91A0-1574BD4A21EA}"/>
    <cellStyle name="Migliaia 20 4 5 2" xfId="33389" xr:uid="{A6FA1CB4-6D3B-4536-B6DB-5AE95BD830F8}"/>
    <cellStyle name="Migliaia 20 4 5 2 2" xfId="38810" xr:uid="{85EDF34F-D4CD-470B-A1F0-DFB0A7BF1F69}"/>
    <cellStyle name="Migliaia 20 4 5 2 3" xfId="44112" xr:uid="{D75F5CD3-85B5-4FBD-BC7A-74FD16633764}"/>
    <cellStyle name="Migliaia 20 4 5 3" xfId="36299" xr:uid="{D8F6796C-5799-4D58-A930-BD4462DB90CE}"/>
    <cellStyle name="Migliaia 20 4 5 4" xfId="41461" xr:uid="{0421B033-85D8-4878-A2D4-68EA60C237B4}"/>
    <cellStyle name="Migliaia 20 4 5 5" xfId="11285" xr:uid="{EFEC93F0-D56A-4216-9547-CDC9029B82BC}"/>
    <cellStyle name="Migliaia 20 4 6" xfId="10795" xr:uid="{22C06E4F-D0C3-4131-92FC-A56746EFD9B2}"/>
    <cellStyle name="Migliaia 20 4 6 2" xfId="21430" xr:uid="{FAF70D45-00D1-4F94-B161-5F7F818E2BEC}"/>
    <cellStyle name="Migliaia 20 4 6 2 2" xfId="38811" xr:uid="{03EC2F8D-35EE-4C0F-9B30-6AE14AA41DD4}"/>
    <cellStyle name="Migliaia 20 4 6 2 3" xfId="44113" xr:uid="{8F142D2E-48E3-4E07-BCB3-17DBE58E87D5}"/>
    <cellStyle name="Migliaia 20 4 6 2 4" xfId="33390" xr:uid="{CBE19217-5732-4E24-A92B-7F23358E9BC4}"/>
    <cellStyle name="Migliaia 20 4 6 3" xfId="36300" xr:uid="{A5E53078-D4C4-4E42-95EE-91A3227CA073}"/>
    <cellStyle name="Migliaia 20 4 6 4" xfId="41462" xr:uid="{8F903584-A493-45F5-AD61-26DF3B6CF910}"/>
    <cellStyle name="Migliaia 20 4 6 5" xfId="24471" xr:uid="{E4A6FC9C-900F-4FFA-8C6B-6ED55C9B2D43}"/>
    <cellStyle name="Migliaia 20 4 6 6" xfId="23998" xr:uid="{425BF0D1-1743-410F-AB4D-15A08B0B06BE}"/>
    <cellStyle name="Migliaia 20 4 6 7" xfId="50445" xr:uid="{ACE72984-6098-42E8-9708-3A78DCD8B9E6}"/>
    <cellStyle name="Migliaia 20 4 6 8" xfId="53461" xr:uid="{8F48F2DA-55E5-4A62-BBA7-0FAB44EECD35}"/>
    <cellStyle name="Migliaia 20 4 7" xfId="20079" xr:uid="{2EB98910-4A28-4246-8473-493875E183A5}"/>
    <cellStyle name="Migliaia 20 4 7 2" xfId="33391" xr:uid="{7B2E2E11-3F02-41E2-8214-60315B9CEC1D}"/>
    <cellStyle name="Migliaia 20 4 7 2 2" xfId="38812" xr:uid="{AF1E1A0A-5EC8-4EEE-98F7-DC261562DC37}"/>
    <cellStyle name="Migliaia 20 4 7 2 3" xfId="44114" xr:uid="{EBD238B5-0AEB-4CB9-B74E-C0A86C1E1512}"/>
    <cellStyle name="Migliaia 20 4 7 3" xfId="36301" xr:uid="{AFF6C592-DD31-4135-83CF-60CE0AC39727}"/>
    <cellStyle name="Migliaia 20 4 7 4" xfId="41463" xr:uid="{BCD7742A-FF7E-425C-8843-E03F6F9A0FDE}"/>
    <cellStyle name="Migliaia 20 4 7 5" xfId="24472" xr:uid="{48C5FF43-0468-4949-B539-C7DFF7BFAA90}"/>
    <cellStyle name="Migliaia 20 4 8" xfId="24469" xr:uid="{BE4276C7-6D5A-42CD-926E-9F738232424A}"/>
    <cellStyle name="Migliaia 20 4 9" xfId="7366" xr:uid="{52626DEB-E889-4C04-8E36-FA8FA4069380}"/>
    <cellStyle name="Migliaia 20 5" xfId="1720" xr:uid="{00000000-0005-0000-0000-000033030000}"/>
    <cellStyle name="Migliaia 20 5 2" xfId="5034" xr:uid="{62DCAD72-A3E1-41D8-BFC0-DEDB4B6B5BFB}"/>
    <cellStyle name="Migliaia 20 5 2 2" xfId="18400" xr:uid="{7F91B91D-41E3-40B9-8CC0-67FE47883FF6}"/>
    <cellStyle name="Migliaia 20 5 2 2 2" xfId="38813" xr:uid="{8C14607A-9D15-4733-BD7D-B7301566E870}"/>
    <cellStyle name="Migliaia 20 5 2 2 3" xfId="44115" xr:uid="{4F984951-0E3D-42CC-A0B5-8365E1FE52B6}"/>
    <cellStyle name="Migliaia 20 5 2 3" xfId="20082" xr:uid="{68E3A6FE-D174-44C0-AC89-63DBDA4ACBB0}"/>
    <cellStyle name="Migliaia 20 5 2 3 2" xfId="36302" xr:uid="{0B6003E0-4E95-4274-86FD-AC8E20E18EAD}"/>
    <cellStyle name="Migliaia 20 5 2 4" xfId="41464" xr:uid="{729EC048-C6D0-47F1-923B-05C66397FAD0}"/>
    <cellStyle name="Migliaia 20 5 2 5" xfId="16198" xr:uid="{DE2DF801-1332-4592-B0C3-05AC485893A7}"/>
    <cellStyle name="Migliaia 20 5 2 6" xfId="8557" xr:uid="{0E5E7799-AD29-4420-936F-1ECA78196D64}"/>
    <cellStyle name="Migliaia 20 5 3" xfId="6245" xr:uid="{7A073B44-02F7-4CA3-867C-8E07F664BF8C}"/>
    <cellStyle name="Migliaia 20 5 3 2" xfId="33392" xr:uid="{A7A55122-3C2D-4C18-BD24-CE7E98B29FA7}"/>
    <cellStyle name="Migliaia 20 5 3 2 2" xfId="38814" xr:uid="{B4A48336-4700-4B02-AB63-C61722DCE77B}"/>
    <cellStyle name="Migliaia 20 5 3 2 3" xfId="44116" xr:uid="{2064FA2A-62CF-4EA9-A62A-C959F4399B8D}"/>
    <cellStyle name="Migliaia 20 5 3 3" xfId="36303" xr:uid="{55FB2C5F-887F-4DF6-BBA3-50308D525A61}"/>
    <cellStyle name="Migliaia 20 5 3 4" xfId="41465" xr:uid="{04B569C3-396B-421A-BE44-CF319C5BE521}"/>
    <cellStyle name="Migliaia 20 5 3 5" xfId="11287" xr:uid="{8CC2F80D-812D-4749-A2E5-F3CCEAE9E12E}"/>
    <cellStyle name="Migliaia 20 5 4" xfId="3308" xr:uid="{D269DE0E-1204-4BA1-9773-495E1939A0E6}"/>
    <cellStyle name="Migliaia 20 5 4 2" xfId="21432" xr:uid="{20485113-7C35-44DD-A681-293E1DE2FD85}"/>
    <cellStyle name="Migliaia 20 5 4 2 2" xfId="38815" xr:uid="{1B1595A1-934A-40EE-91CA-810828ACED6D}"/>
    <cellStyle name="Migliaia 20 5 4 2 3" xfId="44117" xr:uid="{DCAFA341-2D8E-44C2-9DAA-7A4F87A577AF}"/>
    <cellStyle name="Migliaia 20 5 4 2 4" xfId="33393" xr:uid="{C3F907CA-D951-4012-BBD4-5E75E9E1972A}"/>
    <cellStyle name="Migliaia 20 5 4 3" xfId="36304" xr:uid="{DFB26D98-C88B-4D64-AD16-1708E68F70F6}"/>
    <cellStyle name="Migliaia 20 5 4 4" xfId="41466" xr:uid="{71D26F7F-B56E-4D8D-A012-53D0E2DC5D1E}"/>
    <cellStyle name="Migliaia 20 5 4 5" xfId="24474" xr:uid="{3D5722A8-5C5E-4163-AAFA-7E5EAA0EA4AF}"/>
    <cellStyle name="Migliaia 20 5 4 6" xfId="46221" xr:uid="{294D649D-4CDC-4957-962D-F5F87BF14188}"/>
    <cellStyle name="Migliaia 20 5 4 7" xfId="50447" xr:uid="{05019B25-E7C7-4A6A-A5F3-C1270E96F857}"/>
    <cellStyle name="Migliaia 20 5 4 8" xfId="53463" xr:uid="{09F82BBE-2A07-434A-9617-F45E1D10E828}"/>
    <cellStyle name="Migliaia 20 5 4 9" xfId="10797" xr:uid="{C9AC7AA4-E09F-4C92-BE19-06CDDD3A4E4C}"/>
    <cellStyle name="Migliaia 20 5 5" xfId="20081" xr:uid="{ACF91A89-492E-4486-9360-40A591C25E4D}"/>
    <cellStyle name="Migliaia 20 5 5 2" xfId="33394" xr:uid="{3C430579-FD5F-47F3-9958-AC1FAEC9E8B0}"/>
    <cellStyle name="Migliaia 20 5 5 2 2" xfId="38816" xr:uid="{8E0FE531-4894-4458-9854-783E96606E51}"/>
    <cellStyle name="Migliaia 20 5 5 2 3" xfId="44118" xr:uid="{AC5AA3FA-E8D8-4E82-AF06-A2BA01C37D2C}"/>
    <cellStyle name="Migliaia 20 5 5 3" xfId="36305" xr:uid="{857ACCFF-DBA7-4853-928E-95C9C5911E0A}"/>
    <cellStyle name="Migliaia 20 5 5 4" xfId="41467" xr:uid="{58555082-1E32-40B0-9F08-9BAAA2AA5670}"/>
    <cellStyle name="Migliaia 20 5 5 5" xfId="24475" xr:uid="{2569E531-745A-4CFE-9ED0-1A2FCA76EA74}"/>
    <cellStyle name="Migliaia 20 5 6" xfId="24476" xr:uid="{A4F46834-6DCE-47F4-BFF2-BFF667357559}"/>
    <cellStyle name="Migliaia 20 5 6 2" xfId="33395" xr:uid="{01136076-DF55-4DD4-AEB3-D2223F3BD586}"/>
    <cellStyle name="Migliaia 20 5 6 2 2" xfId="38817" xr:uid="{5FA94E0F-3DB5-481C-AE35-83E121246E90}"/>
    <cellStyle name="Migliaia 20 5 6 2 3" xfId="44119" xr:uid="{91B0C37D-73BD-429E-A26E-E255AE01790F}"/>
    <cellStyle name="Migliaia 20 5 6 3" xfId="36306" xr:uid="{BE484817-280A-4E68-BA9B-6B5679CCF866}"/>
    <cellStyle name="Migliaia 20 5 6 4" xfId="41468" xr:uid="{28BF6858-D849-4FE7-9016-3064D1E0EB2C}"/>
    <cellStyle name="Migliaia 20 5 7" xfId="24473" xr:uid="{06E5FC23-CB2E-4152-A506-3A717C437A4B}"/>
    <cellStyle name="Migliaia 20 5 8" xfId="7367" xr:uid="{10C6F656-9563-497D-931E-5C64F2757F39}"/>
    <cellStyle name="Migliaia 20 6" xfId="3309" xr:uid="{296237C1-5732-4F74-B462-E3CB81252811}"/>
    <cellStyle name="Migliaia 20 6 2" xfId="5035" xr:uid="{4F82EDEE-56ED-4DE6-993E-81BF894A71EB}"/>
    <cellStyle name="Migliaia 20 6 2 2" xfId="9905" xr:uid="{A7358FE8-8062-41C3-A622-2F13FE9F500A}"/>
    <cellStyle name="Migliaia 20 6 2 3" xfId="18668" xr:uid="{4CABEB96-3804-4D99-BA1E-AB38CC7EC21E}"/>
    <cellStyle name="Migliaia 20 6 2 4" xfId="20084" xr:uid="{1C18D841-3D28-4327-BC04-211BAF42367C}"/>
    <cellStyle name="Migliaia 20 6 2 5" xfId="32332" xr:uid="{445F7882-A0F5-4B3D-8721-D685895643E8}"/>
    <cellStyle name="Migliaia 20 6 2 6" xfId="16200" xr:uid="{1736580D-FC0F-4857-B3EF-18572F929C70}"/>
    <cellStyle name="Migliaia 20 6 2 7" xfId="8552" xr:uid="{5D97FBF7-3915-45BB-B0C6-FE75CEC9149C}"/>
    <cellStyle name="Migliaia 20 6 3" xfId="6246" xr:uid="{A1D21CD8-AD83-4063-9F10-B884C5B34114}"/>
    <cellStyle name="Migliaia 20 6 3 2" xfId="35211" xr:uid="{9B05BDB0-583D-4F1F-A5A5-EA0CC171FD58}"/>
    <cellStyle name="Migliaia 20 6 3 2 2" xfId="40371" xr:uid="{0796B2BC-3819-41B1-BF32-38116254769E}"/>
    <cellStyle name="Migliaia 20 6 3 2 3" xfId="45673" xr:uid="{EF37FE9C-3EC5-4797-99AD-238270E1BAC2}"/>
    <cellStyle name="Migliaia 20 6 3 3" xfId="37720" xr:uid="{74083A16-3637-41B9-AAAE-6BDB0D85E0DC}"/>
    <cellStyle name="Migliaia 20 6 3 4" xfId="43022" xr:uid="{E87383CE-7DB7-427A-8CE5-EF4ED9066F14}"/>
    <cellStyle name="Migliaia 20 6 3 5" xfId="9668" xr:uid="{8EC3A63F-F755-4F84-A652-4F07EC54684E}"/>
    <cellStyle name="Migliaia 20 6 4" xfId="20083" xr:uid="{DAAE0188-65E4-452F-B50C-92FD3EA29778}"/>
    <cellStyle name="Migliaia 20 6 4 2" xfId="38818" xr:uid="{1DFD2B8D-3CC6-405B-9B8B-DC5AF4F20196}"/>
    <cellStyle name="Migliaia 20 6 4 3" xfId="44120" xr:uid="{DAF0F077-AE8F-4FA4-86F8-CB5D9217010D}"/>
    <cellStyle name="Migliaia 20 6 4 4" xfId="33396" xr:uid="{8E1E3B97-F630-42D5-8DAB-E4328FCF5913}"/>
    <cellStyle name="Migliaia 20 6 5" xfId="36307" xr:uid="{36512790-EF34-4815-81A7-46D28C73C66C}"/>
    <cellStyle name="Migliaia 20 6 6" xfId="41469" xr:uid="{F68090DB-88D5-44A9-8045-B4C0D1D9F8BD}"/>
    <cellStyle name="Migliaia 20 6 7" xfId="16199" xr:uid="{138E4DFE-E95B-4F6D-9F13-0595DBCF0671}"/>
    <cellStyle name="Migliaia 20 6 8" xfId="7362" xr:uid="{923AD168-15CE-47CF-A8D7-13062B3ED87E}"/>
    <cellStyle name="Migliaia 20 7" xfId="3310" xr:uid="{3CEEC087-4381-4CE3-812A-34883EFBB942}"/>
    <cellStyle name="Migliaia 20 7 2" xfId="5036" xr:uid="{954216DC-3C37-4552-B5BE-0F1106148363}"/>
    <cellStyle name="Migliaia 20 7 2 2" xfId="35212" xr:uid="{6A9AFA5B-0428-4EB5-B8F2-1EE6DA6D9E3B}"/>
    <cellStyle name="Migliaia 20 7 2 2 2" xfId="40372" xr:uid="{A4D9A003-2D2A-4CC4-B5F4-EF42BD677590}"/>
    <cellStyle name="Migliaia 20 7 2 2 3" xfId="45674" xr:uid="{E875F2AC-91C1-4364-ABB9-9B2FF3F3497B}"/>
    <cellStyle name="Migliaia 20 7 2 3" xfId="37721" xr:uid="{A07C798C-0FBE-49AF-A6A7-DECFEA19547E}"/>
    <cellStyle name="Migliaia 20 7 2 4" xfId="43023" xr:uid="{EADE4A53-ED63-41E7-8B5E-9311DFE6CE94}"/>
    <cellStyle name="Migliaia 20 7 2 5" xfId="14215" xr:uid="{FA9F3EB5-A386-4CB2-8622-99D53EC6B2BD}"/>
    <cellStyle name="Migliaia 20 7 3" xfId="6247" xr:uid="{1B32164D-5C4B-4935-83BD-2FB943213B5C}"/>
    <cellStyle name="Migliaia 20 7 3 2" xfId="38819" xr:uid="{4D9B48A6-B9D4-42D4-AECC-1D8BB309C769}"/>
    <cellStyle name="Migliaia 20 7 3 3" xfId="44121" xr:uid="{83188FE0-0C6E-4452-8B73-2A1C60FDE716}"/>
    <cellStyle name="Migliaia 20 7 3 4" xfId="33397" xr:uid="{B3F86D25-E504-40D5-9868-8863E72B5EF7}"/>
    <cellStyle name="Migliaia 20 7 3 5" xfId="20085" xr:uid="{FA5EAFC3-8679-4E5A-B05E-33399EAD69E8}"/>
    <cellStyle name="Migliaia 20 7 4" xfId="36308" xr:uid="{610AD601-CDB4-4EEC-B0C1-3D3A519257E8}"/>
    <cellStyle name="Migliaia 20 7 5" xfId="41470" xr:uid="{E6DA250E-F490-43AA-81E8-643D46D171DB}"/>
    <cellStyle name="Migliaia 20 7 6" xfId="16201" xr:uid="{E95E430D-B3B5-4FF1-92D9-C4E63ACB0E27}"/>
    <cellStyle name="Migliaia 20 7 7" xfId="8277" xr:uid="{AC6A60F5-935F-4672-AA9B-3DCFA062D6F4}"/>
    <cellStyle name="Migliaia 20 8" xfId="3311" xr:uid="{46DE2A6C-7107-487B-8C2B-1F3B39DEEEDC}"/>
    <cellStyle name="Migliaia 20 8 2" xfId="5037" xr:uid="{24F5D9C6-7EBB-42C4-8D25-26C19035FB39}"/>
    <cellStyle name="Migliaia 20 8 2 2" xfId="35213" xr:uid="{1C55A5BC-2A25-4AA7-97BE-F574FFF4ED01}"/>
    <cellStyle name="Migliaia 20 8 2 2 2" xfId="40373" xr:uid="{53BAE9BA-E8FE-48BC-A214-019CA91DB5E4}"/>
    <cellStyle name="Migliaia 20 8 2 2 3" xfId="45675" xr:uid="{5C6C22D6-4224-4570-8471-B5127B247858}"/>
    <cellStyle name="Migliaia 20 8 2 3" xfId="37722" xr:uid="{A9654578-DEDD-4535-BBB0-EDE671CD37AC}"/>
    <cellStyle name="Migliaia 20 8 2 4" xfId="43024" xr:uid="{52362CDA-75B1-4679-AF4E-10D08F692592}"/>
    <cellStyle name="Migliaia 20 8 2 5" xfId="13920" xr:uid="{0C3873DE-24B9-4660-AF02-BB0D7A7358A8}"/>
    <cellStyle name="Migliaia 20 8 3" xfId="6248" xr:uid="{77B3E8F7-493D-4B01-9C45-7309AF54A430}"/>
    <cellStyle name="Migliaia 20 8 3 2" xfId="38820" xr:uid="{52DBA2B1-B7BF-4B54-B2C5-8F96E348103E}"/>
    <cellStyle name="Migliaia 20 8 3 3" xfId="44122" xr:uid="{1E1EB5EA-25F5-48DA-AD7C-61C88131A4AC}"/>
    <cellStyle name="Migliaia 20 8 3 4" xfId="33398" xr:uid="{DA421708-31E3-4F82-B73B-13330E8CD70A}"/>
    <cellStyle name="Migliaia 20 8 3 5" xfId="20086" xr:uid="{D4993376-7E3F-4463-9BF3-B1CCA7055DB5}"/>
    <cellStyle name="Migliaia 20 8 4" xfId="36309" xr:uid="{C1D76805-13CE-4253-A4F2-D73D9AC66EA0}"/>
    <cellStyle name="Migliaia 20 8 5" xfId="41471" xr:uid="{87DF9B89-8F0C-4F71-ACC5-34A9DBF6454F}"/>
    <cellStyle name="Migliaia 20 8 6" xfId="16202" xr:uid="{ACB00563-22A0-420E-8FFC-ED3318695144}"/>
    <cellStyle name="Migliaia 20 8 7" xfId="7870" xr:uid="{DD0129C0-BD16-4364-8237-62CE8F9EDBA7}"/>
    <cellStyle name="Migliaia 20 9" xfId="5022" xr:uid="{349F239B-35CE-4E19-B6A6-8CDD139D0B48}"/>
    <cellStyle name="Migliaia 20 9 2" xfId="33399" xr:uid="{1EC1B860-A92A-4CAB-93DB-1266CD85A246}"/>
    <cellStyle name="Migliaia 20 9 2 2" xfId="38821" xr:uid="{A7CAF994-132F-457E-925D-FE99AD2232A4}"/>
    <cellStyle name="Migliaia 20 9 2 3" xfId="44123" xr:uid="{2E80D3A3-D211-4C99-B9B3-2CB62F2136EA}"/>
    <cellStyle name="Migliaia 20 9 3" xfId="36310" xr:uid="{B6DB3E30-7D61-493F-9645-3E9AFB7ED219}"/>
    <cellStyle name="Migliaia 20 9 4" xfId="41472" xr:uid="{94576BF3-3F3A-444B-81D3-2D66B3DCB7AF}"/>
    <cellStyle name="Migliaia 20 9 5" xfId="17159" xr:uid="{8E146335-06DA-46C8-83E9-607518BFA0C3}"/>
    <cellStyle name="Migliaia 21" xfId="353" xr:uid="{00000000-0005-0000-0000-000034030000}"/>
    <cellStyle name="Migliaia 21 10" xfId="6249" xr:uid="{0FB7782E-BEFA-4EEB-8806-3C83422CBF48}"/>
    <cellStyle name="Migliaia 21 10 2" xfId="38822" xr:uid="{03729584-FD9F-4541-915C-1A200232ABDA}"/>
    <cellStyle name="Migliaia 21 10 3" xfId="44124" xr:uid="{44E7D53E-7077-4136-84EF-82E05F06531E}"/>
    <cellStyle name="Migliaia 21 10 4" xfId="33400" xr:uid="{93F2A882-642A-479B-820B-D9CCC4AC2949}"/>
    <cellStyle name="Migliaia 21 10 5" xfId="20087" xr:uid="{2F9D50C8-575C-4B38-910D-1B8F4A32B2F4}"/>
    <cellStyle name="Migliaia 21 11" xfId="3312" xr:uid="{C9CF1305-8FC0-4A7E-BFBE-B3C41D4BE0AA}"/>
    <cellStyle name="Migliaia 21 11 2" xfId="36311" xr:uid="{E9B94A55-157B-4D10-BE27-16894AF7B434}"/>
    <cellStyle name="Migliaia 21 12" xfId="41473" xr:uid="{E240CBDC-DC2D-422E-AECD-577DC7F0C745}"/>
    <cellStyle name="Migliaia 21 13" xfId="7081" xr:uid="{57E94CED-529A-42C6-8B5E-B6D426ADC09B}"/>
    <cellStyle name="Migliaia 21 2" xfId="354" xr:uid="{00000000-0005-0000-0000-000035030000}"/>
    <cellStyle name="Migliaia 21 2 2" xfId="1721" xr:uid="{00000000-0005-0000-0000-000036030000}"/>
    <cellStyle name="Migliaia 21 2 2 2" xfId="5040" xr:uid="{52E24966-FF95-4AF5-9A7A-BC860DD6F00E}"/>
    <cellStyle name="Migliaia 21 2 2 2 2" xfId="14376" xr:uid="{0CDAEB7A-7DD8-43CC-AFB2-7F89539621F7}"/>
    <cellStyle name="Migliaia 21 2 2 2 2 2" xfId="38823" xr:uid="{48D74EF8-70CB-45E1-A501-7A4A67BC3E88}"/>
    <cellStyle name="Migliaia 21 2 2 2 2 3" xfId="44125" xr:uid="{05FC83B7-C170-48C2-B614-2AF0020F8926}"/>
    <cellStyle name="Migliaia 21 2 2 2 3" xfId="18401" xr:uid="{55466CAF-820C-404D-8821-53FCBE73BB41}"/>
    <cellStyle name="Migliaia 21 2 2 2 4" xfId="20090" xr:uid="{7C166B8C-41E4-4DF9-B8DD-B45915780016}"/>
    <cellStyle name="Migliaia 21 2 2 2 4 2" xfId="41474" xr:uid="{53CBEC1A-609A-436E-89E4-C277E41B04C6}"/>
    <cellStyle name="Migliaia 21 2 2 2 5" xfId="16203" xr:uid="{2897E3E1-F77A-400A-A001-FF923C84A061}"/>
    <cellStyle name="Migliaia 21 2 2 2 6" xfId="8559" xr:uid="{028B4E96-8151-43A7-BCCB-A5A096C19DEB}"/>
    <cellStyle name="Migliaia 21 2 2 3" xfId="6251" xr:uid="{537733BF-50BC-4CEE-93DA-238EBCC3A8D1}"/>
    <cellStyle name="Migliaia 21 2 2 3 2" xfId="35214" xr:uid="{279CFA5F-13A9-4AE7-97E1-3480BAA1B23E}"/>
    <cellStyle name="Migliaia 21 2 2 3 2 2" xfId="40374" xr:uid="{82FF20FA-16AA-424D-8B36-6AF4934072D0}"/>
    <cellStyle name="Migliaia 21 2 2 3 2 3" xfId="45676" xr:uid="{124DA464-E603-4FEE-88A2-F62A94AC8EB2}"/>
    <cellStyle name="Migliaia 21 2 2 3 3" xfId="37723" xr:uid="{53C8B06A-C0C6-4A7E-AA1C-D117C1DE9FF1}"/>
    <cellStyle name="Migliaia 21 2 2 3 4" xfId="43025" xr:uid="{4A027FE7-390B-4D25-8326-882ECE98B674}"/>
    <cellStyle name="Migliaia 21 2 2 3 5" xfId="11603" xr:uid="{61C91B6E-6663-4452-AA61-1E11E016020F}"/>
    <cellStyle name="Migliaia 21 2 2 4" xfId="3314" xr:uid="{3B645AC5-F6C8-49F6-A329-D7E7C3F4067B}"/>
    <cellStyle name="Migliaia 21 2 2 4 2" xfId="21433" xr:uid="{F7F182BC-A6E7-467D-A4FE-4FD7C7906D51}"/>
    <cellStyle name="Migliaia 21 2 2 4 3" xfId="46222" xr:uid="{6FC049D7-0980-4E23-B204-8B82822DCB66}"/>
    <cellStyle name="Migliaia 21 2 2 4 4" xfId="50448" xr:uid="{5616FB77-2D5F-4CC8-B131-59429942865E}"/>
    <cellStyle name="Migliaia 21 2 2 4 5" xfId="53464" xr:uid="{DD3E7CD3-ECC9-4899-AC94-D8B5C60F36DB}"/>
    <cellStyle name="Migliaia 21 2 2 4 6" xfId="10798" xr:uid="{3082B86B-C8C7-46D2-B017-C974A2B15F73}"/>
    <cellStyle name="Migliaia 21 2 2 5" xfId="20089" xr:uid="{5095EB6F-7873-4877-B426-CE22F310E6FD}"/>
    <cellStyle name="Migliaia 21 2 2 6" xfId="24482" xr:uid="{FCA5B8C5-1ADC-41B5-B38C-460B5A3E2E69}"/>
    <cellStyle name="Migliaia 21 2 2 7" xfId="7369" xr:uid="{BD16C7E2-ABEC-4D4F-AEDA-71324582D627}"/>
    <cellStyle name="Migliaia 21 2 3" xfId="3315" xr:uid="{EA46F009-DAE7-4EAC-82F2-7F3928F9EBB9}"/>
    <cellStyle name="Migliaia 21 2 3 2" xfId="5041" xr:uid="{EBCF2A52-58C7-4121-865F-F91BADF4AB34}"/>
    <cellStyle name="Migliaia 21 2 3 2 2" xfId="35215" xr:uid="{84CAB279-11A7-4AE7-83A0-9A9FB6681DCE}"/>
    <cellStyle name="Migliaia 21 2 3 2 2 2" xfId="40375" xr:uid="{9CEF1E25-FFAD-437C-A9ED-46DB0CC72B64}"/>
    <cellStyle name="Migliaia 21 2 3 2 2 3" xfId="45677" xr:uid="{91983DB7-460F-40D2-9147-D0B6FEF5DB88}"/>
    <cellStyle name="Migliaia 21 2 3 2 3" xfId="37724" xr:uid="{1D5E9EE3-A2D7-4BBA-A49E-0B211C2C3975}"/>
    <cellStyle name="Migliaia 21 2 3 2 4" xfId="43026" xr:uid="{13D7D934-151C-4DD0-8E57-C08C01278E74}"/>
    <cellStyle name="Migliaia 21 2 3 2 5" xfId="14219" xr:uid="{C04E9EB6-22CD-457E-964B-3A6C8F161393}"/>
    <cellStyle name="Migliaia 21 2 3 3" xfId="6252" xr:uid="{F6457064-DBC1-4AA8-9739-B748772F472D}"/>
    <cellStyle name="Migliaia 21 2 3 3 2" xfId="38824" xr:uid="{D7C4CB2D-2B1C-434B-AEAB-D814E6D4A7B6}"/>
    <cellStyle name="Migliaia 21 2 3 3 3" xfId="44126" xr:uid="{7C814B93-A665-48FE-8AD4-FC847B83D93D}"/>
    <cellStyle name="Migliaia 21 2 3 3 4" xfId="33402" xr:uid="{2831D57D-EED4-4435-BAAC-887E3A8A32A6}"/>
    <cellStyle name="Migliaia 21 2 3 3 5" xfId="20091" xr:uid="{E5491610-0E1A-471C-9EF9-CBAB0BAF210D}"/>
    <cellStyle name="Migliaia 21 2 3 4" xfId="36313" xr:uid="{B6814982-9C65-4C90-A7C1-30D7B1BB78FA}"/>
    <cellStyle name="Migliaia 21 2 3 5" xfId="41475" xr:uid="{0808E38B-DFD6-4EE1-8878-E00B11301A87}"/>
    <cellStyle name="Migliaia 21 2 3 6" xfId="16204" xr:uid="{C69C9B5B-7071-43B1-B8C4-E5C8661666F4}"/>
    <cellStyle name="Migliaia 21 2 3 7" xfId="8281" xr:uid="{B4F801D2-BFB8-4B8C-81F9-820FD2BED321}"/>
    <cellStyle name="Migliaia 21 2 4" xfId="5039" xr:uid="{5522608E-6653-45AF-AE79-3BC1EDDDF7A3}"/>
    <cellStyle name="Migliaia 21 2 4 2" xfId="13924" xr:uid="{2B6652DC-923A-412A-AFD1-66616B76F85D}"/>
    <cellStyle name="Migliaia 21 2 4 2 2" xfId="38825" xr:uid="{C7E57959-57FB-4609-960B-876CB16A0F68}"/>
    <cellStyle name="Migliaia 21 2 4 2 3" xfId="44127" xr:uid="{9DCB2226-A911-4DCF-9D83-8999EDE4687C}"/>
    <cellStyle name="Migliaia 21 2 4 3" xfId="18152" xr:uid="{0CE51A34-45BC-4759-AEC5-0F3D709773A8}"/>
    <cellStyle name="Migliaia 21 2 4 4" xfId="20092" xr:uid="{614D115A-BB66-46B5-9CAC-0D8FA4636A3F}"/>
    <cellStyle name="Migliaia 21 2 4 4 2" xfId="41476" xr:uid="{2E3BC82A-4939-4F3D-9DAB-1801E4A09AC6}"/>
    <cellStyle name="Migliaia 21 2 4 5" xfId="16205" xr:uid="{A0381871-D2F3-4720-8E19-75C22B4D1C20}"/>
    <cellStyle name="Migliaia 21 2 4 6" xfId="7875" xr:uid="{9BEBB932-F00A-4DC4-97A9-4C84DDF05F1C}"/>
    <cellStyle name="Migliaia 21 2 5" xfId="6250" xr:uid="{9EEFC486-20C1-48A4-957D-E417437B9293}"/>
    <cellStyle name="Migliaia 21 2 5 2" xfId="33403" xr:uid="{5F588A73-CBAC-443E-B056-F56DD8D54284}"/>
    <cellStyle name="Migliaia 21 2 5 2 2" xfId="38826" xr:uid="{2CA4E447-8477-4804-8DE6-1DB6C387FA65}"/>
    <cellStyle name="Migliaia 21 2 5 2 3" xfId="44128" xr:uid="{7C906517-CE4E-4B83-9A55-CFF657DBB8A0}"/>
    <cellStyle name="Migliaia 21 2 5 3" xfId="36314" xr:uid="{F7C27C51-AAD1-48CC-9440-1630A0799313}"/>
    <cellStyle name="Migliaia 21 2 5 4" xfId="41477" xr:uid="{44F8B014-FA6B-4B16-A024-FAE6F80085A2}"/>
    <cellStyle name="Migliaia 21 2 5 5" xfId="13116" xr:uid="{0C7ABF63-CE28-4295-855E-D2A3C66DAC0B}"/>
    <cellStyle name="Migliaia 21 2 6" xfId="3313" xr:uid="{F061E7E2-9A88-4D4F-86E4-DCD9CA9BE905}"/>
    <cellStyle name="Migliaia 21 2 6 2" xfId="33404" xr:uid="{4252C723-72BE-4BA5-9B53-9384E87800D6}"/>
    <cellStyle name="Migliaia 21 2 6 2 2" xfId="38827" xr:uid="{008C24D8-59AB-48B2-850C-9E91BFDC6B22}"/>
    <cellStyle name="Migliaia 21 2 6 2 3" xfId="44129" xr:uid="{128AF1A4-403C-495B-B1AF-0FE2A61ECC92}"/>
    <cellStyle name="Migliaia 21 2 6 3" xfId="36315" xr:uid="{608359B5-E712-498B-9EF8-2016FCA35BF4}"/>
    <cellStyle name="Migliaia 21 2 6 4" xfId="41478" xr:uid="{68362DBE-F172-4DBB-BEF0-CEEC435CD770}"/>
    <cellStyle name="Migliaia 21 2 6 5" xfId="24484" xr:uid="{22EB576C-A921-4FDD-91CD-818AFBF59C49}"/>
    <cellStyle name="Migliaia 21 2 6 6" xfId="20088" xr:uid="{F9DAE92D-DB39-4653-8A44-98E34737DF02}"/>
    <cellStyle name="Migliaia 21 2 7" xfId="24481" xr:uid="{867DC829-47BF-4667-A8D1-A553D62C4765}"/>
    <cellStyle name="Migliaia 21 2 8" xfId="7082" xr:uid="{62E330CC-12AA-4CDF-9A60-FBE74D06BE76}"/>
    <cellStyle name="Migliaia 21 3" xfId="355" xr:uid="{00000000-0005-0000-0000-000037030000}"/>
    <cellStyle name="Migliaia 21 3 10" xfId="24485" xr:uid="{B88D3D80-EC19-4BF9-8E04-EA91712D0FD1}"/>
    <cellStyle name="Migliaia 21 3 11" xfId="16206" xr:uid="{01AAC6A0-8056-4368-9668-9D424FB8665A}"/>
    <cellStyle name="Migliaia 21 3 12" xfId="7083" xr:uid="{19EB89E2-2940-4773-B6AA-E085EF13DB53}"/>
    <cellStyle name="Migliaia 21 3 2" xfId="356" xr:uid="{00000000-0005-0000-0000-000038030000}"/>
    <cellStyle name="Migliaia 21 3 2 2" xfId="1722" xr:uid="{00000000-0005-0000-0000-000039030000}"/>
    <cellStyle name="Migliaia 21 3 2 2 2" xfId="5044" xr:uid="{C7AE619D-EDF4-4A56-AB0D-6709B5B1EA21}"/>
    <cellStyle name="Migliaia 21 3 2 2 2 2" xfId="18402" xr:uid="{7DF6A245-1766-4C70-A52E-6905EEEDA761}"/>
    <cellStyle name="Migliaia 21 3 2 2 2 2 2" xfId="21854" xr:uid="{34CBF59A-DF75-4EE4-908E-00EC371D518D}"/>
    <cellStyle name="Migliaia 21 3 2 2 2 2 2 2" xfId="38828" xr:uid="{BAA0FA09-84DD-4504-96B8-943433E7117F}"/>
    <cellStyle name="Migliaia 21 3 2 2 2 2 3" xfId="44130" xr:uid="{82B9B805-5A6F-4CF1-8DFF-B23817EF4D95}"/>
    <cellStyle name="Migliaia 21 3 2 2 2 2 4" xfId="33405" xr:uid="{685062B9-8E32-4FA9-856E-CF7CED0CDD2B}"/>
    <cellStyle name="Migliaia 21 3 2 2 2 3" xfId="36316" xr:uid="{4A8EF1F1-5363-4024-8642-38F04D731D6E}"/>
    <cellStyle name="Migliaia 21 3 2 2 2 4" xfId="41479" xr:uid="{2A3037F1-7F24-4ADE-A8FC-F9FE957F239B}"/>
    <cellStyle name="Migliaia 21 3 2 2 2 5" xfId="46300" xr:uid="{A14B34F3-FB77-4BDA-977D-AC64BFB0DF6E}"/>
    <cellStyle name="Migliaia 21 3 2 2 2 6" xfId="50882" xr:uid="{DD07C4A8-AD24-4E1D-8281-F06CF32EC20A}"/>
    <cellStyle name="Migliaia 21 3 2 2 2 7" xfId="53898" xr:uid="{EA2A9B8C-ED9C-461B-9CE5-22FA67E23EEE}"/>
    <cellStyle name="Migliaia 21 3 2 2 2 8" xfId="17651" xr:uid="{D1FE466F-611A-4DB0-BEBB-D4CBC2FEAD04}"/>
    <cellStyle name="Migliaia 21 3 2 2 2 9" xfId="11939" xr:uid="{A3218C6C-AE44-4F48-922E-4C5A97D15BEB}"/>
    <cellStyle name="Migliaia 21 3 2 2 3" xfId="6255" xr:uid="{F6D77B14-A0CF-4FE1-95E0-D9682E68B853}"/>
    <cellStyle name="Migliaia 21 3 2 2 3 2" xfId="11136" xr:uid="{EBD2EA78-5B79-41D2-B1A2-6CDBFE20738B}"/>
    <cellStyle name="Migliaia 21 3 2 2 4" xfId="3318" xr:uid="{5E688E01-D45B-4FCE-AF8A-B8968DFEF586}"/>
    <cellStyle name="Migliaia 21 3 2 2 4 2" xfId="21434" xr:uid="{E447EC3B-F105-4EAC-A13B-9319CD10C23A}"/>
    <cellStyle name="Migliaia 21 3 2 2 4 3" xfId="46223" xr:uid="{91DC077A-40D5-4756-AC74-9BC72E42B37E}"/>
    <cellStyle name="Migliaia 21 3 2 2 4 4" xfId="50449" xr:uid="{0D80B489-E131-4D2F-9DF2-EFDBFF43AB19}"/>
    <cellStyle name="Migliaia 21 3 2 2 4 5" xfId="53465" xr:uid="{E4B8D477-E837-4DA3-8A1F-5B2C11FAC422}"/>
    <cellStyle name="Migliaia 21 3 2 2 4 6" xfId="10799" xr:uid="{00821078-9461-44E6-9E31-A3F8CAFD8DD3}"/>
    <cellStyle name="Migliaia 21 3 2 2 5" xfId="20095" xr:uid="{FAB86412-E3A6-4849-8D96-43D1559CC9AB}"/>
    <cellStyle name="Migliaia 21 3 2 2 6" xfId="24487" xr:uid="{80C9B030-587A-412D-9D28-2BD25464CC6F}"/>
    <cellStyle name="Migliaia 21 3 2 2 7" xfId="8561" xr:uid="{CC610509-FB5E-49FE-A259-50AD13676FFA}"/>
    <cellStyle name="Migliaia 21 3 2 3" xfId="5043" xr:uid="{28CAA0CE-F9FF-42F0-9F0A-EA165F8466DB}"/>
    <cellStyle name="Migliaia 21 3 2 3 2" xfId="12419" xr:uid="{1C4B723D-1DA5-4225-922D-23C05E29C26B}"/>
    <cellStyle name="Migliaia 21 3 2 3 2 2" xfId="38829" xr:uid="{2E4435EA-CB87-41F8-ACEE-7AC1E421E9F2}"/>
    <cellStyle name="Migliaia 21 3 2 3 2 3" xfId="44131" xr:uid="{07748584-140C-48C5-B10E-76268B25BADC}"/>
    <cellStyle name="Migliaia 21 3 2 3 2 4" xfId="33406" xr:uid="{1C92D3D1-6BAE-4FCC-B216-06292A811973}"/>
    <cellStyle name="Migliaia 21 3 2 3 3" xfId="11940" xr:uid="{BBD25828-3124-4B84-A0B7-85BF7EDFA64F}"/>
    <cellStyle name="Migliaia 21 3 2 3 4" xfId="20096" xr:uid="{C6924488-8E44-404A-8727-07CB4CD1AE66}"/>
    <cellStyle name="Migliaia 21 3 2 3 4 2" xfId="41480" xr:uid="{85B1D867-99B4-478E-998C-5F6D8082A31A}"/>
    <cellStyle name="Migliaia 21 3 2 3 5" xfId="16207" xr:uid="{FC4D7611-0102-4695-BDB4-53CB36C9F7AE}"/>
    <cellStyle name="Migliaia 21 3 2 3 6" xfId="7877" xr:uid="{9D58B7A8-31F8-4FF5-B06E-AB45D9B3EADC}"/>
    <cellStyle name="Migliaia 21 3 2 4" xfId="6254" xr:uid="{DFAE36FF-88BA-4D2F-87D0-97E1F851794C}"/>
    <cellStyle name="Migliaia 21 3 2 4 2" xfId="18070" xr:uid="{319D9EF1-5392-4FB0-A635-D7407384C210}"/>
    <cellStyle name="Migliaia 21 3 2 4 2 2" xfId="38830" xr:uid="{D8FCFCF8-6C2B-489C-BE30-5CE16231DCA3}"/>
    <cellStyle name="Migliaia 21 3 2 4 2 3" xfId="44132" xr:uid="{92433760-1D35-4DA6-AA0E-27907B5A608E}"/>
    <cellStyle name="Migliaia 21 3 2 4 3" xfId="36317" xr:uid="{D7FA78F5-6425-4840-A41D-EAE8BA764099}"/>
    <cellStyle name="Migliaia 21 3 2 4 4" xfId="41481" xr:uid="{5BF16C2A-594C-40F4-B491-89D23DA846D9}"/>
    <cellStyle name="Migliaia 21 3 2 4 5" xfId="17162" xr:uid="{DC2E193F-3200-4EA8-972B-E8C187069E65}"/>
    <cellStyle name="Migliaia 21 3 2 4 6" xfId="11288" xr:uid="{D54B1FC6-27FE-499D-81C7-D86818AAD136}"/>
    <cellStyle name="Migliaia 21 3 2 5" xfId="3317" xr:uid="{C0686725-049F-4CDD-A05D-496633EF123B}"/>
    <cellStyle name="Migliaia 21 3 2 5 2" xfId="33407" xr:uid="{44FF3760-3DAB-4C7E-9188-D36AC2D22502}"/>
    <cellStyle name="Migliaia 21 3 2 5 2 2" xfId="38831" xr:uid="{6C31BAE1-217E-4046-BC10-41B6B2571204}"/>
    <cellStyle name="Migliaia 21 3 2 5 2 3" xfId="44133" xr:uid="{0184050B-0773-46B3-940B-79B353703497}"/>
    <cellStyle name="Migliaia 21 3 2 5 3" xfId="36318" xr:uid="{FF8869A5-65D5-423E-809B-6FE91CA4124F}"/>
    <cellStyle name="Migliaia 21 3 2 5 4" xfId="41482" xr:uid="{0006E639-A4EB-4697-8C19-1F568D981473}"/>
    <cellStyle name="Migliaia 21 3 2 5 5" xfId="17387" xr:uid="{6769E13D-A8EA-4A68-8D3C-2BAB3CA761F1}"/>
    <cellStyle name="Migliaia 21 3 2 6" xfId="20094" xr:uid="{4160EA15-ABDE-420C-A3B4-EA93AE73F25F}"/>
    <cellStyle name="Migliaia 21 3 2 6 2" xfId="33408" xr:uid="{D48D61FB-7A92-4A5B-9454-8955D25B2491}"/>
    <cellStyle name="Migliaia 21 3 2 6 2 2" xfId="38832" xr:uid="{8E19EB4A-0BCF-4831-8ABA-D63457072141}"/>
    <cellStyle name="Migliaia 21 3 2 6 2 3" xfId="44134" xr:uid="{54772AB2-D858-44D4-875A-48D305D31320}"/>
    <cellStyle name="Migliaia 21 3 2 6 3" xfId="36319" xr:uid="{3C282E60-3818-4EDB-A3B3-0F82E342C114}"/>
    <cellStyle name="Migliaia 21 3 2 6 4" xfId="41483" xr:uid="{145741E6-448B-4488-85E8-A1C9065CA3CC}"/>
    <cellStyle name="Migliaia 21 3 2 6 5" xfId="24490" xr:uid="{7A414CE9-1FD3-4532-AAB9-EBC3B6250CB4}"/>
    <cellStyle name="Migliaia 21 3 2 7" xfId="24486" xr:uid="{D44283A5-11A0-4BB2-ADBE-D2F62E3D171A}"/>
    <cellStyle name="Migliaia 21 3 2 8" xfId="7371" xr:uid="{DCF6191A-D3C7-4738-A97E-3F9BF5680392}"/>
    <cellStyle name="Migliaia 21 3 3" xfId="3319" xr:uid="{540E0EA5-B5B1-4EA4-99B4-26289FBAEFAA}"/>
    <cellStyle name="Migliaia 21 3 3 10" xfId="7370" xr:uid="{F9860AE5-2D95-4FF3-A121-FDF25DDABBDC}"/>
    <cellStyle name="Migliaia 21 3 3 2" xfId="5045" xr:uid="{DA74A868-F718-496D-852A-6AFF7FC73CC6}"/>
    <cellStyle name="Migliaia 21 3 3 2 2" xfId="9908" xr:uid="{F2ADA903-A436-4C78-8594-F7ABF07334D4}"/>
    <cellStyle name="Migliaia 21 3 3 2 2 2" xfId="38834" xr:uid="{F07D8E5F-B85B-4D61-9783-28CACD68E39E}"/>
    <cellStyle name="Migliaia 21 3 3 2 2 3" xfId="44136" xr:uid="{EB7C7212-8BB8-4976-978B-EFED5330E664}"/>
    <cellStyle name="Migliaia 21 3 3 2 3" xfId="18188" xr:uid="{8C5DF503-63BD-491B-878A-F54408022D40}"/>
    <cellStyle name="Migliaia 21 3 3 2 4" xfId="20098" xr:uid="{F54C0471-E0A6-4D72-951D-FE0F417488F7}"/>
    <cellStyle name="Migliaia 21 3 3 2 4 2" xfId="41485" xr:uid="{A776FED5-32D0-4720-9380-48D9FBF01F3E}"/>
    <cellStyle name="Migliaia 21 3 3 2 5" xfId="16209" xr:uid="{05761D8F-B30E-4C28-9DD4-C5B2F2D1C486}"/>
    <cellStyle name="Migliaia 21 3 3 2 6" xfId="8560" xr:uid="{1D61CBF0-04B2-4B6D-BF1D-8D75866773AD}"/>
    <cellStyle name="Migliaia 21 3 3 3" xfId="6256" xr:uid="{44CB5395-55E4-4F46-A385-89AE86C4DDE9}"/>
    <cellStyle name="Migliaia 21 3 3 3 2" xfId="33411" xr:uid="{467A388D-A1B5-44AA-B701-6CB54C3F45AB}"/>
    <cellStyle name="Migliaia 21 3 3 3 2 2" xfId="38835" xr:uid="{FC134B53-483A-43DD-924B-433C52B4C05F}"/>
    <cellStyle name="Migliaia 21 3 3 3 2 3" xfId="44137" xr:uid="{C8357D9F-96C0-4066-8224-9EE01AD04E99}"/>
    <cellStyle name="Migliaia 21 3 3 3 3" xfId="36322" xr:uid="{35AA1A12-E7EF-4C66-AF57-3FCDFF02AD37}"/>
    <cellStyle name="Migliaia 21 3 3 3 4" xfId="41486" xr:uid="{ED168BB4-BC04-4CFE-BACA-813E11935162}"/>
    <cellStyle name="Migliaia 21 3 3 3 5" xfId="9671" xr:uid="{92295F55-4659-4A76-B334-C13D4615288E}"/>
    <cellStyle name="Migliaia 21 3 3 4" xfId="20097" xr:uid="{2BB3EF51-B458-4C03-900F-A1AFA0E7528E}"/>
    <cellStyle name="Migliaia 21 3 3 4 2" xfId="33412" xr:uid="{59B1B61C-CBD9-44B1-8261-6ED56A708521}"/>
    <cellStyle name="Migliaia 21 3 3 4 2 2" xfId="38836" xr:uid="{E9B0947C-0A25-445B-97D0-649B8B3A2456}"/>
    <cellStyle name="Migliaia 21 3 3 4 2 3" xfId="44138" xr:uid="{1ACBB861-F703-44FE-BB8D-8ADE10396FEE}"/>
    <cellStyle name="Migliaia 21 3 3 4 3" xfId="36323" xr:uid="{31366A24-3BAE-4E32-A3A3-9B8B0475D49D}"/>
    <cellStyle name="Migliaia 21 3 3 4 4" xfId="41487" xr:uid="{3532E4E7-C33E-461F-8628-33008F907F95}"/>
    <cellStyle name="Migliaia 21 3 3 4 5" xfId="24492" xr:uid="{2BFEEBEF-6435-4911-9484-A44207B45DE9}"/>
    <cellStyle name="Migliaia 21 3 3 5" xfId="24493" xr:uid="{03F009AA-59A3-4D5C-BE01-AE00E7BA42B3}"/>
    <cellStyle name="Migliaia 21 3 3 5 2" xfId="33413" xr:uid="{DDB55F9D-AE83-4409-B8EE-4A2BDAECAC07}"/>
    <cellStyle name="Migliaia 21 3 3 5 2 2" xfId="38837" xr:uid="{9DEE23A8-C2BD-4783-8668-DC9534B605A9}"/>
    <cellStyle name="Migliaia 21 3 3 5 2 3" xfId="44139" xr:uid="{0FE84D19-5BE4-42A4-B191-7B0E04741531}"/>
    <cellStyle name="Migliaia 21 3 3 5 3" xfId="36324" xr:uid="{C9BE2407-6676-4036-A81D-A41435A73573}"/>
    <cellStyle name="Migliaia 21 3 3 5 4" xfId="41488" xr:uid="{1FD7903D-E52C-4A97-8A3B-99F990D97B9C}"/>
    <cellStyle name="Migliaia 21 3 3 6" xfId="33409" xr:uid="{9E0D5A98-F811-453C-A93C-C198379A4AF8}"/>
    <cellStyle name="Migliaia 21 3 3 6 2" xfId="38833" xr:uid="{0D2D1F44-8DE9-4E79-953D-273F753D502C}"/>
    <cellStyle name="Migliaia 21 3 3 6 3" xfId="44135" xr:uid="{9CBA8A8A-1338-4AE9-8680-12D54BEE172B}"/>
    <cellStyle name="Migliaia 21 3 3 7" xfId="36320" xr:uid="{B8C957FE-8F62-44C6-922D-28E21A2FBE69}"/>
    <cellStyle name="Migliaia 21 3 3 8" xfId="41484" xr:uid="{158DDC90-E48B-407B-B3C3-7B4B92380D03}"/>
    <cellStyle name="Migliaia 21 3 3 9" xfId="16208" xr:uid="{97D8DF6E-6CB3-43B5-A013-C41EBC5E1BAA}"/>
    <cellStyle name="Migliaia 21 3 4" xfId="3320" xr:uid="{A53CB779-96D0-4D5D-8251-676464F4E035}"/>
    <cellStyle name="Migliaia 21 3 4 2" xfId="5046" xr:uid="{3A468C53-9E22-470E-AA29-98D6A863039D}"/>
    <cellStyle name="Migliaia 21 3 4 2 2" xfId="14436" xr:uid="{1805437C-6EBA-4791-A5A8-911E247752E7}"/>
    <cellStyle name="Migliaia 21 3 4 2 3" xfId="18040" xr:uid="{016869C5-F2A0-4223-B94D-52A29A97D6BF}"/>
    <cellStyle name="Migliaia 21 3 4 2 4" xfId="20100" xr:uid="{DE42A4E8-30F2-45A9-A5BC-716487C3C61E}"/>
    <cellStyle name="Migliaia 21 3 4 2 5" xfId="32337" xr:uid="{C49AE72C-0652-4261-ADD7-28CF8433BD9E}"/>
    <cellStyle name="Migliaia 21 3 4 2 6" xfId="16211" xr:uid="{21E4D23F-A496-4D42-9A6E-8EE3072561AE}"/>
    <cellStyle name="Migliaia 21 3 4 2 7" xfId="8859" xr:uid="{EEC2C314-9D32-4A44-B6A6-76511272C4C6}"/>
    <cellStyle name="Migliaia 21 3 4 3" xfId="6257" xr:uid="{5E1B00F5-73BA-4AEC-9CC8-91C5206DFCF3}"/>
    <cellStyle name="Migliaia 21 3 4 3 2" xfId="35216" xr:uid="{17408D08-A070-48A3-9807-72A41A94620C}"/>
    <cellStyle name="Migliaia 21 3 4 3 2 2" xfId="40376" xr:uid="{FBE20220-D78C-4BBD-A5DD-255E07E3FA82}"/>
    <cellStyle name="Migliaia 21 3 4 3 2 3" xfId="45678" xr:uid="{F29E4F50-6867-4F22-A213-BB6DEB351EF1}"/>
    <cellStyle name="Migliaia 21 3 4 3 3" xfId="37725" xr:uid="{9E1B2DDA-3EF4-4E01-9163-9D9B20DC70DA}"/>
    <cellStyle name="Migliaia 21 3 4 3 4" xfId="43027" xr:uid="{8E36A26B-B577-4893-8975-53AAF419C1C0}"/>
    <cellStyle name="Migliaia 21 3 4 3 5" xfId="13684" xr:uid="{036251C0-3CCC-427A-8F45-6DF1B0C665C3}"/>
    <cellStyle name="Migliaia 21 3 4 4" xfId="20099" xr:uid="{AD6666C8-088E-475C-ADBC-DC3AA0F4181F}"/>
    <cellStyle name="Migliaia 21 3 4 4 2" xfId="38838" xr:uid="{48A18B92-5E29-477A-8D88-4E87AAACBED3}"/>
    <cellStyle name="Migliaia 21 3 4 4 3" xfId="44140" xr:uid="{2C04439F-0FB4-4CD8-B1C0-187ABD50CA93}"/>
    <cellStyle name="Migliaia 21 3 4 4 4" xfId="33414" xr:uid="{BC3DD563-1F8E-4633-8E88-757F911C6146}"/>
    <cellStyle name="Migliaia 21 3 4 5" xfId="36325" xr:uid="{63E85AC1-D46E-4EC9-8BCD-D50E5FE6D37A}"/>
    <cellStyle name="Migliaia 21 3 4 6" xfId="41489" xr:uid="{9C7A4D75-5A1B-4496-AA73-117B799DF28B}"/>
    <cellStyle name="Migliaia 21 3 4 7" xfId="16210" xr:uid="{7377036C-024C-49AC-8234-015E160334A2}"/>
    <cellStyle name="Migliaia 21 3 4 8" xfId="7669" xr:uid="{16B967F6-B867-455E-90C2-6DC255A85B95}"/>
    <cellStyle name="Migliaia 21 3 5" xfId="3321" xr:uid="{69098685-12AE-4E29-819B-965AC767F5DB}"/>
    <cellStyle name="Migliaia 21 3 5 2" xfId="5047" xr:uid="{B6A682CA-D6CD-4DE9-AFDF-63733D5BC0F1}"/>
    <cellStyle name="Migliaia 21 3 5 2 2" xfId="35217" xr:uid="{4BDB1259-0887-4B53-A469-8A27037E0088}"/>
    <cellStyle name="Migliaia 21 3 5 2 2 2" xfId="40377" xr:uid="{41991C20-7EA7-412F-8A24-32A55CFC2FD9}"/>
    <cellStyle name="Migliaia 21 3 5 2 2 3" xfId="45679" xr:uid="{608241C3-EB9A-4854-8541-33BCDDD7ECD3}"/>
    <cellStyle name="Migliaia 21 3 5 2 3" xfId="37726" xr:uid="{C44FA92A-C62A-43CB-A2B1-BED590A62BC8}"/>
    <cellStyle name="Migliaia 21 3 5 2 4" xfId="43028" xr:uid="{A17E6681-1C7B-47EF-A436-6619C1030237}"/>
    <cellStyle name="Migliaia 21 3 5 2 5" xfId="14220" xr:uid="{D5B7AB7C-3D6C-48EC-8101-CFAC6BD17C41}"/>
    <cellStyle name="Migliaia 21 3 5 3" xfId="6258" xr:uid="{5DE37C34-A8EC-4495-B716-366B8DC387A6}"/>
    <cellStyle name="Migliaia 21 3 5 3 2" xfId="38839" xr:uid="{03CFD7FE-9DEC-411A-BAC5-6306169C9A36}"/>
    <cellStyle name="Migliaia 21 3 5 3 3" xfId="44141" xr:uid="{EB181652-B56B-455B-87F3-9762CF94EF67}"/>
    <cellStyle name="Migliaia 21 3 5 3 4" xfId="33415" xr:uid="{17D5F704-129C-4796-BF16-C8787546765E}"/>
    <cellStyle name="Migliaia 21 3 5 3 5" xfId="20101" xr:uid="{64E36036-7A20-472A-9BE9-578D95FF3A79}"/>
    <cellStyle name="Migliaia 21 3 5 4" xfId="36326" xr:uid="{1378025C-F3CB-46E1-99A7-55AF4F715607}"/>
    <cellStyle name="Migliaia 21 3 5 5" xfId="41490" xr:uid="{F1947456-4B06-4959-A9F1-2479249D5B32}"/>
    <cellStyle name="Migliaia 21 3 5 6" xfId="16212" xr:uid="{3D91B889-DAD8-471C-B01E-9BA3332D71E0}"/>
    <cellStyle name="Migliaia 21 3 5 7" xfId="8282" xr:uid="{353B0700-2AF3-4970-8DB8-FA0B9700FDFA}"/>
    <cellStyle name="Migliaia 21 3 6" xfId="5042" xr:uid="{F62EE68A-B2F6-41CC-A7B1-C465CB75ADCC}"/>
    <cellStyle name="Migliaia 21 3 6 2" xfId="13925" xr:uid="{8A52DE15-A614-47CC-BA30-B40315715308}"/>
    <cellStyle name="Migliaia 21 3 6 2 2" xfId="38840" xr:uid="{49A9FB59-3217-4FEC-BF6E-BC006A0AE93A}"/>
    <cellStyle name="Migliaia 21 3 6 2 3" xfId="44142" xr:uid="{1D6E76C7-CE6A-4E37-BDAD-5140DFBEAE2C}"/>
    <cellStyle name="Migliaia 21 3 6 3" xfId="18717" xr:uid="{9D7A3898-5D37-48B1-B2CE-D4C3ABC4460C}"/>
    <cellStyle name="Migliaia 21 3 6 4" xfId="20102" xr:uid="{6DF42C29-DC0D-4748-9663-5005DAF89DA2}"/>
    <cellStyle name="Migliaia 21 3 6 4 2" xfId="41491" xr:uid="{06994EFD-9B12-487D-87E8-BF5EE901BAAB}"/>
    <cellStyle name="Migliaia 21 3 6 5" xfId="16213" xr:uid="{97A5B8E9-D542-4FBC-A50F-EA797A0A0D82}"/>
    <cellStyle name="Migliaia 21 3 6 6" xfId="7876" xr:uid="{42587BF5-C75E-41BC-AB83-29E7C4FD434E}"/>
    <cellStyle name="Migliaia 21 3 7" xfId="6253" xr:uid="{DAA17F0C-5E87-4F63-87D0-313F214C6A1E}"/>
    <cellStyle name="Migliaia 21 3 7 2" xfId="33416" xr:uid="{30E5405E-8A0F-4B27-BA5E-D03816AE1963}"/>
    <cellStyle name="Migliaia 21 3 7 2 2" xfId="38841" xr:uid="{DDBE1406-31E6-4DE3-A5BD-30D519A78D67}"/>
    <cellStyle name="Migliaia 21 3 7 2 3" xfId="44143" xr:uid="{3FA9FDF1-2D23-4962-80D7-CE9E3D1684F0}"/>
    <cellStyle name="Migliaia 21 3 7 3" xfId="36327" xr:uid="{F70D4011-DC60-4936-9E28-1BDEECF21D2A}"/>
    <cellStyle name="Migliaia 21 3 7 4" xfId="41492" xr:uid="{B8BB01F9-F3B6-441A-A5DC-D566F3C27900}"/>
    <cellStyle name="Migliaia 21 3 7 5" xfId="11129" xr:uid="{567E5AD6-D6DC-4577-9C68-25CCAFCC12C3}"/>
    <cellStyle name="Migliaia 21 3 8" xfId="3316" xr:uid="{6BE365EF-29D9-4F54-8BAE-32AEE66A0629}"/>
    <cellStyle name="Migliaia 21 3 8 2" xfId="33417" xr:uid="{57E92BD9-BD69-445F-8EBF-2A2A954CC7E8}"/>
    <cellStyle name="Migliaia 21 3 8 2 2" xfId="38842" xr:uid="{51D98E83-BF85-45ED-9511-6752A69E4643}"/>
    <cellStyle name="Migliaia 21 3 8 2 3" xfId="44144" xr:uid="{2258A6DA-7EE1-4F54-8EC4-D5EF6E880C34}"/>
    <cellStyle name="Migliaia 21 3 8 3" xfId="36328" xr:uid="{B713FBDD-21C2-487A-B7DF-0E647788204E}"/>
    <cellStyle name="Migliaia 21 3 8 4" xfId="41493" xr:uid="{B820268D-736C-4533-9DC8-15852E08CA0F}"/>
    <cellStyle name="Migliaia 21 3 8 5" xfId="24495" xr:uid="{731758AF-DF85-459E-8ACD-6D89158160F9}"/>
    <cellStyle name="Migliaia 21 3 8 6" xfId="17388" xr:uid="{EBF7EDCE-E2E6-497A-A5AC-79BDDA9CFC86}"/>
    <cellStyle name="Migliaia 21 3 9" xfId="20093" xr:uid="{B50AF417-D0FF-4266-9718-1E619D12D468}"/>
    <cellStyle name="Migliaia 21 4" xfId="1723" xr:uid="{00000000-0005-0000-0000-00003A030000}"/>
    <cellStyle name="Migliaia 21 4 2" xfId="1724" xr:uid="{00000000-0005-0000-0000-00003B030000}"/>
    <cellStyle name="Migliaia 21 4 2 2" xfId="5049" xr:uid="{156C1FFD-48B6-4EE0-AE6D-86F0150C1256}"/>
    <cellStyle name="Migliaia 21 4 2 2 2" xfId="33418" xr:uid="{41FC44EF-DFA6-4B09-8C3C-1FAC46B45FEF}"/>
    <cellStyle name="Migliaia 21 4 2 2 2 2" xfId="38843" xr:uid="{E66FAA17-E0E1-4C7B-AB33-6BD94BE0B0AF}"/>
    <cellStyle name="Migliaia 21 4 2 2 2 3" xfId="44145" xr:uid="{B3DE8B8E-1CA5-4873-8168-140A9F99EAC8}"/>
    <cellStyle name="Migliaia 21 4 2 2 3" xfId="36329" xr:uid="{2C3F0D0B-0623-46CD-A983-31C3AC6D1827}"/>
    <cellStyle name="Migliaia 21 4 2 2 4" xfId="41494" xr:uid="{07BA937E-ED6E-4A7F-B6D0-0800193526CD}"/>
    <cellStyle name="Migliaia 21 4 2 2 5" xfId="9134" xr:uid="{A72D48E5-6B58-4844-A698-C457A2212B4F}"/>
    <cellStyle name="Migliaia 21 4 2 3" xfId="3323" xr:uid="{ED8E8514-5B17-4D9B-8C8C-0661865EFAF2}"/>
    <cellStyle name="Migliaia 21 4 2 3 2" xfId="33419" xr:uid="{C040354D-7D30-47B3-A80D-CA5181438BBC}"/>
    <cellStyle name="Migliaia 21 4 2 3 2 2" xfId="38844" xr:uid="{994652EC-59A1-4FF9-A367-0A90843ABA5C}"/>
    <cellStyle name="Migliaia 21 4 2 3 2 3" xfId="44146" xr:uid="{5228D0C5-8CA0-451D-8626-F01F56D5158C}"/>
    <cellStyle name="Migliaia 21 4 2 3 3" xfId="36330" xr:uid="{99D7FA59-462F-435A-9216-CA63206DD633}"/>
    <cellStyle name="Migliaia 21 4 2 3 4" xfId="41495" xr:uid="{403BD0E2-9215-44CC-B033-9F4B67FE4A44}"/>
    <cellStyle name="Migliaia 21 4 2 3 5" xfId="11941" xr:uid="{75A44A5C-D30C-4B76-A4C7-39C6329AAB63}"/>
    <cellStyle name="Migliaia 21 4 2 4" xfId="11290" xr:uid="{881D0B48-080C-4957-B3F9-BA9E2E6079A5}"/>
    <cellStyle name="Migliaia 21 4 2 5" xfId="10801" xr:uid="{8DEE4F0C-D4D2-430B-B4D7-538795454FCB}"/>
    <cellStyle name="Migliaia 21 4 2 5 2" xfId="21436" xr:uid="{626B366E-166E-416E-97B8-7CA4A3FDD593}"/>
    <cellStyle name="Migliaia 21 4 2 5 3" xfId="46224" xr:uid="{207596AC-9406-40F4-991F-874D49A51557}"/>
    <cellStyle name="Migliaia 21 4 2 5 4" xfId="50451" xr:uid="{55C5B2D8-49C4-4642-9CBA-8090D31959F8}"/>
    <cellStyle name="Migliaia 21 4 2 5 5" xfId="53467" xr:uid="{5FEAB276-3102-4D90-BA5A-5B9A1C87CAFD}"/>
    <cellStyle name="Migliaia 21 4 2 6" xfId="20104" xr:uid="{59CA6CCF-6796-4199-9B73-DD58A4D4CA47}"/>
    <cellStyle name="Migliaia 21 4 2 7" xfId="24497" xr:uid="{35379FFA-0EBC-42EE-BE78-0E0007270B8C}"/>
    <cellStyle name="Migliaia 21 4 2 8" xfId="8562" xr:uid="{6923BDF4-2998-4256-B106-EA3A71606163}"/>
    <cellStyle name="Migliaia 21 4 3" xfId="5048" xr:uid="{7FC48A8E-33A1-4064-896E-CEB51C3DD8A4}"/>
    <cellStyle name="Migliaia 21 4 3 2" xfId="18189" xr:uid="{88D43F65-9839-435B-96D0-69A52764AE22}"/>
    <cellStyle name="Migliaia 21 4 3 2 2" xfId="38845" xr:uid="{A5B85D80-60FE-4DB4-BED9-0960ADDDE9D7}"/>
    <cellStyle name="Migliaia 21 4 3 2 3" xfId="44147" xr:uid="{6CA145E0-7C10-4138-B88C-8D0DBC23F797}"/>
    <cellStyle name="Migliaia 21 4 3 3" xfId="36331" xr:uid="{2C73D9FD-AFAD-409C-A20E-8AEF17815AB1}"/>
    <cellStyle name="Migliaia 21 4 3 4" xfId="41496" xr:uid="{B454A31D-58EC-47BE-9371-B361947F6333}"/>
    <cellStyle name="Migliaia 21 4 3 5" xfId="17386" xr:uid="{2D4D6F70-F5DD-4443-9987-D8A69878DBC6}"/>
    <cellStyle name="Migliaia 21 4 3 6" xfId="9135" xr:uid="{0BF1DEFD-C1C0-429A-8E55-8BB2A9413C4D}"/>
    <cellStyle name="Migliaia 21 4 4" xfId="6259" xr:uid="{CDA02F9B-6EEC-41B8-B512-E73BEAC7FD63}"/>
    <cellStyle name="Migliaia 21 4 4 2" xfId="33420" xr:uid="{E14EE7EA-1018-4BA1-AAEE-986326C5B83B}"/>
    <cellStyle name="Migliaia 21 4 4 2 2" xfId="38846" xr:uid="{793F80CD-2D81-4237-A1AC-4F802714B8BC}"/>
    <cellStyle name="Migliaia 21 4 4 2 3" xfId="44148" xr:uid="{84EEF8C7-3692-4B4E-BF61-187D446044B6}"/>
    <cellStyle name="Migliaia 21 4 4 3" xfId="36332" xr:uid="{C049DAA7-328D-41D9-9348-9ED2B97C315C}"/>
    <cellStyle name="Migliaia 21 4 4 4" xfId="41497" xr:uid="{E2BD9C19-FDC3-4CE8-B2E7-EABDE6920F83}"/>
    <cellStyle name="Migliaia 21 4 4 5" xfId="11942" xr:uid="{56CAF995-C826-4CAA-8443-0FFB6619F71E}"/>
    <cellStyle name="Migliaia 21 4 5" xfId="3322" xr:uid="{C71FE6CC-60EC-4E18-9E5F-70BC5B3A7018}"/>
    <cellStyle name="Migliaia 21 4 5 2" xfId="33421" xr:uid="{1663C80E-8808-4EED-9351-C3F1B51048F8}"/>
    <cellStyle name="Migliaia 21 4 5 2 2" xfId="38847" xr:uid="{D861CD20-4CC2-49D4-B43A-D8E5A0661F1B}"/>
    <cellStyle name="Migliaia 21 4 5 2 3" xfId="44149" xr:uid="{506D0E7A-3A4C-403C-A8CB-FF57F059DFC6}"/>
    <cellStyle name="Migliaia 21 4 5 3" xfId="36333" xr:uid="{E74CF137-731E-4A00-A258-7DD57F9BA3A2}"/>
    <cellStyle name="Migliaia 21 4 5 4" xfId="41498" xr:uid="{1B6CAF3A-DB94-40DC-8870-CF24AE14579B}"/>
    <cellStyle name="Migliaia 21 4 5 5" xfId="11289" xr:uid="{1BC09DE9-E857-4F92-A646-5DB3F6B725FA}"/>
    <cellStyle name="Migliaia 21 4 6" xfId="10800" xr:uid="{C3364BAC-7BB5-4C59-B9C0-1BDE11DB5ADB}"/>
    <cellStyle name="Migliaia 21 4 6 2" xfId="21435" xr:uid="{D6920716-937C-4B47-A10C-76D07AAB328E}"/>
    <cellStyle name="Migliaia 21 4 6 2 2" xfId="38848" xr:uid="{51231424-4C9D-432D-AAC5-D536941595DF}"/>
    <cellStyle name="Migliaia 21 4 6 2 3" xfId="44150" xr:uid="{6BB4E530-57B4-4A35-BA17-6CDC693010D7}"/>
    <cellStyle name="Migliaia 21 4 6 2 4" xfId="33422" xr:uid="{4C262F55-0546-4482-8D78-F0727FD96BF0}"/>
    <cellStyle name="Migliaia 21 4 6 3" xfId="36334" xr:uid="{312C219F-AA17-40BB-9621-8249F06909CC}"/>
    <cellStyle name="Migliaia 21 4 6 4" xfId="41499" xr:uid="{8412AD67-5981-41FB-BFFC-AB685284366A}"/>
    <cellStyle name="Migliaia 21 4 6 5" xfId="24500" xr:uid="{750145DE-201E-4FBC-A4DF-F41069F79262}"/>
    <cellStyle name="Migliaia 21 4 6 6" xfId="47303" xr:uid="{9617500A-EDDC-471B-B3C1-9695CE663988}"/>
    <cellStyle name="Migliaia 21 4 6 7" xfId="50450" xr:uid="{5C6C7604-E1B8-4E55-B38C-2A641C7C88A8}"/>
    <cellStyle name="Migliaia 21 4 6 8" xfId="53466" xr:uid="{44C9843B-FDD8-45F1-9451-9E71B29006B7}"/>
    <cellStyle name="Migliaia 21 4 7" xfId="20103" xr:uid="{D8756ED3-6DDE-4425-BF70-807961BB3E9C}"/>
    <cellStyle name="Migliaia 21 4 7 2" xfId="33423" xr:uid="{A97AF22D-024C-48D7-BDA1-0C948CD6DA44}"/>
    <cellStyle name="Migliaia 21 4 7 2 2" xfId="38849" xr:uid="{965191C4-B267-4C17-A1B4-464900ED8F07}"/>
    <cellStyle name="Migliaia 21 4 7 2 3" xfId="44151" xr:uid="{D552A3C5-AFC2-4523-A084-53645951EF0E}"/>
    <cellStyle name="Migliaia 21 4 7 3" xfId="36335" xr:uid="{FFFA17DF-5CB7-497B-BB65-C520E82E8688}"/>
    <cellStyle name="Migliaia 21 4 7 4" xfId="41500" xr:uid="{1162E543-173F-47E1-9C57-AFB3A83CA458}"/>
    <cellStyle name="Migliaia 21 4 7 5" xfId="24501" xr:uid="{B40AFE3C-2559-4F31-B975-4826B3F38A38}"/>
    <cellStyle name="Migliaia 21 4 8" xfId="24496" xr:uid="{D75ABF5C-223B-4BA9-A2FE-40A6D8B0CD1F}"/>
    <cellStyle name="Migliaia 21 4 9" xfId="7372" xr:uid="{4C421B5D-BF20-46F2-A726-78D065C3F8B5}"/>
    <cellStyle name="Migliaia 21 5" xfId="1725" xr:uid="{00000000-0005-0000-0000-00003C030000}"/>
    <cellStyle name="Migliaia 21 5 2" xfId="5050" xr:uid="{472F496E-1632-4BC1-89AD-7FFEDA9F92E1}"/>
    <cellStyle name="Migliaia 21 5 2 2" xfId="18403" xr:uid="{646E33C4-0E70-4FC9-B17A-166CD50B50A7}"/>
    <cellStyle name="Migliaia 21 5 2 2 2" xfId="38850" xr:uid="{958803B2-D672-45F5-B79F-8BE6115A33F9}"/>
    <cellStyle name="Migliaia 21 5 2 2 3" xfId="44152" xr:uid="{4F2B17A2-556F-49B4-BED0-BFCCA655E83F}"/>
    <cellStyle name="Migliaia 21 5 2 3" xfId="20106" xr:uid="{DF7DF7B3-D586-4465-85DB-0B1968A85B7F}"/>
    <cellStyle name="Migliaia 21 5 2 3 2" xfId="36336" xr:uid="{87C2DA4A-B1C8-42A9-ACD7-E418B0C49C47}"/>
    <cellStyle name="Migliaia 21 5 2 4" xfId="41501" xr:uid="{FA7FD107-60D9-4602-95B9-2B8C6696F500}"/>
    <cellStyle name="Migliaia 21 5 2 5" xfId="16214" xr:uid="{B46C9479-AA75-4C0C-BE3C-E7E48974B97C}"/>
    <cellStyle name="Migliaia 21 5 2 6" xfId="8563" xr:uid="{5924AF7C-54F8-4301-9F45-D327569C6931}"/>
    <cellStyle name="Migliaia 21 5 3" xfId="6260" xr:uid="{960969E8-E141-4242-9662-558EF56CF93A}"/>
    <cellStyle name="Migliaia 21 5 3 2" xfId="33424" xr:uid="{60D1ACC5-5F1F-4E25-A029-1CF23B1A48E7}"/>
    <cellStyle name="Migliaia 21 5 3 2 2" xfId="38851" xr:uid="{C176CC85-4D70-42B8-9AE6-97E27A05265F}"/>
    <cellStyle name="Migliaia 21 5 3 2 3" xfId="44153" xr:uid="{4F94B08A-0BE1-4AA6-A6A1-DDBDFD19433F}"/>
    <cellStyle name="Migliaia 21 5 3 3" xfId="36337" xr:uid="{805BEC3E-5AA4-48CD-80DB-9804BC5EC430}"/>
    <cellStyle name="Migliaia 21 5 3 4" xfId="41502" xr:uid="{5C949840-A0E2-4518-9802-86FFF2E01512}"/>
    <cellStyle name="Migliaia 21 5 3 5" xfId="11291" xr:uid="{E46FF083-05DB-4E0E-9A0B-4E94769262CD}"/>
    <cellStyle name="Migliaia 21 5 4" xfId="3324" xr:uid="{5829B7B6-C347-4511-8281-A4D919BA7089}"/>
    <cellStyle name="Migliaia 21 5 4 2" xfId="21437" xr:uid="{D9C932E7-2835-4423-B936-A8DC0BFE42C9}"/>
    <cellStyle name="Migliaia 21 5 4 2 2" xfId="38852" xr:uid="{D7ADE83A-DACE-4554-90A2-10A4204E743A}"/>
    <cellStyle name="Migliaia 21 5 4 2 3" xfId="44154" xr:uid="{2F3030B7-1C77-48EB-AEAF-0D5792B36E61}"/>
    <cellStyle name="Migliaia 21 5 4 2 4" xfId="33425" xr:uid="{91150013-86D8-4A8F-97CF-6561034085F1}"/>
    <cellStyle name="Migliaia 21 5 4 3" xfId="36338" xr:uid="{4EBEF6AC-75AC-4557-A278-AD5E3CC07B99}"/>
    <cellStyle name="Migliaia 21 5 4 4" xfId="41503" xr:uid="{DDBD0B2D-2956-4CC2-B8D0-4735218E40DF}"/>
    <cellStyle name="Migliaia 21 5 4 5" xfId="24503" xr:uid="{77CC07A4-3168-42E3-AF45-294963878F9A}"/>
    <cellStyle name="Migliaia 21 5 4 6" xfId="47896" xr:uid="{E872AFAC-2FCD-4B5B-803A-7A5E5C2EE60B}"/>
    <cellStyle name="Migliaia 21 5 4 7" xfId="50452" xr:uid="{219F8D47-0F69-4033-8996-E32A6372D65B}"/>
    <cellStyle name="Migliaia 21 5 4 8" xfId="53468" xr:uid="{864516B3-C03B-48F4-8FEB-51339E2A5056}"/>
    <cellStyle name="Migliaia 21 5 4 9" xfId="10802" xr:uid="{FE21283A-66D3-4C1C-A641-6BC0FDC1F757}"/>
    <cellStyle name="Migliaia 21 5 5" xfId="20105" xr:uid="{A2126022-129D-46A0-A9D0-B2E8F3D0149C}"/>
    <cellStyle name="Migliaia 21 5 5 2" xfId="33426" xr:uid="{0237DB3C-EED4-4233-A4DE-970F5E747B6B}"/>
    <cellStyle name="Migliaia 21 5 5 2 2" xfId="38853" xr:uid="{7D2179E0-F934-449D-B369-BC08097F9520}"/>
    <cellStyle name="Migliaia 21 5 5 2 3" xfId="44155" xr:uid="{82CF2F97-915A-4342-B0A7-F3820BB78E4B}"/>
    <cellStyle name="Migliaia 21 5 5 3" xfId="36339" xr:uid="{18B4701B-2D2A-42E7-BBE9-CDD9D05484F7}"/>
    <cellStyle name="Migliaia 21 5 5 4" xfId="41504" xr:uid="{F5B6A4A0-8E39-49E2-82EB-599422F2C1A4}"/>
    <cellStyle name="Migliaia 21 5 5 5" xfId="24504" xr:uid="{4FEC3A43-E765-4361-BEC5-478D90E46244}"/>
    <cellStyle name="Migliaia 21 5 6" xfId="24505" xr:uid="{623CA48A-46BB-4318-8019-4A2474F38F21}"/>
    <cellStyle name="Migliaia 21 5 6 2" xfId="33427" xr:uid="{B425B007-D712-4DAE-A122-767B3625889D}"/>
    <cellStyle name="Migliaia 21 5 6 2 2" xfId="38854" xr:uid="{E074DEA9-1418-42C5-8209-E8E35534D044}"/>
    <cellStyle name="Migliaia 21 5 6 2 3" xfId="44156" xr:uid="{349B23EF-0976-4717-8F69-245F0EADBDB8}"/>
    <cellStyle name="Migliaia 21 5 6 3" xfId="36340" xr:uid="{E36CE19E-51D6-43D9-AC68-34B3F10D68D3}"/>
    <cellStyle name="Migliaia 21 5 6 4" xfId="41505" xr:uid="{28AD6B0B-477E-45C1-B9B1-94C920E97FB1}"/>
    <cellStyle name="Migliaia 21 5 7" xfId="24502" xr:uid="{D93558B5-3103-4F43-BB93-2F2BFF6242E5}"/>
    <cellStyle name="Migliaia 21 5 8" xfId="7373" xr:uid="{54F0A62D-5E4C-4326-9865-7183DDB54D34}"/>
    <cellStyle name="Migliaia 21 6" xfId="3325" xr:uid="{ECAF671F-B70A-43D0-AA99-3FDE8AD644DB}"/>
    <cellStyle name="Migliaia 21 6 2" xfId="5051" xr:uid="{352D5B97-72FC-4D45-BE96-C5523226265F}"/>
    <cellStyle name="Migliaia 21 6 2 2" xfId="9907" xr:uid="{A4DF607F-8885-4A10-8473-C6A12C81EFE6}"/>
    <cellStyle name="Migliaia 21 6 2 3" xfId="18667" xr:uid="{8DC1839E-761E-4BF0-BEEE-E09D54E6FB99}"/>
    <cellStyle name="Migliaia 21 6 2 4" xfId="20108" xr:uid="{DE1B47B2-A629-48F1-8971-F1CC282FF9CE}"/>
    <cellStyle name="Migliaia 21 6 2 5" xfId="32339" xr:uid="{988FD4BF-B3B4-4ACE-9D16-AC9DABCB81F9}"/>
    <cellStyle name="Migliaia 21 6 2 6" xfId="16216" xr:uid="{5261FD09-044C-4709-A542-15ED81100ADE}"/>
    <cellStyle name="Migliaia 21 6 2 7" xfId="8558" xr:uid="{43C0FCE9-4CB5-4ACE-9ABF-4EEF4181D078}"/>
    <cellStyle name="Migliaia 21 6 3" xfId="6261" xr:uid="{25A99DB3-ADAA-4A53-A0BD-063FA563032E}"/>
    <cellStyle name="Migliaia 21 6 3 2" xfId="35218" xr:uid="{B4726C31-B63F-48B8-BFA3-017794BCD347}"/>
    <cellStyle name="Migliaia 21 6 3 2 2" xfId="40378" xr:uid="{39B6FE10-47A2-4910-9966-A9CA5F622DA4}"/>
    <cellStyle name="Migliaia 21 6 3 2 3" xfId="45680" xr:uid="{359A2921-7AF0-4415-87EA-E0EEF9B10CEF}"/>
    <cellStyle name="Migliaia 21 6 3 3" xfId="37727" xr:uid="{8782121E-85E2-4358-8D3B-07232E4C3A16}"/>
    <cellStyle name="Migliaia 21 6 3 4" xfId="43029" xr:uid="{18C7E8A0-EFF7-4441-8D88-8B98F44EE68D}"/>
    <cellStyle name="Migliaia 21 6 3 5" xfId="9670" xr:uid="{18A70A2E-F064-4B83-9361-678818CFDA3B}"/>
    <cellStyle name="Migliaia 21 6 4" xfId="20107" xr:uid="{75F7D2EB-571F-4EF5-8777-D81A6A61F6C7}"/>
    <cellStyle name="Migliaia 21 6 4 2" xfId="38855" xr:uid="{EAA8ABF3-0AC4-4A8B-B150-02B4A5B3D358}"/>
    <cellStyle name="Migliaia 21 6 4 3" xfId="44157" xr:uid="{009BB201-1E90-48C5-8054-F838421A50DC}"/>
    <cellStyle name="Migliaia 21 6 4 4" xfId="33428" xr:uid="{4B64B9D1-645F-4ECC-9BEA-12A83230005A}"/>
    <cellStyle name="Migliaia 21 6 5" xfId="36341" xr:uid="{AD005266-7507-46CB-AF7C-A4268474AF65}"/>
    <cellStyle name="Migliaia 21 6 6" xfId="41506" xr:uid="{A2BAD3C5-9D02-4A00-91CE-B41CF5673517}"/>
    <cellStyle name="Migliaia 21 6 7" xfId="16215" xr:uid="{3D7E7559-9603-424D-B9E5-9AC20F9BE8DE}"/>
    <cellStyle name="Migliaia 21 6 8" xfId="7368" xr:uid="{CCF2DA76-E566-4E95-AF0A-4E3D271278D7}"/>
    <cellStyle name="Migliaia 21 7" xfId="3326" xr:uid="{6508234A-4998-4265-B2DB-EB1652F0212C}"/>
    <cellStyle name="Migliaia 21 7 2" xfId="5052" xr:uid="{B3887E29-9014-4C60-A0B4-BD5D8CC835ED}"/>
    <cellStyle name="Migliaia 21 7 2 2" xfId="35219" xr:uid="{99FFE49A-1621-44D9-8A6D-5C43FDB339F1}"/>
    <cellStyle name="Migliaia 21 7 2 2 2" xfId="40379" xr:uid="{A8E7BA47-6683-4A86-82EF-103757E27CB9}"/>
    <cellStyle name="Migliaia 21 7 2 2 3" xfId="45681" xr:uid="{B209013B-6403-4760-91FC-7E01B3ED01D0}"/>
    <cellStyle name="Migliaia 21 7 2 3" xfId="37728" xr:uid="{5D36A6D8-866E-4C8A-A2E7-2A8F6EA4BE61}"/>
    <cellStyle name="Migliaia 21 7 2 4" xfId="43030" xr:uid="{DEA5065C-5457-43E4-8E5B-ACF5D3393B13}"/>
    <cellStyle name="Migliaia 21 7 2 5" xfId="14218" xr:uid="{AF7B6379-4307-4734-B318-A172CDD7CECE}"/>
    <cellStyle name="Migliaia 21 7 3" xfId="6262" xr:uid="{05AE909A-FBFD-47FF-ADEA-A8DA081E25A1}"/>
    <cellStyle name="Migliaia 21 7 3 2" xfId="38856" xr:uid="{8760777D-29DD-4FCB-AD27-BB9692403C36}"/>
    <cellStyle name="Migliaia 21 7 3 3" xfId="44158" xr:uid="{2EB81A30-D25A-4ECC-82A3-A857B5369CAB}"/>
    <cellStyle name="Migliaia 21 7 3 4" xfId="33429" xr:uid="{410CE5E3-593A-4035-8D4C-12AC9E162A96}"/>
    <cellStyle name="Migliaia 21 7 3 5" xfId="20109" xr:uid="{4B05448C-3F70-4971-87E1-744445FF13E2}"/>
    <cellStyle name="Migliaia 21 7 4" xfId="36342" xr:uid="{5DC765B3-F4A6-4EC1-A397-718C5E41FFE6}"/>
    <cellStyle name="Migliaia 21 7 5" xfId="41507" xr:uid="{3360BA72-5F25-4B55-8833-7AB061A80589}"/>
    <cellStyle name="Migliaia 21 7 6" xfId="16217" xr:uid="{C048D265-F4F0-491B-8094-384BB4530FCF}"/>
    <cellStyle name="Migliaia 21 7 7" xfId="8280" xr:uid="{9616B8E8-8B13-4620-9C71-2DAE7D1600AB}"/>
    <cellStyle name="Migliaia 21 8" xfId="3327" xr:uid="{A482A192-6B8D-475D-BD86-35FDAADD76A8}"/>
    <cellStyle name="Migliaia 21 8 2" xfId="5053" xr:uid="{BA5F1B89-64B0-487E-B827-68507A7739BF}"/>
    <cellStyle name="Migliaia 21 8 2 2" xfId="35220" xr:uid="{95A20EF2-A4FF-47AC-9771-A20B7CD41F6D}"/>
    <cellStyle name="Migliaia 21 8 2 2 2" xfId="40380" xr:uid="{5659660A-B76C-4919-8436-B2FB6AA1C080}"/>
    <cellStyle name="Migliaia 21 8 2 2 3" xfId="45682" xr:uid="{5DCF0FE9-F171-4D86-86CF-D2B3DDF371BA}"/>
    <cellStyle name="Migliaia 21 8 2 3" xfId="37729" xr:uid="{06E9BBF5-9288-491E-8405-1C9E0E02AA00}"/>
    <cellStyle name="Migliaia 21 8 2 4" xfId="43031" xr:uid="{9AC04DC5-164F-4243-9EF1-D5994A3714D7}"/>
    <cellStyle name="Migliaia 21 8 2 5" xfId="13923" xr:uid="{A3B44CB2-47E7-441A-89FE-2FA741E254A7}"/>
    <cellStyle name="Migliaia 21 8 3" xfId="6263" xr:uid="{808F3C51-DDA0-46FA-9AE4-C4CA8124FA71}"/>
    <cellStyle name="Migliaia 21 8 3 2" xfId="38857" xr:uid="{1F738B59-485A-4F6D-B8EB-DC69C522FD7B}"/>
    <cellStyle name="Migliaia 21 8 3 3" xfId="44159" xr:uid="{F9BA02E1-870F-4A39-8638-1706EE1F54DF}"/>
    <cellStyle name="Migliaia 21 8 3 4" xfId="33430" xr:uid="{67D3E516-DB37-4A9A-8CEF-E208AC524CC4}"/>
    <cellStyle name="Migliaia 21 8 3 5" xfId="20110" xr:uid="{C5BDF980-B433-4261-90AD-3E4276AE96DD}"/>
    <cellStyle name="Migliaia 21 8 4" xfId="36343" xr:uid="{D7F290F9-11E2-42CE-8385-22934ADCA4DC}"/>
    <cellStyle name="Migliaia 21 8 5" xfId="41508" xr:uid="{74BE4920-A177-42C1-BE43-E76B8E773DF2}"/>
    <cellStyle name="Migliaia 21 8 6" xfId="16218" xr:uid="{3A17FBB0-D69A-4334-BF2A-5811E050FDC8}"/>
    <cellStyle name="Migliaia 21 8 7" xfId="7874" xr:uid="{18BECA86-6F87-4838-B678-6F9F06B117DC}"/>
    <cellStyle name="Migliaia 21 9" xfId="5038" xr:uid="{1B43D3F2-8DA0-4CC7-86D1-0003A2251DAA}"/>
    <cellStyle name="Migliaia 21 9 2" xfId="33431" xr:uid="{80D27CE6-8C91-40D4-857A-49CE062E8B62}"/>
    <cellStyle name="Migliaia 21 9 2 2" xfId="38858" xr:uid="{E2E01CEB-68EF-4728-91F3-ABCA310979C0}"/>
    <cellStyle name="Migliaia 21 9 2 3" xfId="44160" xr:uid="{4CDCEE66-76CA-44B8-ACA4-6FC10F8D1824}"/>
    <cellStyle name="Migliaia 21 9 3" xfId="36344" xr:uid="{DF4479BC-A863-4A41-8816-F361AD95FF28}"/>
    <cellStyle name="Migliaia 21 9 4" xfId="41509" xr:uid="{EF7058C2-10F4-40D3-B7BE-5F0B5799341E}"/>
    <cellStyle name="Migliaia 21 9 5" xfId="17161" xr:uid="{40345381-E90A-4727-84E4-0A473D92C104}"/>
    <cellStyle name="Migliaia 22" xfId="357" xr:uid="{00000000-0005-0000-0000-00003D030000}"/>
    <cellStyle name="Migliaia 22 10" xfId="6264" xr:uid="{7B8F8C49-B2A0-4D53-931C-CB3BDB9495A3}"/>
    <cellStyle name="Migliaia 22 10 2" xfId="38859" xr:uid="{1C09DC23-420F-4A90-8742-58092E91B462}"/>
    <cellStyle name="Migliaia 22 10 3" xfId="44161" xr:uid="{D607C849-BF07-4EEF-B524-6E6A3AD6F17A}"/>
    <cellStyle name="Migliaia 22 10 4" xfId="33432" xr:uid="{13619049-FC2E-47D2-BDDB-8CB0506A160B}"/>
    <cellStyle name="Migliaia 22 10 5" xfId="20111" xr:uid="{DE4AE0C1-2D2E-43C2-8F19-65450DB3927D}"/>
    <cellStyle name="Migliaia 22 11" xfId="3328" xr:uid="{C3F83E1B-58EC-4573-A3F2-0B289F37D2EF}"/>
    <cellStyle name="Migliaia 22 11 2" xfId="36345" xr:uid="{81001CA0-1BFC-4BF0-B590-C0892EDB528C}"/>
    <cellStyle name="Migliaia 22 12" xfId="41510" xr:uid="{C57928F5-2820-43DC-B9C1-5D4C5405678E}"/>
    <cellStyle name="Migliaia 22 13" xfId="7084" xr:uid="{9DE53D3E-3C67-4CEB-A5F5-8DFEA57DF84A}"/>
    <cellStyle name="Migliaia 22 2" xfId="358" xr:uid="{00000000-0005-0000-0000-00003E030000}"/>
    <cellStyle name="Migliaia 22 2 2" xfId="1726" xr:uid="{00000000-0005-0000-0000-00003F030000}"/>
    <cellStyle name="Migliaia 22 2 2 2" xfId="5056" xr:uid="{A5350673-A475-4179-A190-D7D6E9BA905B}"/>
    <cellStyle name="Migliaia 22 2 2 2 2" xfId="14377" xr:uid="{C7570FA3-19FF-4BD2-B5D8-9242A168A363}"/>
    <cellStyle name="Migliaia 22 2 2 2 2 2" xfId="38860" xr:uid="{4DC27DD3-D9B8-456C-900F-D9B7CE5E179E}"/>
    <cellStyle name="Migliaia 22 2 2 2 2 3" xfId="44162" xr:uid="{C2AE0844-1514-42EC-BE2F-94C68F170C06}"/>
    <cellStyle name="Migliaia 22 2 2 2 3" xfId="18404" xr:uid="{01C15A31-CDBF-4C4A-A2F6-5BCD8312165A}"/>
    <cellStyle name="Migliaia 22 2 2 2 4" xfId="20114" xr:uid="{93CF236C-262D-499B-ADE3-78D69DBDCAD5}"/>
    <cellStyle name="Migliaia 22 2 2 2 4 2" xfId="41511" xr:uid="{E6FFB71B-3353-4E5F-8BC6-4EAFC4DD3FCC}"/>
    <cellStyle name="Migliaia 22 2 2 2 5" xfId="16219" xr:uid="{060E16DA-0D7A-43E4-9426-7773D9A302AB}"/>
    <cellStyle name="Migliaia 22 2 2 2 6" xfId="8565" xr:uid="{9E512D6D-1967-4C2B-935E-B166D8D245A8}"/>
    <cellStyle name="Migliaia 22 2 2 3" xfId="6266" xr:uid="{0592CE43-4B5F-49E7-8E2D-4384228913BC}"/>
    <cellStyle name="Migliaia 22 2 2 3 2" xfId="35221" xr:uid="{3457653B-DF81-44E2-AFF9-948004D39450}"/>
    <cellStyle name="Migliaia 22 2 2 3 2 2" xfId="40381" xr:uid="{ABF9EE8A-90E4-4C78-9347-53C62714DBDB}"/>
    <cellStyle name="Migliaia 22 2 2 3 2 3" xfId="45683" xr:uid="{0D09CEC3-B347-436F-B0EE-BF3D9FF130F5}"/>
    <cellStyle name="Migliaia 22 2 2 3 3" xfId="37730" xr:uid="{7DAA3445-A282-4CF0-8FA9-69EE01E90244}"/>
    <cellStyle name="Migliaia 22 2 2 3 4" xfId="43032" xr:uid="{F1EA8FC4-C60D-44F5-AE3A-DA1E50A27CF8}"/>
    <cellStyle name="Migliaia 22 2 2 3 5" xfId="11604" xr:uid="{3B3FEF2A-B0BE-4E35-B753-9390BFB8C566}"/>
    <cellStyle name="Migliaia 22 2 2 4" xfId="3330" xr:uid="{9D92E237-8B22-4F84-ADF6-FFC9335626D7}"/>
    <cellStyle name="Migliaia 22 2 2 4 2" xfId="21438" xr:uid="{98645C90-4F84-4D69-B5BF-44CA559C93B7}"/>
    <cellStyle name="Migliaia 22 2 2 4 3" xfId="46225" xr:uid="{06533ED8-B601-4173-A287-ABCE851BA2CE}"/>
    <cellStyle name="Migliaia 22 2 2 4 4" xfId="50453" xr:uid="{5E83698B-189E-47F8-8AAF-72157906E57F}"/>
    <cellStyle name="Migliaia 22 2 2 4 5" xfId="53469" xr:uid="{48E77426-BB41-49AA-8C05-7C3DB3553891}"/>
    <cellStyle name="Migliaia 22 2 2 4 6" xfId="10803" xr:uid="{D24C1FF9-9FCF-4D2C-BC46-EA0F49F6DFF0}"/>
    <cellStyle name="Migliaia 22 2 2 5" xfId="20113" xr:uid="{93037B72-1D26-48F3-90EE-F97C50D5CF0A}"/>
    <cellStyle name="Migliaia 22 2 2 6" xfId="24510" xr:uid="{7EF0069D-4E5A-4D8A-B231-B9CDECAD2422}"/>
    <cellStyle name="Migliaia 22 2 2 7" xfId="7375" xr:uid="{23DCF0D1-13EE-4817-8DA1-19F96E746D4F}"/>
    <cellStyle name="Migliaia 22 2 3" xfId="3331" xr:uid="{7CBC0202-8B37-4AB4-950C-71DEADF0871E}"/>
    <cellStyle name="Migliaia 22 2 3 2" xfId="5057" xr:uid="{C72A19A1-FDB3-4903-9E8D-6F798694F380}"/>
    <cellStyle name="Migliaia 22 2 3 2 2" xfId="35222" xr:uid="{DCAF3680-B71C-4EBD-AD03-5E5B83F80536}"/>
    <cellStyle name="Migliaia 22 2 3 2 2 2" xfId="40382" xr:uid="{1D7D0226-6B5B-43F1-88FD-16C9A5D05D7C}"/>
    <cellStyle name="Migliaia 22 2 3 2 2 3" xfId="45684" xr:uid="{9E102FD9-8CF0-4B9E-AC2A-41552E52D33D}"/>
    <cellStyle name="Migliaia 22 2 3 2 3" xfId="37731" xr:uid="{992EB706-AAD9-4058-BECA-96583DF44C07}"/>
    <cellStyle name="Migliaia 22 2 3 2 4" xfId="43033" xr:uid="{816E57E5-E6F6-47FC-A598-1B46BC705551}"/>
    <cellStyle name="Migliaia 22 2 3 2 5" xfId="14222" xr:uid="{843BA993-87A3-4051-A7E0-CA40F0657B16}"/>
    <cellStyle name="Migliaia 22 2 3 3" xfId="6267" xr:uid="{04AD14A0-B348-45B9-B4F7-5857C09CFABB}"/>
    <cellStyle name="Migliaia 22 2 3 3 2" xfId="38861" xr:uid="{D9B8FCCF-6816-4886-8958-944D4517084A}"/>
    <cellStyle name="Migliaia 22 2 3 3 3" xfId="44163" xr:uid="{21D4EE3C-7C8E-42E4-8963-CB0FFF288BAB}"/>
    <cellStyle name="Migliaia 22 2 3 3 4" xfId="33433" xr:uid="{7BA15618-A162-4198-BCC8-71DC867E3248}"/>
    <cellStyle name="Migliaia 22 2 3 3 5" xfId="20115" xr:uid="{1D68C72A-DDEC-42F8-8106-B412902C1A5D}"/>
    <cellStyle name="Migliaia 22 2 3 4" xfId="36346" xr:uid="{E23BD688-9705-4837-B99B-558FEA906D05}"/>
    <cellStyle name="Migliaia 22 2 3 5" xfId="41512" xr:uid="{CD9E53FB-6DA0-4C45-BA5A-5FC566E8BAC6}"/>
    <cellStyle name="Migliaia 22 2 3 6" xfId="16220" xr:uid="{DC050AB5-3B61-486D-93B9-F66A3EF6CC76}"/>
    <cellStyle name="Migliaia 22 2 3 7" xfId="8284" xr:uid="{A9B5C4DE-627D-4049-A60D-8F9449C6E46F}"/>
    <cellStyle name="Migliaia 22 2 4" xfId="5055" xr:uid="{B05D9D27-E4DE-4CA8-AA30-DFBCF9EFCE37}"/>
    <cellStyle name="Migliaia 22 2 4 2" xfId="13927" xr:uid="{96752953-96B7-4A3C-A89F-B9D35717D99E}"/>
    <cellStyle name="Migliaia 22 2 4 2 2" xfId="38862" xr:uid="{B329BE6C-B08F-4892-A756-BF3CF37E07AF}"/>
    <cellStyle name="Migliaia 22 2 4 2 3" xfId="44164" xr:uid="{C980BB2F-DE77-4A21-BD35-58DB9EC34CDF}"/>
    <cellStyle name="Migliaia 22 2 4 3" xfId="18716" xr:uid="{D87EF7B4-81A4-4F0D-8081-4152270950A6}"/>
    <cellStyle name="Migliaia 22 2 4 4" xfId="20116" xr:uid="{AF8A39C1-96B9-4440-B5ED-B2353807058A}"/>
    <cellStyle name="Migliaia 22 2 4 4 2" xfId="41513" xr:uid="{71F044BF-4907-47E5-AA84-60CEE78A18AF}"/>
    <cellStyle name="Migliaia 22 2 4 5" xfId="16221" xr:uid="{1DB29326-A1C9-47C2-9937-B37797FF1398}"/>
    <cellStyle name="Migliaia 22 2 4 6" xfId="7879" xr:uid="{A04BF348-32CD-42AB-ABD8-40D82197FCC9}"/>
    <cellStyle name="Migliaia 22 2 5" xfId="6265" xr:uid="{BC6F054C-20BC-46B5-82C2-04F7A13BF32C}"/>
    <cellStyle name="Migliaia 22 2 5 2" xfId="33434" xr:uid="{A0648717-EF8B-4E07-9724-2CF6E2E7614D}"/>
    <cellStyle name="Migliaia 22 2 5 2 2" xfId="38863" xr:uid="{78EEC6CC-72A8-45F4-BDA1-C9B8A9BAF4EE}"/>
    <cellStyle name="Migliaia 22 2 5 2 3" xfId="44165" xr:uid="{866C5090-D7AD-4526-9DE6-36FAD5427640}"/>
    <cellStyle name="Migliaia 22 2 5 3" xfId="36347" xr:uid="{F0DE9380-A175-4C69-824F-C5D2D0FCCF24}"/>
    <cellStyle name="Migliaia 22 2 5 4" xfId="41514" xr:uid="{90DC709F-75F1-4BC2-AB58-B2F8F0ACB2EB}"/>
    <cellStyle name="Migliaia 22 2 5 5" xfId="13117" xr:uid="{F17BAE6B-9B83-4F0D-B4B3-62D7DB727122}"/>
    <cellStyle name="Migliaia 22 2 6" xfId="3329" xr:uid="{F583C249-00C9-42FC-99EE-7D69D4F1D2E9}"/>
    <cellStyle name="Migliaia 22 2 6 2" xfId="33435" xr:uid="{79D8C499-C285-4BBA-B92A-139F1683D096}"/>
    <cellStyle name="Migliaia 22 2 6 2 2" xfId="38864" xr:uid="{35CCD824-35C4-4556-8588-28853842297B}"/>
    <cellStyle name="Migliaia 22 2 6 2 3" xfId="44166" xr:uid="{7AAD3E47-5EBF-4B93-9241-CB5ACF325C9A}"/>
    <cellStyle name="Migliaia 22 2 6 3" xfId="36348" xr:uid="{448FDD81-E983-45CC-A01B-3CA20C6D8A92}"/>
    <cellStyle name="Migliaia 22 2 6 4" xfId="41515" xr:uid="{2903DA1E-E973-4022-9C56-1847F59CEFE7}"/>
    <cellStyle name="Migliaia 22 2 6 5" xfId="24511" xr:uid="{DB736570-0E16-4EEE-B605-4C742993C1DB}"/>
    <cellStyle name="Migliaia 22 2 6 6" xfId="20112" xr:uid="{13B5C7D2-E92D-4E1C-873A-56886605997B}"/>
    <cellStyle name="Migliaia 22 2 7" xfId="24509" xr:uid="{7B9A7A6E-1A77-4D68-9A73-66328C8CC17E}"/>
    <cellStyle name="Migliaia 22 2 8" xfId="7085" xr:uid="{DC0015A8-C09F-4397-80F9-69ABAB68D779}"/>
    <cellStyle name="Migliaia 22 3" xfId="359" xr:uid="{00000000-0005-0000-0000-000040030000}"/>
    <cellStyle name="Migliaia 22 3 10" xfId="24512" xr:uid="{0F2D30D8-ED30-4BAD-87F3-7739586E6950}"/>
    <cellStyle name="Migliaia 22 3 11" xfId="16222" xr:uid="{138EC9BF-853A-46BD-882B-1143709EF2A5}"/>
    <cellStyle name="Migliaia 22 3 12" xfId="7086" xr:uid="{3A627672-1D85-4696-8A22-886D6F53A617}"/>
    <cellStyle name="Migliaia 22 3 2" xfId="360" xr:uid="{00000000-0005-0000-0000-000041030000}"/>
    <cellStyle name="Migliaia 22 3 2 2" xfId="1727" xr:uid="{00000000-0005-0000-0000-000042030000}"/>
    <cellStyle name="Migliaia 22 3 2 2 2" xfId="5060" xr:uid="{3CDF23C8-745C-48B2-9C1D-A143CC09FF71}"/>
    <cellStyle name="Migliaia 22 3 2 2 2 2" xfId="18405" xr:uid="{CF6A3C66-85D8-4CFC-8EB6-E959D7F581E2}"/>
    <cellStyle name="Migliaia 22 3 2 2 2 2 2" xfId="21855" xr:uid="{11F86825-F83A-4682-A3E1-88A436C29668}"/>
    <cellStyle name="Migliaia 22 3 2 2 2 2 2 2" xfId="38865" xr:uid="{D54907F1-D3B8-45F6-911E-656F63A242F9}"/>
    <cellStyle name="Migliaia 22 3 2 2 2 2 3" xfId="44167" xr:uid="{E93C96F6-D6EB-4C43-BEB3-3891F61C9ACE}"/>
    <cellStyle name="Migliaia 22 3 2 2 2 2 4" xfId="33436" xr:uid="{C93DE0B3-4CD0-428E-8C1A-46FDAC3752A2}"/>
    <cellStyle name="Migliaia 22 3 2 2 2 3" xfId="36349" xr:uid="{A2F9E9BE-C4F2-4692-868C-BABB0784718F}"/>
    <cellStyle name="Migliaia 22 3 2 2 2 4" xfId="41516" xr:uid="{3B36ED33-A353-4FEF-8BD2-0FF43F9AC8E5}"/>
    <cellStyle name="Migliaia 22 3 2 2 2 5" xfId="47755" xr:uid="{5A9C807B-514D-4B22-9C16-C3E4FC471F4A}"/>
    <cellStyle name="Migliaia 22 3 2 2 2 6" xfId="50883" xr:uid="{1D3EAD9B-A4D4-43A3-B166-C0953156959F}"/>
    <cellStyle name="Migliaia 22 3 2 2 2 7" xfId="53899" xr:uid="{C965ABE3-97A9-4EB7-8F65-0D3E49EA02CE}"/>
    <cellStyle name="Migliaia 22 3 2 2 2 8" xfId="17652" xr:uid="{7A5B5DB4-8707-4657-9AEF-852D7A8F3AE1}"/>
    <cellStyle name="Migliaia 22 3 2 2 2 9" xfId="11943" xr:uid="{DA8CD76B-9660-4740-95A6-40F059D1B18E}"/>
    <cellStyle name="Migliaia 22 3 2 2 3" xfId="6270" xr:uid="{2B956C0A-961A-4B81-B265-3203E6E5AC1C}"/>
    <cellStyle name="Migliaia 22 3 2 2 3 2" xfId="11672" xr:uid="{C22BE33A-8ABF-4B8A-AB2A-6C91ADCC6229}"/>
    <cellStyle name="Migliaia 22 3 2 2 4" xfId="3334" xr:uid="{CAD69BC7-11C3-48A3-9240-BA0AC0CBCC46}"/>
    <cellStyle name="Migliaia 22 3 2 2 4 2" xfId="21439" xr:uid="{78234D5D-1620-40BB-BB61-9EAE1DA48A17}"/>
    <cellStyle name="Migliaia 22 3 2 2 4 3" xfId="48471" xr:uid="{084475FA-3CBB-4E18-AF97-82B6AA9302C6}"/>
    <cellStyle name="Migliaia 22 3 2 2 4 4" xfId="50454" xr:uid="{6780A236-FAD6-43AE-8C53-3128A2E4784A}"/>
    <cellStyle name="Migliaia 22 3 2 2 4 5" xfId="53470" xr:uid="{77B2C056-B955-4F13-9E7A-CF38A1BB5ABD}"/>
    <cellStyle name="Migliaia 22 3 2 2 4 6" xfId="10804" xr:uid="{71E532AD-2212-466B-9C21-873F7C197F67}"/>
    <cellStyle name="Migliaia 22 3 2 2 5" xfId="20119" xr:uid="{322DBD62-0E88-4C05-80CA-2FD1545CEB31}"/>
    <cellStyle name="Migliaia 22 3 2 2 6" xfId="24514" xr:uid="{BA0EEEC1-3BE9-4EA9-B653-D1AAA55C6F6A}"/>
    <cellStyle name="Migliaia 22 3 2 2 7" xfId="8567" xr:uid="{5A250004-9C9C-477F-B67C-0318098EE6D9}"/>
    <cellStyle name="Migliaia 22 3 2 3" xfId="5059" xr:uid="{2343FBCA-C814-4CC3-96D8-E98EF4DA87A2}"/>
    <cellStyle name="Migliaia 22 3 2 3 2" xfId="12418" xr:uid="{80AD4835-73CD-47DA-B591-844A6789A162}"/>
    <cellStyle name="Migliaia 22 3 2 3 2 2" xfId="38866" xr:uid="{8683EF51-0F6F-4A69-B4B4-6D34F62D9251}"/>
    <cellStyle name="Migliaia 22 3 2 3 2 3" xfId="44168" xr:uid="{8453E78E-17F3-4D76-8E85-4E0D6F22F3CD}"/>
    <cellStyle name="Migliaia 22 3 2 3 2 4" xfId="33437" xr:uid="{F3732350-3BD3-4EB9-8E95-24C9491BA7FA}"/>
    <cellStyle name="Migliaia 22 3 2 3 3" xfId="11944" xr:uid="{5EE880B6-94FE-4768-A63C-316468A6F63E}"/>
    <cellStyle name="Migliaia 22 3 2 3 4" xfId="20120" xr:uid="{584D4771-C0C0-410D-97E6-F12C0C012C94}"/>
    <cellStyle name="Migliaia 22 3 2 3 4 2" xfId="41517" xr:uid="{DD83A14D-5909-407A-BE20-B96B724D8D6B}"/>
    <cellStyle name="Migliaia 22 3 2 3 5" xfId="16223" xr:uid="{0A915689-CF1B-4915-A7D3-96C02A90DBC5}"/>
    <cellStyle name="Migliaia 22 3 2 3 6" xfId="7881" xr:uid="{41C991F0-BB23-4A88-8EAB-C0220B6ED06D}"/>
    <cellStyle name="Migliaia 22 3 2 4" xfId="6269" xr:uid="{B5DE0208-71FD-4431-A27C-88DEA0E145DD}"/>
    <cellStyle name="Migliaia 22 3 2 4 2" xfId="18071" xr:uid="{8018F8F4-DEEB-42A2-9857-610ACF6BC205}"/>
    <cellStyle name="Migliaia 22 3 2 4 2 2" xfId="38867" xr:uid="{8813C31A-DB6B-4E54-B942-C39AC0738486}"/>
    <cellStyle name="Migliaia 22 3 2 4 2 3" xfId="44169" xr:uid="{D7634EF6-ED6B-4C21-89F9-FE863E3F1166}"/>
    <cellStyle name="Migliaia 22 3 2 4 3" xfId="36350" xr:uid="{681AABA1-AEEE-46B8-9EB3-0CEBF6F9CC1D}"/>
    <cellStyle name="Migliaia 22 3 2 4 4" xfId="41518" xr:uid="{5A1C6464-797E-44B0-A385-08D36B9FB50E}"/>
    <cellStyle name="Migliaia 22 3 2 4 5" xfId="17164" xr:uid="{0D69B53A-B2FC-47B6-BC59-8FF8544AB383}"/>
    <cellStyle name="Migliaia 22 3 2 4 6" xfId="11292" xr:uid="{ECB5D7F8-EC44-4833-BA93-CF5FF470A2B3}"/>
    <cellStyle name="Migliaia 22 3 2 5" xfId="3333" xr:uid="{A40DC061-E273-43AC-B3D5-6392FECAD914}"/>
    <cellStyle name="Migliaia 22 3 2 5 2" xfId="33438" xr:uid="{ED96EF5E-233C-4BC7-963B-01AA4A718E55}"/>
    <cellStyle name="Migliaia 22 3 2 5 2 2" xfId="38868" xr:uid="{23374D13-52A8-4139-94CA-C91A608B6D2A}"/>
    <cellStyle name="Migliaia 22 3 2 5 2 3" xfId="44170" xr:uid="{42AABC75-0E62-4A6A-AD5D-2FA9878224D6}"/>
    <cellStyle name="Migliaia 22 3 2 5 3" xfId="36351" xr:uid="{3F460710-AE15-4E77-A674-9CC2B42F6013}"/>
    <cellStyle name="Migliaia 22 3 2 5 4" xfId="41519" xr:uid="{5C4AAF51-6678-41C6-9ADC-71072E4055B9}"/>
    <cellStyle name="Migliaia 22 3 2 5 5" xfId="17384" xr:uid="{958E6E3C-9AC4-49F2-BF0F-5A5BA5F66CA6}"/>
    <cellStyle name="Migliaia 22 3 2 6" xfId="20118" xr:uid="{3B7DBC3D-576E-4943-8813-3974DAD8E05E}"/>
    <cellStyle name="Migliaia 22 3 2 6 2" xfId="33439" xr:uid="{C3129B1F-AD61-402F-96CC-DC50AA98219F}"/>
    <cellStyle name="Migliaia 22 3 2 6 2 2" xfId="38869" xr:uid="{921F5823-6BB3-49AE-A8FC-6A6032ACAB2C}"/>
    <cellStyle name="Migliaia 22 3 2 6 2 3" xfId="44171" xr:uid="{0B64C2F8-62F6-438A-B538-EA4F2AF1715A}"/>
    <cellStyle name="Migliaia 22 3 2 6 3" xfId="36352" xr:uid="{5EA1C897-77F9-42FD-B8AF-91EED3B4FF2A}"/>
    <cellStyle name="Migliaia 22 3 2 6 4" xfId="41520" xr:uid="{9ACB41CD-73A8-44FC-A48B-59B76AB5B1B8}"/>
    <cellStyle name="Migliaia 22 3 2 6 5" xfId="24515" xr:uid="{80D3D2BF-CCEF-47F4-8BA0-A0BF05F0777C}"/>
    <cellStyle name="Migliaia 22 3 2 7" xfId="24513" xr:uid="{7A211DCC-9F12-4F9B-BB77-D3FA1D0F5516}"/>
    <cellStyle name="Migliaia 22 3 2 8" xfId="7377" xr:uid="{4092EA11-8EDD-46C9-8925-058C69554575}"/>
    <cellStyle name="Migliaia 22 3 3" xfId="3335" xr:uid="{A1E2654E-49DF-411A-BF75-223DF39C98AC}"/>
    <cellStyle name="Migliaia 22 3 3 10" xfId="7376" xr:uid="{8DC0C6A6-10DA-4EE5-8A78-54AB973AC034}"/>
    <cellStyle name="Migliaia 22 3 3 2" xfId="5061" xr:uid="{5BB3EB7E-9EC9-4538-B6ED-293563E9578E}"/>
    <cellStyle name="Migliaia 22 3 3 2 2" xfId="9910" xr:uid="{A60E4E05-7D45-4C76-B8EA-4E7460B20C33}"/>
    <cellStyle name="Migliaia 22 3 3 2 2 2" xfId="38871" xr:uid="{CE20F668-48B6-40EC-8747-1CDD0D87F491}"/>
    <cellStyle name="Migliaia 22 3 3 2 2 3" xfId="44173" xr:uid="{6DBAFCBD-ABA1-4DB2-82EF-27CECF6996FC}"/>
    <cellStyle name="Migliaia 22 3 3 2 3" xfId="18190" xr:uid="{980FB3EB-C3C8-426B-99B5-9B9D266DF963}"/>
    <cellStyle name="Migliaia 22 3 3 2 4" xfId="20122" xr:uid="{F569F5A4-24E4-4E08-9372-57C2401ACDAF}"/>
    <cellStyle name="Migliaia 22 3 3 2 4 2" xfId="41522" xr:uid="{1E6B7838-E26E-479C-AA81-F67FDABE6445}"/>
    <cellStyle name="Migliaia 22 3 3 2 5" xfId="16225" xr:uid="{74C9AA97-9724-48C7-A52B-8D7BD08A65A3}"/>
    <cellStyle name="Migliaia 22 3 3 2 6" xfId="8566" xr:uid="{8259A1B9-F353-4FAC-BA5E-FEAAA8EEB2BE}"/>
    <cellStyle name="Migliaia 22 3 3 3" xfId="6271" xr:uid="{B101B36E-7B3A-4B81-B7C0-96B4ACD910B2}"/>
    <cellStyle name="Migliaia 22 3 3 3 2" xfId="33441" xr:uid="{4CA01D0C-25D2-4F80-B4B7-7F01737C3829}"/>
    <cellStyle name="Migliaia 22 3 3 3 2 2" xfId="38872" xr:uid="{D05D3322-77DE-40F1-9AD7-1E809251E4B2}"/>
    <cellStyle name="Migliaia 22 3 3 3 2 3" xfId="44174" xr:uid="{E4765582-A18E-4932-B8B0-BC5AB82A8AC4}"/>
    <cellStyle name="Migliaia 22 3 3 3 3" xfId="36354" xr:uid="{2B01EC35-8BA0-48CB-83EC-19EA2C11E3B6}"/>
    <cellStyle name="Migliaia 22 3 3 3 4" xfId="41523" xr:uid="{1DBBC420-C02C-44E0-8407-62305EAA811E}"/>
    <cellStyle name="Migliaia 22 3 3 3 5" xfId="9673" xr:uid="{4A27565F-34C3-4EAD-9B30-181936F20B45}"/>
    <cellStyle name="Migliaia 22 3 3 4" xfId="20121" xr:uid="{E1A29C73-6EF4-4312-A99C-BEBE9B5105C6}"/>
    <cellStyle name="Migliaia 22 3 3 4 2" xfId="33442" xr:uid="{3E6DECC1-47EB-4DA6-8B17-6769FA665555}"/>
    <cellStyle name="Migliaia 22 3 3 4 2 2" xfId="38873" xr:uid="{4E4329B3-62EE-457E-A75E-47CB90B574A3}"/>
    <cellStyle name="Migliaia 22 3 3 4 2 3" xfId="44175" xr:uid="{83D48805-D8E1-4D62-9B70-2072101ABDA8}"/>
    <cellStyle name="Migliaia 22 3 3 4 3" xfId="36355" xr:uid="{3265FF17-2C79-4AC3-8C5B-E74FC4CCF340}"/>
    <cellStyle name="Migliaia 22 3 3 4 4" xfId="41524" xr:uid="{7B0110C3-D157-4EB9-B09B-989395AFAF04}"/>
    <cellStyle name="Migliaia 22 3 3 4 5" xfId="24516" xr:uid="{9317AA49-B2DF-445F-A275-60445CE00FB2}"/>
    <cellStyle name="Migliaia 22 3 3 5" xfId="24517" xr:uid="{40977049-0588-4C17-BC09-0581CA93D55B}"/>
    <cellStyle name="Migliaia 22 3 3 5 2" xfId="33443" xr:uid="{94B38179-964C-4A54-B10D-65C729C7B86C}"/>
    <cellStyle name="Migliaia 22 3 3 5 2 2" xfId="38874" xr:uid="{C284BCFC-EC86-4426-80D5-7851DD2000BE}"/>
    <cellStyle name="Migliaia 22 3 3 5 2 3" xfId="44176" xr:uid="{773A2522-DA3C-4B29-BA8E-50B780799D3E}"/>
    <cellStyle name="Migliaia 22 3 3 5 3" xfId="36356" xr:uid="{7771FBE3-2296-401B-9DEA-17D11A37C593}"/>
    <cellStyle name="Migliaia 22 3 3 5 4" xfId="41525" xr:uid="{2D112EF0-B885-4683-B9B0-6E533FB6686C}"/>
    <cellStyle name="Migliaia 22 3 3 6" xfId="33440" xr:uid="{91A6644F-DBD8-4827-A8F9-7688FFE472AF}"/>
    <cellStyle name="Migliaia 22 3 3 6 2" xfId="38870" xr:uid="{8C0AB618-FA58-4DC0-9301-BF5E9A463986}"/>
    <cellStyle name="Migliaia 22 3 3 6 3" xfId="44172" xr:uid="{4FBFC008-847E-4AD5-8B84-3D4E0D58EC68}"/>
    <cellStyle name="Migliaia 22 3 3 7" xfId="36353" xr:uid="{69E77FDF-74C6-4AF8-9784-C24FD8E707A4}"/>
    <cellStyle name="Migliaia 22 3 3 8" xfId="41521" xr:uid="{6A29C8C3-1C9A-4A84-A4AB-45FF0C5DB5F2}"/>
    <cellStyle name="Migliaia 22 3 3 9" xfId="16224" xr:uid="{A4D4E8DB-19B5-464F-B058-43174DDB525F}"/>
    <cellStyle name="Migliaia 22 3 4" xfId="3336" xr:uid="{8C00FB03-F44B-4EEB-A3F7-8CCAAF9730FD}"/>
    <cellStyle name="Migliaia 22 3 4 2" xfId="5062" xr:uid="{C1D654F7-427E-46B2-B606-2C4DBB8760A8}"/>
    <cellStyle name="Migliaia 22 3 4 2 2" xfId="14437" xr:uid="{49C792AF-C2B6-4305-A68B-8312E1D40FA9}"/>
    <cellStyle name="Migliaia 22 3 4 2 3" xfId="18126" xr:uid="{83F7DAEE-76AD-48DB-A0E2-43753618B3AB}"/>
    <cellStyle name="Migliaia 22 3 4 2 4" xfId="20124" xr:uid="{F1DB4556-9CE9-438A-BF3F-F5C5C1370507}"/>
    <cellStyle name="Migliaia 22 3 4 2 5" xfId="32342" xr:uid="{5C42DBE2-8680-4722-848D-541EF5CC1959}"/>
    <cellStyle name="Migliaia 22 3 4 2 6" xfId="16227" xr:uid="{6E62A2B7-F8D8-427C-8B56-99C9B70B1B65}"/>
    <cellStyle name="Migliaia 22 3 4 2 7" xfId="8860" xr:uid="{22422297-BAF8-4393-96AE-238190A15F2B}"/>
    <cellStyle name="Migliaia 22 3 4 3" xfId="6272" xr:uid="{E1D668FD-7F81-4078-A2EA-DDC811785E2D}"/>
    <cellStyle name="Migliaia 22 3 4 3 2" xfId="35223" xr:uid="{E174E7FB-4F22-4E81-9793-8F824ACA8142}"/>
    <cellStyle name="Migliaia 22 3 4 3 2 2" xfId="40383" xr:uid="{2CDD49D1-E82A-447A-BEC7-337DD58486E7}"/>
    <cellStyle name="Migliaia 22 3 4 3 2 3" xfId="45685" xr:uid="{A5679A01-AA2E-40DD-8AB1-6ED28ABDAF4F}"/>
    <cellStyle name="Migliaia 22 3 4 3 3" xfId="37732" xr:uid="{FF9C8F63-05FF-4EAE-9552-471363D02A79}"/>
    <cellStyle name="Migliaia 22 3 4 3 4" xfId="43034" xr:uid="{31C736EB-E70C-437C-8390-397C8ACAB06B}"/>
    <cellStyle name="Migliaia 22 3 4 3 5" xfId="13685" xr:uid="{13A2A528-FA27-46A0-8FAB-A7DD54C4CDE1}"/>
    <cellStyle name="Migliaia 22 3 4 4" xfId="20123" xr:uid="{8ADBBB5C-E21C-40F6-8779-A560635DE85F}"/>
    <cellStyle name="Migliaia 22 3 4 4 2" xfId="38875" xr:uid="{4CDE1323-3FF8-4797-AE69-6865C5BBFF2D}"/>
    <cellStyle name="Migliaia 22 3 4 4 3" xfId="44177" xr:uid="{8E8E4E1E-45CF-40EA-B94C-207A5F60AF63}"/>
    <cellStyle name="Migliaia 22 3 4 4 4" xfId="33444" xr:uid="{65C7ADE1-3945-4397-9D68-D5573879F966}"/>
    <cellStyle name="Migliaia 22 3 4 5" xfId="36357" xr:uid="{733EF417-ABB1-449F-BD82-E6C32F88F0D0}"/>
    <cellStyle name="Migliaia 22 3 4 6" xfId="41526" xr:uid="{72E3F1F6-23DD-4417-8D66-B5F4EC627BE4}"/>
    <cellStyle name="Migliaia 22 3 4 7" xfId="16226" xr:uid="{CAB91AB3-4C53-4045-9D39-0530ED0675BD}"/>
    <cellStyle name="Migliaia 22 3 4 8" xfId="7670" xr:uid="{E1AF7C6D-C9DB-4C70-A98D-5977BFDFE961}"/>
    <cellStyle name="Migliaia 22 3 5" xfId="3337" xr:uid="{06EC39BB-C8F0-40A3-8F4A-06366556E5BE}"/>
    <cellStyle name="Migliaia 22 3 5 2" xfId="5063" xr:uid="{B39B86A5-1E46-4C22-A9DE-BF217C31AE73}"/>
    <cellStyle name="Migliaia 22 3 5 2 2" xfId="35224" xr:uid="{548B9FC7-023A-4878-ADB0-84ED995E7E7A}"/>
    <cellStyle name="Migliaia 22 3 5 2 2 2" xfId="40384" xr:uid="{91F80915-A122-4B94-BF2F-04CD92988467}"/>
    <cellStyle name="Migliaia 22 3 5 2 2 3" xfId="45686" xr:uid="{1303821C-BE0D-4B10-B26B-7F57A15B17E4}"/>
    <cellStyle name="Migliaia 22 3 5 2 3" xfId="37733" xr:uid="{552F6BF5-4FD4-4751-95AE-5C2B228F5965}"/>
    <cellStyle name="Migliaia 22 3 5 2 4" xfId="43035" xr:uid="{F7EE72CA-A1AC-4051-9292-195D6050D2F8}"/>
    <cellStyle name="Migliaia 22 3 5 2 5" xfId="14223" xr:uid="{1AE4836F-4C92-41E5-9D20-E5605B2C59A0}"/>
    <cellStyle name="Migliaia 22 3 5 3" xfId="6273" xr:uid="{2C02C813-F0AF-4619-A258-1CACBCD3426B}"/>
    <cellStyle name="Migliaia 22 3 5 3 2" xfId="38876" xr:uid="{F79F5ACB-816F-4E4B-8FDA-A8C924B4489F}"/>
    <cellStyle name="Migliaia 22 3 5 3 3" xfId="44178" xr:uid="{9C870DCA-572B-4420-A9AB-018156CE1C51}"/>
    <cellStyle name="Migliaia 22 3 5 3 4" xfId="33445" xr:uid="{6CE57C9D-3A0C-4220-889C-E7299208F02D}"/>
    <cellStyle name="Migliaia 22 3 5 3 5" xfId="20125" xr:uid="{2283EA3B-13A8-48D7-A3FE-8B800D35660D}"/>
    <cellStyle name="Migliaia 22 3 5 4" xfId="36358" xr:uid="{212AD912-9638-458D-8495-4E31FAFF3D76}"/>
    <cellStyle name="Migliaia 22 3 5 5" xfId="41527" xr:uid="{DE5D3AD7-2E8E-44B1-8590-A627EB33996E}"/>
    <cellStyle name="Migliaia 22 3 5 6" xfId="16228" xr:uid="{EBE58F67-059B-453E-BB16-E506564ED778}"/>
    <cellStyle name="Migliaia 22 3 5 7" xfId="8285" xr:uid="{C19F6CCD-DDBD-4BD1-B641-DA9C9D509389}"/>
    <cellStyle name="Migliaia 22 3 6" xfId="5058" xr:uid="{4C6EBCF4-0E2F-4C06-B40C-9831EB5C602F}"/>
    <cellStyle name="Migliaia 22 3 6 2" xfId="13928" xr:uid="{3DD42705-B886-434F-B9CC-B39639D75350}"/>
    <cellStyle name="Migliaia 22 3 6 2 2" xfId="38877" xr:uid="{530E665F-90D0-403A-AA06-4E9BC5EB6C7C}"/>
    <cellStyle name="Migliaia 22 3 6 2 3" xfId="44179" xr:uid="{F47D084E-9CFB-465E-A7EC-E93DD1FF52C8}"/>
    <cellStyle name="Migliaia 22 3 6 3" xfId="18619" xr:uid="{F199E4E1-C2ED-4B9E-8E79-67CBC0C66918}"/>
    <cellStyle name="Migliaia 22 3 6 4" xfId="20126" xr:uid="{ECEC84E2-ED55-44BA-A2D9-D35390287A58}"/>
    <cellStyle name="Migliaia 22 3 6 4 2" xfId="41528" xr:uid="{EDDA11B7-302E-4A69-B4B5-49C0D0218A86}"/>
    <cellStyle name="Migliaia 22 3 6 5" xfId="16229" xr:uid="{41831A9A-4CE1-4AC0-A96C-C715C3B409C5}"/>
    <cellStyle name="Migliaia 22 3 6 6" xfId="7880" xr:uid="{99400DCF-22AB-4E1E-A710-5BC9A2C5E35D}"/>
    <cellStyle name="Migliaia 22 3 7" xfId="6268" xr:uid="{3FBC9893-F415-4083-9F56-74AC877B35FF}"/>
    <cellStyle name="Migliaia 22 3 7 2" xfId="33446" xr:uid="{2EEE142D-12E5-47F1-9C7B-52966AB545BD}"/>
    <cellStyle name="Migliaia 22 3 7 2 2" xfId="38878" xr:uid="{E0AC091A-D324-48CC-8B7D-6A0A39D2A4F0}"/>
    <cellStyle name="Migliaia 22 3 7 2 3" xfId="44180" xr:uid="{3CFB611A-39F2-49B7-B63F-F1C2DE574C34}"/>
    <cellStyle name="Migliaia 22 3 7 3" xfId="36359" xr:uid="{081DEC0A-5AC7-428A-B530-84602F882795}"/>
    <cellStyle name="Migliaia 22 3 7 4" xfId="41529" xr:uid="{7900DA73-CB51-4547-8480-1FC3CA9362DE}"/>
    <cellStyle name="Migliaia 22 3 7 5" xfId="11507" xr:uid="{A5CA1049-EF3E-4A9D-AF3A-EE83418A0461}"/>
    <cellStyle name="Migliaia 22 3 8" xfId="3332" xr:uid="{40091126-1D4E-4707-8200-8467A5223480}"/>
    <cellStyle name="Migliaia 22 3 8 2" xfId="33447" xr:uid="{48870746-7C2D-4B3A-9A0B-2297C7FB5F2B}"/>
    <cellStyle name="Migliaia 22 3 8 2 2" xfId="38879" xr:uid="{16916B0A-A135-4642-B6A0-EBD9E8E1BA7E}"/>
    <cellStyle name="Migliaia 22 3 8 2 3" xfId="44181" xr:uid="{8DC193B5-2DD8-484D-9429-2C4AC3E78F9B}"/>
    <cellStyle name="Migliaia 22 3 8 3" xfId="36360" xr:uid="{90C2D4AB-C8BA-460D-BF49-F952685E511B}"/>
    <cellStyle name="Migliaia 22 3 8 4" xfId="41530" xr:uid="{92910563-04AE-4070-898B-2E3B0C8F0FAD}"/>
    <cellStyle name="Migliaia 22 3 8 5" xfId="24518" xr:uid="{19723297-74D2-4746-987A-AB3C0268C129}"/>
    <cellStyle name="Migliaia 22 3 8 6" xfId="17385" xr:uid="{7A544F46-FB2C-47D3-9D90-7CFAB919F71A}"/>
    <cellStyle name="Migliaia 22 3 9" xfId="20117" xr:uid="{5221CDEC-761F-4F86-B54A-0A1CE1B68799}"/>
    <cellStyle name="Migliaia 22 4" xfId="1728" xr:uid="{00000000-0005-0000-0000-000043030000}"/>
    <cellStyle name="Migliaia 22 4 2" xfId="1729" xr:uid="{00000000-0005-0000-0000-000044030000}"/>
    <cellStyle name="Migliaia 22 4 2 2" xfId="5065" xr:uid="{724E4D2E-2A92-4729-AAF4-C54ADBE04CC2}"/>
    <cellStyle name="Migliaia 22 4 2 2 2" xfId="33448" xr:uid="{93886E63-DF57-40E6-AA01-14B2FE4FE259}"/>
    <cellStyle name="Migliaia 22 4 2 2 2 2" xfId="38880" xr:uid="{ED3AB8A6-E575-4ABA-BCCB-18E5D2723C28}"/>
    <cellStyle name="Migliaia 22 4 2 2 2 3" xfId="44182" xr:uid="{0A3F224C-704C-4D91-AC1C-68979A9BDA60}"/>
    <cellStyle name="Migliaia 22 4 2 2 3" xfId="36361" xr:uid="{D71F99ED-4810-4BFC-8AAC-49E611FC8E4B}"/>
    <cellStyle name="Migliaia 22 4 2 2 4" xfId="41531" xr:uid="{BF3B7C0C-491F-480A-8590-190C42D0FFE5}"/>
    <cellStyle name="Migliaia 22 4 2 2 5" xfId="9136" xr:uid="{C09302E4-7DF6-446A-A446-A517C1A7F86F}"/>
    <cellStyle name="Migliaia 22 4 2 3" xfId="3339" xr:uid="{7CB945AA-A52B-4728-89A8-9683D771AC64}"/>
    <cellStyle name="Migliaia 22 4 2 3 2" xfId="33449" xr:uid="{C39B2B36-2AD9-41EC-B51A-6B80F9294939}"/>
    <cellStyle name="Migliaia 22 4 2 3 2 2" xfId="38881" xr:uid="{41ECBD6B-E8B2-476D-82F6-C4957BD564C7}"/>
    <cellStyle name="Migliaia 22 4 2 3 2 3" xfId="44183" xr:uid="{81E4C84F-B51B-4358-94A7-91D647869528}"/>
    <cellStyle name="Migliaia 22 4 2 3 3" xfId="36362" xr:uid="{850EA073-5887-4591-97BB-9DB8D2BEA413}"/>
    <cellStyle name="Migliaia 22 4 2 3 4" xfId="41532" xr:uid="{C79D2E56-FF0C-4DB7-970C-B75C0060DEC9}"/>
    <cellStyle name="Migliaia 22 4 2 3 5" xfId="11945" xr:uid="{2A9ED632-BAC1-459E-B203-8129DEF7969B}"/>
    <cellStyle name="Migliaia 22 4 2 4" xfId="11294" xr:uid="{E981CCEA-20AF-42C6-A30B-6938B7A1103B}"/>
    <cellStyle name="Migliaia 22 4 2 5" xfId="10806" xr:uid="{C526781A-E7BE-40D5-9E63-CBA02BCC88F0}"/>
    <cellStyle name="Migliaia 22 4 2 5 2" xfId="21441" xr:uid="{97188C30-416B-4D20-BCE5-7DCD91D4C180}"/>
    <cellStyle name="Migliaia 22 4 2 5 3" xfId="36388" xr:uid="{0E566F47-F65B-47B5-9316-0495B981147E}"/>
    <cellStyle name="Migliaia 22 4 2 5 4" xfId="50456" xr:uid="{DE80C0C8-BD89-4644-A6E0-8D0C1C8E28B3}"/>
    <cellStyle name="Migliaia 22 4 2 5 5" xfId="53472" xr:uid="{25F92D9A-7264-40D6-9AC2-BFB905D22E1A}"/>
    <cellStyle name="Migliaia 22 4 2 6" xfId="20128" xr:uid="{EB8EA70D-56BD-40B2-86AC-F9C287F01BC4}"/>
    <cellStyle name="Migliaia 22 4 2 7" xfId="24520" xr:uid="{BA6B6BB1-D306-4A14-B37B-A8721BFCFDCC}"/>
    <cellStyle name="Migliaia 22 4 2 8" xfId="8568" xr:uid="{1CC407BC-EAF2-433A-BE92-C3C04EE9CED6}"/>
    <cellStyle name="Migliaia 22 4 3" xfId="5064" xr:uid="{2D3C9CD6-294F-4BD6-B461-843814F508C9}"/>
    <cellStyle name="Migliaia 22 4 3 2" xfId="18191" xr:uid="{AA4D1297-A40D-45D5-9E7D-B947EDB6B12D}"/>
    <cellStyle name="Migliaia 22 4 3 2 2" xfId="38882" xr:uid="{3B43313E-C7D9-4C87-A6E2-2B88E81B3626}"/>
    <cellStyle name="Migliaia 22 4 3 2 3" xfId="44184" xr:uid="{FEAAEF19-85C4-42EF-A2FA-C12FBDC0C40B}"/>
    <cellStyle name="Migliaia 22 4 3 3" xfId="36363" xr:uid="{D20B8A9E-4892-4383-AF42-6F39434866E6}"/>
    <cellStyle name="Migliaia 22 4 3 4" xfId="41533" xr:uid="{FC6F9B96-F900-4697-B31F-077F759C0A4D}"/>
    <cellStyle name="Migliaia 22 4 3 5" xfId="17383" xr:uid="{36312DEC-1F7D-4BA4-920F-1C87EA8A8D3F}"/>
    <cellStyle name="Migliaia 22 4 3 6" xfId="9137" xr:uid="{D1985DDD-3877-4245-B6DF-DA585C8BB5F4}"/>
    <cellStyle name="Migliaia 22 4 4" xfId="6274" xr:uid="{47F9FF08-FA1D-44A5-BACC-A4EAEF5B48CE}"/>
    <cellStyle name="Migliaia 22 4 4 2" xfId="33450" xr:uid="{319ADDC9-B0C3-4FA2-A89E-604E25DBC76C}"/>
    <cellStyle name="Migliaia 22 4 4 2 2" xfId="38883" xr:uid="{E97D1980-D310-4949-838E-D8222650E5A6}"/>
    <cellStyle name="Migliaia 22 4 4 2 3" xfId="44185" xr:uid="{023DE7EF-F2F6-4BBC-BB55-67AF8F3B1E74}"/>
    <cellStyle name="Migliaia 22 4 4 3" xfId="36364" xr:uid="{8EAB9E37-90C8-40E6-899C-881C6F4C0738}"/>
    <cellStyle name="Migliaia 22 4 4 4" xfId="41534" xr:uid="{7149EA2F-5370-485B-8E0B-FD146871EC06}"/>
    <cellStyle name="Migliaia 22 4 4 5" xfId="11946" xr:uid="{7D837BF6-7462-42FE-AA0E-3D3114DAB15D}"/>
    <cellStyle name="Migliaia 22 4 5" xfId="3338" xr:uid="{8B77EB63-3288-46C7-BEF2-5F1B15DA980A}"/>
    <cellStyle name="Migliaia 22 4 5 2" xfId="33451" xr:uid="{FCB1D6E7-9D11-4B7A-86DA-B52382BF877C}"/>
    <cellStyle name="Migliaia 22 4 5 2 2" xfId="38884" xr:uid="{4757A238-5CB6-43CF-A76B-45083C856911}"/>
    <cellStyle name="Migliaia 22 4 5 2 3" xfId="44186" xr:uid="{58B0B72B-3137-4BD1-B932-5604798A4A4D}"/>
    <cellStyle name="Migliaia 22 4 5 3" xfId="36365" xr:uid="{7DAB2387-95A2-4BBD-BB36-00048E40651C}"/>
    <cellStyle name="Migliaia 22 4 5 4" xfId="41535" xr:uid="{887E136B-562C-457B-93D7-6F76ADCF7A96}"/>
    <cellStyle name="Migliaia 22 4 5 5" xfId="11293" xr:uid="{3700DEBE-2CA7-4C92-BF74-D57E728A9FDC}"/>
    <cellStyle name="Migliaia 22 4 6" xfId="10805" xr:uid="{AAB454A6-6E73-4BDD-8168-8E99086CF846}"/>
    <cellStyle name="Migliaia 22 4 6 2" xfId="21440" xr:uid="{74D7F588-E31B-4E3D-A6DA-B9782CCEF13A}"/>
    <cellStyle name="Migliaia 22 4 6 2 2" xfId="38885" xr:uid="{1271C81F-9C66-49C2-A714-73B76DBA6858}"/>
    <cellStyle name="Migliaia 22 4 6 2 3" xfId="44187" xr:uid="{49AE1153-EF44-44EF-BE8A-55F622FE6914}"/>
    <cellStyle name="Migliaia 22 4 6 2 4" xfId="33452" xr:uid="{DCC9F154-1569-4906-8A7F-548077571D0A}"/>
    <cellStyle name="Migliaia 22 4 6 3" xfId="36366" xr:uid="{0B2FAA8A-D785-4C93-9E02-129F6A83D1EF}"/>
    <cellStyle name="Migliaia 22 4 6 4" xfId="41536" xr:uid="{CE57BC74-75E6-43DA-B38B-8F8424BB411B}"/>
    <cellStyle name="Migliaia 22 4 6 5" xfId="24521" xr:uid="{8881A4F9-BC68-4CE5-B3DE-DF96647BCA7E}"/>
    <cellStyle name="Migliaia 22 4 6 6" xfId="25352" xr:uid="{9C720066-D259-48CD-8D14-86CC2BD1CCA1}"/>
    <cellStyle name="Migliaia 22 4 6 7" xfId="50455" xr:uid="{3C016E9F-A540-4C62-97BF-E9B208D4C3F4}"/>
    <cellStyle name="Migliaia 22 4 6 8" xfId="53471" xr:uid="{C98761AF-29B7-48D2-8CAA-E262BDF753C2}"/>
    <cellStyle name="Migliaia 22 4 7" xfId="20127" xr:uid="{786ECA0D-1E56-4D6A-ABED-F5CB7665EB9E}"/>
    <cellStyle name="Migliaia 22 4 7 2" xfId="33453" xr:uid="{DBE12F9C-D5E2-47E0-B748-32DC8B389BEF}"/>
    <cellStyle name="Migliaia 22 4 7 2 2" xfId="38886" xr:uid="{3D0A08EF-51AA-436D-8B60-0543F149635C}"/>
    <cellStyle name="Migliaia 22 4 7 2 3" xfId="44188" xr:uid="{F394379F-0906-4D7E-AD35-5BD406F9D0F9}"/>
    <cellStyle name="Migliaia 22 4 7 3" xfId="36367" xr:uid="{4837199D-1B26-4E5E-B225-85993CD3E154}"/>
    <cellStyle name="Migliaia 22 4 7 4" xfId="41537" xr:uid="{0290F5C9-23EE-4089-9BE5-2054201F4AC0}"/>
    <cellStyle name="Migliaia 22 4 7 5" xfId="24522" xr:uid="{26ACB4E3-74A8-4E66-A473-FDC900E468B5}"/>
    <cellStyle name="Migliaia 22 4 8" xfId="24519" xr:uid="{19621A05-9327-49F4-9A04-CB0F9DD91D7F}"/>
    <cellStyle name="Migliaia 22 4 9" xfId="7378" xr:uid="{77B48FCF-6DC8-45A1-9B23-91F7DE0B11CD}"/>
    <cellStyle name="Migliaia 22 5" xfId="1730" xr:uid="{00000000-0005-0000-0000-000045030000}"/>
    <cellStyle name="Migliaia 22 5 2" xfId="5066" xr:uid="{36E440E5-3E1B-42CC-88E0-CDD0F1F9D73B}"/>
    <cellStyle name="Migliaia 22 5 2 2" xfId="18406" xr:uid="{DB741C70-4AC3-4C0F-BD5F-7392CD021AD8}"/>
    <cellStyle name="Migliaia 22 5 2 2 2" xfId="38887" xr:uid="{DFA0BE25-91DF-4042-A2D7-8A8C9DB58256}"/>
    <cellStyle name="Migliaia 22 5 2 2 3" xfId="44189" xr:uid="{300DE76B-5844-44A8-866C-64E8D6156B46}"/>
    <cellStyle name="Migliaia 22 5 2 3" xfId="20130" xr:uid="{A9C916E0-7791-4917-A844-ACC5ECFE6BBD}"/>
    <cellStyle name="Migliaia 22 5 2 3 2" xfId="36368" xr:uid="{C49A26B1-11D9-4B5D-AB62-3F1ECF85F260}"/>
    <cellStyle name="Migliaia 22 5 2 4" xfId="41538" xr:uid="{4BABF91E-3634-41AE-BE63-5631E5AA21C9}"/>
    <cellStyle name="Migliaia 22 5 2 5" xfId="16230" xr:uid="{C8CD340A-A379-42AE-B6A0-320ADA532BE9}"/>
    <cellStyle name="Migliaia 22 5 2 6" xfId="8569" xr:uid="{5206B4D9-2A25-45F4-9C83-67404C15F540}"/>
    <cellStyle name="Migliaia 22 5 3" xfId="6275" xr:uid="{C084079A-C597-4A0A-B8E7-4F3318863CD7}"/>
    <cellStyle name="Migliaia 22 5 3 2" xfId="33454" xr:uid="{B63DD59A-BA88-4EF7-BDCA-DB1CB5C1E9B9}"/>
    <cellStyle name="Migliaia 22 5 3 2 2" xfId="38888" xr:uid="{720A8297-A1EE-403F-B98F-91E525FAC0EF}"/>
    <cellStyle name="Migliaia 22 5 3 2 3" xfId="44190" xr:uid="{3778907B-4DD2-4AE6-8B6A-17E75AA370C1}"/>
    <cellStyle name="Migliaia 22 5 3 3" xfId="36369" xr:uid="{F33D7F45-7D8B-41B1-A865-EAB7B7904049}"/>
    <cellStyle name="Migliaia 22 5 3 4" xfId="41539" xr:uid="{F6F0774E-2670-4577-823E-2EC3F67C3A16}"/>
    <cellStyle name="Migliaia 22 5 3 5" xfId="11295" xr:uid="{72D93E77-82FB-4605-B59B-21F8D345331D}"/>
    <cellStyle name="Migliaia 22 5 4" xfId="3340" xr:uid="{84F467B0-780A-4649-8980-E1A6A4B33600}"/>
    <cellStyle name="Migliaia 22 5 4 2" xfId="21442" xr:uid="{4ECEB516-16A0-48C5-82C5-5D78906AAFA6}"/>
    <cellStyle name="Migliaia 22 5 4 2 2" xfId="38889" xr:uid="{8AC5508D-C214-4617-932E-7B9EF11B2FE5}"/>
    <cellStyle name="Migliaia 22 5 4 2 3" xfId="44191" xr:uid="{76AB80DC-7180-49E4-9C3C-0179CFFB18D2}"/>
    <cellStyle name="Migliaia 22 5 4 2 4" xfId="33455" xr:uid="{EB94A5B4-8AF0-430E-9C1B-B6E79F218CB9}"/>
    <cellStyle name="Migliaia 22 5 4 3" xfId="36370" xr:uid="{0390854C-E4FC-4D0B-A49E-3D26A4D3BC78}"/>
    <cellStyle name="Migliaia 22 5 4 4" xfId="41540" xr:uid="{4CA0E2B9-E6B2-455A-8DD6-EAF969DB1444}"/>
    <cellStyle name="Migliaia 22 5 4 5" xfId="24524" xr:uid="{D2295129-52C4-4338-85D7-104046C30898}"/>
    <cellStyle name="Migliaia 22 5 4 6" xfId="46643" xr:uid="{358FB16A-0ECF-4FAE-AFC3-291B67384DD8}"/>
    <cellStyle name="Migliaia 22 5 4 7" xfId="50457" xr:uid="{C3CD74DC-94A4-49E4-8C68-47073542FB77}"/>
    <cellStyle name="Migliaia 22 5 4 8" xfId="53473" xr:uid="{D852783C-1C6C-4D3A-85B6-1CE7091A395F}"/>
    <cellStyle name="Migliaia 22 5 4 9" xfId="10807" xr:uid="{3590AC93-6732-4593-A04F-F7614A7AF748}"/>
    <cellStyle name="Migliaia 22 5 5" xfId="20129" xr:uid="{94DB0E1F-F171-436D-9142-53EADFB67554}"/>
    <cellStyle name="Migliaia 22 5 5 2" xfId="33456" xr:uid="{D380A10C-CA60-41B1-9DD8-CC5C9FDBDCB5}"/>
    <cellStyle name="Migliaia 22 5 5 2 2" xfId="38890" xr:uid="{AEF5DDDF-84BB-4E25-B6FF-7168DFDE6EC6}"/>
    <cellStyle name="Migliaia 22 5 5 2 3" xfId="44192" xr:uid="{FAB69388-A9B7-4382-890D-817676F9275C}"/>
    <cellStyle name="Migliaia 22 5 5 3" xfId="36371" xr:uid="{9D5B19E8-C660-4E9F-8FD4-5C9D8F2F6F8C}"/>
    <cellStyle name="Migliaia 22 5 5 4" xfId="41541" xr:uid="{F25741FD-55CC-4539-93E0-6308F2E13B0D}"/>
    <cellStyle name="Migliaia 22 5 5 5" xfId="24525" xr:uid="{9B3419BC-235D-4D8C-BFEC-A7EF1809C72C}"/>
    <cellStyle name="Migliaia 22 5 6" xfId="24526" xr:uid="{E690318B-6F17-41EA-98E5-85C872F9125D}"/>
    <cellStyle name="Migliaia 22 5 6 2" xfId="33457" xr:uid="{66A2D68F-93D9-4C65-A57C-5A9A0DA890B7}"/>
    <cellStyle name="Migliaia 22 5 6 2 2" xfId="38891" xr:uid="{300A6F69-3167-4F5F-BB4E-F0DA2724E240}"/>
    <cellStyle name="Migliaia 22 5 6 2 3" xfId="44193" xr:uid="{FBDC7D54-71D7-4F7A-8F62-81E89E58044A}"/>
    <cellStyle name="Migliaia 22 5 6 3" xfId="36372" xr:uid="{B34ED716-AE6F-4D42-8D4C-562C97BF126D}"/>
    <cellStyle name="Migliaia 22 5 6 4" xfId="41542" xr:uid="{AA4DA30B-8209-4C13-A4DC-93D5E2FA8A8D}"/>
    <cellStyle name="Migliaia 22 5 7" xfId="24523" xr:uid="{20BBCAB8-A0BE-4493-B6B4-37F6C91E9CF3}"/>
    <cellStyle name="Migliaia 22 5 8" xfId="7379" xr:uid="{3E3497A4-B11D-438E-85F7-C8BB245263B8}"/>
    <cellStyle name="Migliaia 22 6" xfId="3341" xr:uid="{91A0C010-520E-4D84-A5AF-3DCDFAE8AC41}"/>
    <cellStyle name="Migliaia 22 6 2" xfId="5067" xr:uid="{1D065E4B-B94D-4C7A-8983-E2FCEECD527B}"/>
    <cellStyle name="Migliaia 22 6 2 2" xfId="9909" xr:uid="{DD5551DC-891B-4A1E-9C5F-98906F2957BA}"/>
    <cellStyle name="Migliaia 22 6 2 3" xfId="18666" xr:uid="{8F3CEDB1-C6AE-4C69-BEC1-6A30F96B3C8C}"/>
    <cellStyle name="Migliaia 22 6 2 4" xfId="20132" xr:uid="{14A348C2-D798-4038-BCA6-6B6C64722B4B}"/>
    <cellStyle name="Migliaia 22 6 2 5" xfId="32343" xr:uid="{6A7F6FDC-30F5-4863-B1AB-8A4463A243BF}"/>
    <cellStyle name="Migliaia 22 6 2 6" xfId="16232" xr:uid="{1693ADDA-B3B8-4AA2-A9B5-561EECA9A83D}"/>
    <cellStyle name="Migliaia 22 6 2 7" xfId="8564" xr:uid="{816025E1-A341-4F7C-A099-310FDAE5FF68}"/>
    <cellStyle name="Migliaia 22 6 3" xfId="6276" xr:uid="{C1758B73-E2CD-4062-A508-CE35916F50CF}"/>
    <cellStyle name="Migliaia 22 6 3 2" xfId="35225" xr:uid="{E639A2EA-FB3E-4C92-99F1-190F5844B43C}"/>
    <cellStyle name="Migliaia 22 6 3 2 2" xfId="40385" xr:uid="{316D4F2B-D2C2-4910-BB29-405021F9C6A3}"/>
    <cellStyle name="Migliaia 22 6 3 2 3" xfId="45687" xr:uid="{2502692A-7E8B-47D7-9F81-FC9F0709E3CA}"/>
    <cellStyle name="Migliaia 22 6 3 3" xfId="37734" xr:uid="{39D4A44D-931F-4DAD-8EEF-304DE91CAD52}"/>
    <cellStyle name="Migliaia 22 6 3 4" xfId="43036" xr:uid="{28023B60-9685-4DA7-9E7F-1590C9FD4535}"/>
    <cellStyle name="Migliaia 22 6 3 5" xfId="9672" xr:uid="{A100D153-9698-456B-A635-E15154739358}"/>
    <cellStyle name="Migliaia 22 6 4" xfId="20131" xr:uid="{0E2D0C9F-2906-4247-9E53-3E14F8E332B1}"/>
    <cellStyle name="Migliaia 22 6 4 2" xfId="38892" xr:uid="{EC138E83-11F2-4AD4-91AC-15A371BAAE0B}"/>
    <cellStyle name="Migliaia 22 6 4 3" xfId="44194" xr:uid="{49DF875F-8F08-4D6D-8732-863CFFBAB50C}"/>
    <cellStyle name="Migliaia 22 6 4 4" xfId="33458" xr:uid="{3A178F5B-D750-4729-B34F-52200424D71A}"/>
    <cellStyle name="Migliaia 22 6 5" xfId="36373" xr:uid="{6FAF89DF-A0F3-44A7-9BAB-B6D9FA97F8A0}"/>
    <cellStyle name="Migliaia 22 6 6" xfId="41543" xr:uid="{B39E0D2D-99A1-4596-8280-0E5BFF354E54}"/>
    <cellStyle name="Migliaia 22 6 7" xfId="16231" xr:uid="{F6A5D34B-E89A-4781-8686-4FD31737B8E6}"/>
    <cellStyle name="Migliaia 22 6 8" xfId="7374" xr:uid="{11035187-3D3A-4AD9-9B0F-AF720B034894}"/>
    <cellStyle name="Migliaia 22 7" xfId="3342" xr:uid="{2C30C323-2657-44DD-A4C3-38AF9C3F3DFA}"/>
    <cellStyle name="Migliaia 22 7 2" xfId="5068" xr:uid="{841389E4-48BE-406D-BAF0-91D7F513CA3D}"/>
    <cellStyle name="Migliaia 22 7 2 2" xfId="35226" xr:uid="{AE403DBF-32C3-4C33-93EC-DC9894764107}"/>
    <cellStyle name="Migliaia 22 7 2 2 2" xfId="40386" xr:uid="{F698E40B-3AD4-4773-8DB9-60E179BA36DE}"/>
    <cellStyle name="Migliaia 22 7 2 2 3" xfId="45688" xr:uid="{4542764F-B67E-414D-8D2E-1BAB95FDD873}"/>
    <cellStyle name="Migliaia 22 7 2 3" xfId="37735" xr:uid="{BD92ED35-B89C-4C78-95B3-3B3C80FE877D}"/>
    <cellStyle name="Migliaia 22 7 2 4" xfId="43037" xr:uid="{FA86010E-3394-48AB-9BD0-0D9AB386547F}"/>
    <cellStyle name="Migliaia 22 7 2 5" xfId="14221" xr:uid="{91C5DF92-06E0-47CD-956A-D0696F085EA3}"/>
    <cellStyle name="Migliaia 22 7 3" xfId="6277" xr:uid="{EB1DF051-CB3A-47F3-AAEE-4A5B1CE81A3B}"/>
    <cellStyle name="Migliaia 22 7 3 2" xfId="38893" xr:uid="{4BE363B2-E578-4FFC-9151-1C4263C6C473}"/>
    <cellStyle name="Migliaia 22 7 3 3" xfId="44195" xr:uid="{444E6AD8-D82B-42AB-BB38-C551D165464F}"/>
    <cellStyle name="Migliaia 22 7 3 4" xfId="33459" xr:uid="{F22A523F-601C-44E1-9BD4-59AF4E017994}"/>
    <cellStyle name="Migliaia 22 7 3 5" xfId="20133" xr:uid="{8D11A1D2-847E-4188-B212-DADC225F46A9}"/>
    <cellStyle name="Migliaia 22 7 4" xfId="36374" xr:uid="{0FE94E2B-27B0-4E33-9BCA-6E114E8AD7E9}"/>
    <cellStyle name="Migliaia 22 7 5" xfId="41544" xr:uid="{E5616E48-EA51-43E7-A5BC-24EFB8735B90}"/>
    <cellStyle name="Migliaia 22 7 6" xfId="16233" xr:uid="{D4AD568F-C51F-4EB9-8170-0843006C0EA4}"/>
    <cellStyle name="Migliaia 22 7 7" xfId="8283" xr:uid="{7D1AB9FD-5522-4B41-BC46-333DF940A1F9}"/>
    <cellStyle name="Migliaia 22 8" xfId="3343" xr:uid="{31520409-7D59-4108-B5BF-8C44E5F65887}"/>
    <cellStyle name="Migliaia 22 8 2" xfId="5069" xr:uid="{574A1607-C19D-4AB2-BE0D-7686258B5523}"/>
    <cellStyle name="Migliaia 22 8 2 2" xfId="35227" xr:uid="{DB11C3B3-EE37-45F1-989B-DEAC16A53F5C}"/>
    <cellStyle name="Migliaia 22 8 2 2 2" xfId="40387" xr:uid="{CE4C4299-3E17-465A-A276-9023B5A68158}"/>
    <cellStyle name="Migliaia 22 8 2 2 3" xfId="45689" xr:uid="{3B71CC08-7017-4611-BEB4-EC61B33B715D}"/>
    <cellStyle name="Migliaia 22 8 2 3" xfId="37736" xr:uid="{9F40857F-72A9-4CB8-A7EB-2235F8D59F2B}"/>
    <cellStyle name="Migliaia 22 8 2 4" xfId="43038" xr:uid="{75203089-43B6-407C-83A6-7DCE3767FEDC}"/>
    <cellStyle name="Migliaia 22 8 2 5" xfId="13926" xr:uid="{C0F378BA-845A-49A2-8FDA-24C01138F524}"/>
    <cellStyle name="Migliaia 22 8 3" xfId="6278" xr:uid="{A1700A42-F812-47AD-887C-5662246578E9}"/>
    <cellStyle name="Migliaia 22 8 3 2" xfId="38894" xr:uid="{8904F46E-93C0-42D3-B19F-6207928B43A4}"/>
    <cellStyle name="Migliaia 22 8 3 3" xfId="44196" xr:uid="{3D8008BF-5C60-4173-887D-3F203DF4FF18}"/>
    <cellStyle name="Migliaia 22 8 3 4" xfId="33460" xr:uid="{8A1E5C81-CDF3-463D-B15E-AF9460E82C8E}"/>
    <cellStyle name="Migliaia 22 8 3 5" xfId="20134" xr:uid="{C9B38DF6-DEFF-4703-9CC6-E123767F920C}"/>
    <cellStyle name="Migliaia 22 8 4" xfId="36375" xr:uid="{05568236-E346-4BF7-9D9C-D4292596C76A}"/>
    <cellStyle name="Migliaia 22 8 5" xfId="41545" xr:uid="{BB49B3CC-4FCF-4A4A-8314-58288C85E26E}"/>
    <cellStyle name="Migliaia 22 8 6" xfId="16234" xr:uid="{79DFEEFD-9C70-431B-B319-4D1D731F33D1}"/>
    <cellStyle name="Migliaia 22 8 7" xfId="7878" xr:uid="{D8A31864-DA8C-4C63-8B7C-C9EFDDE5F558}"/>
    <cellStyle name="Migliaia 22 9" xfId="5054" xr:uid="{68044B97-E450-4CC2-B538-EC4DF42B5C0A}"/>
    <cellStyle name="Migliaia 22 9 2" xfId="33461" xr:uid="{AC3E8D71-7EA6-445D-A76F-B1BD506671B7}"/>
    <cellStyle name="Migliaia 22 9 2 2" xfId="38895" xr:uid="{47B2A74E-61E0-4FAA-9AF7-8AC51EF5AEA1}"/>
    <cellStyle name="Migliaia 22 9 2 3" xfId="44197" xr:uid="{822DF026-F07C-4180-8C86-1AC0A4D48CFB}"/>
    <cellStyle name="Migliaia 22 9 3" xfId="36376" xr:uid="{56359045-0574-4104-91E7-A2DEC4B08DC5}"/>
    <cellStyle name="Migliaia 22 9 4" xfId="41546" xr:uid="{73A28618-AB4D-445F-86F6-44E71AB6DCE4}"/>
    <cellStyle name="Migliaia 22 9 5" xfId="17163" xr:uid="{18EFFFC2-332E-4787-B694-6A424822D4DC}"/>
    <cellStyle name="Migliaia 23" xfId="361" xr:uid="{00000000-0005-0000-0000-000046030000}"/>
    <cellStyle name="Migliaia 23 10" xfId="6279" xr:uid="{74AD1F8B-9AE5-420F-B737-B84FF838142C}"/>
    <cellStyle name="Migliaia 23 10 2" xfId="38896" xr:uid="{B96354D4-BBB6-48F2-A559-291BF5AA1678}"/>
    <cellStyle name="Migliaia 23 10 3" xfId="44198" xr:uid="{16F9C210-A15E-4032-B657-EC1336510898}"/>
    <cellStyle name="Migliaia 23 10 4" xfId="33462" xr:uid="{FBFE8DDD-4972-4B12-8131-24B9E9A96AB3}"/>
    <cellStyle name="Migliaia 23 10 5" xfId="20135" xr:uid="{DBE18D5C-310E-4ECE-A11A-D54B52E09C73}"/>
    <cellStyle name="Migliaia 23 11" xfId="3344" xr:uid="{8395800A-CAA4-4D67-9F53-6F2E880EFCE3}"/>
    <cellStyle name="Migliaia 23 11 2" xfId="36377" xr:uid="{2C359F89-89F6-4A4E-B14C-BB2E9C0936FA}"/>
    <cellStyle name="Migliaia 23 12" xfId="41547" xr:uid="{2E07641A-634D-4920-BA0C-D23C722BDA46}"/>
    <cellStyle name="Migliaia 23 13" xfId="7087" xr:uid="{6C942A74-DA8B-4BA6-BB59-D6587F7B2D8E}"/>
    <cellStyle name="Migliaia 23 2" xfId="362" xr:uid="{00000000-0005-0000-0000-000047030000}"/>
    <cellStyle name="Migliaia 23 2 2" xfId="1731" xr:uid="{00000000-0005-0000-0000-000048030000}"/>
    <cellStyle name="Migliaia 23 2 2 2" xfId="5072" xr:uid="{140672B1-8B70-45A1-A328-9AE47E3F1EBD}"/>
    <cellStyle name="Migliaia 23 2 2 2 2" xfId="14378" xr:uid="{E3DA639B-0F8F-406C-8359-E83339419BA9}"/>
    <cellStyle name="Migliaia 23 2 2 2 2 2" xfId="38897" xr:uid="{363AE95C-E04E-4351-A2A3-7CC1A010F9AA}"/>
    <cellStyle name="Migliaia 23 2 2 2 2 3" xfId="44199" xr:uid="{3690AE0B-1E48-444E-B25D-318796D5BF44}"/>
    <cellStyle name="Migliaia 23 2 2 2 3" xfId="18407" xr:uid="{ADB8C956-C31D-49E3-95E9-753AB1689241}"/>
    <cellStyle name="Migliaia 23 2 2 2 4" xfId="20138" xr:uid="{403E3E91-832D-4855-8952-819902D00B44}"/>
    <cellStyle name="Migliaia 23 2 2 2 4 2" xfId="41548" xr:uid="{B9AF788A-4F65-41B4-AB4C-05476E73CBB7}"/>
    <cellStyle name="Migliaia 23 2 2 2 5" xfId="16235" xr:uid="{4D322C45-C846-451D-8C3E-64A0064992EA}"/>
    <cellStyle name="Migliaia 23 2 2 2 6" xfId="8571" xr:uid="{638A2722-8FC9-4F5C-BE63-7553A03E6742}"/>
    <cellStyle name="Migliaia 23 2 2 3" xfId="6281" xr:uid="{66F6422B-0090-4D72-A1CC-1A103822939F}"/>
    <cellStyle name="Migliaia 23 2 2 3 2" xfId="35228" xr:uid="{D8A50027-769D-44BA-96DA-46D18391AC89}"/>
    <cellStyle name="Migliaia 23 2 2 3 2 2" xfId="40388" xr:uid="{D382F804-732B-40E8-8639-2B5BCC0448A8}"/>
    <cellStyle name="Migliaia 23 2 2 3 2 3" xfId="45690" xr:uid="{6A9454B4-B4B9-4CA9-B3E7-DC7D1D625693}"/>
    <cellStyle name="Migliaia 23 2 2 3 3" xfId="37737" xr:uid="{8179540C-AA57-4C95-B332-88B97B494D8B}"/>
    <cellStyle name="Migliaia 23 2 2 3 4" xfId="43039" xr:uid="{8445AD90-61C8-4F28-9ED0-39CDA9D85127}"/>
    <cellStyle name="Migliaia 23 2 2 3 5" xfId="11605" xr:uid="{E3553D5C-302B-48A2-BA83-230410807D79}"/>
    <cellStyle name="Migliaia 23 2 2 4" xfId="3346" xr:uid="{14E636B9-7E4D-48A5-BA77-254685C43443}"/>
    <cellStyle name="Migliaia 23 2 2 4 2" xfId="21443" xr:uid="{2D88168E-4D07-4055-A438-1F41A5E153A9}"/>
    <cellStyle name="Migliaia 23 2 2 4 3" xfId="47032" xr:uid="{6603A2BF-CF41-41B1-9174-3CB03FE4577D}"/>
    <cellStyle name="Migliaia 23 2 2 4 4" xfId="50458" xr:uid="{5E0B38DF-92D9-4C00-B0ED-48399CB3D67E}"/>
    <cellStyle name="Migliaia 23 2 2 4 5" xfId="53474" xr:uid="{474869C3-85F3-460B-909E-92442F46287A}"/>
    <cellStyle name="Migliaia 23 2 2 4 6" xfId="10808" xr:uid="{6FA9863F-65F9-4EF1-907C-0222AA9930A7}"/>
    <cellStyle name="Migliaia 23 2 2 5" xfId="20137" xr:uid="{24765071-607B-475A-96A0-745DB86DF4A7}"/>
    <cellStyle name="Migliaia 23 2 2 6" xfId="24530" xr:uid="{1F995F48-BE99-4CAA-81FC-B4FE299F443E}"/>
    <cellStyle name="Migliaia 23 2 2 7" xfId="7381" xr:uid="{C0D4633C-CD88-49AA-BA4B-35C4FDF1CEE3}"/>
    <cellStyle name="Migliaia 23 2 3" xfId="3347" xr:uid="{D019C600-8175-48BC-AA3F-2EFC42B43625}"/>
    <cellStyle name="Migliaia 23 2 3 2" xfId="5073" xr:uid="{71A45631-E4EF-4DE4-89F0-5746738C5082}"/>
    <cellStyle name="Migliaia 23 2 3 2 2" xfId="35229" xr:uid="{AE5F5445-230D-4B78-A597-3FAE8286B2B0}"/>
    <cellStyle name="Migliaia 23 2 3 2 2 2" xfId="40389" xr:uid="{62EAFF4E-A50A-4D63-9AB9-AED4497D6711}"/>
    <cellStyle name="Migliaia 23 2 3 2 2 3" xfId="45691" xr:uid="{3A2EC01B-30B0-4589-A4F8-917F86C65109}"/>
    <cellStyle name="Migliaia 23 2 3 2 3" xfId="37738" xr:uid="{DEEA6F77-7F67-4667-BEA9-4DAD4B2FA53D}"/>
    <cellStyle name="Migliaia 23 2 3 2 4" xfId="43040" xr:uid="{222510A4-6756-4D9E-9FAE-15EC2644A0CE}"/>
    <cellStyle name="Migliaia 23 2 3 2 5" xfId="14225" xr:uid="{9E3463E6-9641-45BB-872A-B4195CF3006A}"/>
    <cellStyle name="Migliaia 23 2 3 3" xfId="6282" xr:uid="{28B20B3B-2E7A-437B-A7C7-4E8EDE4FCC8A}"/>
    <cellStyle name="Migliaia 23 2 3 3 2" xfId="38898" xr:uid="{98DDBACC-5A44-49DF-860A-2E56D61FD68D}"/>
    <cellStyle name="Migliaia 23 2 3 3 3" xfId="44200" xr:uid="{9A7F0E27-98AF-4E5E-A975-04BB7CB83B7D}"/>
    <cellStyle name="Migliaia 23 2 3 3 4" xfId="33463" xr:uid="{0BF1A402-4194-468F-95F2-2EEE8915C805}"/>
    <cellStyle name="Migliaia 23 2 3 3 5" xfId="20139" xr:uid="{D1021190-6FB5-4887-B65D-F6EC8CD3597D}"/>
    <cellStyle name="Migliaia 23 2 3 4" xfId="36378" xr:uid="{D9E24BDE-BAF0-4570-9F5D-0652D85523C6}"/>
    <cellStyle name="Migliaia 23 2 3 5" xfId="41549" xr:uid="{2907E6EE-DAC5-46D9-84D8-E41660DD2044}"/>
    <cellStyle name="Migliaia 23 2 3 6" xfId="16236" xr:uid="{739358C1-6EE4-47EF-8F7B-C4A76A7D7961}"/>
    <cellStyle name="Migliaia 23 2 3 7" xfId="8287" xr:uid="{51A5B017-A37A-4285-81A2-C669C9B0190D}"/>
    <cellStyle name="Migliaia 23 2 4" xfId="5071" xr:uid="{637316DE-4845-4471-B463-CA2AA79D796E}"/>
    <cellStyle name="Migliaia 23 2 4 2" xfId="13930" xr:uid="{9C5849FE-4E55-465B-BB7C-14216D641F72}"/>
    <cellStyle name="Migliaia 23 2 4 2 2" xfId="38899" xr:uid="{3C88705C-AFAF-458A-92D5-B075EF3AC236}"/>
    <cellStyle name="Migliaia 23 2 4 2 3" xfId="44201" xr:uid="{09477B20-34EA-4E30-9F47-F9D7AC3B8375}"/>
    <cellStyle name="Migliaia 23 2 4 3" xfId="18016" xr:uid="{562261D3-B096-451D-8E33-FD5D8127E074}"/>
    <cellStyle name="Migliaia 23 2 4 4" xfId="20140" xr:uid="{97720E5B-F840-45C4-88F0-C6A0B9436327}"/>
    <cellStyle name="Migliaia 23 2 4 4 2" xfId="41550" xr:uid="{083ABBD9-6BF7-4A3E-86FB-A4C7027CA2B9}"/>
    <cellStyle name="Migliaia 23 2 4 5" xfId="16237" xr:uid="{74224204-0DCD-4034-AF86-9C751A55DBB9}"/>
    <cellStyle name="Migliaia 23 2 4 6" xfId="7883" xr:uid="{249655BA-A4A1-48E9-B16C-000285AE1A33}"/>
    <cellStyle name="Migliaia 23 2 5" xfId="6280" xr:uid="{861E1B12-B0E5-48FA-9ED9-161061B5D140}"/>
    <cellStyle name="Migliaia 23 2 5 2" xfId="33464" xr:uid="{394DBDC8-A2E9-4087-9297-D7164505FD84}"/>
    <cellStyle name="Migliaia 23 2 5 2 2" xfId="38900" xr:uid="{1FF7D6BE-0CB3-4F0A-9704-F9A3C711CECA}"/>
    <cellStyle name="Migliaia 23 2 5 2 3" xfId="44202" xr:uid="{B4E51B37-2606-4198-8393-AA96A355E600}"/>
    <cellStyle name="Migliaia 23 2 5 3" xfId="36380" xr:uid="{5626A190-E9B2-4093-ADB7-0968EA834E05}"/>
    <cellStyle name="Migliaia 23 2 5 4" xfId="41551" xr:uid="{0D191B08-DDC7-429C-BEAA-5B0A41E0FDD9}"/>
    <cellStyle name="Migliaia 23 2 5 5" xfId="13118" xr:uid="{9A64AE1A-74AC-4253-B9D3-72AB3787EFDC}"/>
    <cellStyle name="Migliaia 23 2 6" xfId="3345" xr:uid="{4E13C629-3A39-43B7-90A6-0C62E08C7C03}"/>
    <cellStyle name="Migliaia 23 2 6 2" xfId="33465" xr:uid="{7227D7C8-1978-4F48-BE95-CED18847FFED}"/>
    <cellStyle name="Migliaia 23 2 6 2 2" xfId="38901" xr:uid="{B9A22D47-DE3A-4FC9-96D1-DC171C710041}"/>
    <cellStyle name="Migliaia 23 2 6 2 3" xfId="44203" xr:uid="{0F498336-534D-4C92-AA0F-4A3C23EEA39A}"/>
    <cellStyle name="Migliaia 23 2 6 3" xfId="36381" xr:uid="{1BAE0690-76BF-4825-A8C3-352A6611DA73}"/>
    <cellStyle name="Migliaia 23 2 6 4" xfId="41552" xr:uid="{FCB52B48-2D5E-4596-B443-54335BF330E3}"/>
    <cellStyle name="Migliaia 23 2 6 5" xfId="24533" xr:uid="{A9F4603E-C9F1-49A4-A814-74B1D1ADE93B}"/>
    <cellStyle name="Migliaia 23 2 6 6" xfId="20136" xr:uid="{C787F21D-F2B8-4B80-A30F-B4C052E87E53}"/>
    <cellStyle name="Migliaia 23 2 7" xfId="24529" xr:uid="{351F6120-60F5-47DA-88B5-B923D2EA2E14}"/>
    <cellStyle name="Migliaia 23 2 8" xfId="7088" xr:uid="{7BD897AE-37F6-4CD1-A597-520E08FE6E48}"/>
    <cellStyle name="Migliaia 23 3" xfId="363" xr:uid="{00000000-0005-0000-0000-000049030000}"/>
    <cellStyle name="Migliaia 23 3 10" xfId="24534" xr:uid="{353F1259-BA1C-44B2-BD0D-9FC37981FA23}"/>
    <cellStyle name="Migliaia 23 3 11" xfId="16238" xr:uid="{9ABBB6DB-0B02-434D-B217-6740A52DB358}"/>
    <cellStyle name="Migliaia 23 3 12" xfId="7089" xr:uid="{98B68C64-4E2A-477B-837B-CC640C193DBE}"/>
    <cellStyle name="Migliaia 23 3 2" xfId="364" xr:uid="{00000000-0005-0000-0000-00004A030000}"/>
    <cellStyle name="Migliaia 23 3 2 2" xfId="1732" xr:uid="{00000000-0005-0000-0000-00004B030000}"/>
    <cellStyle name="Migliaia 23 3 2 2 2" xfId="5076" xr:uid="{BA084B25-51EC-4885-AB0B-019E2E4CEFB5}"/>
    <cellStyle name="Migliaia 23 3 2 2 2 2" xfId="18408" xr:uid="{6E48BC4C-A6F4-4397-AF7A-FCF0920F5E97}"/>
    <cellStyle name="Migliaia 23 3 2 2 2 2 2" xfId="21856" xr:uid="{F95CF0EF-D0F2-4153-894D-18C9DE328CAD}"/>
    <cellStyle name="Migliaia 23 3 2 2 2 2 2 2" xfId="38902" xr:uid="{BB94E0F2-00BA-4C16-8FCC-BD804B5E59FE}"/>
    <cellStyle name="Migliaia 23 3 2 2 2 2 3" xfId="44204" xr:uid="{03E0C8D0-3C40-4F5E-BFDA-96BF42D0A8CF}"/>
    <cellStyle name="Migliaia 23 3 2 2 2 2 4" xfId="33466" xr:uid="{21878DB8-0D65-48CD-AEF7-8C372E837683}"/>
    <cellStyle name="Migliaia 23 3 2 2 2 3" xfId="36382" xr:uid="{792CD56B-DDD0-426B-8D65-58208126C695}"/>
    <cellStyle name="Migliaia 23 3 2 2 2 4" xfId="41553" xr:uid="{6110767A-9D69-452D-B22C-CC5B961D8352}"/>
    <cellStyle name="Migliaia 23 3 2 2 2 5" xfId="47815" xr:uid="{F9D84151-FEAF-44D3-AA20-6B648377C693}"/>
    <cellStyle name="Migliaia 23 3 2 2 2 6" xfId="50884" xr:uid="{28769605-FFDD-42F0-BD40-5F7FFA9F967F}"/>
    <cellStyle name="Migliaia 23 3 2 2 2 7" xfId="53900" xr:uid="{1A40EC16-63E7-4298-A9A3-2220D01BF20D}"/>
    <cellStyle name="Migliaia 23 3 2 2 2 8" xfId="17653" xr:uid="{EA224084-770D-4EA2-90F9-90555D92ECB4}"/>
    <cellStyle name="Migliaia 23 3 2 2 2 9" xfId="11947" xr:uid="{AF092060-F860-4815-8329-A60B88DDF500}"/>
    <cellStyle name="Migliaia 23 3 2 2 3" xfId="6285" xr:uid="{39D1E4DD-EAEA-468A-959A-C71B912FBA67}"/>
    <cellStyle name="Migliaia 23 3 2 2 3 2" xfId="11137" xr:uid="{DC2075AC-2FC2-4C53-91EC-0918EEF7D9DE}"/>
    <cellStyle name="Migliaia 23 3 2 2 4" xfId="3350" xr:uid="{5DA15E8D-B939-403D-91B6-DB452A56D7F6}"/>
    <cellStyle name="Migliaia 23 3 2 2 4 2" xfId="21444" xr:uid="{D78A13F8-DC24-4035-9A54-59A4875BA38B}"/>
    <cellStyle name="Migliaia 23 3 2 2 4 3" xfId="47407" xr:uid="{3F5AEF21-BC61-4F7C-8A5B-DC06F3B7C247}"/>
    <cellStyle name="Migliaia 23 3 2 2 4 4" xfId="50459" xr:uid="{36921008-FEE2-400B-88E2-FF2ED7D85C20}"/>
    <cellStyle name="Migliaia 23 3 2 2 4 5" xfId="53475" xr:uid="{911E92FA-4982-4D77-A05D-C019CC883F41}"/>
    <cellStyle name="Migliaia 23 3 2 2 4 6" xfId="10809" xr:uid="{B9A377B8-6019-407A-BCA0-3814EF351992}"/>
    <cellStyle name="Migliaia 23 3 2 2 5" xfId="20143" xr:uid="{27B0ABB1-3144-4A0A-B040-8D87B84E65F8}"/>
    <cellStyle name="Migliaia 23 3 2 2 6" xfId="24536" xr:uid="{A18EA77A-6164-4E6A-820E-4E74AC56F759}"/>
    <cellStyle name="Migliaia 23 3 2 2 7" xfId="8573" xr:uid="{28A23733-2B8A-4D2B-BDB1-0768E1E8925C}"/>
    <cellStyle name="Migliaia 23 3 2 3" xfId="5075" xr:uid="{0C257D61-29E7-420D-94D6-2540219B3090}"/>
    <cellStyle name="Migliaia 23 3 2 3 2" xfId="12417" xr:uid="{4290F138-3EB2-417B-9854-495AFF892BB4}"/>
    <cellStyle name="Migliaia 23 3 2 3 2 2" xfId="38903" xr:uid="{E08F7E3A-776C-4AC8-AE0E-171B6665435B}"/>
    <cellStyle name="Migliaia 23 3 2 3 2 3" xfId="44205" xr:uid="{BB3E98D7-7F8F-4FE2-A401-278312E1D515}"/>
    <cellStyle name="Migliaia 23 3 2 3 2 4" xfId="33467" xr:uid="{65523C03-940B-4FCC-B8C2-EBB069912FBF}"/>
    <cellStyle name="Migliaia 23 3 2 3 3" xfId="11948" xr:uid="{6233FB40-8DC0-49F2-B31C-7B336FA77A4F}"/>
    <cellStyle name="Migliaia 23 3 2 3 4" xfId="20144" xr:uid="{9DD8E0ED-0497-4790-9E12-C1871A4EEC22}"/>
    <cellStyle name="Migliaia 23 3 2 3 4 2" xfId="41554" xr:uid="{47682248-AA7F-44AD-838D-77BD85DFCD17}"/>
    <cellStyle name="Migliaia 23 3 2 3 5" xfId="16239" xr:uid="{F5733F74-08CD-4B68-ADE1-B32BD4B7B9C4}"/>
    <cellStyle name="Migliaia 23 3 2 3 6" xfId="7885" xr:uid="{9B78FF29-D193-4FB6-8E4C-6AA1D3B897F3}"/>
    <cellStyle name="Migliaia 23 3 2 4" xfId="6284" xr:uid="{7F3BE6ED-4F6D-4FB9-9D01-188E6708AA8F}"/>
    <cellStyle name="Migliaia 23 3 2 4 2" xfId="18072" xr:uid="{FE93D435-08D8-42DA-A2FF-3EA43040E239}"/>
    <cellStyle name="Migliaia 23 3 2 4 2 2" xfId="38904" xr:uid="{2D2B16B3-E4B5-42B3-ABD8-100CE41EA0EF}"/>
    <cellStyle name="Migliaia 23 3 2 4 2 3" xfId="44206" xr:uid="{AC6E54A8-4693-4515-8FC5-838A63E623F8}"/>
    <cellStyle name="Migliaia 23 3 2 4 3" xfId="36384" xr:uid="{0AC57D98-8095-4EBB-84B2-02956239B4B5}"/>
    <cellStyle name="Migliaia 23 3 2 4 4" xfId="41555" xr:uid="{1A85B5A5-43FC-4B33-BC69-799C47224451}"/>
    <cellStyle name="Migliaia 23 3 2 4 5" xfId="17166" xr:uid="{137325D2-CB18-48C9-9A78-CDB84CC0DA5D}"/>
    <cellStyle name="Migliaia 23 3 2 4 6" xfId="11296" xr:uid="{6731B431-FA1A-4EF8-BD44-55B48C71876B}"/>
    <cellStyle name="Migliaia 23 3 2 5" xfId="3349" xr:uid="{4B87460B-46FB-4422-BC67-B5A570986A90}"/>
    <cellStyle name="Migliaia 23 3 2 5 2" xfId="33468" xr:uid="{817F1E1E-F846-4E2F-8266-10BA9A092928}"/>
    <cellStyle name="Migliaia 23 3 2 5 2 2" xfId="38905" xr:uid="{9568912B-B210-4581-9297-75589F5CE330}"/>
    <cellStyle name="Migliaia 23 3 2 5 2 3" xfId="44207" xr:uid="{18B765ED-94F2-4B41-9ADF-E113C4E07954}"/>
    <cellStyle name="Migliaia 23 3 2 5 3" xfId="36385" xr:uid="{8601D11F-BA9F-4B19-BFBA-BA35F61B9D5D}"/>
    <cellStyle name="Migliaia 23 3 2 5 4" xfId="41556" xr:uid="{3B0DD195-54B0-4526-B001-73C38F5272A7}"/>
    <cellStyle name="Migliaia 23 3 2 5 5" xfId="17381" xr:uid="{CCA0FBC3-A9FF-4382-BF09-5A0D2555C825}"/>
    <cellStyle name="Migliaia 23 3 2 6" xfId="20142" xr:uid="{17775373-5953-4B30-828C-A32FD072B04A}"/>
    <cellStyle name="Migliaia 23 3 2 6 2" xfId="33469" xr:uid="{E8D0C258-5CFB-48BE-B5C5-65A36806A837}"/>
    <cellStyle name="Migliaia 23 3 2 6 2 2" xfId="38906" xr:uid="{A42EB449-0FE5-4092-843E-6C90C69124B0}"/>
    <cellStyle name="Migliaia 23 3 2 6 2 3" xfId="44208" xr:uid="{67966FCC-09A7-44BC-8914-F28FA27A2C8F}"/>
    <cellStyle name="Migliaia 23 3 2 6 3" xfId="36386" xr:uid="{63FA442E-D998-4071-A3E4-897F91337CB5}"/>
    <cellStyle name="Migliaia 23 3 2 6 4" xfId="41557" xr:uid="{1924F74A-FECF-40C5-94D6-CA18CABAE92F}"/>
    <cellStyle name="Migliaia 23 3 2 6 5" xfId="24539" xr:uid="{E2096406-8379-4A3C-B050-9C5DDDD2CB7D}"/>
    <cellStyle name="Migliaia 23 3 2 7" xfId="24535" xr:uid="{E382E1F3-CCC9-4744-A09E-C677BB988870}"/>
    <cellStyle name="Migliaia 23 3 2 8" xfId="7383" xr:uid="{95A4D5C8-4E9F-4FB2-B93B-EEB5998FF21C}"/>
    <cellStyle name="Migliaia 23 3 3" xfId="3351" xr:uid="{F5CAA26E-513C-46AC-9506-32C3EDC4656F}"/>
    <cellStyle name="Migliaia 23 3 3 10" xfId="7382" xr:uid="{AFA01EF4-3F54-4A34-AD31-DB24CC24005F}"/>
    <cellStyle name="Migliaia 23 3 3 2" xfId="5077" xr:uid="{2FDBDC06-4C52-4D0C-A281-ECE47AABE79B}"/>
    <cellStyle name="Migliaia 23 3 3 2 2" xfId="9912" xr:uid="{3B48C6EF-35E5-45DE-8BCB-DD2B642353C1}"/>
    <cellStyle name="Migliaia 23 3 3 2 2 2" xfId="38908" xr:uid="{C9D29934-E67A-4D1F-A9BE-447A1404B7B3}"/>
    <cellStyle name="Migliaia 23 3 3 2 2 3" xfId="44210" xr:uid="{167774B3-FC60-471E-B735-209C29E88BE1}"/>
    <cellStyle name="Migliaia 23 3 3 2 3" xfId="18192" xr:uid="{96C50D04-509C-40F4-B848-DA524FB61898}"/>
    <cellStyle name="Migliaia 23 3 3 2 4" xfId="20146" xr:uid="{8E8231C9-ABAD-4110-ACCF-023426FD9FDB}"/>
    <cellStyle name="Migliaia 23 3 3 2 4 2" xfId="41559" xr:uid="{DE82CFDE-FCBA-4E07-8399-921EB7634AAF}"/>
    <cellStyle name="Migliaia 23 3 3 2 5" xfId="16241" xr:uid="{09D7A558-BF0F-481E-99AA-D2E728456F98}"/>
    <cellStyle name="Migliaia 23 3 3 2 6" xfId="8572" xr:uid="{D809A72A-759F-427C-8902-C7C39C60F995}"/>
    <cellStyle name="Migliaia 23 3 3 3" xfId="6286" xr:uid="{C0F1AC9C-9D7A-4B27-9440-3925D078DB94}"/>
    <cellStyle name="Migliaia 23 3 3 3 2" xfId="33472" xr:uid="{D950F18A-4622-4935-8A45-B2016531BC50}"/>
    <cellStyle name="Migliaia 23 3 3 3 2 2" xfId="38909" xr:uid="{93E27D2C-9372-4FB9-88C3-058EA34B78C9}"/>
    <cellStyle name="Migliaia 23 3 3 3 2 3" xfId="44211" xr:uid="{53AAAC5E-8C5A-4E44-9C0B-D074B6DDE000}"/>
    <cellStyle name="Migliaia 23 3 3 3 3" xfId="36389" xr:uid="{11026C33-7E9B-434C-A3B3-CEFB826A4D7F}"/>
    <cellStyle name="Migliaia 23 3 3 3 4" xfId="41560" xr:uid="{3F615DA7-D73E-4794-9A14-4230C4061ECF}"/>
    <cellStyle name="Migliaia 23 3 3 3 5" xfId="9675" xr:uid="{DE0C4128-8DAF-4DCC-9998-DD855E2F3249}"/>
    <cellStyle name="Migliaia 23 3 3 4" xfId="20145" xr:uid="{BDF4C30C-DFBA-497F-A66D-88AB4ED21531}"/>
    <cellStyle name="Migliaia 23 3 3 4 2" xfId="33473" xr:uid="{2C65D7BB-20FF-4279-AFCE-AC0DE6370E48}"/>
    <cellStyle name="Migliaia 23 3 3 4 2 2" xfId="38910" xr:uid="{AC270FA3-2233-4F8A-8AC9-5C1DCA0A72A8}"/>
    <cellStyle name="Migliaia 23 3 3 4 2 3" xfId="44212" xr:uid="{81335987-1862-4D02-B015-F969969B0A1D}"/>
    <cellStyle name="Migliaia 23 3 3 4 3" xfId="36390" xr:uid="{1799B195-93A5-4FBA-9D17-A312E0F4B233}"/>
    <cellStyle name="Migliaia 23 3 3 4 4" xfId="41561" xr:uid="{46928932-C483-4129-B943-E81AC75DF585}"/>
    <cellStyle name="Migliaia 23 3 3 4 5" xfId="24541" xr:uid="{7405B533-B2C8-4F75-9AF2-4BE435C9FC2F}"/>
    <cellStyle name="Migliaia 23 3 3 5" xfId="24542" xr:uid="{F5F5800E-F31C-4F7D-9F3E-6448A8693E5C}"/>
    <cellStyle name="Migliaia 23 3 3 5 2" xfId="33474" xr:uid="{0E4A1907-FA0D-4BCC-8753-4C9A06D3A5DB}"/>
    <cellStyle name="Migliaia 23 3 3 5 2 2" xfId="38911" xr:uid="{CB3E665E-3A98-476E-B575-6C13BEB8FF0C}"/>
    <cellStyle name="Migliaia 23 3 3 5 2 3" xfId="44213" xr:uid="{2CAC6CD3-AF6D-46BE-947C-41EE666089EC}"/>
    <cellStyle name="Migliaia 23 3 3 5 3" xfId="36391" xr:uid="{DBFBC08E-6099-4ABE-A6C9-6D9FF4DF8513}"/>
    <cellStyle name="Migliaia 23 3 3 5 4" xfId="41562" xr:uid="{E4B501D8-79E8-4367-B96C-CA6F848AA1F3}"/>
    <cellStyle name="Migliaia 23 3 3 6" xfId="33470" xr:uid="{B2A44ACC-06FE-4F5E-B770-1208DF055305}"/>
    <cellStyle name="Migliaia 23 3 3 6 2" xfId="38907" xr:uid="{33300161-E8A6-4CFF-B2A7-9AE2D447A17D}"/>
    <cellStyle name="Migliaia 23 3 3 6 3" xfId="44209" xr:uid="{13B79606-A4F5-4F70-8030-50671EE7E834}"/>
    <cellStyle name="Migliaia 23 3 3 7" xfId="36387" xr:uid="{A75CE6A1-AFA1-4E59-A1B5-72968315F850}"/>
    <cellStyle name="Migliaia 23 3 3 8" xfId="41558" xr:uid="{DCA0906B-3F9F-49AA-956D-079D62FFEAD3}"/>
    <cellStyle name="Migliaia 23 3 3 9" xfId="16240" xr:uid="{6B3DA995-DE38-4E4A-8861-8EEE169F13A4}"/>
    <cellStyle name="Migliaia 23 3 4" xfId="3352" xr:uid="{7EFE7FDE-044A-4497-81FE-7CE58FB92F83}"/>
    <cellStyle name="Migliaia 23 3 4 2" xfId="5078" xr:uid="{53183939-FEC7-4152-8ABA-B12E88B45479}"/>
    <cellStyle name="Migliaia 23 3 4 2 2" xfId="14438" xr:uid="{D327EB5B-F4B4-43A4-B6E7-E753AB19097C}"/>
    <cellStyle name="Migliaia 23 3 4 2 3" xfId="18587" xr:uid="{21B7B6FD-923A-49B4-B609-BC84745D8E3C}"/>
    <cellStyle name="Migliaia 23 3 4 2 4" xfId="20148" xr:uid="{2D5B9D6E-3FB2-4E6C-8FC9-7383B40C89F3}"/>
    <cellStyle name="Migliaia 23 3 4 2 5" xfId="32344" xr:uid="{59562E55-F225-44CF-B163-56790C9CBAF5}"/>
    <cellStyle name="Migliaia 23 3 4 2 6" xfId="16243" xr:uid="{B59B39E3-865B-42A8-85AC-14AE47FC556C}"/>
    <cellStyle name="Migliaia 23 3 4 2 7" xfId="8861" xr:uid="{B7B86898-3E53-4983-80A1-EF2BD6C34650}"/>
    <cellStyle name="Migliaia 23 3 4 3" xfId="6287" xr:uid="{6CC3ADB9-AFF7-44C4-AD64-5921593B8D27}"/>
    <cellStyle name="Migliaia 23 3 4 3 2" xfId="35230" xr:uid="{90C8A932-D018-41C1-9389-BE2BD5F8F1D6}"/>
    <cellStyle name="Migliaia 23 3 4 3 2 2" xfId="40390" xr:uid="{F410ED8E-950B-40B6-B901-50B6D6E53131}"/>
    <cellStyle name="Migliaia 23 3 4 3 2 3" xfId="45692" xr:uid="{2883DC40-5908-4E88-9502-0ACBEE918D47}"/>
    <cellStyle name="Migliaia 23 3 4 3 3" xfId="37739" xr:uid="{D3F4D6C7-8B5E-4071-A6B6-B8B56ABC50EE}"/>
    <cellStyle name="Migliaia 23 3 4 3 4" xfId="43041" xr:uid="{8B0B8B24-A66B-4E6D-8033-7925E38D04A1}"/>
    <cellStyle name="Migliaia 23 3 4 3 5" xfId="13686" xr:uid="{557EBDD2-AFCC-4E68-B892-BB7F30579A08}"/>
    <cellStyle name="Migliaia 23 3 4 4" xfId="20147" xr:uid="{0DFF6F87-9D10-4A34-B0D9-5DC4FBFD8063}"/>
    <cellStyle name="Migliaia 23 3 4 4 2" xfId="38912" xr:uid="{5CC688BC-5584-4560-83F8-9D5BAEAC8A65}"/>
    <cellStyle name="Migliaia 23 3 4 4 3" xfId="44214" xr:uid="{632EAA40-4E42-43AB-9586-212C55D73E59}"/>
    <cellStyle name="Migliaia 23 3 4 4 4" xfId="33475" xr:uid="{F74CC27D-11D5-42EB-93BB-67ED30339CD2}"/>
    <cellStyle name="Migliaia 23 3 4 5" xfId="36392" xr:uid="{CB296534-E1EB-44A3-BB99-9B69CC45C336}"/>
    <cellStyle name="Migliaia 23 3 4 6" xfId="41563" xr:uid="{A70D8182-0CF4-4191-BDC5-6549075729C9}"/>
    <cellStyle name="Migliaia 23 3 4 7" xfId="16242" xr:uid="{1ABC2C69-D576-43D7-8D32-E98A3E68739B}"/>
    <cellStyle name="Migliaia 23 3 4 8" xfId="7671" xr:uid="{42B63AB2-FB3F-40F3-AE44-5D1013CB7482}"/>
    <cellStyle name="Migliaia 23 3 5" xfId="3353" xr:uid="{A958D2A4-9B9E-48E3-9D2E-2CAF9C0A84B7}"/>
    <cellStyle name="Migliaia 23 3 5 2" xfId="5079" xr:uid="{0C149721-58FA-4169-9216-E3924EA86FC0}"/>
    <cellStyle name="Migliaia 23 3 5 2 2" xfId="35231" xr:uid="{CF02DE68-4C6E-4DE5-81CE-D63D7EC9C6B5}"/>
    <cellStyle name="Migliaia 23 3 5 2 2 2" xfId="40391" xr:uid="{5B12DED5-A04B-4373-937C-8B98ECBBBB66}"/>
    <cellStyle name="Migliaia 23 3 5 2 2 3" xfId="45693" xr:uid="{1125E7E9-B557-4D47-B3A1-A9844428A599}"/>
    <cellStyle name="Migliaia 23 3 5 2 3" xfId="37740" xr:uid="{EC3B22FE-092B-4E55-B2FA-C93F6ECCED33}"/>
    <cellStyle name="Migliaia 23 3 5 2 4" xfId="43042" xr:uid="{F5F2DD17-0399-4783-BFD4-9716514FCF5B}"/>
    <cellStyle name="Migliaia 23 3 5 2 5" xfId="14226" xr:uid="{2420A7D0-D287-4827-A033-6053AEC2C0FE}"/>
    <cellStyle name="Migliaia 23 3 5 3" xfId="6288" xr:uid="{4B79E509-419C-4EA7-BF9D-0B39B7822643}"/>
    <cellStyle name="Migliaia 23 3 5 3 2" xfId="38913" xr:uid="{DF173671-5A1A-4269-8140-96DB21408FF6}"/>
    <cellStyle name="Migliaia 23 3 5 3 3" xfId="44215" xr:uid="{AD8F5599-BD28-48FB-BCF9-91F94C7E4941}"/>
    <cellStyle name="Migliaia 23 3 5 3 4" xfId="33476" xr:uid="{76313403-7234-4800-9351-DBD000892ED8}"/>
    <cellStyle name="Migliaia 23 3 5 3 5" xfId="20149" xr:uid="{11377698-5C86-4D00-87A1-CB8B31A194DD}"/>
    <cellStyle name="Migliaia 23 3 5 4" xfId="36393" xr:uid="{2ACE2753-FAC0-4971-BF5F-9AF907C05179}"/>
    <cellStyle name="Migliaia 23 3 5 5" xfId="41564" xr:uid="{3A781636-510D-4A20-9C33-4F3D1C99D4A5}"/>
    <cellStyle name="Migliaia 23 3 5 6" xfId="16244" xr:uid="{7F97FC0E-33D4-4368-97C5-A33131463400}"/>
    <cellStyle name="Migliaia 23 3 5 7" xfId="8288" xr:uid="{28567E51-0A9A-4308-A482-353AD9351D11}"/>
    <cellStyle name="Migliaia 23 3 6" xfId="5074" xr:uid="{F057EA29-38A4-4EF1-B15E-64203704C2A3}"/>
    <cellStyle name="Migliaia 23 3 6 2" xfId="13931" xr:uid="{43F9A1E4-D28F-43B1-88FF-FE02BBBB44F2}"/>
    <cellStyle name="Migliaia 23 3 6 2 2" xfId="38914" xr:uid="{0A88D8AD-9F9C-456D-A291-0B3B11A75BD9}"/>
    <cellStyle name="Migliaia 23 3 6 2 3" xfId="44216" xr:uid="{01D11832-22A3-44F7-AC36-CB262E549E22}"/>
    <cellStyle name="Migliaia 23 3 6 3" xfId="18554" xr:uid="{7A3AF8B1-9D8D-40F8-86EE-818C359CCB82}"/>
    <cellStyle name="Migliaia 23 3 6 4" xfId="20150" xr:uid="{54F08AE7-85B8-424E-92DE-23AF6C3CEDAE}"/>
    <cellStyle name="Migliaia 23 3 6 4 2" xfId="41565" xr:uid="{F2324294-AAB2-49CD-AF8A-6FDF0E5CA511}"/>
    <cellStyle name="Migliaia 23 3 6 5" xfId="16245" xr:uid="{9114D398-67BF-4BD9-8D74-F2AB892EBAC7}"/>
    <cellStyle name="Migliaia 23 3 6 6" xfId="7884" xr:uid="{4C8249FF-3736-469F-A2AB-9F1083413ADD}"/>
    <cellStyle name="Migliaia 23 3 7" xfId="6283" xr:uid="{BA8DEE73-5745-4004-99FF-D64A6B96E56C}"/>
    <cellStyle name="Migliaia 23 3 7 2" xfId="33477" xr:uid="{F1329551-429F-44CF-BCA1-FF2E966D5E4C}"/>
    <cellStyle name="Migliaia 23 3 7 2 2" xfId="38915" xr:uid="{31E21344-940E-4EA9-8C1B-BA5EBBA1D6EB}"/>
    <cellStyle name="Migliaia 23 3 7 2 3" xfId="44217" xr:uid="{EA8688AD-9B1D-470B-8872-10089D1BDCD5}"/>
    <cellStyle name="Migliaia 23 3 7 3" xfId="36394" xr:uid="{0060E35A-5F1B-43EB-8312-AFC2C6D1B221}"/>
    <cellStyle name="Migliaia 23 3 7 4" xfId="41566" xr:uid="{90A30AD1-00F0-4E1D-824B-7C0AEF10FFDF}"/>
    <cellStyle name="Migliaia 23 3 7 5" xfId="12243" xr:uid="{0321D2D0-3EC5-400A-AEEC-73BE37C63478}"/>
    <cellStyle name="Migliaia 23 3 8" xfId="3348" xr:uid="{6FEDFFAB-E591-4B1F-8C25-64781607E26A}"/>
    <cellStyle name="Migliaia 23 3 8 2" xfId="33478" xr:uid="{64463837-E479-41DD-A22B-AB5E46844795}"/>
    <cellStyle name="Migliaia 23 3 8 2 2" xfId="38916" xr:uid="{AC9CE0B3-B55A-4935-8537-3CE78C484495}"/>
    <cellStyle name="Migliaia 23 3 8 2 3" xfId="44218" xr:uid="{5351411B-F547-46B2-9A1C-55AB0FA8A829}"/>
    <cellStyle name="Migliaia 23 3 8 3" xfId="36395" xr:uid="{9435CA4C-ADD6-4025-8912-1FFF4D00436E}"/>
    <cellStyle name="Migliaia 23 3 8 4" xfId="41567" xr:uid="{D6AC2AA1-72D6-482B-883A-905865D429D0}"/>
    <cellStyle name="Migliaia 23 3 8 5" xfId="24545" xr:uid="{0C6E7D36-C60A-4436-BFAA-C863FCFF86D6}"/>
    <cellStyle name="Migliaia 23 3 8 6" xfId="17382" xr:uid="{5DB6A586-21CF-4882-B3FB-D0AB3C8E886C}"/>
    <cellStyle name="Migliaia 23 3 9" xfId="20141" xr:uid="{0DA44B55-2BED-490B-B0F5-26CA9510E945}"/>
    <cellStyle name="Migliaia 23 4" xfId="1733" xr:uid="{00000000-0005-0000-0000-00004C030000}"/>
    <cellStyle name="Migliaia 23 4 2" xfId="1734" xr:uid="{00000000-0005-0000-0000-00004D030000}"/>
    <cellStyle name="Migliaia 23 4 2 2" xfId="5081" xr:uid="{8CB3B490-6F3B-4BF9-B628-644C1442076A}"/>
    <cellStyle name="Migliaia 23 4 2 2 2" xfId="33479" xr:uid="{7824A845-EA6C-433D-8464-E3A73B8E27B3}"/>
    <cellStyle name="Migliaia 23 4 2 2 2 2" xfId="38917" xr:uid="{FBCFD59A-CD32-43F2-9961-1071B1541240}"/>
    <cellStyle name="Migliaia 23 4 2 2 2 3" xfId="44219" xr:uid="{7E9AEC66-0AE1-40F8-A217-F529102C986C}"/>
    <cellStyle name="Migliaia 23 4 2 2 3" xfId="36396" xr:uid="{B49F898C-3F5B-42B2-804F-895EE9F9C5D7}"/>
    <cellStyle name="Migliaia 23 4 2 2 4" xfId="41568" xr:uid="{84C55E95-70B3-4620-A8D1-7AF4311D3CC4}"/>
    <cellStyle name="Migliaia 23 4 2 2 5" xfId="9138" xr:uid="{A08AB985-EC14-4636-BC61-74ABF6249060}"/>
    <cellStyle name="Migliaia 23 4 2 3" xfId="3355" xr:uid="{7547138C-DC09-46A4-8B79-D4DEA4501A5A}"/>
    <cellStyle name="Migliaia 23 4 2 3 2" xfId="33480" xr:uid="{9493CCB1-8905-4997-9C3F-0942DA1423C0}"/>
    <cellStyle name="Migliaia 23 4 2 3 2 2" xfId="38918" xr:uid="{E0E7B296-AF47-4FC2-8A4D-7318CAED5251}"/>
    <cellStyle name="Migliaia 23 4 2 3 2 3" xfId="44220" xr:uid="{4D77B252-391A-49ED-8187-9862AD2F365E}"/>
    <cellStyle name="Migliaia 23 4 2 3 3" xfId="36397" xr:uid="{DED3234E-5506-440F-A6AE-A9720C991F58}"/>
    <cellStyle name="Migliaia 23 4 2 3 4" xfId="41569" xr:uid="{0018CAB5-F390-422C-9AAD-AE0821F73B3D}"/>
    <cellStyle name="Migliaia 23 4 2 3 5" xfId="11949" xr:uid="{9A24062F-1156-420B-AD57-14EAAD1424F6}"/>
    <cellStyle name="Migliaia 23 4 2 4" xfId="11298" xr:uid="{8D526E2A-F7B5-4BA7-89DF-7C5772B71791}"/>
    <cellStyle name="Migliaia 23 4 2 5" xfId="10811" xr:uid="{71F5BB28-8A74-4ABA-A91D-650DC1F5596A}"/>
    <cellStyle name="Migliaia 23 4 2 5 2" xfId="21446" xr:uid="{10619E8C-CB0E-4A9E-BBF8-32C461CDEB95}"/>
    <cellStyle name="Migliaia 23 4 2 5 3" xfId="46226" xr:uid="{8BF45317-18E7-43D9-B309-D66456AB1F44}"/>
    <cellStyle name="Migliaia 23 4 2 5 4" xfId="50461" xr:uid="{27D0BB71-F592-4C47-A419-A3B8F1CB7886}"/>
    <cellStyle name="Migliaia 23 4 2 5 5" xfId="53477" xr:uid="{ED146245-65E7-48F9-B009-2A62FE90B1F2}"/>
    <cellStyle name="Migliaia 23 4 2 6" xfId="20152" xr:uid="{EFA65435-7D00-432D-BE94-8E7876EEF72D}"/>
    <cellStyle name="Migliaia 23 4 2 7" xfId="24547" xr:uid="{E46A6AD4-B670-4C94-9469-E8AC0EC209BC}"/>
    <cellStyle name="Migliaia 23 4 2 8" xfId="8574" xr:uid="{F1DB3DE5-9AB3-473A-BC79-67716A4C83C8}"/>
    <cellStyle name="Migliaia 23 4 3" xfId="5080" xr:uid="{5DEE2DB6-5EFB-4DEF-ACFC-C54AEB5F3DE0}"/>
    <cellStyle name="Migliaia 23 4 3 2" xfId="18193" xr:uid="{C2E7C96F-F708-4DED-A602-134F242D97BA}"/>
    <cellStyle name="Migliaia 23 4 3 2 2" xfId="38919" xr:uid="{9BFE94A9-8269-4B93-9743-A8FB007EDE52}"/>
    <cellStyle name="Migliaia 23 4 3 2 3" xfId="44221" xr:uid="{0ABED518-B978-41C7-9AB5-4C8FCD737D60}"/>
    <cellStyle name="Migliaia 23 4 3 3" xfId="36398" xr:uid="{370B8629-344C-46EE-A1CE-4E65759B1A80}"/>
    <cellStyle name="Migliaia 23 4 3 4" xfId="41570" xr:uid="{1F13C979-2137-4C35-BDCD-96E927166EA9}"/>
    <cellStyle name="Migliaia 23 4 3 5" xfId="17380" xr:uid="{E52EDAC9-4A79-4168-A5F0-CB599DE90170}"/>
    <cellStyle name="Migliaia 23 4 3 6" xfId="9139" xr:uid="{28B81953-C3EF-4A07-A2F0-325331B22279}"/>
    <cellStyle name="Migliaia 23 4 4" xfId="6289" xr:uid="{5B2ED913-0572-49C3-92C9-DDE9C0B9F517}"/>
    <cellStyle name="Migliaia 23 4 4 2" xfId="33481" xr:uid="{ED54AFC4-F836-4764-A6C8-1636FE2BE2A3}"/>
    <cellStyle name="Migliaia 23 4 4 2 2" xfId="38920" xr:uid="{F2F2158F-37CE-453D-9866-C44DDD90B143}"/>
    <cellStyle name="Migliaia 23 4 4 2 3" xfId="44222" xr:uid="{DA8A6419-EC51-4AF4-AFFD-84FD258DD396}"/>
    <cellStyle name="Migliaia 23 4 4 3" xfId="36399" xr:uid="{38916D04-656B-4433-B705-E310FD2B92AB}"/>
    <cellStyle name="Migliaia 23 4 4 4" xfId="41571" xr:uid="{B0E4DDD1-FABA-4A68-A99B-61B79C43DFF5}"/>
    <cellStyle name="Migliaia 23 4 4 5" xfId="11950" xr:uid="{B783C93C-D565-4618-8427-F5DFC723667B}"/>
    <cellStyle name="Migliaia 23 4 5" xfId="3354" xr:uid="{FBDE4AD2-8FB0-44FC-8C16-072BA24B6412}"/>
    <cellStyle name="Migliaia 23 4 5 2" xfId="33482" xr:uid="{02A40ADB-F865-4A8B-A9C2-9137384D2D55}"/>
    <cellStyle name="Migliaia 23 4 5 2 2" xfId="38921" xr:uid="{DBBD7018-574C-4437-8E87-ACD0A2272494}"/>
    <cellStyle name="Migliaia 23 4 5 2 3" xfId="44223" xr:uid="{0F71DF9C-8636-4357-ABA5-902392727A2A}"/>
    <cellStyle name="Migliaia 23 4 5 3" xfId="36400" xr:uid="{CBA00FC0-2A5C-4022-B697-52CBB7226FFD}"/>
    <cellStyle name="Migliaia 23 4 5 4" xfId="41572" xr:uid="{A30778DF-E1F2-4E57-B9E9-AD15CC2B07F8}"/>
    <cellStyle name="Migliaia 23 4 5 5" xfId="11297" xr:uid="{C36B1359-E846-4C7B-BCCE-F86336CD0AEB}"/>
    <cellStyle name="Migliaia 23 4 6" xfId="10810" xr:uid="{9999056D-F1B8-4691-9978-9EE0B2A24767}"/>
    <cellStyle name="Migliaia 23 4 6 2" xfId="21445" xr:uid="{B763B32F-48DF-4206-8AB6-300F1E52A610}"/>
    <cellStyle name="Migliaia 23 4 6 2 2" xfId="38922" xr:uid="{6C45B6BD-6C72-420E-AB0D-A874F02F60A3}"/>
    <cellStyle name="Migliaia 23 4 6 2 3" xfId="44224" xr:uid="{6A42E6CA-69A6-4CB8-9099-F53A9A8FB203}"/>
    <cellStyle name="Migliaia 23 4 6 2 4" xfId="33483" xr:uid="{EA116003-03B9-440C-A6BA-90F9CCD3A5AE}"/>
    <cellStyle name="Migliaia 23 4 6 3" xfId="36401" xr:uid="{AE3A670E-919B-4591-AA4A-3BE7D182EB50}"/>
    <cellStyle name="Migliaia 23 4 6 4" xfId="41573" xr:uid="{DE73BC2A-62FC-4252-BA4D-C138DFA2A581}"/>
    <cellStyle name="Migliaia 23 4 6 5" xfId="24548" xr:uid="{DD0F9614-122E-4EFA-87F8-95FAB5E4B6EE}"/>
    <cellStyle name="Migliaia 23 4 6 6" xfId="47363" xr:uid="{71A0DC92-6A80-4E00-8B38-819C07ADAE6E}"/>
    <cellStyle name="Migliaia 23 4 6 7" xfId="50460" xr:uid="{F3118A8C-87E0-4F80-9ABE-A941A3761FD8}"/>
    <cellStyle name="Migliaia 23 4 6 8" xfId="53476" xr:uid="{ED11C3C0-136D-4A45-9FD9-9C89DA6B2290}"/>
    <cellStyle name="Migliaia 23 4 7" xfId="20151" xr:uid="{A8D6F0E4-B8C3-4ECA-A79B-72F9FE7CE326}"/>
    <cellStyle name="Migliaia 23 4 7 2" xfId="33484" xr:uid="{2E9BDBE2-1A25-4E75-B843-BE14ECEF8E61}"/>
    <cellStyle name="Migliaia 23 4 7 2 2" xfId="38923" xr:uid="{381B6EC5-2D3E-4F3D-BCCB-D44AC132F86A}"/>
    <cellStyle name="Migliaia 23 4 7 2 3" xfId="44225" xr:uid="{6433F660-FFAC-43BD-9E66-96865EA3C29C}"/>
    <cellStyle name="Migliaia 23 4 7 3" xfId="36402" xr:uid="{74D1D671-891C-4B48-9AC2-F08DEC8D161C}"/>
    <cellStyle name="Migliaia 23 4 7 4" xfId="41574" xr:uid="{893C99C2-A639-461E-9C61-677679003CA3}"/>
    <cellStyle name="Migliaia 23 4 7 5" xfId="24549" xr:uid="{FAB2FD67-7718-4F7D-9362-256544F68029}"/>
    <cellStyle name="Migliaia 23 4 8" xfId="24546" xr:uid="{92E183F6-BF84-4E35-8C1F-B01536C48A05}"/>
    <cellStyle name="Migliaia 23 4 9" xfId="7384" xr:uid="{285A2D89-A5B1-4B05-858B-B19A209835AA}"/>
    <cellStyle name="Migliaia 23 5" xfId="1735" xr:uid="{00000000-0005-0000-0000-00004E030000}"/>
    <cellStyle name="Migliaia 23 5 2" xfId="5082" xr:uid="{0A3BB8AB-7325-4192-BCC5-AE1B23C55E6C}"/>
    <cellStyle name="Migliaia 23 5 2 2" xfId="18409" xr:uid="{4C9C2107-8E93-4FA6-9653-F81B9230DAB5}"/>
    <cellStyle name="Migliaia 23 5 2 2 2" xfId="38924" xr:uid="{62112776-66AC-45CD-B90D-7FD9561E09E8}"/>
    <cellStyle name="Migliaia 23 5 2 2 3" xfId="44226" xr:uid="{06CA36BC-91C8-4871-A429-379C8DAA749B}"/>
    <cellStyle name="Migliaia 23 5 2 3" xfId="20154" xr:uid="{7821DD73-95FB-40FA-B40A-7A9617C6D2A2}"/>
    <cellStyle name="Migliaia 23 5 2 3 2" xfId="36403" xr:uid="{CFC6C02F-6C5B-46EB-B459-6CC902B96E1F}"/>
    <cellStyle name="Migliaia 23 5 2 4" xfId="41575" xr:uid="{D8C678A1-296D-430A-9A15-FD570CB0103D}"/>
    <cellStyle name="Migliaia 23 5 2 5" xfId="16246" xr:uid="{5E483A37-B2C0-41C2-B50C-030B83AAA653}"/>
    <cellStyle name="Migliaia 23 5 2 6" xfId="8575" xr:uid="{77154DFE-0B11-4001-B29B-57681F0B6173}"/>
    <cellStyle name="Migliaia 23 5 3" xfId="6290" xr:uid="{705C4927-AD8B-40C9-8C77-74E8D865358A}"/>
    <cellStyle name="Migliaia 23 5 3 2" xfId="33485" xr:uid="{9D54D6E3-B374-4EC9-BD7A-13C3B81C7ABD}"/>
    <cellStyle name="Migliaia 23 5 3 2 2" xfId="38925" xr:uid="{0AF481F0-395E-4A20-BA79-D2D5E9B7BF54}"/>
    <cellStyle name="Migliaia 23 5 3 2 3" xfId="44227" xr:uid="{02038A62-A52C-4102-B411-D0B29A377782}"/>
    <cellStyle name="Migliaia 23 5 3 3" xfId="36404" xr:uid="{BD704F37-E1DC-411A-A458-DC75417A3291}"/>
    <cellStyle name="Migliaia 23 5 3 4" xfId="41576" xr:uid="{64A32B71-5305-4A98-BF2C-CA34FC5864A4}"/>
    <cellStyle name="Migliaia 23 5 3 5" xfId="11299" xr:uid="{36E47130-B30D-455A-A93C-4CDD120D54EA}"/>
    <cellStyle name="Migliaia 23 5 4" xfId="3356" xr:uid="{640102C3-14A9-4C81-98B9-B4D1FE681522}"/>
    <cellStyle name="Migliaia 23 5 4 2" xfId="21447" xr:uid="{A989C699-1A03-4B42-A3AA-63F472E93412}"/>
    <cellStyle name="Migliaia 23 5 4 2 2" xfId="38926" xr:uid="{10CCBD1F-E66D-4064-87D7-34FD4247400D}"/>
    <cellStyle name="Migliaia 23 5 4 2 3" xfId="44228" xr:uid="{6773B43B-5AB0-4AD7-BBED-B56BF8AA8ECC}"/>
    <cellStyle name="Migliaia 23 5 4 2 4" xfId="33486" xr:uid="{5F1ACAD6-BEE5-4B8D-88C3-B2B8820F6C4B}"/>
    <cellStyle name="Migliaia 23 5 4 3" xfId="36405" xr:uid="{DF9B74D6-E3C1-4249-85F5-34DB6DE3154F}"/>
    <cellStyle name="Migliaia 23 5 4 4" xfId="41577" xr:uid="{9FD7B838-1D84-4D38-89C2-61B904198D9E}"/>
    <cellStyle name="Migliaia 23 5 4 5" xfId="24551" xr:uid="{62A2FD4F-6764-4CE8-8381-40079B501D80}"/>
    <cellStyle name="Migliaia 23 5 4 6" xfId="47598" xr:uid="{1BFBBC09-5383-4D3E-B1BC-3118BB4AF65B}"/>
    <cellStyle name="Migliaia 23 5 4 7" xfId="50462" xr:uid="{36B6EFF0-5CA7-4887-804C-37A23A85A558}"/>
    <cellStyle name="Migliaia 23 5 4 8" xfId="53478" xr:uid="{55A82178-5DC2-4E73-9402-521FDE5AC409}"/>
    <cellStyle name="Migliaia 23 5 4 9" xfId="10812" xr:uid="{2B773A7A-5F68-4E76-A940-80EF1B9A7E4E}"/>
    <cellStyle name="Migliaia 23 5 5" xfId="20153" xr:uid="{85FC8BE2-0DC1-4C8B-9BD1-158CF3E99C79}"/>
    <cellStyle name="Migliaia 23 5 5 2" xfId="33487" xr:uid="{261A1BCA-DDFE-48C2-8F1D-E142098AB3DF}"/>
    <cellStyle name="Migliaia 23 5 5 2 2" xfId="38927" xr:uid="{0FA05289-C5C9-41C5-BD3A-31F001B068EE}"/>
    <cellStyle name="Migliaia 23 5 5 2 3" xfId="44229" xr:uid="{8B36F2A4-9812-47D5-AF4B-E716667359D6}"/>
    <cellStyle name="Migliaia 23 5 5 3" xfId="36406" xr:uid="{D92B1C7F-CD2F-465C-9D82-BA54DBFFFBB8}"/>
    <cellStyle name="Migliaia 23 5 5 4" xfId="41578" xr:uid="{05A0579C-8D16-4F9D-91EE-4F63423822C4}"/>
    <cellStyle name="Migliaia 23 5 5 5" xfId="24552" xr:uid="{64D65E0E-7355-4A14-8796-91D0FBCB148B}"/>
    <cellStyle name="Migliaia 23 5 6" xfId="24553" xr:uid="{D9206944-8EE7-49F3-AC29-16FD3043BDC2}"/>
    <cellStyle name="Migliaia 23 5 6 2" xfId="33488" xr:uid="{F80421CF-4DB4-49F9-A5BC-7B245604EA13}"/>
    <cellStyle name="Migliaia 23 5 6 2 2" xfId="38928" xr:uid="{B31E1958-4FAD-4F07-8EDF-CFA9CE92333C}"/>
    <cellStyle name="Migliaia 23 5 6 2 3" xfId="44230" xr:uid="{A79F8F63-0E66-4C1F-8259-456F0748CCD8}"/>
    <cellStyle name="Migliaia 23 5 6 3" xfId="36407" xr:uid="{514C3CA2-3C9B-41F6-B855-8CF49A52CB4B}"/>
    <cellStyle name="Migliaia 23 5 6 4" xfId="41579" xr:uid="{1EAB6AC3-90A2-4B05-B249-392D6D4A7CE1}"/>
    <cellStyle name="Migliaia 23 5 7" xfId="24550" xr:uid="{F22D669F-BF6F-40C9-A6DC-6E94E8A02DCF}"/>
    <cellStyle name="Migliaia 23 5 8" xfId="7385" xr:uid="{67042327-40EF-4B29-8DC6-59C015736B9A}"/>
    <cellStyle name="Migliaia 23 6" xfId="3357" xr:uid="{CAE7D4C2-8DA7-47F9-B246-E2CA468A6103}"/>
    <cellStyle name="Migliaia 23 6 2" xfId="5083" xr:uid="{70B0E786-CB26-4B50-BF70-7AEF933BFEA9}"/>
    <cellStyle name="Migliaia 23 6 2 2" xfId="9911" xr:uid="{6CC0F13B-CD53-40C0-8B9A-35E88D2C0600}"/>
    <cellStyle name="Migliaia 23 6 2 3" xfId="18665" xr:uid="{40027B05-EC3E-415A-9BA6-3CFE1501CEAD}"/>
    <cellStyle name="Migliaia 23 6 2 4" xfId="20156" xr:uid="{F5529511-2356-4C36-B37E-4F142A2BF840}"/>
    <cellStyle name="Migliaia 23 6 2 5" xfId="32346" xr:uid="{6ED1C7DF-D88A-42AE-8700-F5A2B24A69EF}"/>
    <cellStyle name="Migliaia 23 6 2 6" xfId="16248" xr:uid="{53A46E8B-CCE6-4C3E-AF83-FAD6BF116A22}"/>
    <cellStyle name="Migliaia 23 6 2 7" xfId="8570" xr:uid="{AC815414-1E6F-4BA4-9134-1593F7B6FD83}"/>
    <cellStyle name="Migliaia 23 6 3" xfId="6291" xr:uid="{B141A771-D338-4AEE-8707-E2B61D535572}"/>
    <cellStyle name="Migliaia 23 6 3 2" xfId="35232" xr:uid="{EBCBF037-BFC9-400C-94E1-25B6F789E20D}"/>
    <cellStyle name="Migliaia 23 6 3 2 2" xfId="40392" xr:uid="{C6DD8B42-A0EC-45F3-B7F7-0DBFCBD081F9}"/>
    <cellStyle name="Migliaia 23 6 3 2 3" xfId="45694" xr:uid="{AB6C8E4F-88C2-4EFB-BDED-096E637CF16F}"/>
    <cellStyle name="Migliaia 23 6 3 3" xfId="37741" xr:uid="{B3BC8C4C-89D7-4D1D-B969-BD4BCDCEAB61}"/>
    <cellStyle name="Migliaia 23 6 3 4" xfId="43043" xr:uid="{3B20445B-2B8B-49AC-AD8C-8F5C99F2C395}"/>
    <cellStyle name="Migliaia 23 6 3 5" xfId="9674" xr:uid="{62E95FEF-EFC2-45CB-BD92-06DA0DAB2AA8}"/>
    <cellStyle name="Migliaia 23 6 4" xfId="20155" xr:uid="{C41B4A6B-ADF3-4CED-BE59-E6F69E48D760}"/>
    <cellStyle name="Migliaia 23 6 4 2" xfId="38929" xr:uid="{B839E9F2-8C05-4F8F-9B01-0F038025CB75}"/>
    <cellStyle name="Migliaia 23 6 4 3" xfId="44231" xr:uid="{0953429D-23F2-435E-8E2E-B9605F2B2DAA}"/>
    <cellStyle name="Migliaia 23 6 4 4" xfId="33489" xr:uid="{F4A900F3-20FB-4ED6-8892-DF189C6052C8}"/>
    <cellStyle name="Migliaia 23 6 5" xfId="36408" xr:uid="{755FE988-B689-47E6-A70F-60A46ED76F79}"/>
    <cellStyle name="Migliaia 23 6 6" xfId="41580" xr:uid="{782E7A3D-668D-4430-8C0F-1B65C19DDFD8}"/>
    <cellStyle name="Migliaia 23 6 7" xfId="16247" xr:uid="{6CB350E5-26EF-4DDE-911A-5330F15CCD8C}"/>
    <cellStyle name="Migliaia 23 6 8" xfId="7380" xr:uid="{2708C824-DF99-4D22-A983-1A82DCE8C393}"/>
    <cellStyle name="Migliaia 23 7" xfId="3358" xr:uid="{F8C53622-E09F-4C33-A5EC-0BCC1861F78F}"/>
    <cellStyle name="Migliaia 23 7 2" xfId="5084" xr:uid="{0D08A2AB-E076-4937-8C4E-AB6A6BC7F666}"/>
    <cellStyle name="Migliaia 23 7 2 2" xfId="35233" xr:uid="{F73ACDBC-8427-475A-AD4E-985905ED2E08}"/>
    <cellStyle name="Migliaia 23 7 2 2 2" xfId="40393" xr:uid="{22A90F8E-0999-4225-9CB4-85BE417EA0FC}"/>
    <cellStyle name="Migliaia 23 7 2 2 3" xfId="45695" xr:uid="{F0E19E3A-1C6F-4A2C-94F5-BC36AD8B2982}"/>
    <cellStyle name="Migliaia 23 7 2 3" xfId="37742" xr:uid="{E2117C41-A3FC-4C6A-9044-C23555B12C15}"/>
    <cellStyle name="Migliaia 23 7 2 4" xfId="43044" xr:uid="{C6B17B93-0FC6-47A5-BEAB-9D43AB9BE719}"/>
    <cellStyle name="Migliaia 23 7 2 5" xfId="14224" xr:uid="{665961DB-9757-426B-A9A5-7334887BA250}"/>
    <cellStyle name="Migliaia 23 7 3" xfId="6292" xr:uid="{FA55DAB8-B3C4-430A-BA7D-85747A204216}"/>
    <cellStyle name="Migliaia 23 7 3 2" xfId="38930" xr:uid="{0153AD19-B29A-4050-AE40-898350C18F62}"/>
    <cellStyle name="Migliaia 23 7 3 3" xfId="44232" xr:uid="{225F4A90-0590-4AF3-B016-151F4AD57F88}"/>
    <cellStyle name="Migliaia 23 7 3 4" xfId="33490" xr:uid="{245CC0F4-953D-48D3-B174-F63E7EB1C00D}"/>
    <cellStyle name="Migliaia 23 7 3 5" xfId="20157" xr:uid="{D998BF1A-CDDB-4D0B-8EF3-4806D278CB95}"/>
    <cellStyle name="Migliaia 23 7 4" xfId="36409" xr:uid="{A8969DAC-0AC9-45F7-BF2C-3F02431A8EE4}"/>
    <cellStyle name="Migliaia 23 7 5" xfId="41581" xr:uid="{88D84FF6-0653-4AA9-897E-2F8A3E68C58F}"/>
    <cellStyle name="Migliaia 23 7 6" xfId="16249" xr:uid="{D396DECE-B03D-4FDF-A367-92AF29172BF3}"/>
    <cellStyle name="Migliaia 23 7 7" xfId="8286" xr:uid="{B77695A5-C96D-48D1-B594-D7F0D96C4241}"/>
    <cellStyle name="Migliaia 23 8" xfId="3359" xr:uid="{DE1DED74-167C-4376-AF42-E09C5DD16271}"/>
    <cellStyle name="Migliaia 23 8 2" xfId="5085" xr:uid="{A78563D9-45B1-4773-8F92-1C21CB322B20}"/>
    <cellStyle name="Migliaia 23 8 2 2" xfId="35234" xr:uid="{08D624A0-3437-4AD1-9E60-058252EC3D80}"/>
    <cellStyle name="Migliaia 23 8 2 2 2" xfId="40394" xr:uid="{F74364A9-E538-407C-908C-16759BDB4EFB}"/>
    <cellStyle name="Migliaia 23 8 2 2 3" xfId="45696" xr:uid="{15828F6C-E2B9-4A7D-8672-7A691E233D12}"/>
    <cellStyle name="Migliaia 23 8 2 3" xfId="37743" xr:uid="{7D150E8A-D59A-4946-A31E-317A96958866}"/>
    <cellStyle name="Migliaia 23 8 2 4" xfId="43045" xr:uid="{A1923263-329D-4342-9554-0BDD875615A9}"/>
    <cellStyle name="Migliaia 23 8 2 5" xfId="13929" xr:uid="{E2AB1D06-171D-423C-813D-0D697538E524}"/>
    <cellStyle name="Migliaia 23 8 3" xfId="6293" xr:uid="{8B487B41-6B61-4E93-9245-109C672348E3}"/>
    <cellStyle name="Migliaia 23 8 3 2" xfId="38931" xr:uid="{0B59FA1F-4B48-434B-8E64-26DD9137EE5A}"/>
    <cellStyle name="Migliaia 23 8 3 3" xfId="44233" xr:uid="{EBC21A7D-8306-4BEF-9DF6-69253A007F2F}"/>
    <cellStyle name="Migliaia 23 8 3 4" xfId="33491" xr:uid="{FECB6C98-E8E1-428D-A50A-D101F5B85890}"/>
    <cellStyle name="Migliaia 23 8 3 5" xfId="20158" xr:uid="{03C128AB-A2F6-4A25-B9B8-90A4F0DEC285}"/>
    <cellStyle name="Migliaia 23 8 4" xfId="36410" xr:uid="{2F2A2A7B-D821-410D-A306-33AFD99D5554}"/>
    <cellStyle name="Migliaia 23 8 5" xfId="41582" xr:uid="{3820949C-992F-4002-8C96-A1FF4D5C50E5}"/>
    <cellStyle name="Migliaia 23 8 6" xfId="16250" xr:uid="{E134AE8C-3CB3-43FD-9402-D3CA9EDC0D86}"/>
    <cellStyle name="Migliaia 23 8 7" xfId="7882" xr:uid="{D31ECE9B-5228-416A-B49F-AA15B3AFCCDE}"/>
    <cellStyle name="Migliaia 23 9" xfId="5070" xr:uid="{D83F71BE-7ED3-4194-AACA-6328BEEB6A9C}"/>
    <cellStyle name="Migliaia 23 9 2" xfId="33492" xr:uid="{31059A72-C6EC-4948-969E-6EC49AA9E83D}"/>
    <cellStyle name="Migliaia 23 9 2 2" xfId="38932" xr:uid="{71E51032-150B-4C32-B949-189DA2B0EB49}"/>
    <cellStyle name="Migliaia 23 9 2 3" xfId="44234" xr:uid="{89D3ED25-1D35-4C34-A58D-27101711F92B}"/>
    <cellStyle name="Migliaia 23 9 3" xfId="36411" xr:uid="{93686BE3-14FD-4A8B-9EE2-A1E8C89C800F}"/>
    <cellStyle name="Migliaia 23 9 4" xfId="41583" xr:uid="{35883EAD-B2DE-4E04-A68B-18C8E07B178F}"/>
    <cellStyle name="Migliaia 23 9 5" xfId="17165" xr:uid="{751092B1-4818-435C-B51D-2E5AD95CA486}"/>
    <cellStyle name="Migliaia 24" xfId="365" xr:uid="{00000000-0005-0000-0000-00004F030000}"/>
    <cellStyle name="Migliaia 24 10" xfId="6294" xr:uid="{804172B7-7DA0-4511-8B35-64DE385C4D32}"/>
    <cellStyle name="Migliaia 24 10 2" xfId="38933" xr:uid="{C07EBB81-439F-43F8-833C-33591591B42B}"/>
    <cellStyle name="Migliaia 24 10 3" xfId="44235" xr:uid="{1E1A1CBC-226E-407F-BE2C-41A244051598}"/>
    <cellStyle name="Migliaia 24 10 4" xfId="33493" xr:uid="{BAA50BB9-63E8-46E7-BC95-C2AA69ED9F7E}"/>
    <cellStyle name="Migliaia 24 10 5" xfId="20159" xr:uid="{C1C97AA9-CA0A-4548-8255-3E714DE23E44}"/>
    <cellStyle name="Migliaia 24 11" xfId="3360" xr:uid="{6300AF5C-E8B2-41E5-AE04-F58A29367E02}"/>
    <cellStyle name="Migliaia 24 11 2" xfId="36412" xr:uid="{132BEC8D-B454-4800-9AC8-102F0ECB6040}"/>
    <cellStyle name="Migliaia 24 12" xfId="41584" xr:uid="{0A921E70-F539-4F36-AD5E-9FB232266BB2}"/>
    <cellStyle name="Migliaia 24 13" xfId="7090" xr:uid="{48D3051A-B32E-4414-A54C-266046FEBD4A}"/>
    <cellStyle name="Migliaia 24 2" xfId="366" xr:uid="{00000000-0005-0000-0000-000050030000}"/>
    <cellStyle name="Migliaia 24 2 2" xfId="1736" xr:uid="{00000000-0005-0000-0000-000051030000}"/>
    <cellStyle name="Migliaia 24 2 2 2" xfId="5088" xr:uid="{8CA8A00D-DCD1-4392-BCF9-E999551FEA80}"/>
    <cellStyle name="Migliaia 24 2 2 2 2" xfId="14379" xr:uid="{89DC1057-5541-40AA-A35B-E893E68430C2}"/>
    <cellStyle name="Migliaia 24 2 2 2 2 2" xfId="38934" xr:uid="{62AF1562-5951-400B-B860-9E5631C91FFB}"/>
    <cellStyle name="Migliaia 24 2 2 2 2 3" xfId="44236" xr:uid="{13A54176-4FC1-4B33-AF0C-B7F1FBFA87BD}"/>
    <cellStyle name="Migliaia 24 2 2 2 3" xfId="18410" xr:uid="{591F406B-5B41-436B-AEC4-1DA18FB1CCDA}"/>
    <cellStyle name="Migliaia 24 2 2 2 4" xfId="20162" xr:uid="{AA21A63A-B7EA-4AAC-98A2-5D5494EC6969}"/>
    <cellStyle name="Migliaia 24 2 2 2 4 2" xfId="41585" xr:uid="{4687BF42-6BF3-4147-BCA9-B266E89D2885}"/>
    <cellStyle name="Migliaia 24 2 2 2 5" xfId="16251" xr:uid="{98489AA4-DB16-404F-88A6-90C5003E1A63}"/>
    <cellStyle name="Migliaia 24 2 2 2 6" xfId="8577" xr:uid="{BAA01424-45D8-4AEC-80D5-EBF004862034}"/>
    <cellStyle name="Migliaia 24 2 2 3" xfId="6296" xr:uid="{16D2A3D6-30A6-48E1-A62A-05166B03D3D5}"/>
    <cellStyle name="Migliaia 24 2 2 3 2" xfId="35235" xr:uid="{1B3383F1-478D-47F3-80FC-5534418C3A69}"/>
    <cellStyle name="Migliaia 24 2 2 3 2 2" xfId="40395" xr:uid="{BE245422-2393-4ED4-AF28-03D55060DA5C}"/>
    <cellStyle name="Migliaia 24 2 2 3 2 3" xfId="45697" xr:uid="{ADC584CE-62C6-45AD-8F2B-913709BD9484}"/>
    <cellStyle name="Migliaia 24 2 2 3 3" xfId="37744" xr:uid="{8A772720-35B4-4527-A611-B50BE5B41F87}"/>
    <cellStyle name="Migliaia 24 2 2 3 4" xfId="43046" xr:uid="{437266A1-0B92-47FE-8DDA-2A733D345AFB}"/>
    <cellStyle name="Migliaia 24 2 2 3 5" xfId="11606" xr:uid="{CB6BEC60-1A47-4400-93E6-C476CE26FDF6}"/>
    <cellStyle name="Migliaia 24 2 2 4" xfId="3362" xr:uid="{DA8B609C-D394-4CEC-A1A6-CA9EFD0E6BB4}"/>
    <cellStyle name="Migliaia 24 2 2 4 2" xfId="21448" xr:uid="{B613A379-A1F5-445B-90AB-2E8212E6B205}"/>
    <cellStyle name="Migliaia 24 2 2 4 3" xfId="37524" xr:uid="{DA816861-5B91-4856-97F6-70586D0326C7}"/>
    <cellStyle name="Migliaia 24 2 2 4 4" xfId="50463" xr:uid="{D7BBC778-985C-4EA5-A9BC-FEF7F0A7012B}"/>
    <cellStyle name="Migliaia 24 2 2 4 5" xfId="53479" xr:uid="{5B8AC1F4-272F-4BB6-8147-E46647DA63FF}"/>
    <cellStyle name="Migliaia 24 2 2 4 6" xfId="10813" xr:uid="{AEF29D5B-917E-4BEE-9AC1-157A077CC581}"/>
    <cellStyle name="Migliaia 24 2 2 5" xfId="20161" xr:uid="{786B930B-5F33-498A-B90A-24D8BC0581A4}"/>
    <cellStyle name="Migliaia 24 2 2 6" xfId="24555" xr:uid="{B77D0BC2-0594-4B8C-8BD9-B94E57DA985D}"/>
    <cellStyle name="Migliaia 24 2 2 7" xfId="7387" xr:uid="{653F9000-0486-483E-8558-5F29895B6C74}"/>
    <cellStyle name="Migliaia 24 2 3" xfId="3363" xr:uid="{00DDCB34-F2D0-4679-94BD-AD5A17FE11AB}"/>
    <cellStyle name="Migliaia 24 2 3 2" xfId="5089" xr:uid="{D7E05CD6-1A5E-4135-9BC3-F5D310774F39}"/>
    <cellStyle name="Migliaia 24 2 3 2 2" xfId="35236" xr:uid="{E8DDA9F0-E291-47C1-BBF9-AF8C471A138D}"/>
    <cellStyle name="Migliaia 24 2 3 2 2 2" xfId="40396" xr:uid="{878E958D-3D87-4723-8B26-55FC5D940B31}"/>
    <cellStyle name="Migliaia 24 2 3 2 2 3" xfId="45698" xr:uid="{D59CC6B1-F167-4DC6-8505-6AA0162BA2BB}"/>
    <cellStyle name="Migliaia 24 2 3 2 3" xfId="37745" xr:uid="{3DEBA8F8-8791-41BA-AFAA-F5C1D246BE9C}"/>
    <cellStyle name="Migliaia 24 2 3 2 4" xfId="43047" xr:uid="{34987C71-E7D7-44C6-A713-BB6E39D8B356}"/>
    <cellStyle name="Migliaia 24 2 3 2 5" xfId="14228" xr:uid="{4BB698CC-22AB-4384-B72A-C17E19611336}"/>
    <cellStyle name="Migliaia 24 2 3 3" xfId="6297" xr:uid="{BD56904A-EFA2-411B-B801-EA9B4310EC20}"/>
    <cellStyle name="Migliaia 24 2 3 3 2" xfId="38935" xr:uid="{959D3AE4-41A5-4DD4-BA56-3A31056B597F}"/>
    <cellStyle name="Migliaia 24 2 3 3 3" xfId="44237" xr:uid="{CC8BB397-D0DF-4A63-8E43-D83547E74EA3}"/>
    <cellStyle name="Migliaia 24 2 3 3 4" xfId="33494" xr:uid="{ABD43C33-8802-48E2-AD93-B5E627967180}"/>
    <cellStyle name="Migliaia 24 2 3 3 5" xfId="20163" xr:uid="{B417CA49-1E60-4B24-85A2-23BE2B1ED4C5}"/>
    <cellStyle name="Migliaia 24 2 3 4" xfId="36413" xr:uid="{4D013083-E12C-4851-A6B6-046D247DB698}"/>
    <cellStyle name="Migliaia 24 2 3 5" xfId="41586" xr:uid="{A488F537-3C7E-4CD7-B874-13E5A9136F81}"/>
    <cellStyle name="Migliaia 24 2 3 6" xfId="16252" xr:uid="{2D1C70FD-46B9-48AB-AB92-01E34FC4AA0A}"/>
    <cellStyle name="Migliaia 24 2 3 7" xfId="8290" xr:uid="{C47D5470-DD08-4398-A2AA-616FA6711BC3}"/>
    <cellStyle name="Migliaia 24 2 4" xfId="5087" xr:uid="{9E46BDC2-95E8-4E85-B623-F157160B3E50}"/>
    <cellStyle name="Migliaia 24 2 4 2" xfId="13933" xr:uid="{CE0C881B-6EBE-48D3-A85F-3FF0FA1817E3}"/>
    <cellStyle name="Migliaia 24 2 4 2 2" xfId="38936" xr:uid="{3593BE71-F381-4283-B43B-A0A700D28F82}"/>
    <cellStyle name="Migliaia 24 2 4 2 3" xfId="44238" xr:uid="{5913DEFE-FEB9-4AC3-A727-F983B9FB9FBA}"/>
    <cellStyle name="Migliaia 24 2 4 3" xfId="18618" xr:uid="{6BDAE04C-C3E3-4D23-9A7B-1E4255B0195D}"/>
    <cellStyle name="Migliaia 24 2 4 4" xfId="20164" xr:uid="{8F1D5F5E-5C06-4F10-9983-FEAAB445443D}"/>
    <cellStyle name="Migliaia 24 2 4 4 2" xfId="41587" xr:uid="{69828757-5910-4CD0-BB1B-83AB7482B38C}"/>
    <cellStyle name="Migliaia 24 2 4 5" xfId="16253" xr:uid="{7505667D-CFBF-45AC-8D39-758E77FD4545}"/>
    <cellStyle name="Migliaia 24 2 4 6" xfId="7887" xr:uid="{90437CF6-F9B5-4DC1-889B-9EE2E8F7175E}"/>
    <cellStyle name="Migliaia 24 2 5" xfId="6295" xr:uid="{5FEC5F60-CAF7-4022-AEC9-B1618A45CFFC}"/>
    <cellStyle name="Migliaia 24 2 5 2" xfId="33495" xr:uid="{2258244B-1298-4168-962F-6740DB4D4FA8}"/>
    <cellStyle name="Migliaia 24 2 5 2 2" xfId="38937" xr:uid="{E44BC480-A027-4BC4-B53D-B03D9EC3EC4A}"/>
    <cellStyle name="Migliaia 24 2 5 2 3" xfId="44239" xr:uid="{7FC051B1-971B-4DB2-8D2A-B94FD240041F}"/>
    <cellStyle name="Migliaia 24 2 5 3" xfId="36414" xr:uid="{C20EAAC3-A6CE-4F18-B599-21072C63D051}"/>
    <cellStyle name="Migliaia 24 2 5 4" xfId="41588" xr:uid="{62BBA7AE-A57F-4AF7-A2F9-7F218966D2C5}"/>
    <cellStyle name="Migliaia 24 2 5 5" xfId="13119" xr:uid="{C0857B33-3ED4-4DBB-8BE2-E3D6C268F462}"/>
    <cellStyle name="Migliaia 24 2 6" xfId="3361" xr:uid="{F813B574-F5C8-4103-9EF0-94D495765F4E}"/>
    <cellStyle name="Migliaia 24 2 6 2" xfId="33496" xr:uid="{C1F96C3B-C4D2-4119-8323-E10BB3D3F45C}"/>
    <cellStyle name="Migliaia 24 2 6 2 2" xfId="38938" xr:uid="{2D5104B6-A517-4CD0-A037-66939FE43E68}"/>
    <cellStyle name="Migliaia 24 2 6 2 3" xfId="44240" xr:uid="{F1ED8593-BBD9-433F-A262-B8C8152C9F7F}"/>
    <cellStyle name="Migliaia 24 2 6 3" xfId="36415" xr:uid="{571ADCFB-C11A-4C5F-8489-590FA6F3CDAE}"/>
    <cellStyle name="Migliaia 24 2 6 4" xfId="41589" xr:uid="{11C363F9-842B-4C46-8D95-C6CE495199FD}"/>
    <cellStyle name="Migliaia 24 2 6 5" xfId="24556" xr:uid="{E6C69DAB-4485-470E-87E0-68F16D9E222C}"/>
    <cellStyle name="Migliaia 24 2 6 6" xfId="20160" xr:uid="{D4720FF1-BD13-4ADD-BF6F-5F39256E2C07}"/>
    <cellStyle name="Migliaia 24 2 7" xfId="24554" xr:uid="{EF0958FE-E4F0-428C-90C0-2FBDEDAF0027}"/>
    <cellStyle name="Migliaia 24 2 8" xfId="7091" xr:uid="{E44B6167-F479-4832-B682-3C9541849F0B}"/>
    <cellStyle name="Migliaia 24 3" xfId="367" xr:uid="{00000000-0005-0000-0000-000052030000}"/>
    <cellStyle name="Migliaia 24 3 10" xfId="24557" xr:uid="{CA982F79-C575-4A13-94CC-7F526C149897}"/>
    <cellStyle name="Migliaia 24 3 11" xfId="16254" xr:uid="{9F67CA68-0AD7-4AF3-ABAE-62FCEC3C3664}"/>
    <cellStyle name="Migliaia 24 3 12" xfId="7092" xr:uid="{109E2E25-E6EF-4EFF-A4D3-D5728CD93592}"/>
    <cellStyle name="Migliaia 24 3 2" xfId="368" xr:uid="{00000000-0005-0000-0000-000053030000}"/>
    <cellStyle name="Migliaia 24 3 2 2" xfId="1737" xr:uid="{00000000-0005-0000-0000-000054030000}"/>
    <cellStyle name="Migliaia 24 3 2 2 2" xfId="5092" xr:uid="{5C547C73-7BAA-4DA2-A19E-A4C5582F48B2}"/>
    <cellStyle name="Migliaia 24 3 2 2 2 2" xfId="18411" xr:uid="{1543B144-DA31-4359-9132-4090FFDBA356}"/>
    <cellStyle name="Migliaia 24 3 2 2 2 2 2" xfId="21857" xr:uid="{61CDDB78-881F-4AE4-B75E-EEC260647FC5}"/>
    <cellStyle name="Migliaia 24 3 2 2 2 2 2 2" xfId="38939" xr:uid="{740553F8-E272-4884-B386-7C71C6798F78}"/>
    <cellStyle name="Migliaia 24 3 2 2 2 2 3" xfId="44241" xr:uid="{E080BAF5-9C30-4718-A5D6-98CDAE3BDF61}"/>
    <cellStyle name="Migliaia 24 3 2 2 2 2 4" xfId="33497" xr:uid="{E833FFCC-8CF7-47C2-9A25-216929BE862B}"/>
    <cellStyle name="Migliaia 24 3 2 2 2 3" xfId="36416" xr:uid="{ECD7AA6F-67D4-42E6-80A4-A95CC56E0A08}"/>
    <cellStyle name="Migliaia 24 3 2 2 2 4" xfId="41590" xr:uid="{29E94EE5-1F67-4FFB-9F4C-FC46B75EAB1E}"/>
    <cellStyle name="Migliaia 24 3 2 2 2 5" xfId="46301" xr:uid="{41DC48C5-9277-47D7-B109-54D26D623299}"/>
    <cellStyle name="Migliaia 24 3 2 2 2 6" xfId="50885" xr:uid="{DE7AB520-CD9C-4B07-98B5-502781E3DA08}"/>
    <cellStyle name="Migliaia 24 3 2 2 2 7" xfId="53901" xr:uid="{19FF5B37-B00D-4352-8EA2-E9DC5104CF1A}"/>
    <cellStyle name="Migliaia 24 3 2 2 2 8" xfId="17654" xr:uid="{584F528F-2E1F-40C0-9B95-DFE5E74550A4}"/>
    <cellStyle name="Migliaia 24 3 2 2 2 9" xfId="11951" xr:uid="{AC1849A7-3470-4EF0-990F-B7822B73D062}"/>
    <cellStyle name="Migliaia 24 3 2 2 3" xfId="6300" xr:uid="{39E957C0-725D-4A54-AB31-25C406BF948C}"/>
    <cellStyle name="Migliaia 24 3 2 2 3 2" xfId="11673" xr:uid="{2A3BEDDC-7A06-4EFB-9FE2-7B56FF62D362}"/>
    <cellStyle name="Migliaia 24 3 2 2 4" xfId="3366" xr:uid="{E1CB6B32-815A-43FE-8ED7-751AFC81F853}"/>
    <cellStyle name="Migliaia 24 3 2 2 4 2" xfId="21449" xr:uid="{1B90CC0D-34F0-4C0E-9192-5F13F02FD661}"/>
    <cellStyle name="Migliaia 24 3 2 2 4 3" xfId="47042" xr:uid="{E03AC752-5BB2-4898-98BF-3F12D513C98D}"/>
    <cellStyle name="Migliaia 24 3 2 2 4 4" xfId="50464" xr:uid="{E48B0457-90C2-45D5-9E30-37ED20812FBF}"/>
    <cellStyle name="Migliaia 24 3 2 2 4 5" xfId="53480" xr:uid="{0930FE1F-9C92-4964-AFEC-C68BC939777F}"/>
    <cellStyle name="Migliaia 24 3 2 2 4 6" xfId="10814" xr:uid="{1FA60B98-3C66-46C2-86F4-97EBFFDC5CBF}"/>
    <cellStyle name="Migliaia 24 3 2 2 5" xfId="20167" xr:uid="{18354F6C-B69A-4C47-A01E-2F7EB8EFF04B}"/>
    <cellStyle name="Migliaia 24 3 2 2 6" xfId="24559" xr:uid="{E6717D38-4BA5-49CE-88B6-A859247194B0}"/>
    <cellStyle name="Migliaia 24 3 2 2 7" xfId="8579" xr:uid="{34D7AAB7-55EE-4F6C-8230-21A484691895}"/>
    <cellStyle name="Migliaia 24 3 2 3" xfId="5091" xr:uid="{DC4CBF6D-6A15-4FA2-9061-022DC1269AFA}"/>
    <cellStyle name="Migliaia 24 3 2 3 2" xfId="12416" xr:uid="{2E49C118-F8F5-4F12-9C10-691C101A9AA0}"/>
    <cellStyle name="Migliaia 24 3 2 3 2 2" xfId="38940" xr:uid="{6B9942F7-65F9-4C62-B70A-9C087304A82B}"/>
    <cellStyle name="Migliaia 24 3 2 3 2 3" xfId="44242" xr:uid="{2EDFD88F-031D-4A16-9361-CDB34C9318C0}"/>
    <cellStyle name="Migliaia 24 3 2 3 2 4" xfId="33498" xr:uid="{D3DD24EE-AD70-4FB7-8D6C-45F78E8D57C0}"/>
    <cellStyle name="Migliaia 24 3 2 3 3" xfId="11952" xr:uid="{D638A02C-38E7-42E0-889F-FA613AE3A092}"/>
    <cellStyle name="Migliaia 24 3 2 3 4" xfId="20168" xr:uid="{2EF1AC21-0E67-4DC1-B62D-5A1EAFBA9E1B}"/>
    <cellStyle name="Migliaia 24 3 2 3 4 2" xfId="41591" xr:uid="{2F1FFA8D-26DB-4972-90F9-D92000A6DED8}"/>
    <cellStyle name="Migliaia 24 3 2 3 5" xfId="16255" xr:uid="{107C5E4F-4175-4AFA-9E56-93F906977FA5}"/>
    <cellStyle name="Migliaia 24 3 2 3 6" xfId="7889" xr:uid="{F901D794-2A44-4E1B-A092-A023C417E2E5}"/>
    <cellStyle name="Migliaia 24 3 2 4" xfId="6299" xr:uid="{91BF71F5-CBAF-432F-98C9-08118ABE273D}"/>
    <cellStyle name="Migliaia 24 3 2 4 2" xfId="18073" xr:uid="{70D56CA2-BDF4-488E-823E-09A19C002502}"/>
    <cellStyle name="Migliaia 24 3 2 4 2 2" xfId="38941" xr:uid="{1C7CBD9E-A775-488E-B602-8C879200B8A1}"/>
    <cellStyle name="Migliaia 24 3 2 4 2 3" xfId="44243" xr:uid="{FE55F5E2-27B4-4C86-B4C7-91BB3E73B67D}"/>
    <cellStyle name="Migliaia 24 3 2 4 3" xfId="36417" xr:uid="{964D1323-DBE5-43C2-B765-FBA4C8A71FFB}"/>
    <cellStyle name="Migliaia 24 3 2 4 4" xfId="41592" xr:uid="{7BE12F8D-CC87-47AE-9CF5-F37A0D3C5DD3}"/>
    <cellStyle name="Migliaia 24 3 2 4 5" xfId="17168" xr:uid="{DFEA36B4-09FA-4965-BE02-6564E11760CB}"/>
    <cellStyle name="Migliaia 24 3 2 4 6" xfId="11300" xr:uid="{A5DBC939-339D-4CE4-BA13-A2820C927918}"/>
    <cellStyle name="Migliaia 24 3 2 5" xfId="3365" xr:uid="{EB69BF82-0E63-44EA-9762-FE189CE16B02}"/>
    <cellStyle name="Migliaia 24 3 2 5 2" xfId="33499" xr:uid="{CCB168BF-A0F8-43D1-B5DD-A46CAD232E07}"/>
    <cellStyle name="Migliaia 24 3 2 5 2 2" xfId="38942" xr:uid="{4771A827-D886-4637-91A8-5691468B9BEC}"/>
    <cellStyle name="Migliaia 24 3 2 5 2 3" xfId="44244" xr:uid="{60FAF889-6E4D-47DB-B5DF-E787F20D92B0}"/>
    <cellStyle name="Migliaia 24 3 2 5 3" xfId="36418" xr:uid="{C8C86FAC-945A-4DFB-BFCE-E66300DFFEE7}"/>
    <cellStyle name="Migliaia 24 3 2 5 4" xfId="41593" xr:uid="{02A38238-803D-4DED-A580-D9CC0B33B8B5}"/>
    <cellStyle name="Migliaia 24 3 2 5 5" xfId="17378" xr:uid="{7FBF97E0-3D9C-4FE9-91B8-5E992A7CF5AA}"/>
    <cellStyle name="Migliaia 24 3 2 6" xfId="20166" xr:uid="{06FD4F81-5FA0-4347-A62D-4E4DCF56A6BD}"/>
    <cellStyle name="Migliaia 24 3 2 6 2" xfId="33500" xr:uid="{3809AD6C-8158-46CB-A3EE-B9A8499E55CE}"/>
    <cellStyle name="Migliaia 24 3 2 6 2 2" xfId="38943" xr:uid="{DE8E8CF6-4831-49BD-909E-519550ADF5F0}"/>
    <cellStyle name="Migliaia 24 3 2 6 2 3" xfId="44245" xr:uid="{CCAE0301-7417-41A1-AF67-8487C61E20F6}"/>
    <cellStyle name="Migliaia 24 3 2 6 3" xfId="36419" xr:uid="{8999FF5E-7224-4777-812C-B18987E6EEC1}"/>
    <cellStyle name="Migliaia 24 3 2 6 4" xfId="41594" xr:uid="{E62E0C56-E968-4C0F-8143-2B70B47A850E}"/>
    <cellStyle name="Migliaia 24 3 2 6 5" xfId="24560" xr:uid="{C69F17F4-DF0E-4949-8162-2E49E5C57A1C}"/>
    <cellStyle name="Migliaia 24 3 2 7" xfId="24558" xr:uid="{6578B36B-EA03-405E-A5F8-857ECC842E58}"/>
    <cellStyle name="Migliaia 24 3 2 8" xfId="7389" xr:uid="{7A919875-4DC7-464E-9683-57E18C522109}"/>
    <cellStyle name="Migliaia 24 3 3" xfId="3367" xr:uid="{5080D7CB-DC55-42CD-891C-084F41F6BAB7}"/>
    <cellStyle name="Migliaia 24 3 3 10" xfId="7388" xr:uid="{39FC4D7F-571A-4700-BC85-4D2266FAAFBD}"/>
    <cellStyle name="Migliaia 24 3 3 2" xfId="5093" xr:uid="{DBBDB7FF-D1EC-4EF9-A1A2-F754098ABDB3}"/>
    <cellStyle name="Migliaia 24 3 3 2 2" xfId="9914" xr:uid="{BF582176-05D3-4EE9-ACCB-D12978124382}"/>
    <cellStyle name="Migliaia 24 3 3 2 2 2" xfId="38945" xr:uid="{7485B303-3124-4E3F-930F-8D50D1ACB0D1}"/>
    <cellStyle name="Migliaia 24 3 3 2 2 3" xfId="44247" xr:uid="{C478E30B-6836-42C9-9854-2145C34DEA06}"/>
    <cellStyle name="Migliaia 24 3 3 2 3" xfId="18194" xr:uid="{3B70E422-CF9C-474F-838A-E96786189CDF}"/>
    <cellStyle name="Migliaia 24 3 3 2 4" xfId="20170" xr:uid="{5936ECF2-CFE4-4D40-A146-A6395DF8995D}"/>
    <cellStyle name="Migliaia 24 3 3 2 4 2" xfId="41596" xr:uid="{F7CD7989-7F73-4963-863D-4CB3757B1268}"/>
    <cellStyle name="Migliaia 24 3 3 2 5" xfId="16257" xr:uid="{D72181E3-23DC-460C-962C-2A4C5308816D}"/>
    <cellStyle name="Migliaia 24 3 3 2 6" xfId="8578" xr:uid="{8E8C4ADC-8076-4B9E-9957-1A9A1E957685}"/>
    <cellStyle name="Migliaia 24 3 3 3" xfId="6301" xr:uid="{00E34DDA-B235-4423-9A24-4649321A08B5}"/>
    <cellStyle name="Migliaia 24 3 3 3 2" xfId="33502" xr:uid="{53CE48B7-1F95-4006-9416-7C8C10785450}"/>
    <cellStyle name="Migliaia 24 3 3 3 2 2" xfId="38946" xr:uid="{F1797AC4-4706-4570-A449-0CED8488F1DE}"/>
    <cellStyle name="Migliaia 24 3 3 3 2 3" xfId="44248" xr:uid="{13DB31C7-EE6A-4A6C-9B3C-0D6ACDC3EDE1}"/>
    <cellStyle name="Migliaia 24 3 3 3 3" xfId="36421" xr:uid="{CF928FBE-132F-4822-AEC1-562AFCC6BD70}"/>
    <cellStyle name="Migliaia 24 3 3 3 4" xfId="41597" xr:uid="{5E2B2230-AB83-40B3-A9CC-E429BF2A98D4}"/>
    <cellStyle name="Migliaia 24 3 3 3 5" xfId="9677" xr:uid="{DF244F4A-EBC1-4BBA-A57E-F6AED0E5B997}"/>
    <cellStyle name="Migliaia 24 3 3 4" xfId="20169" xr:uid="{150FF41C-3908-4A5B-95A7-B92860FDBD0B}"/>
    <cellStyle name="Migliaia 24 3 3 4 2" xfId="33503" xr:uid="{42E0E349-B045-4998-87BB-BE61E88508CA}"/>
    <cellStyle name="Migliaia 24 3 3 4 2 2" xfId="38947" xr:uid="{D29104BB-4CA0-48FA-85E8-C523C4DB2E2A}"/>
    <cellStyle name="Migliaia 24 3 3 4 2 3" xfId="44249" xr:uid="{FDE12FF4-B2F4-44F6-BD96-07ECB1CB0C08}"/>
    <cellStyle name="Migliaia 24 3 3 4 3" xfId="36422" xr:uid="{831A5647-C72A-47F1-BE1E-3739E4C956A3}"/>
    <cellStyle name="Migliaia 24 3 3 4 4" xfId="41598" xr:uid="{EAADE0D6-AB62-46B2-A00F-9F59D0DABFA4}"/>
    <cellStyle name="Migliaia 24 3 3 4 5" xfId="24561" xr:uid="{B64D0C84-03F5-433B-9B3F-EA02088E3EEB}"/>
    <cellStyle name="Migliaia 24 3 3 5" xfId="24562" xr:uid="{6EF9A295-7976-470D-A754-005CAB44D023}"/>
    <cellStyle name="Migliaia 24 3 3 5 2" xfId="33504" xr:uid="{54F3E16B-0AEB-49E4-B091-9C09EDB3206F}"/>
    <cellStyle name="Migliaia 24 3 3 5 2 2" xfId="38948" xr:uid="{7C72640D-AB65-47E8-9EA8-BAAFEDE438BD}"/>
    <cellStyle name="Migliaia 24 3 3 5 2 3" xfId="44250" xr:uid="{9798D2B8-4B29-419A-BC57-BB4F1A4C928D}"/>
    <cellStyle name="Migliaia 24 3 3 5 3" xfId="36423" xr:uid="{DFE4C316-F58D-49E8-A6EE-96FA1E62006E}"/>
    <cellStyle name="Migliaia 24 3 3 5 4" xfId="41599" xr:uid="{AED7C61C-9801-45DB-8F2D-42CDBEB10120}"/>
    <cellStyle name="Migliaia 24 3 3 6" xfId="33501" xr:uid="{EC267B39-F1AB-4E86-8341-E187D8013908}"/>
    <cellStyle name="Migliaia 24 3 3 6 2" xfId="38944" xr:uid="{E771CB15-6EDB-4950-8F52-B64F6CA289C0}"/>
    <cellStyle name="Migliaia 24 3 3 6 3" xfId="44246" xr:uid="{6F0F5E30-AFB7-4F56-A608-EC7C56EFE0D2}"/>
    <cellStyle name="Migliaia 24 3 3 7" xfId="36420" xr:uid="{3FAF5335-0ED1-439F-832C-132DC19CD105}"/>
    <cellStyle name="Migliaia 24 3 3 8" xfId="41595" xr:uid="{60E16F33-8CC5-488D-B0EF-CAA1F6751438}"/>
    <cellStyle name="Migliaia 24 3 3 9" xfId="16256" xr:uid="{460B7D96-D34C-46A7-9442-1438E3B6F96C}"/>
    <cellStyle name="Migliaia 24 3 4" xfId="3368" xr:uid="{69FA4E9E-9F66-40BB-8029-2AD9978FA728}"/>
    <cellStyle name="Migliaia 24 3 4 2" xfId="5094" xr:uid="{CAFC1F73-75AF-43D3-9E2A-B9D87C9C499F}"/>
    <cellStyle name="Migliaia 24 3 4 2 2" xfId="14439" xr:uid="{19ADDE76-9141-4F5E-AA30-0541A7EF977F}"/>
    <cellStyle name="Migliaia 24 3 4 2 3" xfId="18588" xr:uid="{B3445049-3F1F-450B-A52F-C85D0EDC2F5D}"/>
    <cellStyle name="Migliaia 24 3 4 2 4" xfId="20172" xr:uid="{68368BEE-4A13-4F46-9584-4449115F099B}"/>
    <cellStyle name="Migliaia 24 3 4 2 5" xfId="32347" xr:uid="{21BA9152-1DAD-4D2B-9002-CB58A5F09AEE}"/>
    <cellStyle name="Migliaia 24 3 4 2 6" xfId="16259" xr:uid="{1C3C4FFF-0001-4DEA-96F9-31C0FF7D62ED}"/>
    <cellStyle name="Migliaia 24 3 4 2 7" xfId="8862" xr:uid="{FAAC6ABB-92D4-441D-8EF5-DC1C2AFF34DE}"/>
    <cellStyle name="Migliaia 24 3 4 3" xfId="6302" xr:uid="{E809EBA2-44D0-4602-8451-F732832BCCF7}"/>
    <cellStyle name="Migliaia 24 3 4 3 2" xfId="35237" xr:uid="{D9994005-BD5D-4B5D-98FB-89985C7C2801}"/>
    <cellStyle name="Migliaia 24 3 4 3 2 2" xfId="40397" xr:uid="{FB0162B9-2EF5-45AD-B9FE-EE94293067CF}"/>
    <cellStyle name="Migliaia 24 3 4 3 2 3" xfId="45699" xr:uid="{091D3CF0-7154-42ED-AD43-50212BEFF526}"/>
    <cellStyle name="Migliaia 24 3 4 3 3" xfId="37746" xr:uid="{7776A0F3-589C-4C8B-9F94-EFC1941640C3}"/>
    <cellStyle name="Migliaia 24 3 4 3 4" xfId="43048" xr:uid="{289257AC-9B29-4ED8-AB64-4FB6B350B7A9}"/>
    <cellStyle name="Migliaia 24 3 4 3 5" xfId="13687" xr:uid="{23FBE108-AE64-4892-85F1-6402E2562495}"/>
    <cellStyle name="Migliaia 24 3 4 4" xfId="20171" xr:uid="{F49952E5-8222-4E15-AD04-740AB50B9A97}"/>
    <cellStyle name="Migliaia 24 3 4 4 2" xfId="38949" xr:uid="{8A865408-A53A-4979-8432-ADEB018DC3A7}"/>
    <cellStyle name="Migliaia 24 3 4 4 3" xfId="44251" xr:uid="{2BB4A405-8A1B-4ECE-8ABE-37557280F0A7}"/>
    <cellStyle name="Migliaia 24 3 4 4 4" xfId="33505" xr:uid="{994E23A8-3127-4A35-899E-BC53312F0F6F}"/>
    <cellStyle name="Migliaia 24 3 4 5" xfId="36424" xr:uid="{FD0BC3FE-6FFA-400D-9321-CCFDC3AA3D9C}"/>
    <cellStyle name="Migliaia 24 3 4 6" xfId="41600" xr:uid="{B576F88C-F960-445C-B608-1F0BB9DF82B5}"/>
    <cellStyle name="Migliaia 24 3 4 7" xfId="16258" xr:uid="{D4D9F791-AC12-4116-BC7F-16641ECF8A78}"/>
    <cellStyle name="Migliaia 24 3 4 8" xfId="7672" xr:uid="{C1EB15C3-2806-45E8-AA2E-172186BF7D10}"/>
    <cellStyle name="Migliaia 24 3 5" xfId="3369" xr:uid="{F362443F-12C6-4175-BB5F-46439D7850E8}"/>
    <cellStyle name="Migliaia 24 3 5 2" xfId="5095" xr:uid="{02CE5BEC-58E4-4B6B-BD08-2DBB87C18838}"/>
    <cellStyle name="Migliaia 24 3 5 2 2" xfId="35238" xr:uid="{483C1295-FACE-44CE-A942-42DF4901C18B}"/>
    <cellStyle name="Migliaia 24 3 5 2 2 2" xfId="40398" xr:uid="{BF3C3723-2C29-4BD1-AB68-5FC697BD1D81}"/>
    <cellStyle name="Migliaia 24 3 5 2 2 3" xfId="45700" xr:uid="{14D70866-7A7C-4A18-8A64-720A8D6CD261}"/>
    <cellStyle name="Migliaia 24 3 5 2 3" xfId="37747" xr:uid="{6C4A28A8-F820-4FCE-A4D6-68FB6CD7916F}"/>
    <cellStyle name="Migliaia 24 3 5 2 4" xfId="43049" xr:uid="{E64C7CFB-F76F-4BEF-A917-FA71B9634AAC}"/>
    <cellStyle name="Migliaia 24 3 5 2 5" xfId="14229" xr:uid="{8D27ED0C-F8B7-4220-BD08-063837623240}"/>
    <cellStyle name="Migliaia 24 3 5 3" xfId="6303" xr:uid="{5397E758-4CEE-4BD1-95D4-A750A6A0BB99}"/>
    <cellStyle name="Migliaia 24 3 5 3 2" xfId="38950" xr:uid="{0DF4FCAE-469E-4BF8-B553-F8D1A94FB804}"/>
    <cellStyle name="Migliaia 24 3 5 3 3" xfId="44252" xr:uid="{2DDF9C8A-4AB9-4D76-8032-EE6768C18BFB}"/>
    <cellStyle name="Migliaia 24 3 5 3 4" xfId="33506" xr:uid="{3E052C36-3FDC-4090-8243-417299AF4B07}"/>
    <cellStyle name="Migliaia 24 3 5 3 5" xfId="20173" xr:uid="{52CFD061-502C-42F2-859C-563285CEDB54}"/>
    <cellStyle name="Migliaia 24 3 5 4" xfId="36425" xr:uid="{683144DA-9034-4D54-9FE7-0D029312531F}"/>
    <cellStyle name="Migliaia 24 3 5 5" xfId="41601" xr:uid="{0C6E5B66-6827-4C95-88F6-16E61F67C573}"/>
    <cellStyle name="Migliaia 24 3 5 6" xfId="16260" xr:uid="{5FDB352B-299E-4123-ABC4-FFB51EFFCB6E}"/>
    <cellStyle name="Migliaia 24 3 5 7" xfId="8291" xr:uid="{7E0739F3-651F-40A4-8B32-E161A85A96F9}"/>
    <cellStyle name="Migliaia 24 3 6" xfId="5090" xr:uid="{A45AD157-4B1F-469F-84CE-1FFF66ABE1DF}"/>
    <cellStyle name="Migliaia 24 3 6 2" xfId="13934" xr:uid="{E16FD8F7-CF47-412A-AA6F-0D81E51F87FD}"/>
    <cellStyle name="Migliaia 24 3 6 2 2" xfId="38951" xr:uid="{25761ECB-95B2-4FD2-B2AE-475CA7A41FE9}"/>
    <cellStyle name="Migliaia 24 3 6 2 3" xfId="44253" xr:uid="{281B7FCF-6FCE-4DED-BAA5-FBAE1273E642}"/>
    <cellStyle name="Migliaia 24 3 6 3" xfId="18017" xr:uid="{D694BF3C-5C75-4973-8629-D95777527E63}"/>
    <cellStyle name="Migliaia 24 3 6 4" xfId="20174" xr:uid="{5315E724-E4DD-4F09-89BB-CB9C5203FE68}"/>
    <cellStyle name="Migliaia 24 3 6 4 2" xfId="41602" xr:uid="{C493499A-8810-424C-85AB-615A7499D601}"/>
    <cellStyle name="Migliaia 24 3 6 5" xfId="16261" xr:uid="{61D98CB6-117A-42CE-BC19-40EAF80B00E4}"/>
    <cellStyle name="Migliaia 24 3 6 6" xfId="7888" xr:uid="{FF9C2630-1580-4A9B-A106-1F8CAF119E4D}"/>
    <cellStyle name="Migliaia 24 3 7" xfId="6298" xr:uid="{75187E9A-83D9-4BAD-A87F-87DA361FED76}"/>
    <cellStyle name="Migliaia 24 3 7 2" xfId="33507" xr:uid="{EA9BA37A-9980-49F7-A9BA-7DDE8C9A84F7}"/>
    <cellStyle name="Migliaia 24 3 7 2 2" xfId="38952" xr:uid="{AA9EBAE5-BFF7-4C41-B7FA-BDBF3F22B10D}"/>
    <cellStyle name="Migliaia 24 3 7 2 3" xfId="44254" xr:uid="{6FFA0E89-67A3-4189-8720-3F80B3050D3D}"/>
    <cellStyle name="Migliaia 24 3 7 3" xfId="36426" xr:uid="{B70A4FA2-BCC3-4B89-BCBA-843F24211A79}"/>
    <cellStyle name="Migliaia 24 3 7 4" xfId="41603" xr:uid="{82C6A6E9-1B0B-466E-92AC-810995C9317F}"/>
    <cellStyle name="Migliaia 24 3 7 5" xfId="12280" xr:uid="{291BF857-8E07-4ABA-9581-06E60ABD72C7}"/>
    <cellStyle name="Migliaia 24 3 8" xfId="3364" xr:uid="{32525DFB-9303-4830-839D-36B1027D9C80}"/>
    <cellStyle name="Migliaia 24 3 8 2" xfId="33508" xr:uid="{3D534D0C-3861-4FBD-8D87-CF11405EAABF}"/>
    <cellStyle name="Migliaia 24 3 8 2 2" xfId="38953" xr:uid="{BB59BEED-9FBB-4ECF-8AEC-0EBAA0439D88}"/>
    <cellStyle name="Migliaia 24 3 8 2 3" xfId="44255" xr:uid="{381281EA-05A1-49D3-A90F-712C4F10E8E4}"/>
    <cellStyle name="Migliaia 24 3 8 3" xfId="36427" xr:uid="{C59492A6-B59D-4269-97D8-EFE0D66BE668}"/>
    <cellStyle name="Migliaia 24 3 8 4" xfId="41604" xr:uid="{9D5620B2-E2BD-475E-AB3C-0AD228FF09C1}"/>
    <cellStyle name="Migliaia 24 3 8 5" xfId="24563" xr:uid="{5AFFFFCF-5095-49A3-871C-F658AD9871BD}"/>
    <cellStyle name="Migliaia 24 3 8 6" xfId="17379" xr:uid="{C3AA07BB-9C6D-47F7-AA25-B971CE847856}"/>
    <cellStyle name="Migliaia 24 3 9" xfId="20165" xr:uid="{59C4C65C-C58C-4610-98C5-47B27AB24FB2}"/>
    <cellStyle name="Migliaia 24 4" xfId="1738" xr:uid="{00000000-0005-0000-0000-000055030000}"/>
    <cellStyle name="Migliaia 24 4 2" xfId="1739" xr:uid="{00000000-0005-0000-0000-000056030000}"/>
    <cellStyle name="Migliaia 24 4 2 2" xfId="5097" xr:uid="{CFF64CEE-E5D3-459B-8783-CC5187D3EA82}"/>
    <cellStyle name="Migliaia 24 4 2 2 2" xfId="33509" xr:uid="{A54D9DE1-9435-42D0-9966-FF7C00179AF9}"/>
    <cellStyle name="Migliaia 24 4 2 2 2 2" xfId="38954" xr:uid="{B7BBC24A-DF3D-47F7-975D-D0E3F891A696}"/>
    <cellStyle name="Migliaia 24 4 2 2 2 3" xfId="44256" xr:uid="{FEEAD5E5-98FE-4BA6-B5AB-B888095CC72B}"/>
    <cellStyle name="Migliaia 24 4 2 2 3" xfId="36428" xr:uid="{E5AD0167-4106-4E1F-AC43-1F512C69B81D}"/>
    <cellStyle name="Migliaia 24 4 2 2 4" xfId="41605" xr:uid="{265A28C9-F3A6-4403-924B-4A72B4F67593}"/>
    <cellStyle name="Migliaia 24 4 2 2 5" xfId="9140" xr:uid="{703D285F-83A8-4F8E-AD6A-4B4381470508}"/>
    <cellStyle name="Migliaia 24 4 2 3" xfId="3371" xr:uid="{EDB00360-2F12-4585-AD67-48B5AC187662}"/>
    <cellStyle name="Migliaia 24 4 2 3 2" xfId="33510" xr:uid="{F557822C-D09D-40CD-8881-AA55CEE65FA0}"/>
    <cellStyle name="Migliaia 24 4 2 3 2 2" xfId="38955" xr:uid="{643CF57D-78F7-4205-BBF6-6364BDD126AD}"/>
    <cellStyle name="Migliaia 24 4 2 3 2 3" xfId="44257" xr:uid="{7DEF0F7B-BF48-4014-9F04-1EDB10B7310E}"/>
    <cellStyle name="Migliaia 24 4 2 3 3" xfId="36429" xr:uid="{C418DEB1-1A51-4344-8FEA-FDFD2353F23B}"/>
    <cellStyle name="Migliaia 24 4 2 3 4" xfId="41606" xr:uid="{C5F54FCD-8860-4248-AA78-17C9DE20B804}"/>
    <cellStyle name="Migliaia 24 4 2 3 5" xfId="11953" xr:uid="{DC613FBB-B95A-47F4-8070-F00D4819F472}"/>
    <cellStyle name="Migliaia 24 4 2 4" xfId="11302" xr:uid="{AA94757A-7CAC-4648-A797-9247123E6CA5}"/>
    <cellStyle name="Migliaia 24 4 2 5" xfId="10816" xr:uid="{FE13542D-D497-4D24-B5D5-D4609DB5ABE7}"/>
    <cellStyle name="Migliaia 24 4 2 5 2" xfId="21451" xr:uid="{7CEAA743-3BD2-4F08-93F4-593555186456}"/>
    <cellStyle name="Migliaia 24 4 2 5 3" xfId="47386" xr:uid="{EC6A30E0-14D7-4690-AA1D-2540AC98B585}"/>
    <cellStyle name="Migliaia 24 4 2 5 4" xfId="50466" xr:uid="{A06846AD-9489-4803-B672-366E90F07DF8}"/>
    <cellStyle name="Migliaia 24 4 2 5 5" xfId="53482" xr:uid="{AB0BD9FA-1DF5-4025-BB3F-FF0AEFAD07C3}"/>
    <cellStyle name="Migliaia 24 4 2 6" xfId="20176" xr:uid="{FCFF112A-AD90-49CB-B3B4-075971612FD3}"/>
    <cellStyle name="Migliaia 24 4 2 7" xfId="24565" xr:uid="{F0AA644F-8085-4806-8E3A-50F2B95A41EE}"/>
    <cellStyle name="Migliaia 24 4 2 8" xfId="8580" xr:uid="{B45105B3-0AA9-42C1-9C67-A7820903144D}"/>
    <cellStyle name="Migliaia 24 4 3" xfId="5096" xr:uid="{00DEA2FE-CC5F-42CD-849F-5D5A174EE1E6}"/>
    <cellStyle name="Migliaia 24 4 3 2" xfId="18195" xr:uid="{F0153962-E808-4643-B061-87CD8E8608A3}"/>
    <cellStyle name="Migliaia 24 4 3 2 2" xfId="38956" xr:uid="{0D37F394-ACA6-4D59-B796-6318D8C4ABD9}"/>
    <cellStyle name="Migliaia 24 4 3 2 3" xfId="44258" xr:uid="{F0CBF0FB-D6A9-485B-8D35-1CDDB9A5D126}"/>
    <cellStyle name="Migliaia 24 4 3 3" xfId="36430" xr:uid="{FA0A2E54-D1A2-4239-A897-969B7DA1D14B}"/>
    <cellStyle name="Migliaia 24 4 3 4" xfId="41607" xr:uid="{3BDBDF1B-5D79-45CE-9B4F-B4CEA1CECF62}"/>
    <cellStyle name="Migliaia 24 4 3 5" xfId="17377" xr:uid="{00425247-40D8-45BF-AAA6-8365814581B6}"/>
    <cellStyle name="Migliaia 24 4 3 6" xfId="9141" xr:uid="{E058D7D3-D8E0-4368-A3E7-AC37E978C24D}"/>
    <cellStyle name="Migliaia 24 4 4" xfId="6304" xr:uid="{94ED669E-EDE8-4613-806B-B8A4AFED2D1B}"/>
    <cellStyle name="Migliaia 24 4 4 2" xfId="33511" xr:uid="{365FFE34-53E6-4CF6-BED8-22419396CA2A}"/>
    <cellStyle name="Migliaia 24 4 4 2 2" xfId="38957" xr:uid="{68E796DD-7E75-45D9-BB09-B6FC04383294}"/>
    <cellStyle name="Migliaia 24 4 4 2 3" xfId="44259" xr:uid="{AC9C98B7-E8DB-4096-BFFA-82D92C07CECC}"/>
    <cellStyle name="Migliaia 24 4 4 3" xfId="36431" xr:uid="{7140E8C3-1C4E-4F5A-BDCF-9E1D88ED1B37}"/>
    <cellStyle name="Migliaia 24 4 4 4" xfId="41608" xr:uid="{F5B3D0A4-9F71-4DD4-94FD-1DCE15C49450}"/>
    <cellStyle name="Migliaia 24 4 4 5" xfId="11954" xr:uid="{3C4226D9-EACC-4BE8-BFD1-9C617120592A}"/>
    <cellStyle name="Migliaia 24 4 5" xfId="3370" xr:uid="{6019BAB4-8615-428F-864B-C5B30728FBE8}"/>
    <cellStyle name="Migliaia 24 4 5 2" xfId="33512" xr:uid="{F148E4DE-0BAC-48CD-8D8C-E9B797FFB845}"/>
    <cellStyle name="Migliaia 24 4 5 2 2" xfId="38958" xr:uid="{E157D036-40ED-4E6C-ACE3-6381434CA72C}"/>
    <cellStyle name="Migliaia 24 4 5 2 3" xfId="44260" xr:uid="{34B72D4B-7067-4F7F-A6C3-C5324D5296C9}"/>
    <cellStyle name="Migliaia 24 4 5 3" xfId="36432" xr:uid="{95F672BE-A916-4E2B-A3CE-EEDDB99DF276}"/>
    <cellStyle name="Migliaia 24 4 5 4" xfId="41609" xr:uid="{D3892DBC-29BB-4FDA-A1F6-BA8E98BC543C}"/>
    <cellStyle name="Migliaia 24 4 5 5" xfId="11301" xr:uid="{84D116CE-A851-4799-80A5-8ECE3C10C3E0}"/>
    <cellStyle name="Migliaia 24 4 6" xfId="10815" xr:uid="{CCDBED45-99A5-47A2-88E9-F7DB601B827A}"/>
    <cellStyle name="Migliaia 24 4 6 2" xfId="21450" xr:uid="{96115C3C-46B6-424E-A3C9-60C00A5244A7}"/>
    <cellStyle name="Migliaia 24 4 6 2 2" xfId="38959" xr:uid="{A3AF51F1-5537-4760-94F0-0FE0445CF6CB}"/>
    <cellStyle name="Migliaia 24 4 6 2 3" xfId="44261" xr:uid="{CD2CF63F-74D7-403A-AE89-C6D5E42DC72D}"/>
    <cellStyle name="Migliaia 24 4 6 2 4" xfId="33513" xr:uid="{C98FAA10-EC57-4219-BAC8-A6055E6862C1}"/>
    <cellStyle name="Migliaia 24 4 6 3" xfId="36433" xr:uid="{5E5A494E-D94C-4DCD-9604-C27B29CCCF71}"/>
    <cellStyle name="Migliaia 24 4 6 4" xfId="41610" xr:uid="{1E97300B-4DB7-4347-877D-44A4FE5E9498}"/>
    <cellStyle name="Migliaia 24 4 6 5" xfId="24566" xr:uid="{C958716E-9744-4CCF-B6ED-6EFE13388621}"/>
    <cellStyle name="Migliaia 24 4 6 6" xfId="46644" xr:uid="{F73DD1C7-9925-4C29-998B-780C12E19350}"/>
    <cellStyle name="Migliaia 24 4 6 7" xfId="50465" xr:uid="{8DACBA5C-E5A3-474A-B834-6540621D42F9}"/>
    <cellStyle name="Migliaia 24 4 6 8" xfId="53481" xr:uid="{86770EEE-D242-424F-BBB1-611B79512F50}"/>
    <cellStyle name="Migliaia 24 4 7" xfId="20175" xr:uid="{2A6AF626-A9D0-4B4E-AB33-B0741D910CB9}"/>
    <cellStyle name="Migliaia 24 4 7 2" xfId="33514" xr:uid="{42411B4D-87A8-4567-A290-046815FE4336}"/>
    <cellStyle name="Migliaia 24 4 7 2 2" xfId="38960" xr:uid="{97873933-1EF7-4800-826E-D5FB3C87DA36}"/>
    <cellStyle name="Migliaia 24 4 7 2 3" xfId="44262" xr:uid="{2769745D-A33E-4F43-A595-3CD9AA22CB25}"/>
    <cellStyle name="Migliaia 24 4 7 3" xfId="36434" xr:uid="{3411A9F8-2F40-4756-8BA7-F9ADE28B1444}"/>
    <cellStyle name="Migliaia 24 4 7 4" xfId="41611" xr:uid="{CCA916A9-1A1F-4FD7-A0AC-4A8A7A3B0B98}"/>
    <cellStyle name="Migliaia 24 4 7 5" xfId="24567" xr:uid="{7BBD0D46-9323-484F-80C0-556A5F67FC0A}"/>
    <cellStyle name="Migliaia 24 4 8" xfId="24564" xr:uid="{2403CDE5-52F2-4E72-A59A-E2FA20BCF92C}"/>
    <cellStyle name="Migliaia 24 4 9" xfId="7390" xr:uid="{C38DF961-2202-4301-A5FB-EB0F55618D0F}"/>
    <cellStyle name="Migliaia 24 5" xfId="1740" xr:uid="{00000000-0005-0000-0000-000057030000}"/>
    <cellStyle name="Migliaia 24 5 2" xfId="5098" xr:uid="{E6A8A29D-1CBD-4A83-AE16-C1A06670B2C6}"/>
    <cellStyle name="Migliaia 24 5 2 2" xfId="18412" xr:uid="{FE302BDA-A5E6-4EAC-AF2F-219685157812}"/>
    <cellStyle name="Migliaia 24 5 2 2 2" xfId="38961" xr:uid="{AB9DF0FC-FD5C-4300-A54C-AD1217D8D6CF}"/>
    <cellStyle name="Migliaia 24 5 2 2 3" xfId="44263" xr:uid="{152233A3-459E-48B9-B9D2-16AB2117CA2D}"/>
    <cellStyle name="Migliaia 24 5 2 3" xfId="20178" xr:uid="{35038B44-36F9-4AFE-B798-4331F5BF609C}"/>
    <cellStyle name="Migliaia 24 5 2 3 2" xfId="36435" xr:uid="{1CA7DFCB-B246-498B-A85A-EFBCDCA3ECC7}"/>
    <cellStyle name="Migliaia 24 5 2 4" xfId="41612" xr:uid="{FD9CEA0B-7B0D-4DEA-88AF-987558CA74E2}"/>
    <cellStyle name="Migliaia 24 5 2 5" xfId="16262" xr:uid="{2124EB96-A52E-4AAF-B407-7BFC45EBCBEC}"/>
    <cellStyle name="Migliaia 24 5 2 6" xfId="8581" xr:uid="{619A50F3-0C03-48AE-B1E6-4176A5150FBE}"/>
    <cellStyle name="Migliaia 24 5 3" xfId="6305" xr:uid="{7DAAB8D0-929C-4FDA-A040-4F48D540E717}"/>
    <cellStyle name="Migliaia 24 5 3 2" xfId="33515" xr:uid="{011239E5-A746-4618-958C-98CC18D891DC}"/>
    <cellStyle name="Migliaia 24 5 3 2 2" xfId="38962" xr:uid="{2CDF3884-2214-4450-8330-0901FB9BC3F9}"/>
    <cellStyle name="Migliaia 24 5 3 2 3" xfId="44264" xr:uid="{2E1EC8DF-77E8-460E-8783-C99107D4186B}"/>
    <cellStyle name="Migliaia 24 5 3 3" xfId="36436" xr:uid="{66DEDD6C-885E-4A03-B674-EE543CE7F149}"/>
    <cellStyle name="Migliaia 24 5 3 4" xfId="41613" xr:uid="{5D7CCCA8-3052-4C89-9BE2-DA0FD61564CE}"/>
    <cellStyle name="Migliaia 24 5 3 5" xfId="11303" xr:uid="{7F26D11D-534F-40B2-8DC9-57F46333C7EA}"/>
    <cellStyle name="Migliaia 24 5 4" xfId="3372" xr:uid="{37B651D2-DBB1-451D-AB77-7AFDC42D0DA6}"/>
    <cellStyle name="Migliaia 24 5 4 2" xfId="21452" xr:uid="{2F4125AB-15D0-4AEB-901C-8245A5AE0EF4}"/>
    <cellStyle name="Migliaia 24 5 4 2 2" xfId="38963" xr:uid="{6861C0FE-12BF-4BA0-A7D5-2658005D3A63}"/>
    <cellStyle name="Migliaia 24 5 4 2 3" xfId="44265" xr:uid="{8FB6C174-B1DF-4AA3-A33F-B0314DF414C4}"/>
    <cellStyle name="Migliaia 24 5 4 2 4" xfId="33516" xr:uid="{4BEB3EE5-4F9B-4678-838F-DD137C647E0B}"/>
    <cellStyle name="Migliaia 24 5 4 3" xfId="36437" xr:uid="{A42725E4-E07E-49D6-8CD7-AD434CF0E9B8}"/>
    <cellStyle name="Migliaia 24 5 4 4" xfId="41614" xr:uid="{DD521FC7-B020-4F99-8483-3071C6212AD9}"/>
    <cellStyle name="Migliaia 24 5 4 5" xfId="24569" xr:uid="{C936BF96-B450-42AC-8DF8-0783E044462B}"/>
    <cellStyle name="Migliaia 24 5 4 6" xfId="47998" xr:uid="{D76605F1-99F4-4F8E-9842-A8E56AA5075B}"/>
    <cellStyle name="Migliaia 24 5 4 7" xfId="50467" xr:uid="{0E68C300-9BC4-4156-8F69-B582B60C2EC9}"/>
    <cellStyle name="Migliaia 24 5 4 8" xfId="53483" xr:uid="{76F6C396-06E2-4D5F-80F6-8C29C27D37FA}"/>
    <cellStyle name="Migliaia 24 5 4 9" xfId="10817" xr:uid="{FE9917F8-C965-4074-B2C1-A6AC605919AD}"/>
    <cellStyle name="Migliaia 24 5 5" xfId="20177" xr:uid="{7407C888-B262-4B8A-ABD8-889785A2610B}"/>
    <cellStyle name="Migliaia 24 5 5 2" xfId="33517" xr:uid="{8A26DA96-018C-4B10-93D1-6C9F7D39DDB6}"/>
    <cellStyle name="Migliaia 24 5 5 2 2" xfId="38964" xr:uid="{381A3B03-A174-4DE0-B35E-FD726E8BC195}"/>
    <cellStyle name="Migliaia 24 5 5 2 3" xfId="44266" xr:uid="{A07A63FD-065C-44EC-8B2B-164200339750}"/>
    <cellStyle name="Migliaia 24 5 5 3" xfId="36438" xr:uid="{5CD4A038-CBF1-4549-9914-C5E4D1F06D03}"/>
    <cellStyle name="Migliaia 24 5 5 4" xfId="41615" xr:uid="{C0FBF3F0-E2A4-4C1D-AE3D-DD7CC57BE7A3}"/>
    <cellStyle name="Migliaia 24 5 5 5" xfId="24570" xr:uid="{02677B25-B5DE-4585-8050-87035A1B876D}"/>
    <cellStyle name="Migliaia 24 5 6" xfId="24571" xr:uid="{E7561426-9A28-4A53-A910-77458DE52E5B}"/>
    <cellStyle name="Migliaia 24 5 6 2" xfId="33518" xr:uid="{74663E8E-659D-4718-8838-A147799878FB}"/>
    <cellStyle name="Migliaia 24 5 6 2 2" xfId="38965" xr:uid="{FC3B431A-CAB9-4EBC-B7B2-369E91982551}"/>
    <cellStyle name="Migliaia 24 5 6 2 3" xfId="44267" xr:uid="{C3A1CA09-63C9-4426-B19C-4E779F6B7108}"/>
    <cellStyle name="Migliaia 24 5 6 3" xfId="36439" xr:uid="{6B4DAE19-B1F1-4AA6-A48C-35241044D8D5}"/>
    <cellStyle name="Migliaia 24 5 6 4" xfId="41616" xr:uid="{7BA7A6CC-FBBB-4EC8-9EB1-E0ACC1C2A56B}"/>
    <cellStyle name="Migliaia 24 5 7" xfId="24568" xr:uid="{DAC5B0B0-9108-4B80-82B9-D124C15F3EF4}"/>
    <cellStyle name="Migliaia 24 5 8" xfId="7391" xr:uid="{C1EA155D-62B5-48EB-A23B-79572632535F}"/>
    <cellStyle name="Migliaia 24 6" xfId="3373" xr:uid="{12987F15-688D-43E6-AC9B-83A17E1FEA94}"/>
    <cellStyle name="Migliaia 24 6 2" xfId="5099" xr:uid="{DAD51866-B3DD-457A-A332-4650219BABF0}"/>
    <cellStyle name="Migliaia 24 6 2 2" xfId="9913" xr:uid="{A63A30D9-DA79-46BD-8D4A-0FF187498EAD}"/>
    <cellStyle name="Migliaia 24 6 2 3" xfId="18664" xr:uid="{A79F986C-D408-4748-A81A-58AC00E61384}"/>
    <cellStyle name="Migliaia 24 6 2 4" xfId="20180" xr:uid="{C323BC30-7D71-4B7C-AC26-3D9569301921}"/>
    <cellStyle name="Migliaia 24 6 2 5" xfId="32348" xr:uid="{1FB863F4-F2CC-456A-896B-B15A6C7E1F87}"/>
    <cellStyle name="Migliaia 24 6 2 6" xfId="16264" xr:uid="{C860E5D7-ED8A-4114-AB43-D700C1C8FE2E}"/>
    <cellStyle name="Migliaia 24 6 2 7" xfId="8576" xr:uid="{7831EEF9-42DB-48E0-B52A-3E886F1100EE}"/>
    <cellStyle name="Migliaia 24 6 3" xfId="6306" xr:uid="{B4A6E9C9-2039-4CC7-A5B5-7B085A8FB3A2}"/>
    <cellStyle name="Migliaia 24 6 3 2" xfId="35239" xr:uid="{D6CB368D-EB83-45B2-931D-02C7786AF19A}"/>
    <cellStyle name="Migliaia 24 6 3 2 2" xfId="40399" xr:uid="{B215E2D8-544F-4505-92F3-97C69EB6F26E}"/>
    <cellStyle name="Migliaia 24 6 3 2 3" xfId="45701" xr:uid="{B2B47C0F-92C6-4B60-B3E0-FE1070313A39}"/>
    <cellStyle name="Migliaia 24 6 3 3" xfId="37748" xr:uid="{8B43CE4E-FC49-4E07-978D-8773DF3B1E9B}"/>
    <cellStyle name="Migliaia 24 6 3 4" xfId="43050" xr:uid="{E9FA4065-9394-4DE6-A200-0D1688E507E2}"/>
    <cellStyle name="Migliaia 24 6 3 5" xfId="9676" xr:uid="{EDA32886-4EC2-4317-9572-16AE2B72BABE}"/>
    <cellStyle name="Migliaia 24 6 4" xfId="20179" xr:uid="{BA3D323B-071F-437D-8A63-74A0647388E4}"/>
    <cellStyle name="Migliaia 24 6 4 2" xfId="38966" xr:uid="{1559A435-A033-4198-BCA5-6D236A1BC6E6}"/>
    <cellStyle name="Migliaia 24 6 4 3" xfId="44268" xr:uid="{ABA9895E-935C-4B11-A702-F102FCC64E44}"/>
    <cellStyle name="Migliaia 24 6 4 4" xfId="33519" xr:uid="{0404C90E-9EDC-4516-997C-A51ACF2A7046}"/>
    <cellStyle name="Migliaia 24 6 5" xfId="36440" xr:uid="{862FB6F7-43BF-47FE-A45D-AF5AE5F1CD31}"/>
    <cellStyle name="Migliaia 24 6 6" xfId="41617" xr:uid="{A0A7D0B7-0377-424F-858E-C293723F6B6D}"/>
    <cellStyle name="Migliaia 24 6 7" xfId="16263" xr:uid="{08E11B2E-E7AB-4AF6-B817-07328A137B8B}"/>
    <cellStyle name="Migliaia 24 6 8" xfId="7386" xr:uid="{4CE46EF6-7752-4781-AE3B-11556B98CFF6}"/>
    <cellStyle name="Migliaia 24 7" xfId="3374" xr:uid="{885BE739-6891-4E49-B26F-385C87E3C7C4}"/>
    <cellStyle name="Migliaia 24 7 2" xfId="5100" xr:uid="{8CEFDD5E-37EF-41DD-8199-D84B7861BA02}"/>
    <cellStyle name="Migliaia 24 7 2 2" xfId="35240" xr:uid="{D629048B-8A49-457E-9AEC-F968B6686356}"/>
    <cellStyle name="Migliaia 24 7 2 2 2" xfId="40400" xr:uid="{93B21BC8-36C4-4C62-8170-686F420A521A}"/>
    <cellStyle name="Migliaia 24 7 2 2 3" xfId="45702" xr:uid="{FB2D6D46-01B6-42F2-8ED0-32CB28D00B50}"/>
    <cellStyle name="Migliaia 24 7 2 3" xfId="37749" xr:uid="{9C90DD7E-C33E-46E9-81F1-C7185FF6BDD5}"/>
    <cellStyle name="Migliaia 24 7 2 4" xfId="43051" xr:uid="{A26E65E6-2270-455B-B1CC-B8A208747988}"/>
    <cellStyle name="Migliaia 24 7 2 5" xfId="14227" xr:uid="{85EE35BA-9348-40B3-965C-41CC66B1EF0D}"/>
    <cellStyle name="Migliaia 24 7 3" xfId="6307" xr:uid="{CA142AE6-96A8-4A9C-9D36-C5890FFE1947}"/>
    <cellStyle name="Migliaia 24 7 3 2" xfId="38967" xr:uid="{26A13EEA-5397-44D1-919A-84429413E482}"/>
    <cellStyle name="Migliaia 24 7 3 3" xfId="44269" xr:uid="{2421E7B7-875C-4DD1-B26B-CD56CDA8E0EB}"/>
    <cellStyle name="Migliaia 24 7 3 4" xfId="33520" xr:uid="{DE220643-21E3-415C-B787-55AE86603238}"/>
    <cellStyle name="Migliaia 24 7 3 5" xfId="20181" xr:uid="{71237E60-5E78-4B23-92C5-919EAAC63CD7}"/>
    <cellStyle name="Migliaia 24 7 4" xfId="36441" xr:uid="{41A0E665-5BCC-4FD9-8575-1BB2F760F82A}"/>
    <cellStyle name="Migliaia 24 7 5" xfId="41618" xr:uid="{68E2B2CE-F678-4458-8A32-79B4C4440791}"/>
    <cellStyle name="Migliaia 24 7 6" xfId="16265" xr:uid="{8F5878D4-D2DC-4375-9691-B11DBFA16AAC}"/>
    <cellStyle name="Migliaia 24 7 7" xfId="8289" xr:uid="{F64E9A75-B803-4CCB-BE72-93BB0EA771ED}"/>
    <cellStyle name="Migliaia 24 8" xfId="3375" xr:uid="{52BA4F70-4251-4BD1-80F0-89160808AA6B}"/>
    <cellStyle name="Migliaia 24 8 2" xfId="5101" xr:uid="{29A881C4-FF5C-4068-8658-967A32DFF1FC}"/>
    <cellStyle name="Migliaia 24 8 2 2" xfId="35241" xr:uid="{569528A5-2A0C-479A-BA0D-6D3EC9E56D6C}"/>
    <cellStyle name="Migliaia 24 8 2 2 2" xfId="40401" xr:uid="{91C03A51-4939-4227-980D-5509269DA626}"/>
    <cellStyle name="Migliaia 24 8 2 2 3" xfId="45703" xr:uid="{447B1516-F001-4832-9B23-6A319C717541}"/>
    <cellStyle name="Migliaia 24 8 2 3" xfId="37750" xr:uid="{47D3497C-6E84-437D-AC1A-B31EE0D134FB}"/>
    <cellStyle name="Migliaia 24 8 2 4" xfId="43052" xr:uid="{8755EA17-2DBA-4644-82BC-F1422B855850}"/>
    <cellStyle name="Migliaia 24 8 2 5" xfId="13932" xr:uid="{2FED6196-4041-4389-9214-63E9EF896FDC}"/>
    <cellStyle name="Migliaia 24 8 3" xfId="6308" xr:uid="{E3550C8D-2512-4DDC-B2C1-38FFA9010B43}"/>
    <cellStyle name="Migliaia 24 8 3 2" xfId="38968" xr:uid="{74EED139-49D7-4B88-86F4-2346C153840E}"/>
    <cellStyle name="Migliaia 24 8 3 3" xfId="44270" xr:uid="{617CD764-3504-4413-A393-AF1A07ED5D3A}"/>
    <cellStyle name="Migliaia 24 8 3 4" xfId="33521" xr:uid="{BC63B5C0-0F44-4A36-B42A-80298FF2DF81}"/>
    <cellStyle name="Migliaia 24 8 3 5" xfId="20182" xr:uid="{20AFADD6-734A-40AA-9926-FF3171C6C615}"/>
    <cellStyle name="Migliaia 24 8 4" xfId="36442" xr:uid="{FECD5A50-9372-487B-961C-71757BD12D15}"/>
    <cellStyle name="Migliaia 24 8 5" xfId="41619" xr:uid="{42BC7F34-3D03-4655-913C-BAEC93A3A126}"/>
    <cellStyle name="Migliaia 24 8 6" xfId="16266" xr:uid="{5F29A9D8-D5EE-482B-B244-BC2E6D71D3FD}"/>
    <cellStyle name="Migliaia 24 8 7" xfId="7886" xr:uid="{FFCE4EE9-FE79-400B-9DE0-BAE96738CA4D}"/>
    <cellStyle name="Migliaia 24 9" xfId="5086" xr:uid="{8FD6BE4B-B51C-4CE9-9FAE-9659FFEFE32E}"/>
    <cellStyle name="Migliaia 24 9 2" xfId="33522" xr:uid="{0DD57DD7-A3D6-4FE5-8828-6088E1C97D5D}"/>
    <cellStyle name="Migliaia 24 9 2 2" xfId="38969" xr:uid="{5B1AE4FE-2C4F-4561-88FA-BF7200328262}"/>
    <cellStyle name="Migliaia 24 9 2 3" xfId="44271" xr:uid="{B449294A-B515-4A04-9631-E634309AA9E2}"/>
    <cellStyle name="Migliaia 24 9 3" xfId="36443" xr:uid="{B18EEB02-1E4A-4F3E-BAA5-CF5C9860AF8E}"/>
    <cellStyle name="Migliaia 24 9 4" xfId="41620" xr:uid="{077878B0-3A05-4C77-944C-63846C97C91C}"/>
    <cellStyle name="Migliaia 24 9 5" xfId="17167" xr:uid="{2BE1D7F7-86B0-445C-81C8-4DBA3D70D330}"/>
    <cellStyle name="Migliaia 25" xfId="369" xr:uid="{00000000-0005-0000-0000-000058030000}"/>
    <cellStyle name="Migliaia 25 10" xfId="6309" xr:uid="{22C255AC-2DD4-4B62-BD8D-BC16A361F43C}"/>
    <cellStyle name="Migliaia 25 10 2" xfId="38970" xr:uid="{FB5B2AA4-87B7-41FE-B371-17350EACA779}"/>
    <cellStyle name="Migliaia 25 10 3" xfId="44272" xr:uid="{FBDCFA4E-FDA6-4534-9DD3-8619DB2A0F47}"/>
    <cellStyle name="Migliaia 25 10 4" xfId="33523" xr:uid="{7D67491F-E4CA-4FA5-9C7C-9CECD5B23989}"/>
    <cellStyle name="Migliaia 25 10 5" xfId="20183" xr:uid="{5FC65A6B-27D6-49DF-829E-44677B1B5181}"/>
    <cellStyle name="Migliaia 25 11" xfId="3376" xr:uid="{EB767F5E-B74B-4014-A570-4E58A81A5A5F}"/>
    <cellStyle name="Migliaia 25 11 2" xfId="36444" xr:uid="{E45D0E7F-1927-47B4-A8A5-707008B41B8C}"/>
    <cellStyle name="Migliaia 25 12" xfId="41621" xr:uid="{5473ED80-E22F-44F6-9376-8D09DD0C69E8}"/>
    <cellStyle name="Migliaia 25 13" xfId="7093" xr:uid="{7ED68612-D43E-4BFC-9E62-09D4CCF9ADB3}"/>
    <cellStyle name="Migliaia 25 2" xfId="370" xr:uid="{00000000-0005-0000-0000-000059030000}"/>
    <cellStyle name="Migliaia 25 2 2" xfId="1741" xr:uid="{00000000-0005-0000-0000-00005A030000}"/>
    <cellStyle name="Migliaia 25 2 2 2" xfId="5104" xr:uid="{EA6A8529-8704-4CE0-A6CE-EA273360199D}"/>
    <cellStyle name="Migliaia 25 2 2 2 2" xfId="14380" xr:uid="{CB88B3B3-51B6-42C4-B8D2-824ED3803DAE}"/>
    <cellStyle name="Migliaia 25 2 2 2 2 2" xfId="38971" xr:uid="{EF4B8C60-BF73-4DFD-885C-16EE184B6DF1}"/>
    <cellStyle name="Migliaia 25 2 2 2 2 3" xfId="44273" xr:uid="{0DCA1249-0D56-464D-B482-DFAF802F943A}"/>
    <cellStyle name="Migliaia 25 2 2 2 3" xfId="18413" xr:uid="{BBD65F43-8ECB-4B53-8371-DD7E10AA5A7E}"/>
    <cellStyle name="Migliaia 25 2 2 2 4" xfId="20186" xr:uid="{2E3F731C-17A3-4374-BD99-704A85DE2BC4}"/>
    <cellStyle name="Migliaia 25 2 2 2 4 2" xfId="41622" xr:uid="{9B9D5C53-E9BD-4971-83DC-B22941D49C20}"/>
    <cellStyle name="Migliaia 25 2 2 2 5" xfId="16267" xr:uid="{A9C4B761-FD68-471D-8072-70D3563406CF}"/>
    <cellStyle name="Migliaia 25 2 2 2 6" xfId="8583" xr:uid="{17131682-C8ED-404D-ACD7-7511C20DC3D1}"/>
    <cellStyle name="Migliaia 25 2 2 3" xfId="6311" xr:uid="{1916F5D5-38E4-4E7D-8BB1-B19AB9795ECD}"/>
    <cellStyle name="Migliaia 25 2 2 3 2" xfId="35242" xr:uid="{DA5C64BB-4DA5-44D5-836C-B5765D92EB5D}"/>
    <cellStyle name="Migliaia 25 2 2 3 2 2" xfId="40402" xr:uid="{CDA9742F-18AE-48F3-BC5E-113C4179CF74}"/>
    <cellStyle name="Migliaia 25 2 2 3 2 3" xfId="45704" xr:uid="{788BD8D2-A3AC-452F-9538-1AA6FD3BEE68}"/>
    <cellStyle name="Migliaia 25 2 2 3 3" xfId="37751" xr:uid="{D7531CAC-B5AB-459F-AF48-A7AF6A8E4E20}"/>
    <cellStyle name="Migliaia 25 2 2 3 4" xfId="43053" xr:uid="{D36FE684-F30B-4F93-8890-E6039B9DA24A}"/>
    <cellStyle name="Migliaia 25 2 2 3 5" xfId="11607" xr:uid="{DA378B2A-065A-40FE-B51B-464314B3D9E6}"/>
    <cellStyle name="Migliaia 25 2 2 4" xfId="3378" xr:uid="{189CD87C-0B8E-494B-8199-876878822E5E}"/>
    <cellStyle name="Migliaia 25 2 2 4 2" xfId="21453" xr:uid="{FF1ADAF8-68B2-4F61-8A66-776DD0B3D396}"/>
    <cellStyle name="Migliaia 25 2 2 4 3" xfId="47958" xr:uid="{3988A973-64D3-4CC6-8F1D-D12E5B09F1AD}"/>
    <cellStyle name="Migliaia 25 2 2 4 4" xfId="50468" xr:uid="{835A0D21-DD8F-4DB0-AE45-CFDC0EDA0DC8}"/>
    <cellStyle name="Migliaia 25 2 2 4 5" xfId="53484" xr:uid="{F3542E83-8543-4214-B8E9-C7025707FE10}"/>
    <cellStyle name="Migliaia 25 2 2 4 6" xfId="10818" xr:uid="{FBC57E46-EDF0-4646-B74B-150C760F6237}"/>
    <cellStyle name="Migliaia 25 2 2 5" xfId="20185" xr:uid="{F6F05EA2-E672-4E93-BC22-79D7806AC470}"/>
    <cellStyle name="Migliaia 25 2 2 6" xfId="24573" xr:uid="{4A5288D4-B05A-4C32-949E-25CFE4FFE7BA}"/>
    <cellStyle name="Migliaia 25 2 2 7" xfId="7393" xr:uid="{61E92F38-569D-4344-86B5-426A9B028FA3}"/>
    <cellStyle name="Migliaia 25 2 3" xfId="3379" xr:uid="{6E3C30E8-D2E4-46BB-96FE-B2F88DA9A688}"/>
    <cellStyle name="Migliaia 25 2 3 2" xfId="5105" xr:uid="{F20A949A-81AC-4F92-B20F-7A5EA04C9A46}"/>
    <cellStyle name="Migliaia 25 2 3 2 2" xfId="35243" xr:uid="{6A48FFAE-3550-4009-9B74-D7764E92E1D2}"/>
    <cellStyle name="Migliaia 25 2 3 2 2 2" xfId="40403" xr:uid="{DDDE3802-F255-45A7-A269-BFBFFBD93552}"/>
    <cellStyle name="Migliaia 25 2 3 2 2 3" xfId="45705" xr:uid="{C2EDC495-9EBF-4B29-86BE-B08813466958}"/>
    <cellStyle name="Migliaia 25 2 3 2 3" xfId="37752" xr:uid="{D92D9BCA-B082-4168-A24B-675B15FFF39E}"/>
    <cellStyle name="Migliaia 25 2 3 2 4" xfId="43054" xr:uid="{FA89ABE8-E967-487E-915E-87D41822A158}"/>
    <cellStyle name="Migliaia 25 2 3 2 5" xfId="14231" xr:uid="{4FEE99AD-9063-4523-8D94-C6BE9B9FA44A}"/>
    <cellStyle name="Migliaia 25 2 3 3" xfId="6312" xr:uid="{DEFA9595-71A9-414D-83D8-F336F24606A9}"/>
    <cellStyle name="Migliaia 25 2 3 3 2" xfId="38972" xr:uid="{3A282EAC-B800-4D10-8A18-C707169AE253}"/>
    <cellStyle name="Migliaia 25 2 3 3 3" xfId="44274" xr:uid="{85A176CF-75C0-45FF-935D-FE43CF8C5A5F}"/>
    <cellStyle name="Migliaia 25 2 3 3 4" xfId="33524" xr:uid="{769633C7-A273-4ACC-986B-D0A6E6AD96A3}"/>
    <cellStyle name="Migliaia 25 2 3 3 5" xfId="20187" xr:uid="{CB391F14-61A1-4514-ABB0-FFBFFC0C0B09}"/>
    <cellStyle name="Migliaia 25 2 3 4" xfId="36445" xr:uid="{0E282EDB-E515-4C32-B02C-3848533D4CF1}"/>
    <cellStyle name="Migliaia 25 2 3 5" xfId="41623" xr:uid="{E4B81DE6-CE26-4BA5-894C-0A594E4FA54F}"/>
    <cellStyle name="Migliaia 25 2 3 6" xfId="16268" xr:uid="{AD648B0C-C53A-4425-B98F-B8D25C514A2A}"/>
    <cellStyle name="Migliaia 25 2 3 7" xfId="8293" xr:uid="{20E5A16C-3943-448E-9CA9-A5624B6D64F9}"/>
    <cellStyle name="Migliaia 25 2 4" xfId="5103" xr:uid="{8CF5010A-1DA0-4FCE-B95E-7A3BFC6B2DF9}"/>
    <cellStyle name="Migliaia 25 2 4 2" xfId="13936" xr:uid="{D4091FAC-9477-4FB5-A098-365F4ACFF963}"/>
    <cellStyle name="Migliaia 25 2 4 2 2" xfId="38973" xr:uid="{661A8CFA-BC87-4314-BE61-D4DACED9AE0F}"/>
    <cellStyle name="Migliaia 25 2 4 2 3" xfId="44275" xr:uid="{E6B6E37E-2065-4B39-B28D-9BA9D75ED4CC}"/>
    <cellStyle name="Migliaia 25 2 4 3" xfId="18555" xr:uid="{5B744368-CD62-4CB0-94F9-8A722F9D77FF}"/>
    <cellStyle name="Migliaia 25 2 4 4" xfId="20188" xr:uid="{C8F7D2D9-4B69-4C35-855F-EC7EFF4C2627}"/>
    <cellStyle name="Migliaia 25 2 4 4 2" xfId="41624" xr:uid="{262C1D14-4758-43B6-9566-BB99FE14B212}"/>
    <cellStyle name="Migliaia 25 2 4 5" xfId="16269" xr:uid="{7F3EE544-E55F-4478-8F03-BD345CE07A93}"/>
    <cellStyle name="Migliaia 25 2 4 6" xfId="7891" xr:uid="{845E12C4-9605-400D-8F26-0F32E7C31F9C}"/>
    <cellStyle name="Migliaia 25 2 5" xfId="6310" xr:uid="{04D3C1C0-0322-4B12-8708-81A6855CEB3B}"/>
    <cellStyle name="Migliaia 25 2 5 2" xfId="33525" xr:uid="{044D3BB5-29A9-4BC0-B580-0EA43D03065F}"/>
    <cellStyle name="Migliaia 25 2 5 2 2" xfId="38974" xr:uid="{2FAF0D54-90F9-43D8-85FB-E71F71868800}"/>
    <cellStyle name="Migliaia 25 2 5 2 3" xfId="44276" xr:uid="{08A678ED-8C5E-4270-8DBC-239C9EE3E0A7}"/>
    <cellStyle name="Migliaia 25 2 5 3" xfId="36446" xr:uid="{A521E427-9095-417C-A28D-B582EAD83131}"/>
    <cellStyle name="Migliaia 25 2 5 4" xfId="41625" xr:uid="{20DCE9DE-A5DA-4E35-8314-59C604C03E5A}"/>
    <cellStyle name="Migliaia 25 2 5 5" xfId="13120" xr:uid="{F4C53D1A-2D93-445E-880A-0B5374D97F59}"/>
    <cellStyle name="Migliaia 25 2 6" xfId="3377" xr:uid="{CA8902D7-E55D-42D7-87BA-BCC8320D2F01}"/>
    <cellStyle name="Migliaia 25 2 6 2" xfId="33526" xr:uid="{61E68697-C3D3-4270-A52B-78CFDF0F1D0C}"/>
    <cellStyle name="Migliaia 25 2 6 2 2" xfId="38975" xr:uid="{42091769-3050-4019-AFE8-B6276DDCE191}"/>
    <cellStyle name="Migliaia 25 2 6 2 3" xfId="44277" xr:uid="{5DADA741-6661-4D30-BF7A-40A9087DB5B0}"/>
    <cellStyle name="Migliaia 25 2 6 3" xfId="36447" xr:uid="{404D1841-3390-4F49-8EB5-F57441632232}"/>
    <cellStyle name="Migliaia 25 2 6 4" xfId="41626" xr:uid="{170A0928-0E35-440F-AFB8-0D1B18E4D36E}"/>
    <cellStyle name="Migliaia 25 2 6 5" xfId="24574" xr:uid="{6F6B0CD6-B5ED-483D-9E47-8231F3D2A39C}"/>
    <cellStyle name="Migliaia 25 2 6 6" xfId="20184" xr:uid="{C75C4187-6320-4E98-A631-9073BC80A510}"/>
    <cellStyle name="Migliaia 25 2 7" xfId="24572" xr:uid="{264FF009-BF06-480A-B6BE-FDB2205567E6}"/>
    <cellStyle name="Migliaia 25 2 8" xfId="7094" xr:uid="{F20A4BD6-5B3C-4CFF-B969-4E94A9CA1EA6}"/>
    <cellStyle name="Migliaia 25 3" xfId="371" xr:uid="{00000000-0005-0000-0000-00005B030000}"/>
    <cellStyle name="Migliaia 25 3 10" xfId="24575" xr:uid="{1958B8EA-4F8E-4B0A-BC7D-82327F393BBE}"/>
    <cellStyle name="Migliaia 25 3 11" xfId="16270" xr:uid="{97C05413-1B01-4627-9897-CAE835172623}"/>
    <cellStyle name="Migliaia 25 3 12" xfId="7095" xr:uid="{8191C03F-64D0-427B-9D5A-A2637F713CA1}"/>
    <cellStyle name="Migliaia 25 3 2" xfId="372" xr:uid="{00000000-0005-0000-0000-00005C030000}"/>
    <cellStyle name="Migliaia 25 3 2 2" xfId="1742" xr:uid="{00000000-0005-0000-0000-00005D030000}"/>
    <cellStyle name="Migliaia 25 3 2 2 2" xfId="5108" xr:uid="{0B9F4DC5-B4FA-4A19-9C6D-EAD6C7A9416B}"/>
    <cellStyle name="Migliaia 25 3 2 2 2 2" xfId="18414" xr:uid="{22322E5F-1DE4-4867-BC08-DDBA24C41088}"/>
    <cellStyle name="Migliaia 25 3 2 2 2 2 2" xfId="21858" xr:uid="{7EE8E371-B726-44F9-8F6D-814C87E12E2B}"/>
    <cellStyle name="Migliaia 25 3 2 2 2 2 2 2" xfId="38976" xr:uid="{8F7827D0-DDFC-40E1-ADC9-833EC6928F5D}"/>
    <cellStyle name="Migliaia 25 3 2 2 2 2 3" xfId="44278" xr:uid="{75372C18-433D-43F5-BC65-26AB3B87CA7A}"/>
    <cellStyle name="Migliaia 25 3 2 2 2 2 4" xfId="33527" xr:uid="{8556D9CB-03A3-4B3B-9E3D-FB7C9628CA37}"/>
    <cellStyle name="Migliaia 25 3 2 2 2 3" xfId="36448" xr:uid="{EAB790A0-1753-426F-B09E-99ED51ED94CD}"/>
    <cellStyle name="Migliaia 25 3 2 2 2 4" xfId="41627" xr:uid="{9F9B1DEF-3942-4901-AAFC-85ECE91AC226}"/>
    <cellStyle name="Migliaia 25 3 2 2 2 5" xfId="47464" xr:uid="{5585904D-F357-438A-A7CD-0E7218CD9BFC}"/>
    <cellStyle name="Migliaia 25 3 2 2 2 6" xfId="50886" xr:uid="{8B312320-D4FF-4127-B451-E6843DF76BF1}"/>
    <cellStyle name="Migliaia 25 3 2 2 2 7" xfId="53902" xr:uid="{18891ABE-E761-49A5-881C-1C38DCD1927F}"/>
    <cellStyle name="Migliaia 25 3 2 2 2 8" xfId="17655" xr:uid="{3E1D8F26-64D2-45A5-AEFF-B8AF5A17FC0D}"/>
    <cellStyle name="Migliaia 25 3 2 2 2 9" xfId="11955" xr:uid="{1333D0BD-78DD-4CCE-AE86-F975672DC17A}"/>
    <cellStyle name="Migliaia 25 3 2 2 3" xfId="6315" xr:uid="{F706CE86-183F-454E-ACB4-858B22BC0D4E}"/>
    <cellStyle name="Migliaia 25 3 2 2 3 2" xfId="11138" xr:uid="{B91028D7-DF28-46E2-9F4A-BB9BDEF04874}"/>
    <cellStyle name="Migliaia 25 3 2 2 4" xfId="3382" xr:uid="{1255F521-267B-43AD-B345-CA567310A151}"/>
    <cellStyle name="Migliaia 25 3 2 2 4 2" xfId="21454" xr:uid="{CD46A682-E2FB-4B96-9B9C-3AB124D37E3F}"/>
    <cellStyle name="Migliaia 25 3 2 2 4 3" xfId="46227" xr:uid="{C1FD3CE6-5AFA-4497-9A54-C95A426016F9}"/>
    <cellStyle name="Migliaia 25 3 2 2 4 4" xfId="50469" xr:uid="{F2B3320C-1C65-451B-9C82-4CC3E2E9422C}"/>
    <cellStyle name="Migliaia 25 3 2 2 4 5" xfId="53485" xr:uid="{AD0F1777-F3A0-44B7-ADCC-061B2D8B609B}"/>
    <cellStyle name="Migliaia 25 3 2 2 4 6" xfId="10819" xr:uid="{496D1293-DDE8-46AB-8C8F-3351158872FB}"/>
    <cellStyle name="Migliaia 25 3 2 2 5" xfId="20191" xr:uid="{30EF536F-9A7E-43E3-8885-2EEF63876669}"/>
    <cellStyle name="Migliaia 25 3 2 2 6" xfId="24577" xr:uid="{DA71C6AD-875D-4E3B-AE6F-13390433994C}"/>
    <cellStyle name="Migliaia 25 3 2 2 7" xfId="8585" xr:uid="{720245D0-6C57-40C0-B213-A311A294B0B7}"/>
    <cellStyle name="Migliaia 25 3 2 3" xfId="5107" xr:uid="{1A3F6737-167F-44BB-B698-19D19C61D28F}"/>
    <cellStyle name="Migliaia 25 3 2 3 2" xfId="12415" xr:uid="{6F1F5AD4-43D3-4923-B2F4-494A2C8F27AB}"/>
    <cellStyle name="Migliaia 25 3 2 3 2 2" xfId="38977" xr:uid="{23573FAA-4C4F-4AA5-9547-2CEB20B60AA7}"/>
    <cellStyle name="Migliaia 25 3 2 3 2 3" xfId="44279" xr:uid="{A9350565-A85A-4BC7-9533-F154B226CBFC}"/>
    <cellStyle name="Migliaia 25 3 2 3 2 4" xfId="33528" xr:uid="{308445AE-4152-4EB0-83B5-9E34887007F2}"/>
    <cellStyle name="Migliaia 25 3 2 3 3" xfId="11956" xr:uid="{BB86A900-15D6-4C4A-9B16-DAB20463FB1D}"/>
    <cellStyle name="Migliaia 25 3 2 3 4" xfId="20192" xr:uid="{026E5067-CB84-424F-90F0-83BEAD30AB9F}"/>
    <cellStyle name="Migliaia 25 3 2 3 4 2" xfId="41628" xr:uid="{B0D0797D-9D3D-428F-B85A-842F09D262C8}"/>
    <cellStyle name="Migliaia 25 3 2 3 5" xfId="16271" xr:uid="{66F24794-E3F5-478F-B9CF-937E8A18C580}"/>
    <cellStyle name="Migliaia 25 3 2 3 6" xfId="7893" xr:uid="{7B0E0443-CC2D-40D5-8F66-5BD92F71FBE8}"/>
    <cellStyle name="Migliaia 25 3 2 4" xfId="6314" xr:uid="{02758C8E-6FC9-4B61-AEAD-C471808F4EC8}"/>
    <cellStyle name="Migliaia 25 3 2 4 2" xfId="18074" xr:uid="{7122BDC3-1712-4608-BB92-EF5D0BAABEE3}"/>
    <cellStyle name="Migliaia 25 3 2 4 2 2" xfId="38978" xr:uid="{F9074B60-490F-4BCB-8D35-783AB2FEA520}"/>
    <cellStyle name="Migliaia 25 3 2 4 2 3" xfId="44280" xr:uid="{A09E94D2-9292-41FB-9FA8-39C948A732F5}"/>
    <cellStyle name="Migliaia 25 3 2 4 3" xfId="36449" xr:uid="{C5E06762-A6EF-4CAF-8A57-5BD21213A8D6}"/>
    <cellStyle name="Migliaia 25 3 2 4 4" xfId="41629" xr:uid="{6FA16952-6A26-4C07-BCCE-11CCEDD54E84}"/>
    <cellStyle name="Migliaia 25 3 2 4 5" xfId="17170" xr:uid="{DEE72B2B-5E23-4DD3-8FC8-9ED417AB07F7}"/>
    <cellStyle name="Migliaia 25 3 2 4 6" xfId="11304" xr:uid="{FA6B5B9D-CAEA-4619-9077-2A27D4CA6F06}"/>
    <cellStyle name="Migliaia 25 3 2 5" xfId="3381" xr:uid="{5F114FBB-46BD-4027-82E5-6A54E65E39D2}"/>
    <cellStyle name="Migliaia 25 3 2 5 2" xfId="33529" xr:uid="{675EFABD-8CFA-4FE3-AF96-4831FE29F1DC}"/>
    <cellStyle name="Migliaia 25 3 2 5 2 2" xfId="38979" xr:uid="{07C179D8-EF69-44FD-8A24-AEC31AB95626}"/>
    <cellStyle name="Migliaia 25 3 2 5 2 3" xfId="44281" xr:uid="{646AB3B7-BFD5-4A01-BB5C-519D8E27563E}"/>
    <cellStyle name="Migliaia 25 3 2 5 3" xfId="36450" xr:uid="{F6B4FC78-691C-4270-B099-1B681718BF48}"/>
    <cellStyle name="Migliaia 25 3 2 5 4" xfId="41630" xr:uid="{C3937E07-8956-4D16-951A-98C5331A1BA6}"/>
    <cellStyle name="Migliaia 25 3 2 5 5" xfId="17375" xr:uid="{EE9D8EE1-4792-45EB-A4B8-431765D2B587}"/>
    <cellStyle name="Migliaia 25 3 2 6" xfId="20190" xr:uid="{43BE347C-112B-46AD-B258-39D65715B3B1}"/>
    <cellStyle name="Migliaia 25 3 2 6 2" xfId="33530" xr:uid="{A1739CB7-C089-4D75-903F-BB1CC11E6974}"/>
    <cellStyle name="Migliaia 25 3 2 6 2 2" xfId="38980" xr:uid="{48E39070-EF81-41EF-A2B7-70DBACAA2D51}"/>
    <cellStyle name="Migliaia 25 3 2 6 2 3" xfId="44282" xr:uid="{ACFB773C-6BD6-4B11-B59E-A55B8DA178B0}"/>
    <cellStyle name="Migliaia 25 3 2 6 3" xfId="36451" xr:uid="{A06D0CAE-8C57-48E6-959A-C68269CA34B6}"/>
    <cellStyle name="Migliaia 25 3 2 6 4" xfId="41631" xr:uid="{C8966ABF-C0B6-4A67-A69D-4FC70F109917}"/>
    <cellStyle name="Migliaia 25 3 2 6 5" xfId="24578" xr:uid="{44C30FA0-FEF9-49A2-B0A1-D585F15BC7C1}"/>
    <cellStyle name="Migliaia 25 3 2 7" xfId="24576" xr:uid="{9DE884BE-7D65-42ED-8C7F-E97B5880C5AD}"/>
    <cellStyle name="Migliaia 25 3 2 8" xfId="7395" xr:uid="{948DB874-8F17-45F3-BA88-2FD251CFCCB4}"/>
    <cellStyle name="Migliaia 25 3 3" xfId="3383" xr:uid="{38552830-0ABA-4C01-B0AE-AEDAF6AB1987}"/>
    <cellStyle name="Migliaia 25 3 3 10" xfId="7394" xr:uid="{7FAAEF1B-D2FD-4F07-8626-010A84180BF7}"/>
    <cellStyle name="Migliaia 25 3 3 2" xfId="5109" xr:uid="{17C64CC5-A00C-43A9-92A2-B93E092BA702}"/>
    <cellStyle name="Migliaia 25 3 3 2 2" xfId="9916" xr:uid="{13692FC3-9758-41A6-9985-26034049084F}"/>
    <cellStyle name="Migliaia 25 3 3 2 2 2" xfId="38982" xr:uid="{596672E8-B807-4E66-B276-3F4DF9BC7555}"/>
    <cellStyle name="Migliaia 25 3 3 2 2 3" xfId="44284" xr:uid="{7EEB248B-CCFB-4B4B-8233-AB02247A1C9F}"/>
    <cellStyle name="Migliaia 25 3 3 2 3" xfId="18196" xr:uid="{83259077-0C31-4593-B32B-22DA7105D2D8}"/>
    <cellStyle name="Migliaia 25 3 3 2 4" xfId="20194" xr:uid="{F7A62B9E-10C7-484E-907B-82918CDE52A2}"/>
    <cellStyle name="Migliaia 25 3 3 2 4 2" xfId="41633" xr:uid="{32D4DF4E-4C66-41CB-AF1C-9C7AFE1A2DF8}"/>
    <cellStyle name="Migliaia 25 3 3 2 5" xfId="16273" xr:uid="{C8432ADB-E76A-474F-9B8D-5CB24E9C9712}"/>
    <cellStyle name="Migliaia 25 3 3 2 6" xfId="8584" xr:uid="{08379136-9363-473D-B6B8-5244FDB30C0B}"/>
    <cellStyle name="Migliaia 25 3 3 3" xfId="6316" xr:uid="{08FDF3F1-8DD6-445B-B200-E0855638C818}"/>
    <cellStyle name="Migliaia 25 3 3 3 2" xfId="33532" xr:uid="{776454FE-22F8-40C7-85B1-EA40FE1567EF}"/>
    <cellStyle name="Migliaia 25 3 3 3 2 2" xfId="38983" xr:uid="{949AC8D5-5111-405E-B8FD-1C8462170C9C}"/>
    <cellStyle name="Migliaia 25 3 3 3 2 3" xfId="44285" xr:uid="{B3A99F0B-68DB-4143-91C5-A42A9E8EF139}"/>
    <cellStyle name="Migliaia 25 3 3 3 3" xfId="36453" xr:uid="{2B890F9F-C918-43C6-8C4E-BB5017BB16DB}"/>
    <cellStyle name="Migliaia 25 3 3 3 4" xfId="41634" xr:uid="{B5605D90-F9C4-4A69-AF25-5D7554B2480E}"/>
    <cellStyle name="Migliaia 25 3 3 3 5" xfId="9679" xr:uid="{6FCA0C8C-E3A8-4658-8CDC-4B314777E86C}"/>
    <cellStyle name="Migliaia 25 3 3 4" xfId="20193" xr:uid="{6C698ACC-A374-4B83-87F7-2EED11EBFA15}"/>
    <cellStyle name="Migliaia 25 3 3 4 2" xfId="33533" xr:uid="{014EAE77-386C-4801-8A3D-3E7FC73D6E2B}"/>
    <cellStyle name="Migliaia 25 3 3 4 2 2" xfId="38984" xr:uid="{2B53CD9E-5797-4D75-B290-7CC712CF0535}"/>
    <cellStyle name="Migliaia 25 3 3 4 2 3" xfId="44286" xr:uid="{DF70EFA8-6FE3-4482-9789-ABBEA2507049}"/>
    <cellStyle name="Migliaia 25 3 3 4 3" xfId="36454" xr:uid="{D6940269-F145-46CD-8813-58A256F23A73}"/>
    <cellStyle name="Migliaia 25 3 3 4 4" xfId="41635" xr:uid="{D7690F52-8021-4DB5-B9A1-014F7CA9E6EF}"/>
    <cellStyle name="Migliaia 25 3 3 4 5" xfId="24579" xr:uid="{4D7E8D7F-3037-4821-B1A1-97CC3C48D841}"/>
    <cellStyle name="Migliaia 25 3 3 5" xfId="24580" xr:uid="{5B9FB7BC-6C84-450E-BA9B-46923A783BBD}"/>
    <cellStyle name="Migliaia 25 3 3 5 2" xfId="33534" xr:uid="{FCAC9B53-B325-4DC5-98D9-2FE73B5055F8}"/>
    <cellStyle name="Migliaia 25 3 3 5 2 2" xfId="38985" xr:uid="{66218DF8-CC41-4C8D-AF56-15632891707A}"/>
    <cellStyle name="Migliaia 25 3 3 5 2 3" xfId="44287" xr:uid="{ADE58C7D-28B8-46B6-99D4-9CF0B1E5D793}"/>
    <cellStyle name="Migliaia 25 3 3 5 3" xfId="36455" xr:uid="{3A921EE0-C91F-4DE9-8BE0-FA88098DE738}"/>
    <cellStyle name="Migliaia 25 3 3 5 4" xfId="41636" xr:uid="{BB2E74E3-8D7D-427A-A66F-E42D7667E408}"/>
    <cellStyle name="Migliaia 25 3 3 6" xfId="33531" xr:uid="{1A49C565-3A87-40E9-8479-2334ABC37744}"/>
    <cellStyle name="Migliaia 25 3 3 6 2" xfId="38981" xr:uid="{DEF67D03-1072-45B6-82EE-159166C2F5E7}"/>
    <cellStyle name="Migliaia 25 3 3 6 3" xfId="44283" xr:uid="{DF9C67D2-BFDE-4F66-BD14-9228E95A853C}"/>
    <cellStyle name="Migliaia 25 3 3 7" xfId="36452" xr:uid="{E3087F98-2273-49A3-9777-D9CEB6AC3959}"/>
    <cellStyle name="Migliaia 25 3 3 8" xfId="41632" xr:uid="{4E4067CF-82E2-45DC-AC2A-064DCE2CF8A6}"/>
    <cellStyle name="Migliaia 25 3 3 9" xfId="16272" xr:uid="{C02E4602-CD57-4A46-AEF6-4A22560CD794}"/>
    <cellStyle name="Migliaia 25 3 4" xfId="3384" xr:uid="{2179D370-5BFC-4BEA-B418-9477C7656D49}"/>
    <cellStyle name="Migliaia 25 3 4 2" xfId="5110" xr:uid="{DA613D7C-E4DF-4DED-A2FB-D007332354FD}"/>
    <cellStyle name="Migliaia 25 3 4 2 2" xfId="14440" xr:uid="{9317B6B2-8D73-439E-A31F-23BF1F8E357B}"/>
    <cellStyle name="Migliaia 25 3 4 2 3" xfId="18558" xr:uid="{F3981253-5620-4BE4-9680-83F23668554C}"/>
    <cellStyle name="Migliaia 25 3 4 2 4" xfId="20196" xr:uid="{E26519A6-85DC-4A90-9518-4F5503627A19}"/>
    <cellStyle name="Migliaia 25 3 4 2 5" xfId="32349" xr:uid="{BA3A74B3-AA2A-4119-8E96-EBF30D205D58}"/>
    <cellStyle name="Migliaia 25 3 4 2 6" xfId="16275" xr:uid="{61589B27-136C-4BA3-957B-3CE6E982B920}"/>
    <cellStyle name="Migliaia 25 3 4 2 7" xfId="8863" xr:uid="{B829C178-CD57-4696-9A5E-8A1917EE0054}"/>
    <cellStyle name="Migliaia 25 3 4 3" xfId="6317" xr:uid="{CBDDF5FB-47F9-436C-B8DE-C8C4D08C48FF}"/>
    <cellStyle name="Migliaia 25 3 4 3 2" xfId="35244" xr:uid="{863389DE-2088-4934-9158-077F4FB3FE6C}"/>
    <cellStyle name="Migliaia 25 3 4 3 2 2" xfId="40404" xr:uid="{CED0775F-C7A3-4548-9288-FA1F8FA88690}"/>
    <cellStyle name="Migliaia 25 3 4 3 2 3" xfId="45706" xr:uid="{4E4FEBC5-E8C9-4389-9438-536E86185A99}"/>
    <cellStyle name="Migliaia 25 3 4 3 3" xfId="37753" xr:uid="{E910947D-B44F-45F8-BC28-6F14B9BBF901}"/>
    <cellStyle name="Migliaia 25 3 4 3 4" xfId="43055" xr:uid="{5FA97904-09D9-42BC-9BD3-3C13150314CC}"/>
    <cellStyle name="Migliaia 25 3 4 3 5" xfId="13688" xr:uid="{90F8A7CE-4A48-46EA-B677-4002B6103DC8}"/>
    <cellStyle name="Migliaia 25 3 4 4" xfId="20195" xr:uid="{C0779A43-9F1C-4EB5-BD5A-FFBC328C05AE}"/>
    <cellStyle name="Migliaia 25 3 4 4 2" xfId="38986" xr:uid="{62558E8D-56E1-4BEE-A994-574357AA5101}"/>
    <cellStyle name="Migliaia 25 3 4 4 3" xfId="44288" xr:uid="{CA9A9386-E16F-4F5C-AD36-B04C6FFC3EA6}"/>
    <cellStyle name="Migliaia 25 3 4 4 4" xfId="33535" xr:uid="{5CA22E74-CCF0-42A5-9B2B-47D7BC6D4BB3}"/>
    <cellStyle name="Migliaia 25 3 4 5" xfId="36456" xr:uid="{DCA7ACD7-15A3-4117-991B-AE9EBBFF579B}"/>
    <cellStyle name="Migliaia 25 3 4 6" xfId="41637" xr:uid="{2F55610D-7AF1-4073-9E33-0EF8C4BF1434}"/>
    <cellStyle name="Migliaia 25 3 4 7" xfId="16274" xr:uid="{8F774F52-B5F4-4F89-A530-92C6CE19C225}"/>
    <cellStyle name="Migliaia 25 3 4 8" xfId="7673" xr:uid="{F3ACBDD3-BE31-4CEF-BD87-B1F0136D9396}"/>
    <cellStyle name="Migliaia 25 3 5" xfId="3385" xr:uid="{56732586-3F6C-45FF-881A-D07ECFF4A7AC}"/>
    <cellStyle name="Migliaia 25 3 5 2" xfId="5111" xr:uid="{F29011E9-BE7C-4C98-871B-424FB8A534AA}"/>
    <cellStyle name="Migliaia 25 3 5 2 2" xfId="35245" xr:uid="{170BCCB6-EC89-45AA-8AFB-54DF0D946C3E}"/>
    <cellStyle name="Migliaia 25 3 5 2 2 2" xfId="40405" xr:uid="{6CF61764-54AB-4736-9CC8-5AF925567A99}"/>
    <cellStyle name="Migliaia 25 3 5 2 2 3" xfId="45707" xr:uid="{847AB4E5-50F2-4FDA-ADAD-CC9745338EE1}"/>
    <cellStyle name="Migliaia 25 3 5 2 3" xfId="37754" xr:uid="{0E809514-3DB4-4356-BFCF-A9D161971CB3}"/>
    <cellStyle name="Migliaia 25 3 5 2 4" xfId="43056" xr:uid="{C1ACED36-9DD1-4010-ABCE-55B83308AEA9}"/>
    <cellStyle name="Migliaia 25 3 5 2 5" xfId="14232" xr:uid="{513B836E-9EA3-4762-87D0-850B28F11DE5}"/>
    <cellStyle name="Migliaia 25 3 5 3" xfId="6318" xr:uid="{C15C2ECC-4E73-413F-A6EE-9C73B985135B}"/>
    <cellStyle name="Migliaia 25 3 5 3 2" xfId="38987" xr:uid="{7D4DD59E-3F2C-498B-AF0F-CBB2BF59CF41}"/>
    <cellStyle name="Migliaia 25 3 5 3 3" xfId="44289" xr:uid="{7DD09088-D59B-4547-9945-3C6A1D164207}"/>
    <cellStyle name="Migliaia 25 3 5 3 4" xfId="33536" xr:uid="{F4F99B6C-DFCA-480E-B92F-2E837330983D}"/>
    <cellStyle name="Migliaia 25 3 5 3 5" xfId="20197" xr:uid="{1AF6BA8C-B954-403B-B7D1-1D02F591A405}"/>
    <cellStyle name="Migliaia 25 3 5 4" xfId="36457" xr:uid="{50E07E36-BCDA-4390-B8B7-56F28317288A}"/>
    <cellStyle name="Migliaia 25 3 5 5" xfId="41638" xr:uid="{659215E0-461D-476D-A1BA-AB17B1509F9C}"/>
    <cellStyle name="Migliaia 25 3 5 6" xfId="16276" xr:uid="{A49904C6-E58F-4BD9-8827-4D553712F76D}"/>
    <cellStyle name="Migliaia 25 3 5 7" xfId="8294" xr:uid="{9CB00F2D-B7F0-4456-9727-D63E51B404F7}"/>
    <cellStyle name="Migliaia 25 3 6" xfId="5106" xr:uid="{0737920A-D815-4BA4-AB04-FA5FFCBCF28D}"/>
    <cellStyle name="Migliaia 25 3 6 2" xfId="13937" xr:uid="{1B5FCC12-4FDC-467F-A9C3-BFAC09CCF259}"/>
    <cellStyle name="Migliaia 25 3 6 2 2" xfId="38988" xr:uid="{5BFDBD6C-1DB5-45D8-8FC5-15FC6FBDFBC1}"/>
    <cellStyle name="Migliaia 25 3 6 2 3" xfId="44290" xr:uid="{CE0BC781-BEB6-4F60-A1AF-C0C2E21E0F30}"/>
    <cellStyle name="Migliaia 25 3 6 3" xfId="18018" xr:uid="{022D364C-ED4D-40B4-8475-0AD68642A723}"/>
    <cellStyle name="Migliaia 25 3 6 4" xfId="20198" xr:uid="{2810BB0D-4F9E-445C-A3DF-486C74339B98}"/>
    <cellStyle name="Migliaia 25 3 6 4 2" xfId="41639" xr:uid="{F8B64989-CE00-4E45-AFE0-449C038D7210}"/>
    <cellStyle name="Migliaia 25 3 6 5" xfId="16277" xr:uid="{F59F7098-432F-4B23-8D8C-CDEE99D26A63}"/>
    <cellStyle name="Migliaia 25 3 6 6" xfId="7892" xr:uid="{D818D623-0E97-4148-903A-A2039243C3E2}"/>
    <cellStyle name="Migliaia 25 3 7" xfId="6313" xr:uid="{DEA93F8C-33F5-46D7-9F4F-D4918F728C95}"/>
    <cellStyle name="Migliaia 25 3 7 2" xfId="33537" xr:uid="{DF61B5EC-1968-46A1-91DB-6902564BF46B}"/>
    <cellStyle name="Migliaia 25 3 7 2 2" xfId="38989" xr:uid="{59CDCEA2-69BE-482E-9972-CCE3B21E79C6}"/>
    <cellStyle name="Migliaia 25 3 7 2 3" xfId="44291" xr:uid="{B8A61CB8-9F65-400B-8CAB-B00771639B20}"/>
    <cellStyle name="Migliaia 25 3 7 3" xfId="36458" xr:uid="{85F64227-E586-4E5E-B4DB-E94371341F8A}"/>
    <cellStyle name="Migliaia 25 3 7 4" xfId="41640" xr:uid="{6D1D820D-6C3E-400D-BF11-F42777E4E9BB}"/>
    <cellStyle name="Migliaia 25 3 7 5" xfId="12241" xr:uid="{3FBC6C3C-3D56-45E8-BCE3-3082F40B0720}"/>
    <cellStyle name="Migliaia 25 3 8" xfId="3380" xr:uid="{EE025904-31A6-4BCF-B004-0B4D13483796}"/>
    <cellStyle name="Migliaia 25 3 8 2" xfId="33538" xr:uid="{5F194DCA-5854-4283-A668-321E11A36C16}"/>
    <cellStyle name="Migliaia 25 3 8 2 2" xfId="38990" xr:uid="{A45078E0-BEA9-452F-B5F2-A3647147128F}"/>
    <cellStyle name="Migliaia 25 3 8 2 3" xfId="44292" xr:uid="{9C663C70-693F-49F2-86A2-73DB1B1CEC68}"/>
    <cellStyle name="Migliaia 25 3 8 3" xfId="36459" xr:uid="{D9BA8D54-C414-4824-8EB3-DBE50D6F293C}"/>
    <cellStyle name="Migliaia 25 3 8 4" xfId="41641" xr:uid="{4EC67972-BFBA-4D1C-B947-7E0013BD97FD}"/>
    <cellStyle name="Migliaia 25 3 8 5" xfId="24581" xr:uid="{55153C4E-10DA-4515-BAF1-EF1C4CA9C853}"/>
    <cellStyle name="Migliaia 25 3 8 6" xfId="17376" xr:uid="{EAF9F3D0-2F24-41E7-8D00-12C7E08BD2E5}"/>
    <cellStyle name="Migliaia 25 3 9" xfId="20189" xr:uid="{25635347-9665-45C9-8526-D4ADF31FAF52}"/>
    <cellStyle name="Migliaia 25 4" xfId="1743" xr:uid="{00000000-0005-0000-0000-00005E030000}"/>
    <cellStyle name="Migliaia 25 4 2" xfId="1744" xr:uid="{00000000-0005-0000-0000-00005F030000}"/>
    <cellStyle name="Migliaia 25 4 2 2" xfId="5113" xr:uid="{C8967D44-7B2E-4623-ABD8-C349880A29F5}"/>
    <cellStyle name="Migliaia 25 4 2 2 2" xfId="33539" xr:uid="{0CF92DFA-5C67-4E75-91D5-881E46188836}"/>
    <cellStyle name="Migliaia 25 4 2 2 2 2" xfId="38991" xr:uid="{BCB84286-F34A-43DE-9FE8-4C0F14B633B7}"/>
    <cellStyle name="Migliaia 25 4 2 2 2 3" xfId="44293" xr:uid="{FA696F8A-6F83-4298-9B3E-097001931627}"/>
    <cellStyle name="Migliaia 25 4 2 2 3" xfId="36460" xr:uid="{E5B9C69F-08B1-4B3C-B420-6FFCE77FDE7E}"/>
    <cellStyle name="Migliaia 25 4 2 2 4" xfId="41642" xr:uid="{366D83B9-A424-488C-8F05-63DC12E0941A}"/>
    <cellStyle name="Migliaia 25 4 2 2 5" xfId="9142" xr:uid="{6475613E-2664-4833-885C-2722C63E2D59}"/>
    <cellStyle name="Migliaia 25 4 2 3" xfId="3387" xr:uid="{1F1B7C10-BC84-4C9F-A75B-4C275BD8590B}"/>
    <cellStyle name="Migliaia 25 4 2 3 2" xfId="33540" xr:uid="{2660F1F0-4C89-430A-8E28-DD5C34435F70}"/>
    <cellStyle name="Migliaia 25 4 2 3 2 2" xfId="38992" xr:uid="{D0432658-C2DF-4B21-B4A5-0AA4FDCD585C}"/>
    <cellStyle name="Migliaia 25 4 2 3 2 3" xfId="44294" xr:uid="{18FCFD82-1225-4AA8-9354-AFF37A479C2F}"/>
    <cellStyle name="Migliaia 25 4 2 3 3" xfId="36461" xr:uid="{D117CAEF-6443-4713-A0BE-533D066B7E83}"/>
    <cellStyle name="Migliaia 25 4 2 3 4" xfId="41643" xr:uid="{DE6D5F1C-2C30-4835-9FC2-917B9D747556}"/>
    <cellStyle name="Migliaia 25 4 2 3 5" xfId="11957" xr:uid="{5A8E75AE-E482-4D5A-BE1E-30242A0AB671}"/>
    <cellStyle name="Migliaia 25 4 2 4" xfId="11306" xr:uid="{5918C730-783C-4311-B39F-7E9ED0BE2134}"/>
    <cellStyle name="Migliaia 25 4 2 5" xfId="10821" xr:uid="{6C581FD9-F0FE-4928-9FC2-57CEC33F89EE}"/>
    <cellStyle name="Migliaia 25 4 2 5 2" xfId="21456" xr:uid="{C212BFB7-2156-4D05-8DC4-CF8EB31DC22D}"/>
    <cellStyle name="Migliaia 25 4 2 5 3" xfId="34548" xr:uid="{37B3290A-8169-46F2-8081-F24E63AE6372}"/>
    <cellStyle name="Migliaia 25 4 2 5 4" xfId="50471" xr:uid="{E7B9A1CD-AC52-4566-8799-9C152976B9DF}"/>
    <cellStyle name="Migliaia 25 4 2 5 5" xfId="53487" xr:uid="{B368DA8F-3B68-4DEB-8DBD-C3EB11B913BE}"/>
    <cellStyle name="Migliaia 25 4 2 6" xfId="20200" xr:uid="{1E0C19EB-1A0D-4FB8-80B6-4F30060ECA06}"/>
    <cellStyle name="Migliaia 25 4 2 7" xfId="24583" xr:uid="{6841F793-6488-42C7-8425-7844D5A7FEA0}"/>
    <cellStyle name="Migliaia 25 4 2 8" xfId="8586" xr:uid="{1E0E5CFA-1FC6-4CBF-8469-F1B3A51FB7B5}"/>
    <cellStyle name="Migliaia 25 4 3" xfId="5112" xr:uid="{2CB245E1-F9A9-423A-95EF-E30DB1830F0F}"/>
    <cellStyle name="Migliaia 25 4 3 2" xfId="18197" xr:uid="{2E7AC88F-AA29-4421-8A9D-A6CA6E36AF9C}"/>
    <cellStyle name="Migliaia 25 4 3 2 2" xfId="38993" xr:uid="{71057637-A039-4059-A2B7-0642578D82B9}"/>
    <cellStyle name="Migliaia 25 4 3 2 3" xfId="44295" xr:uid="{12C1F427-D6EB-43D2-AF26-D56303D1BC58}"/>
    <cellStyle name="Migliaia 25 4 3 3" xfId="36462" xr:uid="{FB37418D-69D5-4D06-97DF-95BD53720142}"/>
    <cellStyle name="Migliaia 25 4 3 4" xfId="41644" xr:uid="{D6675FC4-C27C-4746-A9AF-31E8A6EE6D2E}"/>
    <cellStyle name="Migliaia 25 4 3 5" xfId="17374" xr:uid="{82F2BCE4-377A-4302-BA4D-AFE92D5D903F}"/>
    <cellStyle name="Migliaia 25 4 3 6" xfId="9143" xr:uid="{E58EA838-4C5F-46C5-8E69-808816D673C4}"/>
    <cellStyle name="Migliaia 25 4 4" xfId="6319" xr:uid="{24F0AD00-8805-457E-B063-B61950A03C91}"/>
    <cellStyle name="Migliaia 25 4 4 2" xfId="33541" xr:uid="{1DABD470-D248-4305-B9C2-B1A856507B33}"/>
    <cellStyle name="Migliaia 25 4 4 2 2" xfId="38994" xr:uid="{66489B92-A5F1-4437-AC4F-87BD054FC702}"/>
    <cellStyle name="Migliaia 25 4 4 2 3" xfId="44296" xr:uid="{2F4CEDCC-D3C3-4326-96E1-645428F2E396}"/>
    <cellStyle name="Migliaia 25 4 4 3" xfId="36463" xr:uid="{987FF55E-9FEA-46DD-B898-45C278C51569}"/>
    <cellStyle name="Migliaia 25 4 4 4" xfId="41645" xr:uid="{DE5BC7F7-DF62-48D0-94D4-FED9174048C1}"/>
    <cellStyle name="Migliaia 25 4 4 5" xfId="11958" xr:uid="{F19801BE-9080-4841-A36A-D289531C82DE}"/>
    <cellStyle name="Migliaia 25 4 5" xfId="3386" xr:uid="{8BA3486A-48A8-46D1-96A8-844397F9B1EE}"/>
    <cellStyle name="Migliaia 25 4 5 2" xfId="33542" xr:uid="{86A91863-DFB2-4D83-9095-03302E2B0D48}"/>
    <cellStyle name="Migliaia 25 4 5 2 2" xfId="38995" xr:uid="{78CE95A8-4682-4034-868A-88B76B5F4C39}"/>
    <cellStyle name="Migliaia 25 4 5 2 3" xfId="44297" xr:uid="{07FA83FB-153B-43D3-A3FB-4B87C49D6851}"/>
    <cellStyle name="Migliaia 25 4 5 3" xfId="36464" xr:uid="{74401987-DFB4-427C-A131-99DE9A6846E7}"/>
    <cellStyle name="Migliaia 25 4 5 4" xfId="41646" xr:uid="{8D2E905F-16DC-40B0-8172-C2CF537B514F}"/>
    <cellStyle name="Migliaia 25 4 5 5" xfId="11305" xr:uid="{4A3A96DB-2CCF-47B5-B624-9ECBC1087CF5}"/>
    <cellStyle name="Migliaia 25 4 6" xfId="10820" xr:uid="{0A80270D-1507-4C5E-9338-D94556EC7437}"/>
    <cellStyle name="Migliaia 25 4 6 2" xfId="21455" xr:uid="{A3550E7E-A427-412F-AA92-43F4FD90EB0F}"/>
    <cellStyle name="Migliaia 25 4 6 2 2" xfId="38996" xr:uid="{D1A9DE57-F16F-4FB8-9C17-559D65407AFD}"/>
    <cellStyle name="Migliaia 25 4 6 2 3" xfId="44298" xr:uid="{5513DEC5-154B-476D-8741-157AE9E71DD6}"/>
    <cellStyle name="Migliaia 25 4 6 2 4" xfId="33543" xr:uid="{DA0118C5-99CE-4378-9A99-60CE0096EFB4}"/>
    <cellStyle name="Migliaia 25 4 6 3" xfId="36465" xr:uid="{37D986C5-210B-4D18-B7E0-84EE5609F89E}"/>
    <cellStyle name="Migliaia 25 4 6 4" xfId="41647" xr:uid="{C0A1DBED-9978-4DE3-9DDB-565745490A08}"/>
    <cellStyle name="Migliaia 25 4 6 5" xfId="24584" xr:uid="{B51E1AC2-8160-4C1D-B5C2-579D5EC66B0C}"/>
    <cellStyle name="Migliaia 25 4 6 6" xfId="48174" xr:uid="{E2B17CE3-7779-47BC-96D5-7664C4A73EEF}"/>
    <cellStyle name="Migliaia 25 4 6 7" xfId="50470" xr:uid="{9BA14BFC-162D-4447-A9B2-1D3E33909F1C}"/>
    <cellStyle name="Migliaia 25 4 6 8" xfId="53486" xr:uid="{A1745A46-1A03-427D-9939-29881EEB330F}"/>
    <cellStyle name="Migliaia 25 4 7" xfId="20199" xr:uid="{C01C3F6E-9539-4EA8-B6E1-56623DF59C93}"/>
    <cellStyle name="Migliaia 25 4 7 2" xfId="33544" xr:uid="{5639BB23-9572-4458-A09F-9C1EE5A8E2E2}"/>
    <cellStyle name="Migliaia 25 4 7 2 2" xfId="38997" xr:uid="{46634640-CE6F-4975-8CA0-839055AF88D5}"/>
    <cellStyle name="Migliaia 25 4 7 2 3" xfId="44299" xr:uid="{5B87A785-8B00-427D-8488-0C5088D24510}"/>
    <cellStyle name="Migliaia 25 4 7 3" xfId="36466" xr:uid="{2E1B044B-9A3E-451C-955D-964A2CDA7B58}"/>
    <cellStyle name="Migliaia 25 4 7 4" xfId="41648" xr:uid="{035ABFC4-7FC4-4E7E-9D22-5B4385491A07}"/>
    <cellStyle name="Migliaia 25 4 7 5" xfId="24585" xr:uid="{5C2D5C22-DA78-445D-8CCA-FC796BE03EAF}"/>
    <cellStyle name="Migliaia 25 4 8" xfId="24582" xr:uid="{11C783B7-DA96-462B-A154-FE73B5416021}"/>
    <cellStyle name="Migliaia 25 4 9" xfId="7396" xr:uid="{5202003E-A921-4750-BF9D-1CE263527F6F}"/>
    <cellStyle name="Migliaia 25 5" xfId="1745" xr:uid="{00000000-0005-0000-0000-000060030000}"/>
    <cellStyle name="Migliaia 25 5 2" xfId="5114" xr:uid="{4E44C6E5-28FB-4D83-AA61-F336D98F7E36}"/>
    <cellStyle name="Migliaia 25 5 2 2" xfId="18415" xr:uid="{5D753F52-62AC-403D-A86E-2D94BB163129}"/>
    <cellStyle name="Migliaia 25 5 2 2 2" xfId="38998" xr:uid="{29A360AA-6E01-42B3-B89A-957270D05E88}"/>
    <cellStyle name="Migliaia 25 5 2 2 3" xfId="44300" xr:uid="{CD8B2466-DA83-43B8-BF43-B66A31A05F26}"/>
    <cellStyle name="Migliaia 25 5 2 3" xfId="20202" xr:uid="{E0FEB416-3DA5-4D41-AD37-6FC1C502C9F8}"/>
    <cellStyle name="Migliaia 25 5 2 3 2" xfId="36467" xr:uid="{AC8EBFB9-D31B-439D-B7D9-C679513C0C87}"/>
    <cellStyle name="Migliaia 25 5 2 4" xfId="41649" xr:uid="{497E2D39-3E51-4118-B45F-376D620E24AA}"/>
    <cellStyle name="Migliaia 25 5 2 5" xfId="16278" xr:uid="{6D01FCA7-F84E-4370-A668-3EACF43AA1F4}"/>
    <cellStyle name="Migliaia 25 5 2 6" xfId="8587" xr:uid="{455105A0-7811-4EFC-99BE-6BFD90D9749D}"/>
    <cellStyle name="Migliaia 25 5 3" xfId="6320" xr:uid="{3A354204-69BF-44BA-8EF3-25AAB17A801D}"/>
    <cellStyle name="Migliaia 25 5 3 2" xfId="33545" xr:uid="{39AE7229-6732-4A84-9628-44C3B0463FD0}"/>
    <cellStyle name="Migliaia 25 5 3 2 2" xfId="38999" xr:uid="{083ECC18-F4D2-4363-BE15-4CF32CFDA670}"/>
    <cellStyle name="Migliaia 25 5 3 2 3" xfId="44301" xr:uid="{7224CC0A-19E2-4D14-9AF1-77D5A92C6D08}"/>
    <cellStyle name="Migliaia 25 5 3 3" xfId="36468" xr:uid="{3DCBCB34-217C-4F77-828F-4B9DE7BA88D3}"/>
    <cellStyle name="Migliaia 25 5 3 4" xfId="41650" xr:uid="{CF1FA9A1-4AFD-4D5A-B3C8-CCC26D4F88DC}"/>
    <cellStyle name="Migliaia 25 5 3 5" xfId="11307" xr:uid="{807A946A-A326-47F7-B081-A4841130708D}"/>
    <cellStyle name="Migliaia 25 5 4" xfId="3388" xr:uid="{3770EF6E-6EDC-498E-919D-F229028F4B42}"/>
    <cellStyle name="Migliaia 25 5 4 2" xfId="21457" xr:uid="{413F62C5-418D-43E5-8A7D-DA39EE4E18FC}"/>
    <cellStyle name="Migliaia 25 5 4 2 2" xfId="39000" xr:uid="{790AD67C-AB27-4AB0-BCA2-5F1739B07C7F}"/>
    <cellStyle name="Migliaia 25 5 4 2 3" xfId="44302" xr:uid="{1C2F9074-086D-433D-95C7-7DE6F8E586F7}"/>
    <cellStyle name="Migliaia 25 5 4 2 4" xfId="33546" xr:uid="{96679DAD-7052-47E6-B593-36BBD4E15AD6}"/>
    <cellStyle name="Migliaia 25 5 4 3" xfId="36469" xr:uid="{2B8627F5-A3F8-422C-A066-3F88B882D0A3}"/>
    <cellStyle name="Migliaia 25 5 4 4" xfId="41651" xr:uid="{CDF5D065-CD4B-4CD3-9501-F3EB9C48A2D6}"/>
    <cellStyle name="Migliaia 25 5 4 5" xfId="24587" xr:uid="{453318C6-2FDC-48AC-83C1-7C55784DBB9D}"/>
    <cellStyle name="Migliaia 25 5 4 6" xfId="47392" xr:uid="{75ADC991-5634-4B27-970B-4118AF28F17F}"/>
    <cellStyle name="Migliaia 25 5 4 7" xfId="50472" xr:uid="{07107387-150A-439F-A4D4-CA5ED4BC311D}"/>
    <cellStyle name="Migliaia 25 5 4 8" xfId="53488" xr:uid="{0F7FDF16-AE18-44A0-992C-958CF09CA4AB}"/>
    <cellStyle name="Migliaia 25 5 4 9" xfId="10822" xr:uid="{11A795A7-4D0E-42DE-9141-6CE95595FAFA}"/>
    <cellStyle name="Migliaia 25 5 5" xfId="20201" xr:uid="{110A2205-657E-46DF-847C-7EFF694FBAFA}"/>
    <cellStyle name="Migliaia 25 5 5 2" xfId="33547" xr:uid="{FD5E62AF-CF3D-4BA6-91F6-1479ECDFE0B4}"/>
    <cellStyle name="Migliaia 25 5 5 2 2" xfId="39001" xr:uid="{D53C0AD5-8AB6-405C-9848-CD9B3DCDC979}"/>
    <cellStyle name="Migliaia 25 5 5 2 3" xfId="44303" xr:uid="{A3F05B4B-0EB7-4003-BE00-11634AECB30D}"/>
    <cellStyle name="Migliaia 25 5 5 3" xfId="36470" xr:uid="{8B6334A5-7F34-4BC1-811F-549766F6A136}"/>
    <cellStyle name="Migliaia 25 5 5 4" xfId="41652" xr:uid="{58FD2286-6E43-4156-BFD3-1B0F4509F849}"/>
    <cellStyle name="Migliaia 25 5 5 5" xfId="24588" xr:uid="{E959279A-51F2-48F1-BDB6-8A53A00A2D94}"/>
    <cellStyle name="Migliaia 25 5 6" xfId="24589" xr:uid="{039CD4B4-A345-4855-AE37-088B04C649E4}"/>
    <cellStyle name="Migliaia 25 5 6 2" xfId="33548" xr:uid="{55B4AC7E-9314-4348-BB28-BB0BDA026DD7}"/>
    <cellStyle name="Migliaia 25 5 6 2 2" xfId="39002" xr:uid="{C0B0D485-1B1C-45F6-AED8-CC64BD9678D2}"/>
    <cellStyle name="Migliaia 25 5 6 2 3" xfId="44304" xr:uid="{E092FE4A-ACA1-4C77-9598-831F231DDE64}"/>
    <cellStyle name="Migliaia 25 5 6 3" xfId="36471" xr:uid="{7EA828E6-07DC-4170-962A-9D0DEE3A7C7B}"/>
    <cellStyle name="Migliaia 25 5 6 4" xfId="41653" xr:uid="{C5CB3531-8BF3-450E-A6F5-F753F76B23C5}"/>
    <cellStyle name="Migliaia 25 5 7" xfId="24586" xr:uid="{3B7D819A-D302-4FEE-A9ED-8E1D116F5B9D}"/>
    <cellStyle name="Migliaia 25 5 8" xfId="7397" xr:uid="{41A1C411-25A1-4914-9DF5-B4231EEB3855}"/>
    <cellStyle name="Migliaia 25 6" xfId="3389" xr:uid="{C9507F08-C135-425A-B205-EC89A86A952F}"/>
    <cellStyle name="Migliaia 25 6 2" xfId="5115" xr:uid="{E6018C63-CC0D-4948-A419-BA07D349F2E6}"/>
    <cellStyle name="Migliaia 25 6 2 2" xfId="9915" xr:uid="{EC25025B-E52C-4285-A095-C8A1408B2ACD}"/>
    <cellStyle name="Migliaia 25 6 2 3" xfId="18663" xr:uid="{7C4B2CB9-647C-4F15-B55B-E86C51E80245}"/>
    <cellStyle name="Migliaia 25 6 2 4" xfId="20204" xr:uid="{5014F6A8-F2A9-43F3-A568-484F9E352E3C}"/>
    <cellStyle name="Migliaia 25 6 2 5" xfId="32350" xr:uid="{4522732D-C25A-4014-830D-E2861C5761D2}"/>
    <cellStyle name="Migliaia 25 6 2 6" xfId="16280" xr:uid="{F62366EA-A57D-4D26-A4D6-018002A5E732}"/>
    <cellStyle name="Migliaia 25 6 2 7" xfId="8582" xr:uid="{38627AA2-DBB6-415A-AB27-1C16EF2EFF9D}"/>
    <cellStyle name="Migliaia 25 6 3" xfId="6321" xr:uid="{9212697E-7D73-454A-A6A0-E92A65E0A799}"/>
    <cellStyle name="Migliaia 25 6 3 2" xfId="35246" xr:uid="{B932E24C-B3AA-4D98-BEB7-0E68A5AC46FA}"/>
    <cellStyle name="Migliaia 25 6 3 2 2" xfId="40406" xr:uid="{E63511F7-61DE-45FC-9A0B-798F21F47593}"/>
    <cellStyle name="Migliaia 25 6 3 2 3" xfId="45708" xr:uid="{CF3D4A9A-68CB-4CF9-AC63-2B68D68F05C2}"/>
    <cellStyle name="Migliaia 25 6 3 3" xfId="37755" xr:uid="{7E863D65-A8B4-4128-8BEF-FD5012E530F4}"/>
    <cellStyle name="Migliaia 25 6 3 4" xfId="43057" xr:uid="{6C9202A1-9A88-478D-A929-425BAD2D4FF7}"/>
    <cellStyle name="Migliaia 25 6 3 5" xfId="9678" xr:uid="{22347767-0F46-4F4A-94E6-B5120DAC0891}"/>
    <cellStyle name="Migliaia 25 6 4" xfId="20203" xr:uid="{7E9F3AF9-0BCE-4E80-8C4B-3690F2EF866B}"/>
    <cellStyle name="Migliaia 25 6 4 2" xfId="39003" xr:uid="{2A5E3CF5-9A7B-4FD6-895F-985C4EFDBBC3}"/>
    <cellStyle name="Migliaia 25 6 4 3" xfId="44305" xr:uid="{9329BB3B-B17B-42B1-85E6-C33E0E3A61E2}"/>
    <cellStyle name="Migliaia 25 6 4 4" xfId="33549" xr:uid="{98409F07-DBE0-45B0-9338-C5EC2E03BD88}"/>
    <cellStyle name="Migliaia 25 6 5" xfId="36472" xr:uid="{310F4F5C-C542-4028-99FA-20EE9C431891}"/>
    <cellStyle name="Migliaia 25 6 6" xfId="41654" xr:uid="{361DE549-82F7-493B-B3A6-8F4D8C014529}"/>
    <cellStyle name="Migliaia 25 6 7" xfId="16279" xr:uid="{BE134A42-386D-4253-914A-F964611AD437}"/>
    <cellStyle name="Migliaia 25 6 8" xfId="7392" xr:uid="{66666B04-CA4C-434A-A4A8-A4D8E7F8D37D}"/>
    <cellStyle name="Migliaia 25 7" xfId="3390" xr:uid="{E738E352-FC1E-45E9-942A-19AF280442E0}"/>
    <cellStyle name="Migliaia 25 7 2" xfId="5116" xr:uid="{9A028157-BAC1-4BD2-8309-DBB5D48B9980}"/>
    <cellStyle name="Migliaia 25 7 2 2" xfId="35247" xr:uid="{7A55DE9C-A726-4206-9F5B-00E241701E44}"/>
    <cellStyle name="Migliaia 25 7 2 2 2" xfId="40407" xr:uid="{D1242F95-1C7B-49DA-BFBF-2AA965F99B6F}"/>
    <cellStyle name="Migliaia 25 7 2 2 3" xfId="45709" xr:uid="{5FE3BB9B-3028-473C-907A-8A00D9652571}"/>
    <cellStyle name="Migliaia 25 7 2 3" xfId="37756" xr:uid="{03541401-D935-452C-A263-02957A04C3B5}"/>
    <cellStyle name="Migliaia 25 7 2 4" xfId="43058" xr:uid="{84B2522C-E922-4F2E-9A06-F6D31CBFC6CB}"/>
    <cellStyle name="Migliaia 25 7 2 5" xfId="14230" xr:uid="{060FA4D6-3F49-48AE-8209-EA61540727D8}"/>
    <cellStyle name="Migliaia 25 7 3" xfId="6322" xr:uid="{C623761F-2348-4F35-A140-AC458B24566C}"/>
    <cellStyle name="Migliaia 25 7 3 2" xfId="39004" xr:uid="{724E762C-8F1A-4AA7-9927-40403A229777}"/>
    <cellStyle name="Migliaia 25 7 3 3" xfId="44306" xr:uid="{2A053F17-B2CF-41DD-8793-A19D5266A1DA}"/>
    <cellStyle name="Migliaia 25 7 3 4" xfId="33550" xr:uid="{E65B861D-6758-4FDE-A834-F04A2497BFD0}"/>
    <cellStyle name="Migliaia 25 7 3 5" xfId="20205" xr:uid="{06638A71-68DC-427C-9615-263E8C98683D}"/>
    <cellStyle name="Migliaia 25 7 4" xfId="36473" xr:uid="{5A537F1E-F007-41BA-BE58-A0C8E369D6A9}"/>
    <cellStyle name="Migliaia 25 7 5" xfId="41655" xr:uid="{A7F7E61A-5D33-4CDA-8176-532ED255F7B0}"/>
    <cellStyle name="Migliaia 25 7 6" xfId="16281" xr:uid="{06227772-651C-4966-AF44-93BF7F35C8E3}"/>
    <cellStyle name="Migliaia 25 7 7" xfId="8292" xr:uid="{0027C7F8-84A6-4921-884D-12FE9CE61241}"/>
    <cellStyle name="Migliaia 25 8" xfId="3391" xr:uid="{9F55D917-FEE2-4804-9B25-3877895AB57A}"/>
    <cellStyle name="Migliaia 25 8 2" xfId="5117" xr:uid="{70455402-5E33-47C6-80D0-6153538BAD5F}"/>
    <cellStyle name="Migliaia 25 8 2 2" xfId="35248" xr:uid="{1137C781-5C66-4B08-AA91-391250C3E4E8}"/>
    <cellStyle name="Migliaia 25 8 2 2 2" xfId="40408" xr:uid="{19493C3A-4FF7-44B7-9824-D8554A8D30F5}"/>
    <cellStyle name="Migliaia 25 8 2 2 3" xfId="45710" xr:uid="{00886C04-EE98-4E3C-8C91-000C82AB8293}"/>
    <cellStyle name="Migliaia 25 8 2 3" xfId="37757" xr:uid="{8CCA2C6D-FDE8-4C4B-9AEE-72CFB5B296D5}"/>
    <cellStyle name="Migliaia 25 8 2 4" xfId="43059" xr:uid="{D667350A-8AA0-4D1A-902D-31F280412930}"/>
    <cellStyle name="Migliaia 25 8 2 5" xfId="13935" xr:uid="{E181FA8C-CBA4-487E-9BD4-0AE61F327B21}"/>
    <cellStyle name="Migliaia 25 8 3" xfId="6323" xr:uid="{E8243C1C-E378-4576-AD2A-9B811D9B47EA}"/>
    <cellStyle name="Migliaia 25 8 3 2" xfId="39005" xr:uid="{31FADC71-D425-49F5-89E7-6CDAFABD4EF0}"/>
    <cellStyle name="Migliaia 25 8 3 3" xfId="44307" xr:uid="{6917C928-5B6D-4BBE-9026-44C435A25C31}"/>
    <cellStyle name="Migliaia 25 8 3 4" xfId="33551" xr:uid="{EF83DE95-A8B7-4662-BDAA-260B61893DD9}"/>
    <cellStyle name="Migliaia 25 8 3 5" xfId="20206" xr:uid="{7FF2A742-C67E-463E-8AFF-BDC4AAD20BEE}"/>
    <cellStyle name="Migliaia 25 8 4" xfId="36474" xr:uid="{D7ABD42D-1799-40AF-9DDC-108ABCB6F2B3}"/>
    <cellStyle name="Migliaia 25 8 5" xfId="41656" xr:uid="{A3A9A0AC-756E-4B8A-92D8-72D1621E6A96}"/>
    <cellStyle name="Migliaia 25 8 6" xfId="16282" xr:uid="{A1CCDDBD-7858-4FF8-8246-D7AB162A0B73}"/>
    <cellStyle name="Migliaia 25 8 7" xfId="7890" xr:uid="{A45E6F53-1297-4880-89B8-1530778EACB4}"/>
    <cellStyle name="Migliaia 25 9" xfId="5102" xr:uid="{6746DBF4-E6A0-4B39-8760-2202718C7857}"/>
    <cellStyle name="Migliaia 25 9 2" xfId="33552" xr:uid="{9249E368-13CA-4BC3-BDF5-03A1D1A61580}"/>
    <cellStyle name="Migliaia 25 9 2 2" xfId="39006" xr:uid="{B8E1CD10-AC83-439A-851D-C4D01F2C13CC}"/>
    <cellStyle name="Migliaia 25 9 2 3" xfId="44308" xr:uid="{10BF912C-2ABA-4761-948F-454B4B2999AE}"/>
    <cellStyle name="Migliaia 25 9 3" xfId="36475" xr:uid="{24BDC766-985B-4414-83F1-81D195460E58}"/>
    <cellStyle name="Migliaia 25 9 4" xfId="41657" xr:uid="{45BF5D6C-3175-4033-8435-C8AA3A59E40C}"/>
    <cellStyle name="Migliaia 25 9 5" xfId="17169" xr:uid="{782487CB-A1D4-44FD-B88D-B8FC3F98E308}"/>
    <cellStyle name="Migliaia 26" xfId="373" xr:uid="{00000000-0005-0000-0000-000061030000}"/>
    <cellStyle name="Migliaia 26 10" xfId="6324" xr:uid="{B94B6870-70A4-4A3F-8DB9-6021DDE7FCF8}"/>
    <cellStyle name="Migliaia 26 10 2" xfId="39007" xr:uid="{0366C846-430B-47F4-AD86-D311FAE7190F}"/>
    <cellStyle name="Migliaia 26 10 3" xfId="44309" xr:uid="{2AA19895-B25C-4F1C-A2A1-2AD7D157D62C}"/>
    <cellStyle name="Migliaia 26 10 4" xfId="33553" xr:uid="{F201DD83-1747-4AA3-B703-6F31DFAFAEC5}"/>
    <cellStyle name="Migliaia 26 10 5" xfId="20207" xr:uid="{84041A25-3585-43A1-8000-45CB97F79902}"/>
    <cellStyle name="Migliaia 26 11" xfId="3392" xr:uid="{1A543CDA-2819-4F71-A605-AA2F81D6459E}"/>
    <cellStyle name="Migliaia 26 11 2" xfId="36476" xr:uid="{949EE54A-B501-43B6-B47B-AE48AB6AF66E}"/>
    <cellStyle name="Migliaia 26 12" xfId="41658" xr:uid="{4A4734CD-6C8E-41AC-867B-F01C10DA3807}"/>
    <cellStyle name="Migliaia 26 13" xfId="7096" xr:uid="{D3F4CA99-358E-490D-A36F-16ABB45B1B60}"/>
    <cellStyle name="Migliaia 26 2" xfId="374" xr:uid="{00000000-0005-0000-0000-000062030000}"/>
    <cellStyle name="Migliaia 26 2 2" xfId="1746" xr:uid="{00000000-0005-0000-0000-000063030000}"/>
    <cellStyle name="Migliaia 26 2 2 2" xfId="5120" xr:uid="{F8C76102-37B0-4D25-82BC-769B73AFB431}"/>
    <cellStyle name="Migliaia 26 2 2 2 2" xfId="14381" xr:uid="{CCBDE1B2-61DD-4ACA-BF0A-D171622D1C30}"/>
    <cellStyle name="Migliaia 26 2 2 2 2 2" xfId="39008" xr:uid="{17791F86-08BD-4776-BAFC-71B1B873B056}"/>
    <cellStyle name="Migliaia 26 2 2 2 2 3" xfId="44310" xr:uid="{68DCC6DD-BAE9-4046-8CDB-2661BB39AAE5}"/>
    <cellStyle name="Migliaia 26 2 2 2 3" xfId="18416" xr:uid="{57F58F02-B82A-4693-857A-F5AF798949CF}"/>
    <cellStyle name="Migliaia 26 2 2 2 4" xfId="20210" xr:uid="{7432BD63-035D-49ED-8B68-552C51EFFDA3}"/>
    <cellStyle name="Migliaia 26 2 2 2 4 2" xfId="41659" xr:uid="{AC3DE28C-CE95-405F-8AB2-115B9874F0FD}"/>
    <cellStyle name="Migliaia 26 2 2 2 5" xfId="16283" xr:uid="{B115E67D-27BA-42C0-9429-F676F239B518}"/>
    <cellStyle name="Migliaia 26 2 2 2 6" xfId="8589" xr:uid="{A22A967F-BDA9-4A4F-8AEC-D19ED65C3816}"/>
    <cellStyle name="Migliaia 26 2 2 3" xfId="6326" xr:uid="{298F1D78-E86E-413A-868B-45CDF6DE2AE9}"/>
    <cellStyle name="Migliaia 26 2 2 3 2" xfId="35249" xr:uid="{EE458032-6C5A-4748-880B-59816A186A58}"/>
    <cellStyle name="Migliaia 26 2 2 3 2 2" xfId="40409" xr:uid="{ABA53483-DFB7-4F90-9926-43547A60ADD0}"/>
    <cellStyle name="Migliaia 26 2 2 3 2 3" xfId="45711" xr:uid="{83535EE8-B132-4223-ADCC-64BAA208C621}"/>
    <cellStyle name="Migliaia 26 2 2 3 3" xfId="37758" xr:uid="{A92B519B-3FF3-434F-B5C4-E18CA3DD3523}"/>
    <cellStyle name="Migliaia 26 2 2 3 4" xfId="43060" xr:uid="{046F8411-BAC7-400F-9340-14E69B6AE4B2}"/>
    <cellStyle name="Migliaia 26 2 2 3 5" xfId="11608" xr:uid="{B5E7ECDB-EA90-41A2-BF7B-67CF18554B4D}"/>
    <cellStyle name="Migliaia 26 2 2 4" xfId="3394" xr:uid="{6E4150BB-85AD-452C-9CFF-E4B795C6F274}"/>
    <cellStyle name="Migliaia 26 2 2 4 2" xfId="21458" xr:uid="{9F7F43B6-B9BF-4F49-92F8-B49835EA8A9F}"/>
    <cellStyle name="Migliaia 26 2 2 4 3" xfId="46645" xr:uid="{2808639D-9906-4C39-B29F-AF066C0539C4}"/>
    <cellStyle name="Migliaia 26 2 2 4 4" xfId="50473" xr:uid="{A2129885-6329-40CC-9679-7C4A0622ACEF}"/>
    <cellStyle name="Migliaia 26 2 2 4 5" xfId="53489" xr:uid="{773572A3-3423-4E5F-9728-49E0D11CBB38}"/>
    <cellStyle name="Migliaia 26 2 2 4 6" xfId="10823" xr:uid="{BA1DE0FE-56D5-4B91-A13C-D3209A565195}"/>
    <cellStyle name="Migliaia 26 2 2 5" xfId="20209" xr:uid="{AB3C6CBA-FB5F-4870-ACF4-D62646A1D740}"/>
    <cellStyle name="Migliaia 26 2 2 6" xfId="24591" xr:uid="{7508492D-A46A-4C96-94B6-658E62A15389}"/>
    <cellStyle name="Migliaia 26 2 2 7" xfId="7399" xr:uid="{BBF254D1-658F-47DE-BA74-4C6CAB40CB50}"/>
    <cellStyle name="Migliaia 26 2 3" xfId="3395" xr:uid="{9F2AD5E7-5438-4FFB-AF1E-A4022D4DF7C0}"/>
    <cellStyle name="Migliaia 26 2 3 2" xfId="5121" xr:uid="{131DAAF7-DB48-4837-AC0B-3F90500675A9}"/>
    <cellStyle name="Migliaia 26 2 3 2 2" xfId="35250" xr:uid="{72038FAB-5641-4D08-B6E7-B41D82F555BF}"/>
    <cellStyle name="Migliaia 26 2 3 2 2 2" xfId="40410" xr:uid="{56565779-007C-45CD-A571-F9B6027A4862}"/>
    <cellStyle name="Migliaia 26 2 3 2 2 3" xfId="45712" xr:uid="{86152C4B-40CA-4074-9FDA-518FBD8BAFE5}"/>
    <cellStyle name="Migliaia 26 2 3 2 3" xfId="37759" xr:uid="{E23D0C26-C80C-43B1-AF9B-4F1991A94913}"/>
    <cellStyle name="Migliaia 26 2 3 2 4" xfId="43061" xr:uid="{57BC4410-2229-44D0-9574-5070F1096CA3}"/>
    <cellStyle name="Migliaia 26 2 3 2 5" xfId="14234" xr:uid="{EC3D5A1C-4B18-46C4-B959-3BE57606209D}"/>
    <cellStyle name="Migliaia 26 2 3 3" xfId="6327" xr:uid="{05188EE4-B4B8-4ECD-8FF4-A58022CF9B43}"/>
    <cellStyle name="Migliaia 26 2 3 3 2" xfId="39009" xr:uid="{6B32F38A-D8DA-46BA-99EE-05ABE3FF398A}"/>
    <cellStyle name="Migliaia 26 2 3 3 3" xfId="44311" xr:uid="{3A8981B6-2198-4D72-85A9-42141269F7BE}"/>
    <cellStyle name="Migliaia 26 2 3 3 4" xfId="33554" xr:uid="{7993EB22-596D-4B5A-953E-EBD7318744B6}"/>
    <cellStyle name="Migliaia 26 2 3 3 5" xfId="20211" xr:uid="{D68D1E76-69B5-4C4F-9FC6-68566D03753C}"/>
    <cellStyle name="Migliaia 26 2 3 4" xfId="36477" xr:uid="{604B16BF-128B-496C-8242-E422EDCF0C41}"/>
    <cellStyle name="Migliaia 26 2 3 5" xfId="41660" xr:uid="{197BCF0B-78EA-4B40-8C5E-B4848FFF0B16}"/>
    <cellStyle name="Migliaia 26 2 3 6" xfId="16284" xr:uid="{50ECDEB4-8AF5-4756-BA40-46F7C01B23D4}"/>
    <cellStyle name="Migliaia 26 2 3 7" xfId="8296" xr:uid="{F1F55B6E-C519-498A-9072-B5BBF260500C}"/>
    <cellStyle name="Migliaia 26 2 4" xfId="5119" xr:uid="{3FAC7F25-4D3F-48EF-BF20-6BA93455327A}"/>
    <cellStyle name="Migliaia 26 2 4 2" xfId="13939" xr:uid="{2EA712E5-6815-43AC-9F10-4CF96DD736D4}"/>
    <cellStyle name="Migliaia 26 2 4 2 2" xfId="39010" xr:uid="{34DBBF92-3B16-4784-90F5-AD8ACB3A9AFF}"/>
    <cellStyle name="Migliaia 26 2 4 2 3" xfId="44312" xr:uid="{C08970A5-29E4-4540-8883-85573058F867}"/>
    <cellStyle name="Migliaia 26 2 4 3" xfId="18617" xr:uid="{725E8C49-1A38-4529-8524-16D115ACF7A3}"/>
    <cellStyle name="Migliaia 26 2 4 4" xfId="20212" xr:uid="{DEDB93E2-262A-4F0A-A816-83B1AD3F79B4}"/>
    <cellStyle name="Migliaia 26 2 4 4 2" xfId="41661" xr:uid="{8790C12D-B023-415A-960F-3D0D805C80E0}"/>
    <cellStyle name="Migliaia 26 2 4 5" xfId="16285" xr:uid="{B40A7243-C8A3-47CB-A86B-6FEE8256CD35}"/>
    <cellStyle name="Migliaia 26 2 4 6" xfId="7895" xr:uid="{CE4B2521-45B6-4924-8D1F-3CEB5C89BB96}"/>
    <cellStyle name="Migliaia 26 2 5" xfId="6325" xr:uid="{1B2EF1A3-B04B-490E-A0E7-CE02316CE44E}"/>
    <cellStyle name="Migliaia 26 2 5 2" xfId="33555" xr:uid="{52893B3A-8F81-45B8-AC63-9441ADE64E19}"/>
    <cellStyle name="Migliaia 26 2 5 2 2" xfId="39011" xr:uid="{B591EAD8-7F25-412A-B687-5742184B28A0}"/>
    <cellStyle name="Migliaia 26 2 5 2 3" xfId="44313" xr:uid="{C0E5380B-BD2D-48A2-864D-29E34FE30DBD}"/>
    <cellStyle name="Migliaia 26 2 5 3" xfId="36478" xr:uid="{E2976B4F-3718-4832-85A1-428FD9DA5CCF}"/>
    <cellStyle name="Migliaia 26 2 5 4" xfId="41662" xr:uid="{F380F003-B177-4952-BC8A-3E3837FAE9A6}"/>
    <cellStyle name="Migliaia 26 2 5 5" xfId="13121" xr:uid="{19E38FE0-04CB-4F5B-AD4F-808AC58F9EE8}"/>
    <cellStyle name="Migliaia 26 2 6" xfId="3393" xr:uid="{65EE3FA7-E8F5-496A-8B15-037EDC4BE0ED}"/>
    <cellStyle name="Migliaia 26 2 6 2" xfId="33556" xr:uid="{DC598FB8-1A0A-46BC-8A9B-C50B8BCF5563}"/>
    <cellStyle name="Migliaia 26 2 6 2 2" xfId="39012" xr:uid="{8465C8C8-B0F1-4976-A761-95B6C8371BD1}"/>
    <cellStyle name="Migliaia 26 2 6 2 3" xfId="44314" xr:uid="{50873B16-05AC-4D40-8E8D-F4855F62E82A}"/>
    <cellStyle name="Migliaia 26 2 6 3" xfId="36479" xr:uid="{40B7F29B-E712-45ED-B98D-0154F7419275}"/>
    <cellStyle name="Migliaia 26 2 6 4" xfId="41663" xr:uid="{D31802F4-782C-4D2B-ABA0-952D66A668AC}"/>
    <cellStyle name="Migliaia 26 2 6 5" xfId="24592" xr:uid="{D061613A-8045-46DA-ACBB-09FBE0409793}"/>
    <cellStyle name="Migliaia 26 2 6 6" xfId="20208" xr:uid="{C8CD0996-70E8-4BBE-A77C-26629AAF64C9}"/>
    <cellStyle name="Migliaia 26 2 7" xfId="24590" xr:uid="{3EB2B1E6-F9C9-4937-A043-F09B07667947}"/>
    <cellStyle name="Migliaia 26 2 8" xfId="7097" xr:uid="{105B3E9F-F0E4-48CE-9F5C-5B7B242FA5B0}"/>
    <cellStyle name="Migliaia 26 3" xfId="375" xr:uid="{00000000-0005-0000-0000-000064030000}"/>
    <cellStyle name="Migliaia 26 3 10" xfId="24593" xr:uid="{1C307975-52ED-4BAE-84C1-9FD500C73AB3}"/>
    <cellStyle name="Migliaia 26 3 11" xfId="16286" xr:uid="{4713613A-85C9-464C-A468-9F4257D55B89}"/>
    <cellStyle name="Migliaia 26 3 12" xfId="7098" xr:uid="{ABD72637-394E-4532-8DC2-1963A4B9DAE6}"/>
    <cellStyle name="Migliaia 26 3 2" xfId="376" xr:uid="{00000000-0005-0000-0000-000065030000}"/>
    <cellStyle name="Migliaia 26 3 2 2" xfId="1747" xr:uid="{00000000-0005-0000-0000-000066030000}"/>
    <cellStyle name="Migliaia 26 3 2 2 2" xfId="5124" xr:uid="{13D5046F-97AD-4F7F-8E98-8A3993A8AD5D}"/>
    <cellStyle name="Migliaia 26 3 2 2 2 2" xfId="18417" xr:uid="{87CECE39-5371-4368-BACA-3B7EE92456C4}"/>
    <cellStyle name="Migliaia 26 3 2 2 2 2 2" xfId="21859" xr:uid="{8BCECB1B-5189-4579-94C5-7052996360C7}"/>
    <cellStyle name="Migliaia 26 3 2 2 2 2 2 2" xfId="39013" xr:uid="{EC4B4FCF-E49F-4EC6-B1A6-2C40FC22FBC8}"/>
    <cellStyle name="Migliaia 26 3 2 2 2 2 3" xfId="44315" xr:uid="{269A8FCA-3A3C-4695-93AB-FF87DD815F61}"/>
    <cellStyle name="Migliaia 26 3 2 2 2 2 4" xfId="33557" xr:uid="{81109337-1AC0-408A-BB5F-686EAE05DFF0}"/>
    <cellStyle name="Migliaia 26 3 2 2 2 3" xfId="36480" xr:uid="{53811D36-67FE-47FC-A54B-165A5FBFC606}"/>
    <cellStyle name="Migliaia 26 3 2 2 2 4" xfId="41664" xr:uid="{C2EC65E1-2A0D-4268-B7CE-0A47145051A5}"/>
    <cellStyle name="Migliaia 26 3 2 2 2 5" xfId="25119" xr:uid="{0A292035-E77A-4E4D-8240-65BE22228330}"/>
    <cellStyle name="Migliaia 26 3 2 2 2 6" xfId="50887" xr:uid="{0CC076F9-247D-4D36-B8F8-C65DBD8321A3}"/>
    <cellStyle name="Migliaia 26 3 2 2 2 7" xfId="53903" xr:uid="{D467FACA-17B0-4C11-8949-4EFB63741C94}"/>
    <cellStyle name="Migliaia 26 3 2 2 2 8" xfId="17656" xr:uid="{B10CC46C-F469-42FD-AE4F-6630A78A6DE2}"/>
    <cellStyle name="Migliaia 26 3 2 2 2 9" xfId="11959" xr:uid="{CDFA6DB8-798F-4938-891B-C9942DB58CAB}"/>
    <cellStyle name="Migliaia 26 3 2 2 3" xfId="6330" xr:uid="{60740FC5-CEB2-4BA6-9132-0CEB3529A42B}"/>
    <cellStyle name="Migliaia 26 3 2 2 3 2" xfId="11175" xr:uid="{86D61F4B-2FA5-4B4D-90CE-4F1A2D00DC82}"/>
    <cellStyle name="Migliaia 26 3 2 2 4" xfId="3398" xr:uid="{7EA16805-BB76-463D-A8E2-F2720873D8E1}"/>
    <cellStyle name="Migliaia 26 3 2 2 4 2" xfId="21459" xr:uid="{0BA828D4-64FA-4AC6-8C3B-9068DB72D8FE}"/>
    <cellStyle name="Migliaia 26 3 2 2 4 3" xfId="47976" xr:uid="{F61A6BC4-7FD3-4090-BFC7-2FBA22B7ABA3}"/>
    <cellStyle name="Migliaia 26 3 2 2 4 4" xfId="50474" xr:uid="{8DCF0D97-AEF6-4F28-A97A-5302486A9D4C}"/>
    <cellStyle name="Migliaia 26 3 2 2 4 5" xfId="53490" xr:uid="{43C69B05-2CF5-4543-8C51-A0FB7031D61E}"/>
    <cellStyle name="Migliaia 26 3 2 2 4 6" xfId="10824" xr:uid="{AFD333E6-EA15-4559-ACDD-446E63F0298E}"/>
    <cellStyle name="Migliaia 26 3 2 2 5" xfId="20215" xr:uid="{69699D09-168A-41A9-8EFF-2F069777830A}"/>
    <cellStyle name="Migliaia 26 3 2 2 6" xfId="24595" xr:uid="{C2A323F1-A5B6-4435-A8E8-57E199D9BB1B}"/>
    <cellStyle name="Migliaia 26 3 2 2 7" xfId="8591" xr:uid="{A6AD66B8-D96D-48F1-B10D-DB3131106AF7}"/>
    <cellStyle name="Migliaia 26 3 2 3" xfId="5123" xr:uid="{F1769E0F-445F-4A13-B7D4-147C55D63F97}"/>
    <cellStyle name="Migliaia 26 3 2 3 2" xfId="11131" xr:uid="{0917947C-C2E2-40B9-A2C5-6322E93613E3}"/>
    <cellStyle name="Migliaia 26 3 2 3 2 2" xfId="39014" xr:uid="{8797AF50-BF95-46ED-9D48-B5D1F8C3F0F8}"/>
    <cellStyle name="Migliaia 26 3 2 3 2 3" xfId="44316" xr:uid="{F76C4E5B-0339-4821-9B89-A47A0B3B1585}"/>
    <cellStyle name="Migliaia 26 3 2 3 2 4" xfId="33558" xr:uid="{D86F403E-221D-432A-9AB3-326E0E9B2E9B}"/>
    <cellStyle name="Migliaia 26 3 2 3 3" xfId="11960" xr:uid="{93BE73E2-0DD2-4391-9BDC-A90BBEF0DEBF}"/>
    <cellStyle name="Migliaia 26 3 2 3 4" xfId="20216" xr:uid="{D4AAFD02-E9BD-4D2F-9D68-EA88F234C736}"/>
    <cellStyle name="Migliaia 26 3 2 3 4 2" xfId="41665" xr:uid="{1696217E-DA15-4F6A-9F23-EC03133F1B02}"/>
    <cellStyle name="Migliaia 26 3 2 3 5" xfId="16287" xr:uid="{DEF6CC64-25B4-4AFC-A506-2F681A82E4B2}"/>
    <cellStyle name="Migliaia 26 3 2 3 6" xfId="7897" xr:uid="{4DD30E65-4978-48AD-AE9A-F7942F37411C}"/>
    <cellStyle name="Migliaia 26 3 2 4" xfId="6329" xr:uid="{1F1016F6-E474-4E57-A44E-C7209879D40A}"/>
    <cellStyle name="Migliaia 26 3 2 4 2" xfId="18075" xr:uid="{9960182F-D0D7-467F-BDCC-44211352E83F}"/>
    <cellStyle name="Migliaia 26 3 2 4 2 2" xfId="39015" xr:uid="{F8AA0F1C-8D82-47A7-B571-909BE47B286D}"/>
    <cellStyle name="Migliaia 26 3 2 4 2 3" xfId="44317" xr:uid="{18EA2151-E9D7-4D2C-8075-58CD43960C3F}"/>
    <cellStyle name="Migliaia 26 3 2 4 3" xfId="36481" xr:uid="{1F7CC10B-C19C-4C96-B5DC-D0A137BF8639}"/>
    <cellStyle name="Migliaia 26 3 2 4 4" xfId="41666" xr:uid="{75DCEA66-D049-450D-867E-B72548B4016A}"/>
    <cellStyle name="Migliaia 26 3 2 4 5" xfId="17172" xr:uid="{BEF8359F-D1FD-49A7-81E1-C024DAE90BC8}"/>
    <cellStyle name="Migliaia 26 3 2 4 6" xfId="11308" xr:uid="{F5E78B2A-11CD-4216-94DD-B0E16E2AD48F}"/>
    <cellStyle name="Migliaia 26 3 2 5" xfId="3397" xr:uid="{6193CECE-3A32-4E8D-A08D-DC2FA2244673}"/>
    <cellStyle name="Migliaia 26 3 2 5 2" xfId="33559" xr:uid="{BEC7D9D4-1953-475E-B325-A649785F85E4}"/>
    <cellStyle name="Migliaia 26 3 2 5 2 2" xfId="39016" xr:uid="{ED195E23-DC98-4C22-AE6D-6CB3118B0759}"/>
    <cellStyle name="Migliaia 26 3 2 5 2 3" xfId="44318" xr:uid="{0078913D-4825-4F12-A3D4-F86F15C6130F}"/>
    <cellStyle name="Migliaia 26 3 2 5 3" xfId="36482" xr:uid="{77A7AC51-C2C9-4446-8431-1E1B899355F9}"/>
    <cellStyle name="Migliaia 26 3 2 5 4" xfId="41667" xr:uid="{4FC5CB6A-17A7-4304-A684-17921F430CBA}"/>
    <cellStyle name="Migliaia 26 3 2 5 5" xfId="17372" xr:uid="{FF8EB058-DF10-4F18-A273-53C85F7F13F4}"/>
    <cellStyle name="Migliaia 26 3 2 6" xfId="20214" xr:uid="{2B1E3CF2-BBA5-4679-9597-6472D3C11126}"/>
    <cellStyle name="Migliaia 26 3 2 6 2" xfId="33560" xr:uid="{05B1018A-6650-4D17-BEFD-99B1DFE10029}"/>
    <cellStyle name="Migliaia 26 3 2 6 2 2" xfId="39017" xr:uid="{BE9C9582-4552-4F25-B5A8-4C8231793040}"/>
    <cellStyle name="Migliaia 26 3 2 6 2 3" xfId="44319" xr:uid="{2EC6A0B9-034D-4EF8-9216-0966879F2A74}"/>
    <cellStyle name="Migliaia 26 3 2 6 3" xfId="36483" xr:uid="{CB1CF250-54DD-48E9-B782-556AA69946F5}"/>
    <cellStyle name="Migliaia 26 3 2 6 4" xfId="41668" xr:uid="{0F6F6A40-4484-49AC-8831-B729A758B084}"/>
    <cellStyle name="Migliaia 26 3 2 6 5" xfId="24596" xr:uid="{F4BB8368-1E8E-4727-A30E-B089D4920823}"/>
    <cellStyle name="Migliaia 26 3 2 7" xfId="24594" xr:uid="{DD477A72-17D1-4380-A546-1CE9E1F448C7}"/>
    <cellStyle name="Migliaia 26 3 2 8" xfId="7401" xr:uid="{1EF571EF-5495-4491-892F-555F13DF5C43}"/>
    <cellStyle name="Migliaia 26 3 3" xfId="3399" xr:uid="{1D3E647C-B707-462B-8BA3-2239165F296A}"/>
    <cellStyle name="Migliaia 26 3 3 10" xfId="7400" xr:uid="{7C507F64-EB26-4E8B-B8D0-1B6F5FFEF215}"/>
    <cellStyle name="Migliaia 26 3 3 2" xfId="5125" xr:uid="{39A47D12-3D8B-4010-B0C2-0064CB90CCB5}"/>
    <cellStyle name="Migliaia 26 3 3 2 2" xfId="9918" xr:uid="{A4BF08FC-B36F-4C56-863D-FB037A150F5F}"/>
    <cellStyle name="Migliaia 26 3 3 2 2 2" xfId="39019" xr:uid="{D38D94B1-5108-4873-B7F1-0F22656D7382}"/>
    <cellStyle name="Migliaia 26 3 3 2 2 3" xfId="44321" xr:uid="{16800C68-C6E1-4ED4-B190-9AFABF562394}"/>
    <cellStyle name="Migliaia 26 3 3 2 3" xfId="18198" xr:uid="{260AEE07-0CCC-43B2-A5F0-6606D77CDF7D}"/>
    <cellStyle name="Migliaia 26 3 3 2 4" xfId="20218" xr:uid="{0698C3FA-08E1-4BD6-85BA-BC68687AE8A9}"/>
    <cellStyle name="Migliaia 26 3 3 2 4 2" xfId="41670" xr:uid="{76152198-39BD-46EB-B5AA-427CD4343A6F}"/>
    <cellStyle name="Migliaia 26 3 3 2 5" xfId="16289" xr:uid="{3DFE5853-0C2A-4176-8ED4-060345897BC6}"/>
    <cellStyle name="Migliaia 26 3 3 2 6" xfId="8590" xr:uid="{87D6BEE8-B38A-4320-A440-BC2ED10EABE9}"/>
    <cellStyle name="Migliaia 26 3 3 3" xfId="6331" xr:uid="{5E699C2C-ACA4-4BEC-A146-3E1ED5585A5D}"/>
    <cellStyle name="Migliaia 26 3 3 3 2" xfId="33562" xr:uid="{F9EB3123-A8E0-4287-A692-E8262F71E413}"/>
    <cellStyle name="Migliaia 26 3 3 3 2 2" xfId="39020" xr:uid="{CA500E4C-34CA-4604-9158-87FA663DC804}"/>
    <cellStyle name="Migliaia 26 3 3 3 2 3" xfId="44322" xr:uid="{612CD4E5-6321-40A4-B8A8-A470628CFF53}"/>
    <cellStyle name="Migliaia 26 3 3 3 3" xfId="36485" xr:uid="{8E563894-3F9F-4A64-BF16-456473C91428}"/>
    <cellStyle name="Migliaia 26 3 3 3 4" xfId="41671" xr:uid="{01FE414F-B0D7-4005-9DF3-4461D34B0558}"/>
    <cellStyle name="Migliaia 26 3 3 3 5" xfId="9681" xr:uid="{5348CBFB-423E-4582-8C96-E8447601F4BB}"/>
    <cellStyle name="Migliaia 26 3 3 4" xfId="20217" xr:uid="{57ADA8F1-A3C6-44B8-BA75-B240C3293BAC}"/>
    <cellStyle name="Migliaia 26 3 3 4 2" xfId="33563" xr:uid="{664AB380-6003-400F-B320-40F670227D23}"/>
    <cellStyle name="Migliaia 26 3 3 4 2 2" xfId="39021" xr:uid="{5D0D4FCB-652C-43EF-A371-F78672C54EB6}"/>
    <cellStyle name="Migliaia 26 3 3 4 2 3" xfId="44323" xr:uid="{F1FD97AD-362D-496C-B55B-FB97AE6C9DBD}"/>
    <cellStyle name="Migliaia 26 3 3 4 3" xfId="36486" xr:uid="{54419821-82F8-4931-9088-690C6A696104}"/>
    <cellStyle name="Migliaia 26 3 3 4 4" xfId="41672" xr:uid="{4A4014D0-8291-44EE-8B92-0B0F267B850A}"/>
    <cellStyle name="Migliaia 26 3 3 4 5" xfId="24597" xr:uid="{CE69D2E9-48FF-49A9-A0FA-727BB5E1ECC9}"/>
    <cellStyle name="Migliaia 26 3 3 5" xfId="24598" xr:uid="{236C8601-F10C-4851-BAB3-0BFEE3538EA7}"/>
    <cellStyle name="Migliaia 26 3 3 5 2" xfId="33564" xr:uid="{81D7F8EE-D574-41C1-9780-C110A9376009}"/>
    <cellStyle name="Migliaia 26 3 3 5 2 2" xfId="39022" xr:uid="{A468119F-E320-4B1A-91F3-B3C57C587C44}"/>
    <cellStyle name="Migliaia 26 3 3 5 2 3" xfId="44324" xr:uid="{04EFCD2E-5941-457F-9A26-E82042D5020C}"/>
    <cellStyle name="Migliaia 26 3 3 5 3" xfId="36487" xr:uid="{8D6DCD4F-7706-45C1-93E3-A0CAAF36D137}"/>
    <cellStyle name="Migliaia 26 3 3 5 4" xfId="41673" xr:uid="{E79FFAC9-97F5-4FCF-BBB3-D0D805078507}"/>
    <cellStyle name="Migliaia 26 3 3 6" xfId="33561" xr:uid="{A4A00E12-727A-4660-B9F2-42A2F9152374}"/>
    <cellStyle name="Migliaia 26 3 3 6 2" xfId="39018" xr:uid="{05341B77-471B-4982-91F9-0DF649CEFDF6}"/>
    <cellStyle name="Migliaia 26 3 3 6 3" xfId="44320" xr:uid="{A5965B14-3437-4694-94F8-96EEE23FC12A}"/>
    <cellStyle name="Migliaia 26 3 3 7" xfId="36484" xr:uid="{DAC49628-F34B-4A5C-805F-1BA3AB8C21AD}"/>
    <cellStyle name="Migliaia 26 3 3 8" xfId="41669" xr:uid="{965478C6-41F2-49ED-BFFF-78730E7D9B60}"/>
    <cellStyle name="Migliaia 26 3 3 9" xfId="16288" xr:uid="{A038488B-72BC-4F0D-9945-BE5FE8AA08AB}"/>
    <cellStyle name="Migliaia 26 3 4" xfId="3400" xr:uid="{097BDC5C-8670-41C2-9D14-26EA3F9205D8}"/>
    <cellStyle name="Migliaia 26 3 4 2" xfId="5126" xr:uid="{B62A0A9D-1330-4386-9725-330D61A921A5}"/>
    <cellStyle name="Migliaia 26 3 4 2 2" xfId="14441" xr:uid="{05E2B0BB-D950-453F-84EE-B5DAE819F6C4}"/>
    <cellStyle name="Migliaia 26 3 4 2 3" xfId="18127" xr:uid="{55E08BF2-931A-41A5-B2A5-052E9078C4EF}"/>
    <cellStyle name="Migliaia 26 3 4 2 4" xfId="20220" xr:uid="{D4E99B99-9B14-4002-8C66-7BBCBCB9BE12}"/>
    <cellStyle name="Migliaia 26 3 4 2 5" xfId="32351" xr:uid="{8DA1B745-E0A6-49FD-9023-9FDAE39FF031}"/>
    <cellStyle name="Migliaia 26 3 4 2 6" xfId="16291" xr:uid="{F99852A4-C4E7-4D59-BA2E-ED199294DB22}"/>
    <cellStyle name="Migliaia 26 3 4 2 7" xfId="8864" xr:uid="{122BD43B-2259-4AEA-96F9-C11C75063ABB}"/>
    <cellStyle name="Migliaia 26 3 4 3" xfId="6332" xr:uid="{944F724A-60E2-4AEE-A3A6-283E8690E602}"/>
    <cellStyle name="Migliaia 26 3 4 3 2" xfId="35251" xr:uid="{9B95960E-167D-44CA-A975-72C60A1CF27D}"/>
    <cellStyle name="Migliaia 26 3 4 3 2 2" xfId="40411" xr:uid="{B2A9C7B1-C0DD-476D-B0BF-74C10D9444BB}"/>
    <cellStyle name="Migliaia 26 3 4 3 2 3" xfId="45713" xr:uid="{AA610D29-7123-44D1-8591-DC6545EDADD5}"/>
    <cellStyle name="Migliaia 26 3 4 3 3" xfId="37760" xr:uid="{85CEF502-6097-4B03-96C0-7E11D3227D9B}"/>
    <cellStyle name="Migliaia 26 3 4 3 4" xfId="43062" xr:uid="{6C345330-F192-48F9-BBD6-02BE9BF8D114}"/>
    <cellStyle name="Migliaia 26 3 4 3 5" xfId="13689" xr:uid="{D4DAB367-E420-495B-B682-1570DF75AFDE}"/>
    <cellStyle name="Migliaia 26 3 4 4" xfId="20219" xr:uid="{BBD2D392-0A76-4B31-B51C-79DBD1DBD315}"/>
    <cellStyle name="Migliaia 26 3 4 4 2" xfId="39023" xr:uid="{C174464F-0BC8-464C-BE3B-F0FC2224FE51}"/>
    <cellStyle name="Migliaia 26 3 4 4 3" xfId="44325" xr:uid="{E3951D61-562A-4D77-A189-995A4513DA7A}"/>
    <cellStyle name="Migliaia 26 3 4 4 4" xfId="33565" xr:uid="{64C6C51B-E5B9-46AD-B3DA-D3B3B1539C16}"/>
    <cellStyle name="Migliaia 26 3 4 5" xfId="36488" xr:uid="{1360D0E0-EEBF-4B91-A9CE-62D60A1A50D6}"/>
    <cellStyle name="Migliaia 26 3 4 6" xfId="41674" xr:uid="{A0086A1A-3636-4A95-91B0-779C83AC1BCD}"/>
    <cellStyle name="Migliaia 26 3 4 7" xfId="16290" xr:uid="{7A9307FB-122E-4D5B-A1F8-BF322AF54054}"/>
    <cellStyle name="Migliaia 26 3 4 8" xfId="7674" xr:uid="{2085E3FE-446E-41FD-8D65-E7337253DE7F}"/>
    <cellStyle name="Migliaia 26 3 5" xfId="3401" xr:uid="{FA409B07-883E-48A4-8E58-2BD3CA30C472}"/>
    <cellStyle name="Migliaia 26 3 5 2" xfId="5127" xr:uid="{79F0C381-7114-4E45-848F-ED8623C9FA9F}"/>
    <cellStyle name="Migliaia 26 3 5 2 2" xfId="35252" xr:uid="{63D9412A-D97C-46D1-9BAE-EF40A4DA8CA6}"/>
    <cellStyle name="Migliaia 26 3 5 2 2 2" xfId="40412" xr:uid="{A042B7F7-88F3-48E0-900C-C1BF9BDF54B9}"/>
    <cellStyle name="Migliaia 26 3 5 2 2 3" xfId="45714" xr:uid="{C19E7C58-B18B-46FA-8CE7-EE7749844E9F}"/>
    <cellStyle name="Migliaia 26 3 5 2 3" xfId="37761" xr:uid="{D9A5B6DC-9C3C-498C-B508-49DA538C6E4B}"/>
    <cellStyle name="Migliaia 26 3 5 2 4" xfId="43063" xr:uid="{04283FA3-EEC0-45C1-8399-DDF6206F35C3}"/>
    <cellStyle name="Migliaia 26 3 5 2 5" xfId="14235" xr:uid="{FCDBED06-B62D-40D9-B787-798D225FB142}"/>
    <cellStyle name="Migliaia 26 3 5 3" xfId="6333" xr:uid="{9987323D-A970-42F4-AF7E-710C58F7BAE9}"/>
    <cellStyle name="Migliaia 26 3 5 3 2" xfId="39024" xr:uid="{9E4E141F-6B1D-4F37-A3A7-71F4793F35A7}"/>
    <cellStyle name="Migliaia 26 3 5 3 3" xfId="44326" xr:uid="{9762E890-9430-475D-ADE0-9AB3B89DEA67}"/>
    <cellStyle name="Migliaia 26 3 5 3 4" xfId="33566" xr:uid="{AD302DD7-F2A2-4AB0-BA97-007FB1A7A592}"/>
    <cellStyle name="Migliaia 26 3 5 3 5" xfId="20221" xr:uid="{549BF139-AB79-495C-A5C2-4987D3B1962F}"/>
    <cellStyle name="Migliaia 26 3 5 4" xfId="36489" xr:uid="{B5693A79-E632-4584-B174-F268EBAD944B}"/>
    <cellStyle name="Migliaia 26 3 5 5" xfId="41675" xr:uid="{733BEA89-3A51-4CAC-A28F-67A22BB5807D}"/>
    <cellStyle name="Migliaia 26 3 5 6" xfId="16292" xr:uid="{E93265C8-306F-432A-80D5-4400F1993679}"/>
    <cellStyle name="Migliaia 26 3 5 7" xfId="8297" xr:uid="{BB6276D3-32B8-4997-92E5-F69EDCB07ED0}"/>
    <cellStyle name="Migliaia 26 3 6" xfId="5122" xr:uid="{1E677ED1-A687-47E2-868E-81AA5E92BAA5}"/>
    <cellStyle name="Migliaia 26 3 6 2" xfId="13940" xr:uid="{63367D30-92C6-46CF-B532-9599E73D2753}"/>
    <cellStyle name="Migliaia 26 3 6 2 2" xfId="39025" xr:uid="{2A940BB7-E765-41B3-8466-91DE96657118}"/>
    <cellStyle name="Migliaia 26 3 6 2 3" xfId="44327" xr:uid="{EA9B8B5D-975A-4A92-A659-3A6C06E322EB}"/>
    <cellStyle name="Migliaia 26 3 6 3" xfId="18142" xr:uid="{69142853-E176-4451-941F-63B96F51F1D2}"/>
    <cellStyle name="Migliaia 26 3 6 4" xfId="20222" xr:uid="{76E5BC3B-2606-433C-B90B-FA8CD466CC09}"/>
    <cellStyle name="Migliaia 26 3 6 4 2" xfId="41676" xr:uid="{A923B121-42EC-4CF5-A7E2-4F0FFAFE0646}"/>
    <cellStyle name="Migliaia 26 3 6 5" xfId="16293" xr:uid="{81C88E6A-2DF6-40BD-A995-030063922131}"/>
    <cellStyle name="Migliaia 26 3 6 6" xfId="7896" xr:uid="{F312CEC2-8041-4F1A-A7AD-BCC17723B59E}"/>
    <cellStyle name="Migliaia 26 3 7" xfId="6328" xr:uid="{7052F70A-E1A1-4DF5-A05C-8402E23F4C8E}"/>
    <cellStyle name="Migliaia 26 3 7 2" xfId="33567" xr:uid="{9700E867-B6F2-41E1-B5C0-D00CB460E8D2}"/>
    <cellStyle name="Migliaia 26 3 7 2 2" xfId="39026" xr:uid="{47BED1DA-D95F-49D6-9ABC-718E95BC122E}"/>
    <cellStyle name="Migliaia 26 3 7 2 3" xfId="44328" xr:uid="{379CC7DB-C626-40BC-8435-9A899817BBB9}"/>
    <cellStyle name="Migliaia 26 3 7 3" xfId="36490" xr:uid="{1CA9CD01-8632-4BC3-8799-B9BED7DA6C70}"/>
    <cellStyle name="Migliaia 26 3 7 4" xfId="41677" xr:uid="{27F0BDD4-5FFB-4C55-9550-DFE4BB117173}"/>
    <cellStyle name="Migliaia 26 3 7 5" xfId="11095" xr:uid="{18BAB77E-DFF3-4BB5-86DF-A4A2EACE0133}"/>
    <cellStyle name="Migliaia 26 3 8" xfId="3396" xr:uid="{4FA0C2E3-CCF9-4EAC-912E-3E24456DCDC1}"/>
    <cellStyle name="Migliaia 26 3 8 2" xfId="33568" xr:uid="{F81E81B5-5057-4A1A-AF11-7FC40E906286}"/>
    <cellStyle name="Migliaia 26 3 8 2 2" xfId="39027" xr:uid="{F279116B-9B29-4F14-953C-3FC3426921FE}"/>
    <cellStyle name="Migliaia 26 3 8 2 3" xfId="44329" xr:uid="{D5228EF3-807C-4521-9939-A2A4ACC170E8}"/>
    <cellStyle name="Migliaia 26 3 8 3" xfId="36491" xr:uid="{79C0CFA2-CA58-4E39-98BE-0829585DAEC0}"/>
    <cellStyle name="Migliaia 26 3 8 4" xfId="41678" xr:uid="{BFAF6855-A67C-41B0-8155-45169CBD9B6E}"/>
    <cellStyle name="Migliaia 26 3 8 5" xfId="24599" xr:uid="{A7B6EC79-5FFE-4BA8-996C-15A956157CE7}"/>
    <cellStyle name="Migliaia 26 3 8 6" xfId="17373" xr:uid="{97982996-CD86-4476-AD07-DC67D99E0501}"/>
    <cellStyle name="Migliaia 26 3 9" xfId="20213" xr:uid="{430362B4-EFF0-47FF-B97F-4FAB8F133A42}"/>
    <cellStyle name="Migliaia 26 4" xfId="1748" xr:uid="{00000000-0005-0000-0000-000067030000}"/>
    <cellStyle name="Migliaia 26 4 2" xfId="1749" xr:uid="{00000000-0005-0000-0000-000068030000}"/>
    <cellStyle name="Migliaia 26 4 2 2" xfId="5129" xr:uid="{598DDDE4-044A-4BF5-83F3-B30A48D5F307}"/>
    <cellStyle name="Migliaia 26 4 2 2 2" xfId="33569" xr:uid="{1B46F887-05A3-4A43-BE84-D8C85F98550C}"/>
    <cellStyle name="Migliaia 26 4 2 2 2 2" xfId="39028" xr:uid="{E66E4C0D-FB00-497A-A998-FC2CFA564C2D}"/>
    <cellStyle name="Migliaia 26 4 2 2 2 3" xfId="44330" xr:uid="{2D569025-BB27-48B3-8948-DDF1AB6C032C}"/>
    <cellStyle name="Migliaia 26 4 2 2 3" xfId="36492" xr:uid="{28746FC2-5D52-4A07-AA09-03EC37BD9D8F}"/>
    <cellStyle name="Migliaia 26 4 2 2 4" xfId="41679" xr:uid="{7CD0008D-C3A0-47E3-AF39-1C8BF7F9274B}"/>
    <cellStyle name="Migliaia 26 4 2 2 5" xfId="9144" xr:uid="{16BE6798-DD70-4D49-9314-6FE23E156AC0}"/>
    <cellStyle name="Migliaia 26 4 2 3" xfId="3403" xr:uid="{ADEA42E4-FBE3-491C-AF47-2EC817FD2ACD}"/>
    <cellStyle name="Migliaia 26 4 2 3 2" xfId="33570" xr:uid="{88AEE942-FDD2-4CC6-9D3F-81E566E7B968}"/>
    <cellStyle name="Migliaia 26 4 2 3 2 2" xfId="39029" xr:uid="{98898A95-52C1-4C39-8C12-30FE25647A39}"/>
    <cellStyle name="Migliaia 26 4 2 3 2 3" xfId="44331" xr:uid="{850094DD-DF19-404D-871C-F2B4279D3726}"/>
    <cellStyle name="Migliaia 26 4 2 3 3" xfId="36493" xr:uid="{7B8CDFFA-6FB3-4899-8E57-C5B6639EA3E9}"/>
    <cellStyle name="Migliaia 26 4 2 3 4" xfId="41680" xr:uid="{5523381C-C0C5-4E8D-96D0-EBFB8E3EF981}"/>
    <cellStyle name="Migliaia 26 4 2 3 5" xfId="11961" xr:uid="{6EF3C4A9-0B5F-46E8-B5A3-AAFDD7A133FE}"/>
    <cellStyle name="Migliaia 26 4 2 4" xfId="11310" xr:uid="{9F2A3030-7050-48A9-824E-1755E214B56E}"/>
    <cellStyle name="Migliaia 26 4 2 5" xfId="10826" xr:uid="{CD812AB1-C12C-4F8B-89EC-03E9DDB9DEC3}"/>
    <cellStyle name="Migliaia 26 4 2 5 2" xfId="21461" xr:uid="{95D2598D-12EB-4315-B07D-18275788FA07}"/>
    <cellStyle name="Migliaia 26 4 2 5 3" xfId="48529" xr:uid="{3FB6BAEF-1306-40E2-8543-1C696DFE7E79}"/>
    <cellStyle name="Migliaia 26 4 2 5 4" xfId="50476" xr:uid="{4AA49F0A-05FB-49FE-9CE7-E06DAC8CE388}"/>
    <cellStyle name="Migliaia 26 4 2 5 5" xfId="53492" xr:uid="{48F17E45-D387-4FED-A174-CB6C1DD1E2A3}"/>
    <cellStyle name="Migliaia 26 4 2 6" xfId="20224" xr:uid="{3F245521-34B1-4BF4-8F1B-3B6B76C94645}"/>
    <cellStyle name="Migliaia 26 4 2 7" xfId="24601" xr:uid="{3E795E1C-A063-4560-876D-7688F525F5F2}"/>
    <cellStyle name="Migliaia 26 4 2 8" xfId="8592" xr:uid="{9BF0DF7E-0EE7-4A5F-9198-8034B7370BAE}"/>
    <cellStyle name="Migliaia 26 4 3" xfId="5128" xr:uid="{025BA078-51E5-443C-8A96-3649F8F13B75}"/>
    <cellStyle name="Migliaia 26 4 3 2" xfId="18199" xr:uid="{62A99AC8-D04E-4E68-9D90-C97A94EC23D4}"/>
    <cellStyle name="Migliaia 26 4 3 2 2" xfId="39030" xr:uid="{F953A32F-AA5F-4888-8691-0626BDDDA3E1}"/>
    <cellStyle name="Migliaia 26 4 3 2 3" xfId="44332" xr:uid="{7F792844-555C-4AD7-9C3F-4EC77305F9E5}"/>
    <cellStyle name="Migliaia 26 4 3 3" xfId="36494" xr:uid="{7C5DFF14-EFF6-4228-8D08-4CA32543178A}"/>
    <cellStyle name="Migliaia 26 4 3 4" xfId="41681" xr:uid="{08927896-912D-4BBF-A2BC-351FA02DABC3}"/>
    <cellStyle name="Migliaia 26 4 3 5" xfId="17371" xr:uid="{B1097735-D52F-49EF-BD7A-2CC6C1DE9AA1}"/>
    <cellStyle name="Migliaia 26 4 3 6" xfId="9145" xr:uid="{918F36EC-6ABE-4858-85AD-8833053DDEF0}"/>
    <cellStyle name="Migliaia 26 4 4" xfId="6334" xr:uid="{B7C1425D-64E2-4C96-9FE9-B1781CD656D8}"/>
    <cellStyle name="Migliaia 26 4 4 2" xfId="33571" xr:uid="{9384F09E-B88D-4A11-BE4E-A958A9BFFD7A}"/>
    <cellStyle name="Migliaia 26 4 4 2 2" xfId="39031" xr:uid="{1BAB739A-C7F8-4649-93FC-94C9552276D0}"/>
    <cellStyle name="Migliaia 26 4 4 2 3" xfId="44333" xr:uid="{442B4A65-1C6A-4867-986A-E8F05B94679C}"/>
    <cellStyle name="Migliaia 26 4 4 3" xfId="36495" xr:uid="{DCEF2FD8-1717-4B94-A4C3-51A00748AC31}"/>
    <cellStyle name="Migliaia 26 4 4 4" xfId="41682" xr:uid="{CB7D007C-893A-481C-97BE-4CABADC560EA}"/>
    <cellStyle name="Migliaia 26 4 4 5" xfId="11962" xr:uid="{88A3391F-4681-4049-9405-D9AB00FC99CE}"/>
    <cellStyle name="Migliaia 26 4 5" xfId="3402" xr:uid="{D54454B4-790E-4457-8C7F-FAD8F4A65922}"/>
    <cellStyle name="Migliaia 26 4 5 2" xfId="33572" xr:uid="{1B6F3F31-E34C-4CFC-9CA5-E23F1A874ACA}"/>
    <cellStyle name="Migliaia 26 4 5 2 2" xfId="39032" xr:uid="{45B45D51-D6C8-49A4-B3F2-235F471A93D3}"/>
    <cellStyle name="Migliaia 26 4 5 2 3" xfId="44334" xr:uid="{58DC31BF-60C1-4007-B1C3-7CACC1B663CA}"/>
    <cellStyle name="Migliaia 26 4 5 3" xfId="36496" xr:uid="{75821C0C-14B7-41C0-AD25-79DD2513C250}"/>
    <cellStyle name="Migliaia 26 4 5 4" xfId="41683" xr:uid="{9F974168-9CE8-4EB5-A569-AAF37B1746AD}"/>
    <cellStyle name="Migliaia 26 4 5 5" xfId="11309" xr:uid="{8700EBD2-BB02-4138-ABB7-589811EFFF8A}"/>
    <cellStyle name="Migliaia 26 4 6" xfId="10825" xr:uid="{23779F1C-989F-4965-B2FC-B15E0D6A39A9}"/>
    <cellStyle name="Migliaia 26 4 6 2" xfId="21460" xr:uid="{DC0238DE-1AD1-4682-8D71-8F89422DFB7C}"/>
    <cellStyle name="Migliaia 26 4 6 2 2" xfId="39033" xr:uid="{554AE454-073F-4C4D-8A52-8535F8451B51}"/>
    <cellStyle name="Migliaia 26 4 6 2 3" xfId="44335" xr:uid="{A7E5955A-567C-4EE2-A060-7F8469E11DCF}"/>
    <cellStyle name="Migliaia 26 4 6 2 4" xfId="33573" xr:uid="{2B08B44E-F6B8-463E-9A21-290AF1FB827A}"/>
    <cellStyle name="Migliaia 26 4 6 3" xfId="36497" xr:uid="{6E8340B2-A6EB-4C9B-A1B2-B9139EFAE7DD}"/>
    <cellStyle name="Migliaia 26 4 6 4" xfId="41684" xr:uid="{69AF6970-604E-4BAA-B98E-90BE88A11B43}"/>
    <cellStyle name="Migliaia 26 4 6 5" xfId="24602" xr:uid="{B7E7333D-A5AD-47FC-9CD9-2365C3789FDC}"/>
    <cellStyle name="Migliaia 26 4 6 6" xfId="48569" xr:uid="{A9169CA6-D04C-4E60-9EE0-1B94B45D2351}"/>
    <cellStyle name="Migliaia 26 4 6 7" xfId="50475" xr:uid="{12FDC68C-9D0A-46B6-B45D-DDC564B4E3D3}"/>
    <cellStyle name="Migliaia 26 4 6 8" xfId="53491" xr:uid="{47E1068D-EBC4-47ED-A4C3-6ACA66C38A15}"/>
    <cellStyle name="Migliaia 26 4 7" xfId="20223" xr:uid="{E8800BFE-16E9-481E-A325-E38AD01F3D9C}"/>
    <cellStyle name="Migliaia 26 4 7 2" xfId="33574" xr:uid="{AAA62AD7-FDDB-4208-9005-B8E40D1801A2}"/>
    <cellStyle name="Migliaia 26 4 7 2 2" xfId="39034" xr:uid="{BBA8BEC8-8693-4276-A623-A63215D7B8C9}"/>
    <cellStyle name="Migliaia 26 4 7 2 3" xfId="44336" xr:uid="{E5B57CA5-3AC0-48B5-B2F3-381FE4B4D8EF}"/>
    <cellStyle name="Migliaia 26 4 7 3" xfId="36498" xr:uid="{9ABBF649-0D80-4ADA-AB88-B822269D391F}"/>
    <cellStyle name="Migliaia 26 4 7 4" xfId="41685" xr:uid="{E758DE22-5840-4FF6-A848-70D7A316688F}"/>
    <cellStyle name="Migliaia 26 4 7 5" xfId="24603" xr:uid="{E8617562-23D5-4383-99BA-20C6AA996BD7}"/>
    <cellStyle name="Migliaia 26 4 8" xfId="24600" xr:uid="{DFA3C458-5438-42A5-8098-6CA9E16BD032}"/>
    <cellStyle name="Migliaia 26 4 9" xfId="7402" xr:uid="{A4413210-06CE-4374-BA9F-68D69071DE5A}"/>
    <cellStyle name="Migliaia 26 5" xfId="1750" xr:uid="{00000000-0005-0000-0000-000069030000}"/>
    <cellStyle name="Migliaia 26 5 2" xfId="5130" xr:uid="{3C1C4CE0-D8C7-4F46-AF5C-191DB082DB7D}"/>
    <cellStyle name="Migliaia 26 5 2 2" xfId="18418" xr:uid="{A63AFF8D-4C84-4608-B55A-3B6757F5B9E8}"/>
    <cellStyle name="Migliaia 26 5 2 2 2" xfId="39035" xr:uid="{06C3B8DC-ED44-4236-B7C7-C8A1B84877E1}"/>
    <cellStyle name="Migliaia 26 5 2 2 3" xfId="44337" xr:uid="{D8FCC45E-C6CE-4A58-ABEB-5C210662A17E}"/>
    <cellStyle name="Migliaia 26 5 2 3" xfId="20226" xr:uid="{69685B01-27DE-4FB1-9DAE-476733244145}"/>
    <cellStyle name="Migliaia 26 5 2 3 2" xfId="36499" xr:uid="{6B6BA4F1-A57D-482E-8E8C-E8DC25CA9FF5}"/>
    <cellStyle name="Migliaia 26 5 2 4" xfId="41686" xr:uid="{ED5895B1-763A-4AD4-BC1D-D47E3B88EA79}"/>
    <cellStyle name="Migliaia 26 5 2 5" xfId="16294" xr:uid="{E21736D4-0177-4B42-B0AD-145F54996E92}"/>
    <cellStyle name="Migliaia 26 5 2 6" xfId="8593" xr:uid="{FE5C9721-2C1C-405B-94EB-215F69B4A48B}"/>
    <cellStyle name="Migliaia 26 5 3" xfId="6335" xr:uid="{033EB722-AC80-4B0C-9D85-AD411EF1CA43}"/>
    <cellStyle name="Migliaia 26 5 3 2" xfId="33575" xr:uid="{E05779AA-2DF3-40B2-88AA-C1A86F834613}"/>
    <cellStyle name="Migliaia 26 5 3 2 2" xfId="39036" xr:uid="{B535615E-8684-4D62-AE23-8FB4CB6CCCAD}"/>
    <cellStyle name="Migliaia 26 5 3 2 3" xfId="44338" xr:uid="{5FA2C01F-8918-4D3F-8FDA-27370980630D}"/>
    <cellStyle name="Migliaia 26 5 3 3" xfId="36500" xr:uid="{032174C2-F046-4DDC-B9BE-080FF6CC589D}"/>
    <cellStyle name="Migliaia 26 5 3 4" xfId="41687" xr:uid="{101D9905-8F6D-48C5-8137-AD53864C84F1}"/>
    <cellStyle name="Migliaia 26 5 3 5" xfId="11311" xr:uid="{7F7A7471-4045-4508-BC5F-2D724B02A9E8}"/>
    <cellStyle name="Migliaia 26 5 4" xfId="3404" xr:uid="{14D31804-79D0-46F0-87F8-259D244259A3}"/>
    <cellStyle name="Migliaia 26 5 4 2" xfId="21462" xr:uid="{284C1F53-4F4B-4B1A-AEFE-1393365D3D57}"/>
    <cellStyle name="Migliaia 26 5 4 2 2" xfId="39037" xr:uid="{61B7E84D-8193-4887-944A-FCC43EDFA274}"/>
    <cellStyle name="Migliaia 26 5 4 2 3" xfId="44339" xr:uid="{C6245F56-F71E-4BF5-A645-D4E4FF82D341}"/>
    <cellStyle name="Migliaia 26 5 4 2 4" xfId="33576" xr:uid="{EE8D1CC3-DB90-4F84-8E1C-538D40A6EBFB}"/>
    <cellStyle name="Migliaia 26 5 4 3" xfId="36501" xr:uid="{42A05D2F-1E11-4C40-ACDE-36845CCEDA4C}"/>
    <cellStyle name="Migliaia 26 5 4 4" xfId="41688" xr:uid="{F3BD2495-02D5-499B-981F-80B7889DA2BE}"/>
    <cellStyle name="Migliaia 26 5 4 5" xfId="24605" xr:uid="{33273BE0-1ABF-4271-BDEA-990790BD8DB8}"/>
    <cellStyle name="Migliaia 26 5 4 6" xfId="47658" xr:uid="{69B11EF3-92C8-44CB-9C46-201A3BA9E8C4}"/>
    <cellStyle name="Migliaia 26 5 4 7" xfId="50477" xr:uid="{7E51A753-5478-4767-BD19-4FDC5E5400E9}"/>
    <cellStyle name="Migliaia 26 5 4 8" xfId="53493" xr:uid="{CBE2B57F-B4DA-4383-923D-609CA943AFDF}"/>
    <cellStyle name="Migliaia 26 5 4 9" xfId="10827" xr:uid="{0C9154AD-2A08-429D-8E21-2282FE908BF6}"/>
    <cellStyle name="Migliaia 26 5 5" xfId="20225" xr:uid="{B29F8FF6-1DB5-4CE6-9629-7BCAB0471734}"/>
    <cellStyle name="Migliaia 26 5 5 2" xfId="33577" xr:uid="{D6112979-EDF4-4C6F-9F2C-3BBF93EB490A}"/>
    <cellStyle name="Migliaia 26 5 5 2 2" xfId="39038" xr:uid="{2CD9BD39-B4FD-42FD-96E2-8989D366CCD9}"/>
    <cellStyle name="Migliaia 26 5 5 2 3" xfId="44340" xr:uid="{21819CCF-227E-4897-808E-926293AA3BEF}"/>
    <cellStyle name="Migliaia 26 5 5 3" xfId="36502" xr:uid="{96E1BE5D-A80D-4967-BCDB-24DEC9387771}"/>
    <cellStyle name="Migliaia 26 5 5 4" xfId="41689" xr:uid="{B5DE8C12-5662-4BAA-A446-08A84C2108EA}"/>
    <cellStyle name="Migliaia 26 5 5 5" xfId="24606" xr:uid="{EAD9B678-0F16-4E3B-81C1-13F02AA2AE19}"/>
    <cellStyle name="Migliaia 26 5 6" xfId="24607" xr:uid="{6269E291-5528-413A-9828-C7FFB11E2899}"/>
    <cellStyle name="Migliaia 26 5 6 2" xfId="33578" xr:uid="{83CD2E81-31EF-419E-8E7C-78FD654F4187}"/>
    <cellStyle name="Migliaia 26 5 6 2 2" xfId="39039" xr:uid="{FE00CE6C-DEFE-4CB9-8790-442A1B9C52B3}"/>
    <cellStyle name="Migliaia 26 5 6 2 3" xfId="44341" xr:uid="{90A79BC5-3D74-4C4D-AFEE-975533464D50}"/>
    <cellStyle name="Migliaia 26 5 6 3" xfId="36503" xr:uid="{4DB06427-D7AC-4211-9E42-5E3DC37BCC44}"/>
    <cellStyle name="Migliaia 26 5 6 4" xfId="41690" xr:uid="{77E113C9-BA6C-4B30-871E-D1BD26E2FB1D}"/>
    <cellStyle name="Migliaia 26 5 7" xfId="24604" xr:uid="{CD41423A-CF7A-473F-AAE8-BCF50E65D63E}"/>
    <cellStyle name="Migliaia 26 5 8" xfId="7403" xr:uid="{13C864F1-1B0B-44C9-97A7-C0EF51E67091}"/>
    <cellStyle name="Migliaia 26 6" xfId="3405" xr:uid="{4C7EEB1F-CB47-4FE7-B3B1-646E4BBC959D}"/>
    <cellStyle name="Migliaia 26 6 2" xfId="5131" xr:uid="{5338679A-068F-41BD-990C-26F57B4187E0}"/>
    <cellStyle name="Migliaia 26 6 2 2" xfId="9917" xr:uid="{4BBDFB13-5CBE-4E37-B86A-61FBF93CB5E8}"/>
    <cellStyle name="Migliaia 26 6 2 3" xfId="18662" xr:uid="{42C4338B-4D4F-428C-B3B0-71D30C219BFF}"/>
    <cellStyle name="Migliaia 26 6 2 4" xfId="20228" xr:uid="{35FA57CE-2687-4953-8838-14BBADDE303A}"/>
    <cellStyle name="Migliaia 26 6 2 5" xfId="32352" xr:uid="{D7265019-F95C-456B-B71F-65FC92886500}"/>
    <cellStyle name="Migliaia 26 6 2 6" xfId="16296" xr:uid="{E598255B-83E7-4475-B1B7-AD9DD60E0148}"/>
    <cellStyle name="Migliaia 26 6 2 7" xfId="8588" xr:uid="{73A30DF4-343B-45F9-A257-FE17C71BF5E7}"/>
    <cellStyle name="Migliaia 26 6 3" xfId="6336" xr:uid="{4F77473C-FF93-4B30-820C-ED54DC02A4CD}"/>
    <cellStyle name="Migliaia 26 6 3 2" xfId="35253" xr:uid="{9F7DD868-90B6-46F0-9DA0-4A487238174D}"/>
    <cellStyle name="Migliaia 26 6 3 2 2" xfId="40413" xr:uid="{51F081FE-8903-4820-921B-009105C0DC5F}"/>
    <cellStyle name="Migliaia 26 6 3 2 3" xfId="45715" xr:uid="{229EFDFF-5F75-4E5B-B132-88F8FDD37367}"/>
    <cellStyle name="Migliaia 26 6 3 3" xfId="37762" xr:uid="{9C11434F-4B95-42B7-B3C3-A35F34271D55}"/>
    <cellStyle name="Migliaia 26 6 3 4" xfId="43064" xr:uid="{342A0E7B-7B95-441B-BB6B-35C72B892268}"/>
    <cellStyle name="Migliaia 26 6 3 5" xfId="9680" xr:uid="{45A8BCC5-DFD9-4FB5-BDCA-F10D7F9241E1}"/>
    <cellStyle name="Migliaia 26 6 4" xfId="20227" xr:uid="{350A4027-F738-4ADA-8A3F-6E2D4253E352}"/>
    <cellStyle name="Migliaia 26 6 4 2" xfId="39040" xr:uid="{13FF9DEC-4FE2-459C-8905-BB358835EA32}"/>
    <cellStyle name="Migliaia 26 6 4 3" xfId="44342" xr:uid="{F131005F-FE0C-4FDE-B8E4-A26C0E6D5195}"/>
    <cellStyle name="Migliaia 26 6 4 4" xfId="33579" xr:uid="{8EB39146-36BA-4F13-87A9-9F74FD1C731F}"/>
    <cellStyle name="Migliaia 26 6 5" xfId="36504" xr:uid="{6EB4254A-1577-4EA5-8075-6F15B7A50035}"/>
    <cellStyle name="Migliaia 26 6 6" xfId="41691" xr:uid="{2F1E2070-AAF5-45E8-8DB3-3510A9CBD486}"/>
    <cellStyle name="Migliaia 26 6 7" xfId="16295" xr:uid="{C3A94BE0-4D78-43BA-9F0B-D72892EA37C6}"/>
    <cellStyle name="Migliaia 26 6 8" xfId="7398" xr:uid="{14E51EF8-688C-46FA-A37B-E154B07393F1}"/>
    <cellStyle name="Migliaia 26 7" xfId="3406" xr:uid="{1F6A8F1A-8AFB-4D03-A034-8CA812EA5C6E}"/>
    <cellStyle name="Migliaia 26 7 2" xfId="5132" xr:uid="{3AA6850D-B99E-4AF7-BA50-539943D99A0A}"/>
    <cellStyle name="Migliaia 26 7 2 2" xfId="35254" xr:uid="{FE096D82-54E9-4F51-A9B8-319FB45EBF91}"/>
    <cellStyle name="Migliaia 26 7 2 2 2" xfId="40414" xr:uid="{E4F0EF09-2BA8-4396-858E-56E07DE24D5F}"/>
    <cellStyle name="Migliaia 26 7 2 2 3" xfId="45716" xr:uid="{A3AE19BE-DD1E-43BA-91E8-37A5D2688258}"/>
    <cellStyle name="Migliaia 26 7 2 3" xfId="37763" xr:uid="{4133A518-9975-430F-8E2F-DE92F043A796}"/>
    <cellStyle name="Migliaia 26 7 2 4" xfId="43065" xr:uid="{744D5D2E-1C0C-456E-BB3C-E5EF5050EF05}"/>
    <cellStyle name="Migliaia 26 7 2 5" xfId="14233" xr:uid="{1E9B0793-976B-49FE-BF9E-FE9801719230}"/>
    <cellStyle name="Migliaia 26 7 3" xfId="6337" xr:uid="{5DA01BA6-492C-41E2-ADE3-222D97F67715}"/>
    <cellStyle name="Migliaia 26 7 3 2" xfId="39041" xr:uid="{8B5580BB-53BA-4ABE-AD33-F35865331A74}"/>
    <cellStyle name="Migliaia 26 7 3 3" xfId="44343" xr:uid="{52C0D44F-15A4-4DC6-B115-3C8EA5A24147}"/>
    <cellStyle name="Migliaia 26 7 3 4" xfId="33580" xr:uid="{8B4BCD9D-4E46-4FFB-B82A-8554EF31F0E9}"/>
    <cellStyle name="Migliaia 26 7 3 5" xfId="20229" xr:uid="{D3877A08-172B-4C48-BF62-750B82E16032}"/>
    <cellStyle name="Migliaia 26 7 4" xfId="36505" xr:uid="{7003C3C1-E845-4EE2-ADC9-68A45A40D7CC}"/>
    <cellStyle name="Migliaia 26 7 5" xfId="41692" xr:uid="{217B37E5-B789-463A-8D6F-44056D506751}"/>
    <cellStyle name="Migliaia 26 7 6" xfId="16297" xr:uid="{D4A78560-BF69-451A-8843-2CB5AC607190}"/>
    <cellStyle name="Migliaia 26 7 7" xfId="8295" xr:uid="{02AF195F-534B-48C8-B342-42E119E7D84C}"/>
    <cellStyle name="Migliaia 26 8" xfId="3407" xr:uid="{12742659-F27D-4070-83D9-F488C30B1412}"/>
    <cellStyle name="Migliaia 26 8 2" xfId="5133" xr:uid="{B49D4B32-9A99-45FF-ADE4-96F5F4AFCCB5}"/>
    <cellStyle name="Migliaia 26 8 2 2" xfId="35255" xr:uid="{560465DE-B087-4FB8-9A3E-E69C35C2631F}"/>
    <cellStyle name="Migliaia 26 8 2 2 2" xfId="40415" xr:uid="{A0B9CD63-83C1-4C95-8BD7-5267441F2C58}"/>
    <cellStyle name="Migliaia 26 8 2 2 3" xfId="45717" xr:uid="{29B48758-DF6F-428B-9678-FA3143A518B2}"/>
    <cellStyle name="Migliaia 26 8 2 3" xfId="37764" xr:uid="{16B0F453-9CAF-4AA7-A0A2-69B7AC85A4F0}"/>
    <cellStyle name="Migliaia 26 8 2 4" xfId="43066" xr:uid="{E64E97D5-D441-4AEE-97C6-65AACC73AD65}"/>
    <cellStyle name="Migliaia 26 8 2 5" xfId="13938" xr:uid="{0ECDBB4D-5036-4E94-BC37-01D12597763E}"/>
    <cellStyle name="Migliaia 26 8 3" xfId="6338" xr:uid="{5A665E42-8C55-48E6-9164-1158730DEB30}"/>
    <cellStyle name="Migliaia 26 8 3 2" xfId="39042" xr:uid="{E8C63983-3C5B-4180-80C1-ADDB7E953824}"/>
    <cellStyle name="Migliaia 26 8 3 3" xfId="44344" xr:uid="{B9934A14-ECCC-428C-979F-8904BF3946DF}"/>
    <cellStyle name="Migliaia 26 8 3 4" xfId="33581" xr:uid="{8BD6F5B8-D841-47F1-B70E-E119C2B03476}"/>
    <cellStyle name="Migliaia 26 8 3 5" xfId="20230" xr:uid="{CDC10F74-B9CB-4FF1-9AFE-29F857EF7CF1}"/>
    <cellStyle name="Migliaia 26 8 4" xfId="36506" xr:uid="{4E4E94B5-B150-420A-A6F3-97D4F959D51E}"/>
    <cellStyle name="Migliaia 26 8 5" xfId="41693" xr:uid="{B26CC3B0-56D2-4408-B5C9-51CC4F2F6374}"/>
    <cellStyle name="Migliaia 26 8 6" xfId="16298" xr:uid="{BF46B164-0D18-41B9-BCF2-2879C614DF2B}"/>
    <cellStyle name="Migliaia 26 8 7" xfId="7894" xr:uid="{97E17FA6-5D80-4FFE-BEBF-45377EC2EE50}"/>
    <cellStyle name="Migliaia 26 9" xfId="5118" xr:uid="{13C50982-3A1D-4000-AEE7-6FC8EF50C7F2}"/>
    <cellStyle name="Migliaia 26 9 2" xfId="33582" xr:uid="{5F2047DD-96F9-4076-8152-1A901D21BB67}"/>
    <cellStyle name="Migliaia 26 9 2 2" xfId="39043" xr:uid="{58CF8108-151A-4172-9D65-3C65E1B0A34A}"/>
    <cellStyle name="Migliaia 26 9 2 3" xfId="44345" xr:uid="{AFFDB185-41CD-4DFB-B464-E8C052487C95}"/>
    <cellStyle name="Migliaia 26 9 3" xfId="36507" xr:uid="{9F2CDCD9-548E-4A4C-8644-D88953A5F00E}"/>
    <cellStyle name="Migliaia 26 9 4" xfId="41694" xr:uid="{3176EC7D-31CE-412A-9F45-52F4FA6CE651}"/>
    <cellStyle name="Migliaia 26 9 5" xfId="17171" xr:uid="{EB06ACD3-1174-428B-8559-84139E5CC2DD}"/>
    <cellStyle name="Migliaia 27" xfId="377" xr:uid="{00000000-0005-0000-0000-00006A030000}"/>
    <cellStyle name="Migliaia 27 10" xfId="6339" xr:uid="{0A0E45D2-F158-4916-86EE-45AC31BB7EAD}"/>
    <cellStyle name="Migliaia 27 10 2" xfId="39044" xr:uid="{6BDD170F-2926-4AA9-80A9-3776DD029BF7}"/>
    <cellStyle name="Migliaia 27 10 3" xfId="44346" xr:uid="{B45093B2-CFEE-4390-A511-FCF7A474299E}"/>
    <cellStyle name="Migliaia 27 10 4" xfId="33583" xr:uid="{EA5F1FE7-9CF8-4F82-AC11-0CE3714551F7}"/>
    <cellStyle name="Migliaia 27 10 5" xfId="20231" xr:uid="{9C432F57-999F-4DE5-A810-68E7BCDA2574}"/>
    <cellStyle name="Migliaia 27 11" xfId="3408" xr:uid="{A068FD15-F69F-4E83-8C89-DCFE7E9457AF}"/>
    <cellStyle name="Migliaia 27 11 2" xfId="36508" xr:uid="{BA4D7FCA-84F8-4921-91A9-F7B4FE609A71}"/>
    <cellStyle name="Migliaia 27 12" xfId="41695" xr:uid="{05CBEC0E-259A-424E-B1B6-3C596ACB136D}"/>
    <cellStyle name="Migliaia 27 13" xfId="7099" xr:uid="{63965040-70D7-4B07-A941-AE4DEC560675}"/>
    <cellStyle name="Migliaia 27 2" xfId="378" xr:uid="{00000000-0005-0000-0000-00006B030000}"/>
    <cellStyle name="Migliaia 27 2 2" xfId="1751" xr:uid="{00000000-0005-0000-0000-00006C030000}"/>
    <cellStyle name="Migliaia 27 2 2 2" xfId="5136" xr:uid="{3D65AC94-495C-46AE-BB06-196846A00589}"/>
    <cellStyle name="Migliaia 27 2 2 2 2" xfId="14382" xr:uid="{BFE898E4-E8E4-4312-B521-AD217FDDF118}"/>
    <cellStyle name="Migliaia 27 2 2 2 2 2" xfId="39045" xr:uid="{7BCCABA5-76C4-479F-8BC3-D02397ACA6D9}"/>
    <cellStyle name="Migliaia 27 2 2 2 2 3" xfId="44347" xr:uid="{85771D38-D47C-4950-98E7-5D2719A3D9BA}"/>
    <cellStyle name="Migliaia 27 2 2 2 3" xfId="18419" xr:uid="{53DBB1B1-8CEB-4DC7-822C-624B43AA55CC}"/>
    <cellStyle name="Migliaia 27 2 2 2 4" xfId="20234" xr:uid="{F260428A-78C1-4481-8B86-6026506CE56E}"/>
    <cellStyle name="Migliaia 27 2 2 2 4 2" xfId="41696" xr:uid="{E1F5BC69-A40F-4FB3-BEA1-C1A084DFE3FB}"/>
    <cellStyle name="Migliaia 27 2 2 2 5" xfId="16299" xr:uid="{2DCAA6A7-1A7D-41FC-8FA0-3E753D74610D}"/>
    <cellStyle name="Migliaia 27 2 2 2 6" xfId="8595" xr:uid="{1B37DFA7-4C8C-4C79-8098-79F9A526B2E2}"/>
    <cellStyle name="Migliaia 27 2 2 3" xfId="6341" xr:uid="{F2FA924F-8B5C-4D30-840F-8523A54367B1}"/>
    <cellStyle name="Migliaia 27 2 2 3 2" xfId="35256" xr:uid="{14B31CD8-A81D-4A47-A9AF-2C595D3A040A}"/>
    <cellStyle name="Migliaia 27 2 2 3 2 2" xfId="40416" xr:uid="{9C31F2A2-9069-4DC6-8E01-CB1677823073}"/>
    <cellStyle name="Migliaia 27 2 2 3 2 3" xfId="45718" xr:uid="{7899092F-C50F-4AC5-893A-2396B5896DEA}"/>
    <cellStyle name="Migliaia 27 2 2 3 3" xfId="37765" xr:uid="{EC5CC403-168E-45AD-98BD-4B0820E271CD}"/>
    <cellStyle name="Migliaia 27 2 2 3 4" xfId="43067" xr:uid="{76DFB680-C65D-4533-BD68-048C1AE1E83E}"/>
    <cellStyle name="Migliaia 27 2 2 3 5" xfId="11609" xr:uid="{3ADBDFC9-0950-4C8A-8D69-8F6D2D0485F3}"/>
    <cellStyle name="Migliaia 27 2 2 4" xfId="3410" xr:uid="{3826D6E5-E972-4D17-A1A3-0741D6764A0B}"/>
    <cellStyle name="Migliaia 27 2 2 4 2" xfId="21463" xr:uid="{032547DF-F7E1-4C1F-B49D-A0ED8F4B6114}"/>
    <cellStyle name="Migliaia 27 2 2 4 3" xfId="46228" xr:uid="{564C6A30-ED73-486C-9A7F-503C30C804D7}"/>
    <cellStyle name="Migliaia 27 2 2 4 4" xfId="50478" xr:uid="{BCCE3667-BB62-45B9-8217-8181DECD9BDF}"/>
    <cellStyle name="Migliaia 27 2 2 4 5" xfId="53494" xr:uid="{8ADCAA0C-9DBE-4187-8E2A-AB1E5FD898D4}"/>
    <cellStyle name="Migliaia 27 2 2 4 6" xfId="10828" xr:uid="{2367B3FF-22CA-44E9-B822-FCE9A273E4CF}"/>
    <cellStyle name="Migliaia 27 2 2 5" xfId="20233" xr:uid="{1746C07A-F148-4C0B-AB1F-EA162E59427B}"/>
    <cellStyle name="Migliaia 27 2 2 6" xfId="24609" xr:uid="{9836E544-466B-409A-A97D-8A5A7015AAD1}"/>
    <cellStyle name="Migliaia 27 2 2 7" xfId="7405" xr:uid="{B236EF1D-594F-41D6-B010-AF92380A3011}"/>
    <cellStyle name="Migliaia 27 2 3" xfId="3411" xr:uid="{ADE8947B-58AF-4E76-BECE-9591BAD07F6A}"/>
    <cellStyle name="Migliaia 27 2 3 2" xfId="5137" xr:uid="{C89AB78D-3BF0-43E1-9C05-3EE05BAC23D6}"/>
    <cellStyle name="Migliaia 27 2 3 2 2" xfId="35257" xr:uid="{F5A2E104-5347-4F97-B2C4-550B44C152EC}"/>
    <cellStyle name="Migliaia 27 2 3 2 2 2" xfId="40417" xr:uid="{D14192E6-2CFC-4AB4-B57F-B9974807A980}"/>
    <cellStyle name="Migliaia 27 2 3 2 2 3" xfId="45719" xr:uid="{5F0BDAE6-FFF8-4427-BDDE-0852A33713AB}"/>
    <cellStyle name="Migliaia 27 2 3 2 3" xfId="37766" xr:uid="{8F0C72C3-BA86-4892-B5A1-D7C5CF53FCC8}"/>
    <cellStyle name="Migliaia 27 2 3 2 4" xfId="43068" xr:uid="{A68549E4-D08C-4F96-87B3-F2038B630005}"/>
    <cellStyle name="Migliaia 27 2 3 2 5" xfId="14237" xr:uid="{1EABBEFA-1A4A-4C0F-91EC-6866B2329D99}"/>
    <cellStyle name="Migliaia 27 2 3 3" xfId="6342" xr:uid="{693EF05D-9F5D-4F73-B6E1-B9B640D8B2AB}"/>
    <cellStyle name="Migliaia 27 2 3 3 2" xfId="39046" xr:uid="{A40E042B-E451-4B63-A9CE-3B165F7146E6}"/>
    <cellStyle name="Migliaia 27 2 3 3 3" xfId="44348" xr:uid="{B9ABEC88-142A-4C47-B334-39CA1748D3F5}"/>
    <cellStyle name="Migliaia 27 2 3 3 4" xfId="33584" xr:uid="{BF96C758-081B-487A-9DBF-8C91DDE32D14}"/>
    <cellStyle name="Migliaia 27 2 3 3 5" xfId="20235" xr:uid="{DE3E57BB-7CA5-4E86-AB47-B0E6A1D7D6C5}"/>
    <cellStyle name="Migliaia 27 2 3 4" xfId="36509" xr:uid="{DD3730B5-DF05-4239-890D-D091CF2003D1}"/>
    <cellStyle name="Migliaia 27 2 3 5" xfId="41697" xr:uid="{978BC5A0-5C33-406C-80AA-BCA934B336A7}"/>
    <cellStyle name="Migliaia 27 2 3 6" xfId="16300" xr:uid="{EDAF0D42-A9EB-4E9B-8596-D1E1E81ACC3A}"/>
    <cellStyle name="Migliaia 27 2 3 7" xfId="8299" xr:uid="{61C2C0B3-FE47-44A3-9055-CDBCFCA9EFF6}"/>
    <cellStyle name="Migliaia 27 2 4" xfId="5135" xr:uid="{255BF61E-90C1-4B4C-9CBD-2142CFB77D71}"/>
    <cellStyle name="Migliaia 27 2 4 2" xfId="13942" xr:uid="{9D70C706-5062-4AC3-B8D6-535C4B1C602F}"/>
    <cellStyle name="Migliaia 27 2 4 2 2" xfId="39047" xr:uid="{016650EF-8130-426B-B97B-FA2995B6C87B}"/>
    <cellStyle name="Migliaia 27 2 4 2 3" xfId="44349" xr:uid="{AF0EFD31-0138-4772-BC48-2C106D33BA57}"/>
    <cellStyle name="Migliaia 27 2 4 3" xfId="18715" xr:uid="{E53088B8-4907-46D3-A364-7275B5F7A8DD}"/>
    <cellStyle name="Migliaia 27 2 4 4" xfId="20236" xr:uid="{75AA5FA7-6ADF-4B98-80D6-F8DC046BE08E}"/>
    <cellStyle name="Migliaia 27 2 4 4 2" xfId="41698" xr:uid="{3853924F-AD35-4AF2-9046-7F6B8C5E3E69}"/>
    <cellStyle name="Migliaia 27 2 4 5" xfId="16301" xr:uid="{2427C8AE-0147-4F81-9508-5C7FF1ED3048}"/>
    <cellStyle name="Migliaia 27 2 4 6" xfId="7899" xr:uid="{7426B5E1-8638-4B55-ACB7-E76F5E4FE43C}"/>
    <cellStyle name="Migliaia 27 2 5" xfId="6340" xr:uid="{47FAA327-DB2E-4A70-B8B3-B291AA4A039F}"/>
    <cellStyle name="Migliaia 27 2 5 2" xfId="33585" xr:uid="{4058EFC2-7B22-4F59-A803-0810B224A09D}"/>
    <cellStyle name="Migliaia 27 2 5 2 2" xfId="39048" xr:uid="{5E348F93-6072-4C0C-BA43-3CFC2299CCD1}"/>
    <cellStyle name="Migliaia 27 2 5 2 3" xfId="44350" xr:uid="{E993F300-44BF-48AC-97B9-9CA97299DB56}"/>
    <cellStyle name="Migliaia 27 2 5 3" xfId="36510" xr:uid="{48F3A00C-49FD-4EA2-8709-3053747A7CCF}"/>
    <cellStyle name="Migliaia 27 2 5 4" xfId="41699" xr:uid="{67AC3DCB-817E-42A7-BF86-8211BC94DA44}"/>
    <cellStyle name="Migliaia 27 2 5 5" xfId="13122" xr:uid="{19F0A667-F56C-410B-A68F-548B939B41F6}"/>
    <cellStyle name="Migliaia 27 2 6" xfId="3409" xr:uid="{86469C21-7872-4217-BEB1-7F40489E6D53}"/>
    <cellStyle name="Migliaia 27 2 6 2" xfId="33586" xr:uid="{9134CB24-4B0A-4A98-A2B5-79A490FF908C}"/>
    <cellStyle name="Migliaia 27 2 6 2 2" xfId="39049" xr:uid="{F7A424E4-8537-4CF7-9745-DED1394DD49C}"/>
    <cellStyle name="Migliaia 27 2 6 2 3" xfId="44351" xr:uid="{093DA97B-7154-4B5F-A258-6F84BA3258D5}"/>
    <cellStyle name="Migliaia 27 2 6 3" xfId="36511" xr:uid="{DE045FE7-1C06-4657-894C-C90F813FE1E0}"/>
    <cellStyle name="Migliaia 27 2 6 4" xfId="41700" xr:uid="{F294B290-8503-4EC6-821E-5A0D05B6647F}"/>
    <cellStyle name="Migliaia 27 2 6 5" xfId="24610" xr:uid="{9A96C6A3-725C-47A2-9F5F-35CECEB8632E}"/>
    <cellStyle name="Migliaia 27 2 6 6" xfId="20232" xr:uid="{642AE5FD-EFCF-4DFC-85EC-B19115B48F4E}"/>
    <cellStyle name="Migliaia 27 2 7" xfId="24608" xr:uid="{6BA654CF-187B-4A16-A0EB-881D4E552CEB}"/>
    <cellStyle name="Migliaia 27 2 8" xfId="7100" xr:uid="{F98F9CE2-46A2-45C2-99BC-51D951E80B73}"/>
    <cellStyle name="Migliaia 27 3" xfId="379" xr:uid="{00000000-0005-0000-0000-00006D030000}"/>
    <cellStyle name="Migliaia 27 3 10" xfId="24611" xr:uid="{218C614B-9156-4A18-B41D-573B80E0842A}"/>
    <cellStyle name="Migliaia 27 3 11" xfId="16302" xr:uid="{41BE323E-A5C2-4161-94A3-06961F948BD0}"/>
    <cellStyle name="Migliaia 27 3 12" xfId="7101" xr:uid="{7CE7C83B-27F5-49E4-B3E9-B8FDEE1188F1}"/>
    <cellStyle name="Migliaia 27 3 2" xfId="380" xr:uid="{00000000-0005-0000-0000-00006E030000}"/>
    <cellStyle name="Migliaia 27 3 2 2" xfId="1752" xr:uid="{00000000-0005-0000-0000-00006F030000}"/>
    <cellStyle name="Migliaia 27 3 2 2 2" xfId="5140" xr:uid="{FDAE2B9F-EE25-4F1F-AF34-E2AD7BC50489}"/>
    <cellStyle name="Migliaia 27 3 2 2 2 2" xfId="18420" xr:uid="{02E00B56-EB34-4A6F-BFC0-688D6ED48BB0}"/>
    <cellStyle name="Migliaia 27 3 2 2 2 2 2" xfId="21860" xr:uid="{937F8CB4-E30B-4042-9CE7-D1B85374ECFA}"/>
    <cellStyle name="Migliaia 27 3 2 2 2 2 2 2" xfId="39050" xr:uid="{679F8C46-C251-4816-88EF-7CF1C6CA877B}"/>
    <cellStyle name="Migliaia 27 3 2 2 2 2 3" xfId="44352" xr:uid="{D7118CC7-6646-4D87-B608-02B9530BF785}"/>
    <cellStyle name="Migliaia 27 3 2 2 2 2 4" xfId="33587" xr:uid="{EE66CC2E-3A2D-4426-974B-0B13E9247831}"/>
    <cellStyle name="Migliaia 27 3 2 2 2 3" xfId="36512" xr:uid="{AC6A5362-637D-4D60-BC4D-8221F7758307}"/>
    <cellStyle name="Migliaia 27 3 2 2 2 4" xfId="41701" xr:uid="{19BE596E-453C-49BF-95C9-9EF7B87A706F}"/>
    <cellStyle name="Migliaia 27 3 2 2 2 5" xfId="48577" xr:uid="{0A40D53D-3F8E-402E-9B56-E2F66A5214A0}"/>
    <cellStyle name="Migliaia 27 3 2 2 2 6" xfId="50888" xr:uid="{27E9FAB2-FA80-4A51-9BCA-F95E1048734C}"/>
    <cellStyle name="Migliaia 27 3 2 2 2 7" xfId="53904" xr:uid="{38188A26-8EEA-481C-ABCF-4143E2D12D72}"/>
    <cellStyle name="Migliaia 27 3 2 2 2 8" xfId="17657" xr:uid="{6BB21AA2-E3CE-4D5F-AEB5-493F8E7FF6B0}"/>
    <cellStyle name="Migliaia 27 3 2 2 2 9" xfId="11963" xr:uid="{C1153800-A5E4-4121-A832-0B6CED7DB630}"/>
    <cellStyle name="Migliaia 27 3 2 2 3" xfId="6345" xr:uid="{4EA37C60-08C6-460B-B2AE-10EC49EAC6F7}"/>
    <cellStyle name="Migliaia 27 3 2 2 3 2" xfId="11557" xr:uid="{74A06530-A298-44F8-B679-4A7B3F230FD5}"/>
    <cellStyle name="Migliaia 27 3 2 2 4" xfId="3414" xr:uid="{8D4B7C4F-61A1-449C-BCB9-2D15A9831157}"/>
    <cellStyle name="Migliaia 27 3 2 2 4 2" xfId="21464" xr:uid="{EFC5EE35-F910-4C53-939A-B12C818F05AC}"/>
    <cellStyle name="Migliaia 27 3 2 2 4 3" xfId="47897" xr:uid="{C02347A6-AA2C-4B5B-A4DF-855330EB03F8}"/>
    <cellStyle name="Migliaia 27 3 2 2 4 4" xfId="50479" xr:uid="{E791F044-9581-4A64-AF25-B433CD4F1E42}"/>
    <cellStyle name="Migliaia 27 3 2 2 4 5" xfId="53495" xr:uid="{2620FAB4-59F9-4F41-B105-D967EB070646}"/>
    <cellStyle name="Migliaia 27 3 2 2 4 6" xfId="10829" xr:uid="{A989A94E-3A16-4BEC-A5B1-01753798B8F8}"/>
    <cellStyle name="Migliaia 27 3 2 2 5" xfId="20239" xr:uid="{011A73FC-9145-4E13-981C-0262A9698197}"/>
    <cellStyle name="Migliaia 27 3 2 2 6" xfId="24613" xr:uid="{FEA72394-AA15-4B69-ACC3-FFD50A592B06}"/>
    <cellStyle name="Migliaia 27 3 2 2 7" xfId="8597" xr:uid="{4B8197A6-9DB7-48DD-9AC2-AA55B91E77E3}"/>
    <cellStyle name="Migliaia 27 3 2 3" xfId="5139" xr:uid="{3B7D100A-9531-468F-98E1-4334D5B012C5}"/>
    <cellStyle name="Migliaia 27 3 2 3 2" xfId="12414" xr:uid="{EF5E6B0D-7A41-4187-94A1-FD754E6B9FDE}"/>
    <cellStyle name="Migliaia 27 3 2 3 2 2" xfId="39051" xr:uid="{00EA8717-B191-4D50-997A-DCB3432032C1}"/>
    <cellStyle name="Migliaia 27 3 2 3 2 3" xfId="44353" xr:uid="{2ABA4CED-4AA8-45E9-89BB-262EAC4E3231}"/>
    <cellStyle name="Migliaia 27 3 2 3 2 4" xfId="33588" xr:uid="{CA3E8C17-D5C7-49F3-9732-4F9078AE6D4F}"/>
    <cellStyle name="Migliaia 27 3 2 3 3" xfId="11964" xr:uid="{D99114AE-F21B-4760-80E2-21E4F8D4DEBB}"/>
    <cellStyle name="Migliaia 27 3 2 3 4" xfId="20240" xr:uid="{9D7EF295-08E8-40C0-A6C0-7128F179102A}"/>
    <cellStyle name="Migliaia 27 3 2 3 4 2" xfId="41702" xr:uid="{CEAB627C-20EB-4446-BC0D-9A8DFFE8C20C}"/>
    <cellStyle name="Migliaia 27 3 2 3 5" xfId="16303" xr:uid="{A75A4D57-CD17-4559-A9B9-5EBC75085EEE}"/>
    <cellStyle name="Migliaia 27 3 2 3 6" xfId="7901" xr:uid="{E3C221EC-A6C3-48B7-91F8-D0E0EE55F316}"/>
    <cellStyle name="Migliaia 27 3 2 4" xfId="6344" xr:uid="{C3655A28-30FC-48FB-A689-3166F7CCDA75}"/>
    <cellStyle name="Migliaia 27 3 2 4 2" xfId="18076" xr:uid="{1141FBC4-F6E3-42D2-868B-B371887251C2}"/>
    <cellStyle name="Migliaia 27 3 2 4 2 2" xfId="39052" xr:uid="{6C464225-1932-4D4D-A2C5-24A309CA1169}"/>
    <cellStyle name="Migliaia 27 3 2 4 2 3" xfId="44354" xr:uid="{983BC1CB-D2AC-4692-9346-6FCD160A3E40}"/>
    <cellStyle name="Migliaia 27 3 2 4 3" xfId="36513" xr:uid="{A08AD588-55AE-48CB-8F5D-17A6B0D4BA06}"/>
    <cellStyle name="Migliaia 27 3 2 4 4" xfId="41703" xr:uid="{906AF9B6-E2EF-4D73-AE38-991245A1E2B8}"/>
    <cellStyle name="Migliaia 27 3 2 4 5" xfId="17174" xr:uid="{7E135853-9A12-4DF6-8176-47B39F485280}"/>
    <cellStyle name="Migliaia 27 3 2 4 6" xfId="11312" xr:uid="{B6C09D8B-1A86-4400-A516-0BBC7CB45205}"/>
    <cellStyle name="Migliaia 27 3 2 5" xfId="3413" xr:uid="{6DD2A695-63C3-46AE-A2E4-6894A88BE4B9}"/>
    <cellStyle name="Migliaia 27 3 2 5 2" xfId="33589" xr:uid="{FFF87450-3C59-4B67-9309-D7D7E60BCF40}"/>
    <cellStyle name="Migliaia 27 3 2 5 2 2" xfId="39053" xr:uid="{F5A46390-B736-45BC-A146-A6844A148033}"/>
    <cellStyle name="Migliaia 27 3 2 5 2 3" xfId="44355" xr:uid="{7D6FAAC4-6F02-4BC6-A383-C24CC4C447C8}"/>
    <cellStyle name="Migliaia 27 3 2 5 3" xfId="36514" xr:uid="{B5858545-A276-4C27-A7B9-16AA8395430E}"/>
    <cellStyle name="Migliaia 27 3 2 5 4" xfId="41704" xr:uid="{AF8219BA-06E1-44A8-A944-E5A1813FD543}"/>
    <cellStyle name="Migliaia 27 3 2 5 5" xfId="17369" xr:uid="{3B8D97BF-43A8-4303-9700-F06993386C37}"/>
    <cellStyle name="Migliaia 27 3 2 6" xfId="20238" xr:uid="{E002DE07-8B96-468F-A700-9DA007214477}"/>
    <cellStyle name="Migliaia 27 3 2 6 2" xfId="33590" xr:uid="{675E54DC-184B-4F5C-A5A6-214741AD8CD1}"/>
    <cellStyle name="Migliaia 27 3 2 6 2 2" xfId="39054" xr:uid="{36FB4667-CC51-47E2-9139-6123E205B53C}"/>
    <cellStyle name="Migliaia 27 3 2 6 2 3" xfId="44356" xr:uid="{7232FF74-59D7-4EE5-BDAF-0A870C0ED0AF}"/>
    <cellStyle name="Migliaia 27 3 2 6 3" xfId="36515" xr:uid="{E7A4F352-0824-494B-98EE-5DA4DCEE279A}"/>
    <cellStyle name="Migliaia 27 3 2 6 4" xfId="41705" xr:uid="{5730D78F-8A9D-4E28-8AF8-B9E2252C81E6}"/>
    <cellStyle name="Migliaia 27 3 2 6 5" xfId="24614" xr:uid="{37EC28B4-AD0B-4FBB-BB49-6F044EB8A68C}"/>
    <cellStyle name="Migliaia 27 3 2 7" xfId="24612" xr:uid="{94E9F180-E36F-4DBA-860C-B0CBEEF5DD94}"/>
    <cellStyle name="Migliaia 27 3 2 8" xfId="7407" xr:uid="{38A1079B-28BA-4224-82FA-DFD8E5714AA7}"/>
    <cellStyle name="Migliaia 27 3 3" xfId="3415" xr:uid="{9CEB31AB-FB68-4DD9-9EDF-AAFCDEF17384}"/>
    <cellStyle name="Migliaia 27 3 3 10" xfId="7406" xr:uid="{F681376D-7A76-4DEE-AE4C-4D76F471B1B2}"/>
    <cellStyle name="Migliaia 27 3 3 2" xfId="5141" xr:uid="{3B665994-7265-4413-8AF8-51F871EF02A9}"/>
    <cellStyle name="Migliaia 27 3 3 2 2" xfId="9920" xr:uid="{0DBCC9D9-85DD-4D66-ADC2-4766986F2668}"/>
    <cellStyle name="Migliaia 27 3 3 2 2 2" xfId="39056" xr:uid="{9E0F08E0-C305-43AA-97CB-D820E158609D}"/>
    <cellStyle name="Migliaia 27 3 3 2 2 3" xfId="44358" xr:uid="{02BB5717-8DCB-4F87-B563-495E9C7FFC9B}"/>
    <cellStyle name="Migliaia 27 3 3 2 3" xfId="18200" xr:uid="{F4244777-4EAE-456D-919D-4BCBE8144A78}"/>
    <cellStyle name="Migliaia 27 3 3 2 4" xfId="20242" xr:uid="{B9BA8E35-F56B-420F-8A86-C817017AD661}"/>
    <cellStyle name="Migliaia 27 3 3 2 4 2" xfId="41707" xr:uid="{4963507E-75B4-4B0F-9C50-F2586F63333E}"/>
    <cellStyle name="Migliaia 27 3 3 2 5" xfId="16305" xr:uid="{5EA62429-1D2E-435E-A30C-309DDF906D26}"/>
    <cellStyle name="Migliaia 27 3 3 2 6" xfId="8596" xr:uid="{824710B1-CE1A-452C-A2CE-EB378E99EF71}"/>
    <cellStyle name="Migliaia 27 3 3 3" xfId="6346" xr:uid="{78FF95FC-DA01-4A45-890A-CE04C55602C2}"/>
    <cellStyle name="Migliaia 27 3 3 3 2" xfId="33592" xr:uid="{68905C8F-DBA7-41A3-89E4-82303B97D104}"/>
    <cellStyle name="Migliaia 27 3 3 3 2 2" xfId="39057" xr:uid="{9CEC4B62-F72E-4CC9-8E96-D94AF74327BA}"/>
    <cellStyle name="Migliaia 27 3 3 3 2 3" xfId="44359" xr:uid="{AC3FD3BB-3C14-4CFD-BDC0-EF53630A77D2}"/>
    <cellStyle name="Migliaia 27 3 3 3 3" xfId="36517" xr:uid="{6803AA40-572E-4F93-B26F-7386FFCDBFAB}"/>
    <cellStyle name="Migliaia 27 3 3 3 4" xfId="41708" xr:uid="{20FA621D-BC0C-4234-9D35-15EFD3A2B460}"/>
    <cellStyle name="Migliaia 27 3 3 3 5" xfId="9683" xr:uid="{99A5ABE6-EF8D-4AC4-976E-4D19F925004A}"/>
    <cellStyle name="Migliaia 27 3 3 4" xfId="20241" xr:uid="{80B427AB-8A71-4B92-96DB-B7CBD1A87C22}"/>
    <cellStyle name="Migliaia 27 3 3 4 2" xfId="33593" xr:uid="{F9E0C14C-5A82-43F5-A514-70364F3CBA6B}"/>
    <cellStyle name="Migliaia 27 3 3 4 2 2" xfId="39058" xr:uid="{B3F6C0B4-4DE2-434B-B4FF-C5532220C23C}"/>
    <cellStyle name="Migliaia 27 3 3 4 2 3" xfId="44360" xr:uid="{18393EBC-E499-4FDE-A9C0-995CC26A73D5}"/>
    <cellStyle name="Migliaia 27 3 3 4 3" xfId="36518" xr:uid="{30EEE425-8848-47D8-B224-EA7F4A6A58DC}"/>
    <cellStyle name="Migliaia 27 3 3 4 4" xfId="41709" xr:uid="{5567E344-6E07-4DD2-BFF3-58860AC64B07}"/>
    <cellStyle name="Migliaia 27 3 3 4 5" xfId="24615" xr:uid="{6BB6FC31-8E0C-427D-AAD0-8D0F02012078}"/>
    <cellStyle name="Migliaia 27 3 3 5" xfId="24616" xr:uid="{11257BF0-2441-49ED-9474-87EF9E87C3EB}"/>
    <cellStyle name="Migliaia 27 3 3 5 2" xfId="33594" xr:uid="{AAB0149E-404B-498A-9875-C183AC4E22AC}"/>
    <cellStyle name="Migliaia 27 3 3 5 2 2" xfId="39059" xr:uid="{DB0A2B3C-EFAB-4EDB-A77E-8D9C6DD08E38}"/>
    <cellStyle name="Migliaia 27 3 3 5 2 3" xfId="44361" xr:uid="{0F09AFCC-F11B-4AB3-9EEE-93B637C350F3}"/>
    <cellStyle name="Migliaia 27 3 3 5 3" xfId="36519" xr:uid="{C9E12386-E4FD-4BAC-911F-61BB1418D43C}"/>
    <cellStyle name="Migliaia 27 3 3 5 4" xfId="41710" xr:uid="{2106F42A-631E-4DA5-948D-5A35B13550E4}"/>
    <cellStyle name="Migliaia 27 3 3 6" xfId="33591" xr:uid="{A4680E0F-42BA-4213-AFB4-98C879D47363}"/>
    <cellStyle name="Migliaia 27 3 3 6 2" xfId="39055" xr:uid="{FCA5F383-909E-4BC6-872D-55DA1B2CC460}"/>
    <cellStyle name="Migliaia 27 3 3 6 3" xfId="44357" xr:uid="{55BA582C-242C-4FB8-A010-4F1816C08A90}"/>
    <cellStyle name="Migliaia 27 3 3 7" xfId="36516" xr:uid="{CB72E448-7038-4E25-A4E5-CD1585B8A54E}"/>
    <cellStyle name="Migliaia 27 3 3 8" xfId="41706" xr:uid="{95D0DC78-9E55-4C62-9C3B-BA3CC1A1E490}"/>
    <cellStyle name="Migliaia 27 3 3 9" xfId="16304" xr:uid="{FCFBCDB5-9BB7-4CDD-A57A-7740F16B3F5B}"/>
    <cellStyle name="Migliaia 27 3 4" xfId="3416" xr:uid="{E3D50714-EDF7-4CF5-A692-BFE7B7F9991A}"/>
    <cellStyle name="Migliaia 27 3 4 2" xfId="5142" xr:uid="{86434094-111D-41CC-8738-B345A8986BB3}"/>
    <cellStyle name="Migliaia 27 3 4 2 2" xfId="14442" xr:uid="{7645F115-BBD6-4686-8E8E-AAEB0327550A}"/>
    <cellStyle name="Migliaia 27 3 4 2 3" xfId="18585" xr:uid="{2E040535-C05A-4000-B875-22D3AAA0BE60}"/>
    <cellStyle name="Migliaia 27 3 4 2 4" xfId="20244" xr:uid="{6E1E1B41-531D-4129-8557-FA63803BD614}"/>
    <cellStyle name="Migliaia 27 3 4 2 5" xfId="32353" xr:uid="{FD2D71DE-67EC-4AE3-95B5-D667FF52DE3D}"/>
    <cellStyle name="Migliaia 27 3 4 2 6" xfId="16307" xr:uid="{A4B84112-761E-4233-AED2-E99A82A77EFB}"/>
    <cellStyle name="Migliaia 27 3 4 2 7" xfId="8865" xr:uid="{E19E232C-CA6C-4819-908A-965D365D7E36}"/>
    <cellStyle name="Migliaia 27 3 4 3" xfId="6347" xr:uid="{DA514BA8-BEF2-4EC0-A12F-3BEECE4901B1}"/>
    <cellStyle name="Migliaia 27 3 4 3 2" xfId="35258" xr:uid="{CB055EBD-158A-4CB4-9B90-0804B498855D}"/>
    <cellStyle name="Migliaia 27 3 4 3 2 2" xfId="40418" xr:uid="{2D19B463-FE7D-4E70-8187-942E4F450CDC}"/>
    <cellStyle name="Migliaia 27 3 4 3 2 3" xfId="45720" xr:uid="{399F3877-1A2D-4A6D-BC68-E771A3AD1101}"/>
    <cellStyle name="Migliaia 27 3 4 3 3" xfId="37767" xr:uid="{5278FD29-159A-4505-9B40-E6184DCC2C1A}"/>
    <cellStyle name="Migliaia 27 3 4 3 4" xfId="43069" xr:uid="{849B0531-7897-4217-985D-131FB1DF5D28}"/>
    <cellStyle name="Migliaia 27 3 4 3 5" xfId="13690" xr:uid="{BDF695B4-F37F-4AD7-8B0F-F9648BB4FCB7}"/>
    <cellStyle name="Migliaia 27 3 4 4" xfId="20243" xr:uid="{D7535421-867B-4512-85D6-ABC48841AC82}"/>
    <cellStyle name="Migliaia 27 3 4 4 2" xfId="39060" xr:uid="{A8115249-B0E9-4551-9E90-D22FA41A7913}"/>
    <cellStyle name="Migliaia 27 3 4 4 3" xfId="44362" xr:uid="{70F35E35-2861-4B14-845F-1414B6F0B7D8}"/>
    <cellStyle name="Migliaia 27 3 4 4 4" xfId="33595" xr:uid="{538AF54C-1FAE-46FB-B318-7D9E3AEA382B}"/>
    <cellStyle name="Migliaia 27 3 4 5" xfId="36520" xr:uid="{9438A1B5-BD6F-41CC-9E66-A9C283A6217C}"/>
    <cellStyle name="Migliaia 27 3 4 6" xfId="41711" xr:uid="{8B1A7343-E860-4C76-B117-330930CB9955}"/>
    <cellStyle name="Migliaia 27 3 4 7" xfId="16306" xr:uid="{793CB736-C46E-4FB0-B993-5ECBDEDC45A8}"/>
    <cellStyle name="Migliaia 27 3 4 8" xfId="7675" xr:uid="{D9D271D5-8236-49CC-84B6-CBF172284A91}"/>
    <cellStyle name="Migliaia 27 3 5" xfId="3417" xr:uid="{D71B8A19-4683-4ACB-9D59-449C8F9C3CD9}"/>
    <cellStyle name="Migliaia 27 3 5 2" xfId="5143" xr:uid="{6F34845D-3979-4205-8995-7B075AA92D52}"/>
    <cellStyle name="Migliaia 27 3 5 2 2" xfId="35259" xr:uid="{CA323E4E-86DA-427C-8372-83962794CB21}"/>
    <cellStyle name="Migliaia 27 3 5 2 2 2" xfId="40419" xr:uid="{DF9A94FC-2D39-4407-A47A-E57CCC83730E}"/>
    <cellStyle name="Migliaia 27 3 5 2 2 3" xfId="45721" xr:uid="{26E28A7E-1EFD-4B7E-A720-055DF63BF0A7}"/>
    <cellStyle name="Migliaia 27 3 5 2 3" xfId="37768" xr:uid="{397C8932-B822-46FC-A040-AB83916B8657}"/>
    <cellStyle name="Migliaia 27 3 5 2 4" xfId="43070" xr:uid="{50C73C86-F50F-4265-A971-2DAEC2935C65}"/>
    <cellStyle name="Migliaia 27 3 5 2 5" xfId="14238" xr:uid="{3F394410-655C-4A93-8BC3-097426E2D322}"/>
    <cellStyle name="Migliaia 27 3 5 3" xfId="6348" xr:uid="{50FFCAB0-D276-49D0-A46E-286E1F1FC56B}"/>
    <cellStyle name="Migliaia 27 3 5 3 2" xfId="39061" xr:uid="{3B139E34-D9F3-4666-BEE7-F2E7B50F5C4E}"/>
    <cellStyle name="Migliaia 27 3 5 3 3" xfId="44363" xr:uid="{3D129A67-38E5-4ED4-961C-E189036E72B5}"/>
    <cellStyle name="Migliaia 27 3 5 3 4" xfId="33596" xr:uid="{FC54A566-EBD0-4091-8661-BB8F6B57B246}"/>
    <cellStyle name="Migliaia 27 3 5 3 5" xfId="20245" xr:uid="{D62119FD-2720-4F1C-A805-6FDB1046DD37}"/>
    <cellStyle name="Migliaia 27 3 5 4" xfId="36521" xr:uid="{7FD70C55-23AC-4064-B1D7-D3AE5AF55EFE}"/>
    <cellStyle name="Migliaia 27 3 5 5" xfId="41712" xr:uid="{E4465C2A-4AEE-444E-AC3C-A79403FDC7E2}"/>
    <cellStyle name="Migliaia 27 3 5 6" xfId="16308" xr:uid="{C35FF159-EF0D-413C-A9AB-312149CEEBC4}"/>
    <cellStyle name="Migliaia 27 3 5 7" xfId="8300" xr:uid="{D7D929E5-B5DC-4D5D-8F6B-A92C46777113}"/>
    <cellStyle name="Migliaia 27 3 6" xfId="5138" xr:uid="{89971A9F-7BEA-4078-B5D5-7B7805B25F2D}"/>
    <cellStyle name="Migliaia 27 3 6 2" xfId="13943" xr:uid="{0B000F1A-FAB1-4805-90A5-29087DE6419E}"/>
    <cellStyle name="Migliaia 27 3 6 2 2" xfId="39062" xr:uid="{4C177E8A-FC0E-48F6-81C0-4FCFBE42697F}"/>
    <cellStyle name="Migliaia 27 3 6 2 3" xfId="44364" xr:uid="{A2D14D11-5C03-40E5-A61A-A9191793FF23}"/>
    <cellStyle name="Migliaia 27 3 6 3" xfId="18019" xr:uid="{41E4E5C6-0DF5-4F85-9162-CE03812734FD}"/>
    <cellStyle name="Migliaia 27 3 6 4" xfId="20246" xr:uid="{07D307DB-75D3-44C6-A30F-D594E5B6FB3E}"/>
    <cellStyle name="Migliaia 27 3 6 4 2" xfId="41713" xr:uid="{AA5D018F-C3B2-4934-A827-1692C9370EC3}"/>
    <cellStyle name="Migliaia 27 3 6 5" xfId="16309" xr:uid="{4F322146-FCC0-4BAD-9D36-DE8B0637E7F5}"/>
    <cellStyle name="Migliaia 27 3 6 6" xfId="7900" xr:uid="{BEEAADE2-0347-413C-AB2A-626ED4671AE8}"/>
    <cellStyle name="Migliaia 27 3 7" xfId="6343" xr:uid="{A2D516C5-D0ED-4F35-B8FB-1EC211F3919F}"/>
    <cellStyle name="Migliaia 27 3 7 2" xfId="33597" xr:uid="{943F0051-9A18-4CAE-90B9-4A0D9596298E}"/>
    <cellStyle name="Migliaia 27 3 7 2 2" xfId="39063" xr:uid="{6D7BB701-D63D-4D8C-AA34-00639A281250}"/>
    <cellStyle name="Migliaia 27 3 7 2 3" xfId="44365" xr:uid="{8B79A84A-24B3-4815-A071-1005A060549F}"/>
    <cellStyle name="Migliaia 27 3 7 3" xfId="36522" xr:uid="{85A198BA-445C-4467-BFDA-F16BCC587A9C}"/>
    <cellStyle name="Migliaia 27 3 7 4" xfId="41714" xr:uid="{6D03AC97-2CAF-4AEC-8B9B-D95455623673}"/>
    <cellStyle name="Migliaia 27 3 7 5" xfId="11535" xr:uid="{CE4F6B4F-E369-4A37-AAF4-366839B8968E}"/>
    <cellStyle name="Migliaia 27 3 8" xfId="3412" xr:uid="{AEAFA1A5-EA1B-4C25-92C4-67BB228819E7}"/>
    <cellStyle name="Migliaia 27 3 8 2" xfId="33598" xr:uid="{9FD7F93E-9C9F-46FE-BDB9-CCBD0E181050}"/>
    <cellStyle name="Migliaia 27 3 8 2 2" xfId="39064" xr:uid="{991FF758-B1E6-461C-B4E5-3B3BE99DE11D}"/>
    <cellStyle name="Migliaia 27 3 8 2 3" xfId="44366" xr:uid="{0F1A2982-B7A8-4AFE-BA4F-0B6EDCC30EC9}"/>
    <cellStyle name="Migliaia 27 3 8 3" xfId="36523" xr:uid="{249C148F-5BEA-4A0F-A6C7-17EB9C05DD30}"/>
    <cellStyle name="Migliaia 27 3 8 4" xfId="41715" xr:uid="{4427BF14-EF18-445C-9C59-5EFF37532E1D}"/>
    <cellStyle name="Migliaia 27 3 8 5" xfId="24617" xr:uid="{D056FE80-615E-4E56-A27A-206090EFDFFD}"/>
    <cellStyle name="Migliaia 27 3 8 6" xfId="17370" xr:uid="{1D1C392C-EA09-4BBD-8D63-8BBF5AEA62D5}"/>
    <cellStyle name="Migliaia 27 3 9" xfId="20237" xr:uid="{A85F83A8-80A3-4526-8B70-D2BC81B6B9F0}"/>
    <cellStyle name="Migliaia 27 4" xfId="1753" xr:uid="{00000000-0005-0000-0000-000070030000}"/>
    <cellStyle name="Migliaia 27 4 2" xfId="1754" xr:uid="{00000000-0005-0000-0000-000071030000}"/>
    <cellStyle name="Migliaia 27 4 2 2" xfId="5145" xr:uid="{BD061AB2-F5F6-4C8D-A9E4-8CA52EEC92E8}"/>
    <cellStyle name="Migliaia 27 4 2 2 2" xfId="33599" xr:uid="{95CC8468-178D-4BB5-A8B4-1ACD04E6476A}"/>
    <cellStyle name="Migliaia 27 4 2 2 2 2" xfId="39065" xr:uid="{3492D520-D001-4F15-AB0D-1BDB49A9C3E7}"/>
    <cellStyle name="Migliaia 27 4 2 2 2 3" xfId="44367" xr:uid="{798AB1A8-9346-4F17-8AB7-59B2D894ADBD}"/>
    <cellStyle name="Migliaia 27 4 2 2 3" xfId="36524" xr:uid="{F60EBC5F-FC10-41F7-AA53-BBE13A48ECDF}"/>
    <cellStyle name="Migliaia 27 4 2 2 4" xfId="41716" xr:uid="{26BAFB05-367D-47CE-B710-CD524B776533}"/>
    <cellStyle name="Migliaia 27 4 2 2 5" xfId="9146" xr:uid="{10433FB3-FC9D-4A26-A48C-43A4A037C3C0}"/>
    <cellStyle name="Migliaia 27 4 2 3" xfId="3419" xr:uid="{805D2F6F-CB87-4BF2-87BF-A077091C42C9}"/>
    <cellStyle name="Migliaia 27 4 2 3 2" xfId="33600" xr:uid="{865103B0-3CB5-48CC-A9FC-CB59F14026C0}"/>
    <cellStyle name="Migliaia 27 4 2 3 2 2" xfId="39066" xr:uid="{CCD9126E-1AAF-4689-988A-68907E2BDDDC}"/>
    <cellStyle name="Migliaia 27 4 2 3 2 3" xfId="44368" xr:uid="{BDED02FA-1592-473C-A555-8D9230D508CC}"/>
    <cellStyle name="Migliaia 27 4 2 3 3" xfId="36525" xr:uid="{AA000BBA-8E9D-4147-91C1-726696655EF1}"/>
    <cellStyle name="Migliaia 27 4 2 3 4" xfId="41717" xr:uid="{407D0EEA-42DF-4324-B8E2-5683873CDFA5}"/>
    <cellStyle name="Migliaia 27 4 2 3 5" xfId="11965" xr:uid="{E70ACDC1-F416-4CEB-993A-6CFC5D9ADE10}"/>
    <cellStyle name="Migliaia 27 4 2 4" xfId="11314" xr:uid="{26DD6D9E-E1B5-4638-AC9E-3C2F969A5FE8}"/>
    <cellStyle name="Migliaia 27 4 2 5" xfId="10831" xr:uid="{8692C390-2F19-4378-922D-F2D3F903B293}"/>
    <cellStyle name="Migliaia 27 4 2 5 2" xfId="21466" xr:uid="{4366899E-4A84-4A50-8225-8EE4EC02B013}"/>
    <cellStyle name="Migliaia 27 4 2 5 3" xfId="46229" xr:uid="{12FD2F71-277E-4A6B-9246-B5B2DDEBBBB2}"/>
    <cellStyle name="Migliaia 27 4 2 5 4" xfId="50481" xr:uid="{9B894ED7-5369-458D-AB90-3CB4EBF74BAD}"/>
    <cellStyle name="Migliaia 27 4 2 5 5" xfId="53497" xr:uid="{7901C0A4-B5DA-42B9-B52D-A7D9DEFE8510}"/>
    <cellStyle name="Migliaia 27 4 2 6" xfId="20248" xr:uid="{7176126A-04CF-4382-B426-9DB77B7ACEDB}"/>
    <cellStyle name="Migliaia 27 4 2 7" xfId="24619" xr:uid="{81F74929-125C-4CF6-9BC2-D66B8DBC0F5C}"/>
    <cellStyle name="Migliaia 27 4 2 8" xfId="8598" xr:uid="{4341B06B-4EF5-4A95-BF20-28774229AE1C}"/>
    <cellStyle name="Migliaia 27 4 3" xfId="5144" xr:uid="{DBDF9334-F889-4BEB-AE70-65E72A58AA3C}"/>
    <cellStyle name="Migliaia 27 4 3 2" xfId="18201" xr:uid="{F01A4567-66DB-438F-A1DA-19009C6E4E4E}"/>
    <cellStyle name="Migliaia 27 4 3 2 2" xfId="39067" xr:uid="{C4E91AA5-D9EC-4C08-8481-3FB60636ACD6}"/>
    <cellStyle name="Migliaia 27 4 3 2 3" xfId="44369" xr:uid="{7827471F-E07A-4E4A-B1D8-D9161C921671}"/>
    <cellStyle name="Migliaia 27 4 3 3" xfId="36526" xr:uid="{35CFD2F3-E83C-45B5-9D3C-8375F9A5BD56}"/>
    <cellStyle name="Migliaia 27 4 3 4" xfId="41718" xr:uid="{34B94359-2331-4D04-9719-BB7BAA48C116}"/>
    <cellStyle name="Migliaia 27 4 3 5" xfId="17368" xr:uid="{50C2529F-952F-452F-82B6-7AB5636497F4}"/>
    <cellStyle name="Migliaia 27 4 3 6" xfId="9147" xr:uid="{ADA032E4-416C-450C-9A7B-F62AD3C22796}"/>
    <cellStyle name="Migliaia 27 4 4" xfId="6349" xr:uid="{6DF098AD-DF84-48A8-8B4C-86C9C86F70E4}"/>
    <cellStyle name="Migliaia 27 4 4 2" xfId="33601" xr:uid="{5A0228B7-E565-4028-AA99-58CD8239BD11}"/>
    <cellStyle name="Migliaia 27 4 4 2 2" xfId="39068" xr:uid="{96DFB165-6539-4E08-960E-67293C02D2BD}"/>
    <cellStyle name="Migliaia 27 4 4 2 3" xfId="44370" xr:uid="{695D62DC-C2DD-422D-B645-302F6502BE52}"/>
    <cellStyle name="Migliaia 27 4 4 3" xfId="36527" xr:uid="{833297E3-232B-4419-9AF0-EC668BDF7C45}"/>
    <cellStyle name="Migliaia 27 4 4 4" xfId="41719" xr:uid="{A652A0D9-5DE9-40ED-8F25-B42FFEA49A04}"/>
    <cellStyle name="Migliaia 27 4 4 5" xfId="11966" xr:uid="{85133FDB-0791-4551-A13D-9ABD7CB059E2}"/>
    <cellStyle name="Migliaia 27 4 5" xfId="3418" xr:uid="{FC40750E-9FC2-4563-8AC1-E8DA40B34247}"/>
    <cellStyle name="Migliaia 27 4 5 2" xfId="33602" xr:uid="{5261640E-1C2B-4366-9EC3-5111270FF166}"/>
    <cellStyle name="Migliaia 27 4 5 2 2" xfId="39069" xr:uid="{C4D674B0-4819-4CC6-A9A9-EF0A9CB2A913}"/>
    <cellStyle name="Migliaia 27 4 5 2 3" xfId="44371" xr:uid="{08D81E56-E14B-47B4-A44D-75D84FE253B3}"/>
    <cellStyle name="Migliaia 27 4 5 3" xfId="36528" xr:uid="{67E2EB22-EF1D-4D46-A4B1-644D5225AFB6}"/>
    <cellStyle name="Migliaia 27 4 5 4" xfId="41720" xr:uid="{9393D617-B962-47E1-88FE-7E617F4DC469}"/>
    <cellStyle name="Migliaia 27 4 5 5" xfId="11313" xr:uid="{9DBBDF3B-F3AF-4369-BD1A-8AD38902F0DA}"/>
    <cellStyle name="Migliaia 27 4 6" xfId="10830" xr:uid="{6F13A827-B377-42B2-9EDA-F2202BC46C17}"/>
    <cellStyle name="Migliaia 27 4 6 2" xfId="21465" xr:uid="{53371261-1F28-48A3-A786-06F615CABCE4}"/>
    <cellStyle name="Migliaia 27 4 6 2 2" xfId="39070" xr:uid="{8B5A33F3-CD07-45FB-B2E2-AAF5EF008918}"/>
    <cellStyle name="Migliaia 27 4 6 2 3" xfId="44372" xr:uid="{C3042201-8FB1-4664-B754-315CEE0AA109}"/>
    <cellStyle name="Migliaia 27 4 6 2 4" xfId="33603" xr:uid="{71ED1E17-3427-4B2A-9562-9A3DBBAF1494}"/>
    <cellStyle name="Migliaia 27 4 6 3" xfId="36529" xr:uid="{F6D8D224-353D-4A0B-89B4-0053E81C21A1}"/>
    <cellStyle name="Migliaia 27 4 6 4" xfId="41721" xr:uid="{A286CAB4-8960-40A6-A73B-A4F12255C2FD}"/>
    <cellStyle name="Migliaia 27 4 6 5" xfId="24620" xr:uid="{C3D179DD-0042-4E9B-8E54-200C2CAA8983}"/>
    <cellStyle name="Migliaia 27 4 6 6" xfId="24247" xr:uid="{3230242E-11FE-48D9-AE6D-6FBEF6D3EF45}"/>
    <cellStyle name="Migliaia 27 4 6 7" xfId="50480" xr:uid="{0AE378CF-50E6-410E-B7F9-866273355B91}"/>
    <cellStyle name="Migliaia 27 4 6 8" xfId="53496" xr:uid="{5BD31ACC-CD8B-4CA8-BD0D-15C5E04DAF4A}"/>
    <cellStyle name="Migliaia 27 4 7" xfId="20247" xr:uid="{0E1484FC-BDC0-4B5C-94F4-236C25DA9CE7}"/>
    <cellStyle name="Migliaia 27 4 7 2" xfId="33604" xr:uid="{E4F0BEA7-B9AF-40AB-ABC7-9D684AFDF052}"/>
    <cellStyle name="Migliaia 27 4 7 2 2" xfId="39071" xr:uid="{C3DD5C47-9BEB-4739-9D28-443C69EE4DD4}"/>
    <cellStyle name="Migliaia 27 4 7 2 3" xfId="44373" xr:uid="{F0165FF4-52F4-410F-820C-65EE97084AA0}"/>
    <cellStyle name="Migliaia 27 4 7 3" xfId="36530" xr:uid="{D8E0E970-7ABD-49D8-9C56-22600898BD03}"/>
    <cellStyle name="Migliaia 27 4 7 4" xfId="41722" xr:uid="{4ACDE05D-C1F2-4FA2-AD80-ACA1910900FF}"/>
    <cellStyle name="Migliaia 27 4 7 5" xfId="24621" xr:uid="{3AF5314A-1392-489A-A952-0AE7DA2B8DC3}"/>
    <cellStyle name="Migliaia 27 4 8" xfId="24618" xr:uid="{D2ED26F3-FDB0-4ECE-A7FD-054F2ECCB906}"/>
    <cellStyle name="Migliaia 27 4 9" xfId="7408" xr:uid="{59B50741-00E0-41F8-AB37-D2FDCF84F20A}"/>
    <cellStyle name="Migliaia 27 5" xfId="1755" xr:uid="{00000000-0005-0000-0000-000072030000}"/>
    <cellStyle name="Migliaia 27 5 2" xfId="5146" xr:uid="{6ED9AB7D-8894-44A7-8633-C7B088C429A5}"/>
    <cellStyle name="Migliaia 27 5 2 2" xfId="18421" xr:uid="{35B1A6A8-73C8-4FBE-81CD-72346F984C58}"/>
    <cellStyle name="Migliaia 27 5 2 2 2" xfId="39072" xr:uid="{56319397-8D5B-4FC9-9C00-C0C4B459C3C6}"/>
    <cellStyle name="Migliaia 27 5 2 2 3" xfId="44374" xr:uid="{C7625079-A69A-4125-ABE1-C70E1F7FFD2A}"/>
    <cellStyle name="Migliaia 27 5 2 3" xfId="20250" xr:uid="{5534EA73-D82A-4472-A414-EAF481FEC6E9}"/>
    <cellStyle name="Migliaia 27 5 2 3 2" xfId="36531" xr:uid="{91D08A5C-60EC-49C3-8C5C-C93BE7CF9FB5}"/>
    <cellStyle name="Migliaia 27 5 2 4" xfId="41723" xr:uid="{2B338290-4D7C-4C40-8724-D7C2B21145EA}"/>
    <cellStyle name="Migliaia 27 5 2 5" xfId="16310" xr:uid="{01A79A7C-8344-45D2-9090-583AD9EAEDEF}"/>
    <cellStyle name="Migliaia 27 5 2 6" xfId="8599" xr:uid="{A246255F-C511-4B2A-B348-9FF2591CB657}"/>
    <cellStyle name="Migliaia 27 5 3" xfId="6350" xr:uid="{67BC9DEE-5D87-487B-9AF3-34A35E38CF52}"/>
    <cellStyle name="Migliaia 27 5 3 2" xfId="33605" xr:uid="{7B7A6EE1-0452-43F7-904E-8C24EAC4A5BB}"/>
    <cellStyle name="Migliaia 27 5 3 2 2" xfId="39073" xr:uid="{FF777828-F0CF-47B3-A518-8B1FBB235BA6}"/>
    <cellStyle name="Migliaia 27 5 3 2 3" xfId="44375" xr:uid="{B30E5A49-D709-48D6-B967-5513617B54AC}"/>
    <cellStyle name="Migliaia 27 5 3 3" xfId="36532" xr:uid="{8B403872-8996-4A92-BB88-5DAB40B2AEF2}"/>
    <cellStyle name="Migliaia 27 5 3 4" xfId="41724" xr:uid="{04E82E4C-9940-4295-8893-2EE84F58E8EE}"/>
    <cellStyle name="Migliaia 27 5 3 5" xfId="11315" xr:uid="{84E8ED0D-E030-42F2-8BA3-6EC592AA1363}"/>
    <cellStyle name="Migliaia 27 5 4" xfId="3420" xr:uid="{AE1995DF-BDFD-4515-BF13-B9CAF347D7BA}"/>
    <cellStyle name="Migliaia 27 5 4 2" xfId="21467" xr:uid="{453C6629-B4BA-4775-9C30-C86D012800B5}"/>
    <cellStyle name="Migliaia 27 5 4 2 2" xfId="39074" xr:uid="{0C3E6954-434E-45AD-A84E-DEABC26E018F}"/>
    <cellStyle name="Migliaia 27 5 4 2 3" xfId="44376" xr:uid="{9BCA05DD-41A7-491D-A3B4-986FA4F20A02}"/>
    <cellStyle name="Migliaia 27 5 4 2 4" xfId="33606" xr:uid="{E298AA00-64F9-4B6A-97E3-1D5C4661B4E5}"/>
    <cellStyle name="Migliaia 27 5 4 3" xfId="36533" xr:uid="{417EA9CF-36E6-4889-B03E-AF1176E9DDBE}"/>
    <cellStyle name="Migliaia 27 5 4 4" xfId="41725" xr:uid="{6BBF5252-1F6D-42CF-8ED9-E0DF43A743E5}"/>
    <cellStyle name="Migliaia 27 5 4 5" xfId="24623" xr:uid="{4CAE27B5-1B85-4B53-B98D-891D3F671B5F}"/>
    <cellStyle name="Migliaia 27 5 4 6" xfId="32298" xr:uid="{E7F8B74B-4829-42FA-A16B-552DC6327775}"/>
    <cellStyle name="Migliaia 27 5 4 7" xfId="50482" xr:uid="{E0A1B902-C0C4-4E4A-9C17-995E0489EA49}"/>
    <cellStyle name="Migliaia 27 5 4 8" xfId="53498" xr:uid="{6C6F29D6-ECD2-4358-B94A-990101402FBD}"/>
    <cellStyle name="Migliaia 27 5 4 9" xfId="10832" xr:uid="{AE562E60-4174-4E0C-9F8E-CED43190F091}"/>
    <cellStyle name="Migliaia 27 5 5" xfId="20249" xr:uid="{2758E5AF-3B9A-46A6-BCDF-E3387AF7AA74}"/>
    <cellStyle name="Migliaia 27 5 5 2" xfId="33607" xr:uid="{704F7709-5D17-42D6-8F75-8896326BF18B}"/>
    <cellStyle name="Migliaia 27 5 5 2 2" xfId="39075" xr:uid="{ABB931EB-33EA-417B-A822-7CAFF35F93F7}"/>
    <cellStyle name="Migliaia 27 5 5 2 3" xfId="44377" xr:uid="{924231A3-AA8E-43A7-ABAC-8EC097CF60C0}"/>
    <cellStyle name="Migliaia 27 5 5 3" xfId="36534" xr:uid="{65C82743-DB07-420D-845E-0A49B9C21FD8}"/>
    <cellStyle name="Migliaia 27 5 5 4" xfId="41726" xr:uid="{E4DDD82B-958B-4AA5-89F1-DD5BA31834A6}"/>
    <cellStyle name="Migliaia 27 5 5 5" xfId="24624" xr:uid="{37818AA6-2130-4756-A834-84F9706C79D8}"/>
    <cellStyle name="Migliaia 27 5 6" xfId="24625" xr:uid="{588218C7-A644-4422-B5B0-52F0F9A1CE15}"/>
    <cellStyle name="Migliaia 27 5 6 2" xfId="33608" xr:uid="{FE1339F6-F1A6-45BE-9B1B-CFE534504A7C}"/>
    <cellStyle name="Migliaia 27 5 6 2 2" xfId="39076" xr:uid="{5BB088AB-7BF8-4744-89D3-04AE791775FF}"/>
    <cellStyle name="Migliaia 27 5 6 2 3" xfId="44378" xr:uid="{CA2C6234-D96E-444B-8DB2-EF215A73F318}"/>
    <cellStyle name="Migliaia 27 5 6 3" xfId="36535" xr:uid="{A885C366-649B-491A-BBC7-058A256E23EB}"/>
    <cellStyle name="Migliaia 27 5 6 4" xfId="41727" xr:uid="{90A846B7-6F8C-4BCA-A3B2-4BA007BF8E0C}"/>
    <cellStyle name="Migliaia 27 5 7" xfId="24622" xr:uid="{786579C4-CFF3-4AC6-B659-2937E65E5F4A}"/>
    <cellStyle name="Migliaia 27 5 8" xfId="7409" xr:uid="{E6DEA1F6-3BF3-4396-8647-698EB48498A1}"/>
    <cellStyle name="Migliaia 27 6" xfId="3421" xr:uid="{EFC38BE9-69C4-4B42-B644-7014BE2CAF29}"/>
    <cellStyle name="Migliaia 27 6 2" xfId="5147" xr:uid="{0AE2D40C-6975-40E2-9E1A-231AF4F5FC9E}"/>
    <cellStyle name="Migliaia 27 6 2 2" xfId="9919" xr:uid="{01AB1C05-2455-463E-9848-4C9277838A24}"/>
    <cellStyle name="Migliaia 27 6 2 3" xfId="18661" xr:uid="{01926A20-8A19-44DD-B7F0-3955D820F427}"/>
    <cellStyle name="Migliaia 27 6 2 4" xfId="20252" xr:uid="{30B5AD6A-373F-42F5-A6EF-CDDBDB1A30C3}"/>
    <cellStyle name="Migliaia 27 6 2 5" xfId="32354" xr:uid="{F8FB9C99-80F1-430B-A44A-292A6B99AF50}"/>
    <cellStyle name="Migliaia 27 6 2 6" xfId="16312" xr:uid="{0BBB711E-F074-4BDF-864A-05FB5CA21C97}"/>
    <cellStyle name="Migliaia 27 6 2 7" xfId="8594" xr:uid="{3920238E-F68C-4C5B-9B1C-7F05136AF7DB}"/>
    <cellStyle name="Migliaia 27 6 3" xfId="6351" xr:uid="{B628E134-3DBB-44C9-8081-B370F238F45A}"/>
    <cellStyle name="Migliaia 27 6 3 2" xfId="35260" xr:uid="{91C504A1-92B0-414F-9DB5-EBAD7B203122}"/>
    <cellStyle name="Migliaia 27 6 3 2 2" xfId="40420" xr:uid="{7E79FC4F-2E1B-43F8-91EC-19B5F9AD1233}"/>
    <cellStyle name="Migliaia 27 6 3 2 3" xfId="45722" xr:uid="{C302671E-3B95-4095-A6F8-0974F0C12899}"/>
    <cellStyle name="Migliaia 27 6 3 3" xfId="37769" xr:uid="{9BFDE518-4F37-4B19-A83B-570A5AE2E6C8}"/>
    <cellStyle name="Migliaia 27 6 3 4" xfId="43071" xr:uid="{F3BFB288-C20C-4F66-9654-2490F96CD5D3}"/>
    <cellStyle name="Migliaia 27 6 3 5" xfId="9682" xr:uid="{0BDC9239-E308-4B2D-B26D-6F91C7E5DB9E}"/>
    <cellStyle name="Migliaia 27 6 4" xfId="20251" xr:uid="{6FC914BF-7009-4247-9F92-E2D37DC775B2}"/>
    <cellStyle name="Migliaia 27 6 4 2" xfId="39077" xr:uid="{506538E1-E7AA-480D-9594-12388AD80D28}"/>
    <cellStyle name="Migliaia 27 6 4 3" xfId="44379" xr:uid="{DFB1BAF8-66E5-4112-8815-9503415B3D14}"/>
    <cellStyle name="Migliaia 27 6 4 4" xfId="33609" xr:uid="{767B536F-94A4-4FFC-9B09-80769FCCDE92}"/>
    <cellStyle name="Migliaia 27 6 5" xfId="36536" xr:uid="{7B11CC7B-AC39-4128-B3D5-BEF2011DA54E}"/>
    <cellStyle name="Migliaia 27 6 6" xfId="41728" xr:uid="{EC1037B3-C8B5-4876-8331-3760D158EAE4}"/>
    <cellStyle name="Migliaia 27 6 7" xfId="16311" xr:uid="{9148B4AD-35DD-4D0A-8381-29A1DFBFB6BD}"/>
    <cellStyle name="Migliaia 27 6 8" xfId="7404" xr:uid="{8A7B5FBE-AB86-445E-8C0A-C9ADF6528A79}"/>
    <cellStyle name="Migliaia 27 7" xfId="3422" xr:uid="{75E8333B-7CAC-42D2-8E72-91024C3FE86F}"/>
    <cellStyle name="Migliaia 27 7 2" xfId="5148" xr:uid="{D4384996-D5E2-4391-9903-0AA0235DD599}"/>
    <cellStyle name="Migliaia 27 7 2 2" xfId="35261" xr:uid="{6EF25950-6459-46E4-97B5-E05CFF86D357}"/>
    <cellStyle name="Migliaia 27 7 2 2 2" xfId="40421" xr:uid="{20453C2B-901C-4B7A-B760-B76302076A2E}"/>
    <cellStyle name="Migliaia 27 7 2 2 3" xfId="45723" xr:uid="{70C529D9-F6BC-49DC-8F44-04708997A586}"/>
    <cellStyle name="Migliaia 27 7 2 3" xfId="37770" xr:uid="{FA94D26A-0466-49A3-8C39-C2D02B23D6C7}"/>
    <cellStyle name="Migliaia 27 7 2 4" xfId="43072" xr:uid="{3717CD3B-0DE5-46C3-A398-D7D9F2DDF46B}"/>
    <cellStyle name="Migliaia 27 7 2 5" xfId="14236" xr:uid="{8325B0E1-F482-4B8A-9520-8F1A728C5BB7}"/>
    <cellStyle name="Migliaia 27 7 3" xfId="6352" xr:uid="{8058D7EC-C701-4920-8253-5C893D0C1478}"/>
    <cellStyle name="Migliaia 27 7 3 2" xfId="39078" xr:uid="{30CD84E2-A7AE-44B9-8CB0-BB1F0610C172}"/>
    <cellStyle name="Migliaia 27 7 3 3" xfId="44380" xr:uid="{4F25C9A1-BB76-40E1-98AA-3A1CFAB74276}"/>
    <cellStyle name="Migliaia 27 7 3 4" xfId="33610" xr:uid="{077F85E9-BC5C-4389-A6F5-94FD662C506F}"/>
    <cellStyle name="Migliaia 27 7 3 5" xfId="20253" xr:uid="{163C20ED-5765-49F0-921F-E4FE5BDBB996}"/>
    <cellStyle name="Migliaia 27 7 4" xfId="36537" xr:uid="{A3349646-4D9C-4DD7-919E-1C4D83C8896B}"/>
    <cellStyle name="Migliaia 27 7 5" xfId="41729" xr:uid="{C1AFECFB-A458-4D34-8212-0DA43F320F25}"/>
    <cellStyle name="Migliaia 27 7 6" xfId="16313" xr:uid="{8A050308-EFAD-4CF2-90E1-D803E1E57596}"/>
    <cellStyle name="Migliaia 27 7 7" xfId="8298" xr:uid="{BC7C5F5F-FF82-4250-B992-7D29CCBC2325}"/>
    <cellStyle name="Migliaia 27 8" xfId="3423" xr:uid="{1354F601-8D7F-42F0-8701-444C9F2FFEA7}"/>
    <cellStyle name="Migliaia 27 8 2" xfId="5149" xr:uid="{9A97F5A3-22C9-4D0E-A91B-67C333F2A147}"/>
    <cellStyle name="Migliaia 27 8 2 2" xfId="35262" xr:uid="{3E976AE2-98E7-4D3F-959F-69A12B5786C5}"/>
    <cellStyle name="Migliaia 27 8 2 2 2" xfId="40422" xr:uid="{486FEF59-B4AA-4CEA-9966-DE5F06E79614}"/>
    <cellStyle name="Migliaia 27 8 2 2 3" xfId="45724" xr:uid="{FCB18519-9601-4146-8A5D-47387813C7E5}"/>
    <cellStyle name="Migliaia 27 8 2 3" xfId="37771" xr:uid="{C64CC40C-C590-4B94-9FBB-6FD82EE44582}"/>
    <cellStyle name="Migliaia 27 8 2 4" xfId="43073" xr:uid="{D12E8C5D-9328-4DC2-A2F9-2512CC4CC715}"/>
    <cellStyle name="Migliaia 27 8 2 5" xfId="13941" xr:uid="{6B080A5F-E21C-421C-8927-0469E7570C60}"/>
    <cellStyle name="Migliaia 27 8 3" xfId="6353" xr:uid="{3FAC8792-24E8-46F3-B385-A9BCA6EF61DC}"/>
    <cellStyle name="Migliaia 27 8 3 2" xfId="39079" xr:uid="{3A519A78-1D77-4353-BB17-BCD016097B9F}"/>
    <cellStyle name="Migliaia 27 8 3 3" xfId="44381" xr:uid="{D6B371D3-9FBE-4396-BA8E-520D8C56DDA8}"/>
    <cellStyle name="Migliaia 27 8 3 4" xfId="33611" xr:uid="{FB73DFAA-DF00-4A27-A2F7-2F31833051FA}"/>
    <cellStyle name="Migliaia 27 8 3 5" xfId="20254" xr:uid="{9EAD9788-12CC-44B5-88A5-6DDEC994FE33}"/>
    <cellStyle name="Migliaia 27 8 4" xfId="36538" xr:uid="{8F02B48A-CDE3-451D-9C62-6BA8EE5529A0}"/>
    <cellStyle name="Migliaia 27 8 5" xfId="41730" xr:uid="{DFCA8FE7-8898-4B6E-B9C3-B44A734FBC5C}"/>
    <cellStyle name="Migliaia 27 8 6" xfId="16314" xr:uid="{FCC0C9CF-3C4A-41B2-953E-AB8DFB6B5D69}"/>
    <cellStyle name="Migliaia 27 8 7" xfId="7898" xr:uid="{C1FEAD44-E289-48AD-8247-F7696B1F481F}"/>
    <cellStyle name="Migliaia 27 9" xfId="5134" xr:uid="{F4FCD574-C203-48A1-B0C9-A41577CA0969}"/>
    <cellStyle name="Migliaia 27 9 2" xfId="33612" xr:uid="{F67460F7-FE22-4110-8C05-E743DD29639D}"/>
    <cellStyle name="Migliaia 27 9 2 2" xfId="39080" xr:uid="{E9224B1D-5F16-4BF4-B3FB-D32BB8A6800B}"/>
    <cellStyle name="Migliaia 27 9 2 3" xfId="44382" xr:uid="{02FEB11B-3CCC-43CE-9BC6-89860D36D3E1}"/>
    <cellStyle name="Migliaia 27 9 3" xfId="36539" xr:uid="{18EF4986-3BCB-439B-9D50-F3387B84139C}"/>
    <cellStyle name="Migliaia 27 9 4" xfId="41731" xr:uid="{06D27026-0BA3-4431-BDA9-B4097C94F652}"/>
    <cellStyle name="Migliaia 27 9 5" xfId="17173" xr:uid="{38DCA983-9087-4419-9ED6-DFC040240EE0}"/>
    <cellStyle name="Migliaia 28" xfId="381" xr:uid="{00000000-0005-0000-0000-000073030000}"/>
    <cellStyle name="Migliaia 28 10" xfId="6354" xr:uid="{30886A68-4748-40CB-AEA2-C856DB4A2F6D}"/>
    <cellStyle name="Migliaia 28 10 2" xfId="39081" xr:uid="{90F51060-54DD-4392-9443-FF9E0DDC9B95}"/>
    <cellStyle name="Migliaia 28 10 3" xfId="44383" xr:uid="{920CA748-CD56-4220-886E-9B349D9E442F}"/>
    <cellStyle name="Migliaia 28 10 4" xfId="33613" xr:uid="{4C04FE7E-91F3-4656-B4A6-FE11EE50736B}"/>
    <cellStyle name="Migliaia 28 10 5" xfId="20255" xr:uid="{7F07C06F-89FA-438D-A719-E06CBB720995}"/>
    <cellStyle name="Migliaia 28 11" xfId="3424" xr:uid="{FDA11666-7D1E-452C-A379-E581362BF549}"/>
    <cellStyle name="Migliaia 28 11 2" xfId="36540" xr:uid="{AB66358A-E1D8-49AA-9CE5-8ED1940D9E73}"/>
    <cellStyle name="Migliaia 28 12" xfId="41732" xr:uid="{9DC4F2BA-5D52-4408-A039-8E3901A479A8}"/>
    <cellStyle name="Migliaia 28 13" xfId="7102" xr:uid="{A6E595B4-36C4-4ED0-9DF7-B19F987763C0}"/>
    <cellStyle name="Migliaia 28 2" xfId="382" xr:uid="{00000000-0005-0000-0000-000074030000}"/>
    <cellStyle name="Migliaia 28 2 2" xfId="1756" xr:uid="{00000000-0005-0000-0000-000075030000}"/>
    <cellStyle name="Migliaia 28 2 2 2" xfId="5152" xr:uid="{B1E8BFEC-7C0C-41FD-A1E9-102A13D3B56A}"/>
    <cellStyle name="Migliaia 28 2 2 2 2" xfId="14383" xr:uid="{84BEB8AC-8F4D-4E0B-803C-81ED9DAC890C}"/>
    <cellStyle name="Migliaia 28 2 2 2 2 2" xfId="39082" xr:uid="{12151739-0A7E-43E7-BF35-200E75B1F75A}"/>
    <cellStyle name="Migliaia 28 2 2 2 2 3" xfId="44384" xr:uid="{370F1825-EB63-461F-95C9-7AA98796D7FE}"/>
    <cellStyle name="Migliaia 28 2 2 2 3" xfId="18422" xr:uid="{AABA5F98-6C2B-4602-A275-ADE50C38B39F}"/>
    <cellStyle name="Migliaia 28 2 2 2 4" xfId="20258" xr:uid="{F421F183-633D-4B04-903B-D5A3F764AB43}"/>
    <cellStyle name="Migliaia 28 2 2 2 4 2" xfId="41733" xr:uid="{753C4E7A-5D48-402F-AF3C-6FB5D0C8A6CB}"/>
    <cellStyle name="Migliaia 28 2 2 2 5" xfId="16315" xr:uid="{6666718A-202A-4C51-A5BE-65A379F948DA}"/>
    <cellStyle name="Migliaia 28 2 2 2 6" xfId="8601" xr:uid="{1F61475C-E97E-4D0E-959F-34DA2B1E7589}"/>
    <cellStyle name="Migliaia 28 2 2 3" xfId="6356" xr:uid="{C1C86756-EA82-4988-9150-69F7BB310927}"/>
    <cellStyle name="Migliaia 28 2 2 3 2" xfId="35263" xr:uid="{2CF63A80-0637-48FA-BBF7-0DE4C3B9913B}"/>
    <cellStyle name="Migliaia 28 2 2 3 2 2" xfId="40423" xr:uid="{F135F4D5-2541-4896-8703-3FF24DB57FAC}"/>
    <cellStyle name="Migliaia 28 2 2 3 2 3" xfId="45725" xr:uid="{7CE049AD-F69D-48C5-B79D-2E400B568D97}"/>
    <cellStyle name="Migliaia 28 2 2 3 3" xfId="37772" xr:uid="{D162F18E-FDA8-4441-A7D2-6B037FFC53E6}"/>
    <cellStyle name="Migliaia 28 2 2 3 4" xfId="43074" xr:uid="{9A5C3C69-706C-404E-974B-C8E59364F801}"/>
    <cellStyle name="Migliaia 28 2 2 3 5" xfId="11610" xr:uid="{91F79FA8-53D5-49B6-888A-2CBBA2831778}"/>
    <cellStyle name="Migliaia 28 2 2 4" xfId="3426" xr:uid="{8333C773-3D16-4898-8600-A145A217391F}"/>
    <cellStyle name="Migliaia 28 2 2 4 2" xfId="21468" xr:uid="{1D34C408-EAE7-4689-9158-A1101058A6F3}"/>
    <cellStyle name="Migliaia 28 2 2 4 3" xfId="46230" xr:uid="{B945CC0A-287B-4DC3-BAAE-116862BE2BF0}"/>
    <cellStyle name="Migliaia 28 2 2 4 4" xfId="50483" xr:uid="{4CC0E7CD-1544-4103-AAF5-907406ACE5EA}"/>
    <cellStyle name="Migliaia 28 2 2 4 5" xfId="53499" xr:uid="{3B6F234F-7325-48D3-90E3-719BA207712A}"/>
    <cellStyle name="Migliaia 28 2 2 4 6" xfId="10833" xr:uid="{5AD9E34C-E964-4B5D-BF17-B86DA36B92B6}"/>
    <cellStyle name="Migliaia 28 2 2 5" xfId="20257" xr:uid="{CB80C23F-72FE-4BDC-BBC0-A67A94A1A952}"/>
    <cellStyle name="Migliaia 28 2 2 6" xfId="24627" xr:uid="{B26C3F12-6A19-45B1-BACB-B9BE7CE75982}"/>
    <cellStyle name="Migliaia 28 2 2 7" xfId="7411" xr:uid="{953CC936-753A-425C-864A-B89CA272AE43}"/>
    <cellStyle name="Migliaia 28 2 3" xfId="3427" xr:uid="{5F065BD6-40F2-44DF-B0C0-D3D0BD404A53}"/>
    <cellStyle name="Migliaia 28 2 3 2" xfId="5153" xr:uid="{4D1D501C-820B-487F-808C-0A49376856B5}"/>
    <cellStyle name="Migliaia 28 2 3 2 2" xfId="35264" xr:uid="{E0E46C70-70DB-4375-94DE-B7C7AB6334C4}"/>
    <cellStyle name="Migliaia 28 2 3 2 2 2" xfId="40424" xr:uid="{F6205A98-CF3D-407E-AF5E-82B09D812F83}"/>
    <cellStyle name="Migliaia 28 2 3 2 2 3" xfId="45726" xr:uid="{9B50B4D3-FF52-4346-869C-ECEEE215CA59}"/>
    <cellStyle name="Migliaia 28 2 3 2 3" xfId="37773" xr:uid="{28FC12A1-8853-4F12-8C15-CB9A59309ACE}"/>
    <cellStyle name="Migliaia 28 2 3 2 4" xfId="43075" xr:uid="{A62D93CF-DEAA-46C3-A434-5EF012FB0C80}"/>
    <cellStyle name="Migliaia 28 2 3 2 5" xfId="14240" xr:uid="{418D7BE6-B1CF-4538-9D02-BA5D99AF7F3E}"/>
    <cellStyle name="Migliaia 28 2 3 3" xfId="6357" xr:uid="{01FB4C40-ADC0-4D41-95E3-679999F0437E}"/>
    <cellStyle name="Migliaia 28 2 3 3 2" xfId="39083" xr:uid="{E3FEEC1A-762C-40BD-AE5C-F9E9F5B1148D}"/>
    <cellStyle name="Migliaia 28 2 3 3 3" xfId="44385" xr:uid="{5647B339-01B9-45D0-B5D1-117DFC7886E4}"/>
    <cellStyle name="Migliaia 28 2 3 3 4" xfId="33614" xr:uid="{DA54AACF-78DD-41CC-B6AF-07B921F014A8}"/>
    <cellStyle name="Migliaia 28 2 3 3 5" xfId="20259" xr:uid="{6E8E86D2-F003-4854-B3FC-1E2BCEBFBB12}"/>
    <cellStyle name="Migliaia 28 2 3 4" xfId="36541" xr:uid="{B7256C51-E3EE-4BD8-A83F-F4B74A37FE3B}"/>
    <cellStyle name="Migliaia 28 2 3 5" xfId="41734" xr:uid="{261F5FD0-987F-4E27-8B80-6E9ED4648C79}"/>
    <cellStyle name="Migliaia 28 2 3 6" xfId="16316" xr:uid="{644DC281-D992-431F-B857-CFE41D3C2818}"/>
    <cellStyle name="Migliaia 28 2 3 7" xfId="8302" xr:uid="{6C3E1ECB-2312-4187-AE56-062D78A484CD}"/>
    <cellStyle name="Migliaia 28 2 4" xfId="5151" xr:uid="{00C59237-9CF2-4D37-A531-2294BED82808}"/>
    <cellStyle name="Migliaia 28 2 4 2" xfId="13945" xr:uid="{8EA4D35D-5D02-4720-939F-1F4B4E78FF98}"/>
    <cellStyle name="Migliaia 28 2 4 2 2" xfId="39084" xr:uid="{0AF99C08-F66E-44F3-B5C2-3918465FFA72}"/>
    <cellStyle name="Migliaia 28 2 4 2 3" xfId="44386" xr:uid="{A64DC09F-7EBB-4668-81D0-3B429EE2BC2C}"/>
    <cellStyle name="Migliaia 28 2 4 3" xfId="18714" xr:uid="{45B47D88-EAA9-4D38-B6D4-7E834B000EB2}"/>
    <cellStyle name="Migliaia 28 2 4 4" xfId="20260" xr:uid="{BEE12E05-EF71-4A5D-B3A9-F6D845E73C0F}"/>
    <cellStyle name="Migliaia 28 2 4 4 2" xfId="41735" xr:uid="{69BDBB3D-0713-42CC-8753-A91769C9CEF4}"/>
    <cellStyle name="Migliaia 28 2 4 5" xfId="16317" xr:uid="{E4589623-3259-4C20-9D03-47BCFEE92E86}"/>
    <cellStyle name="Migliaia 28 2 4 6" xfId="7903" xr:uid="{0586F086-EC10-4FBE-B41B-EE117D3CFF67}"/>
    <cellStyle name="Migliaia 28 2 5" xfId="6355" xr:uid="{2695FFAD-63C5-4AA3-8D7E-5B9BF81C5308}"/>
    <cellStyle name="Migliaia 28 2 5 2" xfId="33615" xr:uid="{308F1315-D65E-4478-BC66-DF59C508FE3F}"/>
    <cellStyle name="Migliaia 28 2 5 2 2" xfId="39085" xr:uid="{6E7B0640-B4ED-4493-9E52-1F711C5FE972}"/>
    <cellStyle name="Migliaia 28 2 5 2 3" xfId="44387" xr:uid="{695AE108-BFC1-4DBC-9642-0CAEAC901C83}"/>
    <cellStyle name="Migliaia 28 2 5 3" xfId="36542" xr:uid="{9BC52055-15EB-47E3-8B72-F0336847EC27}"/>
    <cellStyle name="Migliaia 28 2 5 4" xfId="41736" xr:uid="{AD2E6FA6-9E04-4527-BF8D-4A3F132F51E3}"/>
    <cellStyle name="Migliaia 28 2 5 5" xfId="13123" xr:uid="{7207E6F9-6952-4B23-A8D4-8E461A1F76A9}"/>
    <cellStyle name="Migliaia 28 2 6" xfId="3425" xr:uid="{9A9AEA3C-9F8C-4289-B567-A7DBEDB7A422}"/>
    <cellStyle name="Migliaia 28 2 6 2" xfId="33616" xr:uid="{7629B8CD-D3E9-49EE-B895-F091878D1920}"/>
    <cellStyle name="Migliaia 28 2 6 2 2" xfId="39086" xr:uid="{8D248A0B-5E43-4538-AF52-98AD9A7D74FD}"/>
    <cellStyle name="Migliaia 28 2 6 2 3" xfId="44388" xr:uid="{6B74D43B-82F5-4FDE-9795-BB77E02B7429}"/>
    <cellStyle name="Migliaia 28 2 6 3" xfId="36543" xr:uid="{13F50692-4FC3-4D47-BFB9-A9C99B7F0D7D}"/>
    <cellStyle name="Migliaia 28 2 6 4" xfId="41737" xr:uid="{4AA3C7EB-EA5D-4FC3-87A0-CC54D51F7517}"/>
    <cellStyle name="Migliaia 28 2 6 5" xfId="24628" xr:uid="{293D901C-55B0-486B-B44F-A79DDD38F80F}"/>
    <cellStyle name="Migliaia 28 2 6 6" xfId="20256" xr:uid="{A79FEC2C-42B0-4E0C-99F0-7B32198D0C05}"/>
    <cellStyle name="Migliaia 28 2 7" xfId="24626" xr:uid="{1463623F-ADC4-431B-ACB2-78FB32CF603F}"/>
    <cellStyle name="Migliaia 28 2 8" xfId="7103" xr:uid="{CB941D9D-7F4C-4CBF-9F71-10BDA0712B5B}"/>
    <cellStyle name="Migliaia 28 3" xfId="383" xr:uid="{00000000-0005-0000-0000-000076030000}"/>
    <cellStyle name="Migliaia 28 3 10" xfId="24629" xr:uid="{83F1A477-70F6-4372-8DC0-DC88FB5D83F8}"/>
    <cellStyle name="Migliaia 28 3 11" xfId="16318" xr:uid="{4CB0D9FF-798B-4BD6-BEFF-61DD597F0A0C}"/>
    <cellStyle name="Migliaia 28 3 12" xfId="7104" xr:uid="{09D79047-F5B7-4B10-A428-0CFBC6F11B80}"/>
    <cellStyle name="Migliaia 28 3 2" xfId="384" xr:uid="{00000000-0005-0000-0000-000077030000}"/>
    <cellStyle name="Migliaia 28 3 2 2" xfId="1757" xr:uid="{00000000-0005-0000-0000-000078030000}"/>
    <cellStyle name="Migliaia 28 3 2 2 2" xfId="5156" xr:uid="{BC11F700-ED3F-455B-B8D5-D82D0D054072}"/>
    <cellStyle name="Migliaia 28 3 2 2 2 2" xfId="18423" xr:uid="{BCCC0371-450F-43D2-9BBE-3C7D0704858E}"/>
    <cellStyle name="Migliaia 28 3 2 2 2 2 2" xfId="21861" xr:uid="{D8277337-5AAF-4E9B-9624-D3874C04EF8E}"/>
    <cellStyle name="Migliaia 28 3 2 2 2 2 2 2" xfId="39087" xr:uid="{D8940B87-33A9-4486-96BC-E9366C714551}"/>
    <cellStyle name="Migliaia 28 3 2 2 2 2 3" xfId="44389" xr:uid="{5C146A23-41D8-45D0-8095-502888F13726}"/>
    <cellStyle name="Migliaia 28 3 2 2 2 2 4" xfId="33617" xr:uid="{E03C0811-B157-49DC-BC9B-7A129E5ED7EE}"/>
    <cellStyle name="Migliaia 28 3 2 2 2 3" xfId="36544" xr:uid="{8E36217B-2FA8-4BD0-8E63-60B04A8283CA}"/>
    <cellStyle name="Migliaia 28 3 2 2 2 4" xfId="41738" xr:uid="{E2724BC5-8A09-4172-BEF3-91C0D4844DF9}"/>
    <cellStyle name="Migliaia 28 3 2 2 2 5" xfId="32642" xr:uid="{3B7E445D-29B2-4CD9-A4A6-A6BC00D81C5D}"/>
    <cellStyle name="Migliaia 28 3 2 2 2 6" xfId="50889" xr:uid="{91C20A24-E55C-4CBF-A017-5919F329183C}"/>
    <cellStyle name="Migliaia 28 3 2 2 2 7" xfId="53905" xr:uid="{FD2F606F-B4EF-479D-B54A-287D0C62D9CA}"/>
    <cellStyle name="Migliaia 28 3 2 2 2 8" xfId="17658" xr:uid="{B0E52E6E-CAA4-41F7-8395-0CDD5F95F460}"/>
    <cellStyle name="Migliaia 28 3 2 2 2 9" xfId="11967" xr:uid="{3797F9E9-115C-4931-B281-F297E0D015A6}"/>
    <cellStyle name="Migliaia 28 3 2 2 3" xfId="6360" xr:uid="{B3E8BEC6-8792-4DF0-92F6-FA94F555B046}"/>
    <cellStyle name="Migliaia 28 3 2 2 3 2" xfId="11558" xr:uid="{F4BC9908-EBFA-4023-B8A1-A1B005407CD2}"/>
    <cellStyle name="Migliaia 28 3 2 2 4" xfId="3430" xr:uid="{D6006F2E-ACAC-4244-B98D-659942AD7F3A}"/>
    <cellStyle name="Migliaia 28 3 2 2 4 2" xfId="21469" xr:uid="{E1291B46-1F78-4D0D-8B28-46A5C3E45AA4}"/>
    <cellStyle name="Migliaia 28 3 2 2 4 3" xfId="35976" xr:uid="{CE606953-2520-4512-B075-93D293523173}"/>
    <cellStyle name="Migliaia 28 3 2 2 4 4" xfId="50484" xr:uid="{462DBA97-B566-4309-AFB0-E38205EF4BA2}"/>
    <cellStyle name="Migliaia 28 3 2 2 4 5" xfId="53500" xr:uid="{E54551EB-E5B2-4A77-8A89-66E67879F30B}"/>
    <cellStyle name="Migliaia 28 3 2 2 4 6" xfId="10834" xr:uid="{4D011E74-0D86-445E-B0E8-B148B50C3253}"/>
    <cellStyle name="Migliaia 28 3 2 2 5" xfId="20263" xr:uid="{58654294-C6FA-4E2A-ADFD-C6155EC76E98}"/>
    <cellStyle name="Migliaia 28 3 2 2 6" xfId="24631" xr:uid="{1E536732-A3CF-4505-8BFE-B63489AFA5FD}"/>
    <cellStyle name="Migliaia 28 3 2 2 7" xfId="8603" xr:uid="{1ED6E742-AA52-46BC-9F9A-95F2ECB1F464}"/>
    <cellStyle name="Migliaia 28 3 2 3" xfId="5155" xr:uid="{D9E1A1C9-316A-417D-916A-3BD44AEE5B76}"/>
    <cellStyle name="Migliaia 28 3 2 3 2" xfId="11657" xr:uid="{96F01374-A1ED-47FC-BD68-C1225C357455}"/>
    <cellStyle name="Migliaia 28 3 2 3 2 2" xfId="39088" xr:uid="{C5C28F29-BB6A-4118-ACD1-B13FC6A0819A}"/>
    <cellStyle name="Migliaia 28 3 2 3 2 3" xfId="44390" xr:uid="{AF010CA6-323B-49B9-A172-A722F8434717}"/>
    <cellStyle name="Migliaia 28 3 2 3 2 4" xfId="33618" xr:uid="{BF1CC1F7-51D1-4F49-9D31-A066692ABBF4}"/>
    <cellStyle name="Migliaia 28 3 2 3 3" xfId="11968" xr:uid="{55746EA3-879F-4B65-8BAF-61527AC2F519}"/>
    <cellStyle name="Migliaia 28 3 2 3 4" xfId="20264" xr:uid="{FCC32910-F367-4B2A-B1FF-61566AF4F404}"/>
    <cellStyle name="Migliaia 28 3 2 3 4 2" xfId="41739" xr:uid="{8C92D8C6-FBB2-4925-9ECB-FC853A367C20}"/>
    <cellStyle name="Migliaia 28 3 2 3 5" xfId="16319" xr:uid="{F8CB5C52-C94B-49ED-9CBA-C1DA9D29BC9B}"/>
    <cellStyle name="Migliaia 28 3 2 3 6" xfId="7905" xr:uid="{5E80814C-49F4-4B44-8237-02DA3B0FADE1}"/>
    <cellStyle name="Migliaia 28 3 2 4" xfId="6359" xr:uid="{92E806E1-0D3A-444A-880E-F08ED0FAB2B2}"/>
    <cellStyle name="Migliaia 28 3 2 4 2" xfId="18077" xr:uid="{9F36F838-6D78-4DFC-899D-082215446F45}"/>
    <cellStyle name="Migliaia 28 3 2 4 2 2" xfId="39089" xr:uid="{493323EB-D285-4A2D-8FB2-BE0A0D84BE6B}"/>
    <cellStyle name="Migliaia 28 3 2 4 2 3" xfId="44391" xr:uid="{CFF5265D-F806-4FFB-9D16-74CD1DF11AAA}"/>
    <cellStyle name="Migliaia 28 3 2 4 3" xfId="36545" xr:uid="{14EFC3B0-E0CD-4115-967E-CF7C170A3FC4}"/>
    <cellStyle name="Migliaia 28 3 2 4 4" xfId="41740" xr:uid="{3E002FFE-4E06-4300-895C-FDE6CCDC439A}"/>
    <cellStyle name="Migliaia 28 3 2 4 5" xfId="17176" xr:uid="{514DB97B-7337-4B42-A08A-1A7448067060}"/>
    <cellStyle name="Migliaia 28 3 2 4 6" xfId="11316" xr:uid="{DD416B4A-F68E-4185-81B2-A7A25661B2DF}"/>
    <cellStyle name="Migliaia 28 3 2 5" xfId="3429" xr:uid="{32C24B3C-A8ED-40D1-B680-107C059A826F}"/>
    <cellStyle name="Migliaia 28 3 2 5 2" xfId="33619" xr:uid="{1ACE27BA-7C93-458E-A820-D3A772E3FEA1}"/>
    <cellStyle name="Migliaia 28 3 2 5 2 2" xfId="39090" xr:uid="{0152B672-34E2-48C2-AE88-6524979F089C}"/>
    <cellStyle name="Migliaia 28 3 2 5 2 3" xfId="44392" xr:uid="{5FB9BB6C-CC24-4B7D-85F3-83E6BCB008BF}"/>
    <cellStyle name="Migliaia 28 3 2 5 3" xfId="36546" xr:uid="{71DD4B9A-42C4-47DF-8498-A1641A965286}"/>
    <cellStyle name="Migliaia 28 3 2 5 4" xfId="41741" xr:uid="{50BA8797-364E-4DE2-A583-B289159CD6A9}"/>
    <cellStyle name="Migliaia 28 3 2 5 5" xfId="17366" xr:uid="{4039ADA9-C9EC-4656-8C68-A6F52763821E}"/>
    <cellStyle name="Migliaia 28 3 2 6" xfId="20262" xr:uid="{71CF2AE4-9384-4E6E-8A7C-6678D0797861}"/>
    <cellStyle name="Migliaia 28 3 2 6 2" xfId="33620" xr:uid="{D2F876A8-BAD9-4D25-B178-675D7E21547A}"/>
    <cellStyle name="Migliaia 28 3 2 6 2 2" xfId="39091" xr:uid="{CD6B1C48-AF19-490E-95E8-B6AA0602953D}"/>
    <cellStyle name="Migliaia 28 3 2 6 2 3" xfId="44393" xr:uid="{7315D3D0-547F-4FBA-9F48-6F8931DD4AD4}"/>
    <cellStyle name="Migliaia 28 3 2 6 3" xfId="36547" xr:uid="{D38146EA-4796-4EB5-8044-13A7C7628F46}"/>
    <cellStyle name="Migliaia 28 3 2 6 4" xfId="41742" xr:uid="{B9984778-9E53-4413-B56B-4C31A4986076}"/>
    <cellStyle name="Migliaia 28 3 2 6 5" xfId="24632" xr:uid="{B8F9E412-7C7E-4240-BAA1-52FA3072C9D6}"/>
    <cellStyle name="Migliaia 28 3 2 7" xfId="24630" xr:uid="{57DBD675-1976-4D38-80D5-75022E1DB245}"/>
    <cellStyle name="Migliaia 28 3 2 8" xfId="7413" xr:uid="{A71533F1-AB79-42F9-A5FA-7187752AF074}"/>
    <cellStyle name="Migliaia 28 3 3" xfId="3431" xr:uid="{96166F1A-7685-4164-95D1-0B39301237EA}"/>
    <cellStyle name="Migliaia 28 3 3 10" xfId="7412" xr:uid="{A1630235-5331-43D8-B9C1-6F47FF1A5DBE}"/>
    <cellStyle name="Migliaia 28 3 3 2" xfId="5157" xr:uid="{52565296-EDD6-4FAB-9B77-3388C58B70CB}"/>
    <cellStyle name="Migliaia 28 3 3 2 2" xfId="9922" xr:uid="{CAC77894-C530-4974-9BC0-4CABDFC2FF90}"/>
    <cellStyle name="Migliaia 28 3 3 2 2 2" xfId="39093" xr:uid="{ED04A39A-0288-4E01-B2ED-73125DFE006C}"/>
    <cellStyle name="Migliaia 28 3 3 2 2 3" xfId="44395" xr:uid="{E35C3FB0-3478-4A3F-89E8-6E6625DFD6E2}"/>
    <cellStyle name="Migliaia 28 3 3 2 3" xfId="18202" xr:uid="{74127B3B-93C5-4519-AFEF-6CD5E1885C27}"/>
    <cellStyle name="Migliaia 28 3 3 2 4" xfId="20266" xr:uid="{331A5421-82F8-4D2D-8013-C1047915397E}"/>
    <cellStyle name="Migliaia 28 3 3 2 4 2" xfId="41744" xr:uid="{197F5ED6-0BF9-43AD-9886-A76058A5F1C6}"/>
    <cellStyle name="Migliaia 28 3 3 2 5" xfId="16321" xr:uid="{435EBA5F-99F8-4BAE-A6AB-FE768FBD4709}"/>
    <cellStyle name="Migliaia 28 3 3 2 6" xfId="8602" xr:uid="{00CB5523-6057-42D3-9C77-634795B61682}"/>
    <cellStyle name="Migliaia 28 3 3 3" xfId="6361" xr:uid="{9C8AC06D-41C3-4161-9C98-0018A05CA8BB}"/>
    <cellStyle name="Migliaia 28 3 3 3 2" xfId="33622" xr:uid="{EED447A9-D082-4AF9-AC67-378E7D7BED94}"/>
    <cellStyle name="Migliaia 28 3 3 3 2 2" xfId="39094" xr:uid="{B5B82BC8-F646-4C02-B60F-72EB7BEAC15C}"/>
    <cellStyle name="Migliaia 28 3 3 3 2 3" xfId="44396" xr:uid="{BD8148BC-E2D0-46A0-81EB-08A47A5F74C1}"/>
    <cellStyle name="Migliaia 28 3 3 3 3" xfId="36549" xr:uid="{E35601C5-6D2C-4487-BA9E-C8DDC89EDE3D}"/>
    <cellStyle name="Migliaia 28 3 3 3 4" xfId="41745" xr:uid="{84A1E2E7-E84A-4DCD-9378-7E723B4ECE5B}"/>
    <cellStyle name="Migliaia 28 3 3 3 5" xfId="9685" xr:uid="{6B06A717-29E3-464C-904B-B746416753B2}"/>
    <cellStyle name="Migliaia 28 3 3 4" xfId="20265" xr:uid="{FD772A99-7509-4244-8B83-FA9C541B06CC}"/>
    <cellStyle name="Migliaia 28 3 3 4 2" xfId="33623" xr:uid="{D3EDE8BF-8ACA-4BE6-B51D-CF7E590B91E0}"/>
    <cellStyle name="Migliaia 28 3 3 4 2 2" xfId="39095" xr:uid="{C20ABE4A-767E-4182-B749-C116A431ECFB}"/>
    <cellStyle name="Migliaia 28 3 3 4 2 3" xfId="44397" xr:uid="{D79D99A2-285C-434D-8D03-B2AD36A627BD}"/>
    <cellStyle name="Migliaia 28 3 3 4 3" xfId="36550" xr:uid="{56DE4FB9-8AEE-4E16-B470-51C713211F9E}"/>
    <cellStyle name="Migliaia 28 3 3 4 4" xfId="41746" xr:uid="{36F4244D-3CD7-4C83-B333-CC18E5EF94D8}"/>
    <cellStyle name="Migliaia 28 3 3 4 5" xfId="24633" xr:uid="{28BBAB53-791A-40A4-8D83-EA3D0AA34F5A}"/>
    <cellStyle name="Migliaia 28 3 3 5" xfId="24634" xr:uid="{B6AFF956-058A-47C7-81DF-716EF7C441AC}"/>
    <cellStyle name="Migliaia 28 3 3 5 2" xfId="33624" xr:uid="{668B4F84-0120-4281-8050-A417E0E23E74}"/>
    <cellStyle name="Migliaia 28 3 3 5 2 2" xfId="39096" xr:uid="{ECF1B781-A2A9-4597-BD14-A088A8C254AC}"/>
    <cellStyle name="Migliaia 28 3 3 5 2 3" xfId="44398" xr:uid="{F36A0398-CEA6-4490-8AFD-4D7CD5634122}"/>
    <cellStyle name="Migliaia 28 3 3 5 3" xfId="36551" xr:uid="{661C784E-A7C9-42DF-81C3-22B364EE0493}"/>
    <cellStyle name="Migliaia 28 3 3 5 4" xfId="41747" xr:uid="{9C3BAB22-6171-44FB-8161-CC2D5C6AFD24}"/>
    <cellStyle name="Migliaia 28 3 3 6" xfId="33621" xr:uid="{811DF9B5-5EC9-4E7F-839B-DD419480A281}"/>
    <cellStyle name="Migliaia 28 3 3 6 2" xfId="39092" xr:uid="{1902A9AE-65A4-4210-B5DE-4627825F8FD2}"/>
    <cellStyle name="Migliaia 28 3 3 6 3" xfId="44394" xr:uid="{ADFBD8C4-8BEE-4544-A3A6-0431777160E0}"/>
    <cellStyle name="Migliaia 28 3 3 7" xfId="36548" xr:uid="{DAE8D82D-3359-4874-AA2C-BBB0FF56FFD8}"/>
    <cellStyle name="Migliaia 28 3 3 8" xfId="41743" xr:uid="{94250C6C-106A-4959-996E-DDCFFBDCADB0}"/>
    <cellStyle name="Migliaia 28 3 3 9" xfId="16320" xr:uid="{4C4437E4-4750-490E-9BA9-D75D8ECFF07E}"/>
    <cellStyle name="Migliaia 28 3 4" xfId="3432" xr:uid="{BD505E31-2C02-4BA8-89AF-3B679CD6B51F}"/>
    <cellStyle name="Migliaia 28 3 4 2" xfId="5158" xr:uid="{D2E4E562-6D16-4306-A645-3E7395A8F621}"/>
    <cellStyle name="Migliaia 28 3 4 2 2" xfId="14443" xr:uid="{226780A2-E122-4681-9480-D47E34616FAE}"/>
    <cellStyle name="Migliaia 28 3 4 2 3" xfId="18586" xr:uid="{E556D3BD-9363-46A9-B8C7-F0D7F529045C}"/>
    <cellStyle name="Migliaia 28 3 4 2 4" xfId="20268" xr:uid="{25037376-E4AD-43EF-8159-FCB6B18F3379}"/>
    <cellStyle name="Migliaia 28 3 4 2 5" xfId="32355" xr:uid="{123DDAB7-A709-4B75-AB7F-076FC6291D77}"/>
    <cellStyle name="Migliaia 28 3 4 2 6" xfId="16323" xr:uid="{77518F77-3BC4-4628-B40B-5E47F9F6E99C}"/>
    <cellStyle name="Migliaia 28 3 4 2 7" xfId="8866" xr:uid="{1F1EA8BF-E4BE-492D-B639-4FAC1233AD1B}"/>
    <cellStyle name="Migliaia 28 3 4 3" xfId="6362" xr:uid="{28822C15-C593-4201-A5C7-6AFF082DE043}"/>
    <cellStyle name="Migliaia 28 3 4 3 2" xfId="35265" xr:uid="{A8E9223E-8B46-4120-BAD9-93A0E45D035E}"/>
    <cellStyle name="Migliaia 28 3 4 3 2 2" xfId="40425" xr:uid="{F7FF8D31-127F-4D21-BD2E-156343373F3D}"/>
    <cellStyle name="Migliaia 28 3 4 3 2 3" xfId="45727" xr:uid="{4F79F7FA-EA4D-4D48-826E-E3E48A9F1BD9}"/>
    <cellStyle name="Migliaia 28 3 4 3 3" xfId="37774" xr:uid="{766B6B62-7151-4641-B369-7914AE8053DC}"/>
    <cellStyle name="Migliaia 28 3 4 3 4" xfId="43076" xr:uid="{A4F83941-6D6D-4B36-BCDD-F6A729F021E3}"/>
    <cellStyle name="Migliaia 28 3 4 3 5" xfId="13691" xr:uid="{177E13D0-A168-460D-B409-DC6C886DA5CB}"/>
    <cellStyle name="Migliaia 28 3 4 4" xfId="20267" xr:uid="{408147CF-E905-4D2B-8C2F-A439A1F9B357}"/>
    <cellStyle name="Migliaia 28 3 4 4 2" xfId="39097" xr:uid="{24507B34-162E-44CC-89EB-F188470BB85E}"/>
    <cellStyle name="Migliaia 28 3 4 4 3" xfId="44399" xr:uid="{DCBF997F-96C0-425E-8AF1-1FC5ECBF371F}"/>
    <cellStyle name="Migliaia 28 3 4 4 4" xfId="33625" xr:uid="{C59AB990-F752-4AA1-AE58-672ACFFC9505}"/>
    <cellStyle name="Migliaia 28 3 4 5" xfId="36552" xr:uid="{0A0A79C6-4551-4F4D-A5FF-DE1EB2737FD7}"/>
    <cellStyle name="Migliaia 28 3 4 6" xfId="41748" xr:uid="{431A0505-BEC7-4954-853E-006E9A7CDD76}"/>
    <cellStyle name="Migliaia 28 3 4 7" xfId="16322" xr:uid="{85CFD989-87C0-4BEA-B60E-596947E10336}"/>
    <cellStyle name="Migliaia 28 3 4 8" xfId="7676" xr:uid="{68E4BA91-AEF1-4149-94FB-C98D6EBE0CDA}"/>
    <cellStyle name="Migliaia 28 3 5" xfId="3433" xr:uid="{B90F7CD5-D4A7-4D18-920A-CF61C6D1F231}"/>
    <cellStyle name="Migliaia 28 3 5 2" xfId="5159" xr:uid="{F7AE05E4-181B-49AF-B7EB-0D3ADB753796}"/>
    <cellStyle name="Migliaia 28 3 5 2 2" xfId="35266" xr:uid="{AA022E3D-86A3-40D7-9774-68FDB9BA6F97}"/>
    <cellStyle name="Migliaia 28 3 5 2 2 2" xfId="40426" xr:uid="{5ECEEBA0-A307-4318-BD80-AF5C46416E2E}"/>
    <cellStyle name="Migliaia 28 3 5 2 2 3" xfId="45728" xr:uid="{10715DEE-375C-49B7-BF38-93CE2BEF795E}"/>
    <cellStyle name="Migliaia 28 3 5 2 3" xfId="37775" xr:uid="{BA8807F5-5DCA-4288-887F-299E4AEB4E81}"/>
    <cellStyle name="Migliaia 28 3 5 2 4" xfId="43077" xr:uid="{1CEC3472-0024-4EDD-9A22-DA15C4DEF3EB}"/>
    <cellStyle name="Migliaia 28 3 5 2 5" xfId="14241" xr:uid="{0ADF2CBA-BB93-4A1F-AA66-A03F36F62BD1}"/>
    <cellStyle name="Migliaia 28 3 5 3" xfId="6363" xr:uid="{22EF6CBC-BE52-4195-AF67-E91BEFBB9289}"/>
    <cellStyle name="Migliaia 28 3 5 3 2" xfId="39098" xr:uid="{900895EF-0670-4C33-877F-359CFB4F2ECE}"/>
    <cellStyle name="Migliaia 28 3 5 3 3" xfId="44400" xr:uid="{44D67BBB-0BD8-4CAF-BBAF-69C7CBE51944}"/>
    <cellStyle name="Migliaia 28 3 5 3 4" xfId="33626" xr:uid="{565E1EC2-9332-4D16-865C-A3000934E16D}"/>
    <cellStyle name="Migliaia 28 3 5 3 5" xfId="20269" xr:uid="{DB78DA90-51F9-4457-BD0D-4E1F67B98667}"/>
    <cellStyle name="Migliaia 28 3 5 4" xfId="36553" xr:uid="{148EC5F9-B917-4493-A8B8-B5851F2EC27D}"/>
    <cellStyle name="Migliaia 28 3 5 5" xfId="41749" xr:uid="{50F554D4-D53D-4F0C-BA52-0A0541DF461C}"/>
    <cellStyle name="Migliaia 28 3 5 6" xfId="16324" xr:uid="{536828DA-2F08-49CE-9883-B1BAA850CDF8}"/>
    <cellStyle name="Migliaia 28 3 5 7" xfId="8303" xr:uid="{928BD169-78C5-4616-A9F9-067FCCE1C28D}"/>
    <cellStyle name="Migliaia 28 3 6" xfId="5154" xr:uid="{DFA09408-C1F9-4BBF-8D71-3F899CEAA97A}"/>
    <cellStyle name="Migliaia 28 3 6 2" xfId="13946" xr:uid="{29A37834-84F8-4B30-A236-48365BB41C05}"/>
    <cellStyle name="Migliaia 28 3 6 2 2" xfId="39099" xr:uid="{0A207539-4F8E-4957-BF78-7BFC4EC0D1FA}"/>
    <cellStyle name="Migliaia 28 3 6 2 3" xfId="44401" xr:uid="{537E1B2F-7434-4252-B942-C80DBA2DA9B2}"/>
    <cellStyle name="Migliaia 28 3 6 3" xfId="18616" xr:uid="{F90F7915-3D7D-47C0-BA4F-A1F7EC99B421}"/>
    <cellStyle name="Migliaia 28 3 6 4" xfId="20270" xr:uid="{9A75854E-5A30-4E51-B7B8-4B176EF97B44}"/>
    <cellStyle name="Migliaia 28 3 6 4 2" xfId="41750" xr:uid="{60D04780-8FEC-48E1-8A6E-574617161D91}"/>
    <cellStyle name="Migliaia 28 3 6 5" xfId="16325" xr:uid="{2C7809AB-ECC6-4442-9C0F-C9B5C4141E32}"/>
    <cellStyle name="Migliaia 28 3 6 6" xfId="7904" xr:uid="{16C15E32-90EC-4F8A-B2A6-98110621ABCE}"/>
    <cellStyle name="Migliaia 28 3 7" xfId="6358" xr:uid="{BEBFC4C4-14FC-4C17-B221-E07098DEFB3C}"/>
    <cellStyle name="Migliaia 28 3 7 2" xfId="33627" xr:uid="{8E1A2DA2-CEBB-47B0-8C4D-685487B59BC2}"/>
    <cellStyle name="Migliaia 28 3 7 2 2" xfId="39100" xr:uid="{CBF19DDA-6FE9-4714-9AC3-AAAC6A4A799A}"/>
    <cellStyle name="Migliaia 28 3 7 2 3" xfId="44402" xr:uid="{219E282F-9563-4B0A-AE6D-36ACDD6F5B98}"/>
    <cellStyle name="Migliaia 28 3 7 3" xfId="36554" xr:uid="{8B1DAF3E-6AD5-4B8D-A882-0FD798EC8B4F}"/>
    <cellStyle name="Migliaia 28 3 7 4" xfId="41751" xr:uid="{1BA17689-C45F-446E-BC05-17FD6806EC9C}"/>
    <cellStyle name="Migliaia 28 3 7 5" xfId="11221" xr:uid="{4ED738A4-C8F8-4D3D-8528-57AB78280798}"/>
    <cellStyle name="Migliaia 28 3 8" xfId="3428" xr:uid="{F1D597EF-A26F-4B19-A46C-A36DD8AE1B05}"/>
    <cellStyle name="Migliaia 28 3 8 2" xfId="33628" xr:uid="{F428BB3C-5755-424C-8A18-35F4513387AF}"/>
    <cellStyle name="Migliaia 28 3 8 2 2" xfId="39101" xr:uid="{F65C246D-CA2F-4F15-8DC8-16D40230B64B}"/>
    <cellStyle name="Migliaia 28 3 8 2 3" xfId="44403" xr:uid="{4813771E-D246-4D81-BE0E-2801EB6E8CA2}"/>
    <cellStyle name="Migliaia 28 3 8 3" xfId="36555" xr:uid="{C588EB61-010A-45F0-89E0-1453C4A4AA69}"/>
    <cellStyle name="Migliaia 28 3 8 4" xfId="41752" xr:uid="{7D476B74-4B82-4349-9978-74A519CCF932}"/>
    <cellStyle name="Migliaia 28 3 8 5" xfId="24635" xr:uid="{98B55CB4-1ACC-413A-9423-88AB98F982A3}"/>
    <cellStyle name="Migliaia 28 3 8 6" xfId="17367" xr:uid="{945FD555-7356-47F4-A6C1-0B43FD4CFC94}"/>
    <cellStyle name="Migliaia 28 3 9" xfId="20261" xr:uid="{0BA77DF4-6DB4-4596-A839-B904617145C5}"/>
    <cellStyle name="Migliaia 28 4" xfId="1758" xr:uid="{00000000-0005-0000-0000-000079030000}"/>
    <cellStyle name="Migliaia 28 4 2" xfId="1759" xr:uid="{00000000-0005-0000-0000-00007A030000}"/>
    <cellStyle name="Migliaia 28 4 2 2" xfId="5161" xr:uid="{75417B20-6F45-4075-9306-3D3E0584AA3F}"/>
    <cellStyle name="Migliaia 28 4 2 2 2" xfId="33629" xr:uid="{215C63C4-FC99-4383-9A0A-08DFDB86C45F}"/>
    <cellStyle name="Migliaia 28 4 2 2 2 2" xfId="39102" xr:uid="{5482161C-A696-46BB-BA0D-02B9624B8FE8}"/>
    <cellStyle name="Migliaia 28 4 2 2 2 3" xfId="44404" xr:uid="{7DB64A98-BBBC-4016-805F-DE78094E7786}"/>
    <cellStyle name="Migliaia 28 4 2 2 3" xfId="36556" xr:uid="{B8AB32C7-0793-4A06-B5CE-9E88DC66BB96}"/>
    <cellStyle name="Migliaia 28 4 2 2 4" xfId="41753" xr:uid="{A9BA9206-701F-44FE-80BF-CF73375670D8}"/>
    <cellStyle name="Migliaia 28 4 2 2 5" xfId="9148" xr:uid="{3F3F12C7-F5C6-4F54-A9DD-48F47B3E4117}"/>
    <cellStyle name="Migliaia 28 4 2 3" xfId="3435" xr:uid="{7DE7C071-6025-452C-9004-6C62A5C8384B}"/>
    <cellStyle name="Migliaia 28 4 2 3 2" xfId="33630" xr:uid="{6CFCAB35-DFAB-4C1C-8764-4780647850A2}"/>
    <cellStyle name="Migliaia 28 4 2 3 2 2" xfId="39103" xr:uid="{AD5AC386-4B92-488D-A2FD-4DEB0C129243}"/>
    <cellStyle name="Migliaia 28 4 2 3 2 3" xfId="44405" xr:uid="{71ADD20A-7C23-4379-97C5-18D5B2A5E3F3}"/>
    <cellStyle name="Migliaia 28 4 2 3 3" xfId="36557" xr:uid="{B7126EC0-3770-4891-BA26-8B0480484255}"/>
    <cellStyle name="Migliaia 28 4 2 3 4" xfId="41754" xr:uid="{6B8DFA5B-9869-403E-A931-4A0ED4F37D28}"/>
    <cellStyle name="Migliaia 28 4 2 3 5" xfId="11969" xr:uid="{89AE449C-0534-4446-A0BC-60B6D4D6B2B4}"/>
    <cellStyle name="Migliaia 28 4 2 4" xfId="11318" xr:uid="{FADEACE1-BFC5-4237-88DC-A2DAC0AE2FC7}"/>
    <cellStyle name="Migliaia 28 4 2 5" xfId="10836" xr:uid="{3A554F3E-3E7F-45C2-958B-6BC897B9670A}"/>
    <cellStyle name="Migliaia 28 4 2 5 2" xfId="21471" xr:uid="{7C1310D5-E996-49DE-AE9D-7D82119F8381}"/>
    <cellStyle name="Migliaia 28 4 2 5 3" xfId="33087" xr:uid="{72DD4D0B-3AAC-48A0-A438-5B4B12EDDC1F}"/>
    <cellStyle name="Migliaia 28 4 2 5 4" xfId="50486" xr:uid="{5232EC8B-12C4-47B6-9411-050E38FD6F00}"/>
    <cellStyle name="Migliaia 28 4 2 5 5" xfId="53502" xr:uid="{ECEDEC06-616D-4957-A6B0-966568B07061}"/>
    <cellStyle name="Migliaia 28 4 2 6" xfId="20272" xr:uid="{6218ADA5-B3D4-4ACC-B447-94BE8908E5D9}"/>
    <cellStyle name="Migliaia 28 4 2 7" xfId="24637" xr:uid="{73F2023C-22B7-4ED9-A15C-6F45F9C1AC0C}"/>
    <cellStyle name="Migliaia 28 4 2 8" xfId="8604" xr:uid="{99F1C8C0-3EDA-43DD-9B80-8E2CE4A437DD}"/>
    <cellStyle name="Migliaia 28 4 3" xfId="5160" xr:uid="{E7DFEBAC-40D2-41FE-BF31-6119C4210EB4}"/>
    <cellStyle name="Migliaia 28 4 3 2" xfId="18203" xr:uid="{C74BD3E6-937D-4F7B-BF7F-A4DEBB57E0C9}"/>
    <cellStyle name="Migliaia 28 4 3 2 2" xfId="39104" xr:uid="{D4FB547A-776C-48E5-BC4B-4DA3D1B51145}"/>
    <cellStyle name="Migliaia 28 4 3 2 3" xfId="44406" xr:uid="{7B5747A5-34DB-456B-857C-46E548B143A4}"/>
    <cellStyle name="Migliaia 28 4 3 3" xfId="36558" xr:uid="{29CF446C-2AD8-4C0C-8B55-E3A00F81090F}"/>
    <cellStyle name="Migliaia 28 4 3 4" xfId="41755" xr:uid="{186F5C97-CC1B-4682-8F23-06968AB49C4A}"/>
    <cellStyle name="Migliaia 28 4 3 5" xfId="17365" xr:uid="{29DD17DE-1A99-4C04-955A-77798140D044}"/>
    <cellStyle name="Migliaia 28 4 3 6" xfId="9149" xr:uid="{6C0254E8-F416-4114-937A-AD62FEBF1A69}"/>
    <cellStyle name="Migliaia 28 4 4" xfId="6364" xr:uid="{471E6FA1-231E-4DF2-B4A6-44CCC9D652CB}"/>
    <cellStyle name="Migliaia 28 4 4 2" xfId="33631" xr:uid="{C8A52578-FF0E-439E-BADF-F4C75FBE609B}"/>
    <cellStyle name="Migliaia 28 4 4 2 2" xfId="39105" xr:uid="{39A82B29-865A-44C1-B258-5D73DF5D9D29}"/>
    <cellStyle name="Migliaia 28 4 4 2 3" xfId="44407" xr:uid="{7E97C8FF-2EE6-4AED-96C8-A5632BA41B81}"/>
    <cellStyle name="Migliaia 28 4 4 3" xfId="36559" xr:uid="{C8F04E0B-9FFC-4278-9B00-C7850694524E}"/>
    <cellStyle name="Migliaia 28 4 4 4" xfId="41756" xr:uid="{DA8358A7-1891-4AB9-8155-E29187FBFB65}"/>
    <cellStyle name="Migliaia 28 4 4 5" xfId="11970" xr:uid="{1B7CE700-E64E-46F4-8FDA-C8CC95C955A9}"/>
    <cellStyle name="Migliaia 28 4 5" xfId="3434" xr:uid="{E707790E-9AF9-49CD-9964-09B98DBF8619}"/>
    <cellStyle name="Migliaia 28 4 5 2" xfId="33632" xr:uid="{07FA137A-E272-4632-9BC5-40BFD649D092}"/>
    <cellStyle name="Migliaia 28 4 5 2 2" xfId="39106" xr:uid="{51931EE5-E397-4063-87D3-D08C75DAA7AA}"/>
    <cellStyle name="Migliaia 28 4 5 2 3" xfId="44408" xr:uid="{7385FBD8-4645-4DB5-8C44-23FC99EDAA8D}"/>
    <cellStyle name="Migliaia 28 4 5 3" xfId="36560" xr:uid="{370A7395-C2F5-4625-AE0F-1C558B5A1260}"/>
    <cellStyle name="Migliaia 28 4 5 4" xfId="41757" xr:uid="{CF7AB81D-FB60-4273-A908-EBD3FB547360}"/>
    <cellStyle name="Migliaia 28 4 5 5" xfId="11317" xr:uid="{CE36D9C2-F46B-4C32-8324-C3DFAEA62476}"/>
    <cellStyle name="Migliaia 28 4 6" xfId="10835" xr:uid="{CEBBC53D-C78A-47F6-829A-1DF80C8806A8}"/>
    <cellStyle name="Migliaia 28 4 6 2" xfId="21470" xr:uid="{F403EA29-EBBC-4CA3-A1B9-1601C46451A6}"/>
    <cellStyle name="Migliaia 28 4 6 2 2" xfId="39107" xr:uid="{E78E427C-56A3-4482-8265-BFF831C2964D}"/>
    <cellStyle name="Migliaia 28 4 6 2 3" xfId="44409" xr:uid="{4AE1FC0E-52B0-4D77-A89A-1890DDAE5112}"/>
    <cellStyle name="Migliaia 28 4 6 2 4" xfId="33633" xr:uid="{50770B51-E8FF-47AA-A8F8-5487C515E427}"/>
    <cellStyle name="Migliaia 28 4 6 3" xfId="36561" xr:uid="{C9DEFE79-32E4-4F54-B3B2-53FEE9875684}"/>
    <cellStyle name="Migliaia 28 4 6 4" xfId="41758" xr:uid="{3F40B2DD-9173-4330-A29C-381D7D021A24}"/>
    <cellStyle name="Migliaia 28 4 6 5" xfId="24638" xr:uid="{AC63F5EB-ED05-4FFD-A3C6-6974195413EF}"/>
    <cellStyle name="Migliaia 28 4 6 6" xfId="46231" xr:uid="{49F28E48-5AD8-4A40-AE8C-0E49A22BFE28}"/>
    <cellStyle name="Migliaia 28 4 6 7" xfId="50485" xr:uid="{43D3D063-B93C-4F01-BCCB-0DE176CB479E}"/>
    <cellStyle name="Migliaia 28 4 6 8" xfId="53501" xr:uid="{F57C987A-79C4-415D-97AE-C9D1404595E2}"/>
    <cellStyle name="Migliaia 28 4 7" xfId="20271" xr:uid="{8D110CE6-023C-4B41-87C2-A0A03347DF49}"/>
    <cellStyle name="Migliaia 28 4 7 2" xfId="33634" xr:uid="{1658B860-2090-4291-ABD5-70648ECBB0A4}"/>
    <cellStyle name="Migliaia 28 4 7 2 2" xfId="39108" xr:uid="{0701C5BA-0046-45D5-9CD4-ECD250744FC1}"/>
    <cellStyle name="Migliaia 28 4 7 2 3" xfId="44410" xr:uid="{ED88E67D-7FA2-427E-9019-F3D37139BB6A}"/>
    <cellStyle name="Migliaia 28 4 7 3" xfId="36562" xr:uid="{1CFCBB04-0023-4AB1-AEFA-647760B65717}"/>
    <cellStyle name="Migliaia 28 4 7 4" xfId="41759" xr:uid="{E6BC5733-CFEF-46B4-8588-AC7285D28E6B}"/>
    <cellStyle name="Migliaia 28 4 7 5" xfId="24639" xr:uid="{7957FBB3-4041-4AA8-A0E5-2C8C612E653F}"/>
    <cellStyle name="Migliaia 28 4 8" xfId="24636" xr:uid="{0F870787-FAEC-4481-919A-ABDDE458EB73}"/>
    <cellStyle name="Migliaia 28 4 9" xfId="7414" xr:uid="{4FCD7967-763B-4C79-BB9C-4AFB9B73E1FC}"/>
    <cellStyle name="Migliaia 28 5" xfId="1760" xr:uid="{00000000-0005-0000-0000-00007B030000}"/>
    <cellStyle name="Migliaia 28 5 2" xfId="5162" xr:uid="{159B6233-F3A4-4AC2-B2B9-82E43BC6EBD3}"/>
    <cellStyle name="Migliaia 28 5 2 2" xfId="18424" xr:uid="{6DD5C5EB-A752-412F-A738-B15C146FBAEA}"/>
    <cellStyle name="Migliaia 28 5 2 2 2" xfId="39109" xr:uid="{45270A57-6187-41AD-97D8-6AC3D15CF1A0}"/>
    <cellStyle name="Migliaia 28 5 2 2 3" xfId="44411" xr:uid="{F054DA8F-F611-430E-9FE2-E78D9D26239D}"/>
    <cellStyle name="Migliaia 28 5 2 3" xfId="20274" xr:uid="{46E4A2FA-3585-42FA-9BD0-349C34436273}"/>
    <cellStyle name="Migliaia 28 5 2 3 2" xfId="36563" xr:uid="{A7FC400F-6D84-4286-BB07-B4AAE49B82CE}"/>
    <cellStyle name="Migliaia 28 5 2 4" xfId="41760" xr:uid="{DD4E1B6E-79C0-4D97-A8F0-421CB30D3A9F}"/>
    <cellStyle name="Migliaia 28 5 2 5" xfId="16326" xr:uid="{44E9D5DE-5045-4CC0-98F9-18A1C43BEA3E}"/>
    <cellStyle name="Migliaia 28 5 2 6" xfId="8605" xr:uid="{63078F41-4E1A-4A70-8E76-A9A2EB6194E3}"/>
    <cellStyle name="Migliaia 28 5 3" xfId="6365" xr:uid="{66D2C73A-3598-4705-B011-2ECFB47ED849}"/>
    <cellStyle name="Migliaia 28 5 3 2" xfId="33635" xr:uid="{F59804CE-51EC-4BAB-AB74-EF775A417513}"/>
    <cellStyle name="Migliaia 28 5 3 2 2" xfId="39110" xr:uid="{33753813-AC27-418C-86C5-11FBB516AFDD}"/>
    <cellStyle name="Migliaia 28 5 3 2 3" xfId="44412" xr:uid="{59BF4D32-ED53-4B31-8BBE-6E28DE694DC5}"/>
    <cellStyle name="Migliaia 28 5 3 3" xfId="36564" xr:uid="{47674640-D27F-412B-A051-730392CBDE2F}"/>
    <cellStyle name="Migliaia 28 5 3 4" xfId="41761" xr:uid="{516DA9FB-9D22-44A0-92BE-6358096EB504}"/>
    <cellStyle name="Migliaia 28 5 3 5" xfId="11319" xr:uid="{FDDBFDA2-86BB-446C-B873-1A28194B5F1F}"/>
    <cellStyle name="Migliaia 28 5 4" xfId="3436" xr:uid="{9862C6D9-26FC-4A16-A5E1-9E9E771AA485}"/>
    <cellStyle name="Migliaia 28 5 4 2" xfId="21472" xr:uid="{3374E63D-EFC9-40AC-9D6D-80B89E89B102}"/>
    <cellStyle name="Migliaia 28 5 4 2 2" xfId="39111" xr:uid="{30E7845E-3A40-45AE-9350-D706E02CA0F0}"/>
    <cellStyle name="Migliaia 28 5 4 2 3" xfId="44413" xr:uid="{CF210591-F16F-4FE7-BAEF-D83EDCD93170}"/>
    <cellStyle name="Migliaia 28 5 4 2 4" xfId="33636" xr:uid="{047F3D71-A434-49C3-958F-F7ABD468065F}"/>
    <cellStyle name="Migliaia 28 5 4 3" xfId="36565" xr:uid="{73BC6137-68DB-417D-872C-ED9B72B4CAEB}"/>
    <cellStyle name="Migliaia 28 5 4 4" xfId="41762" xr:uid="{2A987050-1A0C-4D09-ABF7-3B5644C7C8CE}"/>
    <cellStyle name="Migliaia 28 5 4 5" xfId="24641" xr:uid="{9BEF5764-B049-4D15-9C2A-284D377A1A0C}"/>
    <cellStyle name="Migliaia 28 5 4 6" xfId="46232" xr:uid="{55EEF0BE-CF4D-4E05-8CFA-81198934FAC4}"/>
    <cellStyle name="Migliaia 28 5 4 7" xfId="50487" xr:uid="{AA9DC4A0-2078-4D8B-B01D-E95918CFFFA7}"/>
    <cellStyle name="Migliaia 28 5 4 8" xfId="53503" xr:uid="{F09BB8E4-6710-49BF-A3F8-F43F0CBAF0C5}"/>
    <cellStyle name="Migliaia 28 5 4 9" xfId="10837" xr:uid="{8492404C-2FDA-462F-A0E3-481FC1D50B89}"/>
    <cellStyle name="Migliaia 28 5 5" xfId="20273" xr:uid="{CB5EB40C-780F-4180-A933-C639A7C1203B}"/>
    <cellStyle name="Migliaia 28 5 5 2" xfId="33637" xr:uid="{2DC821C7-B9D3-4868-829A-F12B69A3E423}"/>
    <cellStyle name="Migliaia 28 5 5 2 2" xfId="39112" xr:uid="{D442CA0C-DFCF-4561-A786-31506FD27A51}"/>
    <cellStyle name="Migliaia 28 5 5 2 3" xfId="44414" xr:uid="{B3FB58ED-83D6-4FDF-99F5-78123880A6DA}"/>
    <cellStyle name="Migliaia 28 5 5 3" xfId="36566" xr:uid="{86818538-BDC9-45A7-842D-E5A17085D1BA}"/>
    <cellStyle name="Migliaia 28 5 5 4" xfId="41763" xr:uid="{0367692E-B459-4D1D-B0AF-94AB441C036A}"/>
    <cellStyle name="Migliaia 28 5 5 5" xfId="24642" xr:uid="{4D778640-BEFC-4E67-B16B-7809EA17A7DD}"/>
    <cellStyle name="Migliaia 28 5 6" xfId="24643" xr:uid="{3A374284-9FF1-4FE7-B83E-A65F667E28A9}"/>
    <cellStyle name="Migliaia 28 5 6 2" xfId="33638" xr:uid="{807EAAB8-4B6C-4795-888F-8E8A272EBCF0}"/>
    <cellStyle name="Migliaia 28 5 6 2 2" xfId="39113" xr:uid="{C0937BDA-1EE9-4BBD-8341-925CD38B7770}"/>
    <cellStyle name="Migliaia 28 5 6 2 3" xfId="44415" xr:uid="{A89F6FAF-547F-45FB-B2D6-8FD02D890E7A}"/>
    <cellStyle name="Migliaia 28 5 6 3" xfId="36567" xr:uid="{4EA6BA91-EABB-4F1F-AB04-6DBDC4407246}"/>
    <cellStyle name="Migliaia 28 5 6 4" xfId="41764" xr:uid="{42562AE3-F4E1-48D9-BC4B-1552B130A68C}"/>
    <cellStyle name="Migliaia 28 5 7" xfId="24640" xr:uid="{F3F0809B-A029-4CF4-BCFB-1D67A26B9E2D}"/>
    <cellStyle name="Migliaia 28 5 8" xfId="7415" xr:uid="{DC640159-CD2D-4A70-A81C-9BEF57F6D7AD}"/>
    <cellStyle name="Migliaia 28 6" xfId="3437" xr:uid="{0B252726-4FFE-4BD2-B9F7-C38FF6956C6F}"/>
    <cellStyle name="Migliaia 28 6 2" xfId="5163" xr:uid="{260DCE48-607C-4AF1-8AB2-31EC4F330DE3}"/>
    <cellStyle name="Migliaia 28 6 2 2" xfId="9921" xr:uid="{AF8308AC-4E11-4B6D-9F8D-F36B438D75DA}"/>
    <cellStyle name="Migliaia 28 6 2 3" xfId="18660" xr:uid="{4F0A6E55-18BC-401A-9857-B0F7564EF78C}"/>
    <cellStyle name="Migliaia 28 6 2 4" xfId="20276" xr:uid="{258E18EA-0CDD-4CC2-92E6-61910191E75D}"/>
    <cellStyle name="Migliaia 28 6 2 5" xfId="32356" xr:uid="{843A6899-52C5-4386-A405-229EB45C8C0F}"/>
    <cellStyle name="Migliaia 28 6 2 6" xfId="16328" xr:uid="{B27FEC98-14FD-4A29-BDF2-1BBF1DD4C2C3}"/>
    <cellStyle name="Migliaia 28 6 2 7" xfId="8600" xr:uid="{6EC84BAB-588F-4847-B7F2-ECCDF40D9483}"/>
    <cellStyle name="Migliaia 28 6 3" xfId="6366" xr:uid="{A7C5DBCA-945C-45B7-8C1C-30797BDA0B80}"/>
    <cellStyle name="Migliaia 28 6 3 2" xfId="35267" xr:uid="{AFB05CF2-F82D-4FDD-A648-9E645125D905}"/>
    <cellStyle name="Migliaia 28 6 3 2 2" xfId="40427" xr:uid="{21FD38D6-2C5F-46E2-B776-27501AEF4E50}"/>
    <cellStyle name="Migliaia 28 6 3 2 3" xfId="45729" xr:uid="{3C7452CD-319F-4E7C-812E-77F6D4B0B34C}"/>
    <cellStyle name="Migliaia 28 6 3 3" xfId="37776" xr:uid="{85C2DA3C-3F29-498B-B189-54CCB49EFB43}"/>
    <cellStyle name="Migliaia 28 6 3 4" xfId="43078" xr:uid="{97F88C23-8EBB-4DE1-9D37-D63AFB926C0A}"/>
    <cellStyle name="Migliaia 28 6 3 5" xfId="9684" xr:uid="{84ADE56D-E7E6-4478-B14E-D95AE69CBDD8}"/>
    <cellStyle name="Migliaia 28 6 4" xfId="20275" xr:uid="{6EE7A360-F5C8-40FE-90DA-1423447B2ED3}"/>
    <cellStyle name="Migliaia 28 6 4 2" xfId="39114" xr:uid="{8832A743-852A-4EB7-9D65-9405B9EF1715}"/>
    <cellStyle name="Migliaia 28 6 4 3" xfId="44416" xr:uid="{BEB3A18F-BA54-45E0-91B1-A448402CCA70}"/>
    <cellStyle name="Migliaia 28 6 4 4" xfId="33639" xr:uid="{F2C44561-C0F7-4684-AD3B-E3F27CFABC8D}"/>
    <cellStyle name="Migliaia 28 6 5" xfId="36568" xr:uid="{AAB77A4A-F964-4A1E-8293-ED9E81D51A21}"/>
    <cellStyle name="Migliaia 28 6 6" xfId="41765" xr:uid="{6B478CF6-8C0A-4572-A32B-07A42E36A880}"/>
    <cellStyle name="Migliaia 28 6 7" xfId="16327" xr:uid="{F8B6DF00-2FBE-4E2C-88C0-BE20E2FF4B1B}"/>
    <cellStyle name="Migliaia 28 6 8" xfId="7410" xr:uid="{913B1337-0E36-4C8F-8A9D-D56470F1A932}"/>
    <cellStyle name="Migliaia 28 7" xfId="3438" xr:uid="{E586C898-F704-4512-8ADF-2754E7957DCA}"/>
    <cellStyle name="Migliaia 28 7 2" xfId="5164" xr:uid="{F7BB5906-BE64-425B-B9A9-538DDF2A2CC4}"/>
    <cellStyle name="Migliaia 28 7 2 2" xfId="35268" xr:uid="{FC262777-9134-484E-B65E-61B908A4D522}"/>
    <cellStyle name="Migliaia 28 7 2 2 2" xfId="40428" xr:uid="{76206A6C-D848-4D6F-801B-A0C1C6F7C68B}"/>
    <cellStyle name="Migliaia 28 7 2 2 3" xfId="45730" xr:uid="{EA483AFB-F782-447D-A496-E0B3404289D4}"/>
    <cellStyle name="Migliaia 28 7 2 3" xfId="37777" xr:uid="{446C8916-86FF-4822-A344-84BBFBAC7CAE}"/>
    <cellStyle name="Migliaia 28 7 2 4" xfId="43079" xr:uid="{EFA56256-C65F-4DB8-AAEB-AE605D238EF5}"/>
    <cellStyle name="Migliaia 28 7 2 5" xfId="14239" xr:uid="{92D7CBFA-74D0-49D4-ABA0-CF41229210AC}"/>
    <cellStyle name="Migliaia 28 7 3" xfId="6367" xr:uid="{FC5658A9-E5FB-4C63-8E3B-81AA64AB1901}"/>
    <cellStyle name="Migliaia 28 7 3 2" xfId="39115" xr:uid="{AA8DBD82-9A12-465F-84A2-1BB54E207375}"/>
    <cellStyle name="Migliaia 28 7 3 3" xfId="44417" xr:uid="{F207C572-D239-46CA-AE51-E9460FFD551D}"/>
    <cellStyle name="Migliaia 28 7 3 4" xfId="33640" xr:uid="{4CA487D7-39BF-4084-AFDD-001967947AEB}"/>
    <cellStyle name="Migliaia 28 7 3 5" xfId="20277" xr:uid="{0CEF377F-B63C-4554-8033-595060C6E462}"/>
    <cellStyle name="Migliaia 28 7 4" xfId="36569" xr:uid="{75561376-AA6C-490F-8405-A18305A03A79}"/>
    <cellStyle name="Migliaia 28 7 5" xfId="41766" xr:uid="{A5D2CF0D-059D-45B4-B761-AC7898AB1E6F}"/>
    <cellStyle name="Migliaia 28 7 6" xfId="16329" xr:uid="{16948469-C8EF-497B-8801-E4370A8192D4}"/>
    <cellStyle name="Migliaia 28 7 7" xfId="8301" xr:uid="{071EF5A6-D5E1-40A8-85BF-DD22C52480E4}"/>
    <cellStyle name="Migliaia 28 8" xfId="3439" xr:uid="{EA94CA0F-F80D-4FE6-BA4C-5382D0870314}"/>
    <cellStyle name="Migliaia 28 8 2" xfId="5165" xr:uid="{18818B8F-AFCC-4B84-84D8-D636A8854EF6}"/>
    <cellStyle name="Migliaia 28 8 2 2" xfId="35269" xr:uid="{87EFF0FA-923F-4DA1-96FA-C9756F30DD61}"/>
    <cellStyle name="Migliaia 28 8 2 2 2" xfId="40429" xr:uid="{D4904BC6-FDBE-4828-882F-86531EC1F69A}"/>
    <cellStyle name="Migliaia 28 8 2 2 3" xfId="45731" xr:uid="{95E71241-4AD1-406E-BAB7-BD60BC0A8DE7}"/>
    <cellStyle name="Migliaia 28 8 2 3" xfId="37778" xr:uid="{63F9E1CC-688E-4CC6-B4D3-C360194EAFF4}"/>
    <cellStyle name="Migliaia 28 8 2 4" xfId="43080" xr:uid="{A8DDD76F-1170-49E0-AFB2-9ADF7C5F904C}"/>
    <cellStyle name="Migliaia 28 8 2 5" xfId="13944" xr:uid="{3A9706CB-6A99-41B8-A281-A3447769D4E1}"/>
    <cellStyle name="Migliaia 28 8 3" xfId="6368" xr:uid="{AC245DBD-9946-47A6-A9FC-E449DCBE4FA6}"/>
    <cellStyle name="Migliaia 28 8 3 2" xfId="39116" xr:uid="{C17C02EA-F3C6-4BE3-B1B9-500F8A48448A}"/>
    <cellStyle name="Migliaia 28 8 3 3" xfId="44418" xr:uid="{81714F90-6631-4CC0-8A9B-1D1576FA8379}"/>
    <cellStyle name="Migliaia 28 8 3 4" xfId="33641" xr:uid="{1E916B1F-A8F5-44CE-A2AD-2440CBCDEC35}"/>
    <cellStyle name="Migliaia 28 8 3 5" xfId="20278" xr:uid="{886A39BB-AAB8-44A0-9D54-28CA0A1F868E}"/>
    <cellStyle name="Migliaia 28 8 4" xfId="36570" xr:uid="{C3D845BD-BB9E-4EB1-969E-539AD1032B59}"/>
    <cellStyle name="Migliaia 28 8 5" xfId="41767" xr:uid="{227737E2-8735-479E-8B88-CA8A7AB639DB}"/>
    <cellStyle name="Migliaia 28 8 6" xfId="16330" xr:uid="{D8293199-1AB2-4E4E-982C-BF68A5DE37E1}"/>
    <cellStyle name="Migliaia 28 8 7" xfId="7902" xr:uid="{21F5C28E-E3E2-4752-AF51-BC3EF0BC2DF8}"/>
    <cellStyle name="Migliaia 28 9" xfId="5150" xr:uid="{60F55851-CEE8-4CEA-995B-9ED9E9D9DF37}"/>
    <cellStyle name="Migliaia 28 9 2" xfId="33642" xr:uid="{FF430C82-033A-4E58-A0E4-29988CB83564}"/>
    <cellStyle name="Migliaia 28 9 2 2" xfId="39117" xr:uid="{0DD07799-EDBE-44A2-B98F-71E34ACFD3AE}"/>
    <cellStyle name="Migliaia 28 9 2 3" xfId="44419" xr:uid="{55030E06-B36F-4841-984E-E89E5A36A2DA}"/>
    <cellStyle name="Migliaia 28 9 3" xfId="36571" xr:uid="{CB6D3669-0178-45DE-88EC-3CB6B47F13A2}"/>
    <cellStyle name="Migliaia 28 9 4" xfId="41768" xr:uid="{054BAE4F-2782-46F4-AF2A-5922F19FF93E}"/>
    <cellStyle name="Migliaia 28 9 5" xfId="17175" xr:uid="{45CE4B4F-70EE-40AF-8D29-60275A43590E}"/>
    <cellStyle name="Migliaia 29" xfId="385" xr:uid="{00000000-0005-0000-0000-00007C030000}"/>
    <cellStyle name="Migliaia 29 10" xfId="6369" xr:uid="{5DA572B4-37A2-419F-909A-9740D3FFDFF1}"/>
    <cellStyle name="Migliaia 29 10 2" xfId="39118" xr:uid="{ED1439F3-EF77-4BEF-BF82-7316E217B195}"/>
    <cellStyle name="Migliaia 29 10 3" xfId="44420" xr:uid="{6B82EFE2-36F5-4DC3-A463-DD94724A420C}"/>
    <cellStyle name="Migliaia 29 10 4" xfId="33643" xr:uid="{91399971-ACD9-483E-8F3A-31CB7D6467E5}"/>
    <cellStyle name="Migliaia 29 10 5" xfId="20279" xr:uid="{EF4FEC3E-3B34-4A46-BE2F-0D7EC83F3626}"/>
    <cellStyle name="Migliaia 29 11" xfId="3440" xr:uid="{2B5290CE-086D-48E5-96B3-E03E106FCE0F}"/>
    <cellStyle name="Migliaia 29 11 2" xfId="36572" xr:uid="{E7D83DC3-9B1E-4E46-A939-52D9EE91AE4F}"/>
    <cellStyle name="Migliaia 29 12" xfId="41769" xr:uid="{A36C63C0-CCB2-4017-8F5C-5142E17723C3}"/>
    <cellStyle name="Migliaia 29 13" xfId="7105" xr:uid="{48C0B92C-0D99-45BB-A67E-A94F4CE4C968}"/>
    <cellStyle name="Migliaia 29 2" xfId="386" xr:uid="{00000000-0005-0000-0000-00007D030000}"/>
    <cellStyle name="Migliaia 29 2 2" xfId="1761" xr:uid="{00000000-0005-0000-0000-00007E030000}"/>
    <cellStyle name="Migliaia 29 2 2 2" xfId="5168" xr:uid="{890A2F55-40A0-4084-84BC-AE815A7870AC}"/>
    <cellStyle name="Migliaia 29 2 2 2 2" xfId="14384" xr:uid="{A51D738D-ED44-4F2B-90BA-72CF5FA87C8A}"/>
    <cellStyle name="Migliaia 29 2 2 2 2 2" xfId="39119" xr:uid="{E8B10F79-06A7-4E34-9BF2-3151DE8279AC}"/>
    <cellStyle name="Migliaia 29 2 2 2 2 3" xfId="44421" xr:uid="{61688823-C05D-4AF4-A174-61236C38DE9F}"/>
    <cellStyle name="Migliaia 29 2 2 2 3" xfId="18425" xr:uid="{4744A27A-061A-4CBC-9E23-7C5D8532911D}"/>
    <cellStyle name="Migliaia 29 2 2 2 4" xfId="20282" xr:uid="{17CDBBD1-E441-41D1-B69D-397469D9CAED}"/>
    <cellStyle name="Migliaia 29 2 2 2 4 2" xfId="41770" xr:uid="{A014141C-0F02-456A-B47D-6ABF5C37CFD3}"/>
    <cellStyle name="Migliaia 29 2 2 2 5" xfId="16331" xr:uid="{3942A991-F20E-4AEE-8896-D8A7B1F2C7A7}"/>
    <cellStyle name="Migliaia 29 2 2 2 6" xfId="8607" xr:uid="{53AD4EB4-E2E0-4A4C-82BD-4CD02E347CD1}"/>
    <cellStyle name="Migliaia 29 2 2 3" xfId="6371" xr:uid="{61F5FD64-74DE-4232-9662-FD77E7687E51}"/>
    <cellStyle name="Migliaia 29 2 2 3 2" xfId="35270" xr:uid="{A090C052-F46E-4E30-8EDC-A479D59E1D1A}"/>
    <cellStyle name="Migliaia 29 2 2 3 2 2" xfId="40430" xr:uid="{F6549988-EE22-4FE0-9B9E-C3FB0BC4543B}"/>
    <cellStyle name="Migliaia 29 2 2 3 2 3" xfId="45732" xr:uid="{F05E7F43-4505-4413-8F4A-89A57AA6F472}"/>
    <cellStyle name="Migliaia 29 2 2 3 3" xfId="37779" xr:uid="{6DAD7FF1-588E-4BC8-80F0-D4F718B73B40}"/>
    <cellStyle name="Migliaia 29 2 2 3 4" xfId="43081" xr:uid="{D8A14051-D25B-41A3-87E6-4A2596AB9176}"/>
    <cellStyle name="Migliaia 29 2 2 3 5" xfId="11611" xr:uid="{1738730E-B0EF-4E91-A985-C5643E5ACA7F}"/>
    <cellStyle name="Migliaia 29 2 2 4" xfId="3442" xr:uid="{A06B0D5B-17B8-41D6-8EC2-31549F026093}"/>
    <cellStyle name="Migliaia 29 2 2 4 2" xfId="21473" xr:uid="{13C1C232-CD75-43B2-AA20-BB1A5CC1835A}"/>
    <cellStyle name="Migliaia 29 2 2 4 3" xfId="47304" xr:uid="{641CBABD-5986-4BA5-BD53-205776D85863}"/>
    <cellStyle name="Migliaia 29 2 2 4 4" xfId="50488" xr:uid="{AB04A36A-FF9A-44FE-AA30-5F7D35EA2199}"/>
    <cellStyle name="Migliaia 29 2 2 4 5" xfId="53504" xr:uid="{A2CCEF75-6BAA-4CFE-B501-38DBBAC0075E}"/>
    <cellStyle name="Migliaia 29 2 2 4 6" xfId="10838" xr:uid="{AACA91C2-80CA-4F14-BF82-AD7C8A87BBCD}"/>
    <cellStyle name="Migliaia 29 2 2 5" xfId="20281" xr:uid="{C5BAAE18-EA8F-410E-B4DC-F8CA2B10E768}"/>
    <cellStyle name="Migliaia 29 2 2 6" xfId="24649" xr:uid="{4F6EDFE2-7FC8-4FAB-8B37-3E56E9BA30A4}"/>
    <cellStyle name="Migliaia 29 2 2 7" xfId="7417" xr:uid="{61113212-4377-4F31-80C7-DBC15998D41F}"/>
    <cellStyle name="Migliaia 29 2 3" xfId="3443" xr:uid="{51EFBF20-25F8-4D37-B3EA-744C7A1EE731}"/>
    <cellStyle name="Migliaia 29 2 3 2" xfId="5169" xr:uid="{FE5826B0-34AB-4310-83CE-80A19397918C}"/>
    <cellStyle name="Migliaia 29 2 3 2 2" xfId="35271" xr:uid="{D70D9AE4-9357-46A5-A6C7-B12FD4B55CCB}"/>
    <cellStyle name="Migliaia 29 2 3 2 2 2" xfId="40431" xr:uid="{4C99124B-30DF-4115-B101-60C38816E41B}"/>
    <cellStyle name="Migliaia 29 2 3 2 2 3" xfId="45733" xr:uid="{1BEF036D-87F7-442A-8D8F-76C67EF1C27C}"/>
    <cellStyle name="Migliaia 29 2 3 2 3" xfId="37780" xr:uid="{4A6B50AD-3AB3-48BB-ADCE-10E3B8535786}"/>
    <cellStyle name="Migliaia 29 2 3 2 4" xfId="43082" xr:uid="{1D4FC9E2-ED67-49C4-8697-AA920E806765}"/>
    <cellStyle name="Migliaia 29 2 3 2 5" xfId="14243" xr:uid="{E4EB266F-6653-4E88-B4A7-CEF8CBC550DE}"/>
    <cellStyle name="Migliaia 29 2 3 3" xfId="6372" xr:uid="{2E3B0C0C-7F19-4A81-8B92-0A0B984FC20E}"/>
    <cellStyle name="Migliaia 29 2 3 3 2" xfId="39120" xr:uid="{76406725-38DE-4E2C-932C-BED88D4E0A48}"/>
    <cellStyle name="Migliaia 29 2 3 3 3" xfId="44422" xr:uid="{E96F551A-BEFA-4334-AF83-41329F079C68}"/>
    <cellStyle name="Migliaia 29 2 3 3 4" xfId="33645" xr:uid="{1959B196-2FBB-44EF-BC7D-B1A1A9B60346}"/>
    <cellStyle name="Migliaia 29 2 3 3 5" xfId="20283" xr:uid="{41F4AD3C-ECD3-4086-8BCE-F832D4AA4165}"/>
    <cellStyle name="Migliaia 29 2 3 4" xfId="36574" xr:uid="{A8702349-E472-42ED-BA88-0BA292CB9C73}"/>
    <cellStyle name="Migliaia 29 2 3 5" xfId="41771" xr:uid="{88CBB353-473F-4F43-B730-1D6FDC82B493}"/>
    <cellStyle name="Migliaia 29 2 3 6" xfId="16332" xr:uid="{008C6A8A-4626-479A-A8C2-B207FA2B0FB6}"/>
    <cellStyle name="Migliaia 29 2 3 7" xfId="8305" xr:uid="{AFECF113-315D-4C2C-8234-07F97807C76D}"/>
    <cellStyle name="Migliaia 29 2 4" xfId="5167" xr:uid="{734F62F9-20AA-47C7-ADD6-3768B2027D09}"/>
    <cellStyle name="Migliaia 29 2 4 2" xfId="13948" xr:uid="{88063174-73D9-45AD-877D-27B68A935E82}"/>
    <cellStyle name="Migliaia 29 2 4 2 2" xfId="39121" xr:uid="{F6923A83-7E6B-433F-8C95-758C93DEC335}"/>
    <cellStyle name="Migliaia 29 2 4 2 3" xfId="44423" xr:uid="{94902E1E-56DE-42BD-982F-E832A303A090}"/>
    <cellStyle name="Migliaia 29 2 4 3" xfId="18713" xr:uid="{FABD78FF-EB97-4106-BE70-E05669BF16AE}"/>
    <cellStyle name="Migliaia 29 2 4 4" xfId="20284" xr:uid="{3EC99A73-983E-4709-870A-F2DA6E8C769B}"/>
    <cellStyle name="Migliaia 29 2 4 4 2" xfId="41772" xr:uid="{FD0D5878-391D-46F6-8851-9E1187EBFBDF}"/>
    <cellStyle name="Migliaia 29 2 4 5" xfId="16333" xr:uid="{3921215E-7B62-4888-8023-509E345E0268}"/>
    <cellStyle name="Migliaia 29 2 4 6" xfId="7907" xr:uid="{7EA2DD91-5100-4BD2-8FFC-D767639E05F2}"/>
    <cellStyle name="Migliaia 29 2 5" xfId="6370" xr:uid="{D95A097B-4DF8-47E9-B31E-9E180421288F}"/>
    <cellStyle name="Migliaia 29 2 5 2" xfId="33647" xr:uid="{872A797D-2496-4F52-B7AF-11C37765AFB1}"/>
    <cellStyle name="Migliaia 29 2 5 2 2" xfId="39122" xr:uid="{18B8B0D4-A1BE-4AD0-8E0B-ACD904CC5C0F}"/>
    <cellStyle name="Migliaia 29 2 5 2 3" xfId="44424" xr:uid="{4B9E969B-D70F-4255-ADEB-E8788B97C1E6}"/>
    <cellStyle name="Migliaia 29 2 5 3" xfId="36576" xr:uid="{9898E74D-3CD6-428E-A890-7800E3CEDD16}"/>
    <cellStyle name="Migliaia 29 2 5 4" xfId="41773" xr:uid="{9768E69E-E436-4976-8126-D1934E57B02D}"/>
    <cellStyle name="Migliaia 29 2 5 5" xfId="13124" xr:uid="{09A4C1F6-07AF-43BF-A88F-8E73E28C0547}"/>
    <cellStyle name="Migliaia 29 2 6" xfId="3441" xr:uid="{DB0BAA3D-BF31-4143-8ED5-D9930494DAEC}"/>
    <cellStyle name="Migliaia 29 2 6 2" xfId="33648" xr:uid="{CC420300-E58B-4978-8DFA-AFC6EDCE8E2E}"/>
    <cellStyle name="Migliaia 29 2 6 2 2" xfId="39123" xr:uid="{4480853C-D4E9-4BC4-B8DE-078D0E221897}"/>
    <cellStyle name="Migliaia 29 2 6 2 3" xfId="44425" xr:uid="{3471F18F-AD41-4B04-BCDE-4A3D27D46E1C}"/>
    <cellStyle name="Migliaia 29 2 6 3" xfId="36577" xr:uid="{49A34BB4-CF7C-4536-821D-E212ED9EF3FA}"/>
    <cellStyle name="Migliaia 29 2 6 4" xfId="41774" xr:uid="{6A9A396F-4AE7-47F1-A8E5-175115EC9401}"/>
    <cellStyle name="Migliaia 29 2 6 5" xfId="24654" xr:uid="{8E1CDE09-A601-415A-8127-B621D493977E}"/>
    <cellStyle name="Migliaia 29 2 6 6" xfId="20280" xr:uid="{A840B898-F43B-4CDA-863D-74350FBD4F05}"/>
    <cellStyle name="Migliaia 29 2 7" xfId="24648" xr:uid="{6DD29526-4BF2-4D0D-85D3-DB1FC46DE762}"/>
    <cellStyle name="Migliaia 29 2 8" xfId="7106" xr:uid="{4FE5ADB3-14E5-4A23-956E-F07482A38076}"/>
    <cellStyle name="Migliaia 29 3" xfId="387" xr:uid="{00000000-0005-0000-0000-00007F030000}"/>
    <cellStyle name="Migliaia 29 3 10" xfId="24655" xr:uid="{42073B73-6203-4A1B-BEA9-70C21A1E756A}"/>
    <cellStyle name="Migliaia 29 3 11" xfId="16334" xr:uid="{1A0186E6-D2AD-4F05-9534-D004BBA68C5C}"/>
    <cellStyle name="Migliaia 29 3 12" xfId="7107" xr:uid="{C1D19B5C-7BAC-475D-A6D8-948CDC4AB809}"/>
    <cellStyle name="Migliaia 29 3 2" xfId="388" xr:uid="{00000000-0005-0000-0000-000080030000}"/>
    <cellStyle name="Migliaia 29 3 2 2" xfId="1762" xr:uid="{00000000-0005-0000-0000-000081030000}"/>
    <cellStyle name="Migliaia 29 3 2 2 2" xfId="5172" xr:uid="{260B070E-7B95-4358-894E-6A38E4D19B62}"/>
    <cellStyle name="Migliaia 29 3 2 2 2 2" xfId="18426" xr:uid="{49330F34-1957-419C-91FC-97535D613591}"/>
    <cellStyle name="Migliaia 29 3 2 2 2 2 2" xfId="21862" xr:uid="{5EFCDEDE-B610-4FD6-8305-9D45F383C3EA}"/>
    <cellStyle name="Migliaia 29 3 2 2 2 2 2 2" xfId="39124" xr:uid="{5185C7B1-BA38-47EA-82F6-FA869D9EB8CF}"/>
    <cellStyle name="Migliaia 29 3 2 2 2 2 3" xfId="44426" xr:uid="{CECFCDE3-2F65-4910-A20B-83A5682A8AF7}"/>
    <cellStyle name="Migliaia 29 3 2 2 2 2 4" xfId="33649" xr:uid="{722DED4B-067F-4B9B-B198-A9978794368F}"/>
    <cellStyle name="Migliaia 29 3 2 2 2 3" xfId="36578" xr:uid="{AE82A918-9888-4338-9CE3-7841BCD8E7CC}"/>
    <cellStyle name="Migliaia 29 3 2 2 2 4" xfId="41775" xr:uid="{3B0CBA89-5616-4644-856F-4AE9402E80D3}"/>
    <cellStyle name="Migliaia 29 3 2 2 2 5" xfId="37182" xr:uid="{51BAA089-0E46-4996-AF94-BB8E6A91EF6E}"/>
    <cellStyle name="Migliaia 29 3 2 2 2 6" xfId="50890" xr:uid="{FE1D3D66-6536-4BF4-8AC3-04C02F640E16}"/>
    <cellStyle name="Migliaia 29 3 2 2 2 7" xfId="53906" xr:uid="{C70433D1-85EC-4C86-91B9-F13B386DE9BD}"/>
    <cellStyle name="Migliaia 29 3 2 2 2 8" xfId="17659" xr:uid="{4FD350B7-80B2-4B69-A003-E4DEDFB7A05E}"/>
    <cellStyle name="Migliaia 29 3 2 2 2 9" xfId="11971" xr:uid="{2B335AB9-88B5-4531-8795-0CA1B6F855DC}"/>
    <cellStyle name="Migliaia 29 3 2 2 3" xfId="6375" xr:uid="{D6412154-2C0F-40E8-BA0B-8B8D919C433E}"/>
    <cellStyle name="Migliaia 29 3 2 2 3 2" xfId="12172" xr:uid="{314FCF80-2DCA-4258-A12B-1E2982CCC293}"/>
    <cellStyle name="Migliaia 29 3 2 2 4" xfId="3446" xr:uid="{46A5978C-EAEA-4962-9D81-60BBAE0EEF12}"/>
    <cellStyle name="Migliaia 29 3 2 2 4 2" xfId="21474" xr:uid="{CB5655B9-005C-45AE-BE08-50BFAF0F3FDE}"/>
    <cellStyle name="Migliaia 29 3 2 2 4 3" xfId="46233" xr:uid="{DFCC46BA-ECC1-45DA-9BE7-514FE00E8032}"/>
    <cellStyle name="Migliaia 29 3 2 2 4 4" xfId="50489" xr:uid="{8B7DD466-6E1D-46B9-BA9E-1A15E9C41B6C}"/>
    <cellStyle name="Migliaia 29 3 2 2 4 5" xfId="53505" xr:uid="{80043744-BF8B-41CB-81CC-95F6DC9796B6}"/>
    <cellStyle name="Migliaia 29 3 2 2 4 6" xfId="10839" xr:uid="{D7B72B15-9FD8-47B0-B283-FD5404C4A688}"/>
    <cellStyle name="Migliaia 29 3 2 2 5" xfId="20287" xr:uid="{26FB8279-FA09-4E90-8050-44A9515110BE}"/>
    <cellStyle name="Migliaia 29 3 2 2 6" xfId="24657" xr:uid="{10D33E84-757D-4E61-94DA-934719068726}"/>
    <cellStyle name="Migliaia 29 3 2 2 7" xfId="8609" xr:uid="{071A15EE-7BF7-4C70-88ED-2895E9326118}"/>
    <cellStyle name="Migliaia 29 3 2 3" xfId="5171" xr:uid="{83B9E806-760D-44E1-9BA8-653253EFE34D}"/>
    <cellStyle name="Migliaia 29 3 2 3 2" xfId="12226" xr:uid="{7656D13D-1E42-4C27-93D6-7DE2ADA29D0A}"/>
    <cellStyle name="Migliaia 29 3 2 3 2 2" xfId="39125" xr:uid="{439A6BB1-2B87-425E-ADAB-D0978A7A8BAB}"/>
    <cellStyle name="Migliaia 29 3 2 3 2 3" xfId="44427" xr:uid="{937699BA-DBF5-4A6A-8C5B-9049D7A20750}"/>
    <cellStyle name="Migliaia 29 3 2 3 2 4" xfId="33650" xr:uid="{A47092FD-7481-4758-B49F-2C13B4827EA8}"/>
    <cellStyle name="Migliaia 29 3 2 3 3" xfId="11972" xr:uid="{6C0ACBC1-398E-4816-BDFA-DB0D95B6F605}"/>
    <cellStyle name="Migliaia 29 3 2 3 4" xfId="20288" xr:uid="{95B10522-2493-49F7-B80D-18B548581728}"/>
    <cellStyle name="Migliaia 29 3 2 3 4 2" xfId="41776" xr:uid="{D23F8B73-F300-41CE-919C-C3E4EEE76A0A}"/>
    <cellStyle name="Migliaia 29 3 2 3 5" xfId="16335" xr:uid="{A32D9A30-2B0A-40C3-8C3A-51056397D4D3}"/>
    <cellStyle name="Migliaia 29 3 2 3 6" xfId="7909" xr:uid="{6D6FE1AE-0832-44CC-839D-27F341E1BD2E}"/>
    <cellStyle name="Migliaia 29 3 2 4" xfId="6374" xr:uid="{8ABFEA3E-AF18-401D-A675-30F35CED3387}"/>
    <cellStyle name="Migliaia 29 3 2 4 2" xfId="18078" xr:uid="{FE31D278-CBF8-48A4-B6DE-8388E132D32C}"/>
    <cellStyle name="Migliaia 29 3 2 4 2 2" xfId="39126" xr:uid="{C6372932-DAF1-4475-B09B-52024C717B99}"/>
    <cellStyle name="Migliaia 29 3 2 4 2 3" xfId="44428" xr:uid="{1B9E5006-299B-4474-AFDE-7FF16C332C97}"/>
    <cellStyle name="Migliaia 29 3 2 4 3" xfId="36580" xr:uid="{E3FE853C-4BD6-4A66-80CC-CF14014A9607}"/>
    <cellStyle name="Migliaia 29 3 2 4 4" xfId="41777" xr:uid="{CC9AEF32-66C7-452F-B2E9-A78E75A1494B}"/>
    <cellStyle name="Migliaia 29 3 2 4 5" xfId="17178" xr:uid="{268C14F5-DB51-4E3B-869B-F6FC7EAF364A}"/>
    <cellStyle name="Migliaia 29 3 2 4 6" xfId="11320" xr:uid="{CBD603D5-271C-4E22-9DF7-FC381E182248}"/>
    <cellStyle name="Migliaia 29 3 2 5" xfId="3445" xr:uid="{E2654E4C-0781-4B97-9ACE-B31392E0C1B7}"/>
    <cellStyle name="Migliaia 29 3 2 5 2" xfId="33652" xr:uid="{4A0187D3-8191-4FFE-95ED-A6C702286840}"/>
    <cellStyle name="Migliaia 29 3 2 5 2 2" xfId="39127" xr:uid="{0EAB0A68-78D2-44CA-BD06-BA8A5702BA26}"/>
    <cellStyle name="Migliaia 29 3 2 5 2 3" xfId="44429" xr:uid="{9AF9C024-2BD6-4A4B-BF57-69C113DE5411}"/>
    <cellStyle name="Migliaia 29 3 2 5 3" xfId="36581" xr:uid="{A43C867F-1663-4671-9F70-AC97A7F6D40D}"/>
    <cellStyle name="Migliaia 29 3 2 5 4" xfId="41778" xr:uid="{877B4D9D-256D-4206-BE68-2BE0FD17A9AF}"/>
    <cellStyle name="Migliaia 29 3 2 5 5" xfId="17363" xr:uid="{FE506EBC-6F3F-4EB6-A90D-460362B87A3C}"/>
    <cellStyle name="Migliaia 29 3 2 6" xfId="20286" xr:uid="{68375D5E-B985-48A3-AFC8-8694A6E6BAF2}"/>
    <cellStyle name="Migliaia 29 3 2 6 2" xfId="33653" xr:uid="{0D5D98E6-C5B4-4022-9BA7-BB25B4781D3B}"/>
    <cellStyle name="Migliaia 29 3 2 6 2 2" xfId="39128" xr:uid="{3287811B-1BEE-4CB0-80B8-71356036657D}"/>
    <cellStyle name="Migliaia 29 3 2 6 2 3" xfId="44430" xr:uid="{2C99A426-F474-464E-BE33-B93F98AA26B3}"/>
    <cellStyle name="Migliaia 29 3 2 6 3" xfId="36582" xr:uid="{40C8471A-2230-4E1C-A3A4-A4C79A67F281}"/>
    <cellStyle name="Migliaia 29 3 2 6 4" xfId="41779" xr:uid="{C77682C9-D3C4-41D0-A563-9385B74C1805}"/>
    <cellStyle name="Migliaia 29 3 2 6 5" xfId="24661" xr:uid="{C33E61CE-FFD4-4E95-BC67-0A0BEBB1BA0F}"/>
    <cellStyle name="Migliaia 29 3 2 7" xfId="24656" xr:uid="{3A42DE76-FA55-474B-9163-A890D8B5B9FA}"/>
    <cellStyle name="Migliaia 29 3 2 8" xfId="7419" xr:uid="{1CB38FDD-4804-4DFE-AEC8-8496CDC8BD09}"/>
    <cellStyle name="Migliaia 29 3 3" xfId="3447" xr:uid="{ABA789F2-60FC-4525-9CF5-6609113353A5}"/>
    <cellStyle name="Migliaia 29 3 3 10" xfId="7418" xr:uid="{0D46523B-9913-4C00-9B07-BBCE4DCBAF6C}"/>
    <cellStyle name="Migliaia 29 3 3 2" xfId="5173" xr:uid="{D432C9A2-49D3-4148-A97B-42531334A7A1}"/>
    <cellStyle name="Migliaia 29 3 3 2 2" xfId="9924" xr:uid="{F5DC9049-7F62-46D9-91A4-151B3A45C2DC}"/>
    <cellStyle name="Migliaia 29 3 3 2 2 2" xfId="39130" xr:uid="{42609D27-9BCB-4716-B402-430521C30CDB}"/>
    <cellStyle name="Migliaia 29 3 3 2 2 3" xfId="44432" xr:uid="{0AA06AA1-4309-42F2-BE3F-5B80D207E7C9}"/>
    <cellStyle name="Migliaia 29 3 3 2 3" xfId="18204" xr:uid="{DDDF8A43-501E-4FA2-BB25-F5354D55F458}"/>
    <cellStyle name="Migliaia 29 3 3 2 4" xfId="20290" xr:uid="{01DD19A4-7D66-4877-BD88-3C2638494EEC}"/>
    <cellStyle name="Migliaia 29 3 3 2 4 2" xfId="41781" xr:uid="{21B9027A-6C77-46E2-9DF3-AF0F5A51B958}"/>
    <cellStyle name="Migliaia 29 3 3 2 5" xfId="16337" xr:uid="{6D9479B4-3A8D-4E3B-88E2-0A7F854DC269}"/>
    <cellStyle name="Migliaia 29 3 3 2 6" xfId="8608" xr:uid="{8C186B9C-93DF-40EC-9E47-A937235D5D1C}"/>
    <cellStyle name="Migliaia 29 3 3 3" xfId="6376" xr:uid="{777A27CC-2127-4966-938D-A80A4DA87C9B}"/>
    <cellStyle name="Migliaia 29 3 3 3 2" xfId="33656" xr:uid="{257FD7CE-AD66-467A-8CAF-2420B71BA1B3}"/>
    <cellStyle name="Migliaia 29 3 3 3 2 2" xfId="39131" xr:uid="{963E6880-06ED-4012-A295-FC1C13E9C732}"/>
    <cellStyle name="Migliaia 29 3 3 3 2 3" xfId="44433" xr:uid="{BF63CD30-113F-4CE1-A3C5-B86E30E4B45E}"/>
    <cellStyle name="Migliaia 29 3 3 3 3" xfId="36585" xr:uid="{1697C82E-BB84-49A8-9ADE-A10D47F55D8E}"/>
    <cellStyle name="Migliaia 29 3 3 3 4" xfId="41782" xr:uid="{A334D6BB-51A5-4827-BD16-26CABCB90E78}"/>
    <cellStyle name="Migliaia 29 3 3 3 5" xfId="9687" xr:uid="{6154FB6F-FE22-4534-8C15-02E309AF153B}"/>
    <cellStyle name="Migliaia 29 3 3 4" xfId="20289" xr:uid="{A2A2BBF0-5C65-4093-A8FC-367A2B109E19}"/>
    <cellStyle name="Migliaia 29 3 3 4 2" xfId="33657" xr:uid="{6B07E2C5-1DAD-488E-BFA1-812847DCEC74}"/>
    <cellStyle name="Migliaia 29 3 3 4 2 2" xfId="39132" xr:uid="{AE3579C4-70CE-47FD-A1C0-DAA2F0F0D2FC}"/>
    <cellStyle name="Migliaia 29 3 3 4 2 3" xfId="44434" xr:uid="{33615C41-25BA-457D-A1C7-3E34695A3D35}"/>
    <cellStyle name="Migliaia 29 3 3 4 3" xfId="36586" xr:uid="{301D5FFF-0B81-4231-B0B1-6420247EED4E}"/>
    <cellStyle name="Migliaia 29 3 3 4 4" xfId="41783" xr:uid="{25AC8D33-9BA4-4605-9CEE-DB11EF5314DE}"/>
    <cellStyle name="Migliaia 29 3 3 4 5" xfId="24665" xr:uid="{01F8985E-0E2F-45EA-8CD5-8CAD7DA8853C}"/>
    <cellStyle name="Migliaia 29 3 3 5" xfId="24666" xr:uid="{A0D078F5-703A-46C0-AA54-8C29973405F8}"/>
    <cellStyle name="Migliaia 29 3 3 5 2" xfId="33658" xr:uid="{8CD406BC-2ABA-4E32-9BBB-F98682AFC3C7}"/>
    <cellStyle name="Migliaia 29 3 3 5 2 2" xfId="39133" xr:uid="{A0753C65-83C3-450D-BF50-3311FCFF641F}"/>
    <cellStyle name="Migliaia 29 3 3 5 2 3" xfId="44435" xr:uid="{94839D9F-1A7F-4F5C-A175-AC363B80C295}"/>
    <cellStyle name="Migliaia 29 3 3 5 3" xfId="36587" xr:uid="{E408B51B-6968-4676-A7E3-08FF9F5CB48A}"/>
    <cellStyle name="Migliaia 29 3 3 5 4" xfId="41784" xr:uid="{75F1DDB5-7BAD-440C-9C97-7364FCE18B38}"/>
    <cellStyle name="Migliaia 29 3 3 6" xfId="33654" xr:uid="{09A16B8D-B484-4615-B8FC-869D120257D4}"/>
    <cellStyle name="Migliaia 29 3 3 6 2" xfId="39129" xr:uid="{D5129C6C-294A-4E29-93AB-5DE8E65BD701}"/>
    <cellStyle name="Migliaia 29 3 3 6 3" xfId="44431" xr:uid="{AB2F358C-93B4-4DE3-8DD2-0EBA0C6B829A}"/>
    <cellStyle name="Migliaia 29 3 3 7" xfId="36583" xr:uid="{313A07C9-7D4A-4FC1-8558-201034E1CA47}"/>
    <cellStyle name="Migliaia 29 3 3 8" xfId="41780" xr:uid="{3E41E2CA-F683-4C2B-A156-5FB54C56D7DC}"/>
    <cellStyle name="Migliaia 29 3 3 9" xfId="16336" xr:uid="{5191F1D0-AC52-4103-8523-1BBE9A7898E2}"/>
    <cellStyle name="Migliaia 29 3 4" xfId="3448" xr:uid="{8162A16E-25B5-4DC2-AA5F-CA02DD6348D4}"/>
    <cellStyle name="Migliaia 29 3 4 2" xfId="5174" xr:uid="{6A98F8EE-2AF5-4809-8A0F-7BA345D3886C}"/>
    <cellStyle name="Migliaia 29 3 4 2 2" xfId="14444" xr:uid="{685F4061-9BF2-4B14-8076-7CED014090BB}"/>
    <cellStyle name="Migliaia 29 3 4 2 3" xfId="18128" xr:uid="{7BA07D46-66AA-4E32-957A-5E9F95C2CC2E}"/>
    <cellStyle name="Migliaia 29 3 4 2 4" xfId="20292" xr:uid="{7140C89E-A664-4992-9165-FEF253680E90}"/>
    <cellStyle name="Migliaia 29 3 4 2 5" xfId="32361" xr:uid="{8046D521-FFEE-4690-97BB-A1E647BDA337}"/>
    <cellStyle name="Migliaia 29 3 4 2 6" xfId="16339" xr:uid="{21A0E546-20DA-4EC0-A0D2-C62F92F8F528}"/>
    <cellStyle name="Migliaia 29 3 4 2 7" xfId="8867" xr:uid="{0A4BA835-7897-48F7-9281-510BEBC420E0}"/>
    <cellStyle name="Migliaia 29 3 4 3" xfId="6377" xr:uid="{93943A8C-46BE-4D71-B537-5B3EF2A4CA13}"/>
    <cellStyle name="Migliaia 29 3 4 3 2" xfId="35272" xr:uid="{8964D405-A68E-47B9-B2A3-649EB278871A}"/>
    <cellStyle name="Migliaia 29 3 4 3 2 2" xfId="40432" xr:uid="{0DE3DCB9-AA68-4C9C-8EA1-54BA4C7762A6}"/>
    <cellStyle name="Migliaia 29 3 4 3 2 3" xfId="45734" xr:uid="{293A2586-CF33-4AC8-A1BD-9BDD2270B5C9}"/>
    <cellStyle name="Migliaia 29 3 4 3 3" xfId="37781" xr:uid="{B846B3F9-4276-4968-8146-2F6792639F07}"/>
    <cellStyle name="Migliaia 29 3 4 3 4" xfId="43083" xr:uid="{B8C18B62-6458-431E-B010-31DADDA4218B}"/>
    <cellStyle name="Migliaia 29 3 4 3 5" xfId="13692" xr:uid="{1A197C7C-7553-40AD-BA72-FE5E26289C19}"/>
    <cellStyle name="Migliaia 29 3 4 4" xfId="20291" xr:uid="{32E8616A-6A81-425C-BB56-35B65B38EAD3}"/>
    <cellStyle name="Migliaia 29 3 4 4 2" xfId="39134" xr:uid="{1333D8B4-3A99-48E6-A085-75632F84EE1D}"/>
    <cellStyle name="Migliaia 29 3 4 4 3" xfId="44436" xr:uid="{69DBD17F-0695-4297-ABB6-E3FC2F3A9C20}"/>
    <cellStyle name="Migliaia 29 3 4 4 4" xfId="33659" xr:uid="{31C77C86-DF26-49B5-B5A9-57E4BF7E1C3A}"/>
    <cellStyle name="Migliaia 29 3 4 5" xfId="36588" xr:uid="{D5DE1ED8-0F48-4779-A11D-77DC7161CA16}"/>
    <cellStyle name="Migliaia 29 3 4 6" xfId="41785" xr:uid="{C1779736-3E57-449E-8520-B448F37A6DC4}"/>
    <cellStyle name="Migliaia 29 3 4 7" xfId="16338" xr:uid="{E92D3A95-7637-4F38-9310-C5434161D5A4}"/>
    <cellStyle name="Migliaia 29 3 4 8" xfId="7677" xr:uid="{4C4EC414-6BA1-48B2-BD4E-81E1569F8032}"/>
    <cellStyle name="Migliaia 29 3 5" xfId="3449" xr:uid="{219E1B18-81FD-4F1E-B52F-65779816BAD5}"/>
    <cellStyle name="Migliaia 29 3 5 2" xfId="5175" xr:uid="{2765D042-7764-4CB6-B18B-76A338DC9BB4}"/>
    <cellStyle name="Migliaia 29 3 5 2 2" xfId="35273" xr:uid="{83C979E1-0157-4F66-A401-3BA35D20B828}"/>
    <cellStyle name="Migliaia 29 3 5 2 2 2" xfId="40433" xr:uid="{1709C51B-8CF7-4E7C-BE9B-E9BF18F56009}"/>
    <cellStyle name="Migliaia 29 3 5 2 2 3" xfId="45735" xr:uid="{7552D444-7292-49F6-8591-50E79B9A291F}"/>
    <cellStyle name="Migliaia 29 3 5 2 3" xfId="37782" xr:uid="{348ED54C-A194-4188-8938-99B16119C085}"/>
    <cellStyle name="Migliaia 29 3 5 2 4" xfId="43084" xr:uid="{8266A16A-B465-4F15-B162-19928C333297}"/>
    <cellStyle name="Migliaia 29 3 5 2 5" xfId="14244" xr:uid="{B4A8FDCF-A130-4321-A6DE-45EF3E9FD12A}"/>
    <cellStyle name="Migliaia 29 3 5 3" xfId="6378" xr:uid="{796CDDB2-2A41-4AE0-B571-B5E8B2C64FC7}"/>
    <cellStyle name="Migliaia 29 3 5 3 2" xfId="39135" xr:uid="{7DA36C51-68EF-4878-B74F-DBA8E1CD9166}"/>
    <cellStyle name="Migliaia 29 3 5 3 3" xfId="44437" xr:uid="{8CE4DAF2-9F3D-4768-8EA0-6D5F17F1A97E}"/>
    <cellStyle name="Migliaia 29 3 5 3 4" xfId="33660" xr:uid="{ACEF66A2-F9FD-46D3-87A8-69F556796169}"/>
    <cellStyle name="Migliaia 29 3 5 3 5" xfId="20293" xr:uid="{2D90E764-1585-4874-A12A-55D55F9F9883}"/>
    <cellStyle name="Migliaia 29 3 5 4" xfId="36589" xr:uid="{B37C0E76-B15B-4A60-BC64-0BD18E916F8D}"/>
    <cellStyle name="Migliaia 29 3 5 5" xfId="41786" xr:uid="{F00A2F87-3982-4ACA-93BC-392AAE841DEE}"/>
    <cellStyle name="Migliaia 29 3 5 6" xfId="16340" xr:uid="{9681FB92-6980-433B-9C78-6B1753F5B662}"/>
    <cellStyle name="Migliaia 29 3 5 7" xfId="8306" xr:uid="{791720D3-07B2-42CB-B9B3-AEF8F29E04F2}"/>
    <cellStyle name="Migliaia 29 3 6" xfId="5170" xr:uid="{B8E04CA0-997B-4107-AE14-FDC4F7A1AA99}"/>
    <cellStyle name="Migliaia 29 3 6 2" xfId="13949" xr:uid="{4706C9DB-ECE2-4487-9EC0-24C4D0D931B6}"/>
    <cellStyle name="Migliaia 29 3 6 2 2" xfId="39136" xr:uid="{27F2474A-E354-4355-BA26-6B67BF2DF92A}"/>
    <cellStyle name="Migliaia 29 3 6 2 3" xfId="44438" xr:uid="{8FFAE310-47CA-4613-B4BB-AA421966ACF3}"/>
    <cellStyle name="Migliaia 29 3 6 3" xfId="18615" xr:uid="{A7C3FCB3-FC80-4CC3-BEE2-4BDB1BAA027F}"/>
    <cellStyle name="Migliaia 29 3 6 4" xfId="20294" xr:uid="{5B676BE1-9B3D-457D-8291-F8E8C974DDB0}"/>
    <cellStyle name="Migliaia 29 3 6 4 2" xfId="41787" xr:uid="{92189192-E4F6-411A-8BA1-772D3C12E15C}"/>
    <cellStyle name="Migliaia 29 3 6 5" xfId="16341" xr:uid="{224B2E6C-ED16-4A3A-A57B-02CB5B0CF27C}"/>
    <cellStyle name="Migliaia 29 3 6 6" xfId="7908" xr:uid="{94C8E2C8-1AD2-40A0-A541-F1D73E5330D0}"/>
    <cellStyle name="Migliaia 29 3 7" xfId="6373" xr:uid="{24910854-5CD3-44ED-BD5D-894D3E9AB8EC}"/>
    <cellStyle name="Migliaia 29 3 7 2" xfId="33662" xr:uid="{EDED50B2-63F9-405E-A388-D86832A952F3}"/>
    <cellStyle name="Migliaia 29 3 7 2 2" xfId="39137" xr:uid="{DE5AAE5E-5D71-4862-AEEC-598028716F0F}"/>
    <cellStyle name="Migliaia 29 3 7 2 3" xfId="44439" xr:uid="{06106029-5D8B-41A9-889B-BB9DC832D5A9}"/>
    <cellStyle name="Migliaia 29 3 7 3" xfId="36591" xr:uid="{A5661C2E-818E-4BC0-B9CA-AAB97044B42F}"/>
    <cellStyle name="Migliaia 29 3 7 4" xfId="41788" xr:uid="{20D39BA0-6A4C-4CF0-B656-7EFBC8528556}"/>
    <cellStyle name="Migliaia 29 3 7 5" xfId="12439" xr:uid="{AB1983F1-CA95-45FE-85BB-F245B57F0A7C}"/>
    <cellStyle name="Migliaia 29 3 8" xfId="3444" xr:uid="{84E432AE-61F4-4D84-B055-B96A2E694DE8}"/>
    <cellStyle name="Migliaia 29 3 8 2" xfId="33663" xr:uid="{65110D03-6ACA-4A50-B5B2-7F6DF4B2F858}"/>
    <cellStyle name="Migliaia 29 3 8 2 2" xfId="39138" xr:uid="{A409336E-8E4E-4804-92AF-1A2E5D63E327}"/>
    <cellStyle name="Migliaia 29 3 8 2 3" xfId="44440" xr:uid="{8F13A761-9E23-4EAA-8E8C-620525F24E98}"/>
    <cellStyle name="Migliaia 29 3 8 3" xfId="36592" xr:uid="{A3116037-CC4B-4C3A-BAB8-8CB6A6F2574D}"/>
    <cellStyle name="Migliaia 29 3 8 4" xfId="41789" xr:uid="{F7F56DC1-2273-4466-B47F-15226CB61A1E}"/>
    <cellStyle name="Migliaia 29 3 8 5" xfId="24671" xr:uid="{91A161C9-A92D-435C-ADBA-732506648BFE}"/>
    <cellStyle name="Migliaia 29 3 8 6" xfId="17364" xr:uid="{BA601865-D7AA-4B58-895C-7F733E3D1BE0}"/>
    <cellStyle name="Migliaia 29 3 9" xfId="20285" xr:uid="{15976879-E0D6-4059-857A-D054A892AAB8}"/>
    <cellStyle name="Migliaia 29 4" xfId="1763" xr:uid="{00000000-0005-0000-0000-000082030000}"/>
    <cellStyle name="Migliaia 29 4 2" xfId="1764" xr:uid="{00000000-0005-0000-0000-000083030000}"/>
    <cellStyle name="Migliaia 29 4 2 2" xfId="5177" xr:uid="{489AB39B-575C-465D-BE99-673C520DAB0A}"/>
    <cellStyle name="Migliaia 29 4 2 2 2" xfId="33664" xr:uid="{B7199E80-A572-4A9D-9085-E500D52D6C6E}"/>
    <cellStyle name="Migliaia 29 4 2 2 2 2" xfId="39139" xr:uid="{403C258F-DA0E-4829-96D6-0A4D99941ADE}"/>
    <cellStyle name="Migliaia 29 4 2 2 2 3" xfId="44441" xr:uid="{59F30819-7C26-401F-96A0-FDEAE2F29DE4}"/>
    <cellStyle name="Migliaia 29 4 2 2 3" xfId="36593" xr:uid="{D1C85ADC-7818-4CB0-A2A1-B5F21B68B0EA}"/>
    <cellStyle name="Migliaia 29 4 2 2 4" xfId="41790" xr:uid="{EDD8E457-1227-4ED4-9C92-3580CF03C2D1}"/>
    <cellStyle name="Migliaia 29 4 2 2 5" xfId="9150" xr:uid="{B29D1F06-674D-4883-8071-1F0278FEBF41}"/>
    <cellStyle name="Migliaia 29 4 2 3" xfId="3451" xr:uid="{90B720E3-36E3-42DA-90A1-5A77EE020990}"/>
    <cellStyle name="Migliaia 29 4 2 3 2" xfId="33665" xr:uid="{EBCEB99D-B440-4215-98B8-0CED9DB6F088}"/>
    <cellStyle name="Migliaia 29 4 2 3 2 2" xfId="39140" xr:uid="{B81E6F8A-925E-4A18-894B-A6931C0C88A9}"/>
    <cellStyle name="Migliaia 29 4 2 3 2 3" xfId="44442" xr:uid="{1493983B-9C99-4DF2-903B-5B3A4A8B1A11}"/>
    <cellStyle name="Migliaia 29 4 2 3 3" xfId="36594" xr:uid="{A3CF3847-D3CC-4F18-AA6B-0D3131D5A794}"/>
    <cellStyle name="Migliaia 29 4 2 3 4" xfId="41791" xr:uid="{5E4CC0CC-D81C-42A7-9B44-1B32651A7221}"/>
    <cellStyle name="Migliaia 29 4 2 3 5" xfId="11973" xr:uid="{37812942-B9DC-4F6E-8FB6-16CB0CA7B995}"/>
    <cellStyle name="Migliaia 29 4 2 4" xfId="11322" xr:uid="{037F01A7-B65F-4C8D-8511-A9478F41FB2E}"/>
    <cellStyle name="Migliaia 29 4 2 5" xfId="10841" xr:uid="{915543E0-EF17-405F-99C4-C92463DDE023}"/>
    <cellStyle name="Migliaia 29 4 2 5 2" xfId="21476" xr:uid="{B0CF6DFF-B07C-4B8B-A077-47D6C6DF8657}"/>
    <cellStyle name="Migliaia 29 4 2 5 3" xfId="48176" xr:uid="{F1325C76-4AA7-4141-91CD-A822A56F22AB}"/>
    <cellStyle name="Migliaia 29 4 2 5 4" xfId="50491" xr:uid="{89F1F8AF-9EE7-4807-A26F-D65235D98032}"/>
    <cellStyle name="Migliaia 29 4 2 5 5" xfId="53507" xr:uid="{1747EA3A-A444-4A0B-90E7-D2876525DE66}"/>
    <cellStyle name="Migliaia 29 4 2 6" xfId="20296" xr:uid="{B3D39034-2E0C-4129-B1B7-EDE919948C42}"/>
    <cellStyle name="Migliaia 29 4 2 7" xfId="24673" xr:uid="{777939FA-D8C5-4DDE-8745-8CF2840B8E1D}"/>
    <cellStyle name="Migliaia 29 4 2 8" xfId="8610" xr:uid="{76FB8C16-CFA4-4662-AD3C-C5FB2B3FC5AD}"/>
    <cellStyle name="Migliaia 29 4 3" xfId="5176" xr:uid="{33B1B44F-86EF-4F15-A667-5914CADC13C2}"/>
    <cellStyle name="Migliaia 29 4 3 2" xfId="18205" xr:uid="{8FBC36EE-CAC2-4371-AC4A-8613EF3EC278}"/>
    <cellStyle name="Migliaia 29 4 3 2 2" xfId="39141" xr:uid="{75298055-F6FE-4750-9A3F-C985D882E0AF}"/>
    <cellStyle name="Migliaia 29 4 3 2 3" xfId="44443" xr:uid="{0B52080D-5F52-4F78-88A4-00468373BCDF}"/>
    <cellStyle name="Migliaia 29 4 3 3" xfId="36595" xr:uid="{49B92880-84DE-4C66-AA5C-309A04010F65}"/>
    <cellStyle name="Migliaia 29 4 3 4" xfId="41792" xr:uid="{3DB93DD4-437B-4F4F-B494-600BEB0008BA}"/>
    <cellStyle name="Migliaia 29 4 3 5" xfId="17362" xr:uid="{704576A9-51BC-4894-8DE0-86B61872F5CD}"/>
    <cellStyle name="Migliaia 29 4 3 6" xfId="9151" xr:uid="{09750FA8-8D7E-42A8-85F7-9C718E2B0EBB}"/>
    <cellStyle name="Migliaia 29 4 4" xfId="6379" xr:uid="{148B2728-95A8-4D91-963C-371F14AF3B40}"/>
    <cellStyle name="Migliaia 29 4 4 2" xfId="33666" xr:uid="{5A6A65C0-7D0B-4C63-8002-90F6097CFD01}"/>
    <cellStyle name="Migliaia 29 4 4 2 2" xfId="39142" xr:uid="{DAA0AA16-0021-45F8-9A99-408B73117646}"/>
    <cellStyle name="Migliaia 29 4 4 2 3" xfId="44444" xr:uid="{2E0D6259-0114-4A9C-875C-09C804781467}"/>
    <cellStyle name="Migliaia 29 4 4 3" xfId="36596" xr:uid="{8A833D0D-3349-4E59-ABBC-BF6A4CA481A5}"/>
    <cellStyle name="Migliaia 29 4 4 4" xfId="41793" xr:uid="{826C4106-2A3C-4BEB-8188-C43A42F95A45}"/>
    <cellStyle name="Migliaia 29 4 4 5" xfId="11974" xr:uid="{B87522AA-0F30-4FC8-93D5-935407C79000}"/>
    <cellStyle name="Migliaia 29 4 5" xfId="3450" xr:uid="{11C77F87-365D-4F8D-A5CE-F6CBB9AA50CE}"/>
    <cellStyle name="Migliaia 29 4 5 2" xfId="33667" xr:uid="{9541CE79-D2F9-4A38-9194-D91D20BCD718}"/>
    <cellStyle name="Migliaia 29 4 5 2 2" xfId="39143" xr:uid="{10BA2601-ED5B-46C9-AEEB-96C2B7312762}"/>
    <cellStyle name="Migliaia 29 4 5 2 3" xfId="44445" xr:uid="{9F2CF4B6-A1EB-4DDA-982D-1E727282820B}"/>
    <cellStyle name="Migliaia 29 4 5 3" xfId="36597" xr:uid="{2558F2FC-3B7E-4239-BD1E-FE044F818345}"/>
    <cellStyle name="Migliaia 29 4 5 4" xfId="41794" xr:uid="{FC3F7E41-8D7B-4BDB-94A0-52647FDEAD95}"/>
    <cellStyle name="Migliaia 29 4 5 5" xfId="11321" xr:uid="{D60D67EB-2971-4103-87C1-C60725D3B9DE}"/>
    <cellStyle name="Migliaia 29 4 6" xfId="10840" xr:uid="{3F55463A-0359-4DC3-B3C6-913322CFCFF9}"/>
    <cellStyle name="Migliaia 29 4 6 2" xfId="21475" xr:uid="{4825A04E-A2C2-4055-9972-E5EACC326EE7}"/>
    <cellStyle name="Migliaia 29 4 6 2 2" xfId="39144" xr:uid="{287A637B-6929-4478-803C-2C42F3E07ED4}"/>
    <cellStyle name="Migliaia 29 4 6 2 3" xfId="44446" xr:uid="{80F3F584-5969-465C-9F1A-CE637C4B77A2}"/>
    <cellStyle name="Migliaia 29 4 6 2 4" xfId="33668" xr:uid="{C42362FD-D828-4276-9A46-7AC5D1C65692}"/>
    <cellStyle name="Migliaia 29 4 6 3" xfId="36598" xr:uid="{09B3482A-17E0-4E1E-8BE6-C983857CA50F}"/>
    <cellStyle name="Migliaia 29 4 6 4" xfId="41795" xr:uid="{6503639E-0123-447A-BD6B-5532DEDF38CA}"/>
    <cellStyle name="Migliaia 29 4 6 5" xfId="24675" xr:uid="{6B9638D3-2197-4B3C-8D3A-28221C3C7DD5}"/>
    <cellStyle name="Migliaia 29 4 6 6" xfId="46234" xr:uid="{BD795293-4261-407F-A9DE-3E6630A68593}"/>
    <cellStyle name="Migliaia 29 4 6 7" xfId="50490" xr:uid="{142CA20E-3D35-4BAB-AD8F-F7570B0F8B6E}"/>
    <cellStyle name="Migliaia 29 4 6 8" xfId="53506" xr:uid="{6FE5626B-0357-4318-B67F-8E78CD2690E2}"/>
    <cellStyle name="Migliaia 29 4 7" xfId="20295" xr:uid="{EDCD21C8-BC5A-41B2-84C5-A8F91346A64F}"/>
    <cellStyle name="Migliaia 29 4 7 2" xfId="33669" xr:uid="{9926E038-F4BC-4BCF-B37E-4960F46548F5}"/>
    <cellStyle name="Migliaia 29 4 7 2 2" xfId="39145" xr:uid="{B5C7B8B8-C793-4ABE-A7CF-4A5DF2E89285}"/>
    <cellStyle name="Migliaia 29 4 7 2 3" xfId="44447" xr:uid="{72E39CFB-A430-4A2F-841E-9740159E6BE5}"/>
    <cellStyle name="Migliaia 29 4 7 3" xfId="36599" xr:uid="{E53A8E49-FFA3-48AF-9AE1-D3330D7A258C}"/>
    <cellStyle name="Migliaia 29 4 7 4" xfId="41796" xr:uid="{E9C0280F-697B-411A-89E0-252E0731A78C}"/>
    <cellStyle name="Migliaia 29 4 7 5" xfId="24676" xr:uid="{75FFDDD9-C558-4B9B-8AC9-94398B78AD7D}"/>
    <cellStyle name="Migliaia 29 4 8" xfId="24672" xr:uid="{6C2638DD-E2CE-4AE5-AEC0-92A4C73B96C6}"/>
    <cellStyle name="Migliaia 29 4 9" xfId="7420" xr:uid="{0923C317-3829-4F4A-8E28-FA8863C6B731}"/>
    <cellStyle name="Migliaia 29 5" xfId="1765" xr:uid="{00000000-0005-0000-0000-000084030000}"/>
    <cellStyle name="Migliaia 29 5 2" xfId="5178" xr:uid="{D07D7AAB-0A7A-4093-9E1B-382EF3C3F5ED}"/>
    <cellStyle name="Migliaia 29 5 2 2" xfId="18427" xr:uid="{4098AAC9-9DF0-4347-A8E1-A17FFDA97375}"/>
    <cellStyle name="Migliaia 29 5 2 2 2" xfId="39146" xr:uid="{67F96401-4C24-4A47-B7BF-911B27577412}"/>
    <cellStyle name="Migliaia 29 5 2 2 3" xfId="44448" xr:uid="{79628122-1A1B-4638-A812-F190D3E98545}"/>
    <cellStyle name="Migliaia 29 5 2 3" xfId="20298" xr:uid="{06CF43DF-9613-4171-9B1E-78E60C7ECABA}"/>
    <cellStyle name="Migliaia 29 5 2 3 2" xfId="36600" xr:uid="{D4FA2693-6A54-4CB9-8F82-416AD9F7DB89}"/>
    <cellStyle name="Migliaia 29 5 2 4" xfId="41797" xr:uid="{42AE6E2F-8504-40A1-B4CE-809F9C50A9E3}"/>
    <cellStyle name="Migliaia 29 5 2 5" xfId="16342" xr:uid="{90047B98-EED1-4750-B26B-EEF9C1B5A2FF}"/>
    <cellStyle name="Migliaia 29 5 2 6" xfId="8611" xr:uid="{37860D81-29D0-4D93-97D3-1C2547B7E909}"/>
    <cellStyle name="Migliaia 29 5 3" xfId="6380" xr:uid="{FAD1B0D8-3578-418D-AD9F-6F214FA5BBD2}"/>
    <cellStyle name="Migliaia 29 5 3 2" xfId="33670" xr:uid="{72583E71-7A67-4998-BA70-F4C6C48844B4}"/>
    <cellStyle name="Migliaia 29 5 3 2 2" xfId="39147" xr:uid="{D171BE9A-A373-4C66-A917-7EACCD33CB94}"/>
    <cellStyle name="Migliaia 29 5 3 2 3" xfId="44449" xr:uid="{E8B638F6-FCB0-427B-809A-7182EC8B5002}"/>
    <cellStyle name="Migliaia 29 5 3 3" xfId="36601" xr:uid="{A7378991-31D0-4CD1-9B13-E2DB630C7A01}"/>
    <cellStyle name="Migliaia 29 5 3 4" xfId="41798" xr:uid="{2F7F50C0-5058-4D17-9EBE-7331484BF894}"/>
    <cellStyle name="Migliaia 29 5 3 5" xfId="11323" xr:uid="{19071276-9F42-41A6-8534-2A844E8F2BA3}"/>
    <cellStyle name="Migliaia 29 5 4" xfId="3452" xr:uid="{994890B5-71A9-45FF-B2FE-4B89929905D3}"/>
    <cellStyle name="Migliaia 29 5 4 2" xfId="21477" xr:uid="{C543CCA4-254F-46CC-8568-02CA91EA03F3}"/>
    <cellStyle name="Migliaia 29 5 4 2 2" xfId="39148" xr:uid="{6A6BAAF6-95B9-4570-9966-4E45EB6D27CD}"/>
    <cellStyle name="Migliaia 29 5 4 2 3" xfId="44450" xr:uid="{C7284892-1182-49C6-83FE-E2B30997407D}"/>
    <cellStyle name="Migliaia 29 5 4 2 4" xfId="33671" xr:uid="{99B76904-23AB-49F5-AFCC-B7984832F04B}"/>
    <cellStyle name="Migliaia 29 5 4 3" xfId="36602" xr:uid="{888C4B73-EB77-4E49-B2A9-95DE0050369B}"/>
    <cellStyle name="Migliaia 29 5 4 4" xfId="41799" xr:uid="{AD9AA23E-6567-47A7-B7EC-E148802F5168}"/>
    <cellStyle name="Migliaia 29 5 4 5" xfId="24678" xr:uid="{72ADE0C0-2AB5-4A74-93B0-F51AABDA5681}"/>
    <cellStyle name="Migliaia 29 5 4 6" xfId="48472" xr:uid="{5A71595E-9E62-47CB-9BE2-BA0613505591}"/>
    <cellStyle name="Migliaia 29 5 4 7" xfId="50492" xr:uid="{DF145F7D-821C-4304-9B49-1C2DDD34DCF1}"/>
    <cellStyle name="Migliaia 29 5 4 8" xfId="53508" xr:uid="{65B0DF59-5C40-45E6-BC74-D5C071BCAB40}"/>
    <cellStyle name="Migliaia 29 5 4 9" xfId="10842" xr:uid="{3163544B-A0CF-4222-8C03-70DE86357D8F}"/>
    <cellStyle name="Migliaia 29 5 5" xfId="20297" xr:uid="{579096DC-5A00-4A0F-A8F4-D02F577BF3D4}"/>
    <cellStyle name="Migliaia 29 5 5 2" xfId="33672" xr:uid="{46C1B75D-082D-4DF3-8FF4-9EC07D604A16}"/>
    <cellStyle name="Migliaia 29 5 5 2 2" xfId="39149" xr:uid="{BBA24701-23B6-4FB5-8B2A-739062AB1107}"/>
    <cellStyle name="Migliaia 29 5 5 2 3" xfId="44451" xr:uid="{DAB1DF31-269F-4219-88B2-9397C7033188}"/>
    <cellStyle name="Migliaia 29 5 5 3" xfId="36603" xr:uid="{AD02F36D-ED8A-4A1E-838E-C17F5018CCC9}"/>
    <cellStyle name="Migliaia 29 5 5 4" xfId="41800" xr:uid="{C3CB7424-23BB-4831-BC4D-CE86FA4AA7F9}"/>
    <cellStyle name="Migliaia 29 5 5 5" xfId="24679" xr:uid="{72BC0242-D5FD-499B-8988-636A3B8539B4}"/>
    <cellStyle name="Migliaia 29 5 6" xfId="24680" xr:uid="{160816D1-8F27-4C25-9E8B-F5B0B7183C7A}"/>
    <cellStyle name="Migliaia 29 5 6 2" xfId="33673" xr:uid="{7E4DF78E-7FD9-4ECD-8438-BD0A86DB064F}"/>
    <cellStyle name="Migliaia 29 5 6 2 2" xfId="39150" xr:uid="{240E325F-9E86-488A-952F-BDB218F52111}"/>
    <cellStyle name="Migliaia 29 5 6 2 3" xfId="44452" xr:uid="{ACAC6B6E-E7A6-4242-9B20-EA0607CF0350}"/>
    <cellStyle name="Migliaia 29 5 6 3" xfId="36604" xr:uid="{2AE20A6E-DA99-4754-8931-DD485DA55E8F}"/>
    <cellStyle name="Migliaia 29 5 6 4" xfId="41801" xr:uid="{5C0E28C0-30C5-4E1F-B96A-F4691825643B}"/>
    <cellStyle name="Migliaia 29 5 7" xfId="24677" xr:uid="{98491B99-B8B3-4AB1-8384-40887B76BFB2}"/>
    <cellStyle name="Migliaia 29 5 8" xfId="7421" xr:uid="{4A975BB3-E9E2-4553-8843-9B41EDF1834B}"/>
    <cellStyle name="Migliaia 29 6" xfId="3453" xr:uid="{42E2504B-779B-4617-85B4-282925262739}"/>
    <cellStyle name="Migliaia 29 6 2" xfId="5179" xr:uid="{33E586B7-CBA1-4E46-A4A2-159CEB82E88B}"/>
    <cellStyle name="Migliaia 29 6 2 2" xfId="9923" xr:uid="{6C52C279-56B4-4133-81DE-09C018A5AAC5}"/>
    <cellStyle name="Migliaia 29 6 2 3" xfId="18659" xr:uid="{BE877BDE-731D-4DB6-A50E-4876A5C150E4}"/>
    <cellStyle name="Migliaia 29 6 2 4" xfId="20300" xr:uid="{BB9949C9-267D-43F8-8032-C34028016B52}"/>
    <cellStyle name="Migliaia 29 6 2 5" xfId="32364" xr:uid="{7D0ACEA9-344B-44C0-BDAF-65323DA1909C}"/>
    <cellStyle name="Migliaia 29 6 2 6" xfId="16344" xr:uid="{41BA8D72-0017-4BD3-BFC1-A0C9D2D2D0C3}"/>
    <cellStyle name="Migliaia 29 6 2 7" xfId="8606" xr:uid="{5A9ACBFB-BA6D-403C-AB72-D3F2BCEF6379}"/>
    <cellStyle name="Migliaia 29 6 3" xfId="6381" xr:uid="{E61381CA-E10D-4A9C-BB99-12C328F39E18}"/>
    <cellStyle name="Migliaia 29 6 3 2" xfId="35274" xr:uid="{E11F2515-3D61-4392-9A0A-79C6667E095E}"/>
    <cellStyle name="Migliaia 29 6 3 2 2" xfId="40434" xr:uid="{B8E4A909-5F4B-4620-B86A-24CC52CBC9EB}"/>
    <cellStyle name="Migliaia 29 6 3 2 3" xfId="45736" xr:uid="{2732C5DF-EC2A-4822-BDF6-AC848B1FCDF3}"/>
    <cellStyle name="Migliaia 29 6 3 3" xfId="37783" xr:uid="{3E583034-A9D3-4B83-A5FB-15FA5C24F29F}"/>
    <cellStyle name="Migliaia 29 6 3 4" xfId="43085" xr:uid="{0B08499A-35C3-433D-B1C4-FBC3E7C85996}"/>
    <cellStyle name="Migliaia 29 6 3 5" xfId="9686" xr:uid="{385322EC-FEEE-4068-A24F-89234561774B}"/>
    <cellStyle name="Migliaia 29 6 4" xfId="20299" xr:uid="{8A3D44E2-518A-4D8D-AEB8-1DEA4A9990C3}"/>
    <cellStyle name="Migliaia 29 6 4 2" xfId="39151" xr:uid="{96E63835-8EE7-4A61-A92C-066329A5ECDC}"/>
    <cellStyle name="Migliaia 29 6 4 3" xfId="44453" xr:uid="{C6186D51-B5E9-4AED-8B86-9AA66192046F}"/>
    <cellStyle name="Migliaia 29 6 4 4" xfId="33674" xr:uid="{D6FE80CA-3FEB-4694-8B18-AD2BD6F86C0F}"/>
    <cellStyle name="Migliaia 29 6 5" xfId="36605" xr:uid="{2BAE10C3-DC79-49A9-9C7B-87FC714FC57E}"/>
    <cellStyle name="Migliaia 29 6 6" xfId="41802" xr:uid="{CCF8826D-C686-44D0-B230-587D620C8CF0}"/>
    <cellStyle name="Migliaia 29 6 7" xfId="16343" xr:uid="{35F273A1-076E-4234-9AE4-6EF271E0EB5E}"/>
    <cellStyle name="Migliaia 29 6 8" xfId="7416" xr:uid="{4145016F-0C0F-449E-9D6C-3973F5F27F51}"/>
    <cellStyle name="Migliaia 29 7" xfId="3454" xr:uid="{DFAC4F73-3D12-40DF-88A3-714ECFB2BEAE}"/>
    <cellStyle name="Migliaia 29 7 2" xfId="5180" xr:uid="{B6A56B2C-EFD1-45E4-ACB8-5F9EE987A60A}"/>
    <cellStyle name="Migliaia 29 7 2 2" xfId="35275" xr:uid="{8CC75454-51CE-4CB7-AEE7-DBAF2866CA18}"/>
    <cellStyle name="Migliaia 29 7 2 2 2" xfId="40435" xr:uid="{C85611D8-2255-4132-BF17-E5A0362083A5}"/>
    <cellStyle name="Migliaia 29 7 2 2 3" xfId="45737" xr:uid="{8E468975-ECC3-4B8B-AC88-832C5D585369}"/>
    <cellStyle name="Migliaia 29 7 2 3" xfId="37784" xr:uid="{D840EC3B-8153-4307-8FF0-5EEEE5C7A08F}"/>
    <cellStyle name="Migliaia 29 7 2 4" xfId="43086" xr:uid="{0E9D6D08-F949-4390-97F5-C265F34E8102}"/>
    <cellStyle name="Migliaia 29 7 2 5" xfId="14242" xr:uid="{BDA20B87-0027-424E-A435-31842275FEEF}"/>
    <cellStyle name="Migliaia 29 7 3" xfId="6382" xr:uid="{15C29B07-B919-46E9-90FE-412E981884FA}"/>
    <cellStyle name="Migliaia 29 7 3 2" xfId="39152" xr:uid="{B2944A00-C4CC-44AD-AAA9-D90868135E0B}"/>
    <cellStyle name="Migliaia 29 7 3 3" xfId="44454" xr:uid="{7F1622D9-A97F-4772-B2B0-DD0DE5BB4683}"/>
    <cellStyle name="Migliaia 29 7 3 4" xfId="33675" xr:uid="{C6B83406-395A-4F6C-9FF7-D8557B1C20E9}"/>
    <cellStyle name="Migliaia 29 7 3 5" xfId="20301" xr:uid="{01E212CF-5D8D-471E-B70A-18887AF5AE37}"/>
    <cellStyle name="Migliaia 29 7 4" xfId="36606" xr:uid="{A90B1102-83EE-4780-9C81-4D581FA319E9}"/>
    <cellStyle name="Migliaia 29 7 5" xfId="41803" xr:uid="{200149B7-69BA-4A35-82E9-7002F011D336}"/>
    <cellStyle name="Migliaia 29 7 6" xfId="16345" xr:uid="{A754B70E-3366-491A-BC19-E7DF5FB34D0F}"/>
    <cellStyle name="Migliaia 29 7 7" xfId="8304" xr:uid="{0D6E2347-396C-4243-A95E-171E6D65CBF7}"/>
    <cellStyle name="Migliaia 29 8" xfId="3455" xr:uid="{4B7EBD5E-50E8-44EA-B936-C50D1BA09A4C}"/>
    <cellStyle name="Migliaia 29 8 2" xfId="5181" xr:uid="{60B5E92A-A574-40C2-8DE9-C8BC77A3069E}"/>
    <cellStyle name="Migliaia 29 8 2 2" xfId="35276" xr:uid="{2647F6E9-E665-4BCE-870B-BFB3A053818E}"/>
    <cellStyle name="Migliaia 29 8 2 2 2" xfId="40436" xr:uid="{A838046E-CA93-4342-9D9B-DBD23B79D5E0}"/>
    <cellStyle name="Migliaia 29 8 2 2 3" xfId="45738" xr:uid="{7576940C-A3A0-4DB3-A72A-F618CA67648A}"/>
    <cellStyle name="Migliaia 29 8 2 3" xfId="37785" xr:uid="{C015E131-B8D1-4992-9C2F-F0DBAAEFB43D}"/>
    <cellStyle name="Migliaia 29 8 2 4" xfId="43087" xr:uid="{C33B09BF-02EA-47CD-843E-D3BC23BA308E}"/>
    <cellStyle name="Migliaia 29 8 2 5" xfId="13947" xr:uid="{92C83B38-A7F9-4AB4-90A4-1583A59B3F60}"/>
    <cellStyle name="Migliaia 29 8 3" xfId="6383" xr:uid="{332C0D1D-DBAA-4DB4-9232-A247E3379BA0}"/>
    <cellStyle name="Migliaia 29 8 3 2" xfId="39153" xr:uid="{A9962331-DDE9-415B-954A-45DB1D147376}"/>
    <cellStyle name="Migliaia 29 8 3 3" xfId="44455" xr:uid="{F7E8510D-AF41-4371-A62C-3B0C372BBA5F}"/>
    <cellStyle name="Migliaia 29 8 3 4" xfId="33676" xr:uid="{CB45F5C1-59C0-47AE-BD92-CC2F3B149B9D}"/>
    <cellStyle name="Migliaia 29 8 3 5" xfId="20302" xr:uid="{0CFCA7C9-899A-471C-8050-D91BE214C1A1}"/>
    <cellStyle name="Migliaia 29 8 4" xfId="36607" xr:uid="{ABD78003-1C77-4EEB-AD13-EEE42659CE81}"/>
    <cellStyle name="Migliaia 29 8 5" xfId="41804" xr:uid="{34D5741D-C602-4754-8DB4-281FE10816E3}"/>
    <cellStyle name="Migliaia 29 8 6" xfId="16346" xr:uid="{37A7F142-76CB-42B0-8CA0-9BD11C3E8A74}"/>
    <cellStyle name="Migliaia 29 8 7" xfId="7906" xr:uid="{896F1D96-23F7-42E5-AD36-F0EDA219CAA5}"/>
    <cellStyle name="Migliaia 29 9" xfId="5166" xr:uid="{2AD20CC2-BAB7-41AC-B216-0FCAE84A6DB2}"/>
    <cellStyle name="Migliaia 29 9 2" xfId="33677" xr:uid="{E4C8A288-483E-4C04-B073-B76C45F24C0F}"/>
    <cellStyle name="Migliaia 29 9 2 2" xfId="39154" xr:uid="{464A0635-1B75-467E-826A-6FADE8809FCE}"/>
    <cellStyle name="Migliaia 29 9 2 3" xfId="44456" xr:uid="{774A87B9-DC44-42AC-A89C-45B25DCF7CB9}"/>
    <cellStyle name="Migliaia 29 9 3" xfId="36608" xr:uid="{5BD9C547-A554-483D-A03B-C9A3418E8DFD}"/>
    <cellStyle name="Migliaia 29 9 4" xfId="41805" xr:uid="{8AB5B30D-EDF2-415A-9027-52D4023ACEC7}"/>
    <cellStyle name="Migliaia 29 9 5" xfId="17177" xr:uid="{35525B64-7EEE-4634-A658-F578B694832A}"/>
    <cellStyle name="Migliaia 3" xfId="389" xr:uid="{00000000-0005-0000-0000-000085030000}"/>
    <cellStyle name="Migliaia 3 10" xfId="6384" xr:uid="{89D327F7-1919-40C0-A3FC-7F5E0EB42EB8}"/>
    <cellStyle name="Migliaia 3 10 2" xfId="39155" xr:uid="{05F6AEB6-9371-4E79-9497-01599ABD3DD4}"/>
    <cellStyle name="Migliaia 3 10 3" xfId="44457" xr:uid="{A35AA9C8-CFFD-4867-9717-1F31F206DDE5}"/>
    <cellStyle name="Migliaia 3 10 4" xfId="33678" xr:uid="{F9ED7013-B33F-4B8B-9F0D-4337875EFB82}"/>
    <cellStyle name="Migliaia 3 10 5" xfId="20303" xr:uid="{CB8C19D7-F102-429C-BD92-606D43455603}"/>
    <cellStyle name="Migliaia 3 11" xfId="3456" xr:uid="{EB4D786F-9DC0-4EB6-A15C-01229EC6CE4F}"/>
    <cellStyle name="Migliaia 3 11 2" xfId="36609" xr:uid="{66F78828-0DAE-4F34-997A-4088A42B1232}"/>
    <cellStyle name="Migliaia 3 12" xfId="41806" xr:uid="{D49883B4-07BD-4A48-B87D-EF9D5C0534F0}"/>
    <cellStyle name="Migliaia 3 13" xfId="7108" xr:uid="{01BC0E5B-3A66-4187-9C69-09E27E564494}"/>
    <cellStyle name="Migliaia 3 2" xfId="390" xr:uid="{00000000-0005-0000-0000-000086030000}"/>
    <cellStyle name="Migliaia 3 2 2" xfId="1766" xr:uid="{00000000-0005-0000-0000-000087030000}"/>
    <cellStyle name="Migliaia 3 2 2 2" xfId="5184" xr:uid="{BFA3D63D-F95E-4145-9846-168AEEEC4EE1}"/>
    <cellStyle name="Migliaia 3 2 2 2 2" xfId="14385" xr:uid="{5A65A8BC-AF1E-4384-B59B-EC67D52F41A8}"/>
    <cellStyle name="Migliaia 3 2 2 2 2 2" xfId="39156" xr:uid="{8CB55B04-885A-4173-9631-D9E73D853B4E}"/>
    <cellStyle name="Migliaia 3 2 2 2 2 3" xfId="44458" xr:uid="{7DB00298-FC6E-488B-8733-2AC3A042DFA4}"/>
    <cellStyle name="Migliaia 3 2 2 2 3" xfId="18428" xr:uid="{26EAE462-9D50-4B93-8DF2-5D87EC2C8FF4}"/>
    <cellStyle name="Migliaia 3 2 2 2 4" xfId="20306" xr:uid="{616A80F0-2F5B-4662-B7BA-7C2D9C00BF2A}"/>
    <cellStyle name="Migliaia 3 2 2 2 4 2" xfId="41807" xr:uid="{5BC32C10-21FD-4913-9FB0-1B0D37F2AD2F}"/>
    <cellStyle name="Migliaia 3 2 2 2 5" xfId="16347" xr:uid="{58610F90-08EF-488F-AA8C-405E410EE1D4}"/>
    <cellStyle name="Migliaia 3 2 2 2 6" xfId="8613" xr:uid="{B8FD9565-8170-4C56-AA1F-FA50465EA40B}"/>
    <cellStyle name="Migliaia 3 2 2 3" xfId="6386" xr:uid="{FD48A861-3C73-4BD1-B6BC-B0949954D8A3}"/>
    <cellStyle name="Migliaia 3 2 2 3 2" xfId="35277" xr:uid="{125F9630-71C6-4B52-9775-C686FFD3D4D0}"/>
    <cellStyle name="Migliaia 3 2 2 3 2 2" xfId="40437" xr:uid="{440B3D86-0285-4FF5-A3A0-4D724CFE8302}"/>
    <cellStyle name="Migliaia 3 2 2 3 2 3" xfId="45739" xr:uid="{22559036-7B9C-457D-BDD0-7006F8BCBD48}"/>
    <cellStyle name="Migliaia 3 2 2 3 3" xfId="37786" xr:uid="{112A5CCD-2DEF-4AAB-A477-F81A520F52A6}"/>
    <cellStyle name="Migliaia 3 2 2 3 4" xfId="43088" xr:uid="{8E07877E-82A2-40C0-8911-2209A3745ADB}"/>
    <cellStyle name="Migliaia 3 2 2 3 5" xfId="11612" xr:uid="{6327546E-EB8D-4E22-890B-0AB22B113733}"/>
    <cellStyle name="Migliaia 3 2 2 4" xfId="3458" xr:uid="{F84E3CFF-90A9-4D61-AC68-639795242F09}"/>
    <cellStyle name="Migliaia 3 2 2 4 2" xfId="21478" xr:uid="{B25EEADA-6928-4727-85E3-0BC9DEDEABF1}"/>
    <cellStyle name="Migliaia 3 2 2 4 3" xfId="46235" xr:uid="{6CC15139-21D8-4E4E-B9BB-916FB9BC8B94}"/>
    <cellStyle name="Migliaia 3 2 2 4 4" xfId="50493" xr:uid="{81F5D36F-2543-4B79-AC66-98BA23D81491}"/>
    <cellStyle name="Migliaia 3 2 2 4 5" xfId="53509" xr:uid="{D87E2C92-D300-4E13-BD08-B493877ED5A2}"/>
    <cellStyle name="Migliaia 3 2 2 4 6" xfId="10843" xr:uid="{60721535-3258-4438-A031-60CE9A59274D}"/>
    <cellStyle name="Migliaia 3 2 2 5" xfId="20305" xr:uid="{FF264CD1-8F5C-4AC7-9178-08A34853D58B}"/>
    <cellStyle name="Migliaia 3 2 2 6" xfId="24682" xr:uid="{0B2BDD24-4D1D-46C0-983D-668C2432BD1B}"/>
    <cellStyle name="Migliaia 3 2 2 7" xfId="7423" xr:uid="{7243A5C4-C354-478E-92C5-7E506856DA26}"/>
    <cellStyle name="Migliaia 3 2 3" xfId="3459" xr:uid="{C018A69F-792A-4B8E-A299-7EC22F7A05D7}"/>
    <cellStyle name="Migliaia 3 2 3 2" xfId="5185" xr:uid="{F3AA9AA9-2D80-42B2-919D-4D272D7A446F}"/>
    <cellStyle name="Migliaia 3 2 3 2 2" xfId="35278" xr:uid="{30FB4765-965A-4768-B2A6-D081CF39C9E5}"/>
    <cellStyle name="Migliaia 3 2 3 2 2 2" xfId="40438" xr:uid="{5E19DC20-C427-44A8-AA91-9F37AC7338C9}"/>
    <cellStyle name="Migliaia 3 2 3 2 2 3" xfId="45740" xr:uid="{81A23D87-735C-4715-AFF5-2827AACD0405}"/>
    <cellStyle name="Migliaia 3 2 3 2 3" xfId="37787" xr:uid="{B07C85C9-DD34-433C-B8B8-8D272326D9BC}"/>
    <cellStyle name="Migliaia 3 2 3 2 4" xfId="43089" xr:uid="{DE3B8DE6-823D-4011-9CE5-668D4B9C94E5}"/>
    <cellStyle name="Migliaia 3 2 3 2 5" xfId="14246" xr:uid="{190134A6-7725-41C3-99C2-A437EEDCC1EE}"/>
    <cellStyle name="Migliaia 3 2 3 3" xfId="6387" xr:uid="{00529DA1-290B-4663-AF9D-7417CEF123FD}"/>
    <cellStyle name="Migliaia 3 2 3 3 2" xfId="39157" xr:uid="{21BD32F5-E94D-4D2F-A352-7E21A7ED5DFA}"/>
    <cellStyle name="Migliaia 3 2 3 3 3" xfId="44459" xr:uid="{36B64DEC-9F29-41E5-8AC6-E6E86ECAAE7F}"/>
    <cellStyle name="Migliaia 3 2 3 3 4" xfId="33679" xr:uid="{20796009-0EE2-42A3-8E41-22C474BA487F}"/>
    <cellStyle name="Migliaia 3 2 3 3 5" xfId="20307" xr:uid="{8D6B101A-DF9E-43C8-8B9C-9D66CEEF6BBF}"/>
    <cellStyle name="Migliaia 3 2 3 4" xfId="36610" xr:uid="{9518D8ED-C118-49FF-9B7E-396904F3071E}"/>
    <cellStyle name="Migliaia 3 2 3 5" xfId="41808" xr:uid="{7BC2AF0E-9AEB-49AD-A9FA-6B8097B5C798}"/>
    <cellStyle name="Migliaia 3 2 3 6" xfId="16348" xr:uid="{A4F83731-5EE3-471D-9D07-A68E284B8E00}"/>
    <cellStyle name="Migliaia 3 2 3 7" xfId="8308" xr:uid="{6206261D-9DB0-4C99-A0CC-0873946962C7}"/>
    <cellStyle name="Migliaia 3 2 4" xfId="5183" xr:uid="{289C8CA9-CFBF-414F-A152-D120106C220F}"/>
    <cellStyle name="Migliaia 3 2 4 2" xfId="13951" xr:uid="{44E79A26-0E11-4DA9-B029-B359BF3A1FEC}"/>
    <cellStyle name="Migliaia 3 2 4 2 2" xfId="39158" xr:uid="{23BCE401-9F82-4ACF-9682-2A3E2B2C9D54}"/>
    <cellStyle name="Migliaia 3 2 4 2 3" xfId="44460" xr:uid="{9C4E9C83-3CCF-4D03-A6EB-EA24C6D1F535}"/>
    <cellStyle name="Migliaia 3 2 4 3" xfId="18712" xr:uid="{D18AE73B-5D2C-4A4E-BAD7-F1EC329F582F}"/>
    <cellStyle name="Migliaia 3 2 4 4" xfId="20308" xr:uid="{ED794639-2AF2-4072-95D8-7B5DDCED73FA}"/>
    <cellStyle name="Migliaia 3 2 4 4 2" xfId="41809" xr:uid="{9CA931D5-76EE-498F-982D-B4E85DD59910}"/>
    <cellStyle name="Migliaia 3 2 4 5" xfId="16349" xr:uid="{86E27AAC-9ADA-4788-934A-644E87983651}"/>
    <cellStyle name="Migliaia 3 2 4 6" xfId="7911" xr:uid="{49C4810A-3C23-4CB1-A6DF-AF5B867903EC}"/>
    <cellStyle name="Migliaia 3 2 5" xfId="6385" xr:uid="{A1FAF10F-DB6D-4C05-8FBB-3CBDDA121C9D}"/>
    <cellStyle name="Migliaia 3 2 5 2" xfId="33680" xr:uid="{EAFCF3E6-A3A0-4A26-A5E7-02CCF2E73ADC}"/>
    <cellStyle name="Migliaia 3 2 5 2 2" xfId="39159" xr:uid="{5FD84750-43AE-4A4C-8C6D-665ABE56EBA4}"/>
    <cellStyle name="Migliaia 3 2 5 2 3" xfId="44461" xr:uid="{502BC87A-AA3E-4CD0-93F8-C5D9F0CF59C0}"/>
    <cellStyle name="Migliaia 3 2 5 3" xfId="36611" xr:uid="{D6487B84-86F9-4D1A-BC63-BF5F900CCB25}"/>
    <cellStyle name="Migliaia 3 2 5 4" xfId="41810" xr:uid="{F2C6C36D-6BE3-4950-9AD7-A8C8AE1A715F}"/>
    <cellStyle name="Migliaia 3 2 5 5" xfId="13125" xr:uid="{136C6B9F-0BEC-47BC-B80A-E34D1C05985F}"/>
    <cellStyle name="Migliaia 3 2 6" xfId="3457" xr:uid="{C85AB1F1-3130-45D7-BBD7-77EF0074563F}"/>
    <cellStyle name="Migliaia 3 2 6 2" xfId="33681" xr:uid="{A16BE93B-8ABE-48F2-80E1-A900F7B55F92}"/>
    <cellStyle name="Migliaia 3 2 6 2 2" xfId="39160" xr:uid="{168DFC8F-D1BD-4BB3-965E-81924005AE3D}"/>
    <cellStyle name="Migliaia 3 2 6 2 3" xfId="44462" xr:uid="{33D401A1-6ED2-4830-9EBA-C478B2AA1D67}"/>
    <cellStyle name="Migliaia 3 2 6 3" xfId="36612" xr:uid="{9502A73D-801B-4F0A-BFED-E0E3BCC8C654}"/>
    <cellStyle name="Migliaia 3 2 6 4" xfId="41811" xr:uid="{3D63D47D-FF67-4156-89E7-9B9B55B84BB1}"/>
    <cellStyle name="Migliaia 3 2 6 5" xfId="24683" xr:uid="{F0789EA6-AA96-4DF5-8D98-46D604D4A658}"/>
    <cellStyle name="Migliaia 3 2 6 6" xfId="20304" xr:uid="{C751AD7F-BE9A-486C-AB8E-1139C54F699A}"/>
    <cellStyle name="Migliaia 3 2 7" xfId="24681" xr:uid="{56D3BFB9-6F01-4768-85C8-94095F6F4F2F}"/>
    <cellStyle name="Migliaia 3 2 8" xfId="7109" xr:uid="{F4690A68-980E-4847-A20C-C6E730375C70}"/>
    <cellStyle name="Migliaia 3 3" xfId="391" xr:uid="{00000000-0005-0000-0000-000088030000}"/>
    <cellStyle name="Migliaia 3 3 10" xfId="24684" xr:uid="{ABC3A077-7226-406A-BAD9-FDE602743EB2}"/>
    <cellStyle name="Migliaia 3 3 11" xfId="16350" xr:uid="{4D47ABD4-01DA-4CBD-BC31-9D3E5AD7C3FD}"/>
    <cellStyle name="Migliaia 3 3 12" xfId="7110" xr:uid="{919DFD90-5723-4947-B187-538976BB265C}"/>
    <cellStyle name="Migliaia 3 3 2" xfId="392" xr:uid="{00000000-0005-0000-0000-000089030000}"/>
    <cellStyle name="Migliaia 3 3 2 2" xfId="1767" xr:uid="{00000000-0005-0000-0000-00008A030000}"/>
    <cellStyle name="Migliaia 3 3 2 2 2" xfId="5188" xr:uid="{07A7F9AC-4BCA-412B-9B32-E1675E088257}"/>
    <cellStyle name="Migliaia 3 3 2 2 2 2" xfId="18429" xr:uid="{EE521890-174D-4D57-96E9-8E2C3B8A43FC}"/>
    <cellStyle name="Migliaia 3 3 2 2 2 2 2" xfId="21863" xr:uid="{C2A7CEEB-9E15-4D4F-B35F-576609C306DB}"/>
    <cellStyle name="Migliaia 3 3 2 2 2 2 2 2" xfId="39161" xr:uid="{E2F53290-2613-470C-B148-F5D23FF3E2D2}"/>
    <cellStyle name="Migliaia 3 3 2 2 2 2 3" xfId="44463" xr:uid="{4678EC40-2804-4F43-8DF7-35A533F6A229}"/>
    <cellStyle name="Migliaia 3 3 2 2 2 2 4" xfId="33682" xr:uid="{C247460C-EC1A-42F4-9862-EF1949EC11F4}"/>
    <cellStyle name="Migliaia 3 3 2 2 2 3" xfId="36613" xr:uid="{4A3BA5B2-016D-440C-AB4C-EE1B45C4247C}"/>
    <cellStyle name="Migliaia 3 3 2 2 2 4" xfId="41812" xr:uid="{AA241895-A6CC-4727-BE2E-DFC740318A8A}"/>
    <cellStyle name="Migliaia 3 3 2 2 2 5" xfId="48290" xr:uid="{7610EBAC-B2CB-4A95-BB51-CC106ED4FBB1}"/>
    <cellStyle name="Migliaia 3 3 2 2 2 6" xfId="50891" xr:uid="{25457187-7D57-4A29-8DB7-91677C660E7A}"/>
    <cellStyle name="Migliaia 3 3 2 2 2 7" xfId="53907" xr:uid="{B94E8688-B304-4D93-9C4A-454C6AC4C465}"/>
    <cellStyle name="Migliaia 3 3 2 2 2 8" xfId="17660" xr:uid="{2C4F1A50-9B8B-4DDC-9A9F-40AB9E85E1E9}"/>
    <cellStyle name="Migliaia 3 3 2 2 2 9" xfId="11975" xr:uid="{841603C4-B761-43CF-93AD-3995DF2319D5}"/>
    <cellStyle name="Migliaia 3 3 2 2 3" xfId="6390" xr:uid="{541EAB05-DAA6-4589-AD8F-477F4C71DBE3}"/>
    <cellStyle name="Migliaia 3 3 2 2 3 2" xfId="11559" xr:uid="{F9D6E6CC-C430-4D3E-BAE7-2EF45DDECF17}"/>
    <cellStyle name="Migliaia 3 3 2 2 4" xfId="3462" xr:uid="{ECC9D54C-9823-4F40-B3EC-E9D39E46E89A}"/>
    <cellStyle name="Migliaia 3 3 2 2 4 2" xfId="21479" xr:uid="{CCAC06F4-0478-4B02-9D11-67017EAA414A}"/>
    <cellStyle name="Migliaia 3 3 2 2 4 3" xfId="47599" xr:uid="{54B39B13-0BB7-41D7-81E7-B626A686AC3F}"/>
    <cellStyle name="Migliaia 3 3 2 2 4 4" xfId="50494" xr:uid="{237F05D4-C74B-4926-B5EB-566B7438CA5D}"/>
    <cellStyle name="Migliaia 3 3 2 2 4 5" xfId="53510" xr:uid="{8EED9AB4-2BD3-4FFD-B980-C6624EED9073}"/>
    <cellStyle name="Migliaia 3 3 2 2 4 6" xfId="10844" xr:uid="{6BAE51B3-B431-4AEF-9BCC-C84B41EADE72}"/>
    <cellStyle name="Migliaia 3 3 2 2 5" xfId="20311" xr:uid="{7BD4EFFC-0D52-460B-B89B-B122FCB51CE4}"/>
    <cellStyle name="Migliaia 3 3 2 2 6" xfId="24686" xr:uid="{5299645E-2BB2-41CF-9FA7-34F0833A7DF3}"/>
    <cellStyle name="Migliaia 3 3 2 2 7" xfId="8615" xr:uid="{FD87D6F6-25E8-4667-B7CA-63708247A5AF}"/>
    <cellStyle name="Migliaia 3 3 2 3" xfId="5187" xr:uid="{4CFF9EEB-BA8A-4FBA-B250-B91B786D4EA6}"/>
    <cellStyle name="Migliaia 3 3 2 3 2" xfId="11105" xr:uid="{B9B0202E-BC59-4569-88E7-6F85D0C53204}"/>
    <cellStyle name="Migliaia 3 3 2 3 2 2" xfId="39162" xr:uid="{F10BAF7F-FEEE-40CF-ACA2-1131B04076DB}"/>
    <cellStyle name="Migliaia 3 3 2 3 2 3" xfId="44464" xr:uid="{4352AC12-CE12-4D29-831C-956A5D8C7892}"/>
    <cellStyle name="Migliaia 3 3 2 3 2 4" xfId="33683" xr:uid="{89BCD172-8755-4AAA-9D59-CF6D09ECB3DB}"/>
    <cellStyle name="Migliaia 3 3 2 3 3" xfId="11976" xr:uid="{36E61EE0-0C78-47A7-9188-656C7BF925BA}"/>
    <cellStyle name="Migliaia 3 3 2 3 4" xfId="20312" xr:uid="{B714ED71-4402-45A2-A7A7-2CBC878067ED}"/>
    <cellStyle name="Migliaia 3 3 2 3 4 2" xfId="41813" xr:uid="{18D2F5EA-2D33-4326-BAF0-8190798589D2}"/>
    <cellStyle name="Migliaia 3 3 2 3 5" xfId="16351" xr:uid="{E67C7ADD-6F5B-49C5-BB5A-8E360458E0BE}"/>
    <cellStyle name="Migliaia 3 3 2 3 6" xfId="7913" xr:uid="{19620A8C-D363-4258-AE9D-92724E1DF806}"/>
    <cellStyle name="Migliaia 3 3 2 4" xfId="6389" xr:uid="{8AB80A8D-C51D-4BAF-AEB6-A65026DE06C3}"/>
    <cellStyle name="Migliaia 3 3 2 4 2" xfId="18079" xr:uid="{FA5512D6-90D2-456B-A606-EE3EEAAF6626}"/>
    <cellStyle name="Migliaia 3 3 2 4 2 2" xfId="39163" xr:uid="{792656C3-5D8C-4902-8AE7-8EBA48A0FD3C}"/>
    <cellStyle name="Migliaia 3 3 2 4 2 3" xfId="44465" xr:uid="{91CDC9B8-44F9-413E-BB04-DC3E74282C23}"/>
    <cellStyle name="Migliaia 3 3 2 4 3" xfId="36614" xr:uid="{6D6CEA91-6450-49C1-8AAC-60CA2D6709CF}"/>
    <cellStyle name="Migliaia 3 3 2 4 4" xfId="41814" xr:uid="{F8239DFC-B5FF-4549-AE4E-A728A856E68D}"/>
    <cellStyle name="Migliaia 3 3 2 4 5" xfId="17180" xr:uid="{BCF0133A-743A-475B-98AE-8D5C6CA436FA}"/>
    <cellStyle name="Migliaia 3 3 2 4 6" xfId="11324" xr:uid="{4798ACCB-D1F7-4296-B114-E1536D9ECFD3}"/>
    <cellStyle name="Migliaia 3 3 2 5" xfId="3461" xr:uid="{CE3C1F3F-4FEB-4923-800B-439DEEE7542D}"/>
    <cellStyle name="Migliaia 3 3 2 5 2" xfId="33685" xr:uid="{5D962021-AAA4-41C0-A42D-974377762201}"/>
    <cellStyle name="Migliaia 3 3 2 5 2 2" xfId="39164" xr:uid="{6B666F63-7F31-4122-A2A9-D43E59892AAC}"/>
    <cellStyle name="Migliaia 3 3 2 5 2 3" xfId="44466" xr:uid="{E4E3BF1C-8EFC-4602-9341-29A3B8C0C913}"/>
    <cellStyle name="Migliaia 3 3 2 5 3" xfId="36615" xr:uid="{C52BB82E-CBD8-4FCF-8E46-709FF2419207}"/>
    <cellStyle name="Migliaia 3 3 2 5 4" xfId="41815" xr:uid="{977CD729-3DE3-4F23-90E2-FC32D45997BC}"/>
    <cellStyle name="Migliaia 3 3 2 5 5" xfId="17360" xr:uid="{DE513EEF-A08C-4260-AB76-E20AD411F092}"/>
    <cellStyle name="Migliaia 3 3 2 6" xfId="20310" xr:uid="{6FD39534-BCB7-48F5-BF95-AF1DDD6DF7C8}"/>
    <cellStyle name="Migliaia 3 3 2 6 2" xfId="33686" xr:uid="{C2B36A19-8E84-4BD2-9D1D-AFADE17C258E}"/>
    <cellStyle name="Migliaia 3 3 2 6 2 2" xfId="39165" xr:uid="{47099141-86D3-4488-A06A-DC9DB0CD7640}"/>
    <cellStyle name="Migliaia 3 3 2 6 2 3" xfId="44467" xr:uid="{59A02565-1FE5-4E1F-9394-81AD75D34929}"/>
    <cellStyle name="Migliaia 3 3 2 6 3" xfId="36616" xr:uid="{7CC17B55-BD0C-4F1A-A154-6DC489DA7EB6}"/>
    <cellStyle name="Migliaia 3 3 2 6 4" xfId="41816" xr:uid="{23737623-2FE3-4461-B232-299E99DF9EAC}"/>
    <cellStyle name="Migliaia 3 3 2 6 5" xfId="24689" xr:uid="{88668529-4F45-45E8-974C-720012244E8D}"/>
    <cellStyle name="Migliaia 3 3 2 7" xfId="24685" xr:uid="{D03A4640-7F99-4C5C-878E-A7DBD55AD123}"/>
    <cellStyle name="Migliaia 3 3 2 8" xfId="7425" xr:uid="{75792CD0-F49A-4935-B9CA-CEE3E657FBB6}"/>
    <cellStyle name="Migliaia 3 3 3" xfId="3463" xr:uid="{6AC7BC88-B6F7-4B11-830A-7F284CE01184}"/>
    <cellStyle name="Migliaia 3 3 3 10" xfId="7424" xr:uid="{82F313F1-3522-46DA-96E6-E46F29C3DA7E}"/>
    <cellStyle name="Migliaia 3 3 3 2" xfId="5189" xr:uid="{7C0467B1-7467-4E6A-9DD0-E2A778FEDA19}"/>
    <cellStyle name="Migliaia 3 3 3 2 2" xfId="9926" xr:uid="{9DA81D57-F623-4053-AD1F-EBFDF1C2E3BF}"/>
    <cellStyle name="Migliaia 3 3 3 2 2 2" xfId="39167" xr:uid="{32AF37DF-5E26-4E3E-940E-3B2343478090}"/>
    <cellStyle name="Migliaia 3 3 3 2 2 3" xfId="44469" xr:uid="{103B7BDB-6C55-4599-918F-35AF42DCF0D3}"/>
    <cellStyle name="Migliaia 3 3 3 2 3" xfId="18206" xr:uid="{A5E23355-1638-4267-8B4A-65DCC1914666}"/>
    <cellStyle name="Migliaia 3 3 3 2 4" xfId="20314" xr:uid="{B621551F-9FEB-4FDC-80DB-4FFD31B581A9}"/>
    <cellStyle name="Migliaia 3 3 3 2 4 2" xfId="41818" xr:uid="{6F0A6D97-BEDA-4BFE-ABC1-B723315EDC23}"/>
    <cellStyle name="Migliaia 3 3 3 2 5" xfId="16353" xr:uid="{F907DA20-4662-4774-B442-1C3B8E6F15A0}"/>
    <cellStyle name="Migliaia 3 3 3 2 6" xfId="8614" xr:uid="{9CB92A60-C3B1-4B45-8EF8-52A4AC9F677D}"/>
    <cellStyle name="Migliaia 3 3 3 3" xfId="6391" xr:uid="{9DB06772-762B-4D7C-BFAB-755BF5E8C3FD}"/>
    <cellStyle name="Migliaia 3 3 3 3 2" xfId="33689" xr:uid="{B80C515A-EFD1-4BC9-A0F1-3CAB12FE0FE0}"/>
    <cellStyle name="Migliaia 3 3 3 3 2 2" xfId="39168" xr:uid="{E4808792-9614-497C-AD3A-9B3B973F7ADD}"/>
    <cellStyle name="Migliaia 3 3 3 3 2 3" xfId="44470" xr:uid="{A0A836F0-892C-4928-9621-D68B4D611F0B}"/>
    <cellStyle name="Migliaia 3 3 3 3 3" xfId="36618" xr:uid="{8F674533-9AE3-4EBC-95D4-AEDDB588BD73}"/>
    <cellStyle name="Migliaia 3 3 3 3 4" xfId="41819" xr:uid="{1854D77D-15DA-43B2-A2F1-317B3815C48D}"/>
    <cellStyle name="Migliaia 3 3 3 3 5" xfId="9689" xr:uid="{4A750913-23D4-46DE-ACFD-78ED23B49B62}"/>
    <cellStyle name="Migliaia 3 3 3 4" xfId="20313" xr:uid="{DA9B1A86-F23F-41F5-A5B3-78A25089832A}"/>
    <cellStyle name="Migliaia 3 3 3 4 2" xfId="33690" xr:uid="{97B5E9B7-C34F-4A84-A218-79AB895F1624}"/>
    <cellStyle name="Migliaia 3 3 3 4 2 2" xfId="39169" xr:uid="{4CEDE86C-1A02-4FD7-8A75-175150873114}"/>
    <cellStyle name="Migliaia 3 3 3 4 2 3" xfId="44471" xr:uid="{29A88513-0FA0-43E4-BFFA-EBB8EA68E437}"/>
    <cellStyle name="Migliaia 3 3 3 4 3" xfId="36619" xr:uid="{EB6FBF8A-67F7-4FFD-A2E1-164C0D554A80}"/>
    <cellStyle name="Migliaia 3 3 3 4 4" xfId="41820" xr:uid="{CE1ABE24-9FF9-4E6E-B269-E2F9B99249E9}"/>
    <cellStyle name="Migliaia 3 3 3 4 5" xfId="24693" xr:uid="{E10EBA54-A6C9-42B6-8BE9-18C8CD1904F5}"/>
    <cellStyle name="Migliaia 3 3 3 5" xfId="24694" xr:uid="{2F38823D-EC59-4709-8236-1D61AB74006A}"/>
    <cellStyle name="Migliaia 3 3 3 5 2" xfId="33691" xr:uid="{1B2F5A7D-6BEB-4D81-A90D-F9D50ED8626A}"/>
    <cellStyle name="Migliaia 3 3 3 5 2 2" xfId="39170" xr:uid="{90404E96-A3F1-4A4A-B76C-37AE0E80BDB8}"/>
    <cellStyle name="Migliaia 3 3 3 5 2 3" xfId="44472" xr:uid="{E2BCC2E0-D09C-43A5-BCDA-A45BB733C645}"/>
    <cellStyle name="Migliaia 3 3 3 5 3" xfId="36620" xr:uid="{5D5A61E7-857E-4D07-9EA2-7600FB185F7B}"/>
    <cellStyle name="Migliaia 3 3 3 5 4" xfId="41821" xr:uid="{0767C00B-C372-41E8-AFD7-1A075413F364}"/>
    <cellStyle name="Migliaia 3 3 3 6" xfId="33687" xr:uid="{D935B067-835B-4B02-9508-182444BEB9CC}"/>
    <cellStyle name="Migliaia 3 3 3 6 2" xfId="39166" xr:uid="{EDD0AF12-81A8-47E1-800C-980D05B4861D}"/>
    <cellStyle name="Migliaia 3 3 3 6 3" xfId="44468" xr:uid="{9EE1C662-A755-452C-8E8C-2EB7366D014B}"/>
    <cellStyle name="Migliaia 3 3 3 7" xfId="36617" xr:uid="{6B003B78-840E-4B83-9B8F-1D3E353A3EF2}"/>
    <cellStyle name="Migliaia 3 3 3 8" xfId="41817" xr:uid="{99CE0D42-D29B-4134-9DD6-313E35EE2D63}"/>
    <cellStyle name="Migliaia 3 3 3 9" xfId="16352" xr:uid="{81E3DC39-C40D-4DFD-A76A-07B61E578627}"/>
    <cellStyle name="Migliaia 3 3 4" xfId="3464" xr:uid="{BAA301AE-E3CA-4AFD-A0EF-3D676E66D36A}"/>
    <cellStyle name="Migliaia 3 3 4 2" xfId="5190" xr:uid="{069B1F6C-6CB9-43AA-9A36-EBEED952C0FD}"/>
    <cellStyle name="Migliaia 3 3 4 2 2" xfId="14445" xr:uid="{F1AAC87B-9643-448F-A2C1-B6C4715836F9}"/>
    <cellStyle name="Migliaia 3 3 4 2 3" xfId="18629" xr:uid="{E5B25BB5-4EB8-4E8E-8F68-0D62E36781F6}"/>
    <cellStyle name="Migliaia 3 3 4 2 4" xfId="20316" xr:uid="{CB8B0FE5-64F4-42CD-8633-611289D250BB}"/>
    <cellStyle name="Migliaia 3 3 4 2 5" xfId="32365" xr:uid="{3E73F2CE-68DA-45B2-AEDD-EAD508B577FB}"/>
    <cellStyle name="Migliaia 3 3 4 2 6" xfId="16355" xr:uid="{C221C57F-8ED0-4FDD-B29B-40EDEE2536B5}"/>
    <cellStyle name="Migliaia 3 3 4 2 7" xfId="8868" xr:uid="{E80D8704-2E9E-49BB-989B-340E4CC6A685}"/>
    <cellStyle name="Migliaia 3 3 4 3" xfId="6392" xr:uid="{8DA30CE9-87B0-4E1C-AC32-2131246D7D4B}"/>
    <cellStyle name="Migliaia 3 3 4 3 2" xfId="35279" xr:uid="{992C9B7B-EC64-40B6-BBF2-8A92086E5896}"/>
    <cellStyle name="Migliaia 3 3 4 3 2 2" xfId="40439" xr:uid="{F48EF38B-37AA-4B73-B4FC-7EE1FBE77799}"/>
    <cellStyle name="Migliaia 3 3 4 3 2 3" xfId="45741" xr:uid="{10DE1362-4A19-403C-859F-83026122EE12}"/>
    <cellStyle name="Migliaia 3 3 4 3 3" xfId="37788" xr:uid="{E24BEB68-6D6E-4D9C-B1BB-69111C304977}"/>
    <cellStyle name="Migliaia 3 3 4 3 4" xfId="43090" xr:uid="{81627C49-E0FF-4D48-9D56-855841A749E2}"/>
    <cellStyle name="Migliaia 3 3 4 3 5" xfId="13693" xr:uid="{7370B8C6-EC38-4FA9-AEEA-12C80CD34105}"/>
    <cellStyle name="Migliaia 3 3 4 4" xfId="20315" xr:uid="{68677376-CA3D-45EB-AAD3-D14B46309A55}"/>
    <cellStyle name="Migliaia 3 3 4 4 2" xfId="39171" xr:uid="{63858BDD-64E1-4C83-B466-D1AF4ADF35C4}"/>
    <cellStyle name="Migliaia 3 3 4 4 3" xfId="44473" xr:uid="{9D95A827-A764-4A99-9897-36C89BFE5099}"/>
    <cellStyle name="Migliaia 3 3 4 4 4" xfId="33692" xr:uid="{2F8C457B-637E-4A5A-A51D-EF63AEF00BAE}"/>
    <cellStyle name="Migliaia 3 3 4 5" xfId="36621" xr:uid="{17D546FC-00AD-46E0-9C2B-35C19AEEDB18}"/>
    <cellStyle name="Migliaia 3 3 4 6" xfId="41822" xr:uid="{0291337B-D1E1-49E5-BA29-DCC4C8BC6D04}"/>
    <cellStyle name="Migliaia 3 3 4 7" xfId="16354" xr:uid="{FA6D766F-29A5-4678-8138-BBD3C49D1A60}"/>
    <cellStyle name="Migliaia 3 3 4 8" xfId="7678" xr:uid="{7ABEC152-F533-4A76-983B-9AB127BB5DC9}"/>
    <cellStyle name="Migliaia 3 3 5" xfId="3465" xr:uid="{019CD801-8798-4873-A440-DC02A2139D32}"/>
    <cellStyle name="Migliaia 3 3 5 2" xfId="5191" xr:uid="{4F37E8FC-0B0B-4259-AF50-5936F8910B42}"/>
    <cellStyle name="Migliaia 3 3 5 2 2" xfId="35280" xr:uid="{7A390054-80E3-454D-B5B2-833DBA00DC8B}"/>
    <cellStyle name="Migliaia 3 3 5 2 2 2" xfId="40440" xr:uid="{32D6AB56-76AA-432D-BDC6-BE84DA1365C2}"/>
    <cellStyle name="Migliaia 3 3 5 2 2 3" xfId="45742" xr:uid="{DF3588F8-24B5-417B-AF27-FD43945600C3}"/>
    <cellStyle name="Migliaia 3 3 5 2 3" xfId="37789" xr:uid="{65CC9088-1AC2-4AB2-B356-9A4155BE310C}"/>
    <cellStyle name="Migliaia 3 3 5 2 4" xfId="43091" xr:uid="{A301C6AF-2F65-4C4F-B883-B329B6E4899D}"/>
    <cellStyle name="Migliaia 3 3 5 2 5" xfId="14247" xr:uid="{23D8990C-BA96-4058-9E66-70A1BCA92D51}"/>
    <cellStyle name="Migliaia 3 3 5 3" xfId="6393" xr:uid="{9DCC49B3-FF78-4749-8E6A-E9096820A8EF}"/>
    <cellStyle name="Migliaia 3 3 5 3 2" xfId="39172" xr:uid="{D3FC221E-804E-4544-8868-AA5D0B52A434}"/>
    <cellStyle name="Migliaia 3 3 5 3 3" xfId="44474" xr:uid="{4FD9E524-E45C-41DC-B225-5E4BE9096E07}"/>
    <cellStyle name="Migliaia 3 3 5 3 4" xfId="33693" xr:uid="{E2E7533B-B5D1-481D-A0C3-4E77E4374792}"/>
    <cellStyle name="Migliaia 3 3 5 3 5" xfId="20317" xr:uid="{D4FF9AB3-596B-4E96-8A7A-A47E37C522DE}"/>
    <cellStyle name="Migliaia 3 3 5 4" xfId="36622" xr:uid="{13FFFC86-FF1B-4DDD-8BEE-3FE706A18B02}"/>
    <cellStyle name="Migliaia 3 3 5 5" xfId="41823" xr:uid="{9C33ACDD-DC83-460F-A7C7-00C4F1FA5A29}"/>
    <cellStyle name="Migliaia 3 3 5 6" xfId="16356" xr:uid="{81EFC9E0-421F-4BF2-8A2C-0E963759CC76}"/>
    <cellStyle name="Migliaia 3 3 5 7" xfId="8309" xr:uid="{5EBA2F4A-8A9A-4F44-B54C-624476435349}"/>
    <cellStyle name="Migliaia 3 3 6" xfId="5186" xr:uid="{1F9378BD-F0CE-4AFE-981F-85303D4B1B12}"/>
    <cellStyle name="Migliaia 3 3 6 2" xfId="13952" xr:uid="{A11DABE8-EF14-4552-BC8D-4B49962CDC5E}"/>
    <cellStyle name="Migliaia 3 3 6 2 2" xfId="39173" xr:uid="{C3D42771-7B10-482B-A5DA-DBE032CF7954}"/>
    <cellStyle name="Migliaia 3 3 6 2 3" xfId="44475" xr:uid="{31084D39-5FEA-4686-BD77-EE33F9C73381}"/>
    <cellStyle name="Migliaia 3 3 6 3" xfId="18711" xr:uid="{38F29D08-6777-46A1-A3C8-E229AF67FBF6}"/>
    <cellStyle name="Migliaia 3 3 6 4" xfId="20318" xr:uid="{6CB77CEE-9A0A-450A-8E04-EA60D8BE1065}"/>
    <cellStyle name="Migliaia 3 3 6 4 2" xfId="41824" xr:uid="{8A3B452F-E045-4047-98CE-E07BC171EA51}"/>
    <cellStyle name="Migliaia 3 3 6 5" xfId="16357" xr:uid="{EDD67C8F-3E1F-4F73-B3F6-13FF470A9B5E}"/>
    <cellStyle name="Migliaia 3 3 6 6" xfId="7912" xr:uid="{39D90862-22C6-41B0-A347-09C63FF12D41}"/>
    <cellStyle name="Migliaia 3 3 7" xfId="6388" xr:uid="{0A8CB196-FFAE-4AF3-B7A6-6846AA5783DE}"/>
    <cellStyle name="Migliaia 3 3 7 2" xfId="33695" xr:uid="{F678B701-DBF3-44BF-87B8-5A27A1D01E75}"/>
    <cellStyle name="Migliaia 3 3 7 2 2" xfId="39174" xr:uid="{6DD6CA7B-F1D9-436E-BFFD-AE543355F7CD}"/>
    <cellStyle name="Migliaia 3 3 7 2 3" xfId="44476" xr:uid="{886187D9-52D8-4430-85BB-07D10A04A309}"/>
    <cellStyle name="Migliaia 3 3 7 3" xfId="36624" xr:uid="{B3414B74-338D-42A6-A42F-D592777D4A3C}"/>
    <cellStyle name="Migliaia 3 3 7 4" xfId="41825" xr:uid="{9F19B4FF-BF4C-4181-9FC4-8DB919B4074D}"/>
    <cellStyle name="Migliaia 3 3 7 5" xfId="11533" xr:uid="{6C22B07D-3178-4E73-A18C-20F3CEDAE337}"/>
    <cellStyle name="Migliaia 3 3 8" xfId="3460" xr:uid="{C67196E2-779F-4FB2-8A30-62728AB3F337}"/>
    <cellStyle name="Migliaia 3 3 8 2" xfId="33696" xr:uid="{0E5C9AC2-4E09-466D-9B31-0E8388105D72}"/>
    <cellStyle name="Migliaia 3 3 8 2 2" xfId="39175" xr:uid="{750EDEEB-A444-4F47-AB9F-68D47076593F}"/>
    <cellStyle name="Migliaia 3 3 8 2 3" xfId="44477" xr:uid="{40BBE034-935F-429E-938F-26E3DEA06BFD}"/>
    <cellStyle name="Migliaia 3 3 8 3" xfId="36625" xr:uid="{363267C5-1ECB-47FD-ABB4-B3F42CDC63B2}"/>
    <cellStyle name="Migliaia 3 3 8 4" xfId="41826" xr:uid="{53DDDFF2-07BE-4F5A-880C-772F3937B667}"/>
    <cellStyle name="Migliaia 3 3 8 5" xfId="24699" xr:uid="{086ECB13-FE67-40B5-A902-17DA66794A40}"/>
    <cellStyle name="Migliaia 3 3 8 6" xfId="17361" xr:uid="{B2DC390D-8AAA-4AC7-90CC-76D5D6552E6C}"/>
    <cellStyle name="Migliaia 3 3 9" xfId="20309" xr:uid="{6359BB81-A13F-4429-8218-373E30F13594}"/>
    <cellStyle name="Migliaia 3 4" xfId="1768" xr:uid="{00000000-0005-0000-0000-00008B030000}"/>
    <cellStyle name="Migliaia 3 4 2" xfId="1769" xr:uid="{00000000-0005-0000-0000-00008C030000}"/>
    <cellStyle name="Migliaia 3 4 2 2" xfId="5193" xr:uid="{A564E769-FD81-45C0-BEBB-17C7E2C1D8C2}"/>
    <cellStyle name="Migliaia 3 4 2 2 2" xfId="33697" xr:uid="{FD962DAF-DE5D-4038-8B3C-557DE38BB2D0}"/>
    <cellStyle name="Migliaia 3 4 2 2 2 2" xfId="39176" xr:uid="{A628B557-010E-4C97-B854-DB5E7B70F3A8}"/>
    <cellStyle name="Migliaia 3 4 2 2 2 3" xfId="44478" xr:uid="{99A60E4A-6FA3-44CF-9013-AB96A7547F48}"/>
    <cellStyle name="Migliaia 3 4 2 2 3" xfId="36626" xr:uid="{3335F2FE-1F9C-4CEE-8BE2-8D702BBDCB0F}"/>
    <cellStyle name="Migliaia 3 4 2 2 4" xfId="41827" xr:uid="{B6F93E0F-B64E-48CA-9FEF-08CAFF3EDF21}"/>
    <cellStyle name="Migliaia 3 4 2 2 5" xfId="9152" xr:uid="{9368C483-28FF-4BC4-99B0-5057210789C3}"/>
    <cellStyle name="Migliaia 3 4 2 3" xfId="3467" xr:uid="{36AF4895-E38A-4A0B-A123-7AE1C8AEB9A0}"/>
    <cellStyle name="Migliaia 3 4 2 3 2" xfId="33698" xr:uid="{429B6CA6-D007-4C3E-BBB4-A24FAB52CC83}"/>
    <cellStyle name="Migliaia 3 4 2 3 2 2" xfId="39177" xr:uid="{3F25E891-9F50-4912-926A-E8E8DA74C194}"/>
    <cellStyle name="Migliaia 3 4 2 3 2 3" xfId="44479" xr:uid="{1797CDD7-B282-40E9-BDA4-E60163AAB287}"/>
    <cellStyle name="Migliaia 3 4 2 3 3" xfId="36627" xr:uid="{B5B3974A-7538-42ED-AE51-A35FAD364844}"/>
    <cellStyle name="Migliaia 3 4 2 3 4" xfId="41828" xr:uid="{5C40F312-8B59-4272-88D1-400582DE589F}"/>
    <cellStyle name="Migliaia 3 4 2 3 5" xfId="11977" xr:uid="{DD7D929F-FA7F-42AA-8FF6-71E88D725FF1}"/>
    <cellStyle name="Migliaia 3 4 2 4" xfId="11326" xr:uid="{C640A895-2CBB-4F5E-958E-77302F129920}"/>
    <cellStyle name="Migliaia 3 4 2 5" xfId="10846" xr:uid="{396D8BB3-DA56-42D3-A4EC-B5C02F5D7803}"/>
    <cellStyle name="Migliaia 3 4 2 5 2" xfId="21481" xr:uid="{3F83ED35-FD7B-45FA-9ECA-616851921836}"/>
    <cellStyle name="Migliaia 3 4 2 5 3" xfId="48175" xr:uid="{6D334D53-F800-4A59-8A73-29D976FF0697}"/>
    <cellStyle name="Migliaia 3 4 2 5 4" xfId="50496" xr:uid="{77CE1EAE-D84B-47D3-B363-80034987BF34}"/>
    <cellStyle name="Migliaia 3 4 2 5 5" xfId="53512" xr:uid="{F9EE0991-7E45-4FC8-843B-E335DE83293D}"/>
    <cellStyle name="Migliaia 3 4 2 6" xfId="20320" xr:uid="{F6405070-5490-4899-93F0-83D48614CF4D}"/>
    <cellStyle name="Migliaia 3 4 2 7" xfId="24701" xr:uid="{19668173-D101-4609-9DF9-B336AED9BB08}"/>
    <cellStyle name="Migliaia 3 4 2 8" xfId="8616" xr:uid="{2E867466-53AE-4632-B220-03DC7BBD460C}"/>
    <cellStyle name="Migliaia 3 4 3" xfId="5192" xr:uid="{30D7D6A2-970B-4653-B28C-35B032A06BF2}"/>
    <cellStyle name="Migliaia 3 4 3 2" xfId="18207" xr:uid="{90E318B1-B302-4372-864C-F892B14975BF}"/>
    <cellStyle name="Migliaia 3 4 3 2 2" xfId="39178" xr:uid="{7C4CFFC1-0CF0-49CF-A843-FE8DF11E8768}"/>
    <cellStyle name="Migliaia 3 4 3 2 3" xfId="44480" xr:uid="{E248DD50-C038-41F2-8AA2-114378BD86F1}"/>
    <cellStyle name="Migliaia 3 4 3 3" xfId="36628" xr:uid="{164A3B73-02A6-4DAF-85B0-9A0E374CBD64}"/>
    <cellStyle name="Migliaia 3 4 3 4" xfId="41829" xr:uid="{99F8A7EC-B325-4BF7-909E-C5D67AF66117}"/>
    <cellStyle name="Migliaia 3 4 3 5" xfId="17359" xr:uid="{51FAC5A7-3DB7-4559-A578-E2273591CB5D}"/>
    <cellStyle name="Migliaia 3 4 3 6" xfId="9153" xr:uid="{C4DB589D-BE25-45C4-B790-DBE0BC2C769C}"/>
    <cellStyle name="Migliaia 3 4 4" xfId="6394" xr:uid="{2EBE0C0D-9838-400B-8F84-C8BB1DA31543}"/>
    <cellStyle name="Migliaia 3 4 4 2" xfId="33699" xr:uid="{938F3AE5-51D7-4B89-AFF3-AF79CB714313}"/>
    <cellStyle name="Migliaia 3 4 4 2 2" xfId="39179" xr:uid="{91727B8A-160D-4CEF-A5B2-AE63D37A14A9}"/>
    <cellStyle name="Migliaia 3 4 4 2 3" xfId="44481" xr:uid="{328556B1-F689-48EA-B718-0A06F73C37F2}"/>
    <cellStyle name="Migliaia 3 4 4 3" xfId="36629" xr:uid="{CB31F075-64CC-4799-BE7D-C08F1972013E}"/>
    <cellStyle name="Migliaia 3 4 4 4" xfId="41830" xr:uid="{A48C804E-D2EC-4D69-A779-044D6533C19E}"/>
    <cellStyle name="Migliaia 3 4 4 5" xfId="11978" xr:uid="{6E9E02F0-4093-4071-B333-4B9445ED63F5}"/>
    <cellStyle name="Migliaia 3 4 5" xfId="3466" xr:uid="{680B88CC-4A18-45B7-AA01-8DAA1C18E905}"/>
    <cellStyle name="Migliaia 3 4 5 2" xfId="33700" xr:uid="{35CFF1C1-A380-4BD6-B6DC-CA0A1F0CBBDC}"/>
    <cellStyle name="Migliaia 3 4 5 2 2" xfId="39180" xr:uid="{44A79C15-BD5B-4092-9C4C-9ACC7A1008F0}"/>
    <cellStyle name="Migliaia 3 4 5 2 3" xfId="44482" xr:uid="{C6878E35-AB63-47E8-83CF-49679A15562E}"/>
    <cellStyle name="Migliaia 3 4 5 3" xfId="36630" xr:uid="{FCABF2F0-E3C3-412B-AF1C-997ABD41CA60}"/>
    <cellStyle name="Migliaia 3 4 5 4" xfId="41831" xr:uid="{83F71F4A-6626-478B-9734-87E55D1EDF40}"/>
    <cellStyle name="Migliaia 3 4 5 5" xfId="11325" xr:uid="{4BA10DB9-6B61-45BF-B2F3-B33E69884ED1}"/>
    <cellStyle name="Migliaia 3 4 6" xfId="10845" xr:uid="{EBC0200F-930A-4120-ABAC-C79F97EFC918}"/>
    <cellStyle name="Migliaia 3 4 6 2" xfId="21480" xr:uid="{67377AA1-A8EE-4EAE-8B6A-00BF11FC759F}"/>
    <cellStyle name="Migliaia 3 4 6 2 2" xfId="39181" xr:uid="{789BEA12-02CD-4D5D-A90B-391FA831AB4D}"/>
    <cellStyle name="Migliaia 3 4 6 2 3" xfId="44483" xr:uid="{2AC460B3-F6E7-49DF-B380-AEB763C364D7}"/>
    <cellStyle name="Migliaia 3 4 6 2 4" xfId="33701" xr:uid="{970D1DDA-9238-45E0-8518-16290D789953}"/>
    <cellStyle name="Migliaia 3 4 6 3" xfId="36631" xr:uid="{512A4744-55B6-4304-982A-1002FCA3E9A2}"/>
    <cellStyle name="Migliaia 3 4 6 4" xfId="41832" xr:uid="{7F3E4E87-B72A-4B4C-AE7B-FA5DF4D5973A}"/>
    <cellStyle name="Migliaia 3 4 6 5" xfId="24703" xr:uid="{BD184D32-722A-4B27-BEFB-449EEC0E26F8}"/>
    <cellStyle name="Migliaia 3 4 6 6" xfId="46236" xr:uid="{CEB4A5E5-9C95-4F4E-8471-3D92F0A5431F}"/>
    <cellStyle name="Migliaia 3 4 6 7" xfId="50495" xr:uid="{F0249087-0F0E-4AFB-8B88-D316867D6BC1}"/>
    <cellStyle name="Migliaia 3 4 6 8" xfId="53511" xr:uid="{6245667E-F4DC-469B-B048-C2EBFC3FFCBA}"/>
    <cellStyle name="Migliaia 3 4 7" xfId="20319" xr:uid="{D3C24A24-E720-4E2B-BA7F-215797B1E793}"/>
    <cellStyle name="Migliaia 3 4 7 2" xfId="33702" xr:uid="{441940E3-5C75-4024-918E-A41BB7E2950A}"/>
    <cellStyle name="Migliaia 3 4 7 2 2" xfId="39182" xr:uid="{3419C61B-E4A2-4303-B3F7-44058A0F3713}"/>
    <cellStyle name="Migliaia 3 4 7 2 3" xfId="44484" xr:uid="{1ECCD9E3-081B-463C-BA5A-C90349E128EF}"/>
    <cellStyle name="Migliaia 3 4 7 3" xfId="36632" xr:uid="{3E0060F0-868A-4A56-9A0F-2D174CE8D05C}"/>
    <cellStyle name="Migliaia 3 4 7 4" xfId="41833" xr:uid="{923303D7-91C6-4AFB-92C6-827F8E86A111}"/>
    <cellStyle name="Migliaia 3 4 7 5" xfId="24704" xr:uid="{560377CB-379D-47FD-B246-A7E9A91474CF}"/>
    <cellStyle name="Migliaia 3 4 8" xfId="24700" xr:uid="{38759BD4-B122-4C14-A520-511CE6FD73E8}"/>
    <cellStyle name="Migliaia 3 4 9" xfId="7426" xr:uid="{58A9AB9C-72C0-4B6F-A760-A67F8A73A8C1}"/>
    <cellStyle name="Migliaia 3 5" xfId="1770" xr:uid="{00000000-0005-0000-0000-00008D030000}"/>
    <cellStyle name="Migliaia 3 5 2" xfId="5194" xr:uid="{361FAFC9-C77C-4E34-AFEB-AC924678CAEC}"/>
    <cellStyle name="Migliaia 3 5 2 2" xfId="18430" xr:uid="{A4B92E2A-F1BC-4C8C-BF18-DF20650D6378}"/>
    <cellStyle name="Migliaia 3 5 2 2 2" xfId="39183" xr:uid="{67F91702-4D85-403C-B5EC-1AEC898E2F96}"/>
    <cellStyle name="Migliaia 3 5 2 2 3" xfId="44485" xr:uid="{E34A25D9-8C48-419D-A485-BDA720D49F6B}"/>
    <cellStyle name="Migliaia 3 5 2 3" xfId="20322" xr:uid="{C0BD6DA7-57F0-4ED3-B6C5-F3C02BEF5A48}"/>
    <cellStyle name="Migliaia 3 5 2 3 2" xfId="36633" xr:uid="{9E1D9A7A-30A0-4F23-8F0A-E8BCFDBD53D4}"/>
    <cellStyle name="Migliaia 3 5 2 4" xfId="41834" xr:uid="{F7BACEA2-38AB-45D4-AE67-FEDF3BB9F627}"/>
    <cellStyle name="Migliaia 3 5 2 5" xfId="16358" xr:uid="{24E6615C-96E5-4DBB-9721-B6A15B28EC84}"/>
    <cellStyle name="Migliaia 3 5 2 6" xfId="8617" xr:uid="{DEE80F0E-A2FA-4EE5-B760-930FA4081756}"/>
    <cellStyle name="Migliaia 3 5 3" xfId="6395" xr:uid="{6E907510-C89F-4C2B-90F2-964E57875C83}"/>
    <cellStyle name="Migliaia 3 5 3 2" xfId="33703" xr:uid="{7A612C04-CCAA-4D82-82D3-A1131C92CA1F}"/>
    <cellStyle name="Migliaia 3 5 3 2 2" xfId="39184" xr:uid="{34916EBE-8EA4-4F80-8388-04F500306E12}"/>
    <cellStyle name="Migliaia 3 5 3 2 3" xfId="44486" xr:uid="{BC2AB61D-D0EA-4882-AC4C-55DB00091259}"/>
    <cellStyle name="Migliaia 3 5 3 3" xfId="36634" xr:uid="{A625CD62-0657-4E99-AE10-0558F5494690}"/>
    <cellStyle name="Migliaia 3 5 3 4" xfId="41835" xr:uid="{65C114FD-2C34-43E6-B1C5-BCEA87D6D96A}"/>
    <cellStyle name="Migliaia 3 5 3 5" xfId="11327" xr:uid="{EC9F47D1-3E58-4DA7-8BF0-694080739E71}"/>
    <cellStyle name="Migliaia 3 5 4" xfId="3468" xr:uid="{A2117492-3F90-45F0-9A32-748A119FF68F}"/>
    <cellStyle name="Migliaia 3 5 4 2" xfId="21482" xr:uid="{DD9885F8-04D2-4D66-848E-8EEE03BFD8B3}"/>
    <cellStyle name="Migliaia 3 5 4 2 2" xfId="39185" xr:uid="{A0889CC1-BC3F-434E-9C44-B2249AFD1807}"/>
    <cellStyle name="Migliaia 3 5 4 2 3" xfId="44487" xr:uid="{3A0C6509-43AD-4DA2-9B47-86DBD146A303}"/>
    <cellStyle name="Migliaia 3 5 4 2 4" xfId="33704" xr:uid="{EA1A558C-B1AC-4942-B5E7-B4A3A1A5B740}"/>
    <cellStyle name="Migliaia 3 5 4 3" xfId="36635" xr:uid="{EBFA679A-F91C-4528-B2AE-AAB3ABB5BB59}"/>
    <cellStyle name="Migliaia 3 5 4 4" xfId="41836" xr:uid="{E26AC524-5278-44A2-B177-0C4B4F786E9E}"/>
    <cellStyle name="Migliaia 3 5 4 5" xfId="24706" xr:uid="{FD29EF66-3822-4F18-8E58-6C000D6E0B17}"/>
    <cellStyle name="Migliaia 3 5 4 6" xfId="46237" xr:uid="{95109588-4A4A-439A-BDCC-B47FF242A3A4}"/>
    <cellStyle name="Migliaia 3 5 4 7" xfId="50497" xr:uid="{0AC77D88-1A54-49DE-84D1-16636192EB17}"/>
    <cellStyle name="Migliaia 3 5 4 8" xfId="53513" xr:uid="{BCBBF797-79C9-421B-A2DE-9EC53AC34DB3}"/>
    <cellStyle name="Migliaia 3 5 4 9" xfId="10847" xr:uid="{11653E26-91E2-4A34-AB1B-1659474BDC3B}"/>
    <cellStyle name="Migliaia 3 5 5" xfId="20321" xr:uid="{F2A8A26E-9798-43DC-94B2-4F49335E31F8}"/>
    <cellStyle name="Migliaia 3 5 5 2" xfId="33705" xr:uid="{01AF6384-4DFF-4AD1-9453-8FCA8470C685}"/>
    <cellStyle name="Migliaia 3 5 5 2 2" xfId="39186" xr:uid="{556C78ED-F934-4460-AB45-8BEAB8F12434}"/>
    <cellStyle name="Migliaia 3 5 5 2 3" xfId="44488" xr:uid="{CC589C5F-B4E0-4EC5-87E2-32F608238DFB}"/>
    <cellStyle name="Migliaia 3 5 5 3" xfId="36636" xr:uid="{77AD42D2-9972-4E65-8379-DB3955F94728}"/>
    <cellStyle name="Migliaia 3 5 5 4" xfId="41837" xr:uid="{C4498518-8557-4462-85A2-67930BB9CC91}"/>
    <cellStyle name="Migliaia 3 5 5 5" xfId="24707" xr:uid="{A7C7BF41-05CC-4761-83DE-6DE6DAC93222}"/>
    <cellStyle name="Migliaia 3 5 6" xfId="24708" xr:uid="{992F9363-4145-4FEC-A9C0-50FEDF1B7EEE}"/>
    <cellStyle name="Migliaia 3 5 6 2" xfId="33706" xr:uid="{B19CD3ED-DA68-4DB8-853E-54E4EBF77859}"/>
    <cellStyle name="Migliaia 3 5 6 2 2" xfId="39187" xr:uid="{8E1B46AF-608B-456C-B2F8-B97CE522CD68}"/>
    <cellStyle name="Migliaia 3 5 6 2 3" xfId="44489" xr:uid="{AE23BB23-04F1-4880-A116-78E084AD7DA0}"/>
    <cellStyle name="Migliaia 3 5 6 3" xfId="36637" xr:uid="{D2B796EE-AF4E-4228-82A3-FADF0DEF4281}"/>
    <cellStyle name="Migliaia 3 5 6 4" xfId="41838" xr:uid="{2A408C04-28C7-4172-B251-74866372C83A}"/>
    <cellStyle name="Migliaia 3 5 7" xfId="24705" xr:uid="{74C0FB94-9A81-430A-9DAB-0E0AB49B40E1}"/>
    <cellStyle name="Migliaia 3 5 8" xfId="7427" xr:uid="{B8EC1D70-0D80-4F30-B13B-D59EF2653609}"/>
    <cellStyle name="Migliaia 3 6" xfId="3469" xr:uid="{D33CD68D-7738-49E8-A484-1006AD8197D5}"/>
    <cellStyle name="Migliaia 3 6 2" xfId="5195" xr:uid="{CBCF6116-F22E-427B-96B1-C1DA7F5AFE6C}"/>
    <cellStyle name="Migliaia 3 6 2 2" xfId="9925" xr:uid="{C6424E07-FEF5-484B-AE65-5E18AB76B502}"/>
    <cellStyle name="Migliaia 3 6 2 3" xfId="18658" xr:uid="{88228A82-24AD-411A-90D0-CF7A3933A02A}"/>
    <cellStyle name="Migliaia 3 6 2 4" xfId="20324" xr:uid="{EEE0E6C4-784E-4D29-A706-34A986DBAA97}"/>
    <cellStyle name="Migliaia 3 6 2 5" xfId="32368" xr:uid="{B3B59532-3210-4695-85B1-1AA01BC5F9B0}"/>
    <cellStyle name="Migliaia 3 6 2 6" xfId="16360" xr:uid="{309B1872-C1AF-48A0-BA93-4912BDA190D1}"/>
    <cellStyle name="Migliaia 3 6 2 7" xfId="8612" xr:uid="{9E7E9B14-A5C3-4495-9F82-D5AC5A9710C0}"/>
    <cellStyle name="Migliaia 3 6 3" xfId="6396" xr:uid="{369E27C9-A187-4C28-BC0C-D1D12E1E5BBD}"/>
    <cellStyle name="Migliaia 3 6 3 2" xfId="35281" xr:uid="{CD2B49EC-5778-4BA8-8BCD-AD62C9F1DE09}"/>
    <cellStyle name="Migliaia 3 6 3 2 2" xfId="40441" xr:uid="{4AEC29A7-FF7B-4880-AD1B-B3DB26B182D5}"/>
    <cellStyle name="Migliaia 3 6 3 2 3" xfId="45743" xr:uid="{6368EBD1-9229-4DFF-8FCD-15EDF40C472F}"/>
    <cellStyle name="Migliaia 3 6 3 3" xfId="37790" xr:uid="{71E26BEF-0626-4F17-9CE7-8D62E32EC048}"/>
    <cellStyle name="Migliaia 3 6 3 4" xfId="43092" xr:uid="{81F120F6-CD39-4376-A26B-C0A42778C4FB}"/>
    <cellStyle name="Migliaia 3 6 3 5" xfId="9688" xr:uid="{69A87F3A-4DAF-4D72-A6BD-4CCF1C096298}"/>
    <cellStyle name="Migliaia 3 6 4" xfId="20323" xr:uid="{3279C1AE-4954-4B0E-9271-4BB156D5B695}"/>
    <cellStyle name="Migliaia 3 6 4 2" xfId="39188" xr:uid="{3E10176E-7EBE-4291-8A36-F3DC9A5B2823}"/>
    <cellStyle name="Migliaia 3 6 4 3" xfId="44490" xr:uid="{42E4F3BE-A6F2-450E-AD61-014B91635077}"/>
    <cellStyle name="Migliaia 3 6 4 4" xfId="33707" xr:uid="{330C66FD-6300-4D45-93AD-79C09A11F946}"/>
    <cellStyle name="Migliaia 3 6 5" xfId="36638" xr:uid="{2C9D3A2F-9290-47E0-A24D-AD9B03BC7269}"/>
    <cellStyle name="Migliaia 3 6 6" xfId="41839" xr:uid="{68B23F4E-0ACC-4C9A-A26F-F048BC0FB8AE}"/>
    <cellStyle name="Migliaia 3 6 7" xfId="16359" xr:uid="{1428987C-C8FE-4FAA-95EC-D38D4991BB86}"/>
    <cellStyle name="Migliaia 3 6 8" xfId="7422" xr:uid="{8D1632F9-027F-4FA4-BB6E-199597B2DB53}"/>
    <cellStyle name="Migliaia 3 7" xfId="3470" xr:uid="{48053378-162A-4E35-9A47-223903F93243}"/>
    <cellStyle name="Migliaia 3 7 2" xfId="5196" xr:uid="{6FF6ADF3-AF9F-4E09-8283-13A4239A16D0}"/>
    <cellStyle name="Migliaia 3 7 2 2" xfId="35282" xr:uid="{EA2DF3DC-A2C7-45D1-A659-2944F01D0FB1}"/>
    <cellStyle name="Migliaia 3 7 2 2 2" xfId="40442" xr:uid="{8290CF28-4E48-47C2-8323-6B73274BD2F6}"/>
    <cellStyle name="Migliaia 3 7 2 2 3" xfId="45744" xr:uid="{E65E8F78-8A6E-4139-95B3-7FC3E11B3FCE}"/>
    <cellStyle name="Migliaia 3 7 2 3" xfId="37791" xr:uid="{2289BDF4-D6AA-4103-94BB-CF1FADD16662}"/>
    <cellStyle name="Migliaia 3 7 2 4" xfId="43093" xr:uid="{5293B9CA-6CCA-4623-90D1-8730270D4735}"/>
    <cellStyle name="Migliaia 3 7 2 5" xfId="14245" xr:uid="{9C07392D-1B76-459D-9516-32C46B14119E}"/>
    <cellStyle name="Migliaia 3 7 3" xfId="6397" xr:uid="{D907F8DC-D21C-4096-A03A-A32A0225056A}"/>
    <cellStyle name="Migliaia 3 7 3 2" xfId="39189" xr:uid="{A0AE4DCB-2AFB-4E98-9B95-527CEF7EAE40}"/>
    <cellStyle name="Migliaia 3 7 3 3" xfId="44491" xr:uid="{F0D3C82D-0FD2-47CA-9A83-FA4B1C201557}"/>
    <cellStyle name="Migliaia 3 7 3 4" xfId="33708" xr:uid="{8DB5A8E2-5FC7-4D45-85F7-149E408AD9BD}"/>
    <cellStyle name="Migliaia 3 7 3 5" xfId="20325" xr:uid="{8AE1EC84-757B-40A7-8680-E0C11EA8AAAB}"/>
    <cellStyle name="Migliaia 3 7 4" xfId="36639" xr:uid="{C453F510-4732-4309-AFE7-4F6BEFCA9260}"/>
    <cellStyle name="Migliaia 3 7 5" xfId="41840" xr:uid="{D55DD9DC-28BE-4D82-ABA9-775EDF57BF44}"/>
    <cellStyle name="Migliaia 3 7 6" xfId="16361" xr:uid="{5FC293CF-1E58-4110-A4AC-8B8BCC52D2B1}"/>
    <cellStyle name="Migliaia 3 7 7" xfId="8307" xr:uid="{E3B612E2-CA31-49BE-9229-FA85BEDAD998}"/>
    <cellStyle name="Migliaia 3 8" xfId="3471" xr:uid="{15D42DEB-56E7-4F21-9728-7E47F2EC2760}"/>
    <cellStyle name="Migliaia 3 8 2" xfId="5197" xr:uid="{88BDFB1F-65C7-473E-9041-2777851976FE}"/>
    <cellStyle name="Migliaia 3 8 2 2" xfId="35283" xr:uid="{BE584D30-E2B0-4B15-89C7-0D2FFBF4E45D}"/>
    <cellStyle name="Migliaia 3 8 2 2 2" xfId="40443" xr:uid="{7B174B7F-EF09-4316-9E09-8DD81ED36751}"/>
    <cellStyle name="Migliaia 3 8 2 2 3" xfId="45745" xr:uid="{0677EA17-3BA2-495F-B89C-6F34273D7BE2}"/>
    <cellStyle name="Migliaia 3 8 2 3" xfId="37792" xr:uid="{911DD4B3-197A-4786-A1F4-425FACB37860}"/>
    <cellStyle name="Migliaia 3 8 2 4" xfId="43094" xr:uid="{316E220E-9FD8-4F7E-8178-52E6C999A421}"/>
    <cellStyle name="Migliaia 3 8 2 5" xfId="13950" xr:uid="{A95846F9-4D5F-453C-8A3D-6057822A3A3D}"/>
    <cellStyle name="Migliaia 3 8 3" xfId="6398" xr:uid="{919FBE93-8F43-42BB-AAB5-F9238F8D905E}"/>
    <cellStyle name="Migliaia 3 8 3 2" xfId="39190" xr:uid="{9201E0D4-0EDB-4AF3-ADA9-B90C3EE038BB}"/>
    <cellStyle name="Migliaia 3 8 3 3" xfId="44492" xr:uid="{AC8A3201-2140-4342-8C6D-4AFDB0FCA236}"/>
    <cellStyle name="Migliaia 3 8 3 4" xfId="33709" xr:uid="{450AE51E-456C-4027-9BEE-60C6B9E1B4CE}"/>
    <cellStyle name="Migliaia 3 8 3 5" xfId="20326" xr:uid="{7152285D-9CB8-4309-921A-56412A2F7619}"/>
    <cellStyle name="Migliaia 3 8 4" xfId="36640" xr:uid="{5D50F8D5-1EBB-4A37-9487-F8647716D360}"/>
    <cellStyle name="Migliaia 3 8 5" xfId="41841" xr:uid="{6F40C837-231E-4827-BCE2-A78833D19D7A}"/>
    <cellStyle name="Migliaia 3 8 6" xfId="16362" xr:uid="{8DAF0B35-08BE-4EF2-B9BD-CBF24819474F}"/>
    <cellStyle name="Migliaia 3 8 7" xfId="7910" xr:uid="{883CB913-6C16-4D0D-8E53-814B405DAC83}"/>
    <cellStyle name="Migliaia 3 9" xfId="5182" xr:uid="{85D40718-79DB-400A-8FC9-21A832BE5A0B}"/>
    <cellStyle name="Migliaia 3 9 2" xfId="33710" xr:uid="{3F62DB1D-C0BB-45A2-AC29-06596BD52680}"/>
    <cellStyle name="Migliaia 3 9 2 2" xfId="39191" xr:uid="{DDD02A27-A743-4278-AFD6-84248B6950ED}"/>
    <cellStyle name="Migliaia 3 9 2 3" xfId="44493" xr:uid="{7B8A0BA7-FBCF-4884-974F-00BBFA451C9B}"/>
    <cellStyle name="Migliaia 3 9 3" xfId="36641" xr:uid="{0C8FB881-5AC3-41CE-BC51-AF575E548189}"/>
    <cellStyle name="Migliaia 3 9 4" xfId="41842" xr:uid="{F99F05D8-F102-4A72-AB50-67A7FCE5BCA0}"/>
    <cellStyle name="Migliaia 3 9 5" xfId="17179" xr:uid="{4E479DE3-D616-4774-8907-5D8DEE44EBEF}"/>
    <cellStyle name="Migliaia 30" xfId="393" xr:uid="{00000000-0005-0000-0000-00008E030000}"/>
    <cellStyle name="Migliaia 30 10" xfId="6399" xr:uid="{A5648ECD-860E-4122-89C8-325B7500BDC5}"/>
    <cellStyle name="Migliaia 30 10 2" xfId="39192" xr:uid="{8F747DBB-0A0C-4696-B389-205DAED82328}"/>
    <cellStyle name="Migliaia 30 10 3" xfId="44494" xr:uid="{004D6E4E-0655-45CC-BDB3-3B9B33D6E3ED}"/>
    <cellStyle name="Migliaia 30 10 4" xfId="33711" xr:uid="{E80FB02C-7AD8-47A4-8F7F-7DC34ACF5C81}"/>
    <cellStyle name="Migliaia 30 10 5" xfId="20327" xr:uid="{4955DF4F-532D-42F7-8A7F-BDDF9F187F81}"/>
    <cellStyle name="Migliaia 30 11" xfId="3472" xr:uid="{454AC107-67C6-4B2C-A5EC-54855A0A005D}"/>
    <cellStyle name="Migliaia 30 11 2" xfId="36642" xr:uid="{BA014391-494C-4949-83B4-D6ACC2F5D65C}"/>
    <cellStyle name="Migliaia 30 12" xfId="41843" xr:uid="{9C9333D2-2823-4ED8-AC20-2AD61AA0D111}"/>
    <cellStyle name="Migliaia 30 13" xfId="7111" xr:uid="{B23ACD30-AFE8-4E0D-9B2A-9DB508A89F80}"/>
    <cellStyle name="Migliaia 30 2" xfId="394" xr:uid="{00000000-0005-0000-0000-00008F030000}"/>
    <cellStyle name="Migliaia 30 2 2" xfId="1771" xr:uid="{00000000-0005-0000-0000-000090030000}"/>
    <cellStyle name="Migliaia 30 2 2 2" xfId="5200" xr:uid="{E0AEA813-7543-48B8-8626-F0535C00C9C9}"/>
    <cellStyle name="Migliaia 30 2 2 2 2" xfId="14386" xr:uid="{7249433E-82D8-4D38-8C41-70A352DC80BD}"/>
    <cellStyle name="Migliaia 30 2 2 2 2 2" xfId="39193" xr:uid="{73526497-DE94-4878-BBD8-2D42DED5496B}"/>
    <cellStyle name="Migliaia 30 2 2 2 2 3" xfId="44495" xr:uid="{FC3B37DE-DB26-45E2-8BD0-A42CC9971059}"/>
    <cellStyle name="Migliaia 30 2 2 2 3" xfId="18431" xr:uid="{F6CCEFF3-A21D-4792-B85F-E405C3559808}"/>
    <cellStyle name="Migliaia 30 2 2 2 4" xfId="20330" xr:uid="{100E6205-9FEC-4D90-8C39-013A4579F07C}"/>
    <cellStyle name="Migliaia 30 2 2 2 4 2" xfId="41844" xr:uid="{C75FEED6-16E1-46CB-AE45-0823AB745D46}"/>
    <cellStyle name="Migliaia 30 2 2 2 5" xfId="16363" xr:uid="{B1A1B54C-6D5C-4B1A-BC66-7C73AB9B8B5B}"/>
    <cellStyle name="Migliaia 30 2 2 2 6" xfId="8619" xr:uid="{D5A6E31F-55F1-429C-A88A-6AB06513A248}"/>
    <cellStyle name="Migliaia 30 2 2 3" xfId="6401" xr:uid="{DA046622-A29E-4DCB-98C4-2FD211D71D1E}"/>
    <cellStyle name="Migliaia 30 2 2 3 2" xfId="35284" xr:uid="{056DA51B-5EBC-4120-8B42-46CEB025AD8B}"/>
    <cellStyle name="Migliaia 30 2 2 3 2 2" xfId="40444" xr:uid="{2F3241A8-52C2-4578-838F-B0875A221A19}"/>
    <cellStyle name="Migliaia 30 2 2 3 2 3" xfId="45746" xr:uid="{ABA0D763-ED03-4864-ABDC-2ACE46165357}"/>
    <cellStyle name="Migliaia 30 2 2 3 3" xfId="37793" xr:uid="{55EFB5E8-5427-4F97-BECE-3DA4185E15D7}"/>
    <cellStyle name="Migliaia 30 2 2 3 4" xfId="43095" xr:uid="{16EB5A2A-3BD2-4B29-83A4-B7122E7EF775}"/>
    <cellStyle name="Migliaia 30 2 2 3 5" xfId="11613" xr:uid="{BEE57005-A71A-4B9F-A41D-B603D40BB359}"/>
    <cellStyle name="Migliaia 30 2 2 4" xfId="3474" xr:uid="{26F018B4-1908-45AB-A65D-CBC9DA6608C9}"/>
    <cellStyle name="Migliaia 30 2 2 4 2" xfId="21483" xr:uid="{D0BBDD07-95BC-4ADE-AA1A-E7A25BB1EB69}"/>
    <cellStyle name="Migliaia 30 2 2 4 3" xfId="24246" xr:uid="{F4A75CCA-AB0E-4852-8A40-A12357B3BA3B}"/>
    <cellStyle name="Migliaia 30 2 2 4 4" xfId="50498" xr:uid="{9FF04DF8-6082-4AE2-874D-63F52098B88B}"/>
    <cellStyle name="Migliaia 30 2 2 4 5" xfId="53514" xr:uid="{554BC12F-1F89-4441-A91F-0222F294B431}"/>
    <cellStyle name="Migliaia 30 2 2 4 6" xfId="10848" xr:uid="{7BA23690-754E-4A64-9B46-82FA47E3F3F4}"/>
    <cellStyle name="Migliaia 30 2 2 5" xfId="20329" xr:uid="{F11EF128-A71E-441A-9A9C-7941B3AD0406}"/>
    <cellStyle name="Migliaia 30 2 2 6" xfId="24711" xr:uid="{E18B8AF1-2C40-4A48-BA54-8975BB5B49EE}"/>
    <cellStyle name="Migliaia 30 2 2 7" xfId="7429" xr:uid="{2A17F788-7F56-4EA0-A58B-EE39E495ED7A}"/>
    <cellStyle name="Migliaia 30 2 3" xfId="3475" xr:uid="{23DEB432-F546-4226-9A47-015B79582893}"/>
    <cellStyle name="Migliaia 30 2 3 2" xfId="5201" xr:uid="{8CF7DF5B-1D03-43BC-AE4F-AF0DFCDED04E}"/>
    <cellStyle name="Migliaia 30 2 3 2 2" xfId="35285" xr:uid="{76C74D0E-831C-4BFB-8FA0-E31006D98853}"/>
    <cellStyle name="Migliaia 30 2 3 2 2 2" xfId="40445" xr:uid="{2AFECBCC-03B2-4843-85F6-97964A87D6F6}"/>
    <cellStyle name="Migliaia 30 2 3 2 2 3" xfId="45747" xr:uid="{1975CD0B-8ECD-4221-8E0C-19F4B5E56A59}"/>
    <cellStyle name="Migliaia 30 2 3 2 3" xfId="37794" xr:uid="{78380FB5-1825-45DA-847A-D8596711A21D}"/>
    <cellStyle name="Migliaia 30 2 3 2 4" xfId="43096" xr:uid="{46C7669F-38CA-4363-AE62-B03E8D4765BD}"/>
    <cellStyle name="Migliaia 30 2 3 2 5" xfId="14249" xr:uid="{9E6E39FB-6A25-40EA-9A15-0AAA53128DE4}"/>
    <cellStyle name="Migliaia 30 2 3 3" xfId="6402" xr:uid="{B5027A94-0D22-4EDF-8B39-D76E154F08CE}"/>
    <cellStyle name="Migliaia 30 2 3 3 2" xfId="39194" xr:uid="{D260EDEC-B10B-4CBC-94F3-17B6C317B9B5}"/>
    <cellStyle name="Migliaia 30 2 3 3 3" xfId="44496" xr:uid="{A4E8B028-4772-472A-9752-833CD68BBD89}"/>
    <cellStyle name="Migliaia 30 2 3 3 4" xfId="33712" xr:uid="{66CAC975-7322-435D-A820-2AE591A83BC9}"/>
    <cellStyle name="Migliaia 30 2 3 3 5" xfId="20331" xr:uid="{ADFA2F69-A015-4D65-8834-D5374C2E5E51}"/>
    <cellStyle name="Migliaia 30 2 3 4" xfId="36643" xr:uid="{39247A37-4CBD-4DD3-BEE8-3CF5C1A043D5}"/>
    <cellStyle name="Migliaia 30 2 3 5" xfId="41845" xr:uid="{7B419655-0CCC-489C-BB3E-C039652ED4DF}"/>
    <cellStyle name="Migliaia 30 2 3 6" xfId="16364" xr:uid="{63924203-70D8-4FA8-8414-81A7FA341005}"/>
    <cellStyle name="Migliaia 30 2 3 7" xfId="8311" xr:uid="{F3EEE0F3-6604-4294-B92F-477E330CABCA}"/>
    <cellStyle name="Migliaia 30 2 4" xfId="5199" xr:uid="{150FD2A8-D660-4FF1-89AE-7C59A8427C69}"/>
    <cellStyle name="Migliaia 30 2 4 2" xfId="13954" xr:uid="{C6C8BF2F-B00A-4A7B-B813-628A66B7CCD7}"/>
    <cellStyle name="Migliaia 30 2 4 2 2" xfId="39195" xr:uid="{3ACDDEE5-7B12-4C9F-9218-888066CD1F5D}"/>
    <cellStyle name="Migliaia 30 2 4 2 3" xfId="44497" xr:uid="{C42F20D0-851C-43C1-A1B0-9DF082BCC607}"/>
    <cellStyle name="Migliaia 30 2 4 3" xfId="18710" xr:uid="{485A5D4B-CB74-4BAB-9101-179D2D1D3F3E}"/>
    <cellStyle name="Migliaia 30 2 4 4" xfId="20332" xr:uid="{82E14BE6-683F-4840-808C-D37FED1AA136}"/>
    <cellStyle name="Migliaia 30 2 4 4 2" xfId="41846" xr:uid="{25EAEAE7-F8E0-40AE-AC69-4710B0FB1620}"/>
    <cellStyle name="Migliaia 30 2 4 5" xfId="16365" xr:uid="{53F87EDF-8A43-438B-98C7-B24AEF5447D1}"/>
    <cellStyle name="Migliaia 30 2 4 6" xfId="7915" xr:uid="{83743459-BC46-477C-BB85-634A32D8D44E}"/>
    <cellStyle name="Migliaia 30 2 5" xfId="6400" xr:uid="{D5660956-E602-4205-87D5-0C3D81427E79}"/>
    <cellStyle name="Migliaia 30 2 5 2" xfId="33713" xr:uid="{5C5E4AC4-E4FE-499F-87E9-D7911141773E}"/>
    <cellStyle name="Migliaia 30 2 5 2 2" xfId="39196" xr:uid="{9AF3A426-0344-4277-80F2-4F2CF9D7D646}"/>
    <cellStyle name="Migliaia 30 2 5 2 3" xfId="44498" xr:uid="{BAB41C4C-E4C9-48B2-9A13-A77A9568A823}"/>
    <cellStyle name="Migliaia 30 2 5 3" xfId="36644" xr:uid="{4FD60243-636F-4674-8C38-77F30ACE5708}"/>
    <cellStyle name="Migliaia 30 2 5 4" xfId="41847" xr:uid="{E2BCEBD6-9375-4AD2-B52A-617E6D5B600D}"/>
    <cellStyle name="Migliaia 30 2 5 5" xfId="13126" xr:uid="{477E10E1-523A-465D-A5F9-8AA817B024A5}"/>
    <cellStyle name="Migliaia 30 2 6" xfId="3473" xr:uid="{82706221-2683-4664-96EA-B4FB27BBB7E2}"/>
    <cellStyle name="Migliaia 30 2 6 2" xfId="33714" xr:uid="{2DF0CE6E-4D9B-45B8-B423-B6F398EC934C}"/>
    <cellStyle name="Migliaia 30 2 6 2 2" xfId="39197" xr:uid="{57B718D8-1186-4C06-AA82-0A636250EC1D}"/>
    <cellStyle name="Migliaia 30 2 6 2 3" xfId="44499" xr:uid="{AB704346-B3BF-42D7-AF25-7D2C84C922CD}"/>
    <cellStyle name="Migliaia 30 2 6 3" xfId="36645" xr:uid="{FBDA71A9-F22F-4523-90C4-255FF58AFECF}"/>
    <cellStyle name="Migliaia 30 2 6 4" xfId="41848" xr:uid="{317AFB63-6FF1-4752-8CB7-7CA6F44D24B4}"/>
    <cellStyle name="Migliaia 30 2 6 5" xfId="24712" xr:uid="{6AE27751-4701-4CD6-B331-9987EE62D99A}"/>
    <cellStyle name="Migliaia 30 2 6 6" xfId="20328" xr:uid="{21408A80-4A40-4D25-BDE4-18707469DCFA}"/>
    <cellStyle name="Migliaia 30 2 7" xfId="24710" xr:uid="{551E7B3B-65A7-4DCF-A2B7-4B0F802D7629}"/>
    <cellStyle name="Migliaia 30 2 8" xfId="7112" xr:uid="{42A92627-6D26-4ECD-9891-CA69BC72EB51}"/>
    <cellStyle name="Migliaia 30 3" xfId="395" xr:uid="{00000000-0005-0000-0000-000091030000}"/>
    <cellStyle name="Migliaia 30 3 10" xfId="24713" xr:uid="{FED73AAC-B04C-42F1-ADF5-0EB5B4EBDB3B}"/>
    <cellStyle name="Migliaia 30 3 11" xfId="16366" xr:uid="{59B4B393-DF20-49A2-AE60-C21532A3C109}"/>
    <cellStyle name="Migliaia 30 3 12" xfId="7113" xr:uid="{5FD84C13-E3DA-496D-85AE-CB880367A4A1}"/>
    <cellStyle name="Migliaia 30 3 2" xfId="396" xr:uid="{00000000-0005-0000-0000-000092030000}"/>
    <cellStyle name="Migliaia 30 3 2 2" xfId="1772" xr:uid="{00000000-0005-0000-0000-000093030000}"/>
    <cellStyle name="Migliaia 30 3 2 2 2" xfId="5204" xr:uid="{7D6B1815-EA21-468F-B290-F2087F9DCDCA}"/>
    <cellStyle name="Migliaia 30 3 2 2 2 2" xfId="18432" xr:uid="{A5E2DA12-22EE-4E57-B535-8A51D84C6C8E}"/>
    <cellStyle name="Migliaia 30 3 2 2 2 2 2" xfId="21864" xr:uid="{1B7B7826-7CAE-48B8-8262-99D41D49B05D}"/>
    <cellStyle name="Migliaia 30 3 2 2 2 2 2 2" xfId="39198" xr:uid="{E130DDB2-E654-445F-B791-4338E06607EE}"/>
    <cellStyle name="Migliaia 30 3 2 2 2 2 3" xfId="44500" xr:uid="{7519C82E-7635-4C16-953E-B9C47C7722A5}"/>
    <cellStyle name="Migliaia 30 3 2 2 2 2 4" xfId="33715" xr:uid="{C472D08C-D465-45F3-82F3-51C543F4FC15}"/>
    <cellStyle name="Migliaia 30 3 2 2 2 3" xfId="36646" xr:uid="{3FDE9353-96B3-41E2-ABA8-9923AB02D8E1}"/>
    <cellStyle name="Migliaia 30 3 2 2 2 4" xfId="41849" xr:uid="{16E2314A-4CC4-40F1-B0D5-D8DDD9C9C0EA}"/>
    <cellStyle name="Migliaia 30 3 2 2 2 5" xfId="46746" xr:uid="{446E29C4-50F2-49E2-9483-A8BFE3849F76}"/>
    <cellStyle name="Migliaia 30 3 2 2 2 6" xfId="50892" xr:uid="{D0F9E053-73C8-4D25-8122-0B9DF721FF40}"/>
    <cellStyle name="Migliaia 30 3 2 2 2 7" xfId="53908" xr:uid="{50198887-2141-481A-9664-B11C6367F73E}"/>
    <cellStyle name="Migliaia 30 3 2 2 2 8" xfId="17661" xr:uid="{D98E0DAF-BA31-4D9E-838E-6C2A1C85CFDF}"/>
    <cellStyle name="Migliaia 30 3 2 2 2 9" xfId="11979" xr:uid="{87F1F3E8-D03B-4C5A-95EF-6C9F6BEF7067}"/>
    <cellStyle name="Migliaia 30 3 2 2 3" xfId="6405" xr:uid="{BD21E60F-67DE-4E42-9B82-27723192E713}"/>
    <cellStyle name="Migliaia 30 3 2 2 3 2" xfId="11560" xr:uid="{D7BFF263-50ED-48AC-942F-ADAE8A4E0C8B}"/>
    <cellStyle name="Migliaia 30 3 2 2 4" xfId="3478" xr:uid="{B9AE7AE0-3EE4-4628-B7A0-53212959F676}"/>
    <cellStyle name="Migliaia 30 3 2 2 4 2" xfId="21484" xr:uid="{FC5A4806-0DD4-4CC9-9FDA-82D59F5C8131}"/>
    <cellStyle name="Migliaia 30 3 2 2 4 3" xfId="46238" xr:uid="{1A9939A2-55B1-49B1-BC46-39941D6CDDBD}"/>
    <cellStyle name="Migliaia 30 3 2 2 4 4" xfId="50499" xr:uid="{A41A48FC-FB80-4B2D-9F78-A57B29D18497}"/>
    <cellStyle name="Migliaia 30 3 2 2 4 5" xfId="53515" xr:uid="{5A7BE3AC-3C56-4CD4-B948-631F180ECFB0}"/>
    <cellStyle name="Migliaia 30 3 2 2 4 6" xfId="10849" xr:uid="{841AE8E6-929D-483E-8420-A377FC2AEBBE}"/>
    <cellStyle name="Migliaia 30 3 2 2 5" xfId="20335" xr:uid="{E9CFA853-ECE0-46FB-B8E9-DA63EE433DAF}"/>
    <cellStyle name="Migliaia 30 3 2 2 6" xfId="24715" xr:uid="{EDC6098E-79CD-4EC6-8158-C1FA91F80704}"/>
    <cellStyle name="Migliaia 30 3 2 2 7" xfId="8621" xr:uid="{45C1A354-4317-4FDB-9FC8-9A6C9EF6A0D7}"/>
    <cellStyle name="Migliaia 30 3 2 3" xfId="5203" xr:uid="{B2AC3962-A88D-4736-8A1C-2D4E19B6A51A}"/>
    <cellStyle name="Migliaia 30 3 2 3 2" xfId="12225" xr:uid="{5788B2E8-3602-418D-88AA-9E3B8214F6BA}"/>
    <cellStyle name="Migliaia 30 3 2 3 2 2" xfId="39199" xr:uid="{5E5C738A-7234-45B9-955E-D30F8BDA98BB}"/>
    <cellStyle name="Migliaia 30 3 2 3 2 3" xfId="44501" xr:uid="{0F47F385-D462-45B6-9471-33DF6928FB01}"/>
    <cellStyle name="Migliaia 30 3 2 3 2 4" xfId="33716" xr:uid="{A72C8A04-86B5-4A50-9D2C-B82A142292EA}"/>
    <cellStyle name="Migliaia 30 3 2 3 3" xfId="11980" xr:uid="{F8C67FD5-BFEF-4189-98EF-8245B134EEA0}"/>
    <cellStyle name="Migliaia 30 3 2 3 4" xfId="20336" xr:uid="{506EBAED-4E09-4B32-97B6-33C6CDFC5148}"/>
    <cellStyle name="Migliaia 30 3 2 3 4 2" xfId="41850" xr:uid="{2B971D80-4D63-4143-8F4F-CEE3B0BF7E10}"/>
    <cellStyle name="Migliaia 30 3 2 3 5" xfId="16367" xr:uid="{AC68D614-D796-4159-A447-D89987B45C57}"/>
    <cellStyle name="Migliaia 30 3 2 3 6" xfId="7917" xr:uid="{E587FD83-5F80-4B5B-B28B-D988A341FFEC}"/>
    <cellStyle name="Migliaia 30 3 2 4" xfId="6404" xr:uid="{CC683E42-6C44-4900-BB4A-D126D13071EC}"/>
    <cellStyle name="Migliaia 30 3 2 4 2" xfId="18080" xr:uid="{095B8162-C274-4B36-91B1-ED2AFB1D0A43}"/>
    <cellStyle name="Migliaia 30 3 2 4 2 2" xfId="39200" xr:uid="{E0ECF26D-7A87-4735-8185-07505555996C}"/>
    <cellStyle name="Migliaia 30 3 2 4 2 3" xfId="44502" xr:uid="{A064EC62-7D19-47D1-B3FD-1E966CCFA139}"/>
    <cellStyle name="Migliaia 30 3 2 4 3" xfId="36647" xr:uid="{5EB02D38-D055-4C93-B3D8-61B1659890B6}"/>
    <cellStyle name="Migliaia 30 3 2 4 4" xfId="41851" xr:uid="{D6FA08C3-16A7-4775-BA63-7D7A565C83E1}"/>
    <cellStyle name="Migliaia 30 3 2 4 5" xfId="17182" xr:uid="{87C2D892-C48D-4E79-92BE-D7734568EC30}"/>
    <cellStyle name="Migliaia 30 3 2 4 6" xfId="11328" xr:uid="{79E7287A-8CFC-4110-A472-750AA7BFE01A}"/>
    <cellStyle name="Migliaia 30 3 2 5" xfId="3477" xr:uid="{83184CD9-49A3-40AB-9EDC-A6F0BB731B7A}"/>
    <cellStyle name="Migliaia 30 3 2 5 2" xfId="33717" xr:uid="{37BB4AB5-7F18-4DCC-84E6-AD80D913A990}"/>
    <cellStyle name="Migliaia 30 3 2 5 2 2" xfId="39201" xr:uid="{27E4BF51-E007-4347-9B14-AE5BC6709DC5}"/>
    <cellStyle name="Migliaia 30 3 2 5 2 3" xfId="44503" xr:uid="{D460EC77-3EC5-41C5-A40D-1E5BDF688A80}"/>
    <cellStyle name="Migliaia 30 3 2 5 3" xfId="36648" xr:uid="{D7908918-2099-4AC3-ADCE-500CBFF08F16}"/>
    <cellStyle name="Migliaia 30 3 2 5 4" xfId="41852" xr:uid="{D0576A3D-8ECF-491C-B854-EFD84FB42D18}"/>
    <cellStyle name="Migliaia 30 3 2 5 5" xfId="17357" xr:uid="{B9CA2D42-E724-41FC-8AC6-55F471923E45}"/>
    <cellStyle name="Migliaia 30 3 2 6" xfId="20334" xr:uid="{BABE5A99-4C84-4ED2-8A55-F249BF219D1B}"/>
    <cellStyle name="Migliaia 30 3 2 6 2" xfId="33718" xr:uid="{962E4A8A-472F-4819-8529-C2A1D0F130C8}"/>
    <cellStyle name="Migliaia 30 3 2 6 2 2" xfId="39202" xr:uid="{B1F8E219-EA77-48C9-AEB2-B431EF6A5D67}"/>
    <cellStyle name="Migliaia 30 3 2 6 2 3" xfId="44504" xr:uid="{F34FD711-0784-4773-85F9-8107DB9556EF}"/>
    <cellStyle name="Migliaia 30 3 2 6 3" xfId="36649" xr:uid="{416B5542-9E82-410F-B1D2-BA4135C445C4}"/>
    <cellStyle name="Migliaia 30 3 2 6 4" xfId="41853" xr:uid="{18BD2CE7-6369-43BF-AB95-4218A082F54A}"/>
    <cellStyle name="Migliaia 30 3 2 6 5" xfId="24716" xr:uid="{6CE64E50-19B3-4497-AFEF-233441D53AF1}"/>
    <cellStyle name="Migliaia 30 3 2 7" xfId="24714" xr:uid="{5F44299B-89A6-4344-89AD-DC7DF2F8C548}"/>
    <cellStyle name="Migliaia 30 3 2 8" xfId="7431" xr:uid="{F09E7E4E-EE0A-4555-BFC4-D73CA9974BFF}"/>
    <cellStyle name="Migliaia 30 3 3" xfId="3479" xr:uid="{BCEC0B74-6A62-4048-8905-84CB0B285D7F}"/>
    <cellStyle name="Migliaia 30 3 3 10" xfId="7430" xr:uid="{0B9C5F61-E1B9-492E-AE28-AFD0CC037AE4}"/>
    <cellStyle name="Migliaia 30 3 3 2" xfId="5205" xr:uid="{23E53A7D-D34B-4CC9-92BC-BA560E98EA7D}"/>
    <cellStyle name="Migliaia 30 3 3 2 2" xfId="9928" xr:uid="{9936BBD0-6677-47A1-A5D9-A5A0C3FD59EB}"/>
    <cellStyle name="Migliaia 30 3 3 2 2 2" xfId="39204" xr:uid="{3794DDE3-ACF2-4E05-B984-377A4E79E685}"/>
    <cellStyle name="Migliaia 30 3 3 2 2 3" xfId="44506" xr:uid="{5872A4D7-764D-4272-8CE9-77EE32BE05BB}"/>
    <cellStyle name="Migliaia 30 3 3 2 3" xfId="18208" xr:uid="{767D271F-C678-49E6-891D-45AF99D934DE}"/>
    <cellStyle name="Migliaia 30 3 3 2 4" xfId="20338" xr:uid="{1B98DF35-94D8-48CA-9926-F827106704A6}"/>
    <cellStyle name="Migliaia 30 3 3 2 4 2" xfId="41855" xr:uid="{4F864097-3547-45DF-BBC6-5512A96C2C51}"/>
    <cellStyle name="Migliaia 30 3 3 2 5" xfId="16369" xr:uid="{08D02F96-2374-4201-925C-560709BACC4D}"/>
    <cellStyle name="Migliaia 30 3 3 2 6" xfId="8620" xr:uid="{0AF293D7-4895-4DB9-B86B-A985B0C40959}"/>
    <cellStyle name="Migliaia 30 3 3 3" xfId="6406" xr:uid="{B9E33C39-A9FD-4A66-B62A-275DAC177203}"/>
    <cellStyle name="Migliaia 30 3 3 3 2" xfId="33721" xr:uid="{F8CEFF93-2A97-48D2-9D5B-A70DB544F695}"/>
    <cellStyle name="Migliaia 30 3 3 3 2 2" xfId="39205" xr:uid="{5A8F374C-71F7-4869-A913-0B0002061B87}"/>
    <cellStyle name="Migliaia 30 3 3 3 2 3" xfId="44507" xr:uid="{2F9851BB-238C-4EE3-85B2-0ECED38F5CFB}"/>
    <cellStyle name="Migliaia 30 3 3 3 3" xfId="36651" xr:uid="{F521A79B-171D-4244-825F-6F5D8A4A3B41}"/>
    <cellStyle name="Migliaia 30 3 3 3 4" xfId="41856" xr:uid="{056CF958-C60D-4CB1-B54D-2A8E435BDE29}"/>
    <cellStyle name="Migliaia 30 3 3 3 5" xfId="9691" xr:uid="{9B613017-EC2D-47A1-A33B-EB22DB579D96}"/>
    <cellStyle name="Migliaia 30 3 3 4" xfId="20337" xr:uid="{B708D6E9-3454-43CB-861E-24E879379742}"/>
    <cellStyle name="Migliaia 30 3 3 4 2" xfId="33722" xr:uid="{13E335BA-F315-4A07-B722-815EBEDE3AAC}"/>
    <cellStyle name="Migliaia 30 3 3 4 2 2" xfId="39206" xr:uid="{D01EE959-8441-426D-8DC1-925BA3175A1C}"/>
    <cellStyle name="Migliaia 30 3 3 4 2 3" xfId="44508" xr:uid="{A213CBFD-D102-481D-8108-225551557CDF}"/>
    <cellStyle name="Migliaia 30 3 3 4 3" xfId="36652" xr:uid="{BD3B4AD5-B743-4C5F-8C24-EB6C06B6B628}"/>
    <cellStyle name="Migliaia 30 3 3 4 4" xfId="41857" xr:uid="{C470CF9D-B650-41E7-B38E-25DC3964C035}"/>
    <cellStyle name="Migliaia 30 3 3 4 5" xfId="24718" xr:uid="{6018FACA-64AF-470C-9C50-68A87A144FAE}"/>
    <cellStyle name="Migliaia 30 3 3 5" xfId="24719" xr:uid="{1D583DC6-8024-48C9-BDCC-85190C37E051}"/>
    <cellStyle name="Migliaia 30 3 3 5 2" xfId="33723" xr:uid="{5463703D-5BC6-483D-B320-58091FA45217}"/>
    <cellStyle name="Migliaia 30 3 3 5 2 2" xfId="39207" xr:uid="{E3F4D737-1B47-441A-BF81-F351EDB01926}"/>
    <cellStyle name="Migliaia 30 3 3 5 2 3" xfId="44509" xr:uid="{034CADF0-0E3E-408D-B50E-910553E30CBC}"/>
    <cellStyle name="Migliaia 30 3 3 5 3" xfId="36653" xr:uid="{07351CE9-258A-4D38-8DBC-76CF38C29450}"/>
    <cellStyle name="Migliaia 30 3 3 5 4" xfId="41858" xr:uid="{F2020D1F-E89B-456A-A0BE-F517CE27829D}"/>
    <cellStyle name="Migliaia 30 3 3 6" xfId="33719" xr:uid="{39F0A87A-0DDB-4A9B-98FD-A32AFA962D6C}"/>
    <cellStyle name="Migliaia 30 3 3 6 2" xfId="39203" xr:uid="{3072954F-4D20-4894-B870-F0B9B92676E5}"/>
    <cellStyle name="Migliaia 30 3 3 6 3" xfId="44505" xr:uid="{F9778812-1954-41BF-B326-7F67AB1A4B4D}"/>
    <cellStyle name="Migliaia 30 3 3 7" xfId="36650" xr:uid="{C3182692-0BB4-47D2-8B98-DE57D3770521}"/>
    <cellStyle name="Migliaia 30 3 3 8" xfId="41854" xr:uid="{19814CCA-2A0F-4E01-B286-5995BDF23474}"/>
    <cellStyle name="Migliaia 30 3 3 9" xfId="16368" xr:uid="{5327539B-C7C6-4B26-8DC0-14AD8FB0AADD}"/>
    <cellStyle name="Migliaia 30 3 4" xfId="3480" xr:uid="{3E766005-9029-4CD6-B4D3-718E1FCB0B33}"/>
    <cellStyle name="Migliaia 30 3 4 2" xfId="5206" xr:uid="{EA0AF834-7804-46D7-A624-3679C5F4BAEC}"/>
    <cellStyle name="Migliaia 30 3 4 2 2" xfId="14446" xr:uid="{99ACBA5C-7269-4708-A22F-5F33FA28D96B}"/>
    <cellStyle name="Migliaia 30 3 4 2 3" xfId="18129" xr:uid="{FAFBD324-0591-40EB-BEBA-4B78EA75FCB2}"/>
    <cellStyle name="Migliaia 30 3 4 2 4" xfId="20340" xr:uid="{00F684EA-3FBE-4055-BD28-49ED9E6003E3}"/>
    <cellStyle name="Migliaia 30 3 4 2 5" xfId="32371" xr:uid="{AA0778FF-54DE-4814-81C4-92F32A6B9B9A}"/>
    <cellStyle name="Migliaia 30 3 4 2 6" xfId="16371" xr:uid="{0C8805EE-0E68-4327-A457-692DAED903FA}"/>
    <cellStyle name="Migliaia 30 3 4 2 7" xfId="8869" xr:uid="{DCC5BC8C-A066-4DBA-83FA-768F01A4DB9A}"/>
    <cellStyle name="Migliaia 30 3 4 3" xfId="6407" xr:uid="{E78013D5-4B1F-479E-B94B-DFF72D47D5A7}"/>
    <cellStyle name="Migliaia 30 3 4 3 2" xfId="35286" xr:uid="{829EFB9E-53B2-4296-AE6C-177E07FAB93A}"/>
    <cellStyle name="Migliaia 30 3 4 3 2 2" xfId="40446" xr:uid="{F0096736-126A-4C1E-8C77-BC0B804D4062}"/>
    <cellStyle name="Migliaia 30 3 4 3 2 3" xfId="45748" xr:uid="{E640C6D2-E18A-4633-B674-553CE0C9C73F}"/>
    <cellStyle name="Migliaia 30 3 4 3 3" xfId="37795" xr:uid="{CB1FC906-08AF-494E-B62E-51E4F11D4553}"/>
    <cellStyle name="Migliaia 30 3 4 3 4" xfId="43097" xr:uid="{0CFD4D96-9787-43EF-8803-BA2E38852D4E}"/>
    <cellStyle name="Migliaia 30 3 4 3 5" xfId="13694" xr:uid="{6568524B-6E96-4882-871D-D0C6AF1BC60C}"/>
    <cellStyle name="Migliaia 30 3 4 4" xfId="20339" xr:uid="{BA59736B-E073-4B97-8E5B-1853244F2A76}"/>
    <cellStyle name="Migliaia 30 3 4 4 2" xfId="39208" xr:uid="{C354E4BE-CEFC-4214-84E9-7094B0B691C7}"/>
    <cellStyle name="Migliaia 30 3 4 4 3" xfId="44510" xr:uid="{BC2127DA-4653-45CA-8F7A-0E06645505ED}"/>
    <cellStyle name="Migliaia 30 3 4 4 4" xfId="33724" xr:uid="{F89E95A4-553E-4883-8A68-848446B003DF}"/>
    <cellStyle name="Migliaia 30 3 4 5" xfId="36654" xr:uid="{79164FB8-3E19-4157-9417-EE4885BDFAB3}"/>
    <cellStyle name="Migliaia 30 3 4 6" xfId="41859" xr:uid="{97CC6DB2-6F24-463C-AE92-D086BC931B3F}"/>
    <cellStyle name="Migliaia 30 3 4 7" xfId="16370" xr:uid="{682D526D-B1D6-4A19-94FE-CDA7D1CD441B}"/>
    <cellStyle name="Migliaia 30 3 4 8" xfId="7679" xr:uid="{DED5059F-8FD7-4EE2-A132-D0D01108902A}"/>
    <cellStyle name="Migliaia 30 3 5" xfId="3481" xr:uid="{F628CF4A-8F2B-4E3E-ADE0-A5649EBBDA4A}"/>
    <cellStyle name="Migliaia 30 3 5 2" xfId="5207" xr:uid="{0E3D462A-AA33-4210-A2D0-FCAF1C77C04E}"/>
    <cellStyle name="Migliaia 30 3 5 2 2" xfId="35287" xr:uid="{EE528E7E-C091-4B56-BD35-E0FD20BED966}"/>
    <cellStyle name="Migliaia 30 3 5 2 2 2" xfId="40447" xr:uid="{747E29A1-0655-4B7E-AA7E-03C1677FE314}"/>
    <cellStyle name="Migliaia 30 3 5 2 2 3" xfId="45749" xr:uid="{BBAC4123-08E0-4A3C-ABB1-0A9EE39E691E}"/>
    <cellStyle name="Migliaia 30 3 5 2 3" xfId="37796" xr:uid="{8929FF6A-0E0F-4E78-9878-163FF0F5B022}"/>
    <cellStyle name="Migliaia 30 3 5 2 4" xfId="43098" xr:uid="{90A6AAC6-921E-41EB-9E18-FC07DDCE9BE5}"/>
    <cellStyle name="Migliaia 30 3 5 2 5" xfId="14250" xr:uid="{26B20B6C-850F-4731-8938-C8817CC8984A}"/>
    <cellStyle name="Migliaia 30 3 5 3" xfId="6408" xr:uid="{FEDE7A83-9A50-421D-A541-687FD89DF7E9}"/>
    <cellStyle name="Migliaia 30 3 5 3 2" xfId="39209" xr:uid="{EA744897-6432-46E3-A39D-159D655B69B2}"/>
    <cellStyle name="Migliaia 30 3 5 3 3" xfId="44511" xr:uid="{946A54CC-AE69-4453-BFEB-C35B8B5CB72E}"/>
    <cellStyle name="Migliaia 30 3 5 3 4" xfId="33725" xr:uid="{B145559E-A3FB-4301-B4A6-6A980E4651E9}"/>
    <cellStyle name="Migliaia 30 3 5 3 5" xfId="20341" xr:uid="{12CC33F4-DA52-4D26-ADC4-B874265330A7}"/>
    <cellStyle name="Migliaia 30 3 5 4" xfId="36655" xr:uid="{86D6A25F-8A26-4042-9FB7-1CC11EB3F3ED}"/>
    <cellStyle name="Migliaia 30 3 5 5" xfId="41860" xr:uid="{10928502-AF56-4C90-ADC6-B681015E48FF}"/>
    <cellStyle name="Migliaia 30 3 5 6" xfId="16372" xr:uid="{33C213A3-3F7B-4594-8008-32207257D527}"/>
    <cellStyle name="Migliaia 30 3 5 7" xfId="8312" xr:uid="{75A2A6EF-C678-4227-94C0-807DD32A37C9}"/>
    <cellStyle name="Migliaia 30 3 6" xfId="5202" xr:uid="{675D2E84-37F4-4173-97A0-3CFCE7D8B7A4}"/>
    <cellStyle name="Migliaia 30 3 6 2" xfId="13955" xr:uid="{6BA9A912-866E-4520-B5A8-E0EED40A1B6D}"/>
    <cellStyle name="Migliaia 30 3 6 2 2" xfId="39210" xr:uid="{D01B6576-1633-4F79-BA08-04D60943B3A3}"/>
    <cellStyle name="Migliaia 30 3 6 2 3" xfId="44512" xr:uid="{F5B9E89D-9270-4632-85CE-C7B47A410083}"/>
    <cellStyle name="Migliaia 30 3 6 3" xfId="18709" xr:uid="{09F27509-98B5-4BB6-B040-DB47B5E043D1}"/>
    <cellStyle name="Migliaia 30 3 6 4" xfId="20342" xr:uid="{EE21246B-3E5C-4D67-9F40-9EB05AE8A241}"/>
    <cellStyle name="Migliaia 30 3 6 4 2" xfId="41861" xr:uid="{2B153656-1737-4233-89B9-4AA60E1ABDE3}"/>
    <cellStyle name="Migliaia 30 3 6 5" xfId="16373" xr:uid="{BFA68F79-504F-4393-8AC2-B00C754A29C9}"/>
    <cellStyle name="Migliaia 30 3 6 6" xfId="7916" xr:uid="{3E33CA05-D8E4-490E-BC0D-3AE42E89BAA5}"/>
    <cellStyle name="Migliaia 30 3 7" xfId="6403" xr:uid="{3FE46D04-ED5C-4F0C-B98E-4DA394CA946F}"/>
    <cellStyle name="Migliaia 30 3 7 2" xfId="33726" xr:uid="{7C9BAE3B-B3B3-4873-A983-F8AF12F0D032}"/>
    <cellStyle name="Migliaia 30 3 7 2 2" xfId="39211" xr:uid="{CBC70E0A-7152-4001-9CB0-04DEDD575C56}"/>
    <cellStyle name="Migliaia 30 3 7 2 3" xfId="44513" xr:uid="{58E00C9E-D977-4310-BCE9-C1AF2346977C}"/>
    <cellStyle name="Migliaia 30 3 7 3" xfId="36656" xr:uid="{8258BAFD-1A67-49D2-B6A0-99A3F820C077}"/>
    <cellStyle name="Migliaia 30 3 7 4" xfId="41862" xr:uid="{2EA7BF84-01B0-4228-BE13-2E1C77AAFCDE}"/>
    <cellStyle name="Migliaia 30 3 7 5" xfId="11534" xr:uid="{15F6BA07-5633-4DB7-A604-927742C5B832}"/>
    <cellStyle name="Migliaia 30 3 8" xfId="3476" xr:uid="{5D31595A-A5CE-42D3-9CCA-19BBF18F5B24}"/>
    <cellStyle name="Migliaia 30 3 8 2" xfId="33727" xr:uid="{45D1701E-026C-4369-87C7-61B8D171C988}"/>
    <cellStyle name="Migliaia 30 3 8 2 2" xfId="39212" xr:uid="{C454EB8D-EEFD-461D-8758-337F646C024F}"/>
    <cellStyle name="Migliaia 30 3 8 2 3" xfId="44514" xr:uid="{C355B583-86C5-4CAE-8753-7028D86B3B3F}"/>
    <cellStyle name="Migliaia 30 3 8 3" xfId="36657" xr:uid="{868E49BA-72FE-4B51-BF91-1C3AFACF48DE}"/>
    <cellStyle name="Migliaia 30 3 8 4" xfId="41863" xr:uid="{D3CF6072-F5FB-45AE-8062-455D88574CEC}"/>
    <cellStyle name="Migliaia 30 3 8 5" xfId="24721" xr:uid="{73F5B3C9-F6CE-4D83-82BD-106D6FC97CB5}"/>
    <cellStyle name="Migliaia 30 3 8 6" xfId="17358" xr:uid="{CB98ED42-08F5-4655-B757-EA5FD3D8842E}"/>
    <cellStyle name="Migliaia 30 3 9" xfId="20333" xr:uid="{982DCCCA-6A0D-4E00-85CE-38B8D795DC70}"/>
    <cellStyle name="Migliaia 30 4" xfId="1773" xr:uid="{00000000-0005-0000-0000-000094030000}"/>
    <cellStyle name="Migliaia 30 4 2" xfId="1774" xr:uid="{00000000-0005-0000-0000-000095030000}"/>
    <cellStyle name="Migliaia 30 4 2 2" xfId="5209" xr:uid="{56E206C2-4597-42B2-8E8F-A347869D41BE}"/>
    <cellStyle name="Migliaia 30 4 2 2 2" xfId="33728" xr:uid="{3798D770-46C2-4E35-A5C6-F603CC9F7F2F}"/>
    <cellStyle name="Migliaia 30 4 2 2 2 2" xfId="39213" xr:uid="{1EB05D8E-0718-4611-83C1-A7E8379CA929}"/>
    <cellStyle name="Migliaia 30 4 2 2 2 3" xfId="44515" xr:uid="{49DF7062-238D-42EF-8EF1-EB8E7B8561C3}"/>
    <cellStyle name="Migliaia 30 4 2 2 3" xfId="36658" xr:uid="{19D4385E-BF02-48DE-A752-0D141EAC0ED3}"/>
    <cellStyle name="Migliaia 30 4 2 2 4" xfId="41864" xr:uid="{B0B6FE5F-A544-4095-97B2-5C702D3F8282}"/>
    <cellStyle name="Migliaia 30 4 2 2 5" xfId="9154" xr:uid="{491F0491-4CF0-47F3-9FFF-9AB7F36A631A}"/>
    <cellStyle name="Migliaia 30 4 2 3" xfId="3483" xr:uid="{9B9BBE27-1524-4F5A-BDAC-DAAD20337001}"/>
    <cellStyle name="Migliaia 30 4 2 3 2" xfId="33729" xr:uid="{9C892FAD-14D6-4B85-81E4-27679007AB0A}"/>
    <cellStyle name="Migliaia 30 4 2 3 2 2" xfId="39214" xr:uid="{70C42035-B171-4CEC-B7D0-3DC8F79EFA3F}"/>
    <cellStyle name="Migliaia 30 4 2 3 2 3" xfId="44516" xr:uid="{5C4A5F40-6A47-490F-B1A2-9CCCEE9983B1}"/>
    <cellStyle name="Migliaia 30 4 2 3 3" xfId="36659" xr:uid="{2D4DBCEE-05A5-4129-B63C-67869E88DB56}"/>
    <cellStyle name="Migliaia 30 4 2 3 4" xfId="41865" xr:uid="{624DDCA2-EE8E-4333-80F0-82F9A32DA215}"/>
    <cellStyle name="Migliaia 30 4 2 3 5" xfId="11981" xr:uid="{4F6CAD31-75ED-4EA4-A1F8-4116015C070E}"/>
    <cellStyle name="Migliaia 30 4 2 4" xfId="11330" xr:uid="{09F9EEC7-3009-4129-8D6E-D01DECD54FAD}"/>
    <cellStyle name="Migliaia 30 4 2 5" xfId="10851" xr:uid="{49FE2D0E-DD72-4872-8993-8CAC9C9D0E0F}"/>
    <cellStyle name="Migliaia 30 4 2 5 2" xfId="21486" xr:uid="{A77E5DC1-7FE1-4EA3-A1CC-CA7E5E0BDEAB}"/>
    <cellStyle name="Migliaia 30 4 2 5 3" xfId="46239" xr:uid="{57B40958-6FE5-4EAA-84A7-0E439D5FCE36}"/>
    <cellStyle name="Migliaia 30 4 2 5 4" xfId="50501" xr:uid="{4EC104F4-62F9-4210-89EC-CC2AF5FE8F96}"/>
    <cellStyle name="Migliaia 30 4 2 5 5" xfId="53517" xr:uid="{7B9CEBB0-344D-459F-B715-0CDAF83EA07A}"/>
    <cellStyle name="Migliaia 30 4 2 6" xfId="20344" xr:uid="{A45DAD50-1134-411E-8DD9-F9190A4651F9}"/>
    <cellStyle name="Migliaia 30 4 2 7" xfId="24723" xr:uid="{3D3403CF-A27E-4C6A-ABB4-CA9246C26D81}"/>
    <cellStyle name="Migliaia 30 4 2 8" xfId="8622" xr:uid="{9B9750C3-9905-4A60-9683-67A8980383A3}"/>
    <cellStyle name="Migliaia 30 4 3" xfId="5208" xr:uid="{FF260D4B-B5CD-49FA-80A2-89582506AB6B}"/>
    <cellStyle name="Migliaia 30 4 3 2" xfId="18209" xr:uid="{940D59C9-0718-4D75-A902-12D0AD6BE144}"/>
    <cellStyle name="Migliaia 30 4 3 2 2" xfId="39215" xr:uid="{15CAA479-ADEB-4186-919B-690C688F194E}"/>
    <cellStyle name="Migliaia 30 4 3 2 3" xfId="44517" xr:uid="{A66E3564-3A47-4551-8C05-BBC79DB1CB49}"/>
    <cellStyle name="Migliaia 30 4 3 3" xfId="36660" xr:uid="{886E546F-15A5-497D-9C7F-7A9EA048BA96}"/>
    <cellStyle name="Migliaia 30 4 3 4" xfId="41866" xr:uid="{E71E53AB-A84A-479F-9857-FBC2D8712277}"/>
    <cellStyle name="Migliaia 30 4 3 5" xfId="17356" xr:uid="{202CAA79-7231-4B0E-B68E-8B894D9EC638}"/>
    <cellStyle name="Migliaia 30 4 3 6" xfId="9155" xr:uid="{3881BCB5-44F9-4F25-9B11-C64964B1A25C}"/>
    <cellStyle name="Migliaia 30 4 4" xfId="6409" xr:uid="{B3CF7C90-5951-4675-BEB6-458A1E74A8D5}"/>
    <cellStyle name="Migliaia 30 4 4 2" xfId="33730" xr:uid="{4E3CEF7D-2E1F-45B4-BD4E-7071B499649C}"/>
    <cellStyle name="Migliaia 30 4 4 2 2" xfId="39216" xr:uid="{9A11F958-3A33-4E71-B081-CC407879F13E}"/>
    <cellStyle name="Migliaia 30 4 4 2 3" xfId="44518" xr:uid="{DACCB2B9-3361-4AE5-A429-639A43716959}"/>
    <cellStyle name="Migliaia 30 4 4 3" xfId="36661" xr:uid="{7DE67D05-0827-49E4-BADC-122DB202C426}"/>
    <cellStyle name="Migliaia 30 4 4 4" xfId="41867" xr:uid="{E2BCD92D-B462-4B9F-9C26-44D9702849BD}"/>
    <cellStyle name="Migliaia 30 4 4 5" xfId="11982" xr:uid="{A30AF958-C102-4EAB-B712-F75692327328}"/>
    <cellStyle name="Migliaia 30 4 5" xfId="3482" xr:uid="{77864A2F-A339-4DE0-9F14-5F9BB469DEF1}"/>
    <cellStyle name="Migliaia 30 4 5 2" xfId="33731" xr:uid="{1B539876-3623-4A42-8C65-7AAAFB02FBC7}"/>
    <cellStyle name="Migliaia 30 4 5 2 2" xfId="39217" xr:uid="{0B381F9F-21B1-49C6-9AB9-1C50B3A5B82C}"/>
    <cellStyle name="Migliaia 30 4 5 2 3" xfId="44519" xr:uid="{4E2844FB-EA26-4DBE-B79B-C1FE3C078688}"/>
    <cellStyle name="Migliaia 30 4 5 3" xfId="36662" xr:uid="{2820F29C-FBC0-420B-A072-858B5BB650C0}"/>
    <cellStyle name="Migliaia 30 4 5 4" xfId="41868" xr:uid="{1DE2F049-D0EB-4F25-A7C5-F2A964CC9507}"/>
    <cellStyle name="Migliaia 30 4 5 5" xfId="11329" xr:uid="{C65DE90C-00E6-46D2-8D67-D37281A87791}"/>
    <cellStyle name="Migliaia 30 4 6" xfId="10850" xr:uid="{1E792508-E7B3-414F-974B-CA22010F8822}"/>
    <cellStyle name="Migliaia 30 4 6 2" xfId="21485" xr:uid="{0B8AF2BE-A5C4-4868-96FD-58BE3E53DDB5}"/>
    <cellStyle name="Migliaia 30 4 6 2 2" xfId="39218" xr:uid="{C196BA1F-4A51-4BA6-A7E0-17DE08C16179}"/>
    <cellStyle name="Migliaia 30 4 6 2 3" xfId="44520" xr:uid="{B9609996-418C-49C0-8BE6-A3F7E4C8582D}"/>
    <cellStyle name="Migliaia 30 4 6 2 4" xfId="33732" xr:uid="{757147AE-62FC-4548-90B7-E1395742F49A}"/>
    <cellStyle name="Migliaia 30 4 6 3" xfId="36663" xr:uid="{0122BDB2-86CC-4299-B855-1D2D81A93F35}"/>
    <cellStyle name="Migliaia 30 4 6 4" xfId="41869" xr:uid="{59540AA9-DCDC-4385-9874-D1DAF2DD0AA1}"/>
    <cellStyle name="Migliaia 30 4 6 5" xfId="24724" xr:uid="{10081E2C-BAAC-485D-A364-40A64B0685E8}"/>
    <cellStyle name="Migliaia 30 4 6 6" xfId="47305" xr:uid="{803301A7-8C00-40ED-B6E6-7FCE8F85F4F1}"/>
    <cellStyle name="Migliaia 30 4 6 7" xfId="50500" xr:uid="{C2F6F30D-DBD0-4E1A-90E4-0F000D4832C4}"/>
    <cellStyle name="Migliaia 30 4 6 8" xfId="53516" xr:uid="{C44547B7-2C4E-42F8-86B8-CC9EA0E5D6D6}"/>
    <cellStyle name="Migliaia 30 4 7" xfId="20343" xr:uid="{CB5B2D98-0037-40C9-BAE9-74B72CA50A4B}"/>
    <cellStyle name="Migliaia 30 4 7 2" xfId="33733" xr:uid="{DEC9E1D5-3E0A-4DF6-BEE4-C8F01D2BF3E9}"/>
    <cellStyle name="Migliaia 30 4 7 2 2" xfId="39219" xr:uid="{D34FBFC4-52DC-45EA-9EB0-BCDF8DC785EC}"/>
    <cellStyle name="Migliaia 30 4 7 2 3" xfId="44521" xr:uid="{6C1F7FA2-2CB3-4F7F-8C76-CA0D2103A108}"/>
    <cellStyle name="Migliaia 30 4 7 3" xfId="36664" xr:uid="{90A8818A-647A-4C0F-B645-C8B8423189F9}"/>
    <cellStyle name="Migliaia 30 4 7 4" xfId="41870" xr:uid="{BE3DC2D8-0543-44CE-BFAB-B96B5C0DE86A}"/>
    <cellStyle name="Migliaia 30 4 7 5" xfId="24725" xr:uid="{A2FBF7DB-D6CD-4D1C-ACCB-321D2D6FA5B8}"/>
    <cellStyle name="Migliaia 30 4 8" xfId="24722" xr:uid="{ADA9AB4A-E520-4793-8384-F4FB2B6606C5}"/>
    <cellStyle name="Migliaia 30 4 9" xfId="7432" xr:uid="{57161DDF-97AE-4147-AE1F-11121CA61C5A}"/>
    <cellStyle name="Migliaia 30 5" xfId="1775" xr:uid="{00000000-0005-0000-0000-000096030000}"/>
    <cellStyle name="Migliaia 30 5 2" xfId="5210" xr:uid="{5DD7545F-9245-496D-AD1A-F821581FA0F3}"/>
    <cellStyle name="Migliaia 30 5 2 2" xfId="18433" xr:uid="{A59F11BF-1237-4E5B-B8ED-05AAB77535A3}"/>
    <cellStyle name="Migliaia 30 5 2 2 2" xfId="39220" xr:uid="{0D7196B7-B067-4B1F-A58A-9CCBEAAE4155}"/>
    <cellStyle name="Migliaia 30 5 2 2 3" xfId="44522" xr:uid="{EF726E92-6D80-4354-82F5-D143C813CA53}"/>
    <cellStyle name="Migliaia 30 5 2 3" xfId="20346" xr:uid="{835AED53-69C0-440C-9765-486BCDF1E45E}"/>
    <cellStyle name="Migliaia 30 5 2 3 2" xfId="36665" xr:uid="{AF4853BD-8349-4C17-B51E-82A0603DF217}"/>
    <cellStyle name="Migliaia 30 5 2 4" xfId="41871" xr:uid="{4739B976-D9CB-4829-A2ED-36D3E6770DD3}"/>
    <cellStyle name="Migliaia 30 5 2 5" xfId="16374" xr:uid="{61F8F214-5F95-4289-A15E-AF454D67C772}"/>
    <cellStyle name="Migliaia 30 5 2 6" xfId="8623" xr:uid="{714A35C9-8B47-4C2B-A373-D3F7226FB4CB}"/>
    <cellStyle name="Migliaia 30 5 3" xfId="6410" xr:uid="{60FEBD71-A04F-4D75-B4F7-0974A31FE6F8}"/>
    <cellStyle name="Migliaia 30 5 3 2" xfId="33734" xr:uid="{035A8D5E-72E4-4944-BE19-4EE60BF06942}"/>
    <cellStyle name="Migliaia 30 5 3 2 2" xfId="39221" xr:uid="{09BCA070-2170-4E26-92F7-E6891A1EAC6E}"/>
    <cellStyle name="Migliaia 30 5 3 2 3" xfId="44523" xr:uid="{2F159F04-1444-431A-8268-35B7D8F97A2A}"/>
    <cellStyle name="Migliaia 30 5 3 3" xfId="36666" xr:uid="{73270342-1C83-40B6-81B3-BA4B435D6DEC}"/>
    <cellStyle name="Migliaia 30 5 3 4" xfId="41872" xr:uid="{36FCCA10-9B64-42D3-8FF7-6DDFEF90ED7C}"/>
    <cellStyle name="Migliaia 30 5 3 5" xfId="11331" xr:uid="{083DAB9F-DD85-4E89-A701-786C9D6D3E47}"/>
    <cellStyle name="Migliaia 30 5 4" xfId="3484" xr:uid="{C390490C-3D70-440F-9E0C-8D2DC65BCD30}"/>
    <cellStyle name="Migliaia 30 5 4 2" xfId="21487" xr:uid="{D24F0FEC-B192-4C4B-9D0E-7CCCAA667B7B}"/>
    <cellStyle name="Migliaia 30 5 4 2 2" xfId="39222" xr:uid="{94FE74E1-8609-4E1B-88B4-C48782E3DFDB}"/>
    <cellStyle name="Migliaia 30 5 4 2 3" xfId="44524" xr:uid="{CD00BF20-6C57-456A-93DF-D8D4F4C59E35}"/>
    <cellStyle name="Migliaia 30 5 4 2 4" xfId="33735" xr:uid="{FFC2A701-64EE-4BC5-8D62-7E5AE914E958}"/>
    <cellStyle name="Migliaia 30 5 4 3" xfId="36667" xr:uid="{3A9C7B14-DF9C-423D-B177-7440FC54230C}"/>
    <cellStyle name="Migliaia 30 5 4 4" xfId="41873" xr:uid="{57BA9F80-49C8-4FEA-BAA7-AE99524EA582}"/>
    <cellStyle name="Migliaia 30 5 4 5" xfId="24727" xr:uid="{B5BD27A3-9F65-47D4-9890-9D9692F9E64E}"/>
    <cellStyle name="Migliaia 30 5 4 6" xfId="47600" xr:uid="{134DB47D-DB8B-4952-82AB-9B9BA695F426}"/>
    <cellStyle name="Migliaia 30 5 4 7" xfId="50502" xr:uid="{A0EED69E-3223-4412-816E-9A2A48710C01}"/>
    <cellStyle name="Migliaia 30 5 4 8" xfId="53518" xr:uid="{9DC2E029-2C53-4B3E-B642-792834D9019A}"/>
    <cellStyle name="Migliaia 30 5 4 9" xfId="10852" xr:uid="{97767F36-73DE-478E-BB9E-004FE2A87E33}"/>
    <cellStyle name="Migliaia 30 5 5" xfId="20345" xr:uid="{2D965CE5-4C00-4F90-9AF9-A0A89B9612F1}"/>
    <cellStyle name="Migliaia 30 5 5 2" xfId="33736" xr:uid="{44F656DE-3502-4265-B494-B3192F5D4D49}"/>
    <cellStyle name="Migliaia 30 5 5 2 2" xfId="39223" xr:uid="{E00557C0-0353-4E49-9336-D95186126121}"/>
    <cellStyle name="Migliaia 30 5 5 2 3" xfId="44525" xr:uid="{AEC86D1F-5C03-4192-B612-057F591B1672}"/>
    <cellStyle name="Migliaia 30 5 5 3" xfId="36668" xr:uid="{A8525AF3-57BF-4D69-BF56-D4E7EC51AA87}"/>
    <cellStyle name="Migliaia 30 5 5 4" xfId="41874" xr:uid="{5D838DC3-68F6-4024-9EFA-48C98C4FC3C6}"/>
    <cellStyle name="Migliaia 30 5 5 5" xfId="24728" xr:uid="{84746FB4-E122-4B08-B382-9F685DAAABA4}"/>
    <cellStyle name="Migliaia 30 5 6" xfId="24729" xr:uid="{2CCEDCC3-7764-4E97-BC90-99BC50B7D634}"/>
    <cellStyle name="Migliaia 30 5 6 2" xfId="33737" xr:uid="{3DFB76C1-C2A5-4599-AD4A-8B1A693E3AD1}"/>
    <cellStyle name="Migliaia 30 5 6 2 2" xfId="39224" xr:uid="{3679D158-102D-47A5-B364-CC49D3187D12}"/>
    <cellStyle name="Migliaia 30 5 6 2 3" xfId="44526" xr:uid="{4A2CB18E-4B25-4663-8690-8DD0190228F3}"/>
    <cellStyle name="Migliaia 30 5 6 3" xfId="36669" xr:uid="{F3CD9F84-3A07-4672-B6FE-E5915EC3EBFF}"/>
    <cellStyle name="Migliaia 30 5 6 4" xfId="41875" xr:uid="{15120291-F7BA-44AA-AD6A-C68CBF722A51}"/>
    <cellStyle name="Migliaia 30 5 7" xfId="24726" xr:uid="{3EC2C529-3E0A-4C18-AB30-E1CF60C635CA}"/>
    <cellStyle name="Migliaia 30 5 8" xfId="7433" xr:uid="{0BEFD50A-81A2-44BC-B86E-D698391E303A}"/>
    <cellStyle name="Migliaia 30 6" xfId="3485" xr:uid="{04A6B56F-385F-4053-8775-8211FE6B0826}"/>
    <cellStyle name="Migliaia 30 6 2" xfId="5211" xr:uid="{539A43FE-6D62-4D21-9E42-C9814BA40831}"/>
    <cellStyle name="Migliaia 30 6 2 2" xfId="9927" xr:uid="{4D0619DF-BD0C-4768-8D7A-755BDBB7330B}"/>
    <cellStyle name="Migliaia 30 6 2 3" xfId="18657" xr:uid="{B06C7F67-B3F7-4817-9012-CC2A57472832}"/>
    <cellStyle name="Migliaia 30 6 2 4" xfId="20348" xr:uid="{9BA2D1D0-BA3F-4F1A-909C-E93A9A18311E}"/>
    <cellStyle name="Migliaia 30 6 2 5" xfId="32373" xr:uid="{F6786DBA-66BE-4427-AD8A-F0B2DCA11A41}"/>
    <cellStyle name="Migliaia 30 6 2 6" xfId="16376" xr:uid="{CB436440-A2BC-4987-B801-382E8BE367F9}"/>
    <cellStyle name="Migliaia 30 6 2 7" xfId="8618" xr:uid="{ED904C45-A71E-4569-930C-AA9612CD271E}"/>
    <cellStyle name="Migliaia 30 6 3" xfId="6411" xr:uid="{9BE7E05B-2DC8-4CF4-B95B-74110A737C03}"/>
    <cellStyle name="Migliaia 30 6 3 2" xfId="35288" xr:uid="{5768439F-E4E7-4024-AFE0-857E14577AF8}"/>
    <cellStyle name="Migliaia 30 6 3 2 2" xfId="40448" xr:uid="{FE9A050A-0A74-46DA-82FA-C7A84D3D98BB}"/>
    <cellStyle name="Migliaia 30 6 3 2 3" xfId="45750" xr:uid="{4E79F2B8-E31C-49F6-AD0C-839672A7EE04}"/>
    <cellStyle name="Migliaia 30 6 3 3" xfId="37797" xr:uid="{472BCB87-4857-4562-99E2-736D48AB5196}"/>
    <cellStyle name="Migliaia 30 6 3 4" xfId="43099" xr:uid="{33AE56B2-8E0E-4F0B-9DF1-448CDD9151D9}"/>
    <cellStyle name="Migliaia 30 6 3 5" xfId="9690" xr:uid="{0F74BA15-A336-483A-B172-F04BF6652713}"/>
    <cellStyle name="Migliaia 30 6 4" xfId="20347" xr:uid="{AFD3F839-CA42-4774-8D3C-057D9D0ABBE1}"/>
    <cellStyle name="Migliaia 30 6 4 2" xfId="39225" xr:uid="{EB523764-DFF8-4960-B1F4-E571D0EF6736}"/>
    <cellStyle name="Migliaia 30 6 4 3" xfId="44527" xr:uid="{482139D3-FE88-4BCB-A600-5010B170F312}"/>
    <cellStyle name="Migliaia 30 6 4 4" xfId="33738" xr:uid="{55ED4F8C-BAE7-4C00-98D5-CDACF480AEF9}"/>
    <cellStyle name="Migliaia 30 6 5" xfId="36670" xr:uid="{663766F9-7484-4C0F-84E0-E821F5E060D8}"/>
    <cellStyle name="Migliaia 30 6 6" xfId="41876" xr:uid="{48E69C19-8E7C-481D-A189-A62D139D3431}"/>
    <cellStyle name="Migliaia 30 6 7" xfId="16375" xr:uid="{48FA5DC5-FCB0-413A-AF4A-6AFCE2DE095B}"/>
    <cellStyle name="Migliaia 30 6 8" xfId="7428" xr:uid="{F8FFD903-6862-477D-BF09-49F681F806AC}"/>
    <cellStyle name="Migliaia 30 7" xfId="3486" xr:uid="{B7AB22EB-0CC3-4C71-B7DD-E5091E042FB4}"/>
    <cellStyle name="Migliaia 30 7 2" xfId="5212" xr:uid="{13E8B76F-32EA-42C4-9234-104D3FE5914E}"/>
    <cellStyle name="Migliaia 30 7 2 2" xfId="35289" xr:uid="{D2768F9F-7B16-476A-BD59-15680DFB3655}"/>
    <cellStyle name="Migliaia 30 7 2 2 2" xfId="40449" xr:uid="{7DD517F7-B467-4D0D-893F-291D683639D4}"/>
    <cellStyle name="Migliaia 30 7 2 2 3" xfId="45751" xr:uid="{5BE7563B-F8D0-4842-90F0-C4F680950675}"/>
    <cellStyle name="Migliaia 30 7 2 3" xfId="37798" xr:uid="{211E2AC8-D1C4-4A17-91D5-47E9C9791D59}"/>
    <cellStyle name="Migliaia 30 7 2 4" xfId="43100" xr:uid="{8B87B94D-95D5-44A3-9A34-0D0C227943C8}"/>
    <cellStyle name="Migliaia 30 7 2 5" xfId="14248" xr:uid="{69F69036-C527-4459-9157-33A95C068489}"/>
    <cellStyle name="Migliaia 30 7 3" xfId="6412" xr:uid="{3B8814EB-AC9E-425B-B123-C491F468FABA}"/>
    <cellStyle name="Migliaia 30 7 3 2" xfId="39226" xr:uid="{4409BD60-64CC-430E-B1C7-1638D5442804}"/>
    <cellStyle name="Migliaia 30 7 3 3" xfId="44528" xr:uid="{4F43EEEA-217A-48D3-8CE9-1BE959066456}"/>
    <cellStyle name="Migliaia 30 7 3 4" xfId="33739" xr:uid="{86C10C7A-66CF-4D2E-86E8-C5A74DC959D9}"/>
    <cellStyle name="Migliaia 30 7 3 5" xfId="20349" xr:uid="{C993B998-43E7-4FD5-9215-D709411078ED}"/>
    <cellStyle name="Migliaia 30 7 4" xfId="36671" xr:uid="{3EF684F2-C4D6-4F59-AFA4-0B3EEE24EB88}"/>
    <cellStyle name="Migliaia 30 7 5" xfId="41877" xr:uid="{7D8A47A0-78DA-4C58-8EF7-95A5A06AD153}"/>
    <cellStyle name="Migliaia 30 7 6" xfId="16377" xr:uid="{9A52623B-3DA1-479C-AAED-D60F3A5C4145}"/>
    <cellStyle name="Migliaia 30 7 7" xfId="8310" xr:uid="{1424AA44-B51C-45A4-8E5A-BCC2E6C47E2D}"/>
    <cellStyle name="Migliaia 30 8" xfId="3487" xr:uid="{68A5C82E-A2C6-482B-90B7-B8BF552AF108}"/>
    <cellStyle name="Migliaia 30 8 2" xfId="5213" xr:uid="{0F735C06-1672-40CF-BBA7-3FA38DF98E2E}"/>
    <cellStyle name="Migliaia 30 8 2 2" xfId="35290" xr:uid="{5EEBBEC6-F334-49B3-BAE2-19D9A4D2CA2F}"/>
    <cellStyle name="Migliaia 30 8 2 2 2" xfId="40450" xr:uid="{9B57D220-158C-4F08-9853-85E438E0673E}"/>
    <cellStyle name="Migliaia 30 8 2 2 3" xfId="45752" xr:uid="{416DF28D-CD70-48AE-B4F9-331B4231A72B}"/>
    <cellStyle name="Migliaia 30 8 2 3" xfId="37799" xr:uid="{CFF9994F-E040-4C5C-8F58-CC5B781B61F9}"/>
    <cellStyle name="Migliaia 30 8 2 4" xfId="43101" xr:uid="{76ED9E2F-7088-4775-8A98-658810E94E01}"/>
    <cellStyle name="Migliaia 30 8 2 5" xfId="13953" xr:uid="{900DFF0D-18A0-4BAB-9770-BC76545742BC}"/>
    <cellStyle name="Migliaia 30 8 3" xfId="6413" xr:uid="{9AD7F6A9-B684-434F-B343-9F1B4C6A9677}"/>
    <cellStyle name="Migliaia 30 8 3 2" xfId="39227" xr:uid="{74A7AB43-F6F7-4CA4-82F6-DD28143C8594}"/>
    <cellStyle name="Migliaia 30 8 3 3" xfId="44529" xr:uid="{0D21D3F5-D6D6-4AB1-B812-361D177FEE6E}"/>
    <cellStyle name="Migliaia 30 8 3 4" xfId="33740" xr:uid="{9662D04C-D5E8-411F-B361-216CAC53BF3F}"/>
    <cellStyle name="Migliaia 30 8 3 5" xfId="20350" xr:uid="{AEB7E21D-0E60-480A-8A55-2C4E0E30273E}"/>
    <cellStyle name="Migliaia 30 8 4" xfId="36672" xr:uid="{54FE888D-8D88-41E4-BE65-DEC208107118}"/>
    <cellStyle name="Migliaia 30 8 5" xfId="41878" xr:uid="{9B27372F-79E1-4318-9E2A-5C60217A8802}"/>
    <cellStyle name="Migliaia 30 8 6" xfId="16378" xr:uid="{9E4E273E-A8E5-4826-ADFE-466CD22CB447}"/>
    <cellStyle name="Migliaia 30 8 7" xfId="7914" xr:uid="{9ACBDEB0-40DE-41FD-9D65-8AC211450CE5}"/>
    <cellStyle name="Migliaia 30 9" xfId="5198" xr:uid="{5B8C657A-0E79-4B4F-8A93-7B984551F806}"/>
    <cellStyle name="Migliaia 30 9 2" xfId="33741" xr:uid="{BB94C76B-F937-42B9-8B22-F9996F693667}"/>
    <cellStyle name="Migliaia 30 9 2 2" xfId="39228" xr:uid="{BAC8D157-9C39-49F3-ADCD-BD70B3566379}"/>
    <cellStyle name="Migliaia 30 9 2 3" xfId="44530" xr:uid="{5E101982-0795-4EA5-859B-3A23858AD94F}"/>
    <cellStyle name="Migliaia 30 9 3" xfId="36673" xr:uid="{FB42C99F-D682-4BD3-84AD-96CAAA7207E6}"/>
    <cellStyle name="Migliaia 30 9 4" xfId="41879" xr:uid="{05DFC7DB-1600-4DCA-A555-25CD0316C17F}"/>
    <cellStyle name="Migliaia 30 9 5" xfId="17181" xr:uid="{7AC10A9B-ED72-48DC-A71E-A71819A233F6}"/>
    <cellStyle name="Migliaia 31" xfId="397" xr:uid="{00000000-0005-0000-0000-000097030000}"/>
    <cellStyle name="Migliaia 31 10" xfId="6414" xr:uid="{4201DA1F-C22F-4559-A7EC-5EB649D09421}"/>
    <cellStyle name="Migliaia 31 10 2" xfId="39229" xr:uid="{F7DCFF54-877A-465E-9847-5E73871A316B}"/>
    <cellStyle name="Migliaia 31 10 3" xfId="44531" xr:uid="{BAEA21FD-A439-4847-8645-720910AFBC2F}"/>
    <cellStyle name="Migliaia 31 10 4" xfId="33742" xr:uid="{A20EEBFA-6F88-480A-92D8-890A05192B3C}"/>
    <cellStyle name="Migliaia 31 10 5" xfId="20351" xr:uid="{ECC9EC6E-2DA9-4CA1-AEE5-A2415A9723D2}"/>
    <cellStyle name="Migliaia 31 11" xfId="3488" xr:uid="{98F5A35A-B1AA-4086-A4DC-2A3A154DF5A0}"/>
    <cellStyle name="Migliaia 31 11 2" xfId="36674" xr:uid="{A790EEB1-0F20-42DB-AD2B-1085DA5B88E8}"/>
    <cellStyle name="Migliaia 31 12" xfId="41880" xr:uid="{EC1EC125-BBCB-43E0-8B36-6FDDAD3A23D5}"/>
    <cellStyle name="Migliaia 31 13" xfId="7114" xr:uid="{6D3AF153-AC37-4322-9349-559458CA0B65}"/>
    <cellStyle name="Migliaia 31 2" xfId="398" xr:uid="{00000000-0005-0000-0000-000098030000}"/>
    <cellStyle name="Migliaia 31 2 2" xfId="1776" xr:uid="{00000000-0005-0000-0000-000099030000}"/>
    <cellStyle name="Migliaia 31 2 2 2" xfId="5216" xr:uid="{D4C8525C-5AC9-45E7-B611-3ECFE076F722}"/>
    <cellStyle name="Migliaia 31 2 2 2 2" xfId="14387" xr:uid="{1811335D-CEBE-4A8F-830E-B20C0236361D}"/>
    <cellStyle name="Migliaia 31 2 2 2 2 2" xfId="39230" xr:uid="{3EB6EBF3-04B9-4027-B59E-90FEDE849991}"/>
    <cellStyle name="Migliaia 31 2 2 2 2 3" xfId="44532" xr:uid="{8031BAE3-8A6A-46FF-9785-C91AF9102AD9}"/>
    <cellStyle name="Migliaia 31 2 2 2 3" xfId="18434" xr:uid="{65DC6CB4-7F4D-4E23-A813-855ABD3E6EB7}"/>
    <cellStyle name="Migliaia 31 2 2 2 4" xfId="20354" xr:uid="{F44A3523-7E2F-4F05-9928-9846EFD97F1E}"/>
    <cellStyle name="Migliaia 31 2 2 2 4 2" xfId="41881" xr:uid="{638D8CE7-4201-4A42-861C-A9DCD9C37AC9}"/>
    <cellStyle name="Migliaia 31 2 2 2 5" xfId="16379" xr:uid="{CA70EB2B-497F-4764-83F5-D4D72DEF5887}"/>
    <cellStyle name="Migliaia 31 2 2 2 6" xfId="8625" xr:uid="{1F4F5C33-7198-4C0D-80E6-EE879EB73F3D}"/>
    <cellStyle name="Migliaia 31 2 2 3" xfId="6416" xr:uid="{5B9AB063-49DD-47AC-815D-896102B318FF}"/>
    <cellStyle name="Migliaia 31 2 2 3 2" xfId="35291" xr:uid="{8E473046-A599-45E8-AAF0-8D06E1718CC6}"/>
    <cellStyle name="Migliaia 31 2 2 3 2 2" xfId="40451" xr:uid="{58638110-0960-4AB5-993B-D5DBCCFE8958}"/>
    <cellStyle name="Migliaia 31 2 2 3 2 3" xfId="45753" xr:uid="{819E95F7-749F-47C0-AA98-C38423E85D92}"/>
    <cellStyle name="Migliaia 31 2 2 3 3" xfId="37800" xr:uid="{B7953672-EBC0-446A-B2C2-DFDD0883510E}"/>
    <cellStyle name="Migliaia 31 2 2 3 4" xfId="43102" xr:uid="{B9935F55-88E2-496C-A292-65CF49A0736C}"/>
    <cellStyle name="Migliaia 31 2 2 3 5" xfId="11614" xr:uid="{2256E601-698E-487E-BF83-2EB03A66FD6F}"/>
    <cellStyle name="Migliaia 31 2 2 4" xfId="3490" xr:uid="{47369C82-A708-4A32-B3AF-F25E16759785}"/>
    <cellStyle name="Migliaia 31 2 2 4 2" xfId="21488" xr:uid="{148D4EB4-7180-49A3-AE2C-D2078BC97A01}"/>
    <cellStyle name="Migliaia 31 2 2 4 3" xfId="47898" xr:uid="{1A956806-2124-42BA-92AA-1C7E5779F5A7}"/>
    <cellStyle name="Migliaia 31 2 2 4 4" xfId="50503" xr:uid="{7E37D2CB-DAC0-47E8-8A7F-112058047E57}"/>
    <cellStyle name="Migliaia 31 2 2 4 5" xfId="53519" xr:uid="{29BDEB80-296E-444A-970A-201771B68E43}"/>
    <cellStyle name="Migliaia 31 2 2 4 6" xfId="10853" xr:uid="{E06435B3-F922-40B4-9053-BE40928DBD1D}"/>
    <cellStyle name="Migliaia 31 2 2 5" xfId="20353" xr:uid="{E9D41C6E-C536-4F6A-AA46-53709F97F599}"/>
    <cellStyle name="Migliaia 31 2 2 6" xfId="24731" xr:uid="{FD0AC249-99BD-4D0B-BFAF-FA6D4619FCD6}"/>
    <cellStyle name="Migliaia 31 2 2 7" xfId="7435" xr:uid="{D4492925-C907-4976-8E68-1F22295CC182}"/>
    <cellStyle name="Migliaia 31 2 3" xfId="3491" xr:uid="{30762D4D-8378-4AC8-AC4E-6097F410DDE2}"/>
    <cellStyle name="Migliaia 31 2 3 2" xfId="5217" xr:uid="{E0159559-0C30-4058-B130-10BFA4CBC2DA}"/>
    <cellStyle name="Migliaia 31 2 3 2 2" xfId="35292" xr:uid="{CFBBFA89-7672-430A-8CFC-16BEAA23820B}"/>
    <cellStyle name="Migliaia 31 2 3 2 2 2" xfId="40452" xr:uid="{397DDC9F-8654-4AD0-A607-6367E37BD157}"/>
    <cellStyle name="Migliaia 31 2 3 2 2 3" xfId="45754" xr:uid="{FA7AE08A-FFA8-4686-BF95-BB6C2D11892E}"/>
    <cellStyle name="Migliaia 31 2 3 2 3" xfId="37801" xr:uid="{DAD6D61D-CE0D-4492-88B5-B04490865C7D}"/>
    <cellStyle name="Migliaia 31 2 3 2 4" xfId="43103" xr:uid="{DED4F2DB-AF9A-4AC7-9B01-79204052EBB2}"/>
    <cellStyle name="Migliaia 31 2 3 2 5" xfId="14252" xr:uid="{7C801C64-F82A-4768-B365-7EFD497A401C}"/>
    <cellStyle name="Migliaia 31 2 3 3" xfId="6417" xr:uid="{7D9254F1-66E6-4EA3-8964-B672336AA2CA}"/>
    <cellStyle name="Migliaia 31 2 3 3 2" xfId="39231" xr:uid="{3462B760-C7BC-4BB9-924F-396E1CA0EE4F}"/>
    <cellStyle name="Migliaia 31 2 3 3 3" xfId="44533" xr:uid="{A8C696C3-F064-4AF3-9912-0E3CA55DF0BA}"/>
    <cellStyle name="Migliaia 31 2 3 3 4" xfId="33743" xr:uid="{7CF4095D-C6EC-4178-ADC2-931811545405}"/>
    <cellStyle name="Migliaia 31 2 3 3 5" xfId="20355" xr:uid="{1B8921D7-3EC7-4D16-A3D6-A10D2B188A9E}"/>
    <cellStyle name="Migliaia 31 2 3 4" xfId="36675" xr:uid="{CA489EC8-1908-46FF-A431-F01E575B04C2}"/>
    <cellStyle name="Migliaia 31 2 3 5" xfId="41882" xr:uid="{8D373055-761E-4A8C-AC6C-7DE5BC708B26}"/>
    <cellStyle name="Migliaia 31 2 3 6" xfId="16380" xr:uid="{D395A64A-6220-4602-84F0-0DA473146DF2}"/>
    <cellStyle name="Migliaia 31 2 3 7" xfId="8314" xr:uid="{653596A6-B145-411B-87B4-2828930EB571}"/>
    <cellStyle name="Migliaia 31 2 4" xfId="5215" xr:uid="{1D1A6913-A23C-4F81-AB98-A42438FA8BD9}"/>
    <cellStyle name="Migliaia 31 2 4 2" xfId="13957" xr:uid="{2DA9365E-FD83-40AF-8631-BAEF7573303E}"/>
    <cellStyle name="Migliaia 31 2 4 2 2" xfId="39232" xr:uid="{603B3ADB-6E77-4955-B690-43AC95624CFC}"/>
    <cellStyle name="Migliaia 31 2 4 2 3" xfId="44534" xr:uid="{3EBC6D45-8BD5-43B3-80C8-40D1290951B7}"/>
    <cellStyle name="Migliaia 31 2 4 3" xfId="18048" xr:uid="{C2407FBC-EFFE-4D44-9D23-57D5F9B36E25}"/>
    <cellStyle name="Migliaia 31 2 4 4" xfId="20356" xr:uid="{E284B8C0-030E-435D-8B55-1F499CFBD7EF}"/>
    <cellStyle name="Migliaia 31 2 4 4 2" xfId="41883" xr:uid="{664DC3B9-473D-4EC3-B1E8-890AF1105C20}"/>
    <cellStyle name="Migliaia 31 2 4 5" xfId="16381" xr:uid="{B3056830-0BC2-424F-9C80-E81617C72A49}"/>
    <cellStyle name="Migliaia 31 2 4 6" xfId="7919" xr:uid="{E9EA08F9-A9FC-40AE-921F-1C686979B409}"/>
    <cellStyle name="Migliaia 31 2 5" xfId="6415" xr:uid="{7F28D860-C435-42DD-9574-83D99CF78566}"/>
    <cellStyle name="Migliaia 31 2 5 2" xfId="33744" xr:uid="{B5115CA7-41C3-43BA-BC83-9D7BCCA7F80F}"/>
    <cellStyle name="Migliaia 31 2 5 2 2" xfId="39233" xr:uid="{D284C7D8-54AF-4234-B980-38B94DA479C5}"/>
    <cellStyle name="Migliaia 31 2 5 2 3" xfId="44535" xr:uid="{F10E9DC8-9965-49C0-AC9A-4FF5CDCACC46}"/>
    <cellStyle name="Migliaia 31 2 5 3" xfId="36676" xr:uid="{9BB3B77E-5C01-4087-BED5-CF51263A5495}"/>
    <cellStyle name="Migliaia 31 2 5 4" xfId="41884" xr:uid="{4ED46D05-C153-441B-8AAF-D72321A8B442}"/>
    <cellStyle name="Migliaia 31 2 5 5" xfId="13127" xr:uid="{EFA2A021-3431-4BFA-A7F7-063205D1A715}"/>
    <cellStyle name="Migliaia 31 2 6" xfId="3489" xr:uid="{04C8A515-55ED-4DD1-A7DC-149F66F6F98B}"/>
    <cellStyle name="Migliaia 31 2 6 2" xfId="33745" xr:uid="{0F338E47-5809-4F1D-A03D-197690138987}"/>
    <cellStyle name="Migliaia 31 2 6 2 2" xfId="39234" xr:uid="{84E09B6B-BCE3-4908-9D77-5DA0147AAC7E}"/>
    <cellStyle name="Migliaia 31 2 6 2 3" xfId="44536" xr:uid="{5B18C787-2989-478F-93FC-4CA2E9603CD8}"/>
    <cellStyle name="Migliaia 31 2 6 3" xfId="36677" xr:uid="{D4BD1EA9-9D10-4AE7-82B7-1150C7E600B3}"/>
    <cellStyle name="Migliaia 31 2 6 4" xfId="41885" xr:uid="{2DE41D8C-6009-413D-AA66-39B4FD61D710}"/>
    <cellStyle name="Migliaia 31 2 6 5" xfId="24732" xr:uid="{7F2EF045-4F21-4BCE-80B9-00002A917CEA}"/>
    <cellStyle name="Migliaia 31 2 6 6" xfId="20352" xr:uid="{50FAD4B5-9726-4DF3-A264-1F84CA96A2EF}"/>
    <cellStyle name="Migliaia 31 2 7" xfId="24730" xr:uid="{4AE82017-836C-4C0C-8E63-2D08A260AE71}"/>
    <cellStyle name="Migliaia 31 2 8" xfId="7115" xr:uid="{CFAA4451-FE3F-4941-97E7-553EB9E7016E}"/>
    <cellStyle name="Migliaia 31 3" xfId="399" xr:uid="{00000000-0005-0000-0000-00009A030000}"/>
    <cellStyle name="Migliaia 31 3 10" xfId="24733" xr:uid="{F59303C0-4FA2-4C1C-9CDE-3A07121CF459}"/>
    <cellStyle name="Migliaia 31 3 11" xfId="16382" xr:uid="{02F9824C-06F5-42B9-A471-8DE1AC3CDC7E}"/>
    <cellStyle name="Migliaia 31 3 12" xfId="7116" xr:uid="{50621E49-C3D8-4BA1-8BD5-60C3FCEC4CD4}"/>
    <cellStyle name="Migliaia 31 3 2" xfId="400" xr:uid="{00000000-0005-0000-0000-00009B030000}"/>
    <cellStyle name="Migliaia 31 3 2 2" xfId="1777" xr:uid="{00000000-0005-0000-0000-00009C030000}"/>
    <cellStyle name="Migliaia 31 3 2 2 2" xfId="5220" xr:uid="{DF71539A-74F4-437F-8BD1-A4521F5A17BD}"/>
    <cellStyle name="Migliaia 31 3 2 2 2 2" xfId="18435" xr:uid="{C1E541C8-B31C-48B6-A2C4-EDD6A1133138}"/>
    <cellStyle name="Migliaia 31 3 2 2 2 2 2" xfId="21865" xr:uid="{44AB6FA0-46EC-4DB0-BDFB-890AE820B5E9}"/>
    <cellStyle name="Migliaia 31 3 2 2 2 2 2 2" xfId="39235" xr:uid="{4ABA8E73-D015-479A-9694-5B6ABA323054}"/>
    <cellStyle name="Migliaia 31 3 2 2 2 2 3" xfId="44537" xr:uid="{C2452BE2-5D60-4ABC-B4F2-CB9BF91AF338}"/>
    <cellStyle name="Migliaia 31 3 2 2 2 2 4" xfId="33746" xr:uid="{F64EA6CE-5177-410C-8ED5-C3C6E660214D}"/>
    <cellStyle name="Migliaia 31 3 2 2 2 3" xfId="36678" xr:uid="{20094BCF-1F0C-4D33-AF72-63074F4EAB4E}"/>
    <cellStyle name="Migliaia 31 3 2 2 2 4" xfId="41886" xr:uid="{A0EB0186-E91F-4C42-B9F9-E5C33212EE75}"/>
    <cellStyle name="Migliaia 31 3 2 2 2 5" xfId="25118" xr:uid="{D1313508-170E-4426-A0B1-379C666512DD}"/>
    <cellStyle name="Migliaia 31 3 2 2 2 6" xfId="50893" xr:uid="{EE095993-DC90-4266-A438-3CD28ACE6050}"/>
    <cellStyle name="Migliaia 31 3 2 2 2 7" xfId="53909" xr:uid="{AE00583B-F2AC-4FF4-A77C-F1B1EF1214C5}"/>
    <cellStyle name="Migliaia 31 3 2 2 2 8" xfId="17662" xr:uid="{05C555D6-6C05-4618-9B49-834B9DB1C25E}"/>
    <cellStyle name="Migliaia 31 3 2 2 2 9" xfId="11983" xr:uid="{A59EA2FF-D2EC-43F1-A33D-642895083741}"/>
    <cellStyle name="Migliaia 31 3 2 2 3" xfId="6420" xr:uid="{77D51350-50C7-490F-B3DF-F5AA14B70FE5}"/>
    <cellStyle name="Migliaia 31 3 2 2 3 2" xfId="11561" xr:uid="{12F9AE96-0549-4F52-B3A8-5CBC988EFDDE}"/>
    <cellStyle name="Migliaia 31 3 2 2 4" xfId="3494" xr:uid="{6902512F-08C6-4B01-87E8-60DCE8CD288D}"/>
    <cellStyle name="Migliaia 31 3 2 2 4 2" xfId="21489" xr:uid="{00954306-E73A-4734-9261-B5574B1CAA22}"/>
    <cellStyle name="Migliaia 31 3 2 2 4 3" xfId="46240" xr:uid="{EC673F0E-9BC4-42F4-8FC4-BE3143506309}"/>
    <cellStyle name="Migliaia 31 3 2 2 4 4" xfId="50504" xr:uid="{147B01FC-9C43-496F-B036-02606133F1D8}"/>
    <cellStyle name="Migliaia 31 3 2 2 4 5" xfId="53520" xr:uid="{1BE276C7-34D6-4A86-85E0-19D5FE5D5527}"/>
    <cellStyle name="Migliaia 31 3 2 2 4 6" xfId="10854" xr:uid="{7453F83B-8D35-4815-8ABC-602A6A4637BE}"/>
    <cellStyle name="Migliaia 31 3 2 2 5" xfId="20359" xr:uid="{71FCA41B-102B-4FA9-A9AA-AA386FF397F6}"/>
    <cellStyle name="Migliaia 31 3 2 2 6" xfId="24735" xr:uid="{4B4116FF-4F54-4B9C-BE5C-0649BC71212C}"/>
    <cellStyle name="Migliaia 31 3 2 2 7" xfId="8627" xr:uid="{3520C8AF-E5E0-41B9-A1A3-494A941594E2}"/>
    <cellStyle name="Migliaia 31 3 2 3" xfId="5219" xr:uid="{09E0C114-33C2-468D-A27D-C25888CD82A8}"/>
    <cellStyle name="Migliaia 31 3 2 3 2" xfId="12413" xr:uid="{01ED5FFD-18F6-4745-A98B-5F517F4AA934}"/>
    <cellStyle name="Migliaia 31 3 2 3 2 2" xfId="39236" xr:uid="{10E6201F-476E-417C-8FD2-7FF636BC5DE6}"/>
    <cellStyle name="Migliaia 31 3 2 3 2 3" xfId="44538" xr:uid="{552DBB11-592B-4CF5-9701-CDE654D213D0}"/>
    <cellStyle name="Migliaia 31 3 2 3 2 4" xfId="33747" xr:uid="{E4FDB6FD-2C13-404B-B045-E9B43CF2A038}"/>
    <cellStyle name="Migliaia 31 3 2 3 3" xfId="11984" xr:uid="{E3687BA6-4C73-4A14-9A62-491A9AE9C346}"/>
    <cellStyle name="Migliaia 31 3 2 3 4" xfId="20360" xr:uid="{17781622-987D-4371-BF10-048CE0120C8E}"/>
    <cellStyle name="Migliaia 31 3 2 3 4 2" xfId="41887" xr:uid="{A80E8E6C-2A11-4DE2-A7E2-08C28907912D}"/>
    <cellStyle name="Migliaia 31 3 2 3 5" xfId="16383" xr:uid="{009B6D10-593B-4DCB-9961-8582EED0E21B}"/>
    <cellStyle name="Migliaia 31 3 2 3 6" xfId="7921" xr:uid="{3CA03E4F-6045-4724-9EF1-598AE04BEEDA}"/>
    <cellStyle name="Migliaia 31 3 2 4" xfId="6419" xr:uid="{76050A85-0A90-46F9-9A30-42A5C0029655}"/>
    <cellStyle name="Migliaia 31 3 2 4 2" xfId="18081" xr:uid="{3134B4E1-959B-4DA0-9F14-724409D74994}"/>
    <cellStyle name="Migliaia 31 3 2 4 2 2" xfId="39237" xr:uid="{929829D3-C26C-4469-8C37-7D7F9D9B2296}"/>
    <cellStyle name="Migliaia 31 3 2 4 2 3" xfId="44539" xr:uid="{278DD10D-20B8-4557-A95A-00540678D18F}"/>
    <cellStyle name="Migliaia 31 3 2 4 3" xfId="36679" xr:uid="{BA36D7A5-4740-4F91-A91B-DDE860E7D16E}"/>
    <cellStyle name="Migliaia 31 3 2 4 4" xfId="41888" xr:uid="{624CDC04-6E80-427B-9AD5-EB478B60CE93}"/>
    <cellStyle name="Migliaia 31 3 2 4 5" xfId="17184" xr:uid="{2155263D-F15D-46E9-A6A3-D75C6994E7FC}"/>
    <cellStyle name="Migliaia 31 3 2 4 6" xfId="11332" xr:uid="{6DA2C26A-E05E-4FB2-BABC-4BDE8D6FDCCA}"/>
    <cellStyle name="Migliaia 31 3 2 5" xfId="3493" xr:uid="{BAC76DF3-711D-43D4-B822-D8482F1BF89D}"/>
    <cellStyle name="Migliaia 31 3 2 5 2" xfId="33748" xr:uid="{0CBAE39A-50FE-4D93-A8AE-5FC4FB5A6810}"/>
    <cellStyle name="Migliaia 31 3 2 5 2 2" xfId="39238" xr:uid="{7376D6EA-78D3-4304-981C-59748BB962C4}"/>
    <cellStyle name="Migliaia 31 3 2 5 2 3" xfId="44540" xr:uid="{83FDD109-56E6-4738-A01B-1DD3CFDCCD60}"/>
    <cellStyle name="Migliaia 31 3 2 5 3" xfId="36680" xr:uid="{567248DA-BF5C-469D-A22A-68CCB49E7276}"/>
    <cellStyle name="Migliaia 31 3 2 5 4" xfId="41889" xr:uid="{CF8C6806-DB78-4249-A29D-7E203047F26E}"/>
    <cellStyle name="Migliaia 31 3 2 5 5" xfId="17354" xr:uid="{1FB87460-B61C-4125-AF75-D8648A7670FE}"/>
    <cellStyle name="Migliaia 31 3 2 6" xfId="20358" xr:uid="{D44E5098-0D57-458B-840D-D21E2F1B288C}"/>
    <cellStyle name="Migliaia 31 3 2 6 2" xfId="33749" xr:uid="{345592E1-829B-4A3B-87D3-B37ABCD3F9E6}"/>
    <cellStyle name="Migliaia 31 3 2 6 2 2" xfId="39239" xr:uid="{4FB4B4DE-FD88-470C-925E-2F1413ECEA18}"/>
    <cellStyle name="Migliaia 31 3 2 6 2 3" xfId="44541" xr:uid="{429EA2BD-E70A-4657-9B31-A389FAB74B50}"/>
    <cellStyle name="Migliaia 31 3 2 6 3" xfId="36681" xr:uid="{7B016810-30A8-4752-B429-3B9C1B7D33CF}"/>
    <cellStyle name="Migliaia 31 3 2 6 4" xfId="41890" xr:uid="{6B71A572-D1C8-4F21-8B53-0FD41B772525}"/>
    <cellStyle name="Migliaia 31 3 2 6 5" xfId="24736" xr:uid="{F452539B-7AFD-47E3-8314-5B07506E9D31}"/>
    <cellStyle name="Migliaia 31 3 2 7" xfId="24734" xr:uid="{8501F202-9CCF-427D-BB78-F984A99C5927}"/>
    <cellStyle name="Migliaia 31 3 2 8" xfId="7437" xr:uid="{225C635F-FCA7-49A9-8644-00125B5CF8D9}"/>
    <cellStyle name="Migliaia 31 3 3" xfId="3495" xr:uid="{D3BDCB50-6E7F-4B9A-9244-6B124F81DFF6}"/>
    <cellStyle name="Migliaia 31 3 3 10" xfId="7436" xr:uid="{6E3CEDD8-0CDD-48CF-9773-60A12BA33C81}"/>
    <cellStyle name="Migliaia 31 3 3 2" xfId="5221" xr:uid="{8E78C43B-41FB-4D0F-9CDC-5EA3F67D585D}"/>
    <cellStyle name="Migliaia 31 3 3 2 2" xfId="9930" xr:uid="{5CCF491B-9096-4803-90B8-54438CAE1BD4}"/>
    <cellStyle name="Migliaia 31 3 3 2 2 2" xfId="39241" xr:uid="{B2CFE6A5-1816-4B2F-8EA3-E5D15F28C890}"/>
    <cellStyle name="Migliaia 31 3 3 2 2 3" xfId="44543" xr:uid="{70436AE1-B6D7-4DEE-9932-1F59318DBA58}"/>
    <cellStyle name="Migliaia 31 3 3 2 3" xfId="18210" xr:uid="{CDE44738-839B-4BE5-8313-768A79E75B98}"/>
    <cellStyle name="Migliaia 31 3 3 2 4" xfId="20362" xr:uid="{55BEF220-47A5-4AA4-9726-E5DC65B9BD76}"/>
    <cellStyle name="Migliaia 31 3 3 2 4 2" xfId="41892" xr:uid="{767ED706-A510-41BE-8A8B-5E6520107E3B}"/>
    <cellStyle name="Migliaia 31 3 3 2 5" xfId="16385" xr:uid="{D5FCE0DD-2E81-43DD-971E-D925EAB62FEE}"/>
    <cellStyle name="Migliaia 31 3 3 2 6" xfId="8626" xr:uid="{6A53DAE4-8F85-41C0-A6F5-0E4F84881DD8}"/>
    <cellStyle name="Migliaia 31 3 3 3" xfId="6421" xr:uid="{893AD938-730D-4D6C-B254-03A4384AE400}"/>
    <cellStyle name="Migliaia 31 3 3 3 2" xfId="33751" xr:uid="{1C54D824-83F3-4E69-BEF4-633B46B63CEF}"/>
    <cellStyle name="Migliaia 31 3 3 3 2 2" xfId="39242" xr:uid="{7D06A263-F990-4F84-8BD1-4696B8D3753B}"/>
    <cellStyle name="Migliaia 31 3 3 3 2 3" xfId="44544" xr:uid="{D5760284-31A8-4FFC-A47B-10044966A57B}"/>
    <cellStyle name="Migliaia 31 3 3 3 3" xfId="36683" xr:uid="{2CDB14AB-76E3-4B76-94AE-C2F4874506E5}"/>
    <cellStyle name="Migliaia 31 3 3 3 4" xfId="41893" xr:uid="{EA997AAA-8A0E-4292-84BA-D77DDCE22775}"/>
    <cellStyle name="Migliaia 31 3 3 3 5" xfId="9693" xr:uid="{6BE3AC87-8E19-4BA1-88C2-70F7B19177A5}"/>
    <cellStyle name="Migliaia 31 3 3 4" xfId="20361" xr:uid="{98A408FE-4BA2-4D2E-854D-3AFCABE0B243}"/>
    <cellStyle name="Migliaia 31 3 3 4 2" xfId="33752" xr:uid="{CD0E34D2-5643-4341-929B-973FB6961A90}"/>
    <cellStyle name="Migliaia 31 3 3 4 2 2" xfId="39243" xr:uid="{3AFE4A14-A951-4496-8ABE-EE50663B6CA9}"/>
    <cellStyle name="Migliaia 31 3 3 4 2 3" xfId="44545" xr:uid="{3278A17B-5B74-4EED-A1BC-62029A4CE1F2}"/>
    <cellStyle name="Migliaia 31 3 3 4 3" xfId="36684" xr:uid="{37B59550-3385-4C28-9F9E-9E923C899562}"/>
    <cellStyle name="Migliaia 31 3 3 4 4" xfId="41894" xr:uid="{77AEB111-3235-4C30-B1B1-0D4BEE299962}"/>
    <cellStyle name="Migliaia 31 3 3 4 5" xfId="24737" xr:uid="{83018D26-81F7-4361-A81E-3C7E3B888BDF}"/>
    <cellStyle name="Migliaia 31 3 3 5" xfId="24738" xr:uid="{888CA912-9604-4F4B-BB52-3CCC8A8932B2}"/>
    <cellStyle name="Migliaia 31 3 3 5 2" xfId="33753" xr:uid="{872B2D3A-8B11-47E5-9E81-5527D113661B}"/>
    <cellStyle name="Migliaia 31 3 3 5 2 2" xfId="39244" xr:uid="{70C812EE-1115-49E1-A0F5-5034FAD9AA72}"/>
    <cellStyle name="Migliaia 31 3 3 5 2 3" xfId="44546" xr:uid="{9211998D-058A-49E0-ADB5-EC2E49BD1C79}"/>
    <cellStyle name="Migliaia 31 3 3 5 3" xfId="36685" xr:uid="{45469E5F-8F22-446C-9F76-B62A82F6296A}"/>
    <cellStyle name="Migliaia 31 3 3 5 4" xfId="41895" xr:uid="{AFAF7C5F-1487-49C0-B2E8-B3A5CEFD372F}"/>
    <cellStyle name="Migliaia 31 3 3 6" xfId="33750" xr:uid="{8E584D8E-8F07-4173-A3CA-4BC9DA490C87}"/>
    <cellStyle name="Migliaia 31 3 3 6 2" xfId="39240" xr:uid="{43DC9B23-C0DE-41C4-AFB9-A23E6EC72358}"/>
    <cellStyle name="Migliaia 31 3 3 6 3" xfId="44542" xr:uid="{5C1758B2-105D-4255-94BE-3C1FE06125FB}"/>
    <cellStyle name="Migliaia 31 3 3 7" xfId="36682" xr:uid="{408FE824-73A4-4A11-9F04-1A83B2AF9527}"/>
    <cellStyle name="Migliaia 31 3 3 8" xfId="41891" xr:uid="{C184D14B-0973-486B-8685-B66B27983E4A}"/>
    <cellStyle name="Migliaia 31 3 3 9" xfId="16384" xr:uid="{D84A0F76-3442-4547-829B-3543C6532142}"/>
    <cellStyle name="Migliaia 31 3 4" xfId="3496" xr:uid="{84CA125A-BA26-45F8-9DED-C565E220C5BF}"/>
    <cellStyle name="Migliaia 31 3 4 2" xfId="5222" xr:uid="{8EB56F92-E8F9-4EDE-B599-227C0043B235}"/>
    <cellStyle name="Migliaia 31 3 4 2 2" xfId="14447" xr:uid="{7E3CF24B-DE85-49E6-83EC-5F0D7CFA8C24}"/>
    <cellStyle name="Migliaia 31 3 4 2 3" xfId="18034" xr:uid="{BF75D73D-82D3-49D8-BC00-86844C760CF4}"/>
    <cellStyle name="Migliaia 31 3 4 2 4" xfId="20364" xr:uid="{D5FCC455-8237-48A2-AFA5-EC54B81CC8CF}"/>
    <cellStyle name="Migliaia 31 3 4 2 5" xfId="32374" xr:uid="{4FE5EC5F-B3D4-4F94-8909-FA689EF34586}"/>
    <cellStyle name="Migliaia 31 3 4 2 6" xfId="16387" xr:uid="{E4C28CF8-29E6-4789-B00C-151763120197}"/>
    <cellStyle name="Migliaia 31 3 4 2 7" xfId="8870" xr:uid="{85BF0225-73FE-4986-8C2C-42379B1547BF}"/>
    <cellStyle name="Migliaia 31 3 4 3" xfId="6422" xr:uid="{99B068B8-AF70-4599-8CA0-675CDFB635B4}"/>
    <cellStyle name="Migliaia 31 3 4 3 2" xfId="35293" xr:uid="{0BEF78AB-BB09-4115-8028-84C170A3E13D}"/>
    <cellStyle name="Migliaia 31 3 4 3 2 2" xfId="40453" xr:uid="{244E9E6D-844E-40C6-B37E-D242106E3CA3}"/>
    <cellStyle name="Migliaia 31 3 4 3 2 3" xfId="45755" xr:uid="{C26B83F7-AB34-4EDC-A606-43CB6A0A9BCB}"/>
    <cellStyle name="Migliaia 31 3 4 3 3" xfId="37802" xr:uid="{8EA34DE4-CE68-44D9-922D-BF23ED718AB5}"/>
    <cellStyle name="Migliaia 31 3 4 3 4" xfId="43104" xr:uid="{6EBD7D4D-BBA2-4F72-AABC-13BC0EEBA33A}"/>
    <cellStyle name="Migliaia 31 3 4 3 5" xfId="13695" xr:uid="{BAD54529-2722-44CF-A8FA-BA2EFDB82E72}"/>
    <cellStyle name="Migliaia 31 3 4 4" xfId="20363" xr:uid="{60F186BD-E3A3-43AA-904A-450253B57011}"/>
    <cellStyle name="Migliaia 31 3 4 4 2" xfId="39245" xr:uid="{7635EE65-8FD7-461F-9686-CCC43E227B07}"/>
    <cellStyle name="Migliaia 31 3 4 4 3" xfId="44547" xr:uid="{0EDC2BB7-E8FC-437F-AA61-2CF7911B6625}"/>
    <cellStyle name="Migliaia 31 3 4 4 4" xfId="33754" xr:uid="{EC2B8E66-B4B7-4AF2-8DC8-6BC6BFD44D14}"/>
    <cellStyle name="Migliaia 31 3 4 5" xfId="36686" xr:uid="{CC81F35A-7EFE-4AF2-94C3-12945AB77E4E}"/>
    <cellStyle name="Migliaia 31 3 4 6" xfId="41896" xr:uid="{351F6534-0C29-443E-8243-8CAD05E0B406}"/>
    <cellStyle name="Migliaia 31 3 4 7" xfId="16386" xr:uid="{6BF02431-61D9-414D-A385-DDE49801E331}"/>
    <cellStyle name="Migliaia 31 3 4 8" xfId="7680" xr:uid="{E786EFA2-CE60-41C7-B15F-A9AE249C201B}"/>
    <cellStyle name="Migliaia 31 3 5" xfId="3497" xr:uid="{A5992FC6-E45C-4A62-B8DA-AC62F6AB789B}"/>
    <cellStyle name="Migliaia 31 3 5 2" xfId="5223" xr:uid="{20A7DA60-DD5A-4F80-9DAB-3DED3D0D1967}"/>
    <cellStyle name="Migliaia 31 3 5 2 2" xfId="35294" xr:uid="{80FF3102-1F31-460C-98C0-B10934085A70}"/>
    <cellStyle name="Migliaia 31 3 5 2 2 2" xfId="40454" xr:uid="{F2BE22FE-EC91-4C4C-95A7-ABC8A883291F}"/>
    <cellStyle name="Migliaia 31 3 5 2 2 3" xfId="45756" xr:uid="{AE4982EE-CA72-48FA-B9C8-6089871636CD}"/>
    <cellStyle name="Migliaia 31 3 5 2 3" xfId="37803" xr:uid="{73D4CF58-BEEF-472B-8B5B-621971897E17}"/>
    <cellStyle name="Migliaia 31 3 5 2 4" xfId="43105" xr:uid="{80ED1C44-4491-4C9B-8385-89D92D26C62A}"/>
    <cellStyle name="Migliaia 31 3 5 2 5" xfId="14253" xr:uid="{162D3F3F-31FB-46E8-AD2F-5378BFE4E2F6}"/>
    <cellStyle name="Migliaia 31 3 5 3" xfId="6423" xr:uid="{AC44422E-D10F-4E3C-978F-FD439BC657AA}"/>
    <cellStyle name="Migliaia 31 3 5 3 2" xfId="39246" xr:uid="{17B7D9E2-94F5-4A65-8F33-745387BEDF1F}"/>
    <cellStyle name="Migliaia 31 3 5 3 3" xfId="44548" xr:uid="{F1F1ADA4-B232-4716-A145-271B25411983}"/>
    <cellStyle name="Migliaia 31 3 5 3 4" xfId="33755" xr:uid="{E7F1E160-274F-45F5-A97E-E0F61D77CCF3}"/>
    <cellStyle name="Migliaia 31 3 5 3 5" xfId="20365" xr:uid="{8BB0AD91-8A89-4126-A3C8-2D3896E04A2B}"/>
    <cellStyle name="Migliaia 31 3 5 4" xfId="36687" xr:uid="{7CEFC9AC-822A-44F9-AA95-B2874991F155}"/>
    <cellStyle name="Migliaia 31 3 5 5" xfId="41897" xr:uid="{C516737F-47A7-4710-88FB-0D1C8461D72D}"/>
    <cellStyle name="Migliaia 31 3 5 6" xfId="16388" xr:uid="{C0A97C5F-C0B2-4E9E-B27A-CE768F71335F}"/>
    <cellStyle name="Migliaia 31 3 5 7" xfId="8315" xr:uid="{0B2C801B-4B33-4910-A5AD-850345E18E03}"/>
    <cellStyle name="Migliaia 31 3 6" xfId="5218" xr:uid="{A30F4ECE-8C48-420B-A18D-44568CEBDAA0}"/>
    <cellStyle name="Migliaia 31 3 6 2" xfId="13958" xr:uid="{5A3DCAC6-1471-4556-B581-99B7A3409C03}"/>
    <cellStyle name="Migliaia 31 3 6 2 2" xfId="39247" xr:uid="{2132871D-8A55-4416-96FC-970CC191FF14}"/>
    <cellStyle name="Migliaia 31 3 6 2 3" xfId="44549" xr:uid="{A27AA4A1-23CA-4DB3-990A-FFA106342A54}"/>
    <cellStyle name="Migliaia 31 3 6 3" xfId="18708" xr:uid="{8BDE2256-F2E4-4F32-B473-4BBD1C2A3BDD}"/>
    <cellStyle name="Migliaia 31 3 6 4" xfId="20366" xr:uid="{639D641F-5571-48FF-988F-73F6F3986988}"/>
    <cellStyle name="Migliaia 31 3 6 4 2" xfId="41898" xr:uid="{C06F6988-C52B-4FAF-ADB5-3644775C660A}"/>
    <cellStyle name="Migliaia 31 3 6 5" xfId="16389" xr:uid="{5E7713F9-9D2D-41D0-ABF0-74118D955B53}"/>
    <cellStyle name="Migliaia 31 3 6 6" xfId="7920" xr:uid="{B72738CD-F0A7-4ADA-92DE-53E5C17EB695}"/>
    <cellStyle name="Migliaia 31 3 7" xfId="6418" xr:uid="{6C5F6CFF-311E-4E3C-ABAA-C50FA2B916B8}"/>
    <cellStyle name="Migliaia 31 3 7 2" xfId="33756" xr:uid="{CBBCF93E-E0D3-4622-B74C-D3CF9FDD0016}"/>
    <cellStyle name="Migliaia 31 3 7 2 2" xfId="39248" xr:uid="{767C0218-E9EF-4485-8533-D857E5B3A40F}"/>
    <cellStyle name="Migliaia 31 3 7 2 3" xfId="44550" xr:uid="{E96D34D1-3CC0-48CF-9C2F-CA43B4EBE590}"/>
    <cellStyle name="Migliaia 31 3 7 3" xfId="36688" xr:uid="{DAEEC8FD-96C5-4D75-A03E-AE1AB7379715}"/>
    <cellStyle name="Migliaia 31 3 7 4" xfId="41899" xr:uid="{0C639276-A3F3-4322-A68B-34973F8B43CF}"/>
    <cellStyle name="Migliaia 31 3 7 5" xfId="11220" xr:uid="{68758E9F-B9E6-446B-B787-B52419319955}"/>
    <cellStyle name="Migliaia 31 3 8" xfId="3492" xr:uid="{FCD0D78F-85CE-4180-B381-020C64E93EEF}"/>
    <cellStyle name="Migliaia 31 3 8 2" xfId="33757" xr:uid="{5215B0FC-133A-4B17-AE67-1F31060D136E}"/>
    <cellStyle name="Migliaia 31 3 8 2 2" xfId="39249" xr:uid="{59D4A502-DC6F-4EBC-8AFF-4EE32D161D26}"/>
    <cellStyle name="Migliaia 31 3 8 2 3" xfId="44551" xr:uid="{90930F00-3097-4636-9BB1-5171E0FB885B}"/>
    <cellStyle name="Migliaia 31 3 8 3" xfId="36689" xr:uid="{AB8E8FF9-E1A3-41BF-AA3F-0C3845A50445}"/>
    <cellStyle name="Migliaia 31 3 8 4" xfId="41900" xr:uid="{48A01FF2-C657-4247-BA67-85EE00DFE49C}"/>
    <cellStyle name="Migliaia 31 3 8 5" xfId="24739" xr:uid="{F55EB6E7-F0BD-4D1D-8522-39F9A347D946}"/>
    <cellStyle name="Migliaia 31 3 8 6" xfId="17355" xr:uid="{5119D3EE-F81F-4181-AFB3-FB9676250445}"/>
    <cellStyle name="Migliaia 31 3 9" xfId="20357" xr:uid="{15B94DB4-C0B6-4240-B8B3-A0F390C53C2B}"/>
    <cellStyle name="Migliaia 31 4" xfId="1778" xr:uid="{00000000-0005-0000-0000-00009D030000}"/>
    <cellStyle name="Migliaia 31 4 2" xfId="1779" xr:uid="{00000000-0005-0000-0000-00009E030000}"/>
    <cellStyle name="Migliaia 31 4 2 2" xfId="5225" xr:uid="{D43F4634-FB95-4689-A780-2270C5BE933E}"/>
    <cellStyle name="Migliaia 31 4 2 2 2" xfId="33758" xr:uid="{6F2560E5-584D-40FB-8142-3B2F1D540F2F}"/>
    <cellStyle name="Migliaia 31 4 2 2 2 2" xfId="39250" xr:uid="{E9E10B04-4153-421C-8DBD-E5E7A3CCB0F9}"/>
    <cellStyle name="Migliaia 31 4 2 2 2 3" xfId="44552" xr:uid="{3322DF91-65C3-44D5-B734-6CBBAC45D1D9}"/>
    <cellStyle name="Migliaia 31 4 2 2 3" xfId="36690" xr:uid="{A19A509D-9747-4ACC-9F81-105FC970FA13}"/>
    <cellStyle name="Migliaia 31 4 2 2 4" xfId="41901" xr:uid="{89AB7A47-2F42-43AD-9658-A36B03E406B0}"/>
    <cellStyle name="Migliaia 31 4 2 2 5" xfId="9156" xr:uid="{9DCCAEA6-72D2-4B2D-93A2-BF0573DA379B}"/>
    <cellStyle name="Migliaia 31 4 2 3" xfId="3499" xr:uid="{AAA9DC24-50C3-4EEF-81C6-FCD01AF396BE}"/>
    <cellStyle name="Migliaia 31 4 2 3 2" xfId="33759" xr:uid="{1BAD5C2B-5F7B-46C6-BC1A-02C99458B626}"/>
    <cellStyle name="Migliaia 31 4 2 3 2 2" xfId="39251" xr:uid="{89D41ED9-24AE-46B6-9829-47A3A778D7D1}"/>
    <cellStyle name="Migliaia 31 4 2 3 2 3" xfId="44553" xr:uid="{E77A00ED-42ED-475C-BEA6-FD0355A51063}"/>
    <cellStyle name="Migliaia 31 4 2 3 3" xfId="36691" xr:uid="{820D6BA1-6AE3-4041-A252-8A6F00FC3ADA}"/>
    <cellStyle name="Migliaia 31 4 2 3 4" xfId="41902" xr:uid="{3A25C276-020C-400E-8EEC-CD5AAD770AC5}"/>
    <cellStyle name="Migliaia 31 4 2 3 5" xfId="11985" xr:uid="{77552B9A-129F-4B7F-9BB0-933D20A18DF5}"/>
    <cellStyle name="Migliaia 31 4 2 4" xfId="11334" xr:uid="{24B96DAF-FE52-476B-A930-6E97DE76A628}"/>
    <cellStyle name="Migliaia 31 4 2 5" xfId="10856" xr:uid="{B57C215D-D881-4271-B2FC-B496854E71D8}"/>
    <cellStyle name="Migliaia 31 4 2 5 2" xfId="21491" xr:uid="{788EFE8B-08EC-4F74-9A87-F47B785C09EE}"/>
    <cellStyle name="Migliaia 31 4 2 5 3" xfId="46241" xr:uid="{46015C3C-486C-4CD1-965D-E02CA687CF84}"/>
    <cellStyle name="Migliaia 31 4 2 5 4" xfId="50506" xr:uid="{1E0D0EAF-CEBE-41DC-89A6-3F28510175CA}"/>
    <cellStyle name="Migliaia 31 4 2 5 5" xfId="53522" xr:uid="{7ED737E3-0D78-42CB-8F0B-9840DBA8B42C}"/>
    <cellStyle name="Migliaia 31 4 2 6" xfId="20368" xr:uid="{C899CE39-B051-4155-92D4-8C0B0DF18934}"/>
    <cellStyle name="Migliaia 31 4 2 7" xfId="24741" xr:uid="{DA88BB79-85CF-4CFC-AB04-C47C97F80F66}"/>
    <cellStyle name="Migliaia 31 4 2 8" xfId="8628" xr:uid="{932C9A7D-5B10-4C34-A2B4-88A56263D9C2}"/>
    <cellStyle name="Migliaia 31 4 3" xfId="5224" xr:uid="{1E6CD08F-671B-4EC0-A586-CC9B184FDB9F}"/>
    <cellStyle name="Migliaia 31 4 3 2" xfId="18211" xr:uid="{184187FF-02A4-45E1-9356-39BC058CBB4D}"/>
    <cellStyle name="Migliaia 31 4 3 2 2" xfId="39252" xr:uid="{EAD53DB3-FAAC-4ACD-B972-F0B9CCB163DE}"/>
    <cellStyle name="Migliaia 31 4 3 2 3" xfId="44554" xr:uid="{C1D3C2FD-6342-4C15-B408-6152DBF6D1FF}"/>
    <cellStyle name="Migliaia 31 4 3 3" xfId="36692" xr:uid="{CD20F1BA-3AFF-4902-9171-B40207514B38}"/>
    <cellStyle name="Migliaia 31 4 3 4" xfId="41903" xr:uid="{36F817CB-3A4E-427F-8FFB-BAB16EDDBED7}"/>
    <cellStyle name="Migliaia 31 4 3 5" xfId="17353" xr:uid="{2335DA2F-79A4-4396-B73A-6FC380645011}"/>
    <cellStyle name="Migliaia 31 4 3 6" xfId="9157" xr:uid="{5F4E82F0-AFD9-4314-A602-CE778DE781EC}"/>
    <cellStyle name="Migliaia 31 4 4" xfId="6424" xr:uid="{2727B6A3-96D1-4581-90D4-2CD63EDDE7D5}"/>
    <cellStyle name="Migliaia 31 4 4 2" xfId="33760" xr:uid="{9D29BAD4-6F5D-4300-BAE1-F59363167739}"/>
    <cellStyle name="Migliaia 31 4 4 2 2" xfId="39253" xr:uid="{AB1BCB52-438D-4BAF-801D-38113EF50D5F}"/>
    <cellStyle name="Migliaia 31 4 4 2 3" xfId="44555" xr:uid="{D9A35B94-35CD-4000-A296-A9FE1583044D}"/>
    <cellStyle name="Migliaia 31 4 4 3" xfId="36693" xr:uid="{C92B0A3D-1A5D-4535-852D-E5FBE4539C94}"/>
    <cellStyle name="Migliaia 31 4 4 4" xfId="41904" xr:uid="{BE4504FD-A8E9-4445-BC05-25FCAEEB489E}"/>
    <cellStyle name="Migliaia 31 4 4 5" xfId="11986" xr:uid="{00B4D750-EC94-4B3C-9EC6-59CAA39CABAB}"/>
    <cellStyle name="Migliaia 31 4 5" xfId="3498" xr:uid="{13C882A0-88F5-486D-A75F-FB66E96D1846}"/>
    <cellStyle name="Migliaia 31 4 5 2" xfId="33761" xr:uid="{85242245-B857-4C16-9FB6-5A280B950613}"/>
    <cellStyle name="Migliaia 31 4 5 2 2" xfId="39254" xr:uid="{7C0103FB-4869-4E01-A319-F652015300F0}"/>
    <cellStyle name="Migliaia 31 4 5 2 3" xfId="44556" xr:uid="{F3D94A43-85B7-4C62-B6E0-337D6019DD0A}"/>
    <cellStyle name="Migliaia 31 4 5 3" xfId="36694" xr:uid="{F6439B10-8B12-4BBB-BFE9-D4DE764ACF72}"/>
    <cellStyle name="Migliaia 31 4 5 4" xfId="41905" xr:uid="{FFB5F57E-BABD-438D-BC68-96AB07F26840}"/>
    <cellStyle name="Migliaia 31 4 5 5" xfId="11333" xr:uid="{0CEDF928-09AA-4934-BAFB-B96FF7FEE5DB}"/>
    <cellStyle name="Migliaia 31 4 6" xfId="10855" xr:uid="{CA6AC927-734E-4907-AECE-41B39FDBFBAE}"/>
    <cellStyle name="Migliaia 31 4 6 2" xfId="21490" xr:uid="{34E5D40F-E4E6-4FF4-BCFC-C6B24E789E23}"/>
    <cellStyle name="Migliaia 31 4 6 2 2" xfId="39255" xr:uid="{2F2F619A-619F-4EA4-A544-6EB13BC1AD14}"/>
    <cellStyle name="Migliaia 31 4 6 2 3" xfId="44557" xr:uid="{59963D00-0FEA-461F-94DD-C1D4AD3FC62C}"/>
    <cellStyle name="Migliaia 31 4 6 2 4" xfId="33762" xr:uid="{AB932A5F-084F-4582-8CE6-F8C416EAAA81}"/>
    <cellStyle name="Migliaia 31 4 6 3" xfId="36695" xr:uid="{866E5C4E-621B-4B30-9B98-C36F500B4527}"/>
    <cellStyle name="Migliaia 31 4 6 4" xfId="41906" xr:uid="{C54344DE-6776-41F7-8992-545182D9FCFD}"/>
    <cellStyle name="Migliaia 31 4 6 5" xfId="24742" xr:uid="{C4AF5960-CB14-4F46-9FA0-8B368CEF9D14}"/>
    <cellStyle name="Migliaia 31 4 6 6" xfId="48473" xr:uid="{AAC1E15D-D2BB-4270-A09E-209D288A4A93}"/>
    <cellStyle name="Migliaia 31 4 6 7" xfId="50505" xr:uid="{6393171C-B3B7-4A8E-9AFB-2CB3658A264A}"/>
    <cellStyle name="Migliaia 31 4 6 8" xfId="53521" xr:uid="{AA8A4D72-590D-41DC-BC85-418B08D6ABF9}"/>
    <cellStyle name="Migliaia 31 4 7" xfId="20367" xr:uid="{D79FC15D-F081-4838-A39C-EE9FA6118D4A}"/>
    <cellStyle name="Migliaia 31 4 7 2" xfId="33763" xr:uid="{1EE34EDE-A9A7-4B9E-9316-CE4B8D501812}"/>
    <cellStyle name="Migliaia 31 4 7 2 2" xfId="39256" xr:uid="{68D6714C-014D-4F7E-B395-058317D09F88}"/>
    <cellStyle name="Migliaia 31 4 7 2 3" xfId="44558" xr:uid="{B5B90963-E1F9-48A3-9178-0EA606813C11}"/>
    <cellStyle name="Migliaia 31 4 7 3" xfId="36696" xr:uid="{1F90C79E-AA54-4081-8F03-603E27AE28F5}"/>
    <cellStyle name="Migliaia 31 4 7 4" xfId="41907" xr:uid="{1451556D-09F8-4846-A4D2-E792051F8950}"/>
    <cellStyle name="Migliaia 31 4 7 5" xfId="24743" xr:uid="{343F827F-9571-4952-BEB6-E3689B21AF75}"/>
    <cellStyle name="Migliaia 31 4 8" xfId="24740" xr:uid="{FF9C6693-AFA3-459F-B240-F0AC88C9EF76}"/>
    <cellStyle name="Migliaia 31 4 9" xfId="7438" xr:uid="{F446D293-25E9-4B54-A573-EA00A7DB2987}"/>
    <cellStyle name="Migliaia 31 5" xfId="1780" xr:uid="{00000000-0005-0000-0000-00009F030000}"/>
    <cellStyle name="Migliaia 31 5 2" xfId="5226" xr:uid="{3CE5B503-A0CD-4E25-8CDF-059FAEEEC940}"/>
    <cellStyle name="Migliaia 31 5 2 2" xfId="18436" xr:uid="{AA964181-3FD1-4618-977B-906D776F1DA8}"/>
    <cellStyle name="Migliaia 31 5 2 2 2" xfId="39257" xr:uid="{0F45EE16-C75F-4A9D-A30D-CFEB98468081}"/>
    <cellStyle name="Migliaia 31 5 2 2 3" xfId="44559" xr:uid="{99DD4F21-1CF9-4F0F-873B-EB2CCA5D9A7E}"/>
    <cellStyle name="Migliaia 31 5 2 3" xfId="20370" xr:uid="{6C04DB5D-1AC9-4087-8993-39295AC0EF69}"/>
    <cellStyle name="Migliaia 31 5 2 3 2" xfId="36697" xr:uid="{C0F27120-A004-454D-9311-727BD2BC4D1E}"/>
    <cellStyle name="Migliaia 31 5 2 4" xfId="41908" xr:uid="{D7639BBC-F62B-47D7-AECC-8C54776D69C1}"/>
    <cellStyle name="Migliaia 31 5 2 5" xfId="16390" xr:uid="{56ECB500-3906-427E-AD21-6297FA3966C1}"/>
    <cellStyle name="Migliaia 31 5 2 6" xfId="8629" xr:uid="{E1EF79D3-2F8D-42D1-A150-58E9F5C2F32F}"/>
    <cellStyle name="Migliaia 31 5 3" xfId="6425" xr:uid="{CD37CAD2-10CB-4C78-AFB1-C80FC84BFF7B}"/>
    <cellStyle name="Migliaia 31 5 3 2" xfId="33764" xr:uid="{DA992CBE-82EC-4EE4-874E-756AA5134183}"/>
    <cellStyle name="Migliaia 31 5 3 2 2" xfId="39258" xr:uid="{88461F62-2045-496D-AAF4-11AC34A8B2EB}"/>
    <cellStyle name="Migliaia 31 5 3 2 3" xfId="44560" xr:uid="{FAE01F02-0407-4367-87AF-DAC3788ABDF9}"/>
    <cellStyle name="Migliaia 31 5 3 3" xfId="36698" xr:uid="{6D07CCAA-30C2-42FB-AEEB-F45718BE6F5F}"/>
    <cellStyle name="Migliaia 31 5 3 4" xfId="41909" xr:uid="{0AE22065-DD78-4217-8C33-F38A87F7E688}"/>
    <cellStyle name="Migliaia 31 5 3 5" xfId="11335" xr:uid="{8B140A00-B9E2-4F2C-937C-D04FA6E8EA0F}"/>
    <cellStyle name="Migliaia 31 5 4" xfId="3500" xr:uid="{CDAEF0DA-7B45-4FE4-9C08-9FA0920CDFB4}"/>
    <cellStyle name="Migliaia 31 5 4 2" xfId="21492" xr:uid="{EE1FBAE6-A566-409A-8D65-3A58A09AA786}"/>
    <cellStyle name="Migliaia 31 5 4 2 2" xfId="39259" xr:uid="{5ED3A58E-DF11-4192-8041-1CBC828722F7}"/>
    <cellStyle name="Migliaia 31 5 4 2 3" xfId="44561" xr:uid="{5F6B2894-39B7-43E0-81B3-A9B23B60670D}"/>
    <cellStyle name="Migliaia 31 5 4 2 4" xfId="33765" xr:uid="{48CD053D-022E-44AC-8EED-79C81C0F286F}"/>
    <cellStyle name="Migliaia 31 5 4 3" xfId="36699" xr:uid="{7D4FFF9C-46E4-4CDE-968B-1E5B08FD556F}"/>
    <cellStyle name="Migliaia 31 5 4 4" xfId="41910" xr:uid="{51C29EF0-E79D-446A-BD72-2CFEC9CE4493}"/>
    <cellStyle name="Migliaia 31 5 4 5" xfId="24745" xr:uid="{80F849DC-B132-4D2F-8A4D-9D616110A234}"/>
    <cellStyle name="Migliaia 31 5 4 6" xfId="46242" xr:uid="{FDD95A82-C122-4EF3-8A86-BEED1775FD35}"/>
    <cellStyle name="Migliaia 31 5 4 7" xfId="50507" xr:uid="{4F48134D-E2A5-48CF-A2A7-B8DC6CE9F769}"/>
    <cellStyle name="Migliaia 31 5 4 8" xfId="53523" xr:uid="{2E53992D-C00A-4C64-83C5-B0BE791FAC2A}"/>
    <cellStyle name="Migliaia 31 5 4 9" xfId="10857" xr:uid="{2EB1789E-3EE8-43DD-882E-5DAC05D64F10}"/>
    <cellStyle name="Migliaia 31 5 5" xfId="20369" xr:uid="{880C3794-EFBB-416F-871D-759D19498049}"/>
    <cellStyle name="Migliaia 31 5 5 2" xfId="33766" xr:uid="{AF0CB25A-2FA2-4B29-97E7-BD008FFC0B66}"/>
    <cellStyle name="Migliaia 31 5 5 2 2" xfId="39260" xr:uid="{A201BD54-95D2-4808-B2A5-6759D3C9DDFB}"/>
    <cellStyle name="Migliaia 31 5 5 2 3" xfId="44562" xr:uid="{D76795C7-51ED-4D18-94AB-3EFEA5D55445}"/>
    <cellStyle name="Migliaia 31 5 5 3" xfId="36700" xr:uid="{FC3FF63F-1CB1-4498-AB03-D10227CE5880}"/>
    <cellStyle name="Migliaia 31 5 5 4" xfId="41911" xr:uid="{2F385B90-2BCA-4AE9-BF7D-6B784D399F4D}"/>
    <cellStyle name="Migliaia 31 5 5 5" xfId="24746" xr:uid="{5362B85E-D3D1-4052-B8EF-E418A24594E5}"/>
    <cellStyle name="Migliaia 31 5 6" xfId="24747" xr:uid="{3B5E4C31-A49A-4553-AA8F-E2BF237B3B0D}"/>
    <cellStyle name="Migliaia 31 5 6 2" xfId="33767" xr:uid="{1A6D2A43-442F-4F4E-8503-7EA51EA93DED}"/>
    <cellStyle name="Migliaia 31 5 6 2 2" xfId="39261" xr:uid="{F4222720-B6FA-42DD-8BF4-06534181E25B}"/>
    <cellStyle name="Migliaia 31 5 6 2 3" xfId="44563" xr:uid="{AB458F8A-DBF6-4D8F-B265-7CD19015BCD0}"/>
    <cellStyle name="Migliaia 31 5 6 3" xfId="36701" xr:uid="{8DF811B9-C473-4140-A434-9506B48B74F1}"/>
    <cellStyle name="Migliaia 31 5 6 4" xfId="41912" xr:uid="{82F784A1-2DD3-4534-BA73-11FB674E0D84}"/>
    <cellStyle name="Migliaia 31 5 7" xfId="24744" xr:uid="{9BB7C04A-E959-4171-B253-EBC74B1C823A}"/>
    <cellStyle name="Migliaia 31 5 8" xfId="7439" xr:uid="{24F5B32E-3BDE-4208-9A6E-111D2B5F14E6}"/>
    <cellStyle name="Migliaia 31 6" xfId="3501" xr:uid="{EE388D5A-97E3-48CE-80E0-7A8B7841F1B8}"/>
    <cellStyle name="Migliaia 31 6 2" xfId="5227" xr:uid="{AA010957-93BF-4EDE-8B28-2CA09EFD2ABB}"/>
    <cellStyle name="Migliaia 31 6 2 2" xfId="9929" xr:uid="{534286AE-D5AB-49C0-9D17-C7D20B1DE929}"/>
    <cellStyle name="Migliaia 31 6 2 3" xfId="18656" xr:uid="{9385D957-0749-43EE-832B-0346CD69B1E5}"/>
    <cellStyle name="Migliaia 31 6 2 4" xfId="20372" xr:uid="{40E8441C-5E03-47D5-912D-0B7A52D8710F}"/>
    <cellStyle name="Migliaia 31 6 2 5" xfId="32375" xr:uid="{EDB6B5A5-1B1C-4C04-A42D-9BC2CFBC3E9D}"/>
    <cellStyle name="Migliaia 31 6 2 6" xfId="16392" xr:uid="{15F9EFAD-5F37-474C-90F0-53E12A78BE70}"/>
    <cellStyle name="Migliaia 31 6 2 7" xfId="8624" xr:uid="{EA0C38EA-43EA-4F70-854D-620A5B1E1538}"/>
    <cellStyle name="Migliaia 31 6 3" xfId="6426" xr:uid="{E5EDE3E5-1F62-48EC-A246-3887CB994625}"/>
    <cellStyle name="Migliaia 31 6 3 2" xfId="35295" xr:uid="{5B9A359F-0E35-49D9-BC5A-271949EC4E11}"/>
    <cellStyle name="Migliaia 31 6 3 2 2" xfId="40455" xr:uid="{BA898E74-76AB-4639-8809-A8A67AB89958}"/>
    <cellStyle name="Migliaia 31 6 3 2 3" xfId="45757" xr:uid="{2746074D-DC78-4959-80D9-F43433C2595A}"/>
    <cellStyle name="Migliaia 31 6 3 3" xfId="37804" xr:uid="{F78131E9-2918-47A5-8B55-0D4F1BF39856}"/>
    <cellStyle name="Migliaia 31 6 3 4" xfId="43106" xr:uid="{F2D3885C-A8C6-4C5B-AFD5-A8C08496A262}"/>
    <cellStyle name="Migliaia 31 6 3 5" xfId="9692" xr:uid="{8C6FEE26-8F68-40BA-885D-07BA8CC2FBCD}"/>
    <cellStyle name="Migliaia 31 6 4" xfId="20371" xr:uid="{9683A57A-C0E5-453E-AA41-E5B6A42AF27C}"/>
    <cellStyle name="Migliaia 31 6 4 2" xfId="39262" xr:uid="{E9B39CE4-42F3-4075-9747-073FA7B694B7}"/>
    <cellStyle name="Migliaia 31 6 4 3" xfId="44564" xr:uid="{33BCBBC4-0AD4-4531-8FD1-8E1AC4175A4E}"/>
    <cellStyle name="Migliaia 31 6 4 4" xfId="33768" xr:uid="{AF8B39CA-DB39-4A30-B6E6-75359E2FD9AD}"/>
    <cellStyle name="Migliaia 31 6 5" xfId="36702" xr:uid="{8DD1E5BB-7F33-4141-87BA-2ABF93CB9E21}"/>
    <cellStyle name="Migliaia 31 6 6" xfId="41913" xr:uid="{2CCB2508-48E4-4824-A6C3-3DF568CCAFF7}"/>
    <cellStyle name="Migliaia 31 6 7" xfId="16391" xr:uid="{D2FDB237-51B5-4EEF-A786-F01D7025101D}"/>
    <cellStyle name="Migliaia 31 6 8" xfId="7434" xr:uid="{A0274453-3227-4AAF-8648-EAFC2E61538F}"/>
    <cellStyle name="Migliaia 31 7" xfId="3502" xr:uid="{38BE7AB6-2030-4AFE-B49C-891348CB4762}"/>
    <cellStyle name="Migliaia 31 7 2" xfId="5228" xr:uid="{F2033C9F-0D1D-469D-ADAD-2085C567DC2E}"/>
    <cellStyle name="Migliaia 31 7 2 2" xfId="35296" xr:uid="{55A92C54-24EE-4B7E-8E57-F5E66E9DE08B}"/>
    <cellStyle name="Migliaia 31 7 2 2 2" xfId="40456" xr:uid="{FEDA9F32-4A12-4723-AB71-17E15D3B38B8}"/>
    <cellStyle name="Migliaia 31 7 2 2 3" xfId="45758" xr:uid="{B03A5482-B329-4AC8-9220-A022310BF0C5}"/>
    <cellStyle name="Migliaia 31 7 2 3" xfId="37805" xr:uid="{D6DB4413-C324-4557-8DA0-BCC48899A0A8}"/>
    <cellStyle name="Migliaia 31 7 2 4" xfId="43107" xr:uid="{C1F56C4E-653E-4922-81F0-C15BCBBBE1AB}"/>
    <cellStyle name="Migliaia 31 7 2 5" xfId="14251" xr:uid="{80F93919-BFE0-4FF8-BAAB-B454A95E1954}"/>
    <cellStyle name="Migliaia 31 7 3" xfId="6427" xr:uid="{BFF9F7C7-3FEE-4DBB-B62B-40BC6EF868E3}"/>
    <cellStyle name="Migliaia 31 7 3 2" xfId="39263" xr:uid="{EF972691-1468-4648-916E-5D0DF4846902}"/>
    <cellStyle name="Migliaia 31 7 3 3" xfId="44565" xr:uid="{CA351A6D-3C3D-4092-9F14-B20D4EDA86CE}"/>
    <cellStyle name="Migliaia 31 7 3 4" xfId="33769" xr:uid="{CDE886BE-8CF1-4D56-B320-0675C121E532}"/>
    <cellStyle name="Migliaia 31 7 3 5" xfId="20373" xr:uid="{71528409-BF61-4768-B6F6-53B3FFCE1695}"/>
    <cellStyle name="Migliaia 31 7 4" xfId="36703" xr:uid="{D69A3801-307F-40E4-8D68-E6A371125FE8}"/>
    <cellStyle name="Migliaia 31 7 5" xfId="41914" xr:uid="{0461189B-63ED-49EB-9D6F-A280418F5B1A}"/>
    <cellStyle name="Migliaia 31 7 6" xfId="16393" xr:uid="{C2767E41-9D39-461F-B3D2-273661D19CCF}"/>
    <cellStyle name="Migliaia 31 7 7" xfId="8313" xr:uid="{FEA41269-9C19-4599-B7EC-EEB71287C143}"/>
    <cellStyle name="Migliaia 31 8" xfId="3503" xr:uid="{6B6207E0-B01D-44B5-8343-6BB30870DB82}"/>
    <cellStyle name="Migliaia 31 8 2" xfId="5229" xr:uid="{A986B480-44F8-4916-AA98-EF109571D939}"/>
    <cellStyle name="Migliaia 31 8 2 2" xfId="35297" xr:uid="{D04B9250-7DF3-4B7A-9401-7A3E0BAE330E}"/>
    <cellStyle name="Migliaia 31 8 2 2 2" xfId="40457" xr:uid="{798DE6C7-3A60-4927-BA09-0C1C1C766561}"/>
    <cellStyle name="Migliaia 31 8 2 2 3" xfId="45759" xr:uid="{ED53BDE0-BE79-4DF9-9910-56F1D9903B16}"/>
    <cellStyle name="Migliaia 31 8 2 3" xfId="37806" xr:uid="{312D0422-885C-40F4-9B59-78876753DCE6}"/>
    <cellStyle name="Migliaia 31 8 2 4" xfId="43108" xr:uid="{FF8CB8B1-1D1A-478E-AD63-0163F102D5F3}"/>
    <cellStyle name="Migliaia 31 8 2 5" xfId="13956" xr:uid="{930E44A2-C0FE-4B15-82B9-0DB1FE7A2109}"/>
    <cellStyle name="Migliaia 31 8 3" xfId="6428" xr:uid="{3A1C1AD4-C32A-4085-83A2-D9D70A1A9FF3}"/>
    <cellStyle name="Migliaia 31 8 3 2" xfId="39264" xr:uid="{92F5DB2E-678F-4D2C-BA02-82D0C9DAA7B1}"/>
    <cellStyle name="Migliaia 31 8 3 3" xfId="44566" xr:uid="{560ADDF3-B081-4FA6-8B5C-525356E54E0A}"/>
    <cellStyle name="Migliaia 31 8 3 4" xfId="33770" xr:uid="{E3FFCA48-CE98-40D0-8B83-26614163D411}"/>
    <cellStyle name="Migliaia 31 8 3 5" xfId="20374" xr:uid="{11EF0AC6-2FB7-4F15-90FB-81EDDE7CBC65}"/>
    <cellStyle name="Migliaia 31 8 4" xfId="36704" xr:uid="{0078A6E4-38A8-4549-9480-03CAEB973DB5}"/>
    <cellStyle name="Migliaia 31 8 5" xfId="41915" xr:uid="{B122949E-3A53-4DCA-A3FD-5A219C26ACB3}"/>
    <cellStyle name="Migliaia 31 8 6" xfId="16394" xr:uid="{E4A16A4B-4A9A-4B61-A4B3-5F3115945140}"/>
    <cellStyle name="Migliaia 31 8 7" xfId="7918" xr:uid="{D3D6E4CD-EC67-42F1-A0FC-B334E544231D}"/>
    <cellStyle name="Migliaia 31 9" xfId="5214" xr:uid="{BA9ED042-F19A-4BCE-B4BA-E3FD4223562D}"/>
    <cellStyle name="Migliaia 31 9 2" xfId="33771" xr:uid="{E657F8E9-8443-4B2D-8E75-613A2C05EDFE}"/>
    <cellStyle name="Migliaia 31 9 2 2" xfId="39265" xr:uid="{0D0B50AE-4DB9-41C9-89C2-11DA99315CC3}"/>
    <cellStyle name="Migliaia 31 9 2 3" xfId="44567" xr:uid="{00A41070-943A-418C-9256-AB8BDB6FCBCB}"/>
    <cellStyle name="Migliaia 31 9 3" xfId="36705" xr:uid="{F1E82BA3-BBE8-4D4B-BD64-46F8E68A6E44}"/>
    <cellStyle name="Migliaia 31 9 4" xfId="41916" xr:uid="{1C53F8DC-AF11-4271-8053-533A674AB600}"/>
    <cellStyle name="Migliaia 31 9 5" xfId="17183" xr:uid="{59B2C0E5-B519-4BF0-A687-52629F6EE074}"/>
    <cellStyle name="Migliaia 32" xfId="401" xr:uid="{00000000-0005-0000-0000-0000A0030000}"/>
    <cellStyle name="Migliaia 32 10" xfId="6429" xr:uid="{9ED7B565-ECB8-41A7-9A8F-B29219AC8240}"/>
    <cellStyle name="Migliaia 32 10 2" xfId="39266" xr:uid="{638C477F-C2D5-4FBF-BA65-A4BC8D50E4BE}"/>
    <cellStyle name="Migliaia 32 10 3" xfId="44568" xr:uid="{04FE9BC5-D912-4C81-8D72-0E498D11223C}"/>
    <cellStyle name="Migliaia 32 10 4" xfId="33772" xr:uid="{C2C5E5D7-6D93-46EF-B1C9-630C6C62A511}"/>
    <cellStyle name="Migliaia 32 10 5" xfId="20375" xr:uid="{186EDA19-4A0E-4019-B668-CD30B7B292FB}"/>
    <cellStyle name="Migliaia 32 11" xfId="3504" xr:uid="{9C72130C-517D-4189-AF9B-72E602B40970}"/>
    <cellStyle name="Migliaia 32 11 2" xfId="36706" xr:uid="{6A2BA59E-4FE6-4C49-9DA9-7751186FD3AF}"/>
    <cellStyle name="Migliaia 32 12" xfId="41917" xr:uid="{0C3A8BDA-C66C-4EA1-B663-36A5A171D247}"/>
    <cellStyle name="Migliaia 32 13" xfId="7117" xr:uid="{F55C083A-84FB-445E-9F1B-D93B9D090E2A}"/>
    <cellStyle name="Migliaia 32 2" xfId="402" xr:uid="{00000000-0005-0000-0000-0000A1030000}"/>
    <cellStyle name="Migliaia 32 2 2" xfId="1781" xr:uid="{00000000-0005-0000-0000-0000A2030000}"/>
    <cellStyle name="Migliaia 32 2 2 2" xfId="5232" xr:uid="{1E4633C3-093F-4567-B9D6-6886485EC7C2}"/>
    <cellStyle name="Migliaia 32 2 2 2 2" xfId="14388" xr:uid="{CC88F677-5101-4BB6-8349-9C80F8094337}"/>
    <cellStyle name="Migliaia 32 2 2 2 2 2" xfId="39267" xr:uid="{7941CDDC-00A4-46A3-B22F-FF46AC2DC5D8}"/>
    <cellStyle name="Migliaia 32 2 2 2 2 3" xfId="44569" xr:uid="{9F2B9289-D97A-47A7-B514-E7242733549F}"/>
    <cellStyle name="Migliaia 32 2 2 2 3" xfId="18437" xr:uid="{4526A382-F03E-4A76-83DB-52C3604A814D}"/>
    <cellStyle name="Migliaia 32 2 2 2 4" xfId="20378" xr:uid="{F19C53F2-CEF7-4418-8D28-71B735F1F184}"/>
    <cellStyle name="Migliaia 32 2 2 2 4 2" xfId="41918" xr:uid="{8E914ACF-5F6F-43B1-AE84-20DE28FA4D3E}"/>
    <cellStyle name="Migliaia 32 2 2 2 5" xfId="16395" xr:uid="{735507E6-A15A-4119-8C44-85215217D026}"/>
    <cellStyle name="Migliaia 32 2 2 2 6" xfId="8631" xr:uid="{F27AB2BC-7C4E-48B8-B98B-74631D7765C6}"/>
    <cellStyle name="Migliaia 32 2 2 3" xfId="6431" xr:uid="{2B89C303-7FF5-440F-BA0A-3980F4BB300E}"/>
    <cellStyle name="Migliaia 32 2 2 3 2" xfId="35298" xr:uid="{E5864D45-A55F-449F-BDD2-C7981ADD6417}"/>
    <cellStyle name="Migliaia 32 2 2 3 2 2" xfId="40458" xr:uid="{08EA1BBB-561A-4E42-A420-B3224710D36A}"/>
    <cellStyle name="Migliaia 32 2 2 3 2 3" xfId="45760" xr:uid="{BCB80B29-F8BE-42E6-B939-229D06BCCE3E}"/>
    <cellStyle name="Migliaia 32 2 2 3 3" xfId="37807" xr:uid="{2AD33031-C229-4CC6-89E7-D6445514BF98}"/>
    <cellStyle name="Migliaia 32 2 2 3 4" xfId="43109" xr:uid="{E469CC4D-5EE6-47DE-B11B-5693F4E1CB73}"/>
    <cellStyle name="Migliaia 32 2 2 3 5" xfId="11615" xr:uid="{ADDCFA8C-01F1-410A-B538-0EC4D3564FF5}"/>
    <cellStyle name="Migliaia 32 2 2 4" xfId="3506" xr:uid="{A87317A6-BB04-4C86-BD61-74C10C8FA4A8}"/>
    <cellStyle name="Migliaia 32 2 2 4 2" xfId="21493" xr:uid="{E92D301D-206F-48F8-9DB4-C73A7ABB0CD2}"/>
    <cellStyle name="Migliaia 32 2 2 4 3" xfId="46243" xr:uid="{74682351-F5D4-4FC8-84CF-511C8AFA4907}"/>
    <cellStyle name="Migliaia 32 2 2 4 4" xfId="50508" xr:uid="{996C033B-F8F8-4E9C-8C8D-D7FD615C948B}"/>
    <cellStyle name="Migliaia 32 2 2 4 5" xfId="53524" xr:uid="{F99CED52-31BD-4C9F-86AD-EC2527434F2D}"/>
    <cellStyle name="Migliaia 32 2 2 4 6" xfId="10858" xr:uid="{7FE21A61-62E7-4441-90C4-7F7843E9F777}"/>
    <cellStyle name="Migliaia 32 2 2 5" xfId="20377" xr:uid="{3662039C-51FD-4F5A-B506-F9D3A96E6368}"/>
    <cellStyle name="Migliaia 32 2 2 6" xfId="24753" xr:uid="{036B0CAC-E866-4A64-AF23-2FBF6EFDCD55}"/>
    <cellStyle name="Migliaia 32 2 2 7" xfId="7441" xr:uid="{3CB18AF0-5693-471C-A585-ED4FF0BB59F2}"/>
    <cellStyle name="Migliaia 32 2 3" xfId="3507" xr:uid="{A5C4E8EF-369A-4380-A506-0CA45EBB990E}"/>
    <cellStyle name="Migliaia 32 2 3 2" xfId="5233" xr:uid="{9CDF39E0-AD53-4F92-9023-91439D937486}"/>
    <cellStyle name="Migliaia 32 2 3 2 2" xfId="35299" xr:uid="{F1C5A029-CE8D-4FFF-B1A2-AA75A58AD729}"/>
    <cellStyle name="Migliaia 32 2 3 2 2 2" xfId="40459" xr:uid="{0DD57006-922C-46BF-9D79-C1F60D59F139}"/>
    <cellStyle name="Migliaia 32 2 3 2 2 3" xfId="45761" xr:uid="{006C8582-9C5F-4C2B-A725-35A587612E3D}"/>
    <cellStyle name="Migliaia 32 2 3 2 3" xfId="37808" xr:uid="{C72E3590-9F26-448F-95E8-E1A7AED61C2D}"/>
    <cellStyle name="Migliaia 32 2 3 2 4" xfId="43110" xr:uid="{230CF92E-06C8-42C4-BCF5-86C31A6F552C}"/>
    <cellStyle name="Migliaia 32 2 3 2 5" xfId="14255" xr:uid="{F60526F0-C64C-4383-9C2C-03B7942AE51A}"/>
    <cellStyle name="Migliaia 32 2 3 3" xfId="6432" xr:uid="{9B02D7C7-1E0A-4DA2-9126-71CF125B541D}"/>
    <cellStyle name="Migliaia 32 2 3 3 2" xfId="39268" xr:uid="{9D3ECFB8-6C77-483E-89D2-DECEECBDE7CB}"/>
    <cellStyle name="Migliaia 32 2 3 3 3" xfId="44570" xr:uid="{E86B7738-FBE8-44BE-B6B3-C269C12B3189}"/>
    <cellStyle name="Migliaia 32 2 3 3 4" xfId="33773" xr:uid="{040198DC-1BC3-4E35-9A49-C0B3E726F483}"/>
    <cellStyle name="Migliaia 32 2 3 3 5" xfId="20379" xr:uid="{815B87A2-48D3-415B-A180-EAFC188F7008}"/>
    <cellStyle name="Migliaia 32 2 3 4" xfId="36707" xr:uid="{5468B23A-D131-4FB0-B255-B8E4084BC6BF}"/>
    <cellStyle name="Migliaia 32 2 3 5" xfId="41919" xr:uid="{A2297F06-EB8D-4809-94BA-3E9B8402A323}"/>
    <cellStyle name="Migliaia 32 2 3 6" xfId="16396" xr:uid="{39A3F061-241D-40FC-B6F3-5453C296FB11}"/>
    <cellStyle name="Migliaia 32 2 3 7" xfId="8317" xr:uid="{7B94CB93-FF86-49C5-A9D4-07B3CB73D559}"/>
    <cellStyle name="Migliaia 32 2 4" xfId="5231" xr:uid="{BB7B1551-B626-4DAD-9399-358B008DA417}"/>
    <cellStyle name="Migliaia 32 2 4 2" xfId="13960" xr:uid="{2B0878DB-EAED-445C-A90E-AD2EC6F310DD}"/>
    <cellStyle name="Migliaia 32 2 4 2 2" xfId="39269" xr:uid="{FD188D43-A894-4E8E-8B2A-AB6FD32CA621}"/>
    <cellStyle name="Migliaia 32 2 4 2 3" xfId="44571" xr:uid="{932C802C-6092-48E8-8242-ECDEBDF5177B}"/>
    <cellStyle name="Migliaia 32 2 4 3" xfId="18707" xr:uid="{BD797927-0516-4674-BB75-85FF019127D6}"/>
    <cellStyle name="Migliaia 32 2 4 4" xfId="20380" xr:uid="{6B1E6035-0855-473D-A083-39BC3EB86964}"/>
    <cellStyle name="Migliaia 32 2 4 4 2" xfId="41920" xr:uid="{1BF572D4-80CA-4B2A-9186-DE7EF2115CBF}"/>
    <cellStyle name="Migliaia 32 2 4 5" xfId="16397" xr:uid="{B499160B-E11E-429E-B7FD-5E0B4F98AB66}"/>
    <cellStyle name="Migliaia 32 2 4 6" xfId="7923" xr:uid="{B7F5D42D-2643-47B2-BC88-A1936CF25599}"/>
    <cellStyle name="Migliaia 32 2 5" xfId="6430" xr:uid="{B5375F68-9824-4BFA-A160-00A8EACC8CB7}"/>
    <cellStyle name="Migliaia 32 2 5 2" xfId="33775" xr:uid="{CE53E77C-360F-44F0-B67C-6AAFDF291144}"/>
    <cellStyle name="Migliaia 32 2 5 2 2" xfId="39270" xr:uid="{E481FC4F-CEC7-4668-BE0F-48BB3F2445A6}"/>
    <cellStyle name="Migliaia 32 2 5 2 3" xfId="44572" xr:uid="{E72C7536-D4E5-428F-B0E9-1DDA00517C31}"/>
    <cellStyle name="Migliaia 32 2 5 3" xfId="36709" xr:uid="{A72264D1-2125-41DE-AEB0-2D39945D4BAA}"/>
    <cellStyle name="Migliaia 32 2 5 4" xfId="41921" xr:uid="{4FF0E2A1-CA32-4A21-A979-2104890718B1}"/>
    <cellStyle name="Migliaia 32 2 5 5" xfId="13128" xr:uid="{0E37F001-DB38-41C3-9C82-4E4EAC436F47}"/>
    <cellStyle name="Migliaia 32 2 6" xfId="3505" xr:uid="{B04E58CB-EADC-46C2-915B-BB530977C3EE}"/>
    <cellStyle name="Migliaia 32 2 6 2" xfId="33776" xr:uid="{4771CB95-D7DA-4A32-84B8-8238DD201BAB}"/>
    <cellStyle name="Migliaia 32 2 6 2 2" xfId="39271" xr:uid="{32A95436-CF8E-4A75-A26E-CBDFEED6F447}"/>
    <cellStyle name="Migliaia 32 2 6 2 3" xfId="44573" xr:uid="{5746B520-0278-4F55-97F9-E13AF98CAA2A}"/>
    <cellStyle name="Migliaia 32 2 6 3" xfId="36710" xr:uid="{5E2672F8-8EEE-48DA-A460-82E38341D768}"/>
    <cellStyle name="Migliaia 32 2 6 4" xfId="41922" xr:uid="{E896ABDD-29E0-4685-A4B7-3C87FE83D158}"/>
    <cellStyle name="Migliaia 32 2 6 5" xfId="24755" xr:uid="{DA643292-FF71-470D-B2E7-2D20CE3E8237}"/>
    <cellStyle name="Migliaia 32 2 6 6" xfId="20376" xr:uid="{7C384D25-E85D-4C96-AB3B-8CF84631222C}"/>
    <cellStyle name="Migliaia 32 2 7" xfId="24752" xr:uid="{21999DC5-2946-480F-BBDB-968CD247EA17}"/>
    <cellStyle name="Migliaia 32 2 8" xfId="7118" xr:uid="{087D05EF-22FD-4B2D-A83C-3F04864B1741}"/>
    <cellStyle name="Migliaia 32 3" xfId="403" xr:uid="{00000000-0005-0000-0000-0000A3030000}"/>
    <cellStyle name="Migliaia 32 3 10" xfId="24756" xr:uid="{11527457-8EA4-42D9-A1E8-E18469AEE46C}"/>
    <cellStyle name="Migliaia 32 3 11" xfId="16398" xr:uid="{6319A420-42EC-4ED9-BD97-3C89F79EAC0E}"/>
    <cellStyle name="Migliaia 32 3 12" xfId="7119" xr:uid="{8CC6DF7B-556A-4705-97CE-4AE828C5FFFF}"/>
    <cellStyle name="Migliaia 32 3 2" xfId="404" xr:uid="{00000000-0005-0000-0000-0000A4030000}"/>
    <cellStyle name="Migliaia 32 3 2 2" xfId="1782" xr:uid="{00000000-0005-0000-0000-0000A5030000}"/>
    <cellStyle name="Migliaia 32 3 2 2 2" xfId="5236" xr:uid="{19BB44E1-58F7-4BD5-849E-4C1C91D62D25}"/>
    <cellStyle name="Migliaia 32 3 2 2 2 2" xfId="18438" xr:uid="{5A413887-516E-49E4-A44A-EA51F80731E6}"/>
    <cellStyle name="Migliaia 32 3 2 2 2 2 2" xfId="21866" xr:uid="{C6EEB3B7-4571-46A5-8DB3-A50F85D43D58}"/>
    <cellStyle name="Migliaia 32 3 2 2 2 2 2 2" xfId="39272" xr:uid="{1C5529D8-6A76-43BB-ACBE-045B8D28D17E}"/>
    <cellStyle name="Migliaia 32 3 2 2 2 2 3" xfId="44574" xr:uid="{8A9C724F-6EF5-45BF-B0C9-FE216C00956C}"/>
    <cellStyle name="Migliaia 32 3 2 2 2 2 4" xfId="33777" xr:uid="{C07FCF98-7AA0-43D9-9D5D-C0CFB1547463}"/>
    <cellStyle name="Migliaia 32 3 2 2 2 3" xfId="36711" xr:uid="{47EE7715-7995-4B5D-84C5-5900A1B0BC16}"/>
    <cellStyle name="Migliaia 32 3 2 2 2 4" xfId="41923" xr:uid="{28325EA2-13AD-4897-963D-D6A02A5D39CA}"/>
    <cellStyle name="Migliaia 32 3 2 2 2 5" xfId="47912" xr:uid="{E73AC132-9136-4FB2-ADF6-246A57E56F61}"/>
    <cellStyle name="Migliaia 32 3 2 2 2 6" xfId="50894" xr:uid="{F3D537BB-9206-4842-87DC-463D4E7662C4}"/>
    <cellStyle name="Migliaia 32 3 2 2 2 7" xfId="53910" xr:uid="{944175EE-3856-4C49-A66D-EE5342380A10}"/>
    <cellStyle name="Migliaia 32 3 2 2 2 8" xfId="17663" xr:uid="{73D39FC0-4623-4D8B-A341-12E221DF5BCD}"/>
    <cellStyle name="Migliaia 32 3 2 2 2 9" xfId="11987" xr:uid="{95EF7553-CAAB-4C06-96B8-47614BE3215E}"/>
    <cellStyle name="Migliaia 32 3 2 2 3" xfId="6435" xr:uid="{C82D1CF1-FCB1-4844-82BC-41E98B0E9CA3}"/>
    <cellStyle name="Migliaia 32 3 2 2 3 2" xfId="11139" xr:uid="{517F29B5-02BF-47EE-AC3F-4D35BBBD4C26}"/>
    <cellStyle name="Migliaia 32 3 2 2 4" xfId="3510" xr:uid="{797E19F7-D10D-456A-880C-AFE323A1B66E}"/>
    <cellStyle name="Migliaia 32 3 2 2 4 2" xfId="21494" xr:uid="{2BC6AE54-DB6E-4C43-B3A6-A8E3413D2ED5}"/>
    <cellStyle name="Migliaia 32 3 2 2 4 3" xfId="48179" xr:uid="{5FB222AD-CCA4-4A78-8243-3D6A6F984B7E}"/>
    <cellStyle name="Migliaia 32 3 2 2 4 4" xfId="50509" xr:uid="{944C7748-B5AE-4CE2-955C-18B5FCC8EE59}"/>
    <cellStyle name="Migliaia 32 3 2 2 4 5" xfId="53525" xr:uid="{BE3101C4-7624-46AA-B5BE-522A769667D0}"/>
    <cellStyle name="Migliaia 32 3 2 2 4 6" xfId="10859" xr:uid="{CE21FCC5-FBA8-4CD4-B2ED-A27B401CFD36}"/>
    <cellStyle name="Migliaia 32 3 2 2 5" xfId="20383" xr:uid="{23337B00-8FAE-4126-9BD4-22DFC746CD54}"/>
    <cellStyle name="Migliaia 32 3 2 2 6" xfId="24758" xr:uid="{C29033BF-3055-4DF9-A2B1-A0A4BFA9BAA6}"/>
    <cellStyle name="Migliaia 32 3 2 2 7" xfId="8633" xr:uid="{A9FA4980-759C-4CF4-ACE2-6FACF4B1D2CE}"/>
    <cellStyle name="Migliaia 32 3 2 3" xfId="5235" xr:uid="{73CD4E40-958A-4C35-AFB7-FC2BA117901E}"/>
    <cellStyle name="Migliaia 32 3 2 3 2" xfId="12412" xr:uid="{9C0824EB-815F-49D3-BC67-CE892F5D4DAB}"/>
    <cellStyle name="Migliaia 32 3 2 3 2 2" xfId="39273" xr:uid="{4E4571DE-872F-452C-9AF0-7D9BC51FE9FC}"/>
    <cellStyle name="Migliaia 32 3 2 3 2 3" xfId="44575" xr:uid="{D75613BB-1087-44AC-8FD6-6F9FCA8F85E7}"/>
    <cellStyle name="Migliaia 32 3 2 3 2 4" xfId="33778" xr:uid="{3212A96D-77FD-4DFD-BC17-4497D36F5FA9}"/>
    <cellStyle name="Migliaia 32 3 2 3 3" xfId="11988" xr:uid="{8A893CB8-1A66-49E4-87AC-81EFF126FCF2}"/>
    <cellStyle name="Migliaia 32 3 2 3 4" xfId="20384" xr:uid="{C47863CF-6A6D-4C69-A693-F6FC7126DA7A}"/>
    <cellStyle name="Migliaia 32 3 2 3 4 2" xfId="41924" xr:uid="{E64D4C30-FA60-4BAB-9CA1-07B0BEBA928E}"/>
    <cellStyle name="Migliaia 32 3 2 3 5" xfId="16399" xr:uid="{4CA81026-EA8F-4ED2-94A6-E74297E082C8}"/>
    <cellStyle name="Migliaia 32 3 2 3 6" xfId="7925" xr:uid="{2732888A-BBE0-4560-BDDB-20B9E8202B26}"/>
    <cellStyle name="Migliaia 32 3 2 4" xfId="6434" xr:uid="{10C6C0C9-7B49-4C56-B6C6-0919D60A39D3}"/>
    <cellStyle name="Migliaia 32 3 2 4 2" xfId="18082" xr:uid="{28B1D63C-59DB-4DF8-8396-9A07D31E99B0}"/>
    <cellStyle name="Migliaia 32 3 2 4 2 2" xfId="39274" xr:uid="{091B53F9-4B67-4088-897A-ED8CCD3CA98F}"/>
    <cellStyle name="Migliaia 32 3 2 4 2 3" xfId="44576" xr:uid="{EFA1337A-561C-4C76-8639-094AC878DDAF}"/>
    <cellStyle name="Migliaia 32 3 2 4 3" xfId="36713" xr:uid="{CD627BEC-4E08-4FFA-9BAD-0B1D215F338A}"/>
    <cellStyle name="Migliaia 32 3 2 4 4" xfId="41925" xr:uid="{2D4A2F92-A2AE-482B-BB1B-4173D4F05A23}"/>
    <cellStyle name="Migliaia 32 3 2 4 5" xfId="17186" xr:uid="{C8464A29-7FE5-48CF-9503-4B7A1FFB0DA7}"/>
    <cellStyle name="Migliaia 32 3 2 4 6" xfId="11336" xr:uid="{5ED1C892-98DD-47D8-9754-0087669CBA42}"/>
    <cellStyle name="Migliaia 32 3 2 5" xfId="3509" xr:uid="{41BCB18A-50B0-4217-AA2A-D96D500BB30B}"/>
    <cellStyle name="Migliaia 32 3 2 5 2" xfId="33779" xr:uid="{2D3D9B55-0F4F-42DA-B8A8-8D893E19BF88}"/>
    <cellStyle name="Migliaia 32 3 2 5 2 2" xfId="39275" xr:uid="{E1157660-936E-4165-BCA2-41C2FC44130C}"/>
    <cellStyle name="Migliaia 32 3 2 5 2 3" xfId="44577" xr:uid="{60CA7028-A7B6-4E77-9D37-12F36FA0AB6D}"/>
    <cellStyle name="Migliaia 32 3 2 5 3" xfId="36714" xr:uid="{E5A0B2B8-7400-4CE2-9C21-1924C89F4405}"/>
    <cellStyle name="Migliaia 32 3 2 5 4" xfId="41926" xr:uid="{CC8F7F42-4C80-458C-A958-20EF2794ADB9}"/>
    <cellStyle name="Migliaia 32 3 2 5 5" xfId="17351" xr:uid="{6E285BDC-229F-42F8-BD7F-53E46CBA0E53}"/>
    <cellStyle name="Migliaia 32 3 2 6" xfId="20382" xr:uid="{26466020-BE42-49EA-8F8D-CBEDAB0A0F30}"/>
    <cellStyle name="Migliaia 32 3 2 6 2" xfId="33780" xr:uid="{8B2E0AB5-DB63-48DB-8C5A-EFB4FAF817C9}"/>
    <cellStyle name="Migliaia 32 3 2 6 2 2" xfId="39276" xr:uid="{57A9DC0C-33AF-4293-A9EA-DA85A1E1B4B2}"/>
    <cellStyle name="Migliaia 32 3 2 6 2 3" xfId="44578" xr:uid="{00EB88B3-6FE8-4BBF-A35E-8A17F3E586BC}"/>
    <cellStyle name="Migliaia 32 3 2 6 3" xfId="36715" xr:uid="{F96B51C2-6B52-4104-9411-27D380B1CB70}"/>
    <cellStyle name="Migliaia 32 3 2 6 4" xfId="41927" xr:uid="{FCE18F40-AA0E-4C6B-BA91-2335ADA84617}"/>
    <cellStyle name="Migliaia 32 3 2 6 5" xfId="24761" xr:uid="{E96B1D0C-4D11-49CC-ACB8-531F85450ECC}"/>
    <cellStyle name="Migliaia 32 3 2 7" xfId="24757" xr:uid="{F53D8B33-244E-4AAF-AE00-3255AE99E80E}"/>
    <cellStyle name="Migliaia 32 3 2 8" xfId="7443" xr:uid="{3D27C3F4-5606-42F5-BB5B-025BD59239E7}"/>
    <cellStyle name="Migliaia 32 3 3" xfId="3511" xr:uid="{762B7129-7A57-43B2-9DA6-7496D75889FD}"/>
    <cellStyle name="Migliaia 32 3 3 10" xfId="7442" xr:uid="{583007EE-AD60-4B4B-A782-1FF1523E2B91}"/>
    <cellStyle name="Migliaia 32 3 3 2" xfId="5237" xr:uid="{DFA00A8A-B81E-463A-A568-632A0F0DF353}"/>
    <cellStyle name="Migliaia 32 3 3 2 2" xfId="9932" xr:uid="{75B862FE-3533-4860-891B-3862A4FD8A8F}"/>
    <cellStyle name="Migliaia 32 3 3 2 2 2" xfId="39278" xr:uid="{68C0B9C0-7135-4D04-BC2D-917AC1F12AC4}"/>
    <cellStyle name="Migliaia 32 3 3 2 2 3" xfId="44580" xr:uid="{E58B2862-EEE7-4C1D-8D9C-6850E4AD5A0A}"/>
    <cellStyle name="Migliaia 32 3 3 2 3" xfId="18212" xr:uid="{82604254-CDB6-45AB-BC17-DEDE8513F72A}"/>
    <cellStyle name="Migliaia 32 3 3 2 4" xfId="20386" xr:uid="{D4B159DD-20D0-43DD-8FB0-A7EA5BC650DB}"/>
    <cellStyle name="Migliaia 32 3 3 2 4 2" xfId="41929" xr:uid="{EBA3A189-84B0-4653-9991-82F41A7B9E21}"/>
    <cellStyle name="Migliaia 32 3 3 2 5" xfId="16401" xr:uid="{3969CFAC-0784-4464-B2E1-45600027D6E1}"/>
    <cellStyle name="Migliaia 32 3 3 2 6" xfId="8632" xr:uid="{7A133912-DC8F-4503-907D-0841A0A2D37F}"/>
    <cellStyle name="Migliaia 32 3 3 3" xfId="6436" xr:uid="{A03A6FE5-883D-41C2-BC24-9CDD98AD747C}"/>
    <cellStyle name="Migliaia 32 3 3 3 2" xfId="33783" xr:uid="{71601750-CB18-4879-AEB4-1195C5A3C4B8}"/>
    <cellStyle name="Migliaia 32 3 3 3 2 2" xfId="39279" xr:uid="{F87086C7-F9FE-44B2-8E35-93FD0FCE23C5}"/>
    <cellStyle name="Migliaia 32 3 3 3 2 3" xfId="44581" xr:uid="{219AA0CD-7EBC-49F4-BE14-E508853848CC}"/>
    <cellStyle name="Migliaia 32 3 3 3 3" xfId="36718" xr:uid="{495BF574-4A80-43E2-A03C-62BE2891BD87}"/>
    <cellStyle name="Migliaia 32 3 3 3 4" xfId="41930" xr:uid="{57DAB578-503F-41D9-B15E-3F262D835D58}"/>
    <cellStyle name="Migliaia 32 3 3 3 5" xfId="9695" xr:uid="{8DDE3DA0-E2C3-480F-BB60-3FCF3C35AB68}"/>
    <cellStyle name="Migliaia 32 3 3 4" xfId="20385" xr:uid="{F717BDF5-FEF5-49CE-A2D1-43DD705AAE8A}"/>
    <cellStyle name="Migliaia 32 3 3 4 2" xfId="33784" xr:uid="{E3FEA08A-D0F9-4FCF-B5CA-07FCC8C05FBE}"/>
    <cellStyle name="Migliaia 32 3 3 4 2 2" xfId="39280" xr:uid="{5FD6AEBA-07D4-47D5-A7BC-A034D64C52A3}"/>
    <cellStyle name="Migliaia 32 3 3 4 2 3" xfId="44582" xr:uid="{FD098CFA-A44A-4D2E-8B78-545A56747EE1}"/>
    <cellStyle name="Migliaia 32 3 3 4 3" xfId="36719" xr:uid="{73F7732B-B937-4EF5-8654-B50AB5A3395B}"/>
    <cellStyle name="Migliaia 32 3 3 4 4" xfId="41931" xr:uid="{6EEBE579-4DA6-478F-941D-01E368D34E1C}"/>
    <cellStyle name="Migliaia 32 3 3 4 5" xfId="24763" xr:uid="{F77406F7-608C-4C8B-AF8D-B7AD54C53108}"/>
    <cellStyle name="Migliaia 32 3 3 5" xfId="24764" xr:uid="{91B97FF7-A3F1-4499-9340-6D9BE53F2126}"/>
    <cellStyle name="Migliaia 32 3 3 5 2" xfId="33785" xr:uid="{ECC35531-F118-4B71-93E1-CF9A2328B9EC}"/>
    <cellStyle name="Migliaia 32 3 3 5 2 2" xfId="39281" xr:uid="{12E21F0C-BBEB-468E-9B58-6A72F16F20FD}"/>
    <cellStyle name="Migliaia 32 3 3 5 2 3" xfId="44583" xr:uid="{72B8DABB-A83A-42F7-A5B2-83C97A65F970}"/>
    <cellStyle name="Migliaia 32 3 3 5 3" xfId="36720" xr:uid="{D5210168-752B-4304-BCEE-1379A19C5FD9}"/>
    <cellStyle name="Migliaia 32 3 3 5 4" xfId="41932" xr:uid="{A771AE4D-84FE-4369-98A1-B14466DB68A1}"/>
    <cellStyle name="Migliaia 32 3 3 6" xfId="33781" xr:uid="{7059C4CD-D9BC-4DB5-8C2F-41EB9C131108}"/>
    <cellStyle name="Migliaia 32 3 3 6 2" xfId="39277" xr:uid="{EB1D63A7-27FC-4F44-A5C2-190BCFF74BD1}"/>
    <cellStyle name="Migliaia 32 3 3 6 3" xfId="44579" xr:uid="{37421332-ACFD-4DF2-AC51-D41969B4DB82}"/>
    <cellStyle name="Migliaia 32 3 3 7" xfId="36716" xr:uid="{ED7C46EB-FEA5-48FC-9D53-632497F3A410}"/>
    <cellStyle name="Migliaia 32 3 3 8" xfId="41928" xr:uid="{37AB18EE-2C70-4242-9525-D7A0F803AC5F}"/>
    <cellStyle name="Migliaia 32 3 3 9" xfId="16400" xr:uid="{AE7640D7-2530-4CA8-B595-B36D9FC88B8C}"/>
    <cellStyle name="Migliaia 32 3 4" xfId="3512" xr:uid="{62304707-5987-4782-98DE-4DA0F6D655B2}"/>
    <cellStyle name="Migliaia 32 3 4 2" xfId="5238" xr:uid="{32C99067-454D-4962-9210-A644E7861CC2}"/>
    <cellStyle name="Migliaia 32 3 4 2 2" xfId="14448" xr:uid="{A6D684DB-F6DE-4DD5-90B4-792278959FBC}"/>
    <cellStyle name="Migliaia 32 3 4 2 3" xfId="18584" xr:uid="{2EFD642E-A13D-49EF-BCEB-A36066884EB0}"/>
    <cellStyle name="Migliaia 32 3 4 2 4" xfId="20388" xr:uid="{A6ACF4E3-FB98-4F77-8049-F2B0AB15BBE2}"/>
    <cellStyle name="Migliaia 32 3 4 2 5" xfId="32380" xr:uid="{CAF02877-2AC3-4687-A88A-4454475AB170}"/>
    <cellStyle name="Migliaia 32 3 4 2 6" xfId="16403" xr:uid="{6A83FBA9-93E3-4E3C-86AB-D3F851B264F1}"/>
    <cellStyle name="Migliaia 32 3 4 2 7" xfId="8871" xr:uid="{2932B087-2D39-438B-9268-D24824DAC030}"/>
    <cellStyle name="Migliaia 32 3 4 3" xfId="6437" xr:uid="{C1B46896-D5AF-408A-8D97-A8746572D3E7}"/>
    <cellStyle name="Migliaia 32 3 4 3 2" xfId="35300" xr:uid="{D1FE0037-7C10-4A7D-B547-43D92FC7A46C}"/>
    <cellStyle name="Migliaia 32 3 4 3 2 2" xfId="40460" xr:uid="{575C98B0-89E8-49A1-AB7A-E76C3BEF45E1}"/>
    <cellStyle name="Migliaia 32 3 4 3 2 3" xfId="45762" xr:uid="{73622E6C-FCF2-413A-A240-78234E3D8048}"/>
    <cellStyle name="Migliaia 32 3 4 3 3" xfId="37809" xr:uid="{2F7870D7-152D-4F7E-BD71-90103DF3096A}"/>
    <cellStyle name="Migliaia 32 3 4 3 4" xfId="43111" xr:uid="{26AEC8EA-5965-49F2-A3DC-85C93554E083}"/>
    <cellStyle name="Migliaia 32 3 4 3 5" xfId="13696" xr:uid="{715D1556-6C38-42F7-B0FE-7E33FAAEB4FC}"/>
    <cellStyle name="Migliaia 32 3 4 4" xfId="20387" xr:uid="{DA7853A7-2C42-4F9F-98D0-0476E18974D0}"/>
    <cellStyle name="Migliaia 32 3 4 4 2" xfId="39282" xr:uid="{858AAFF4-2F74-4DE1-B3ED-AD661202AC57}"/>
    <cellStyle name="Migliaia 32 3 4 4 3" xfId="44584" xr:uid="{947AF9CD-D447-4A3F-89E9-17B463248EFC}"/>
    <cellStyle name="Migliaia 32 3 4 4 4" xfId="33786" xr:uid="{FB5E23B1-84EA-40A4-91B8-7741FD1FCBAF}"/>
    <cellStyle name="Migliaia 32 3 4 5" xfId="36721" xr:uid="{AEEC3B71-3C0C-4B4D-8DB7-B1E6214AC34C}"/>
    <cellStyle name="Migliaia 32 3 4 6" xfId="41933" xr:uid="{E5E419AD-7321-4C4E-9379-CD410FEDB093}"/>
    <cellStyle name="Migliaia 32 3 4 7" xfId="16402" xr:uid="{991C84B8-317E-40BA-B778-AF6F5B077395}"/>
    <cellStyle name="Migliaia 32 3 4 8" xfId="7681" xr:uid="{4904E841-3A41-4C94-9F8C-4BDC9A5880B4}"/>
    <cellStyle name="Migliaia 32 3 5" xfId="3513" xr:uid="{CB096336-041D-4556-A1DF-54B489F00F47}"/>
    <cellStyle name="Migliaia 32 3 5 2" xfId="5239" xr:uid="{F97C6EFB-56E4-48FA-B693-6194ADB4FC42}"/>
    <cellStyle name="Migliaia 32 3 5 2 2" xfId="35301" xr:uid="{5D43112C-3683-4AEC-934A-EEFC99F21177}"/>
    <cellStyle name="Migliaia 32 3 5 2 2 2" xfId="40461" xr:uid="{CAB13AB9-2489-47E5-AB5C-54287E7405CB}"/>
    <cellStyle name="Migliaia 32 3 5 2 2 3" xfId="45763" xr:uid="{966A87FE-80BD-4372-9462-7F2C22810DA0}"/>
    <cellStyle name="Migliaia 32 3 5 2 3" xfId="37810" xr:uid="{02F864EC-4AE7-4E1B-A272-CA9069263FC4}"/>
    <cellStyle name="Migliaia 32 3 5 2 4" xfId="43112" xr:uid="{25FE6546-4842-41B8-B8FE-87D42CE3637D}"/>
    <cellStyle name="Migliaia 32 3 5 2 5" xfId="14256" xr:uid="{9EFDD41E-884D-4C42-B494-D7B57B5EF3AE}"/>
    <cellStyle name="Migliaia 32 3 5 3" xfId="6438" xr:uid="{6CFB68BC-DA43-467F-A744-173D2D54F3E6}"/>
    <cellStyle name="Migliaia 32 3 5 3 2" xfId="39283" xr:uid="{B68415A5-71FE-4525-82C0-77EAAFBE7677}"/>
    <cellStyle name="Migliaia 32 3 5 3 3" xfId="44585" xr:uid="{E53B86B9-D965-4B7E-AA1F-9A630FD34D34}"/>
    <cellStyle name="Migliaia 32 3 5 3 4" xfId="33787" xr:uid="{CB9EDD51-4466-44C7-9896-7E4F2F1D1740}"/>
    <cellStyle name="Migliaia 32 3 5 3 5" xfId="20389" xr:uid="{93879FC9-723B-4EBF-A986-97723E768634}"/>
    <cellStyle name="Migliaia 32 3 5 4" xfId="36722" xr:uid="{DB983AFD-B66F-435B-906E-7E6A425B4977}"/>
    <cellStyle name="Migliaia 32 3 5 5" xfId="41934" xr:uid="{869BD425-4992-4C56-A7DF-11C256F31684}"/>
    <cellStyle name="Migliaia 32 3 5 6" xfId="16404" xr:uid="{BE5A0BC8-CD76-44B2-AE9B-7EFA3930C0F5}"/>
    <cellStyle name="Migliaia 32 3 5 7" xfId="8318" xr:uid="{11032C66-E4EE-424C-89E6-73B922A716A7}"/>
    <cellStyle name="Migliaia 32 3 6" xfId="5234" xr:uid="{1B527711-DAE8-4B2E-AF9D-3134DEDDB473}"/>
    <cellStyle name="Migliaia 32 3 6 2" xfId="13961" xr:uid="{CFB8235F-7D0C-47AF-9E12-2DCF338CD98A}"/>
    <cellStyle name="Migliaia 32 3 6 2 2" xfId="39284" xr:uid="{7CFB0A0F-8BDB-49DC-9486-5DE4C0226C9F}"/>
    <cellStyle name="Migliaia 32 3 6 2 3" xfId="44586" xr:uid="{DCD3F086-C49E-4D8B-93B5-6E0C9B9DFF4B}"/>
    <cellStyle name="Migliaia 32 3 6 3" xfId="18614" xr:uid="{08AD073A-7E95-4620-A75F-5D382FC7CD40}"/>
    <cellStyle name="Migliaia 32 3 6 4" xfId="20390" xr:uid="{FAFC3692-CB6A-43F5-8EC7-E398D4D59808}"/>
    <cellStyle name="Migliaia 32 3 6 4 2" xfId="41935" xr:uid="{310514F5-BF61-4756-A0BE-84B660792A88}"/>
    <cellStyle name="Migliaia 32 3 6 5" xfId="16405" xr:uid="{B0BBA026-4FD4-4887-A31B-E27E99D5D8A5}"/>
    <cellStyle name="Migliaia 32 3 6 6" xfId="7924" xr:uid="{92DA15A0-C93C-4A92-A33C-6B471BF960F9}"/>
    <cellStyle name="Migliaia 32 3 7" xfId="6433" xr:uid="{5823BAAF-61D2-4281-AB44-67BFE3822AEA}"/>
    <cellStyle name="Migliaia 32 3 7 2" xfId="33788" xr:uid="{1049A9A8-6DE6-46EE-9C3F-1F6C0525CD14}"/>
    <cellStyle name="Migliaia 32 3 7 2 2" xfId="39285" xr:uid="{A6E4031C-8B38-422C-957B-F45672C254FD}"/>
    <cellStyle name="Migliaia 32 3 7 2 3" xfId="44587" xr:uid="{9F33CC95-96CD-45FE-AAB7-E1F978E53B77}"/>
    <cellStyle name="Migliaia 32 3 7 3" xfId="36723" xr:uid="{CF575470-D392-4F9E-B60F-DA6C734E64E3}"/>
    <cellStyle name="Migliaia 32 3 7 4" xfId="41936" xr:uid="{AC981413-F277-4B3A-90D5-D87BC21EFE1E}"/>
    <cellStyle name="Migliaia 32 3 7 5" xfId="12244" xr:uid="{1E0201AD-82C9-44F6-950E-9247E53C4E79}"/>
    <cellStyle name="Migliaia 32 3 8" xfId="3508" xr:uid="{2085F6A7-0789-469A-B969-4BE64300FCAA}"/>
    <cellStyle name="Migliaia 32 3 8 2" xfId="33789" xr:uid="{5873EF68-98CE-4B51-92C7-3941CA2063FC}"/>
    <cellStyle name="Migliaia 32 3 8 2 2" xfId="39286" xr:uid="{A12DE1F5-6CCD-4764-A0DA-F94F5B25517A}"/>
    <cellStyle name="Migliaia 32 3 8 2 3" xfId="44588" xr:uid="{C5395F6A-5745-493D-8024-BFEA84408C06}"/>
    <cellStyle name="Migliaia 32 3 8 3" xfId="36724" xr:uid="{B093328A-DCF6-4219-8FC5-9DFD8F1E0BEF}"/>
    <cellStyle name="Migliaia 32 3 8 4" xfId="41937" xr:uid="{E7DB0335-3539-4A6B-8F34-AC9F3AE3356C}"/>
    <cellStyle name="Migliaia 32 3 8 5" xfId="24768" xr:uid="{F787DF8E-D06C-43DE-B276-2871F7E2EECB}"/>
    <cellStyle name="Migliaia 32 3 8 6" xfId="17352" xr:uid="{0B459E9E-8DF0-4100-BEF4-D58957885B44}"/>
    <cellStyle name="Migliaia 32 3 9" xfId="20381" xr:uid="{922E9900-501C-48DE-9B92-ACC91E42B687}"/>
    <cellStyle name="Migliaia 32 4" xfId="1783" xr:uid="{00000000-0005-0000-0000-0000A6030000}"/>
    <cellStyle name="Migliaia 32 4 2" xfId="1784" xr:uid="{00000000-0005-0000-0000-0000A7030000}"/>
    <cellStyle name="Migliaia 32 4 2 2" xfId="5241" xr:uid="{924DAC67-60AF-40AE-B9D4-B129F12D1A13}"/>
    <cellStyle name="Migliaia 32 4 2 2 2" xfId="33790" xr:uid="{3FAC5EEB-5E85-4ECE-B352-3E9751C90200}"/>
    <cellStyle name="Migliaia 32 4 2 2 2 2" xfId="39287" xr:uid="{EDB0A399-5FAE-4184-A4F9-46B883C15158}"/>
    <cellStyle name="Migliaia 32 4 2 2 2 3" xfId="44589" xr:uid="{A6B3C9F2-874F-4187-8C2B-9B937552F310}"/>
    <cellStyle name="Migliaia 32 4 2 2 3" xfId="36725" xr:uid="{572AC398-E290-4494-A356-61DF2C07BA07}"/>
    <cellStyle name="Migliaia 32 4 2 2 4" xfId="41938" xr:uid="{1007A034-C2C2-4E78-BFA1-1AABEC48AF43}"/>
    <cellStyle name="Migliaia 32 4 2 2 5" xfId="9158" xr:uid="{B1ACF012-D0F6-4D95-8033-A474D5A9AAC7}"/>
    <cellStyle name="Migliaia 32 4 2 3" xfId="3515" xr:uid="{F21A02D4-91F8-4775-8141-127D42F27451}"/>
    <cellStyle name="Migliaia 32 4 2 3 2" xfId="33791" xr:uid="{21884536-2C59-46B7-9579-D65C499E8612}"/>
    <cellStyle name="Migliaia 32 4 2 3 2 2" xfId="39288" xr:uid="{D0EB52A3-B6A8-41D5-8E39-4433D6A08D7A}"/>
    <cellStyle name="Migliaia 32 4 2 3 2 3" xfId="44590" xr:uid="{17D6F292-154E-4EEE-B38F-B1A332468B68}"/>
    <cellStyle name="Migliaia 32 4 2 3 3" xfId="36726" xr:uid="{9946F70D-BD46-4549-8D60-BE4B329D5F88}"/>
    <cellStyle name="Migliaia 32 4 2 3 4" xfId="41939" xr:uid="{2E5A9AD1-8CF1-4D2A-AEDF-114166A294E5}"/>
    <cellStyle name="Migliaia 32 4 2 3 5" xfId="11989" xr:uid="{ABCE21FD-DA7D-4B8C-AB80-946859AAE871}"/>
    <cellStyle name="Migliaia 32 4 2 4" xfId="11338" xr:uid="{44C5CD34-B7F0-4662-B07D-4D7CE088E886}"/>
    <cellStyle name="Migliaia 32 4 2 5" xfId="10861" xr:uid="{6CBA1785-DB5B-4DDB-A0CF-CDA013F77C9E}"/>
    <cellStyle name="Migliaia 32 4 2 5 2" xfId="21496" xr:uid="{C2484BC5-1E38-4885-9E04-0C7B2C51EBE1}"/>
    <cellStyle name="Migliaia 32 4 2 5 3" xfId="46244" xr:uid="{3339D4FA-7017-4755-84BF-A32FA0DB570B}"/>
    <cellStyle name="Migliaia 32 4 2 5 4" xfId="50511" xr:uid="{96DF5D9F-FB42-40B5-892D-C6C2209C7953}"/>
    <cellStyle name="Migliaia 32 4 2 5 5" xfId="53527" xr:uid="{766258EF-78DC-4D85-96CE-F234E592B18F}"/>
    <cellStyle name="Migliaia 32 4 2 6" xfId="20392" xr:uid="{CBD00B81-B4F9-4F8A-822D-9CB9F3512A8F}"/>
    <cellStyle name="Migliaia 32 4 2 7" xfId="24770" xr:uid="{E6DDB186-680D-4247-9011-B4C7292F78ED}"/>
    <cellStyle name="Migliaia 32 4 2 8" xfId="8634" xr:uid="{9B66DD61-8FCA-4F2E-B31F-6E061D9674B8}"/>
    <cellStyle name="Migliaia 32 4 3" xfId="5240" xr:uid="{FDFE663D-554D-4F35-A2F4-EADA5482FA20}"/>
    <cellStyle name="Migliaia 32 4 3 2" xfId="18213" xr:uid="{BD51959E-25ED-4466-B2B3-038252FE0ED7}"/>
    <cellStyle name="Migliaia 32 4 3 2 2" xfId="39289" xr:uid="{4A1DB9AC-6FB9-438C-AF16-6F734CF4CB60}"/>
    <cellStyle name="Migliaia 32 4 3 2 3" xfId="44591" xr:uid="{22E7F6B9-500B-48F7-842C-A19EBCDA0DA0}"/>
    <cellStyle name="Migliaia 32 4 3 3" xfId="36727" xr:uid="{FDC93AEB-2A5A-4E7F-BD96-703BDDE6A9E3}"/>
    <cellStyle name="Migliaia 32 4 3 4" xfId="41940" xr:uid="{8670B5D4-9840-4056-BCA4-0DE3110292CB}"/>
    <cellStyle name="Migliaia 32 4 3 5" xfId="17350" xr:uid="{C30D82F8-94C5-46EE-A19E-1FF4B0AA191C}"/>
    <cellStyle name="Migliaia 32 4 3 6" xfId="9159" xr:uid="{AFF05CCE-34D5-469E-9109-6D44C06A02CD}"/>
    <cellStyle name="Migliaia 32 4 4" xfId="6439" xr:uid="{C9F7EC3B-CCDC-4457-A54B-384E689E7FA7}"/>
    <cellStyle name="Migliaia 32 4 4 2" xfId="33792" xr:uid="{4ADB547B-ADF1-4478-8F07-DC62D2C64AE6}"/>
    <cellStyle name="Migliaia 32 4 4 2 2" xfId="39290" xr:uid="{E2186575-DF30-4743-8601-91E1FCBC3172}"/>
    <cellStyle name="Migliaia 32 4 4 2 3" xfId="44592" xr:uid="{F7BC44FD-795B-4057-AEBD-43324A28F406}"/>
    <cellStyle name="Migliaia 32 4 4 3" xfId="36728" xr:uid="{69648B24-6867-452B-9A96-5EC60812BC4F}"/>
    <cellStyle name="Migliaia 32 4 4 4" xfId="41941" xr:uid="{7291B272-D440-4363-B454-348F601D7EE4}"/>
    <cellStyle name="Migliaia 32 4 4 5" xfId="11990" xr:uid="{1A63802B-4003-446A-8716-154B3BABC81E}"/>
    <cellStyle name="Migliaia 32 4 5" xfId="3514" xr:uid="{C4A06186-7525-4C11-9D18-72573FE871B0}"/>
    <cellStyle name="Migliaia 32 4 5 2" xfId="33793" xr:uid="{DD3625C4-642D-4AD1-BCCC-272B6D988311}"/>
    <cellStyle name="Migliaia 32 4 5 2 2" xfId="39291" xr:uid="{CB1868E0-DC8E-4D10-9E82-03E478000A06}"/>
    <cellStyle name="Migliaia 32 4 5 2 3" xfId="44593" xr:uid="{27ECC89F-FB30-412F-AF86-F649797910F0}"/>
    <cellStyle name="Migliaia 32 4 5 3" xfId="36729" xr:uid="{DA1094CC-C57C-44EF-96EA-A9D5C91C05A8}"/>
    <cellStyle name="Migliaia 32 4 5 4" xfId="41942" xr:uid="{697F5EA4-FBE2-4FDE-B9EE-287FAFADF421}"/>
    <cellStyle name="Migliaia 32 4 5 5" xfId="11337" xr:uid="{76B47DAD-CB40-43A2-AFBE-B9850F9062F8}"/>
    <cellStyle name="Migliaia 32 4 6" xfId="10860" xr:uid="{86E7D125-28A7-44C9-8CEA-0AA5D4C65876}"/>
    <cellStyle name="Migliaia 32 4 6 2" xfId="21495" xr:uid="{4F58E123-AE8A-48F5-BE64-51107DE2481A}"/>
    <cellStyle name="Migliaia 32 4 6 2 2" xfId="39292" xr:uid="{7234CDB0-2C06-4C64-B04D-1F3CF2E18706}"/>
    <cellStyle name="Migliaia 32 4 6 2 3" xfId="44594" xr:uid="{8180B857-93C8-45A4-B990-C9A97CA936BA}"/>
    <cellStyle name="Migliaia 32 4 6 2 4" xfId="33794" xr:uid="{54F74F49-2264-438D-BE84-AA676CD84D51}"/>
    <cellStyle name="Migliaia 32 4 6 3" xfId="36730" xr:uid="{B6FAE01B-EB7D-4FED-9B91-3F0DB74D6964}"/>
    <cellStyle name="Migliaia 32 4 6 4" xfId="41943" xr:uid="{CA8B2CEA-F0B3-4465-9B78-F1A16EA0CB08}"/>
    <cellStyle name="Migliaia 32 4 6 5" xfId="24771" xr:uid="{EC66C4E6-031B-4E07-84BC-9319F5ECC2D6}"/>
    <cellStyle name="Migliaia 32 4 6 6" xfId="24243" xr:uid="{17EA41F2-A498-4187-B713-17FA40E5EDDE}"/>
    <cellStyle name="Migliaia 32 4 6 7" xfId="50510" xr:uid="{CFE27C3D-89AB-488D-97A9-29DE6D2C578F}"/>
    <cellStyle name="Migliaia 32 4 6 8" xfId="53526" xr:uid="{B349D4BF-7AB2-4A9C-AE26-209C3A45C6B2}"/>
    <cellStyle name="Migliaia 32 4 7" xfId="20391" xr:uid="{BDB98528-0EB8-46D0-BF46-01EB44B24D01}"/>
    <cellStyle name="Migliaia 32 4 7 2" xfId="33795" xr:uid="{AAB9691C-1710-434F-BF12-A7873C43DCEA}"/>
    <cellStyle name="Migliaia 32 4 7 2 2" xfId="39293" xr:uid="{436D2E82-A8B5-48A9-9646-19E2B23A708C}"/>
    <cellStyle name="Migliaia 32 4 7 2 3" xfId="44595" xr:uid="{C30BF921-6E09-4A43-84A7-4D71EC7617C2}"/>
    <cellStyle name="Migliaia 32 4 7 3" xfId="36731" xr:uid="{9BC2C607-9D6C-4D12-AC08-4CD9DC53B10B}"/>
    <cellStyle name="Migliaia 32 4 7 4" xfId="41944" xr:uid="{3979ABEA-680B-4A9E-8DD2-A9BE7FD3813D}"/>
    <cellStyle name="Migliaia 32 4 7 5" xfId="24772" xr:uid="{95F42D76-BC33-481D-9047-B5AD3FA85D1A}"/>
    <cellStyle name="Migliaia 32 4 8" xfId="24769" xr:uid="{4070D83A-8BC8-42D6-A0C4-50DD0B80B3A3}"/>
    <cellStyle name="Migliaia 32 4 9" xfId="7444" xr:uid="{92B8D8B8-7FFA-452E-91CA-E1A3FF57332F}"/>
    <cellStyle name="Migliaia 32 5" xfId="1785" xr:uid="{00000000-0005-0000-0000-0000A8030000}"/>
    <cellStyle name="Migliaia 32 5 2" xfId="5242" xr:uid="{DFD51720-D573-4248-9FD6-E0340BCBADFE}"/>
    <cellStyle name="Migliaia 32 5 2 2" xfId="18439" xr:uid="{E787C402-ADD9-4D1B-8D98-A3D31E5130D3}"/>
    <cellStyle name="Migliaia 32 5 2 2 2" xfId="39294" xr:uid="{53D34412-1FFD-441E-93FB-B6F5C8A663E9}"/>
    <cellStyle name="Migliaia 32 5 2 2 3" xfId="44596" xr:uid="{7C6B6FBB-F91C-4B5D-8854-081B85836742}"/>
    <cellStyle name="Migliaia 32 5 2 3" xfId="20394" xr:uid="{B866360A-F00F-42F6-AC1C-1105CD6914DB}"/>
    <cellStyle name="Migliaia 32 5 2 3 2" xfId="36732" xr:uid="{01EE5ED1-53A7-401C-9416-5C8EA1A4C6C5}"/>
    <cellStyle name="Migliaia 32 5 2 4" xfId="41945" xr:uid="{FCAEF8E4-0630-4DF5-913B-7105966A62C6}"/>
    <cellStyle name="Migliaia 32 5 2 5" xfId="16406" xr:uid="{D7A45B08-41D4-4E11-BAD3-D2D46E9E8C1B}"/>
    <cellStyle name="Migliaia 32 5 2 6" xfId="8635" xr:uid="{14D81420-63B9-4E0C-928C-8649754A550B}"/>
    <cellStyle name="Migliaia 32 5 3" xfId="6440" xr:uid="{CAD3D39B-47AB-4F3C-88FA-2CD1B94FDB68}"/>
    <cellStyle name="Migliaia 32 5 3 2" xfId="33796" xr:uid="{1F1FB193-7297-496B-B639-2E461523328C}"/>
    <cellStyle name="Migliaia 32 5 3 2 2" xfId="39295" xr:uid="{812BD8A9-139F-43E8-9E3E-12048C1F79E2}"/>
    <cellStyle name="Migliaia 32 5 3 2 3" xfId="44597" xr:uid="{CDB768D4-4D74-4B72-AFD3-9F09DABB71AC}"/>
    <cellStyle name="Migliaia 32 5 3 3" xfId="36733" xr:uid="{3B9BAC82-F426-468D-AC20-59FDD339B112}"/>
    <cellStyle name="Migliaia 32 5 3 4" xfId="41946" xr:uid="{610AD3B2-51D2-4D32-9426-185469778E02}"/>
    <cellStyle name="Migliaia 32 5 3 5" xfId="11339" xr:uid="{F43C9747-882F-46D5-BAF8-F670DA22B48A}"/>
    <cellStyle name="Migliaia 32 5 4" xfId="3516" xr:uid="{5E249684-B9FD-44B1-99AC-1284190174C1}"/>
    <cellStyle name="Migliaia 32 5 4 2" xfId="21497" xr:uid="{84176843-19EE-43E0-B08A-D7BA818F07D2}"/>
    <cellStyle name="Migliaia 32 5 4 2 2" xfId="39296" xr:uid="{809BA1E5-2818-4DF6-8D84-000F5D4BBB95}"/>
    <cellStyle name="Migliaia 32 5 4 2 3" xfId="44598" xr:uid="{18821E93-B639-4EE1-A6ED-8B8A606EE23C}"/>
    <cellStyle name="Migliaia 32 5 4 2 4" xfId="33797" xr:uid="{65000424-83D0-4C19-8F00-C0B3882CE870}"/>
    <cellStyle name="Migliaia 32 5 4 3" xfId="36734" xr:uid="{E4DC2789-CF98-45C8-B071-2347EAADF4CA}"/>
    <cellStyle name="Migliaia 32 5 4 4" xfId="41947" xr:uid="{47A419E2-051B-4DFE-B8B7-FCC3184ED07F}"/>
    <cellStyle name="Migliaia 32 5 4 5" xfId="24774" xr:uid="{84068E10-D3A6-4D72-958E-FA1C57EC6BC7}"/>
    <cellStyle name="Migliaia 32 5 4 6" xfId="47306" xr:uid="{5100DF7D-F22A-48DF-855C-6376179C5418}"/>
    <cellStyle name="Migliaia 32 5 4 7" xfId="50512" xr:uid="{F940D57E-04E3-44E6-9845-D551D039A069}"/>
    <cellStyle name="Migliaia 32 5 4 8" xfId="53528" xr:uid="{DFF0CF6E-9A19-4236-B6EE-F7FDFF83CB7A}"/>
    <cellStyle name="Migliaia 32 5 4 9" xfId="10862" xr:uid="{5B5B63B0-96A0-45AA-8B79-869C6D76D2EF}"/>
    <cellStyle name="Migliaia 32 5 5" xfId="20393" xr:uid="{59BBCF21-E767-42AC-ABC0-5BA787321D01}"/>
    <cellStyle name="Migliaia 32 5 5 2" xfId="33798" xr:uid="{CC6853EC-5A49-44FC-BFD9-11E264672A1C}"/>
    <cellStyle name="Migliaia 32 5 5 2 2" xfId="39297" xr:uid="{C68E3372-536A-4C60-A956-E7D3010F6F18}"/>
    <cellStyle name="Migliaia 32 5 5 2 3" xfId="44599" xr:uid="{86EAF8D8-FA2E-4E98-8289-EF3A63688D21}"/>
    <cellStyle name="Migliaia 32 5 5 3" xfId="36735" xr:uid="{0109922E-4AE5-4FEA-AE60-573D4E65F377}"/>
    <cellStyle name="Migliaia 32 5 5 4" xfId="41948" xr:uid="{E3EB6C57-BF7C-45F0-9088-EA6118B92574}"/>
    <cellStyle name="Migliaia 32 5 5 5" xfId="24775" xr:uid="{07F851CF-5D5F-4ECD-86C7-CB60E62406F3}"/>
    <cellStyle name="Migliaia 32 5 6" xfId="24776" xr:uid="{0015F774-9541-458C-939A-85CB36AEFD34}"/>
    <cellStyle name="Migliaia 32 5 6 2" xfId="33799" xr:uid="{BF371DCC-A84B-479F-9130-F39BB7BA1752}"/>
    <cellStyle name="Migliaia 32 5 6 2 2" xfId="39298" xr:uid="{C30D5739-928E-4E2D-9F09-419AF2158E22}"/>
    <cellStyle name="Migliaia 32 5 6 2 3" xfId="44600" xr:uid="{19D77D7A-8229-415B-BBEB-EB79F1545040}"/>
    <cellStyle name="Migliaia 32 5 6 3" xfId="36736" xr:uid="{12D23CEB-7644-4CF4-98BD-E053653CFC8A}"/>
    <cellStyle name="Migliaia 32 5 6 4" xfId="41949" xr:uid="{EAF36789-C379-4D71-84F0-26CB2E640509}"/>
    <cellStyle name="Migliaia 32 5 7" xfId="24773" xr:uid="{29F69353-7277-479D-99E4-3AA83FC0C92C}"/>
    <cellStyle name="Migliaia 32 5 8" xfId="7445" xr:uid="{44EDAF0E-1D6F-45CD-8DA8-F091833803B7}"/>
    <cellStyle name="Migliaia 32 6" xfId="3517" xr:uid="{19207D03-52D6-4671-94F4-D680956CE76F}"/>
    <cellStyle name="Migliaia 32 6 2" xfId="5243" xr:uid="{D7F948F9-1A70-4C14-941D-F81B76E185B6}"/>
    <cellStyle name="Migliaia 32 6 2 2" xfId="9931" xr:uid="{81D02C72-CD29-4E49-A5FA-81AFAB6E537F}"/>
    <cellStyle name="Migliaia 32 6 2 3" xfId="18655" xr:uid="{BFEF1A2C-BF6B-4036-8DD0-474F29CB9E73}"/>
    <cellStyle name="Migliaia 32 6 2 4" xfId="20396" xr:uid="{59C7A844-E4AE-475B-A741-D64D05EB8B8F}"/>
    <cellStyle name="Migliaia 32 6 2 5" xfId="32382" xr:uid="{92BD9752-B62A-452F-BAE0-C3BBC8340C76}"/>
    <cellStyle name="Migliaia 32 6 2 6" xfId="16408" xr:uid="{ED3CA512-51CE-49A8-AA1E-41447FAF9C50}"/>
    <cellStyle name="Migliaia 32 6 2 7" xfId="8630" xr:uid="{5BA5CE85-E674-4A2A-8ED7-29E308DC8C49}"/>
    <cellStyle name="Migliaia 32 6 3" xfId="6441" xr:uid="{06C6FBF0-0D43-460C-8399-97043C1CDA88}"/>
    <cellStyle name="Migliaia 32 6 3 2" xfId="35302" xr:uid="{F4A8CEC6-2D02-4B31-815D-E244B07CD39D}"/>
    <cellStyle name="Migliaia 32 6 3 2 2" xfId="40462" xr:uid="{4A6EE47D-EB5A-49BF-B945-079EB3FD3AF5}"/>
    <cellStyle name="Migliaia 32 6 3 2 3" xfId="45764" xr:uid="{6EFC5354-D326-4D65-8BE6-CA0C12FEB163}"/>
    <cellStyle name="Migliaia 32 6 3 3" xfId="37811" xr:uid="{CE8CA2AA-8C04-4404-8F48-43713BFEE708}"/>
    <cellStyle name="Migliaia 32 6 3 4" xfId="43113" xr:uid="{92DDA6D4-C6D6-48F7-A87C-2460F1FF095F}"/>
    <cellStyle name="Migliaia 32 6 3 5" xfId="9694" xr:uid="{A9B0ED13-71AB-467E-9E50-C90FD9BB53CA}"/>
    <cellStyle name="Migliaia 32 6 4" xfId="20395" xr:uid="{215E81BB-54E9-46BD-94DD-12692F849B57}"/>
    <cellStyle name="Migliaia 32 6 4 2" xfId="39299" xr:uid="{FF31A5FB-511B-4E20-804A-29692AA5502E}"/>
    <cellStyle name="Migliaia 32 6 4 3" xfId="44601" xr:uid="{1BC3D7D3-2F08-4401-83A5-20FB1A7309ED}"/>
    <cellStyle name="Migliaia 32 6 4 4" xfId="33800" xr:uid="{60884C01-C644-4D9E-9345-A12E09FCE80C}"/>
    <cellStyle name="Migliaia 32 6 5" xfId="36737" xr:uid="{553B29DA-4F5B-48EF-A240-F66880674DF5}"/>
    <cellStyle name="Migliaia 32 6 6" xfId="41950" xr:uid="{0479E5E0-6865-4A4D-9500-80006C8A8BC8}"/>
    <cellStyle name="Migliaia 32 6 7" xfId="16407" xr:uid="{D655DC29-53D5-4D09-9547-E03CE47B2224}"/>
    <cellStyle name="Migliaia 32 6 8" xfId="7440" xr:uid="{FE384F66-A2A8-413E-A4EC-EFC77835A4F7}"/>
    <cellStyle name="Migliaia 32 7" xfId="3518" xr:uid="{282D0C42-E8B2-448B-A2FB-154D2F922972}"/>
    <cellStyle name="Migliaia 32 7 2" xfId="5244" xr:uid="{BAF67321-032F-4E11-ABD8-45759C9E2BA9}"/>
    <cellStyle name="Migliaia 32 7 2 2" xfId="35303" xr:uid="{21D8232A-8ED6-42BC-BA87-687ACD240824}"/>
    <cellStyle name="Migliaia 32 7 2 2 2" xfId="40463" xr:uid="{20A5C980-4CF7-4B58-8D2E-9F420621FBE6}"/>
    <cellStyle name="Migliaia 32 7 2 2 3" xfId="45765" xr:uid="{911A5696-5CEF-4E5B-8232-68A85BDEABEB}"/>
    <cellStyle name="Migliaia 32 7 2 3" xfId="37812" xr:uid="{20AD953B-84E8-4C26-8B8A-68C97B70E9F5}"/>
    <cellStyle name="Migliaia 32 7 2 4" xfId="43114" xr:uid="{D9C4AEC7-C73A-425E-8741-8E9887D855BA}"/>
    <cellStyle name="Migliaia 32 7 2 5" xfId="14254" xr:uid="{F7AFF114-2474-4B41-85EC-D0ADDEBBF1F5}"/>
    <cellStyle name="Migliaia 32 7 3" xfId="6442" xr:uid="{A2CBCD6E-AF83-4420-AABD-8B74EFE2AAC1}"/>
    <cellStyle name="Migliaia 32 7 3 2" xfId="39300" xr:uid="{3F2B1F85-CCDA-4255-A72A-F1514B49C9D4}"/>
    <cellStyle name="Migliaia 32 7 3 3" xfId="44602" xr:uid="{2C5753D6-B2DB-4E84-9D20-9E344A0154B3}"/>
    <cellStyle name="Migliaia 32 7 3 4" xfId="33801" xr:uid="{C08585AF-8304-4B7C-81A2-78DCC68DF1F6}"/>
    <cellStyle name="Migliaia 32 7 3 5" xfId="20397" xr:uid="{E2D75003-69ED-469C-BC66-6E591DB235BD}"/>
    <cellStyle name="Migliaia 32 7 4" xfId="36738" xr:uid="{0CA21CB5-7753-4E0C-B7F1-BC90ACD76F50}"/>
    <cellStyle name="Migliaia 32 7 5" xfId="41951" xr:uid="{8366D61E-DDE2-46F0-B4A8-7444AAE0E861}"/>
    <cellStyle name="Migliaia 32 7 6" xfId="16409" xr:uid="{78DE83ED-501A-4D60-A828-5109EEDCEAA8}"/>
    <cellStyle name="Migliaia 32 7 7" xfId="8316" xr:uid="{A63E9AF0-C874-4A28-9367-0C48395C1C33}"/>
    <cellStyle name="Migliaia 32 8" xfId="3519" xr:uid="{B9EA8D56-496A-4BFC-9E25-5B8F8FF6563B}"/>
    <cellStyle name="Migliaia 32 8 2" xfId="5245" xr:uid="{AE7F18CF-C9D6-442F-BF29-4E0C13849FE9}"/>
    <cellStyle name="Migliaia 32 8 2 2" xfId="35304" xr:uid="{87CD96EE-C762-4B4C-8D4C-15972CA0D497}"/>
    <cellStyle name="Migliaia 32 8 2 2 2" xfId="40464" xr:uid="{2DA94507-FA2C-4EEC-B39D-EEAA326A73DE}"/>
    <cellStyle name="Migliaia 32 8 2 2 3" xfId="45766" xr:uid="{31BEB7D4-B781-4967-B378-A0EC1C0A9F24}"/>
    <cellStyle name="Migliaia 32 8 2 3" xfId="37813" xr:uid="{34E9FB55-1DA6-413B-8463-83A389642D71}"/>
    <cellStyle name="Migliaia 32 8 2 4" xfId="43115" xr:uid="{6B89630E-A2DE-4A9A-A88D-E48C4840063F}"/>
    <cellStyle name="Migliaia 32 8 2 5" xfId="13959" xr:uid="{131708B5-1171-4782-8B26-044F94A20EDF}"/>
    <cellStyle name="Migliaia 32 8 3" xfId="6443" xr:uid="{4C21A6A6-381A-4F37-8001-405EEAF1E16E}"/>
    <cellStyle name="Migliaia 32 8 3 2" xfId="39301" xr:uid="{D392DCB9-2D25-4F23-BC09-92CF4031B2D0}"/>
    <cellStyle name="Migliaia 32 8 3 3" xfId="44603" xr:uid="{416A7D03-1825-4512-A15E-4C07121C06C2}"/>
    <cellStyle name="Migliaia 32 8 3 4" xfId="33802" xr:uid="{0754052B-6F5E-451B-B202-2DB0772FC1F4}"/>
    <cellStyle name="Migliaia 32 8 3 5" xfId="20398" xr:uid="{FE23E4F7-DC54-4B1F-9666-9BDA5A7A85E1}"/>
    <cellStyle name="Migliaia 32 8 4" xfId="36739" xr:uid="{DDFC22CC-E4E6-44F1-9AD4-184D7A758ED2}"/>
    <cellStyle name="Migliaia 32 8 5" xfId="41952" xr:uid="{49FD42B4-ED68-498E-A3A4-CA2DB7ADFA24}"/>
    <cellStyle name="Migliaia 32 8 6" xfId="16410" xr:uid="{BF821772-202B-4686-8416-9A7A92DDDFA3}"/>
    <cellStyle name="Migliaia 32 8 7" xfId="7922" xr:uid="{15D4AD9B-8997-4784-B7D1-D7395431CC90}"/>
    <cellStyle name="Migliaia 32 9" xfId="5230" xr:uid="{595DA145-F0CC-4C77-A36E-E0B3F37DBD77}"/>
    <cellStyle name="Migliaia 32 9 2" xfId="33803" xr:uid="{2E783AE5-377F-48FC-9D7D-BE0DE24214DC}"/>
    <cellStyle name="Migliaia 32 9 2 2" xfId="39302" xr:uid="{86392F21-5EEB-4F97-B194-6D544D49DEB2}"/>
    <cellStyle name="Migliaia 32 9 2 3" xfId="44604" xr:uid="{BC25C094-C6EC-4110-9C49-54D2A4A2DCD8}"/>
    <cellStyle name="Migliaia 32 9 3" xfId="36740" xr:uid="{47EBACC3-ED9B-4AB1-978B-847CA27C3069}"/>
    <cellStyle name="Migliaia 32 9 4" xfId="41953" xr:uid="{7108C331-2D88-4C96-943C-20A34DF4170E}"/>
    <cellStyle name="Migliaia 32 9 5" xfId="17185" xr:uid="{7F2473FA-888C-4BF8-A580-CFA4539155A9}"/>
    <cellStyle name="Migliaia 33" xfId="405" xr:uid="{00000000-0005-0000-0000-0000A9030000}"/>
    <cellStyle name="Migliaia 33 10" xfId="6444" xr:uid="{A877428A-269A-4EB9-9D56-2E337C0EEEE2}"/>
    <cellStyle name="Migliaia 33 10 2" xfId="39303" xr:uid="{51686E89-4C24-47CD-8976-D1C68FE3F202}"/>
    <cellStyle name="Migliaia 33 10 3" xfId="44605" xr:uid="{B2A25FD3-BA94-49E8-BAF8-06FFD0576E4A}"/>
    <cellStyle name="Migliaia 33 10 4" xfId="33804" xr:uid="{4D258CBD-96B4-4DDE-8496-33E20A92FB44}"/>
    <cellStyle name="Migliaia 33 10 5" xfId="20399" xr:uid="{EA88FDA7-5EAB-48D8-A6EC-D1B2720DAF94}"/>
    <cellStyle name="Migliaia 33 11" xfId="3520" xr:uid="{60ECEFB9-5D76-4603-85D4-AF11CE2B0151}"/>
    <cellStyle name="Migliaia 33 11 2" xfId="36741" xr:uid="{3D8285BB-E7DC-4766-9267-53FBEDC8C454}"/>
    <cellStyle name="Migliaia 33 12" xfId="41954" xr:uid="{B92F1127-06E4-4894-B2E7-7AED1986905E}"/>
    <cellStyle name="Migliaia 33 13" xfId="7120" xr:uid="{EFF18E94-CD64-4526-8CBD-D2D12531AC70}"/>
    <cellStyle name="Migliaia 33 2" xfId="406" xr:uid="{00000000-0005-0000-0000-0000AA030000}"/>
    <cellStyle name="Migliaia 33 2 2" xfId="1786" xr:uid="{00000000-0005-0000-0000-0000AB030000}"/>
    <cellStyle name="Migliaia 33 2 2 2" xfId="5248" xr:uid="{798C7812-8EFE-4813-AA39-CEB8F5DCC7CB}"/>
    <cellStyle name="Migliaia 33 2 2 2 2" xfId="14389" xr:uid="{5BDBE7AF-3550-4E5D-91FA-3E2D819131A7}"/>
    <cellStyle name="Migliaia 33 2 2 2 2 2" xfId="39304" xr:uid="{BB0EE4E1-045C-438C-86B3-C8FFD66F1686}"/>
    <cellStyle name="Migliaia 33 2 2 2 2 3" xfId="44606" xr:uid="{22244368-4054-470D-A84A-FFD86380CAC2}"/>
    <cellStyle name="Migliaia 33 2 2 2 3" xfId="18440" xr:uid="{65338B57-1875-4E11-BCBB-9DD1B43931BC}"/>
    <cellStyle name="Migliaia 33 2 2 2 4" xfId="20402" xr:uid="{66789160-D667-47D1-9EC8-B1601CACE1BC}"/>
    <cellStyle name="Migliaia 33 2 2 2 4 2" xfId="41955" xr:uid="{3D40B209-D161-4649-8E59-FACF446046EF}"/>
    <cellStyle name="Migliaia 33 2 2 2 5" xfId="16411" xr:uid="{51CE6995-0199-4BDF-9C08-C3CE229086FD}"/>
    <cellStyle name="Migliaia 33 2 2 2 6" xfId="8637" xr:uid="{77F371B4-8AC2-401A-B26A-22836CDCAEFD}"/>
    <cellStyle name="Migliaia 33 2 2 3" xfId="6446" xr:uid="{9904DD2A-6FB4-4BFE-A65F-1C626C6FF29A}"/>
    <cellStyle name="Migliaia 33 2 2 3 2" xfId="35305" xr:uid="{5528D152-2874-4A84-9025-726349C08277}"/>
    <cellStyle name="Migliaia 33 2 2 3 2 2" xfId="40465" xr:uid="{34500A96-2208-4D97-A782-1A7A6E82B1C4}"/>
    <cellStyle name="Migliaia 33 2 2 3 2 3" xfId="45767" xr:uid="{117EAFB0-29CB-4D8E-847E-EBF92CEA717B}"/>
    <cellStyle name="Migliaia 33 2 2 3 3" xfId="37814" xr:uid="{2F9EE4AF-CD18-4DD6-8164-74DEE10628AD}"/>
    <cellStyle name="Migliaia 33 2 2 3 4" xfId="43116" xr:uid="{BCB7AF32-236E-445F-9407-6A985EDEA660}"/>
    <cellStyle name="Migliaia 33 2 2 3 5" xfId="11616" xr:uid="{DE694929-E3E7-41B1-AE64-E444DAD14A56}"/>
    <cellStyle name="Migliaia 33 2 2 4" xfId="3522" xr:uid="{B74A5F4D-B6A5-48EE-A1D4-86DA00656AFE}"/>
    <cellStyle name="Migliaia 33 2 2 4 2" xfId="21498" xr:uid="{A2A8F3F7-BB98-4B2B-953D-EF912D0BB8CF}"/>
    <cellStyle name="Migliaia 33 2 2 4 3" xfId="46245" xr:uid="{760029F8-688F-4A39-A520-10215FF978BA}"/>
    <cellStyle name="Migliaia 33 2 2 4 4" xfId="50513" xr:uid="{314B8371-8830-4C7E-9701-AF6F35F69C88}"/>
    <cellStyle name="Migliaia 33 2 2 4 5" xfId="53529" xr:uid="{A7FE2E3E-6657-4431-8B08-452D788DCA3D}"/>
    <cellStyle name="Migliaia 33 2 2 4 6" xfId="10863" xr:uid="{275724F2-C8FC-44E3-AB35-1B9AA733BF64}"/>
    <cellStyle name="Migliaia 33 2 2 5" xfId="20401" xr:uid="{7504D2CC-84F2-4CB9-B9DA-4E008B251274}"/>
    <cellStyle name="Migliaia 33 2 2 6" xfId="24778" xr:uid="{59404D5D-2E0D-445A-8A93-FF687C1C7C30}"/>
    <cellStyle name="Migliaia 33 2 2 7" xfId="7447" xr:uid="{CBFEA237-3EEB-4884-8339-124406B5DE49}"/>
    <cellStyle name="Migliaia 33 2 3" xfId="3523" xr:uid="{C4C1E6B0-2FC7-47FC-985D-1A925F0ADE84}"/>
    <cellStyle name="Migliaia 33 2 3 2" xfId="5249" xr:uid="{47E47011-B4B8-4287-90DA-DF4196A9E9DE}"/>
    <cellStyle name="Migliaia 33 2 3 2 2" xfId="35306" xr:uid="{AC421E02-4367-41DB-AF89-618643E2F010}"/>
    <cellStyle name="Migliaia 33 2 3 2 2 2" xfId="40466" xr:uid="{2B20B7F4-BC57-443B-A787-6DC05091845B}"/>
    <cellStyle name="Migliaia 33 2 3 2 2 3" xfId="45768" xr:uid="{B31B5F21-17E7-40FA-A6C9-041572337F0A}"/>
    <cellStyle name="Migliaia 33 2 3 2 3" xfId="37815" xr:uid="{62AB58FA-0248-4386-A6B6-302CCF033170}"/>
    <cellStyle name="Migliaia 33 2 3 2 4" xfId="43117" xr:uid="{FB913E30-A25F-4D21-A011-12A77D567658}"/>
    <cellStyle name="Migliaia 33 2 3 2 5" xfId="14258" xr:uid="{A02C6234-6B1D-4099-A99F-24013788DE32}"/>
    <cellStyle name="Migliaia 33 2 3 3" xfId="6447" xr:uid="{C1C3746A-975D-44D7-83D0-434419E3F8F1}"/>
    <cellStyle name="Migliaia 33 2 3 3 2" xfId="39305" xr:uid="{E58DE0EE-7438-4E34-9024-096504EAB298}"/>
    <cellStyle name="Migliaia 33 2 3 3 3" xfId="44607" xr:uid="{E0D2B063-F102-4D23-8ACE-D6B01E0C8447}"/>
    <cellStyle name="Migliaia 33 2 3 3 4" xfId="33805" xr:uid="{0609DA9A-06FB-41C7-A00B-2DA68ADDC614}"/>
    <cellStyle name="Migliaia 33 2 3 3 5" xfId="20403" xr:uid="{4968018E-4F93-46CB-B0BE-1D02A5E5C741}"/>
    <cellStyle name="Migliaia 33 2 3 4" xfId="36742" xr:uid="{98D4E6F2-E265-4549-845F-6474FDCAB3AE}"/>
    <cellStyle name="Migliaia 33 2 3 5" xfId="41956" xr:uid="{04835304-6BD8-4AAC-B954-8A6FCF964611}"/>
    <cellStyle name="Migliaia 33 2 3 6" xfId="16412" xr:uid="{131F52E6-60C2-4301-854B-695BC91385E2}"/>
    <cellStyle name="Migliaia 33 2 3 7" xfId="8320" xr:uid="{429C0FDC-B182-4A17-9725-4278228C36B0}"/>
    <cellStyle name="Migliaia 33 2 4" xfId="5247" xr:uid="{E3F57113-C425-405C-814C-D6CCECFEA6B2}"/>
    <cellStyle name="Migliaia 33 2 4 2" xfId="13963" xr:uid="{C5E85F4E-78F0-466B-A27E-5FFB513C86A4}"/>
    <cellStyle name="Migliaia 33 2 4 2 2" xfId="39306" xr:uid="{E1B36D76-9954-437A-958E-C53ED36A17EF}"/>
    <cellStyle name="Migliaia 33 2 4 2 3" xfId="44608" xr:uid="{DF68D1FB-1349-4901-B665-70AB39AD3603}"/>
    <cellStyle name="Migliaia 33 2 4 3" xfId="18286" xr:uid="{C1D456A4-EDCF-4DA9-8CCB-DE27E0E47A1C}"/>
    <cellStyle name="Migliaia 33 2 4 4" xfId="20404" xr:uid="{7489E9A8-8973-4AC4-9004-6BDE4F5B4369}"/>
    <cellStyle name="Migliaia 33 2 4 4 2" xfId="41957" xr:uid="{A294DA07-2392-497E-B891-55F8A793E43E}"/>
    <cellStyle name="Migliaia 33 2 4 5" xfId="16413" xr:uid="{F9EF58DD-7D46-4CC8-BA2D-83A154BB40E3}"/>
    <cellStyle name="Migliaia 33 2 4 6" xfId="7927" xr:uid="{ECC35D28-5F7E-4109-9061-3249BAD05B6D}"/>
    <cellStyle name="Migliaia 33 2 5" xfId="6445" xr:uid="{D9EFC169-75C6-4174-87E9-BB94EC399A4E}"/>
    <cellStyle name="Migliaia 33 2 5 2" xfId="33806" xr:uid="{E1E86F80-409F-4539-9F54-EF5C7C518BE8}"/>
    <cellStyle name="Migliaia 33 2 5 2 2" xfId="39307" xr:uid="{BBA449F5-5D5E-4659-B16D-49659B3014F7}"/>
    <cellStyle name="Migliaia 33 2 5 2 3" xfId="44609" xr:uid="{242E8BC3-3901-4A39-A47E-79BD74ABA603}"/>
    <cellStyle name="Migliaia 33 2 5 3" xfId="36743" xr:uid="{ABA3DBDF-111A-408D-BCA8-A38248CFBAA5}"/>
    <cellStyle name="Migliaia 33 2 5 4" xfId="41958" xr:uid="{C2D4E0C3-7C95-4E32-8789-CCDB6DC0182E}"/>
    <cellStyle name="Migliaia 33 2 5 5" xfId="13129" xr:uid="{9C383AA0-3EDB-4A3A-B5F5-9A6175BF56FE}"/>
    <cellStyle name="Migliaia 33 2 6" xfId="3521" xr:uid="{155BD3FE-4C08-4D9E-BBDB-6395C9902D17}"/>
    <cellStyle name="Migliaia 33 2 6 2" xfId="33807" xr:uid="{8055F09E-28D7-44AE-93B3-60F870D8293A}"/>
    <cellStyle name="Migliaia 33 2 6 2 2" xfId="39308" xr:uid="{44B0A7CB-1652-4C41-89BB-D219D0392017}"/>
    <cellStyle name="Migliaia 33 2 6 2 3" xfId="44610" xr:uid="{022B3EC4-F0D5-4CFF-A06E-2D1DC2C1B37A}"/>
    <cellStyle name="Migliaia 33 2 6 3" xfId="36744" xr:uid="{D3020297-08FF-4994-B185-1C494AB46B99}"/>
    <cellStyle name="Migliaia 33 2 6 4" xfId="41959" xr:uid="{DCA9DCA3-FB7F-4DD3-830B-CFA8D46407D6}"/>
    <cellStyle name="Migliaia 33 2 6 5" xfId="24779" xr:uid="{D93DE25E-FF5E-4AFB-AEF0-938C4F8ED2DE}"/>
    <cellStyle name="Migliaia 33 2 6 6" xfId="20400" xr:uid="{2E65F936-BB67-4B89-9EF8-41B4B88E18DC}"/>
    <cellStyle name="Migliaia 33 2 7" xfId="24777" xr:uid="{A17279E2-4649-4170-9D75-4E88A5D4DEE0}"/>
    <cellStyle name="Migliaia 33 2 8" xfId="7121" xr:uid="{B89AC13D-BDCB-433B-B2D5-F98CA63D61D7}"/>
    <cellStyle name="Migliaia 33 3" xfId="407" xr:uid="{00000000-0005-0000-0000-0000AC030000}"/>
    <cellStyle name="Migliaia 33 3 10" xfId="24780" xr:uid="{61A50DB0-78CB-41C0-BCFC-BE2619109540}"/>
    <cellStyle name="Migliaia 33 3 11" xfId="16414" xr:uid="{12304FC1-405D-4EF4-8589-83992B710D88}"/>
    <cellStyle name="Migliaia 33 3 12" xfId="7122" xr:uid="{E3255CDD-AEE5-4D69-9894-6D83F97C0D51}"/>
    <cellStyle name="Migliaia 33 3 2" xfId="408" xr:uid="{00000000-0005-0000-0000-0000AD030000}"/>
    <cellStyle name="Migliaia 33 3 2 2" xfId="1787" xr:uid="{00000000-0005-0000-0000-0000AE030000}"/>
    <cellStyle name="Migliaia 33 3 2 2 2" xfId="5252" xr:uid="{D419E3A0-E72A-47B3-A313-67FCEB64DBFF}"/>
    <cellStyle name="Migliaia 33 3 2 2 2 2" xfId="18441" xr:uid="{10F8976F-BA01-44CD-8983-6F89578BB699}"/>
    <cellStyle name="Migliaia 33 3 2 2 2 2 2" xfId="21867" xr:uid="{40E02619-C1DF-4DB2-9284-13015B125F65}"/>
    <cellStyle name="Migliaia 33 3 2 2 2 2 2 2" xfId="39309" xr:uid="{5B1D77E1-B744-413F-BAD7-CC8C8BEBA7D1}"/>
    <cellStyle name="Migliaia 33 3 2 2 2 2 3" xfId="44611" xr:uid="{78224EA9-B487-47F4-A3F8-43DCC2C40A8A}"/>
    <cellStyle name="Migliaia 33 3 2 2 2 2 4" xfId="33808" xr:uid="{D244E7E0-AC73-4A8C-9C8C-0E768555836F}"/>
    <cellStyle name="Migliaia 33 3 2 2 2 3" xfId="36745" xr:uid="{1594F752-7CDB-4F1D-8AC5-64B079F23FBE}"/>
    <cellStyle name="Migliaia 33 3 2 2 2 4" xfId="41960" xr:uid="{A3040B3C-D779-46C0-A93B-6FAE31AE1DF2}"/>
    <cellStyle name="Migliaia 33 3 2 2 2 5" xfId="46747" xr:uid="{C625B7D3-F4A7-4B25-8DAB-7870F4776E2E}"/>
    <cellStyle name="Migliaia 33 3 2 2 2 6" xfId="50895" xr:uid="{F92DA1A2-04C2-49A5-B03F-0556009E7682}"/>
    <cellStyle name="Migliaia 33 3 2 2 2 7" xfId="53911" xr:uid="{59505792-1904-4F14-9872-57BBC821BC4D}"/>
    <cellStyle name="Migliaia 33 3 2 2 2 8" xfId="17664" xr:uid="{00E2F878-C67F-4867-A05A-4E9BBF1C2ADA}"/>
    <cellStyle name="Migliaia 33 3 2 2 2 9" xfId="11991" xr:uid="{4E1F1226-9692-46A0-B168-B42F2B81E149}"/>
    <cellStyle name="Migliaia 33 3 2 2 3" xfId="6450" xr:uid="{CB3526BE-CD67-4DFA-86A4-C915DFFB4014}"/>
    <cellStyle name="Migliaia 33 3 2 2 3 2" xfId="11176" xr:uid="{61FD42FD-D5F5-462B-BF49-12CBDE93297E}"/>
    <cellStyle name="Migliaia 33 3 2 2 4" xfId="3526" xr:uid="{714FF336-5BA3-4F0F-A47A-B941A4918F79}"/>
    <cellStyle name="Migliaia 33 3 2 2 4 2" xfId="21499" xr:uid="{F048C1DA-3888-4AA5-8B81-35997A7E5B7C}"/>
    <cellStyle name="Migliaia 33 3 2 2 4 3" xfId="47899" xr:uid="{37695B88-DCBB-45D5-AF20-6B86B4BCF592}"/>
    <cellStyle name="Migliaia 33 3 2 2 4 4" xfId="50514" xr:uid="{44FC0D83-214E-423A-8919-9333C12C3D8A}"/>
    <cellStyle name="Migliaia 33 3 2 2 4 5" xfId="53530" xr:uid="{E3FE3039-EEFD-4281-998E-3C3D20D8A89F}"/>
    <cellStyle name="Migliaia 33 3 2 2 4 6" xfId="10864" xr:uid="{FB780955-6735-4974-8076-1FEE536FD8E9}"/>
    <cellStyle name="Migliaia 33 3 2 2 5" xfId="20407" xr:uid="{99E8A293-B2FE-4947-9398-C82F6B1FE0CA}"/>
    <cellStyle name="Migliaia 33 3 2 2 6" xfId="24782" xr:uid="{57AC3995-F97D-4ED2-85AF-6F9D365645FE}"/>
    <cellStyle name="Migliaia 33 3 2 2 7" xfId="8639" xr:uid="{32F9E74F-9D50-4AC3-B9DA-39C325022FAA}"/>
    <cellStyle name="Migliaia 33 3 2 3" xfId="5251" xr:uid="{78955755-7AE5-456A-B84A-421A86199DEC}"/>
    <cellStyle name="Migliaia 33 3 2 3 2" xfId="12411" xr:uid="{019193AC-B088-4D39-BD82-B3436ED5C1C1}"/>
    <cellStyle name="Migliaia 33 3 2 3 2 2" xfId="39310" xr:uid="{C7114CD9-4BE5-425B-90F9-BC28B827B675}"/>
    <cellStyle name="Migliaia 33 3 2 3 2 3" xfId="44612" xr:uid="{11BE0E98-CEDD-446F-A0BC-98E16B80E7D0}"/>
    <cellStyle name="Migliaia 33 3 2 3 2 4" xfId="33809" xr:uid="{435E0C94-D8A7-4BCC-AD98-9F23ABD2B416}"/>
    <cellStyle name="Migliaia 33 3 2 3 3" xfId="11992" xr:uid="{9C91D47D-A502-455C-B63B-2A5BD0A214C6}"/>
    <cellStyle name="Migliaia 33 3 2 3 4" xfId="20408" xr:uid="{E6DE9A71-FAC3-46E9-B61E-7EF022D46B14}"/>
    <cellStyle name="Migliaia 33 3 2 3 4 2" xfId="41961" xr:uid="{DEFDF590-8A5B-4E84-B4F9-8681B932E105}"/>
    <cellStyle name="Migliaia 33 3 2 3 5" xfId="16415" xr:uid="{E810665A-575B-41C7-AC12-681CDE8BF835}"/>
    <cellStyle name="Migliaia 33 3 2 3 6" xfId="7929" xr:uid="{3CA67C0C-B2BB-48E3-9F09-9C15995D31EE}"/>
    <cellStyle name="Migliaia 33 3 2 4" xfId="6449" xr:uid="{9D2149F5-EEBB-4E17-8144-C62A327FD89F}"/>
    <cellStyle name="Migliaia 33 3 2 4 2" xfId="18083" xr:uid="{C53F2789-8C0C-45F6-B7C1-D8405A9D56CC}"/>
    <cellStyle name="Migliaia 33 3 2 4 2 2" xfId="39311" xr:uid="{6E70A42C-4C3F-40D6-9387-B3F1DB006B12}"/>
    <cellStyle name="Migliaia 33 3 2 4 2 3" xfId="44613" xr:uid="{32776520-699C-4B96-8F75-FA72927586B6}"/>
    <cellStyle name="Migliaia 33 3 2 4 3" xfId="36746" xr:uid="{A7B912B8-1877-455B-A146-F0F90F7F961B}"/>
    <cellStyle name="Migliaia 33 3 2 4 4" xfId="41962" xr:uid="{D3954373-D62F-4C95-98C9-FF3BFD5080EA}"/>
    <cellStyle name="Migliaia 33 3 2 4 5" xfId="17188" xr:uid="{EE0151E7-C485-4838-AD13-8679C7309BB2}"/>
    <cellStyle name="Migliaia 33 3 2 4 6" xfId="11340" xr:uid="{2CA2CFC4-FB57-422D-9562-E852FCE1C1E4}"/>
    <cellStyle name="Migliaia 33 3 2 5" xfId="3525" xr:uid="{C36A2EB4-BB4B-46CB-B7BA-0AA5DF7E301B}"/>
    <cellStyle name="Migliaia 33 3 2 5 2" xfId="33810" xr:uid="{AA575EB4-B1E2-448E-BBF8-3C85D3EA8862}"/>
    <cellStyle name="Migliaia 33 3 2 5 2 2" xfId="39312" xr:uid="{6B696827-A862-49C4-8B5B-507822E983FD}"/>
    <cellStyle name="Migliaia 33 3 2 5 2 3" xfId="44614" xr:uid="{F1305D04-7903-4C73-A852-38958B8E2BE3}"/>
    <cellStyle name="Migliaia 33 3 2 5 3" xfId="36747" xr:uid="{F000EA4A-C750-4BFB-82CE-4A877F3132EF}"/>
    <cellStyle name="Migliaia 33 3 2 5 4" xfId="41963" xr:uid="{DF86EA1B-BDDB-4116-B187-C5372C5F6F99}"/>
    <cellStyle name="Migliaia 33 3 2 5 5" xfId="17348" xr:uid="{3E4281BB-D32F-4C44-8AA2-561108DE3CC1}"/>
    <cellStyle name="Migliaia 33 3 2 6" xfId="20406" xr:uid="{DF72F37C-6F56-4343-AEC8-46C59B3CF537}"/>
    <cellStyle name="Migliaia 33 3 2 6 2" xfId="33811" xr:uid="{7BD8FA57-A15F-4B73-9378-15282E8EE0CD}"/>
    <cellStyle name="Migliaia 33 3 2 6 2 2" xfId="39313" xr:uid="{5F1E4BB3-00AF-4B06-8C46-3B4DF16FE529}"/>
    <cellStyle name="Migliaia 33 3 2 6 2 3" xfId="44615" xr:uid="{24832F5B-C565-42E8-95FF-E7D31D6A32CA}"/>
    <cellStyle name="Migliaia 33 3 2 6 3" xfId="36748" xr:uid="{42D15E54-5A36-40B5-AE34-07514F3FECA0}"/>
    <cellStyle name="Migliaia 33 3 2 6 4" xfId="41964" xr:uid="{729AF5DE-3933-4123-8965-BB7880DB9C06}"/>
    <cellStyle name="Migliaia 33 3 2 6 5" xfId="24783" xr:uid="{9C73838C-E106-4660-82E9-A7CEDF049A48}"/>
    <cellStyle name="Migliaia 33 3 2 7" xfId="24781" xr:uid="{0CCE5FE0-4431-4BB1-AB2A-B639E06930EB}"/>
    <cellStyle name="Migliaia 33 3 2 8" xfId="7449" xr:uid="{B0CFCB26-BDE9-4979-944E-F2714C2AE83B}"/>
    <cellStyle name="Migliaia 33 3 3" xfId="3527" xr:uid="{C7CE9934-B242-40C6-86FE-41FF0D4E93A6}"/>
    <cellStyle name="Migliaia 33 3 3 10" xfId="7448" xr:uid="{0A8C0B4B-44B9-415E-A029-0C177CBFACEF}"/>
    <cellStyle name="Migliaia 33 3 3 2" xfId="5253" xr:uid="{682ED788-F4AE-4C1E-9DD8-738BE283ED85}"/>
    <cellStyle name="Migliaia 33 3 3 2 2" xfId="9934" xr:uid="{FAC281DA-BFCD-4A6A-A69B-8FDE27934A2E}"/>
    <cellStyle name="Migliaia 33 3 3 2 2 2" xfId="39315" xr:uid="{A57A7145-905F-4A12-8C87-3FD0EBCAA8FE}"/>
    <cellStyle name="Migliaia 33 3 3 2 2 3" xfId="44617" xr:uid="{9C6A095E-A435-4DCD-BE41-33BE07577E37}"/>
    <cellStyle name="Migliaia 33 3 3 2 3" xfId="18214" xr:uid="{1550A156-5153-4FC7-BFEB-A1C05E7259CB}"/>
    <cellStyle name="Migliaia 33 3 3 2 4" xfId="20410" xr:uid="{244E2242-50AC-4CAF-8878-7D65130A27E7}"/>
    <cellStyle name="Migliaia 33 3 3 2 4 2" xfId="41966" xr:uid="{8D7BA57E-3048-4A92-8D03-4C4DC45632E1}"/>
    <cellStyle name="Migliaia 33 3 3 2 5" xfId="16417" xr:uid="{04FAEEC3-BB34-4E1B-B8FA-788D7AB27F2D}"/>
    <cellStyle name="Migliaia 33 3 3 2 6" xfId="8638" xr:uid="{6CD83F93-C041-459D-AB8A-F0DE84F7BD12}"/>
    <cellStyle name="Migliaia 33 3 3 3" xfId="6451" xr:uid="{B918A6FC-1E50-4DD0-A890-F71A0EE4101D}"/>
    <cellStyle name="Migliaia 33 3 3 3 2" xfId="33813" xr:uid="{24658EE9-0A7D-4E7F-B71D-8C33FF52A982}"/>
    <cellStyle name="Migliaia 33 3 3 3 2 2" xfId="39316" xr:uid="{5685CEB0-770A-4C64-A412-C9DDD2677B75}"/>
    <cellStyle name="Migliaia 33 3 3 3 2 3" xfId="44618" xr:uid="{54F8671D-B533-4D9A-9472-95A1F1D77391}"/>
    <cellStyle name="Migliaia 33 3 3 3 3" xfId="36750" xr:uid="{EB2AF87D-2F64-485A-A991-2E28024E3E7B}"/>
    <cellStyle name="Migliaia 33 3 3 3 4" xfId="41967" xr:uid="{B10DAD71-AE13-4713-A0AB-80BF1C11A29F}"/>
    <cellStyle name="Migliaia 33 3 3 3 5" xfId="9697" xr:uid="{3327B0D2-0696-48A7-B7F4-5E2E3E6C9770}"/>
    <cellStyle name="Migliaia 33 3 3 4" xfId="20409" xr:uid="{A30A88F1-3028-4B56-857F-6DB57306CD26}"/>
    <cellStyle name="Migliaia 33 3 3 4 2" xfId="33814" xr:uid="{91A9C429-84EC-4986-B846-C939D6606E48}"/>
    <cellStyle name="Migliaia 33 3 3 4 2 2" xfId="39317" xr:uid="{36E17BFF-5D83-44CB-84C3-3B56C28B8D91}"/>
    <cellStyle name="Migliaia 33 3 3 4 2 3" xfId="44619" xr:uid="{7B29EA5C-63A0-49B9-A259-93316E2FE08C}"/>
    <cellStyle name="Migliaia 33 3 3 4 3" xfId="36751" xr:uid="{96C84558-B805-41EE-9CB2-D86B5E56F4E5}"/>
    <cellStyle name="Migliaia 33 3 3 4 4" xfId="41968" xr:uid="{789A5088-B37C-4997-88E9-7DAAB4E07069}"/>
    <cellStyle name="Migliaia 33 3 3 4 5" xfId="24784" xr:uid="{0258AA51-C676-456F-9D40-F09ECDB0E851}"/>
    <cellStyle name="Migliaia 33 3 3 5" xfId="24785" xr:uid="{84A25F20-9112-4D82-AEF0-87EE5B26F5B1}"/>
    <cellStyle name="Migliaia 33 3 3 5 2" xfId="33815" xr:uid="{4297DF74-1BBD-44F0-B15A-A2C31975D510}"/>
    <cellStyle name="Migliaia 33 3 3 5 2 2" xfId="39318" xr:uid="{C5EC0C4E-EEFE-4E8A-80F1-0BCB73D08AA8}"/>
    <cellStyle name="Migliaia 33 3 3 5 2 3" xfId="44620" xr:uid="{3745AF30-C962-459E-B542-72CEB940CFC5}"/>
    <cellStyle name="Migliaia 33 3 3 5 3" xfId="36752" xr:uid="{2C615EBD-5C45-4F11-9BCC-21CDF7C292D0}"/>
    <cellStyle name="Migliaia 33 3 3 5 4" xfId="41969" xr:uid="{30B3938E-2966-4801-8088-CBB9C2D43395}"/>
    <cellStyle name="Migliaia 33 3 3 6" xfId="33812" xr:uid="{5F5F3429-C9EA-45DF-B725-384981E81670}"/>
    <cellStyle name="Migliaia 33 3 3 6 2" xfId="39314" xr:uid="{CA35198B-F480-4961-B99D-9D06EFDCA86A}"/>
    <cellStyle name="Migliaia 33 3 3 6 3" xfId="44616" xr:uid="{FD6440D6-D123-4AC9-B8F3-0388C69ED59A}"/>
    <cellStyle name="Migliaia 33 3 3 7" xfId="36749" xr:uid="{C92A1B0F-F5D7-4FBB-9E2B-FBF8D5068A77}"/>
    <cellStyle name="Migliaia 33 3 3 8" xfId="41965" xr:uid="{C67D61F2-04F4-42DA-969E-F046A31C287B}"/>
    <cellStyle name="Migliaia 33 3 3 9" xfId="16416" xr:uid="{EC89B799-DC23-4202-A8AC-F3238BBBF5CD}"/>
    <cellStyle name="Migliaia 33 3 4" xfId="3528" xr:uid="{3A53F686-BEB6-43E1-8395-D8EAE6D2D29E}"/>
    <cellStyle name="Migliaia 33 3 4 2" xfId="5254" xr:uid="{050AC714-180D-43EA-A900-841A3D8F5357}"/>
    <cellStyle name="Migliaia 33 3 4 2 2" xfId="14449" xr:uid="{B8CC6309-0CB0-48B8-B2CF-7B40CB526A3C}"/>
    <cellStyle name="Migliaia 33 3 4 2 3" xfId="18039" xr:uid="{D29C0401-3B5B-4907-B915-43009E8B6A7D}"/>
    <cellStyle name="Migliaia 33 3 4 2 4" xfId="20412" xr:uid="{E3ABC96C-9508-4806-80F4-60937BAD1485}"/>
    <cellStyle name="Migliaia 33 3 4 2 5" xfId="32383" xr:uid="{872BAD4E-BB51-49CE-A343-3AAF6FD653E7}"/>
    <cellStyle name="Migliaia 33 3 4 2 6" xfId="16419" xr:uid="{3DAA04FE-9831-40A3-A512-CC94B5207444}"/>
    <cellStyle name="Migliaia 33 3 4 2 7" xfId="8872" xr:uid="{43B8672F-DBB4-4410-8210-4E74D28C4B44}"/>
    <cellStyle name="Migliaia 33 3 4 3" xfId="6452" xr:uid="{88F3E0D4-1071-49C0-A46A-59F1BC1C1E19}"/>
    <cellStyle name="Migliaia 33 3 4 3 2" xfId="35307" xr:uid="{C208FEFE-FA69-4362-9BEC-F429CD234393}"/>
    <cellStyle name="Migliaia 33 3 4 3 2 2" xfId="40467" xr:uid="{E3F2F2C5-523D-486D-B2E2-5D301BAA425C}"/>
    <cellStyle name="Migliaia 33 3 4 3 2 3" xfId="45769" xr:uid="{6CD5DDB4-3290-4B15-80D7-FE45DFB83855}"/>
    <cellStyle name="Migliaia 33 3 4 3 3" xfId="37816" xr:uid="{A668E711-1676-4C32-B43F-8ABADF736103}"/>
    <cellStyle name="Migliaia 33 3 4 3 4" xfId="43118" xr:uid="{41547A7A-B262-4ED8-B414-81F20FAC6913}"/>
    <cellStyle name="Migliaia 33 3 4 3 5" xfId="13697" xr:uid="{813791AE-B356-470A-88BF-E6EEC7E90E05}"/>
    <cellStyle name="Migliaia 33 3 4 4" xfId="20411" xr:uid="{BD4F8F93-60BF-40CE-98ED-CD04FC5787C0}"/>
    <cellStyle name="Migliaia 33 3 4 4 2" xfId="39319" xr:uid="{03FD3483-5AE0-4BBE-B3B1-BE53379A02F1}"/>
    <cellStyle name="Migliaia 33 3 4 4 3" xfId="44621" xr:uid="{FD86F2B6-DF33-452C-8D18-A3BDDEE7E888}"/>
    <cellStyle name="Migliaia 33 3 4 4 4" xfId="33816" xr:uid="{D0002E12-6FE9-44FC-A01D-9DF4760B15D8}"/>
    <cellStyle name="Migliaia 33 3 4 5" xfId="36753" xr:uid="{F85CB9BF-37B3-4A68-A838-A9C12EC1D813}"/>
    <cellStyle name="Migliaia 33 3 4 6" xfId="41970" xr:uid="{CEAC447F-9E24-4449-A007-211BC3902FF2}"/>
    <cellStyle name="Migliaia 33 3 4 7" xfId="16418" xr:uid="{2A69B157-57BA-4A8B-BDA8-6741823A715F}"/>
    <cellStyle name="Migliaia 33 3 4 8" xfId="7682" xr:uid="{A3A2F2A6-E625-48DE-9AFA-21BC2F2B13BB}"/>
    <cellStyle name="Migliaia 33 3 5" xfId="3529" xr:uid="{468E0BCC-C7A9-4B34-AC48-F779F325A142}"/>
    <cellStyle name="Migliaia 33 3 5 2" xfId="5255" xr:uid="{74C209CE-7E2C-45B6-9F93-5416890413A8}"/>
    <cellStyle name="Migliaia 33 3 5 2 2" xfId="35308" xr:uid="{37CE44DE-4665-4EAD-AD9F-BF6FEB9FD076}"/>
    <cellStyle name="Migliaia 33 3 5 2 2 2" xfId="40468" xr:uid="{E11F8282-A59F-477C-BCB5-ED5E469A1F16}"/>
    <cellStyle name="Migliaia 33 3 5 2 2 3" xfId="45770" xr:uid="{61CEB69C-C882-4BA2-956A-657CF80B5617}"/>
    <cellStyle name="Migliaia 33 3 5 2 3" xfId="37817" xr:uid="{7FFBB36A-C6F1-4F48-BCEC-61359BF9F914}"/>
    <cellStyle name="Migliaia 33 3 5 2 4" xfId="43119" xr:uid="{89327596-51EF-4F24-9B9E-6D583A335D88}"/>
    <cellStyle name="Migliaia 33 3 5 2 5" xfId="14259" xr:uid="{0A442F79-F12B-4DE4-A850-463F30AD0D6B}"/>
    <cellStyle name="Migliaia 33 3 5 3" xfId="6453" xr:uid="{C5832017-F400-46FB-BB53-1BD23FA8FAD0}"/>
    <cellStyle name="Migliaia 33 3 5 3 2" xfId="39320" xr:uid="{637CC46B-386D-4286-818C-A16C42C2F41E}"/>
    <cellStyle name="Migliaia 33 3 5 3 3" xfId="44622" xr:uid="{FA09074A-F573-4386-A3AF-152CE7F5905D}"/>
    <cellStyle name="Migliaia 33 3 5 3 4" xfId="33817" xr:uid="{B72A21A5-213D-4DBE-B0D5-46DB35ECD961}"/>
    <cellStyle name="Migliaia 33 3 5 3 5" xfId="20413" xr:uid="{110ED6DE-02C6-4F6A-A333-42B40F67F2F8}"/>
    <cellStyle name="Migliaia 33 3 5 4" xfId="36754" xr:uid="{51631BE1-095F-462A-9907-009033C83327}"/>
    <cellStyle name="Migliaia 33 3 5 5" xfId="41971" xr:uid="{DD658768-5B47-4744-A7DB-6A73560066D0}"/>
    <cellStyle name="Migliaia 33 3 5 6" xfId="16420" xr:uid="{DB42078C-487B-4494-8334-132C8463B33B}"/>
    <cellStyle name="Migliaia 33 3 5 7" xfId="8321" xr:uid="{278CF2F6-10F1-4053-B285-2A638F84329B}"/>
    <cellStyle name="Migliaia 33 3 6" xfId="5250" xr:uid="{A9940DAA-71EC-4473-8855-754AD11D5A69}"/>
    <cellStyle name="Migliaia 33 3 6 2" xfId="13964" xr:uid="{81FEC995-3369-455A-A1C1-6EEA20970958}"/>
    <cellStyle name="Migliaia 33 3 6 2 2" xfId="39321" xr:uid="{BED9B5DC-1013-4929-ACB6-476913A86513}"/>
    <cellStyle name="Migliaia 33 3 6 2 3" xfId="44623" xr:uid="{2DD196AC-8FAA-43F1-9EB6-048688F7227F}"/>
    <cellStyle name="Migliaia 33 3 6 3" xfId="18020" xr:uid="{52BF737B-C106-42C0-870A-72FCFB7B6F7B}"/>
    <cellStyle name="Migliaia 33 3 6 4" xfId="20414" xr:uid="{B0D0B950-2138-4125-B650-F11A003DC324}"/>
    <cellStyle name="Migliaia 33 3 6 4 2" xfId="41972" xr:uid="{A02AF1A7-41E5-4B0F-BF13-A16DB66C38B2}"/>
    <cellStyle name="Migliaia 33 3 6 5" xfId="16421" xr:uid="{A38A71AC-35D2-48EB-969A-FA225C09312F}"/>
    <cellStyle name="Migliaia 33 3 6 6" xfId="7928" xr:uid="{956EE5F7-AFB7-4F46-BE62-590A90570C80}"/>
    <cellStyle name="Migliaia 33 3 7" xfId="6448" xr:uid="{5A16EAB8-FC1A-4E47-A918-506AFBF7C062}"/>
    <cellStyle name="Migliaia 33 3 7 2" xfId="33818" xr:uid="{74602066-EB6C-4FE4-B79F-6F90EC1F8E31}"/>
    <cellStyle name="Migliaia 33 3 7 2 2" xfId="39322" xr:uid="{033842A0-DAC0-40CF-9774-148C2B81B86F}"/>
    <cellStyle name="Migliaia 33 3 7 2 3" xfId="44624" xr:uid="{C31DE00A-70CC-496B-85A5-00EF2258A921}"/>
    <cellStyle name="Migliaia 33 3 7 3" xfId="36755" xr:uid="{DD21A42D-CF63-4DF5-94E2-DD47C6865605}"/>
    <cellStyle name="Migliaia 33 3 7 4" xfId="41973" xr:uid="{2753D381-1D90-41B9-A2B5-94C71BB79904}"/>
    <cellStyle name="Migliaia 33 3 7 5" xfId="12282" xr:uid="{66200771-DE87-4FC1-8369-00BFE04C240F}"/>
    <cellStyle name="Migliaia 33 3 8" xfId="3524" xr:uid="{F0C07908-7C4F-4D05-8BD4-3CDAE158D86D}"/>
    <cellStyle name="Migliaia 33 3 8 2" xfId="33819" xr:uid="{41B1615A-9E41-4289-BBDB-16312727386A}"/>
    <cellStyle name="Migliaia 33 3 8 2 2" xfId="39323" xr:uid="{9F4ECBAD-1A0D-4C0E-9142-68076A54D8A4}"/>
    <cellStyle name="Migliaia 33 3 8 2 3" xfId="44625" xr:uid="{4976E22D-7F36-43E4-99D0-A2D54107AD57}"/>
    <cellStyle name="Migliaia 33 3 8 3" xfId="36756" xr:uid="{D9F549E4-7FA7-4BA9-AB3C-97EF5F772DB4}"/>
    <cellStyle name="Migliaia 33 3 8 4" xfId="41974" xr:uid="{DEC278DD-DB83-47ED-99EE-B162C46557F2}"/>
    <cellStyle name="Migliaia 33 3 8 5" xfId="24786" xr:uid="{F363D75E-6D72-4624-9936-F6B608F928F3}"/>
    <cellStyle name="Migliaia 33 3 8 6" xfId="17349" xr:uid="{F6F8518C-4B76-4238-825C-35C412B0FA6D}"/>
    <cellStyle name="Migliaia 33 3 9" xfId="20405" xr:uid="{B08A1A3D-9399-45CC-A242-037981684531}"/>
    <cellStyle name="Migliaia 33 4" xfId="1788" xr:uid="{00000000-0005-0000-0000-0000AF030000}"/>
    <cellStyle name="Migliaia 33 4 2" xfId="1789" xr:uid="{00000000-0005-0000-0000-0000B0030000}"/>
    <cellStyle name="Migliaia 33 4 2 2" xfId="5257" xr:uid="{4B8F04B7-CD5A-470C-BB28-91598AF20453}"/>
    <cellStyle name="Migliaia 33 4 2 2 2" xfId="33820" xr:uid="{8991E159-044B-4015-9780-D618E59F2A7A}"/>
    <cellStyle name="Migliaia 33 4 2 2 2 2" xfId="39324" xr:uid="{DA1BFCAA-23A8-4B82-989F-397D3C675D15}"/>
    <cellStyle name="Migliaia 33 4 2 2 2 3" xfId="44626" xr:uid="{C8601A82-AF9D-49F1-ADD4-90BD958D9C54}"/>
    <cellStyle name="Migliaia 33 4 2 2 3" xfId="36757" xr:uid="{66106342-D260-497F-AADD-E137CD74546B}"/>
    <cellStyle name="Migliaia 33 4 2 2 4" xfId="41975" xr:uid="{36E29D24-BA83-415C-BBB4-BCF9FCA10F2F}"/>
    <cellStyle name="Migliaia 33 4 2 2 5" xfId="9160" xr:uid="{B7EEB833-4EE2-4DC2-A8A1-AFB00F9FCFB3}"/>
    <cellStyle name="Migliaia 33 4 2 3" xfId="3531" xr:uid="{6929FC0E-2D70-403B-A767-D5ADC9D15F93}"/>
    <cellStyle name="Migliaia 33 4 2 3 2" xfId="33821" xr:uid="{6DE9AA82-229E-400E-B18F-4B76B77B1500}"/>
    <cellStyle name="Migliaia 33 4 2 3 2 2" xfId="39325" xr:uid="{7D94FE3B-9881-4674-ABED-9779D25FA22C}"/>
    <cellStyle name="Migliaia 33 4 2 3 2 3" xfId="44627" xr:uid="{29D77524-325E-4ABB-8771-DF0427BD0877}"/>
    <cellStyle name="Migliaia 33 4 2 3 3" xfId="36758" xr:uid="{63D9E0E6-2E99-44D0-BFB0-C992AA8442A9}"/>
    <cellStyle name="Migliaia 33 4 2 3 4" xfId="41976" xr:uid="{B922C886-4A1E-485D-A2BD-9214149E7BCF}"/>
    <cellStyle name="Migliaia 33 4 2 3 5" xfId="11993" xr:uid="{353B10E0-1C89-4313-8389-2AEE17B6F260}"/>
    <cellStyle name="Migliaia 33 4 2 4" xfId="11342" xr:uid="{02E02037-1E99-4777-878F-3C54F805DF69}"/>
    <cellStyle name="Migliaia 33 4 2 5" xfId="10866" xr:uid="{51711CA6-BA00-457A-9993-D5AF79DE4E19}"/>
    <cellStyle name="Migliaia 33 4 2 5 2" xfId="21501" xr:uid="{1768E103-9BF1-405C-A134-3B904B508F81}"/>
    <cellStyle name="Migliaia 33 4 2 5 3" xfId="48474" xr:uid="{AA71B367-7A69-44C2-9EDA-DB76D215AB7C}"/>
    <cellStyle name="Migliaia 33 4 2 5 4" xfId="50516" xr:uid="{C77CF1D4-4897-4754-98A1-2EE8E00241CC}"/>
    <cellStyle name="Migliaia 33 4 2 5 5" xfId="53532" xr:uid="{2D1C2AA4-CD41-47DE-902B-A4756030E08E}"/>
    <cellStyle name="Migliaia 33 4 2 6" xfId="20416" xr:uid="{9709D2C8-DDE0-4472-AB1D-9A601A963A38}"/>
    <cellStyle name="Migliaia 33 4 2 7" xfId="24788" xr:uid="{D86FC445-DB6E-4629-A1FC-77B5FA4ED464}"/>
    <cellStyle name="Migliaia 33 4 2 8" xfId="8640" xr:uid="{BEA6E1B5-9757-4D2A-ACA8-3DEC5C8A8FCC}"/>
    <cellStyle name="Migliaia 33 4 3" xfId="5256" xr:uid="{689123CB-6460-4E44-9DFE-5995ACD57CD0}"/>
    <cellStyle name="Migliaia 33 4 3 2" xfId="18215" xr:uid="{9E0BAE57-D3B2-4FDB-AFFD-FCCF0EDCB7A8}"/>
    <cellStyle name="Migliaia 33 4 3 2 2" xfId="39326" xr:uid="{C4522686-730B-4DD1-ABBE-BFE67D73C8B0}"/>
    <cellStyle name="Migliaia 33 4 3 2 3" xfId="44628" xr:uid="{5FA201E2-40C3-4F89-BBAA-08ED198CB20C}"/>
    <cellStyle name="Migliaia 33 4 3 3" xfId="36759" xr:uid="{34ABBD33-42AD-4F5E-B0E9-FEB917F1F4F8}"/>
    <cellStyle name="Migliaia 33 4 3 4" xfId="41977" xr:uid="{E2819C2D-9DDE-459E-9384-5244C084D60A}"/>
    <cellStyle name="Migliaia 33 4 3 5" xfId="17347" xr:uid="{9D0B2D98-5740-4065-A36C-A8F6D04D2C88}"/>
    <cellStyle name="Migliaia 33 4 3 6" xfId="9161" xr:uid="{4FD368DA-DB88-46A5-BF46-0F7EA140E1F4}"/>
    <cellStyle name="Migliaia 33 4 4" xfId="6454" xr:uid="{7A1F386F-62AB-43E9-A3D9-12393CFCCE50}"/>
    <cellStyle name="Migliaia 33 4 4 2" xfId="33822" xr:uid="{98186EFE-F804-4222-81D9-B19B5BAB53A9}"/>
    <cellStyle name="Migliaia 33 4 4 2 2" xfId="39327" xr:uid="{6FB243A2-119C-4799-804D-77C3F6999841}"/>
    <cellStyle name="Migliaia 33 4 4 2 3" xfId="44629" xr:uid="{48EBB6B7-E651-467A-AEF6-D69C7033261C}"/>
    <cellStyle name="Migliaia 33 4 4 3" xfId="36760" xr:uid="{D770832C-F7E0-44A6-A65D-899C58A13EAA}"/>
    <cellStyle name="Migliaia 33 4 4 4" xfId="41978" xr:uid="{813DD573-C81D-49B1-A91D-7FFF2B82817C}"/>
    <cellStyle name="Migliaia 33 4 4 5" xfId="11994" xr:uid="{D2A63FCC-402F-40DB-9F68-BEFDE190B7E7}"/>
    <cellStyle name="Migliaia 33 4 5" xfId="3530" xr:uid="{56BADB8E-4C1C-4980-BF27-C0FEA23F07DD}"/>
    <cellStyle name="Migliaia 33 4 5 2" xfId="33823" xr:uid="{4DD37BDE-717C-4B64-A0D9-D241A4D0BBD1}"/>
    <cellStyle name="Migliaia 33 4 5 2 2" xfId="39328" xr:uid="{750AE984-A6D3-49EE-8EF1-927A3C5261C2}"/>
    <cellStyle name="Migliaia 33 4 5 2 3" xfId="44630" xr:uid="{F4181DA8-0AD4-424C-B1FE-471B5097F241}"/>
    <cellStyle name="Migliaia 33 4 5 3" xfId="36761" xr:uid="{9E54F3B3-73FC-4A84-BE5E-F40F8AA16ED5}"/>
    <cellStyle name="Migliaia 33 4 5 4" xfId="41979" xr:uid="{8A513A62-CD19-4187-A454-608574406DC7}"/>
    <cellStyle name="Migliaia 33 4 5 5" xfId="11341" xr:uid="{4B5D80B1-B661-400E-920E-D81C903BB857}"/>
    <cellStyle name="Migliaia 33 4 6" xfId="10865" xr:uid="{F9DAA4DD-159D-4127-916E-C5E6A30FB603}"/>
    <cellStyle name="Migliaia 33 4 6 2" xfId="21500" xr:uid="{04FB0B5F-0915-4ECC-A945-8022545A96D8}"/>
    <cellStyle name="Migliaia 33 4 6 2 2" xfId="39329" xr:uid="{5A20C48C-E8CA-4190-BE07-44649F18C578}"/>
    <cellStyle name="Migliaia 33 4 6 2 3" xfId="44631" xr:uid="{092BF0C2-DAE3-4B65-8F72-B43ABCBDC1B9}"/>
    <cellStyle name="Migliaia 33 4 6 2 4" xfId="33824" xr:uid="{9B1ED578-A9CC-408C-80EE-85C52E723839}"/>
    <cellStyle name="Migliaia 33 4 6 3" xfId="36762" xr:uid="{A8B90BCC-AD00-48DB-B8D1-98EE59BED5D8}"/>
    <cellStyle name="Migliaia 33 4 6 4" xfId="41980" xr:uid="{7DADFEFC-3E2B-4B80-B949-1EECCD892175}"/>
    <cellStyle name="Migliaia 33 4 6 5" xfId="24789" xr:uid="{EF82B005-7EA7-406E-9AB8-641932EE66E2}"/>
    <cellStyle name="Migliaia 33 4 6 6" xfId="46246" xr:uid="{E7058617-62BC-45EF-8F84-734F605CFF94}"/>
    <cellStyle name="Migliaia 33 4 6 7" xfId="50515" xr:uid="{C9A7C71C-EECD-4A91-82E0-4A3B28113E4A}"/>
    <cellStyle name="Migliaia 33 4 6 8" xfId="53531" xr:uid="{822BD59E-7E4A-4CC6-A6E5-31023FF58CB1}"/>
    <cellStyle name="Migliaia 33 4 7" xfId="20415" xr:uid="{68DABFF9-CC4F-4B94-B0A5-40B29B95B829}"/>
    <cellStyle name="Migliaia 33 4 7 2" xfId="33825" xr:uid="{F69A7F94-C1AF-4112-A022-581CCCC2E6BD}"/>
    <cellStyle name="Migliaia 33 4 7 2 2" xfId="39330" xr:uid="{955C6DE0-49ED-41E9-BE6F-B0DD92ADE739}"/>
    <cellStyle name="Migliaia 33 4 7 2 3" xfId="44632" xr:uid="{AA29F58A-A7AF-4486-959E-A4A6ACB14FB8}"/>
    <cellStyle name="Migliaia 33 4 7 3" xfId="36763" xr:uid="{7069870D-16CD-4026-873F-5973FDD0150B}"/>
    <cellStyle name="Migliaia 33 4 7 4" xfId="41981" xr:uid="{048DB167-ADB8-4236-85E6-AFBBBCA4AB12}"/>
    <cellStyle name="Migliaia 33 4 7 5" xfId="24790" xr:uid="{F69FED95-E963-488D-9FCE-6C8356A80B69}"/>
    <cellStyle name="Migliaia 33 4 8" xfId="24787" xr:uid="{A1AACFA6-A83E-4CAA-95F4-6ED2AF67452E}"/>
    <cellStyle name="Migliaia 33 4 9" xfId="7450" xr:uid="{FA5BD013-6182-4C91-9ADE-8074E1AFE8F4}"/>
    <cellStyle name="Migliaia 33 5" xfId="1790" xr:uid="{00000000-0005-0000-0000-0000B1030000}"/>
    <cellStyle name="Migliaia 33 5 2" xfId="5258" xr:uid="{D83AAF43-CB66-4429-9D07-FCA197C6D3FF}"/>
    <cellStyle name="Migliaia 33 5 2 2" xfId="18442" xr:uid="{BCA07A2C-0714-415B-9CCC-4AD8F3C03639}"/>
    <cellStyle name="Migliaia 33 5 2 2 2" xfId="39331" xr:uid="{4E649628-1A83-473D-9A91-CDD3055F5896}"/>
    <cellStyle name="Migliaia 33 5 2 2 3" xfId="44633" xr:uid="{612A197A-2D1B-4634-87B4-15AE89A9DA2C}"/>
    <cellStyle name="Migliaia 33 5 2 3" xfId="20418" xr:uid="{270EB21B-EF41-44AF-8654-A8C0E89232AD}"/>
    <cellStyle name="Migliaia 33 5 2 3 2" xfId="36764" xr:uid="{97FEF2D6-E60B-48A0-92F5-D11DAA6A6FCC}"/>
    <cellStyle name="Migliaia 33 5 2 4" xfId="41982" xr:uid="{FCEBE5DB-389B-4A58-BABF-3DF430B56312}"/>
    <cellStyle name="Migliaia 33 5 2 5" xfId="16422" xr:uid="{FEEB9F16-BBD9-4A80-BD45-ECA537EC3571}"/>
    <cellStyle name="Migliaia 33 5 2 6" xfId="8641" xr:uid="{9FDEEBC9-B68C-4AB3-A6F7-C41906042FA4}"/>
    <cellStyle name="Migliaia 33 5 3" xfId="6455" xr:uid="{0409229C-EC13-45C9-946F-F3419BCAF51E}"/>
    <cellStyle name="Migliaia 33 5 3 2" xfId="33826" xr:uid="{8F4A8FE6-CAB5-447F-80C7-FD37CC0B5FF1}"/>
    <cellStyle name="Migliaia 33 5 3 2 2" xfId="39332" xr:uid="{D3F59B37-012F-4B52-9DD1-1D6C6867435C}"/>
    <cellStyle name="Migliaia 33 5 3 2 3" xfId="44634" xr:uid="{38A076A7-812E-426F-ABCA-C71D02ED531C}"/>
    <cellStyle name="Migliaia 33 5 3 3" xfId="36765" xr:uid="{F00DEC50-0D1C-4446-AEEF-D3FBEFCED476}"/>
    <cellStyle name="Migliaia 33 5 3 4" xfId="41983" xr:uid="{64363044-0C85-40E6-995F-BFBB703FCEE0}"/>
    <cellStyle name="Migliaia 33 5 3 5" xfId="11343" xr:uid="{057D1F62-22A6-45E6-8020-65427779B862}"/>
    <cellStyle name="Migliaia 33 5 4" xfId="3532" xr:uid="{3262721F-E17B-4E13-8E52-D203D30A0C48}"/>
    <cellStyle name="Migliaia 33 5 4 2" xfId="21502" xr:uid="{6FBB7033-F1AF-4249-8699-5C69C596B477}"/>
    <cellStyle name="Migliaia 33 5 4 2 2" xfId="39333" xr:uid="{02E26C58-4831-4F69-94A7-5B928F767A2D}"/>
    <cellStyle name="Migliaia 33 5 4 2 3" xfId="44635" xr:uid="{9D0B1F01-C622-4D27-8186-0418A373245E}"/>
    <cellStyle name="Migliaia 33 5 4 2 4" xfId="33827" xr:uid="{82B80BD4-8237-4279-AEE5-8C9E50B65EA6}"/>
    <cellStyle name="Migliaia 33 5 4 3" xfId="36766" xr:uid="{E3B8A539-1078-4B2D-92C0-4FA6FDF15013}"/>
    <cellStyle name="Migliaia 33 5 4 4" xfId="41984" xr:uid="{0CF5054F-8EE9-40BC-9339-4535E1EB8332}"/>
    <cellStyle name="Migliaia 33 5 4 5" xfId="24792" xr:uid="{EE66BACE-F2F4-4B8D-9524-AE253236061B}"/>
    <cellStyle name="Migliaia 33 5 4 6" xfId="25351" xr:uid="{326C8438-9DFD-4ABA-B7E0-45F4A78104E8}"/>
    <cellStyle name="Migliaia 33 5 4 7" xfId="50517" xr:uid="{D7654059-2F33-483C-A30F-09A496B40336}"/>
    <cellStyle name="Migliaia 33 5 4 8" xfId="53533" xr:uid="{69CC3015-A31B-4E3F-B45A-08A980293631}"/>
    <cellStyle name="Migliaia 33 5 4 9" xfId="10867" xr:uid="{7E52C985-5F83-4C29-8F1F-D405954DBF29}"/>
    <cellStyle name="Migliaia 33 5 5" xfId="20417" xr:uid="{B46D20AD-2D19-41A3-995A-D1669B284594}"/>
    <cellStyle name="Migliaia 33 5 5 2" xfId="33828" xr:uid="{8B89B360-9ED9-4844-B467-7DC819255EC4}"/>
    <cellStyle name="Migliaia 33 5 5 2 2" xfId="39334" xr:uid="{599233A8-4AAD-4F93-9600-F2D3DCCD1EB0}"/>
    <cellStyle name="Migliaia 33 5 5 2 3" xfId="44636" xr:uid="{DA893A77-17A5-4285-B18D-96A77A8A6E43}"/>
    <cellStyle name="Migliaia 33 5 5 3" xfId="36767" xr:uid="{84EB56AE-6F4E-4EB4-8EC5-D0CA5D2A96C1}"/>
    <cellStyle name="Migliaia 33 5 5 4" xfId="41985" xr:uid="{30F08878-1AA0-4640-A9D8-2D37551B60E7}"/>
    <cellStyle name="Migliaia 33 5 5 5" xfId="24793" xr:uid="{EEB16ED6-C29D-4DD1-8FFE-DD2695D39EE6}"/>
    <cellStyle name="Migliaia 33 5 6" xfId="24794" xr:uid="{BE93A48F-5715-4FAB-9115-1C09053EB44E}"/>
    <cellStyle name="Migliaia 33 5 6 2" xfId="33829" xr:uid="{595851F9-F91B-46F1-A0AB-2F53DAE73AE1}"/>
    <cellStyle name="Migliaia 33 5 6 2 2" xfId="39335" xr:uid="{E0900E73-410F-4774-8E08-3130AB4DD6DA}"/>
    <cellStyle name="Migliaia 33 5 6 2 3" xfId="44637" xr:uid="{25754D7D-D655-400A-A610-157AE381C343}"/>
    <cellStyle name="Migliaia 33 5 6 3" xfId="36768" xr:uid="{CC0EA63F-5604-4A02-B850-430F25052E14}"/>
    <cellStyle name="Migliaia 33 5 6 4" xfId="41986" xr:uid="{458B1FEB-908B-49B5-9C01-69F83AFFEBAA}"/>
    <cellStyle name="Migliaia 33 5 7" xfId="24791" xr:uid="{346CAB7F-2D0C-4803-A1ED-3A37FCE4F082}"/>
    <cellStyle name="Migliaia 33 5 8" xfId="7451" xr:uid="{B97EE952-7C6F-48B7-9F2F-E0DD7CDC9E3E}"/>
    <cellStyle name="Migliaia 33 6" xfId="3533" xr:uid="{1CC9023C-BAC6-4506-ABC0-903F1B25E2AB}"/>
    <cellStyle name="Migliaia 33 6 2" xfId="5259" xr:uid="{3F4450AC-32BD-475B-BC45-D2FF49A3C0BD}"/>
    <cellStyle name="Migliaia 33 6 2 2" xfId="9933" xr:uid="{DB058EE6-AB63-46BC-8C89-1E32D888ACB1}"/>
    <cellStyle name="Migliaia 33 6 2 3" xfId="18654" xr:uid="{41345E27-96EA-4D0D-B376-DE4D746AAAA7}"/>
    <cellStyle name="Migliaia 33 6 2 4" xfId="20420" xr:uid="{610E359D-AB77-476F-BF86-695AB6A95093}"/>
    <cellStyle name="Migliaia 33 6 2 5" xfId="32384" xr:uid="{B46098C3-953B-4C5E-898F-B155489194F4}"/>
    <cellStyle name="Migliaia 33 6 2 6" xfId="16424" xr:uid="{90366C5C-D453-4F5E-9C43-9B9879513A8C}"/>
    <cellStyle name="Migliaia 33 6 2 7" xfId="8636" xr:uid="{F54727A4-A979-4C06-B7C8-2FDC05B2A15D}"/>
    <cellStyle name="Migliaia 33 6 3" xfId="6456" xr:uid="{3F28F315-576C-46A4-B5CD-D2FF64E2F43D}"/>
    <cellStyle name="Migliaia 33 6 3 2" xfId="35309" xr:uid="{A6A8A02A-A29F-4A96-A30C-C4F121DAAF19}"/>
    <cellStyle name="Migliaia 33 6 3 2 2" xfId="40469" xr:uid="{DC6A3A4B-BA42-431C-9D94-EBCF102EC3C8}"/>
    <cellStyle name="Migliaia 33 6 3 2 3" xfId="45771" xr:uid="{1D48D5F2-1EE5-494E-8D20-66E271A870BF}"/>
    <cellStyle name="Migliaia 33 6 3 3" xfId="37818" xr:uid="{5C72A4D9-88DE-4AAC-8523-3B4ED12BD7F2}"/>
    <cellStyle name="Migliaia 33 6 3 4" xfId="43120" xr:uid="{3BE6CDCD-457D-4F0B-A3D3-B17E4271A1F2}"/>
    <cellStyle name="Migliaia 33 6 3 5" xfId="9696" xr:uid="{393D5C90-3986-4275-B55D-9611621BF1F9}"/>
    <cellStyle name="Migliaia 33 6 4" xfId="20419" xr:uid="{ED10A10E-8A2A-4F32-9BF3-EA194A735D33}"/>
    <cellStyle name="Migliaia 33 6 4 2" xfId="39336" xr:uid="{8726D025-F4DC-4F7D-90E9-F37910E11EF9}"/>
    <cellStyle name="Migliaia 33 6 4 3" xfId="44638" xr:uid="{837C355D-81A4-49A8-9998-E904FCBF7903}"/>
    <cellStyle name="Migliaia 33 6 4 4" xfId="33830" xr:uid="{0BB8ECC9-87C7-4968-BCEA-C6E59C16097A}"/>
    <cellStyle name="Migliaia 33 6 5" xfId="36769" xr:uid="{FC69B825-7F6F-4EF1-9673-0003EEFF4B91}"/>
    <cellStyle name="Migliaia 33 6 6" xfId="41987" xr:uid="{C646A7BC-B1C6-454F-A456-21E1F108A9C9}"/>
    <cellStyle name="Migliaia 33 6 7" xfId="16423" xr:uid="{946A53F9-1820-40CC-9E2C-BA222A6412BA}"/>
    <cellStyle name="Migliaia 33 6 8" xfId="7446" xr:uid="{85B9B1A8-6C81-4E6E-B7EC-EE8D3FA94377}"/>
    <cellStyle name="Migliaia 33 7" xfId="3534" xr:uid="{1CD7AB60-250D-4729-BE57-C52C410F45EA}"/>
    <cellStyle name="Migliaia 33 7 2" xfId="5260" xr:uid="{03BD8DD2-0C20-4331-903D-40562ACE8394}"/>
    <cellStyle name="Migliaia 33 7 2 2" xfId="35310" xr:uid="{767F6B2B-F2FE-4E61-9580-55BAC1D340AB}"/>
    <cellStyle name="Migliaia 33 7 2 2 2" xfId="40470" xr:uid="{2AA92785-CECB-446A-93E5-E202351E275B}"/>
    <cellStyle name="Migliaia 33 7 2 2 3" xfId="45772" xr:uid="{1D1EBA22-5357-4467-9399-E9F9F4317A22}"/>
    <cellStyle name="Migliaia 33 7 2 3" xfId="37819" xr:uid="{D0AA232A-3ABC-41FC-B012-AB0C506FDF6B}"/>
    <cellStyle name="Migliaia 33 7 2 4" xfId="43121" xr:uid="{FB21585F-EBEF-444E-9B1B-FF4582A5656E}"/>
    <cellStyle name="Migliaia 33 7 2 5" xfId="14257" xr:uid="{F3EA3820-5E77-43DC-98E1-8628E1AAD878}"/>
    <cellStyle name="Migliaia 33 7 3" xfId="6457" xr:uid="{C59D2FEA-6884-4C0F-9069-CABE2193C7AF}"/>
    <cellStyle name="Migliaia 33 7 3 2" xfId="39337" xr:uid="{73EC0920-261B-43B4-8BA7-99E77F56547D}"/>
    <cellStyle name="Migliaia 33 7 3 3" xfId="44639" xr:uid="{6669EEA6-717C-4D25-A1F0-22D1FFF8081F}"/>
    <cellStyle name="Migliaia 33 7 3 4" xfId="33831" xr:uid="{23E159F3-9536-496A-B727-9077E2ECC43F}"/>
    <cellStyle name="Migliaia 33 7 3 5" xfId="20421" xr:uid="{DD46C4CE-47CF-4F63-867E-F45A8FD3FC0A}"/>
    <cellStyle name="Migliaia 33 7 4" xfId="36770" xr:uid="{359E8E80-9B10-43EE-9E47-3259E03D4BD9}"/>
    <cellStyle name="Migliaia 33 7 5" xfId="41988" xr:uid="{146A7166-829A-4F26-95A8-8602722BC9A1}"/>
    <cellStyle name="Migliaia 33 7 6" xfId="16425" xr:uid="{E6B40BDD-DBE1-4662-A1B6-D570935D0309}"/>
    <cellStyle name="Migliaia 33 7 7" xfId="8319" xr:uid="{E3B94DFD-C13F-4F93-B661-2F6F6B483E62}"/>
    <cellStyle name="Migliaia 33 8" xfId="3535" xr:uid="{8683F9A0-3935-4A7D-B4C0-3B31A530A4AF}"/>
    <cellStyle name="Migliaia 33 8 2" xfId="5261" xr:uid="{E857E318-9E17-43E6-96C6-CF8351DB5998}"/>
    <cellStyle name="Migliaia 33 8 2 2" xfId="35311" xr:uid="{FA397A78-5C63-4247-9E3D-058CA31F5F8A}"/>
    <cellStyle name="Migliaia 33 8 2 2 2" xfId="40471" xr:uid="{CC20FE23-BD76-43AC-B928-D8F9B6E1CD75}"/>
    <cellStyle name="Migliaia 33 8 2 2 3" xfId="45773" xr:uid="{A15896D1-D276-4177-A547-295DD3A91801}"/>
    <cellStyle name="Migliaia 33 8 2 3" xfId="37820" xr:uid="{4256A1CC-071D-423A-A0C6-79C6225871DD}"/>
    <cellStyle name="Migliaia 33 8 2 4" xfId="43122" xr:uid="{08B8978E-71BE-4D0A-8583-A8C9BED4B01A}"/>
    <cellStyle name="Migliaia 33 8 2 5" xfId="13962" xr:uid="{A67FD19E-5788-4590-A761-5DAE5BB2F026}"/>
    <cellStyle name="Migliaia 33 8 3" xfId="6458" xr:uid="{8B77C66F-B847-489F-B2E4-473BA81CEFDD}"/>
    <cellStyle name="Migliaia 33 8 3 2" xfId="39338" xr:uid="{1E74C79B-B009-4E46-87EB-D68A884AFAE2}"/>
    <cellStyle name="Migliaia 33 8 3 3" xfId="44640" xr:uid="{E66B2985-C7A0-470F-97EE-63CA96917B44}"/>
    <cellStyle name="Migliaia 33 8 3 4" xfId="33832" xr:uid="{07D69D23-6379-42C5-B11E-8E945E8CE3F4}"/>
    <cellStyle name="Migliaia 33 8 3 5" xfId="20422" xr:uid="{48B5F327-AD24-4BB1-AD32-7927A15AD84A}"/>
    <cellStyle name="Migliaia 33 8 4" xfId="36771" xr:uid="{72B7093B-6839-426C-A6A4-958F118ADC57}"/>
    <cellStyle name="Migliaia 33 8 5" xfId="41989" xr:uid="{4954C0D7-AE8A-4019-9774-0869E3FF3F6C}"/>
    <cellStyle name="Migliaia 33 8 6" xfId="16426" xr:uid="{11ED1EBC-1FBC-4533-8001-6FDA78E09C08}"/>
    <cellStyle name="Migliaia 33 8 7" xfId="7926" xr:uid="{FD886BA6-508B-4C0A-910D-9136108D357D}"/>
    <cellStyle name="Migliaia 33 9" xfId="5246" xr:uid="{FE0589EC-D138-4EFB-8D0D-C7722EF7421D}"/>
    <cellStyle name="Migliaia 33 9 2" xfId="33833" xr:uid="{664675B6-2FBF-40CB-A867-04CEB792AB49}"/>
    <cellStyle name="Migliaia 33 9 2 2" xfId="39339" xr:uid="{4C589C1E-C191-43A9-9887-FFB187208372}"/>
    <cellStyle name="Migliaia 33 9 2 3" xfId="44641" xr:uid="{566DD9B9-7767-4A06-81BF-66BD711410A6}"/>
    <cellStyle name="Migliaia 33 9 3" xfId="36772" xr:uid="{FE2DDA13-4C4A-44AD-9E13-A4AEA8E5C3C0}"/>
    <cellStyle name="Migliaia 33 9 4" xfId="41990" xr:uid="{D58F67C9-A784-44D8-82B5-D6BBD663A774}"/>
    <cellStyle name="Migliaia 33 9 5" xfId="17187" xr:uid="{99F2699C-F2F5-40B9-A327-F694D609DA97}"/>
    <cellStyle name="Migliaia 34" xfId="409" xr:uid="{00000000-0005-0000-0000-0000B2030000}"/>
    <cellStyle name="Migliaia 34 10" xfId="6459" xr:uid="{446CDD86-9B5A-445F-8339-A92113949E99}"/>
    <cellStyle name="Migliaia 34 10 2" xfId="39340" xr:uid="{2ED83D3A-7EAA-4E92-96A4-3ABD91E1E6DE}"/>
    <cellStyle name="Migliaia 34 10 3" xfId="44642" xr:uid="{7CCDBEEF-862B-4D5A-BD81-BD466DD39A04}"/>
    <cellStyle name="Migliaia 34 10 4" xfId="33834" xr:uid="{20169C4F-6711-4EEF-8E3A-D8EC690376EB}"/>
    <cellStyle name="Migliaia 34 10 5" xfId="20423" xr:uid="{5117B321-3E6F-41E9-AAB4-6B24C736DAFC}"/>
    <cellStyle name="Migliaia 34 11" xfId="3536" xr:uid="{3EBA89E3-A486-4244-B127-66A360759CDC}"/>
    <cellStyle name="Migliaia 34 11 2" xfId="36773" xr:uid="{3F13076C-C325-4B58-AC19-EF8025CA838F}"/>
    <cellStyle name="Migliaia 34 12" xfId="41991" xr:uid="{7D51784F-B802-41C7-8E60-8C398D8DE32A}"/>
    <cellStyle name="Migliaia 34 13" xfId="7123" xr:uid="{A8508EA9-0699-4DB6-8B04-2CE0CEE94C0F}"/>
    <cellStyle name="Migliaia 34 2" xfId="410" xr:uid="{00000000-0005-0000-0000-0000B3030000}"/>
    <cellStyle name="Migliaia 34 2 2" xfId="1791" xr:uid="{00000000-0005-0000-0000-0000B4030000}"/>
    <cellStyle name="Migliaia 34 2 2 2" xfId="5264" xr:uid="{F9BBACB8-DC09-409E-A7F6-2799BB2311F7}"/>
    <cellStyle name="Migliaia 34 2 2 2 2" xfId="14390" xr:uid="{0FC45A7A-384E-443F-842E-0085D395E054}"/>
    <cellStyle name="Migliaia 34 2 2 2 2 2" xfId="39341" xr:uid="{5E495FDA-3C14-44E3-8423-7117B683925B}"/>
    <cellStyle name="Migliaia 34 2 2 2 2 3" xfId="44643" xr:uid="{7D2D2A14-0457-4596-A5AB-5C1D4B5DD8B3}"/>
    <cellStyle name="Migliaia 34 2 2 2 3" xfId="18443" xr:uid="{880820C9-EE7E-43C6-B9DC-BC0E34AA91C1}"/>
    <cellStyle name="Migliaia 34 2 2 2 4" xfId="20426" xr:uid="{75BC8B53-2B81-4E8E-95AE-58413F8292E0}"/>
    <cellStyle name="Migliaia 34 2 2 2 4 2" xfId="41992" xr:uid="{8E666FAD-B19C-45EF-A365-E2361C947C81}"/>
    <cellStyle name="Migliaia 34 2 2 2 5" xfId="16427" xr:uid="{2177E90B-8F02-4A42-85D3-E0A9040C9284}"/>
    <cellStyle name="Migliaia 34 2 2 2 6" xfId="8643" xr:uid="{2693995B-F17B-4A07-8E0B-8341682CAD63}"/>
    <cellStyle name="Migliaia 34 2 2 3" xfId="6461" xr:uid="{303F2612-38F3-4B14-9D02-A4DDB138081D}"/>
    <cellStyle name="Migliaia 34 2 2 3 2" xfId="35312" xr:uid="{8A25C89F-BD9A-458D-9511-0130F934DC0F}"/>
    <cellStyle name="Migliaia 34 2 2 3 2 2" xfId="40472" xr:uid="{56AAAB67-1401-47A2-9A57-877583E1D8B4}"/>
    <cellStyle name="Migliaia 34 2 2 3 2 3" xfId="45774" xr:uid="{DEE59719-4C22-4812-9BFB-A506BD19FD5F}"/>
    <cellStyle name="Migliaia 34 2 2 3 3" xfId="37821" xr:uid="{22990CE0-F1F9-4C85-BD42-362CDB7CEEF9}"/>
    <cellStyle name="Migliaia 34 2 2 3 4" xfId="43123" xr:uid="{A410E715-7642-4161-8DE1-6901E7750D13}"/>
    <cellStyle name="Migliaia 34 2 2 3 5" xfId="11617" xr:uid="{CE3E15F5-ED32-4C9C-8098-382F6745B30F}"/>
    <cellStyle name="Migliaia 34 2 2 4" xfId="3538" xr:uid="{E182DBCF-275D-4F73-94D8-AA9BF9AD72AC}"/>
    <cellStyle name="Migliaia 34 2 2 4 2" xfId="21503" xr:uid="{518622C6-17E6-4D30-B5B1-6F33333AC8F7}"/>
    <cellStyle name="Migliaia 34 2 2 4 3" xfId="47982" xr:uid="{CF5B57FD-F197-4DD3-89F0-88C603992108}"/>
    <cellStyle name="Migliaia 34 2 2 4 4" xfId="50518" xr:uid="{B4FAF854-896E-47F2-8CC6-B40C298D1199}"/>
    <cellStyle name="Migliaia 34 2 2 4 5" xfId="53534" xr:uid="{8FF5326F-B509-4B4D-8C60-1E884A209EB6}"/>
    <cellStyle name="Migliaia 34 2 2 4 6" xfId="10868" xr:uid="{A3FFC7CF-B55D-4C19-8847-38832AD006CB}"/>
    <cellStyle name="Migliaia 34 2 2 5" xfId="20425" xr:uid="{5EFBE037-1FBA-401F-8F6B-745EDDB87140}"/>
    <cellStyle name="Migliaia 34 2 2 6" xfId="24796" xr:uid="{9408C17C-9123-4E68-B680-C0CB3804C188}"/>
    <cellStyle name="Migliaia 34 2 2 7" xfId="7453" xr:uid="{D6CB66AB-8BD2-489B-858E-9F8943B11743}"/>
    <cellStyle name="Migliaia 34 2 3" xfId="3539" xr:uid="{80D1486B-304D-4D77-BACE-247822D090F3}"/>
    <cellStyle name="Migliaia 34 2 3 2" xfId="5265" xr:uid="{8B3C4948-A275-41CF-8174-470755DB9056}"/>
    <cellStyle name="Migliaia 34 2 3 2 2" xfId="35313" xr:uid="{ED417F74-0311-4EE1-B48C-69188633C538}"/>
    <cellStyle name="Migliaia 34 2 3 2 2 2" xfId="40473" xr:uid="{5435DBE0-9D0F-4138-A61D-AC2A7CC9E0DA}"/>
    <cellStyle name="Migliaia 34 2 3 2 2 3" xfId="45775" xr:uid="{60FFA7AB-648B-468E-8D33-2ADD05DAF53B}"/>
    <cellStyle name="Migliaia 34 2 3 2 3" xfId="37822" xr:uid="{D36BB970-A604-4959-8288-AD2C1A005B40}"/>
    <cellStyle name="Migliaia 34 2 3 2 4" xfId="43124" xr:uid="{C007C6EB-A2CD-42C6-B2D2-5E4308DCE328}"/>
    <cellStyle name="Migliaia 34 2 3 2 5" xfId="14261" xr:uid="{0D1169A1-4F7B-44FC-8B15-5A3ACD3763EE}"/>
    <cellStyle name="Migliaia 34 2 3 3" xfId="6462" xr:uid="{85DA57FF-AF8D-4585-9DD3-004730949076}"/>
    <cellStyle name="Migliaia 34 2 3 3 2" xfId="39342" xr:uid="{46BA9E03-3743-4582-BA74-2CFB212BCF7B}"/>
    <cellStyle name="Migliaia 34 2 3 3 3" xfId="44644" xr:uid="{8A40FCEC-67C0-4CA3-9B71-064DC381AD34}"/>
    <cellStyle name="Migliaia 34 2 3 3 4" xfId="33835" xr:uid="{282169CE-DEC1-40E1-96FB-7360C26E0E44}"/>
    <cellStyle name="Migliaia 34 2 3 3 5" xfId="20427" xr:uid="{E3489FA7-7669-47D9-B593-37DDDAEC6D1A}"/>
    <cellStyle name="Migliaia 34 2 3 4" xfId="36774" xr:uid="{67A47EFC-6804-47E6-A2B1-5BFD8A1DF79A}"/>
    <cellStyle name="Migliaia 34 2 3 5" xfId="41993" xr:uid="{1E9A4B3D-C170-4EF1-BE5F-2DE93900E3CF}"/>
    <cellStyle name="Migliaia 34 2 3 6" xfId="16428" xr:uid="{77CED738-A778-499E-ACF8-4CD71189AD8E}"/>
    <cellStyle name="Migliaia 34 2 3 7" xfId="8323" xr:uid="{74005F41-B46A-448D-9E3D-B6E0D7772C07}"/>
    <cellStyle name="Migliaia 34 2 4" xfId="5263" xr:uid="{9EB3DDC4-26C7-40AC-866F-1EF68A6B6278}"/>
    <cellStyle name="Migliaia 34 2 4 2" xfId="13966" xr:uid="{4731D848-2BD5-4254-9202-E6635F017DDC}"/>
    <cellStyle name="Migliaia 34 2 4 2 2" xfId="39343" xr:uid="{DFD2B85A-1375-4934-99E8-BA19F9785028}"/>
    <cellStyle name="Migliaia 34 2 4 2 3" xfId="44645" xr:uid="{920C84C1-8435-4CB5-B155-995F2DE549DE}"/>
    <cellStyle name="Migliaia 34 2 4 3" xfId="18613" xr:uid="{1923A48D-7584-4428-8BF0-D9CCBD7FECAF}"/>
    <cellStyle name="Migliaia 34 2 4 4" xfId="20428" xr:uid="{1D0DCD62-7DAC-460D-8619-24CABBD007EB}"/>
    <cellStyle name="Migliaia 34 2 4 4 2" xfId="41994" xr:uid="{B99602CC-8AD7-4303-85A4-2828183079BC}"/>
    <cellStyle name="Migliaia 34 2 4 5" xfId="16429" xr:uid="{82C5FCC6-9BE3-424F-9C8A-BDFA41FD2598}"/>
    <cellStyle name="Migliaia 34 2 4 6" xfId="7931" xr:uid="{2C7A27C8-892D-4BAE-BBF0-AC47021A346D}"/>
    <cellStyle name="Migliaia 34 2 5" xfId="6460" xr:uid="{A1797C92-0795-47C5-973F-E0A15B7A587A}"/>
    <cellStyle name="Migliaia 34 2 5 2" xfId="33836" xr:uid="{40C84349-D9CF-4691-8899-D84DF9F2BD6A}"/>
    <cellStyle name="Migliaia 34 2 5 2 2" xfId="39344" xr:uid="{685A3C37-DA0C-4D40-AAF1-51BB84AB1C94}"/>
    <cellStyle name="Migliaia 34 2 5 2 3" xfId="44646" xr:uid="{052E3A7D-545D-4975-8F10-787FD11C1F9E}"/>
    <cellStyle name="Migliaia 34 2 5 3" xfId="36775" xr:uid="{B77EFD97-797A-4191-A9B6-5B5D85F0FE33}"/>
    <cellStyle name="Migliaia 34 2 5 4" xfId="41995" xr:uid="{C25E3D2B-2E3D-4833-BF70-F69B8D65B234}"/>
    <cellStyle name="Migliaia 34 2 5 5" xfId="13130" xr:uid="{6F0B185C-3025-41CC-ACE5-AD7C959E1E97}"/>
    <cellStyle name="Migliaia 34 2 6" xfId="3537" xr:uid="{F762F256-F5A0-48E0-AD7C-2690A70B9247}"/>
    <cellStyle name="Migliaia 34 2 6 2" xfId="33837" xr:uid="{8F9A4ECE-E7CF-4042-9541-FE12EAE7FBB4}"/>
    <cellStyle name="Migliaia 34 2 6 2 2" xfId="39345" xr:uid="{C3545B69-56BE-4AA2-BFF9-AA9FA5398969}"/>
    <cellStyle name="Migliaia 34 2 6 2 3" xfId="44647" xr:uid="{2E1CD879-0BA5-45BC-B736-BA9DB97290EB}"/>
    <cellStyle name="Migliaia 34 2 6 3" xfId="36776" xr:uid="{38B64630-9976-47B3-886B-FF570E079A3C}"/>
    <cellStyle name="Migliaia 34 2 6 4" xfId="41996" xr:uid="{C30F8C55-C24B-44C5-96EC-825582AE2F16}"/>
    <cellStyle name="Migliaia 34 2 6 5" xfId="24797" xr:uid="{70DB9DA0-258D-48D6-99EF-4DD570077927}"/>
    <cellStyle name="Migliaia 34 2 6 6" xfId="20424" xr:uid="{C2BFF595-C970-4671-8ABA-E4037DE8EFCC}"/>
    <cellStyle name="Migliaia 34 2 7" xfId="24795" xr:uid="{D8ADFD02-3D9E-4B3F-B571-7B5D3470DC6F}"/>
    <cellStyle name="Migliaia 34 2 8" xfId="7124" xr:uid="{2A1E30C2-F23D-4096-9D07-7028CEC1D4A6}"/>
    <cellStyle name="Migliaia 34 3" xfId="411" xr:uid="{00000000-0005-0000-0000-0000B5030000}"/>
    <cellStyle name="Migliaia 34 3 10" xfId="24798" xr:uid="{5CE2254B-D5F8-4D10-95AE-710CCC840920}"/>
    <cellStyle name="Migliaia 34 3 11" xfId="16430" xr:uid="{AAE851A5-3690-4DD1-A32C-516AEF60EF91}"/>
    <cellStyle name="Migliaia 34 3 12" xfId="7125" xr:uid="{85833C4E-1595-435C-B75F-5FFBAA710B22}"/>
    <cellStyle name="Migliaia 34 3 2" xfId="412" xr:uid="{00000000-0005-0000-0000-0000B6030000}"/>
    <cellStyle name="Migliaia 34 3 2 2" xfId="1792" xr:uid="{00000000-0005-0000-0000-0000B7030000}"/>
    <cellStyle name="Migliaia 34 3 2 2 2" xfId="5268" xr:uid="{CE6271D5-C95D-4269-93DB-A7750F3DB6E3}"/>
    <cellStyle name="Migliaia 34 3 2 2 2 2" xfId="18444" xr:uid="{32814393-59DC-4110-905B-CB63072E4EB9}"/>
    <cellStyle name="Migliaia 34 3 2 2 2 2 2" xfId="21868" xr:uid="{FCA3C8C3-5690-4139-9E70-8EBB9E691C2E}"/>
    <cellStyle name="Migliaia 34 3 2 2 2 2 2 2" xfId="39346" xr:uid="{10FF51C3-6AA7-4212-A39D-93F7E46E4DB9}"/>
    <cellStyle name="Migliaia 34 3 2 2 2 2 3" xfId="44648" xr:uid="{6D137B42-4E4D-469E-91D3-7B8BA515E9C0}"/>
    <cellStyle name="Migliaia 34 3 2 2 2 2 4" xfId="33838" xr:uid="{3EDA2A78-57CF-4C6A-B1ED-AD888F1FD578}"/>
    <cellStyle name="Migliaia 34 3 2 2 2 3" xfId="36777" xr:uid="{D95D33BD-20F8-47F3-8FB9-3EB61A02E791}"/>
    <cellStyle name="Migliaia 34 3 2 2 2 4" xfId="41997" xr:uid="{256650A3-1D94-4999-8F80-2CCCF43C2167}"/>
    <cellStyle name="Migliaia 34 3 2 2 2 5" xfId="37178" xr:uid="{EFAEB2E9-0799-4DEB-8A50-7BBC16499581}"/>
    <cellStyle name="Migliaia 34 3 2 2 2 6" xfId="50896" xr:uid="{97DB9A6B-75AE-490A-8CEB-BBBC4E8FAD6E}"/>
    <cellStyle name="Migliaia 34 3 2 2 2 7" xfId="53912" xr:uid="{B0C26102-CF28-4415-B166-41F81684500E}"/>
    <cellStyle name="Migliaia 34 3 2 2 2 8" xfId="17665" xr:uid="{B810872C-E512-4A49-9BEE-1E7F1FAE2528}"/>
    <cellStyle name="Migliaia 34 3 2 2 2 9" xfId="11995" xr:uid="{1B7CE54C-98CA-44C4-9D3B-87BC5348FA0A}"/>
    <cellStyle name="Migliaia 34 3 2 2 3" xfId="6465" xr:uid="{82ADC557-C383-4EC5-9740-2BF4D3C6DD75}"/>
    <cellStyle name="Migliaia 34 3 2 2 3 2" xfId="11562" xr:uid="{9C71523F-341B-42BB-A809-DBD8E9F219A1}"/>
    <cellStyle name="Migliaia 34 3 2 2 4" xfId="3542" xr:uid="{E07B4949-0749-4A66-A056-E83098480DDB}"/>
    <cellStyle name="Migliaia 34 3 2 2 4 2" xfId="21504" xr:uid="{918380D4-8E25-4DA3-AE74-971DA1624C62}"/>
    <cellStyle name="Migliaia 34 3 2 2 4 3" xfId="46646" xr:uid="{F2304B9A-55F2-41C9-956E-98A328CF5E43}"/>
    <cellStyle name="Migliaia 34 3 2 2 4 4" xfId="50519" xr:uid="{C3388350-1440-4C06-B96E-7A92AC6AAD18}"/>
    <cellStyle name="Migliaia 34 3 2 2 4 5" xfId="53535" xr:uid="{596167F0-C313-490F-8C17-B59DC044BC2F}"/>
    <cellStyle name="Migliaia 34 3 2 2 4 6" xfId="10869" xr:uid="{CD9ABD3E-A6A3-41A6-AC91-46C40AAD8A19}"/>
    <cellStyle name="Migliaia 34 3 2 2 5" xfId="20431" xr:uid="{4FB7C1FD-4339-4DBE-ACA3-3550613417C1}"/>
    <cellStyle name="Migliaia 34 3 2 2 6" xfId="24800" xr:uid="{485220B5-59FE-4A6C-B0D7-F9C1310C848E}"/>
    <cellStyle name="Migliaia 34 3 2 2 7" xfId="8645" xr:uid="{BCBB8A76-5593-4BBB-B799-E28DDE105867}"/>
    <cellStyle name="Migliaia 34 3 2 3" xfId="5267" xr:uid="{260A6332-73C4-4A96-96DF-E797F51F175D}"/>
    <cellStyle name="Migliaia 34 3 2 3 2" xfId="12410" xr:uid="{33C810DF-B83F-41ED-B33E-00AB6C0C6873}"/>
    <cellStyle name="Migliaia 34 3 2 3 2 2" xfId="39347" xr:uid="{D641BA38-D7E7-4FB0-B331-5799D0263AA6}"/>
    <cellStyle name="Migliaia 34 3 2 3 2 3" xfId="44649" xr:uid="{775802CC-0506-46C7-BDD2-C0694FB1BF0F}"/>
    <cellStyle name="Migliaia 34 3 2 3 2 4" xfId="33839" xr:uid="{ACBB39FA-E23A-44F4-93D5-372CB5FBE9E6}"/>
    <cellStyle name="Migliaia 34 3 2 3 3" xfId="11996" xr:uid="{ECCC2CEB-F129-499D-8799-F5CEB714B9D7}"/>
    <cellStyle name="Migliaia 34 3 2 3 4" xfId="20432" xr:uid="{3A18B690-7696-42BB-A4CB-21D198E7EBA5}"/>
    <cellStyle name="Migliaia 34 3 2 3 4 2" xfId="41998" xr:uid="{FA4D13A6-10AE-4416-AC04-17B0DD3AC859}"/>
    <cellStyle name="Migliaia 34 3 2 3 5" xfId="16431" xr:uid="{71AAEBDD-CF3F-4F6B-9375-AFA32D4FA596}"/>
    <cellStyle name="Migliaia 34 3 2 3 6" xfId="7933" xr:uid="{BD6826BC-DE79-40B6-B5C5-DC01ABB848B2}"/>
    <cellStyle name="Migliaia 34 3 2 4" xfId="6464" xr:uid="{736A85FD-1579-429B-976F-5F5A6C3B3C3C}"/>
    <cellStyle name="Migliaia 34 3 2 4 2" xfId="18084" xr:uid="{711236A0-DB6B-45E6-BCCD-5DADF433C876}"/>
    <cellStyle name="Migliaia 34 3 2 4 2 2" xfId="39348" xr:uid="{8D0D78E1-3E42-4D48-91C1-00F2EC9D686F}"/>
    <cellStyle name="Migliaia 34 3 2 4 2 3" xfId="44650" xr:uid="{C0390279-502E-4176-A4A1-03F9A982C464}"/>
    <cellStyle name="Migliaia 34 3 2 4 3" xfId="36778" xr:uid="{405DB2E7-BC30-40B8-8DFA-CA57EE7E805C}"/>
    <cellStyle name="Migliaia 34 3 2 4 4" xfId="41999" xr:uid="{D8E0A404-A0CE-420E-9910-BA792ECE875D}"/>
    <cellStyle name="Migliaia 34 3 2 4 5" xfId="17190" xr:uid="{803BC5D2-04F0-40CF-AF95-B4618CAE0D69}"/>
    <cellStyle name="Migliaia 34 3 2 4 6" xfId="11344" xr:uid="{6EF1D95D-91F3-47C8-84CF-C9CFDD80FD66}"/>
    <cellStyle name="Migliaia 34 3 2 5" xfId="3541" xr:uid="{F017704D-067C-4E47-9C86-7BF408B35889}"/>
    <cellStyle name="Migliaia 34 3 2 5 2" xfId="33840" xr:uid="{77AEB179-F5E8-4D7F-8265-B51EFF5E73E8}"/>
    <cellStyle name="Migliaia 34 3 2 5 2 2" xfId="39349" xr:uid="{17C76A74-D970-4FD9-B6F7-31C8ECFEDAE3}"/>
    <cellStyle name="Migliaia 34 3 2 5 2 3" xfId="44651" xr:uid="{33924806-5B27-4FD7-8604-D09BD343AC7C}"/>
    <cellStyle name="Migliaia 34 3 2 5 3" xfId="36779" xr:uid="{A8824072-0B5C-48E4-9FD1-28BD98DF9830}"/>
    <cellStyle name="Migliaia 34 3 2 5 4" xfId="42000" xr:uid="{B2E45CEB-D6FE-4E4F-B2BA-190DDCFFD1C6}"/>
    <cellStyle name="Migliaia 34 3 2 5 5" xfId="17345" xr:uid="{39D189D8-1439-4D81-9804-6BAADCC030DA}"/>
    <cellStyle name="Migliaia 34 3 2 6" xfId="20430" xr:uid="{C04BAFB1-E402-4F61-A307-CC50FE104801}"/>
    <cellStyle name="Migliaia 34 3 2 6 2" xfId="33841" xr:uid="{4D6271A2-5643-4153-8388-1C64289F1B31}"/>
    <cellStyle name="Migliaia 34 3 2 6 2 2" xfId="39350" xr:uid="{A7F3E525-3459-445B-BCFA-A2CD146567D1}"/>
    <cellStyle name="Migliaia 34 3 2 6 2 3" xfId="44652" xr:uid="{D760F0A0-AC2B-4138-B354-824E22A6C9D6}"/>
    <cellStyle name="Migliaia 34 3 2 6 3" xfId="36780" xr:uid="{25BFBA46-9FC0-4A9B-87E0-5FB7C379EA1D}"/>
    <cellStyle name="Migliaia 34 3 2 6 4" xfId="42001" xr:uid="{45F6D8F6-B2E4-4CDB-BD24-8FDAFF1F369B}"/>
    <cellStyle name="Migliaia 34 3 2 6 5" xfId="24801" xr:uid="{13CF3B75-E483-4FA7-9DF4-B5326BDFB574}"/>
    <cellStyle name="Migliaia 34 3 2 7" xfId="24799" xr:uid="{23E0A5F5-6F26-4B4E-BCB3-817B51F6EE68}"/>
    <cellStyle name="Migliaia 34 3 2 8" xfId="7455" xr:uid="{307EC4A0-060E-420F-AD7B-67A8DF2F3494}"/>
    <cellStyle name="Migliaia 34 3 3" xfId="3543" xr:uid="{F2FE8A7C-D7E1-453E-A8C1-271A57750029}"/>
    <cellStyle name="Migliaia 34 3 3 10" xfId="7454" xr:uid="{D7F09E32-DDC2-4B4C-ADA4-769C17D37B17}"/>
    <cellStyle name="Migliaia 34 3 3 2" xfId="5269" xr:uid="{B61D78DF-9D47-44B3-A363-CB2947097F80}"/>
    <cellStyle name="Migliaia 34 3 3 2 2" xfId="9936" xr:uid="{1A44F8DB-D978-4B41-A6BD-8C2915878553}"/>
    <cellStyle name="Migliaia 34 3 3 2 2 2" xfId="39352" xr:uid="{026AF8B9-A57A-457C-90EF-F19AA9A2F2F2}"/>
    <cellStyle name="Migliaia 34 3 3 2 2 3" xfId="44654" xr:uid="{8E2E72A3-F8D4-46FD-AD53-EFCB2A5DE413}"/>
    <cellStyle name="Migliaia 34 3 3 2 3" xfId="18216" xr:uid="{C75454DD-4A6B-4033-BA73-43D50229001F}"/>
    <cellStyle name="Migliaia 34 3 3 2 4" xfId="20434" xr:uid="{B8B9AE7D-89D2-4D23-A3B4-BD6BD4FBD99B}"/>
    <cellStyle name="Migliaia 34 3 3 2 4 2" xfId="42003" xr:uid="{2F5161EB-D24F-44FC-B778-330C70752088}"/>
    <cellStyle name="Migliaia 34 3 3 2 5" xfId="16433" xr:uid="{DB7D71E7-BCDA-4CBB-9893-2C078338ABEB}"/>
    <cellStyle name="Migliaia 34 3 3 2 6" xfId="8644" xr:uid="{F3DFAADB-EC30-4842-A08D-E706189B06B1}"/>
    <cellStyle name="Migliaia 34 3 3 3" xfId="6466" xr:uid="{30B46127-11E3-4D23-A115-8875A05EDFA5}"/>
    <cellStyle name="Migliaia 34 3 3 3 2" xfId="33843" xr:uid="{8E7831A7-5E9D-423E-83A6-CFE8C7D97D81}"/>
    <cellStyle name="Migliaia 34 3 3 3 2 2" xfId="39353" xr:uid="{41B3C328-D3A7-4D9A-AC03-58DD04850161}"/>
    <cellStyle name="Migliaia 34 3 3 3 2 3" xfId="44655" xr:uid="{8C1F9CAC-C05E-485B-86A4-691AA09E9C51}"/>
    <cellStyle name="Migliaia 34 3 3 3 3" xfId="36782" xr:uid="{DE24CB78-19D7-4A6C-90D7-ADE448A67B4A}"/>
    <cellStyle name="Migliaia 34 3 3 3 4" xfId="42004" xr:uid="{89F59071-1420-43B9-8B59-39D6A6FDB4CA}"/>
    <cellStyle name="Migliaia 34 3 3 3 5" xfId="9699" xr:uid="{BF4C4282-B52E-4A2E-BA40-3E00EA0FA5E0}"/>
    <cellStyle name="Migliaia 34 3 3 4" xfId="20433" xr:uid="{55029C37-88C7-466E-8CAD-CE5617ED1BB3}"/>
    <cellStyle name="Migliaia 34 3 3 4 2" xfId="33844" xr:uid="{E3D175E5-65AC-4D87-89A4-75ED0B54FDC8}"/>
    <cellStyle name="Migliaia 34 3 3 4 2 2" xfId="39354" xr:uid="{BF2BAF69-CBA1-4A61-892D-FB7CEC301D3A}"/>
    <cellStyle name="Migliaia 34 3 3 4 2 3" xfId="44656" xr:uid="{6D9533A5-E037-4BBE-9A92-C5681C505C9D}"/>
    <cellStyle name="Migliaia 34 3 3 4 3" xfId="36783" xr:uid="{B307DE65-8F7B-4D2E-86D5-89411F5D22F4}"/>
    <cellStyle name="Migliaia 34 3 3 4 4" xfId="42005" xr:uid="{79117383-0E03-4801-92E8-C36CF34EFAC2}"/>
    <cellStyle name="Migliaia 34 3 3 4 5" xfId="24802" xr:uid="{EFA5EADE-B267-415B-988A-22252C332D68}"/>
    <cellStyle name="Migliaia 34 3 3 5" xfId="24803" xr:uid="{46D3B9F5-61A9-4F38-A331-6FF58D92BD34}"/>
    <cellStyle name="Migliaia 34 3 3 5 2" xfId="33845" xr:uid="{6D881D17-9E0D-4740-832F-6DE70D454887}"/>
    <cellStyle name="Migliaia 34 3 3 5 2 2" xfId="39355" xr:uid="{80AF3B30-1BD5-492C-9BDA-4F0D66CDA963}"/>
    <cellStyle name="Migliaia 34 3 3 5 2 3" xfId="44657" xr:uid="{81115C7D-23B9-4CD9-9C58-DE0A8C77549E}"/>
    <cellStyle name="Migliaia 34 3 3 5 3" xfId="36784" xr:uid="{307C97A3-21AE-475B-BA4D-F7408DFDEE1B}"/>
    <cellStyle name="Migliaia 34 3 3 5 4" xfId="42006" xr:uid="{7CDEC75E-30F1-46B8-8718-56A974685B01}"/>
    <cellStyle name="Migliaia 34 3 3 6" xfId="33842" xr:uid="{205F084D-FFAB-47C6-96D2-7C096E34C568}"/>
    <cellStyle name="Migliaia 34 3 3 6 2" xfId="39351" xr:uid="{B48C715A-CD08-4A8E-AFF8-4220F9484A9D}"/>
    <cellStyle name="Migliaia 34 3 3 6 3" xfId="44653" xr:uid="{377A555A-94D4-4676-BEBA-909837F71F6E}"/>
    <cellStyle name="Migliaia 34 3 3 7" xfId="36781" xr:uid="{ED12F98C-EEFB-45BF-996B-47E3DD6995DB}"/>
    <cellStyle name="Migliaia 34 3 3 8" xfId="42002" xr:uid="{F9CB8381-F5F3-4D8C-9028-E09497AE7371}"/>
    <cellStyle name="Migliaia 34 3 3 9" xfId="16432" xr:uid="{ECFC188B-7198-4720-920D-FCBBB245ECE9}"/>
    <cellStyle name="Migliaia 34 3 4" xfId="3544" xr:uid="{ADABA363-FAB2-4C0E-957F-A52E5AC4DB0A}"/>
    <cellStyle name="Migliaia 34 3 4 2" xfId="5270" xr:uid="{D1793F4F-335D-402A-89BE-7DFA7923982A}"/>
    <cellStyle name="Migliaia 34 3 4 2 2" xfId="14450" xr:uid="{2D5A4E06-9CB9-435E-91A1-998CED552E0B}"/>
    <cellStyle name="Migliaia 34 3 4 2 3" xfId="18563" xr:uid="{23373CAA-A12B-4DD8-AE18-2E286167A53F}"/>
    <cellStyle name="Migliaia 34 3 4 2 4" xfId="20436" xr:uid="{282EE62E-FE0C-420A-B886-116E92DFB71F}"/>
    <cellStyle name="Migliaia 34 3 4 2 5" xfId="32385" xr:uid="{4054D2F7-BE77-4DF2-A059-A5254A5DD995}"/>
    <cellStyle name="Migliaia 34 3 4 2 6" xfId="16435" xr:uid="{4595E0EA-1B48-4208-B725-0BCA1FB3C322}"/>
    <cellStyle name="Migliaia 34 3 4 2 7" xfId="8873" xr:uid="{A63F0EF4-0EEF-4709-9216-12AAC3007BCD}"/>
    <cellStyle name="Migliaia 34 3 4 3" xfId="6467" xr:uid="{C055AA84-91EF-4144-9DBE-A57B5618E207}"/>
    <cellStyle name="Migliaia 34 3 4 3 2" xfId="35314" xr:uid="{78281863-4175-4805-B8F3-A7A625D43F9D}"/>
    <cellStyle name="Migliaia 34 3 4 3 2 2" xfId="40474" xr:uid="{16B1C900-C410-4B6D-90F8-03CEEB665FFF}"/>
    <cellStyle name="Migliaia 34 3 4 3 2 3" xfId="45776" xr:uid="{92B773C0-CCB6-451F-B496-1A71413A106D}"/>
    <cellStyle name="Migliaia 34 3 4 3 3" xfId="37823" xr:uid="{09DBF291-D70C-416F-9F2F-1897AD7B7D88}"/>
    <cellStyle name="Migliaia 34 3 4 3 4" xfId="43125" xr:uid="{40B9C766-3198-4E7A-98C5-5CBE84C3BE4E}"/>
    <cellStyle name="Migliaia 34 3 4 3 5" xfId="13698" xr:uid="{3FA596FF-E713-4A33-A244-8ECC84CFA47B}"/>
    <cellStyle name="Migliaia 34 3 4 4" xfId="20435" xr:uid="{69C94934-B89D-4203-9AC5-C3CBAD183AF0}"/>
    <cellStyle name="Migliaia 34 3 4 4 2" xfId="39356" xr:uid="{576638C7-AE12-41B7-AF33-F8C820322DE5}"/>
    <cellStyle name="Migliaia 34 3 4 4 3" xfId="44658" xr:uid="{CCD619EB-53FF-42B5-8E4D-76749A5457DF}"/>
    <cellStyle name="Migliaia 34 3 4 4 4" xfId="33846" xr:uid="{C31D6FD7-E827-4E71-86F5-B815B74C9586}"/>
    <cellStyle name="Migliaia 34 3 4 5" xfId="36785" xr:uid="{FB00F9BA-1062-493C-A84B-7CB00779727A}"/>
    <cellStyle name="Migliaia 34 3 4 6" xfId="42007" xr:uid="{132B2B18-43A1-4FC8-B211-E421B7935F44}"/>
    <cellStyle name="Migliaia 34 3 4 7" xfId="16434" xr:uid="{1D8415D4-9E74-41D6-A001-05A56B8C9A7D}"/>
    <cellStyle name="Migliaia 34 3 4 8" xfId="7683" xr:uid="{45E60EBC-AC59-4053-9FCB-E925273E0D11}"/>
    <cellStyle name="Migliaia 34 3 5" xfId="3545" xr:uid="{1D8E9405-A699-4036-9CDB-360D68331B24}"/>
    <cellStyle name="Migliaia 34 3 5 2" xfId="5271" xr:uid="{84FDB9C1-29A7-4962-A13C-701B8297EEE1}"/>
    <cellStyle name="Migliaia 34 3 5 2 2" xfId="35315" xr:uid="{6AB334DB-11F5-457F-88ED-FA01A772B2AE}"/>
    <cellStyle name="Migliaia 34 3 5 2 2 2" xfId="40475" xr:uid="{D260095C-50CE-4234-8D33-AFF0EC9FB642}"/>
    <cellStyle name="Migliaia 34 3 5 2 2 3" xfId="45777" xr:uid="{19BC8E68-9F68-43B8-B484-2EE5022AD58C}"/>
    <cellStyle name="Migliaia 34 3 5 2 3" xfId="37824" xr:uid="{9691BC07-BE32-43D6-98BD-D2A8A8265B1F}"/>
    <cellStyle name="Migliaia 34 3 5 2 4" xfId="43126" xr:uid="{46FE9C2E-58F6-458F-B87C-8F794AAE713E}"/>
    <cellStyle name="Migliaia 34 3 5 2 5" xfId="14262" xr:uid="{6CC7B196-D647-40FC-BADB-CCDCFF035677}"/>
    <cellStyle name="Migliaia 34 3 5 3" xfId="6468" xr:uid="{6BE54B96-0C5D-40E6-B975-DBCF9C65414E}"/>
    <cellStyle name="Migliaia 34 3 5 3 2" xfId="39357" xr:uid="{2AB99CF2-40F4-422D-BA0F-E81906730134}"/>
    <cellStyle name="Migliaia 34 3 5 3 3" xfId="44659" xr:uid="{DE95A251-33D4-4CF1-9D7A-A6A517008729}"/>
    <cellStyle name="Migliaia 34 3 5 3 4" xfId="33847" xr:uid="{13145DF8-84CF-417B-8121-756292DC3A68}"/>
    <cellStyle name="Migliaia 34 3 5 3 5" xfId="20437" xr:uid="{2C2735B0-E709-4D68-929E-935802AB8E19}"/>
    <cellStyle name="Migliaia 34 3 5 4" xfId="36786" xr:uid="{9871999C-FC68-411F-968E-68BF2B3A8C24}"/>
    <cellStyle name="Migliaia 34 3 5 5" xfId="42008" xr:uid="{BA1ECF34-625C-45DC-B3C9-0F14E117600A}"/>
    <cellStyle name="Migliaia 34 3 5 6" xfId="16436" xr:uid="{5D1D6F95-A0D4-45C9-849E-56A08A84F5C4}"/>
    <cellStyle name="Migliaia 34 3 5 7" xfId="8324" xr:uid="{EF3EA36C-48E3-419E-94E8-005CB0BF320E}"/>
    <cellStyle name="Migliaia 34 3 6" xfId="5266" xr:uid="{18763EDC-4C27-43E4-BB74-325938A534EB}"/>
    <cellStyle name="Migliaia 34 3 6 2" xfId="13967" xr:uid="{A961BB2C-3A18-4A65-BC3D-CD4A46500D59}"/>
    <cellStyle name="Migliaia 34 3 6 2 2" xfId="39358" xr:uid="{A81DC99B-BD61-44C4-9C7D-192D34E83D3B}"/>
    <cellStyle name="Migliaia 34 3 6 2 3" xfId="44660" xr:uid="{3990F1AC-8F92-4EDE-8528-51595ED657D9}"/>
    <cellStyle name="Migliaia 34 3 6 3" xfId="18287" xr:uid="{9A824B65-2EE6-49DA-89A0-3C1984F26551}"/>
    <cellStyle name="Migliaia 34 3 6 4" xfId="20438" xr:uid="{8D71C902-B392-4FB8-A6B1-812678CDA7EA}"/>
    <cellStyle name="Migliaia 34 3 6 4 2" xfId="42009" xr:uid="{DEB9DAF7-3532-4826-814B-81B60E214948}"/>
    <cellStyle name="Migliaia 34 3 6 5" xfId="16437" xr:uid="{7C263C05-61E4-45F8-BC13-DF22CBEB7DFF}"/>
    <cellStyle name="Migliaia 34 3 6 6" xfId="7932" xr:uid="{41B9EBC9-9151-4DF2-AA8B-C361D89C1E2E}"/>
    <cellStyle name="Migliaia 34 3 7" xfId="6463" xr:uid="{E244BB2C-58A0-45A9-947F-FE9D080E68B2}"/>
    <cellStyle name="Migliaia 34 3 7 2" xfId="33848" xr:uid="{3C679071-6A77-4AC7-B001-6D65673E63B1}"/>
    <cellStyle name="Migliaia 34 3 7 2 2" xfId="39359" xr:uid="{26D3A9E6-3B38-4D6F-B9C7-D4D927596D0A}"/>
    <cellStyle name="Migliaia 34 3 7 2 3" xfId="44661" xr:uid="{55E16693-9966-4BD4-8B54-E6C1D6BA4718}"/>
    <cellStyle name="Migliaia 34 3 7 3" xfId="36787" xr:uid="{4CFCC0F1-C42B-4E2F-BDA5-73BBFA4B01E9}"/>
    <cellStyle name="Migliaia 34 3 7 4" xfId="42010" xr:uid="{21EBDBE0-E258-442D-82D6-91814A7A93F2}"/>
    <cellStyle name="Migliaia 34 3 7 5" xfId="12281" xr:uid="{42BB648D-FF76-4749-AE22-0B6CB05B45EA}"/>
    <cellStyle name="Migliaia 34 3 8" xfId="3540" xr:uid="{57F49CDF-D5EC-498E-AEB3-A088D33E8E1B}"/>
    <cellStyle name="Migliaia 34 3 8 2" xfId="33849" xr:uid="{D634CE6A-F83E-41EE-991D-8E64C5E08D50}"/>
    <cellStyle name="Migliaia 34 3 8 2 2" xfId="39360" xr:uid="{C56CBC05-E4FF-4E4C-B50D-9A2F4DB9F6AD}"/>
    <cellStyle name="Migliaia 34 3 8 2 3" xfId="44662" xr:uid="{84C64998-0A9F-4B1E-A577-BA470E47C5B2}"/>
    <cellStyle name="Migliaia 34 3 8 3" xfId="36788" xr:uid="{A35A7927-B8FD-45C5-9DE5-531BBA882A95}"/>
    <cellStyle name="Migliaia 34 3 8 4" xfId="42011" xr:uid="{E4B6669C-5B89-4846-B41A-0303F740DE0E}"/>
    <cellStyle name="Migliaia 34 3 8 5" xfId="24804" xr:uid="{B22E6DE4-B80D-418B-8B85-C866402007EB}"/>
    <cellStyle name="Migliaia 34 3 8 6" xfId="17346" xr:uid="{BC0553A9-D722-4D23-A53F-7F31B523727A}"/>
    <cellStyle name="Migliaia 34 3 9" xfId="20429" xr:uid="{F9B49BA6-AB9A-41D0-AF52-460C6B28F6D7}"/>
    <cellStyle name="Migliaia 34 4" xfId="1793" xr:uid="{00000000-0005-0000-0000-0000B8030000}"/>
    <cellStyle name="Migliaia 34 4 2" xfId="1794" xr:uid="{00000000-0005-0000-0000-0000B9030000}"/>
    <cellStyle name="Migliaia 34 4 2 2" xfId="5273" xr:uid="{5391FA8B-CCCE-4A27-B416-630FF6B5EAD3}"/>
    <cellStyle name="Migliaia 34 4 2 2 2" xfId="33850" xr:uid="{84C26CB8-E899-4EDB-A5BC-CAA37790EF5E}"/>
    <cellStyle name="Migliaia 34 4 2 2 2 2" xfId="39361" xr:uid="{4E7EEAAF-289B-4714-B349-04605BF5D887}"/>
    <cellStyle name="Migliaia 34 4 2 2 2 3" xfId="44663" xr:uid="{B31A905B-71AD-451E-8B8F-46E0E52ED655}"/>
    <cellStyle name="Migliaia 34 4 2 2 3" xfId="36789" xr:uid="{33E6111D-748B-4EC3-AAEF-FAEA5B979CBE}"/>
    <cellStyle name="Migliaia 34 4 2 2 4" xfId="42012" xr:uid="{9F1D7BAC-8A4C-4537-80C9-D798519CB697}"/>
    <cellStyle name="Migliaia 34 4 2 2 5" xfId="9162" xr:uid="{E3CE6559-1214-4F94-890C-EF728F969A4A}"/>
    <cellStyle name="Migliaia 34 4 2 3" xfId="3547" xr:uid="{33F31E3C-F248-4D8E-A31F-6F0760878D8B}"/>
    <cellStyle name="Migliaia 34 4 2 3 2" xfId="33851" xr:uid="{5EBBF73D-3C7A-4AA0-BAA6-86D74BD75981}"/>
    <cellStyle name="Migliaia 34 4 2 3 2 2" xfId="39362" xr:uid="{8C036DB8-F0E7-4BA4-98CE-9B30F45DDE57}"/>
    <cellStyle name="Migliaia 34 4 2 3 2 3" xfId="44664" xr:uid="{C7F8BD96-9ED5-4A21-B69D-F3836BC58B17}"/>
    <cellStyle name="Migliaia 34 4 2 3 3" xfId="36790" xr:uid="{C85BF1E0-A5CF-4AD9-A3F3-0630821947E2}"/>
    <cellStyle name="Migliaia 34 4 2 3 4" xfId="42013" xr:uid="{75C0BE7B-6624-4A4F-84B9-AF65475E609A}"/>
    <cellStyle name="Migliaia 34 4 2 3 5" xfId="11997" xr:uid="{E6846BA7-1937-423E-B06C-8A3B578FA1F2}"/>
    <cellStyle name="Migliaia 34 4 2 4" xfId="11346" xr:uid="{E85F6D33-1B87-4320-966E-52A3B7BF545A}"/>
    <cellStyle name="Migliaia 34 4 2 5" xfId="10871" xr:uid="{627096E7-DA7F-4AEE-A1A0-A888A86A8291}"/>
    <cellStyle name="Migliaia 34 4 2 5 2" xfId="21506" xr:uid="{1D4FC610-7416-4C28-ACED-7BCE74C01236}"/>
    <cellStyle name="Migliaia 34 4 2 5 3" xfId="47702" xr:uid="{F8DAA392-5F7D-427B-A8BC-384B57BA99A3}"/>
    <cellStyle name="Migliaia 34 4 2 5 4" xfId="50521" xr:uid="{C4A81215-A68B-4A93-A2C2-D5F2DD0D2A3A}"/>
    <cellStyle name="Migliaia 34 4 2 5 5" xfId="53537" xr:uid="{B5A27F39-2F77-4E96-85E1-2A6BE4A9FBC2}"/>
    <cellStyle name="Migliaia 34 4 2 6" xfId="20440" xr:uid="{40769D0C-50F0-4040-A324-1A0E75742250}"/>
    <cellStyle name="Migliaia 34 4 2 7" xfId="24806" xr:uid="{A0654325-793C-4567-B919-5D52DB24909D}"/>
    <cellStyle name="Migliaia 34 4 2 8" xfId="8646" xr:uid="{F1217321-02C0-4EFF-BD9C-99EE931985DD}"/>
    <cellStyle name="Migliaia 34 4 3" xfId="5272" xr:uid="{F58C1C99-F4DD-4E60-8F93-4974E52AE550}"/>
    <cellStyle name="Migliaia 34 4 3 2" xfId="18217" xr:uid="{B601B266-9DB2-4CA3-B932-326C4225128C}"/>
    <cellStyle name="Migliaia 34 4 3 2 2" xfId="39363" xr:uid="{EF68D26A-973F-4FA2-988C-D657800B6F3D}"/>
    <cellStyle name="Migliaia 34 4 3 2 3" xfId="44665" xr:uid="{F5846DD8-602A-4C75-9CBE-4AC2897E0B69}"/>
    <cellStyle name="Migliaia 34 4 3 3" xfId="36791" xr:uid="{D6DCD062-A080-4126-9F68-B22FB94A0859}"/>
    <cellStyle name="Migliaia 34 4 3 4" xfId="42014" xr:uid="{AB73069F-921A-4ACD-A6E1-4A31726C1F54}"/>
    <cellStyle name="Migliaia 34 4 3 5" xfId="17344" xr:uid="{F8D7C94E-519C-49D5-9F2D-10484D287BD1}"/>
    <cellStyle name="Migliaia 34 4 3 6" xfId="9163" xr:uid="{ACB0D9A2-40D3-4AAA-87FB-D1CEB8179BA2}"/>
    <cellStyle name="Migliaia 34 4 4" xfId="6469" xr:uid="{29789B69-C4F4-47EF-BD01-49ABC9CB3BE2}"/>
    <cellStyle name="Migliaia 34 4 4 2" xfId="33852" xr:uid="{2F214897-9605-4373-B882-C77388CC1CBA}"/>
    <cellStyle name="Migliaia 34 4 4 2 2" xfId="39364" xr:uid="{8C60D851-BAB9-4C1C-9094-0B716CEE5B28}"/>
    <cellStyle name="Migliaia 34 4 4 2 3" xfId="44666" xr:uid="{35BA1DBC-641C-4210-8EED-0F316B8F3FC3}"/>
    <cellStyle name="Migliaia 34 4 4 3" xfId="36792" xr:uid="{F93212A6-F4AD-407F-AAD4-BE02321C75D4}"/>
    <cellStyle name="Migliaia 34 4 4 4" xfId="42015" xr:uid="{4CB15664-3A9C-43CC-9F86-CA54C03E12C0}"/>
    <cellStyle name="Migliaia 34 4 4 5" xfId="11998" xr:uid="{F4DC939B-61D1-460A-AFCC-4840A74DA373}"/>
    <cellStyle name="Migliaia 34 4 5" xfId="3546" xr:uid="{81D3CF87-D62C-4876-ACCA-C9D26F849ED0}"/>
    <cellStyle name="Migliaia 34 4 5 2" xfId="33853" xr:uid="{9EA19D63-A199-4E7E-B0FC-1F132C2B779E}"/>
    <cellStyle name="Migliaia 34 4 5 2 2" xfId="39365" xr:uid="{8927EE17-0BFE-48CC-A1F3-865A77B13F88}"/>
    <cellStyle name="Migliaia 34 4 5 2 3" xfId="44667" xr:uid="{49D2E71A-F853-43FA-BD5B-D795DC392F96}"/>
    <cellStyle name="Migliaia 34 4 5 3" xfId="36793" xr:uid="{30E6F94C-990A-46E0-9109-2B0DB7D51BC2}"/>
    <cellStyle name="Migliaia 34 4 5 4" xfId="42016" xr:uid="{F078B4DC-01DC-4BFB-B5A4-289E10702745}"/>
    <cellStyle name="Migliaia 34 4 5 5" xfId="11345" xr:uid="{ECCA064D-EA1E-41B8-A0D0-B2E584416671}"/>
    <cellStyle name="Migliaia 34 4 6" xfId="10870" xr:uid="{1EB1A9D5-4196-4A20-B54F-D506EC75491F}"/>
    <cellStyle name="Migliaia 34 4 6 2" xfId="21505" xr:uid="{896EB573-E6D5-4815-B88A-CF8197FDC8B1}"/>
    <cellStyle name="Migliaia 34 4 6 2 2" xfId="39366" xr:uid="{E4670957-597A-465A-8130-6CE316515FC6}"/>
    <cellStyle name="Migliaia 34 4 6 2 3" xfId="44668" xr:uid="{026EDA96-940A-4F38-87B6-00D159EDEDB6}"/>
    <cellStyle name="Migliaia 34 4 6 2 4" xfId="33854" xr:uid="{C6705C1E-07F1-4181-8021-7A2ACFF07569}"/>
    <cellStyle name="Migliaia 34 4 6 3" xfId="36794" xr:uid="{402D2CDA-98BF-4FC3-9410-32F7FEFBE52C}"/>
    <cellStyle name="Migliaia 34 4 6 4" xfId="42017" xr:uid="{3F570073-3D61-4AFB-B3E0-590058B82241}"/>
    <cellStyle name="Migliaia 34 4 6 5" xfId="24807" xr:uid="{60E49C58-AE5E-4F6B-98DC-B64EF5C0BE8C}"/>
    <cellStyle name="Migliaia 34 4 6 6" xfId="48546" xr:uid="{58C9EA80-CE6C-423F-A2BD-C288A699A3C1}"/>
    <cellStyle name="Migliaia 34 4 6 7" xfId="50520" xr:uid="{872BF59A-1469-4EB4-8B5B-C700E08D9352}"/>
    <cellStyle name="Migliaia 34 4 6 8" xfId="53536" xr:uid="{024ED4E2-FE0D-4E0F-BE4D-644A114B8839}"/>
    <cellStyle name="Migliaia 34 4 7" xfId="20439" xr:uid="{0A57AFF0-A2C7-40E9-9CA3-3CDD7C98FD7A}"/>
    <cellStyle name="Migliaia 34 4 7 2" xfId="33855" xr:uid="{2505402E-5558-4DAB-BE51-58C306CE756B}"/>
    <cellStyle name="Migliaia 34 4 7 2 2" xfId="39367" xr:uid="{960107BF-C979-4464-BA1F-EF837CE2299F}"/>
    <cellStyle name="Migliaia 34 4 7 2 3" xfId="44669" xr:uid="{A7E2FC78-F031-4A0E-8128-60070394E19B}"/>
    <cellStyle name="Migliaia 34 4 7 3" xfId="36795" xr:uid="{9327EE45-6761-4575-B742-B9E23DCB93F3}"/>
    <cellStyle name="Migliaia 34 4 7 4" xfId="42018" xr:uid="{79AAEF4A-3F74-4D46-8934-F0D6BED353A2}"/>
    <cellStyle name="Migliaia 34 4 7 5" xfId="24808" xr:uid="{FC79501C-E198-48D0-AE63-5458490B8F19}"/>
    <cellStyle name="Migliaia 34 4 8" xfId="24805" xr:uid="{C83230BF-4999-4048-B3ED-96940BF0296A}"/>
    <cellStyle name="Migliaia 34 4 9" xfId="7456" xr:uid="{5E5E2F25-05D7-4F73-A3C9-50B3C056EE65}"/>
    <cellStyle name="Migliaia 34 5" xfId="1795" xr:uid="{00000000-0005-0000-0000-0000BA030000}"/>
    <cellStyle name="Migliaia 34 5 2" xfId="5274" xr:uid="{FBE8A5E5-C5E3-442B-A100-B86B1FA38481}"/>
    <cellStyle name="Migliaia 34 5 2 2" xfId="18445" xr:uid="{73FCA4F5-68D7-4EB1-9D24-C163B086290A}"/>
    <cellStyle name="Migliaia 34 5 2 2 2" xfId="39368" xr:uid="{837DF480-0B5C-4CBA-8CCB-C8CE7417C69E}"/>
    <cellStyle name="Migliaia 34 5 2 2 3" xfId="44670" xr:uid="{CCA8F51A-86EB-488E-978D-3A8E0ED916F9}"/>
    <cellStyle name="Migliaia 34 5 2 3" xfId="20442" xr:uid="{1A0C170F-9366-48B7-A8E1-E00D6990F980}"/>
    <cellStyle name="Migliaia 34 5 2 3 2" xfId="36796" xr:uid="{22F7BF89-A54F-4831-AE48-E60000958DD8}"/>
    <cellStyle name="Migliaia 34 5 2 4" xfId="42019" xr:uid="{AFA51853-41D0-4057-9324-10F8AFAFA7B4}"/>
    <cellStyle name="Migliaia 34 5 2 5" xfId="16438" xr:uid="{67CF872E-BBFB-4CFC-B250-5CCC5997D79D}"/>
    <cellStyle name="Migliaia 34 5 2 6" xfId="8647" xr:uid="{582F8BF8-9EDA-4161-8A15-5F4973BA855C}"/>
    <cellStyle name="Migliaia 34 5 3" xfId="6470" xr:uid="{D2875655-9A19-49BD-B7D3-E1CC7EC27C6D}"/>
    <cellStyle name="Migliaia 34 5 3 2" xfId="33856" xr:uid="{EF018503-C136-4280-BB74-CA79967786B5}"/>
    <cellStyle name="Migliaia 34 5 3 2 2" xfId="39369" xr:uid="{C479B8E4-BE4E-4CB5-BE21-BD30C62FBFE6}"/>
    <cellStyle name="Migliaia 34 5 3 2 3" xfId="44671" xr:uid="{FB2256B8-115A-45F2-9AB9-DA80CB154DAD}"/>
    <cellStyle name="Migliaia 34 5 3 3" xfId="36797" xr:uid="{D4EE71CD-1841-453B-A080-AE7E36DC8983}"/>
    <cellStyle name="Migliaia 34 5 3 4" xfId="42020" xr:uid="{50AF2744-1AB0-4BD4-9C85-72CC813A75D7}"/>
    <cellStyle name="Migliaia 34 5 3 5" xfId="11347" xr:uid="{24C449A1-69B2-42C3-8CE9-24F441C3219D}"/>
    <cellStyle name="Migliaia 34 5 4" xfId="3548" xr:uid="{D194646A-0E18-4E1A-8E48-D1437967D5B9}"/>
    <cellStyle name="Migliaia 34 5 4 2" xfId="21507" xr:uid="{30AF8E55-AC3F-4E48-AD6F-9E1082B5DF88}"/>
    <cellStyle name="Migliaia 34 5 4 2 2" xfId="39370" xr:uid="{08599CC6-4156-42BF-8D81-541ECCF74432}"/>
    <cellStyle name="Migliaia 34 5 4 2 3" xfId="44672" xr:uid="{1BF43E0C-233D-4FE8-B289-0F839FCC50EE}"/>
    <cellStyle name="Migliaia 34 5 4 2 4" xfId="33857" xr:uid="{D89413F6-EE2E-4A7D-9344-206EAF605C25}"/>
    <cellStyle name="Migliaia 34 5 4 3" xfId="36798" xr:uid="{51CF0855-8537-42C6-B18F-E6290EF31F0C}"/>
    <cellStyle name="Migliaia 34 5 4 4" xfId="42021" xr:uid="{4471DEA9-9AB9-4286-840E-64E776061940}"/>
    <cellStyle name="Migliaia 34 5 4 5" xfId="24810" xr:uid="{D9E0AA1B-170F-4F29-862B-1B18434861BC}"/>
    <cellStyle name="Migliaia 34 5 4 6" xfId="48238" xr:uid="{3AED3827-8653-4447-A121-555051684A36}"/>
    <cellStyle name="Migliaia 34 5 4 7" xfId="50522" xr:uid="{7D9C6CA9-0BA8-421F-A9BB-2867F92C3225}"/>
    <cellStyle name="Migliaia 34 5 4 8" xfId="53538" xr:uid="{5B5CA80A-471A-49C9-8B0A-D87253997A30}"/>
    <cellStyle name="Migliaia 34 5 4 9" xfId="10872" xr:uid="{A60D6AB7-87E6-4BC8-82F4-9E3CE7CC67D7}"/>
    <cellStyle name="Migliaia 34 5 5" xfId="20441" xr:uid="{ADF42C51-FFCE-4A80-A81E-B468A120EFF5}"/>
    <cellStyle name="Migliaia 34 5 5 2" xfId="33858" xr:uid="{2F2532C1-F7D0-4530-8AB9-072D421373E2}"/>
    <cellStyle name="Migliaia 34 5 5 2 2" xfId="39371" xr:uid="{E6618587-1B54-4BE0-B232-B8D51D6BADD0}"/>
    <cellStyle name="Migliaia 34 5 5 2 3" xfId="44673" xr:uid="{204AA2F5-FE1D-4221-8457-AEC08DF5031D}"/>
    <cellStyle name="Migliaia 34 5 5 3" xfId="36799" xr:uid="{54F37523-E72A-45FA-A64A-39800B351710}"/>
    <cellStyle name="Migliaia 34 5 5 4" xfId="42022" xr:uid="{75820485-45AD-44C7-8599-752AECD29073}"/>
    <cellStyle name="Migliaia 34 5 5 5" xfId="24811" xr:uid="{F515760E-185C-4A9A-8968-008DCCA26C71}"/>
    <cellStyle name="Migliaia 34 5 6" xfId="24812" xr:uid="{5055A003-72C5-4BB0-A97D-28F5D61B5742}"/>
    <cellStyle name="Migliaia 34 5 6 2" xfId="33859" xr:uid="{D3E9C3D3-13BC-4A24-A8A7-47A190F3A64B}"/>
    <cellStyle name="Migliaia 34 5 6 2 2" xfId="39372" xr:uid="{0592D6C3-18C5-4A01-B1CD-04F5230C0304}"/>
    <cellStyle name="Migliaia 34 5 6 2 3" xfId="44674" xr:uid="{63628A63-B1A6-4716-8108-969475FD23DF}"/>
    <cellStyle name="Migliaia 34 5 6 3" xfId="36800" xr:uid="{083B3618-2270-4178-80A1-584A46BA2839}"/>
    <cellStyle name="Migliaia 34 5 6 4" xfId="42023" xr:uid="{187DF888-623F-43FD-99C9-22F84A14FF34}"/>
    <cellStyle name="Migliaia 34 5 7" xfId="24809" xr:uid="{957807A6-2521-49E2-9739-0880E568826C}"/>
    <cellStyle name="Migliaia 34 5 8" xfId="7457" xr:uid="{4DF1E9CC-A6CD-423B-953B-719E488E7034}"/>
    <cellStyle name="Migliaia 34 6" xfId="3549" xr:uid="{A4050135-B0DE-4841-AB5C-AC54FF248931}"/>
    <cellStyle name="Migliaia 34 6 2" xfId="5275" xr:uid="{2B418228-5F27-43B2-B33C-0C35450C61D9}"/>
    <cellStyle name="Migliaia 34 6 2 2" xfId="9935" xr:uid="{812A7DF7-9F4D-49A3-9CD7-7860D53FDB07}"/>
    <cellStyle name="Migliaia 34 6 2 3" xfId="18653" xr:uid="{AE4187EB-D8EE-4F1F-9957-C97D02512D16}"/>
    <cellStyle name="Migliaia 34 6 2 4" xfId="20444" xr:uid="{EA91DEE0-77F3-4087-87E6-40394CA30DF0}"/>
    <cellStyle name="Migliaia 34 6 2 5" xfId="32386" xr:uid="{0C924C2C-0A87-40A3-85F4-C1DF474B4F95}"/>
    <cellStyle name="Migliaia 34 6 2 6" xfId="16440" xr:uid="{34EEBBCA-AD96-45A9-B0BB-089BCDEE895F}"/>
    <cellStyle name="Migliaia 34 6 2 7" xfId="8642" xr:uid="{2E7B403C-8E52-49D3-A871-A9FA3FFF883F}"/>
    <cellStyle name="Migliaia 34 6 3" xfId="6471" xr:uid="{C9CA7FC3-6BC4-49BE-9E41-E066AEB410A7}"/>
    <cellStyle name="Migliaia 34 6 3 2" xfId="35316" xr:uid="{0F0EC4F0-EB03-4296-9ABA-3FE4CFC8F351}"/>
    <cellStyle name="Migliaia 34 6 3 2 2" xfId="40476" xr:uid="{DB9A956E-C1FC-4634-95CF-69289B229B07}"/>
    <cellStyle name="Migliaia 34 6 3 2 3" xfId="45778" xr:uid="{C701858A-C87C-4BC6-BBF9-E56118BA7EE7}"/>
    <cellStyle name="Migliaia 34 6 3 3" xfId="37825" xr:uid="{9741F9B9-6DFB-4192-80A9-648318E32CF9}"/>
    <cellStyle name="Migliaia 34 6 3 4" xfId="43127" xr:uid="{02D55158-EC9A-423B-8D94-72FB9F46CA50}"/>
    <cellStyle name="Migliaia 34 6 3 5" xfId="9698" xr:uid="{B0E61DAD-A9BA-4FEA-ABC1-38A2B0AB66A1}"/>
    <cellStyle name="Migliaia 34 6 4" xfId="20443" xr:uid="{C6A76169-8CD5-47D1-858C-0E4E3EF96186}"/>
    <cellStyle name="Migliaia 34 6 4 2" xfId="39373" xr:uid="{27DD12C1-57E9-4C0A-843E-276A9D2898B9}"/>
    <cellStyle name="Migliaia 34 6 4 3" xfId="44675" xr:uid="{440719D0-BF0F-4B7D-85EB-FF19F75F9424}"/>
    <cellStyle name="Migliaia 34 6 4 4" xfId="33860" xr:uid="{5A37D7A2-5C53-408C-BE04-85535DEFB90B}"/>
    <cellStyle name="Migliaia 34 6 5" xfId="36801" xr:uid="{3EFFC2C1-C485-4F35-8C40-1E570BBA1340}"/>
    <cellStyle name="Migliaia 34 6 6" xfId="42024" xr:uid="{B5AFAA31-1074-4E46-B6DF-9A8D29FA53ED}"/>
    <cellStyle name="Migliaia 34 6 7" xfId="16439" xr:uid="{6ABD409D-9B29-4164-B77F-B207EB2A2A7F}"/>
    <cellStyle name="Migliaia 34 6 8" xfId="7452" xr:uid="{6E7A8FF3-4B21-42BC-B706-A3B34A64CC37}"/>
    <cellStyle name="Migliaia 34 7" xfId="3550" xr:uid="{A05EB219-69C9-4C79-B9AE-C21992F1CF7C}"/>
    <cellStyle name="Migliaia 34 7 2" xfId="5276" xr:uid="{A4414389-45DD-4A9C-A288-350F9D91AA13}"/>
    <cellStyle name="Migliaia 34 7 2 2" xfId="35317" xr:uid="{6486D916-657C-4F91-A8D1-4534C0091EA5}"/>
    <cellStyle name="Migliaia 34 7 2 2 2" xfId="40477" xr:uid="{8C3BEE34-EBA2-480A-AD59-F16E9328F56C}"/>
    <cellStyle name="Migliaia 34 7 2 2 3" xfId="45779" xr:uid="{80C296EA-E357-4176-ABDA-E840D2D7B9FD}"/>
    <cellStyle name="Migliaia 34 7 2 3" xfId="37826" xr:uid="{E28F8DC9-5FAA-4453-B2B8-882F4E06519E}"/>
    <cellStyle name="Migliaia 34 7 2 4" xfId="43128" xr:uid="{D6DD0DB1-1FA7-46CE-B406-C2B7E5840C8A}"/>
    <cellStyle name="Migliaia 34 7 2 5" xfId="14260" xr:uid="{F9A61114-7A1A-4AF1-B856-5A5870CEB3E1}"/>
    <cellStyle name="Migliaia 34 7 3" xfId="6472" xr:uid="{98CCE90A-9C92-410C-84D8-08EC10B6E0C5}"/>
    <cellStyle name="Migliaia 34 7 3 2" xfId="39374" xr:uid="{006476AB-E71F-479C-96D6-D988AD6BC7FA}"/>
    <cellStyle name="Migliaia 34 7 3 3" xfId="44676" xr:uid="{0E5D9334-C3D7-4562-856E-1FD702647FCB}"/>
    <cellStyle name="Migliaia 34 7 3 4" xfId="33861" xr:uid="{DA1B4B09-566C-4033-BD7E-CE3944129414}"/>
    <cellStyle name="Migliaia 34 7 3 5" xfId="20445" xr:uid="{527DAD53-96DB-4931-9960-9DDAE78F9364}"/>
    <cellStyle name="Migliaia 34 7 4" xfId="36802" xr:uid="{E006328D-AF35-4666-84CB-A76795D64814}"/>
    <cellStyle name="Migliaia 34 7 5" xfId="42025" xr:uid="{2FB1333E-5EF3-4741-B3DE-B422AC22DCD6}"/>
    <cellStyle name="Migliaia 34 7 6" xfId="16441" xr:uid="{3B639952-A3AA-43C0-9478-36DF6B2031B8}"/>
    <cellStyle name="Migliaia 34 7 7" xfId="8322" xr:uid="{14277FB3-B855-469E-8ABA-FCF71B7CDF50}"/>
    <cellStyle name="Migliaia 34 8" xfId="3551" xr:uid="{2516E43D-BD86-4BF0-AF11-AE0FECD83967}"/>
    <cellStyle name="Migliaia 34 8 2" xfId="5277" xr:uid="{BA21AC21-14EC-4A6C-A371-5BE7F2FB1F33}"/>
    <cellStyle name="Migliaia 34 8 2 2" xfId="35318" xr:uid="{8FFD30DB-DD10-435D-9292-EA5BD49BA11A}"/>
    <cellStyle name="Migliaia 34 8 2 2 2" xfId="40478" xr:uid="{6A94FB3C-D2C6-4F40-9EB7-9494203B2C2B}"/>
    <cellStyle name="Migliaia 34 8 2 2 3" xfId="45780" xr:uid="{B10BB6C6-9B11-44D3-9D51-BA63D5C56807}"/>
    <cellStyle name="Migliaia 34 8 2 3" xfId="37827" xr:uid="{5BA62EEF-2E7C-492D-8950-3C98A3A6C9F9}"/>
    <cellStyle name="Migliaia 34 8 2 4" xfId="43129" xr:uid="{E96616A9-2C47-44D0-ADDD-A87F6B3840AD}"/>
    <cellStyle name="Migliaia 34 8 2 5" xfId="13965" xr:uid="{B2A47B36-ECA9-4E26-A8EB-FFA3BBAEDCAD}"/>
    <cellStyle name="Migliaia 34 8 3" xfId="6473" xr:uid="{9E733782-29FA-4D3A-9EEE-21832632F75D}"/>
    <cellStyle name="Migliaia 34 8 3 2" xfId="39375" xr:uid="{05F259BC-6FDB-480A-BB01-CFFE3098DC45}"/>
    <cellStyle name="Migliaia 34 8 3 3" xfId="44677" xr:uid="{CC5B50BE-73BE-4DA8-A51A-C5A437A5056E}"/>
    <cellStyle name="Migliaia 34 8 3 4" xfId="33862" xr:uid="{77397314-765B-4986-9AA6-15256AE124FB}"/>
    <cellStyle name="Migliaia 34 8 3 5" xfId="20446" xr:uid="{E7154CE7-4EFC-485F-A879-048DE4206689}"/>
    <cellStyle name="Migliaia 34 8 4" xfId="36803" xr:uid="{D1609BC7-5BBE-4D0B-B2F1-CFBA0F7DF2F7}"/>
    <cellStyle name="Migliaia 34 8 5" xfId="42026" xr:uid="{F85460A4-3526-4CB7-899D-CEB57BEA37BF}"/>
    <cellStyle name="Migliaia 34 8 6" xfId="16442" xr:uid="{58F8F101-F3CF-44D8-8B2E-0C6E05B8C199}"/>
    <cellStyle name="Migliaia 34 8 7" xfId="7930" xr:uid="{863A9140-ED79-47AA-B544-ADF83C677FBD}"/>
    <cellStyle name="Migliaia 34 9" xfId="5262" xr:uid="{07A759CF-0333-432A-A54E-E9C8E9254EEE}"/>
    <cellStyle name="Migliaia 34 9 2" xfId="33863" xr:uid="{1FF04FB2-5B2E-4722-BCA2-D15A906173E9}"/>
    <cellStyle name="Migliaia 34 9 2 2" xfId="39376" xr:uid="{E4B7D7A2-5C68-42CB-90E1-7108D454F686}"/>
    <cellStyle name="Migliaia 34 9 2 3" xfId="44678" xr:uid="{F64D7F0E-239F-48F6-B276-31F100E0B81B}"/>
    <cellStyle name="Migliaia 34 9 3" xfId="36804" xr:uid="{6F72162D-D305-4909-9C24-C2E804D43691}"/>
    <cellStyle name="Migliaia 34 9 4" xfId="42027" xr:uid="{0E3A3ACB-BB53-455D-B052-1572AAF3E1E4}"/>
    <cellStyle name="Migliaia 34 9 5" xfId="17189" xr:uid="{90494DE3-0DE7-4561-952B-8C74B3B3C7AB}"/>
    <cellStyle name="Migliaia 35" xfId="413" xr:uid="{00000000-0005-0000-0000-0000BB030000}"/>
    <cellStyle name="Migliaia 35 10" xfId="6474" xr:uid="{5E8EE2AD-923A-4CF6-A96C-388B3E81A18C}"/>
    <cellStyle name="Migliaia 35 10 2" xfId="39377" xr:uid="{77F5B681-A036-401C-94DC-00A325914524}"/>
    <cellStyle name="Migliaia 35 10 3" xfId="44679" xr:uid="{762C4F49-7876-4D7C-AA32-3DDB0F2921D7}"/>
    <cellStyle name="Migliaia 35 10 4" xfId="33864" xr:uid="{7791F643-8398-43B4-A86D-B064C7575E03}"/>
    <cellStyle name="Migliaia 35 10 5" xfId="20447" xr:uid="{BC855C4C-046F-493C-9C82-0F6BE05AF98F}"/>
    <cellStyle name="Migliaia 35 11" xfId="3552" xr:uid="{A2C4153E-04F0-4796-8878-0E68B1BA565A}"/>
    <cellStyle name="Migliaia 35 11 2" xfId="36805" xr:uid="{55034F17-FF7E-41A2-9E81-DFD8AE51DF86}"/>
    <cellStyle name="Migliaia 35 12" xfId="42028" xr:uid="{1B6D8A76-7966-4E71-8AA5-971DD5888893}"/>
    <cellStyle name="Migliaia 35 13" xfId="7126" xr:uid="{EC694870-57D8-4C1B-922E-8F51E88F455B}"/>
    <cellStyle name="Migliaia 35 2" xfId="414" xr:uid="{00000000-0005-0000-0000-0000BC030000}"/>
    <cellStyle name="Migliaia 35 2 2" xfId="1796" xr:uid="{00000000-0005-0000-0000-0000BD030000}"/>
    <cellStyle name="Migliaia 35 2 2 2" xfId="5280" xr:uid="{D91C8997-071C-402F-AF4F-87F3AD810429}"/>
    <cellStyle name="Migliaia 35 2 2 2 2" xfId="14391" xr:uid="{DE1DD194-BCFC-4AEB-98DA-613C35801332}"/>
    <cellStyle name="Migliaia 35 2 2 2 2 2" xfId="39378" xr:uid="{963EC4AB-CED9-4395-BDE0-329DB5991940}"/>
    <cellStyle name="Migliaia 35 2 2 2 2 3" xfId="44680" xr:uid="{D48753D4-D467-4EE3-A285-BC5A2E354C2E}"/>
    <cellStyle name="Migliaia 35 2 2 2 3" xfId="18446" xr:uid="{3B843E64-D2DE-437B-B670-31F51D071EE5}"/>
    <cellStyle name="Migliaia 35 2 2 2 4" xfId="20450" xr:uid="{50AF5A35-589B-4B25-AEC0-0AED425C3373}"/>
    <cellStyle name="Migliaia 35 2 2 2 4 2" xfId="42029" xr:uid="{008B3FD9-9F2C-440C-895E-049EBB362721}"/>
    <cellStyle name="Migliaia 35 2 2 2 5" xfId="16443" xr:uid="{44FEEC91-A898-49B9-AE64-7CC32F9001B2}"/>
    <cellStyle name="Migliaia 35 2 2 2 6" xfId="8649" xr:uid="{9B86FB4E-E1BA-4BA2-B374-773F5769F823}"/>
    <cellStyle name="Migliaia 35 2 2 3" xfId="6476" xr:uid="{796E9B4A-A2C7-4A9C-8086-73D6DA79EDC3}"/>
    <cellStyle name="Migliaia 35 2 2 3 2" xfId="35319" xr:uid="{2D908C5E-75B5-469F-BE92-3ABEF472707F}"/>
    <cellStyle name="Migliaia 35 2 2 3 2 2" xfId="40479" xr:uid="{3674F48D-65B5-457C-B375-6EEBE409431B}"/>
    <cellStyle name="Migliaia 35 2 2 3 2 3" xfId="45781" xr:uid="{F4B78F88-D503-4356-B3B9-A10634FDB62A}"/>
    <cellStyle name="Migliaia 35 2 2 3 3" xfId="37828" xr:uid="{83B6F494-728B-403E-B8F3-F45AC06C591F}"/>
    <cellStyle name="Migliaia 35 2 2 3 4" xfId="43130" xr:uid="{FF77F690-B945-4920-9F2E-041D64238794}"/>
    <cellStyle name="Migliaia 35 2 2 3 5" xfId="11618" xr:uid="{8FCB09D0-A3B7-4A57-8D5B-5349CC487A6C}"/>
    <cellStyle name="Migliaia 35 2 2 4" xfId="3554" xr:uid="{7611F970-05F1-425C-8D02-A0B4B1BC6A6F}"/>
    <cellStyle name="Migliaia 35 2 2 4 2" xfId="21508" xr:uid="{E5A19F52-45F3-4AA8-B4F8-22F16C6EE589}"/>
    <cellStyle name="Migliaia 35 2 2 4 3" xfId="46247" xr:uid="{7B4FE4D4-C946-473B-B0DE-D4393F0554C7}"/>
    <cellStyle name="Migliaia 35 2 2 4 4" xfId="50523" xr:uid="{C9F7D22D-2B9C-48F8-AC64-E405D1993D83}"/>
    <cellStyle name="Migliaia 35 2 2 4 5" xfId="53539" xr:uid="{216627CB-4D3A-4335-A773-972D323D4426}"/>
    <cellStyle name="Migliaia 35 2 2 4 6" xfId="10873" xr:uid="{387FB7EC-BF04-41E4-B248-9D4C894D7615}"/>
    <cellStyle name="Migliaia 35 2 2 5" xfId="20449" xr:uid="{644D77EF-BDDB-48AE-876E-C9E1E1BBEFA1}"/>
    <cellStyle name="Migliaia 35 2 2 6" xfId="24814" xr:uid="{8C315959-E40A-4BE9-A1FA-6CC62F6F1466}"/>
    <cellStyle name="Migliaia 35 2 2 7" xfId="7459" xr:uid="{3705F4ED-DB67-4D88-9819-A4A6E9F00150}"/>
    <cellStyle name="Migliaia 35 2 3" xfId="3555" xr:uid="{735A83D0-CBDF-4667-901D-3E1301A0BA73}"/>
    <cellStyle name="Migliaia 35 2 3 2" xfId="5281" xr:uid="{9583A51E-53EF-48B4-A43F-397081413C15}"/>
    <cellStyle name="Migliaia 35 2 3 2 2" xfId="35320" xr:uid="{41E6C18E-D620-44CC-B461-1D8C1269134F}"/>
    <cellStyle name="Migliaia 35 2 3 2 2 2" xfId="40480" xr:uid="{57495D87-6532-4F30-AFF1-EF7838DB0F23}"/>
    <cellStyle name="Migliaia 35 2 3 2 2 3" xfId="45782" xr:uid="{84C60893-A05F-43BE-AC31-6F6393A51863}"/>
    <cellStyle name="Migliaia 35 2 3 2 3" xfId="37829" xr:uid="{7E067611-536E-4F64-B501-2283FAA325A0}"/>
    <cellStyle name="Migliaia 35 2 3 2 4" xfId="43131" xr:uid="{D79B66AD-8031-474D-A569-9B4B2A1332FF}"/>
    <cellStyle name="Migliaia 35 2 3 2 5" xfId="14264" xr:uid="{B3141938-EEBD-418B-BD63-2F9EF3984C86}"/>
    <cellStyle name="Migliaia 35 2 3 3" xfId="6477" xr:uid="{E4706E82-4662-47FE-8449-97DC14D5B5E1}"/>
    <cellStyle name="Migliaia 35 2 3 3 2" xfId="39379" xr:uid="{41607027-28E7-4CB2-A5DE-ACFDD50DDC4C}"/>
    <cellStyle name="Migliaia 35 2 3 3 3" xfId="44681" xr:uid="{4F88E875-8827-455B-8740-B274207D50D7}"/>
    <cellStyle name="Migliaia 35 2 3 3 4" xfId="33865" xr:uid="{887B5746-5A62-4337-A8F2-44D994EBE61F}"/>
    <cellStyle name="Migliaia 35 2 3 3 5" xfId="20451" xr:uid="{8213F54D-8251-479C-980C-C1F1D196407A}"/>
    <cellStyle name="Migliaia 35 2 3 4" xfId="36806" xr:uid="{48EC64E7-729B-4C4C-B31C-6E7DE9695DDD}"/>
    <cellStyle name="Migliaia 35 2 3 5" xfId="42030" xr:uid="{DE062D24-17F3-4DCC-A76A-0528F8743EC3}"/>
    <cellStyle name="Migliaia 35 2 3 6" xfId="16444" xr:uid="{B18A3EDE-5802-4429-95DC-26BBEA4B4970}"/>
    <cellStyle name="Migliaia 35 2 3 7" xfId="8326" xr:uid="{829E2E8B-2A1C-45F1-85E4-AD280DC73435}"/>
    <cellStyle name="Migliaia 35 2 4" xfId="5279" xr:uid="{0A098892-74DA-46E1-A4A8-3FB79835AA39}"/>
    <cellStyle name="Migliaia 35 2 4 2" xfId="13969" xr:uid="{12BC6788-71A0-4E1D-A88F-9194B200245B}"/>
    <cellStyle name="Migliaia 35 2 4 2 2" xfId="39380" xr:uid="{6F1C4E3E-46A2-4129-8B90-63A9ED13882E}"/>
    <cellStyle name="Migliaia 35 2 4 2 3" xfId="44682" xr:uid="{78308EAE-CE56-4DD0-93F7-345F0BA69FBA}"/>
    <cellStyle name="Migliaia 35 2 4 3" xfId="18021" xr:uid="{2A2986B1-3265-4AFE-9CBB-B2ABC5BFF31E}"/>
    <cellStyle name="Migliaia 35 2 4 4" xfId="20452" xr:uid="{66FADBFA-0CB1-4E5D-9900-649B71215C72}"/>
    <cellStyle name="Migliaia 35 2 4 4 2" xfId="42031" xr:uid="{75E77C1E-C2E3-45B5-9957-A0D073973763}"/>
    <cellStyle name="Migliaia 35 2 4 5" xfId="16445" xr:uid="{1FD36A6C-F491-4796-A312-8BD8D4DD436F}"/>
    <cellStyle name="Migliaia 35 2 4 6" xfId="7935" xr:uid="{D7F516DA-FC9F-4EAC-B41D-6AC00F6A7973}"/>
    <cellStyle name="Migliaia 35 2 5" xfId="6475" xr:uid="{0D91610C-F8B9-4AC7-9F51-362E6C89B5A8}"/>
    <cellStyle name="Migliaia 35 2 5 2" xfId="33866" xr:uid="{B1919B6D-0210-4CE4-8764-EB18643BF6B4}"/>
    <cellStyle name="Migliaia 35 2 5 2 2" xfId="39381" xr:uid="{DA510980-66D0-4422-AD18-621962041104}"/>
    <cellStyle name="Migliaia 35 2 5 2 3" xfId="44683" xr:uid="{50F4BEC7-E25A-47E9-B001-E3AF6FB6A69A}"/>
    <cellStyle name="Migliaia 35 2 5 3" xfId="36807" xr:uid="{5D446B2F-653F-45EB-8399-F9B796E8BD95}"/>
    <cellStyle name="Migliaia 35 2 5 4" xfId="42032" xr:uid="{0BADF6A2-8CDE-454B-8C98-4DB307584EA2}"/>
    <cellStyle name="Migliaia 35 2 5 5" xfId="13131" xr:uid="{D23204D7-52DE-4242-9A10-244B754E6223}"/>
    <cellStyle name="Migliaia 35 2 6" xfId="3553" xr:uid="{BC481983-8460-4ED6-9994-A4677B75F917}"/>
    <cellStyle name="Migliaia 35 2 6 2" xfId="33867" xr:uid="{4B2051DB-3C37-4C6A-AD10-EDC71D55ACB7}"/>
    <cellStyle name="Migliaia 35 2 6 2 2" xfId="39382" xr:uid="{DD1667E6-7F94-44A5-B32E-3A3F565BCE93}"/>
    <cellStyle name="Migliaia 35 2 6 2 3" xfId="44684" xr:uid="{EA7470FC-D11A-43EA-BCBF-12A32BDE48EA}"/>
    <cellStyle name="Migliaia 35 2 6 3" xfId="36808" xr:uid="{1DBCC62E-E72F-48A8-BBAB-3ED756C7E052}"/>
    <cellStyle name="Migliaia 35 2 6 4" xfId="42033" xr:uid="{1475F5C6-435E-4951-9F2A-544C768E0A24}"/>
    <cellStyle name="Migliaia 35 2 6 5" xfId="24815" xr:uid="{4A87D500-1831-4923-BA30-E21EE51B06A4}"/>
    <cellStyle name="Migliaia 35 2 6 6" xfId="20448" xr:uid="{858602A7-6C4F-480B-B56E-32CBEB085109}"/>
    <cellStyle name="Migliaia 35 2 7" xfId="24813" xr:uid="{18892CC6-8D06-4BFD-805B-9DA30D65FB05}"/>
    <cellStyle name="Migliaia 35 2 8" xfId="7127" xr:uid="{916B2BD9-0200-4E11-8EF0-4022501C1DF8}"/>
    <cellStyle name="Migliaia 35 3" xfId="415" xr:uid="{00000000-0005-0000-0000-0000BE030000}"/>
    <cellStyle name="Migliaia 35 3 10" xfId="24816" xr:uid="{21452590-8446-4837-B102-F66C02AB105A}"/>
    <cellStyle name="Migliaia 35 3 11" xfId="16446" xr:uid="{D7BB18A7-F0AC-4048-AD1F-7B5DF6C6E44D}"/>
    <cellStyle name="Migliaia 35 3 12" xfId="7128" xr:uid="{83C77325-15F5-4BFE-AB0C-253095F91D8F}"/>
    <cellStyle name="Migliaia 35 3 2" xfId="416" xr:uid="{00000000-0005-0000-0000-0000BF030000}"/>
    <cellStyle name="Migliaia 35 3 2 2" xfId="1797" xr:uid="{00000000-0005-0000-0000-0000C0030000}"/>
    <cellStyle name="Migliaia 35 3 2 2 2" xfId="5284" xr:uid="{570125C3-CC86-4BCF-B664-273222561AEE}"/>
    <cellStyle name="Migliaia 35 3 2 2 2 2" xfId="18447" xr:uid="{D5D8A4D7-A19B-46CC-A876-40F2FF022B04}"/>
    <cellStyle name="Migliaia 35 3 2 2 2 2 2" xfId="21869" xr:uid="{C8017B47-8DCD-45F4-8DAA-A91B012C3DB1}"/>
    <cellStyle name="Migliaia 35 3 2 2 2 2 2 2" xfId="39383" xr:uid="{907AFF2E-14D8-444F-B81D-FC5944D6F427}"/>
    <cellStyle name="Migliaia 35 3 2 2 2 2 3" xfId="44685" xr:uid="{33161880-438C-418F-8821-99F5F0EE2D61}"/>
    <cellStyle name="Migliaia 35 3 2 2 2 2 4" xfId="33868" xr:uid="{0CEE0A2B-13BA-49D5-9AEA-242DACF98F1C}"/>
    <cellStyle name="Migliaia 35 3 2 2 2 3" xfId="36809" xr:uid="{80C1C054-E355-4664-A83C-462289203A52}"/>
    <cellStyle name="Migliaia 35 3 2 2 2 4" xfId="42034" xr:uid="{F14574FA-E5DE-4496-938F-A99F9B80FBF1}"/>
    <cellStyle name="Migliaia 35 3 2 2 2 5" xfId="47611" xr:uid="{A105E5D5-2331-4AC3-94A3-1EF986F26266}"/>
    <cellStyle name="Migliaia 35 3 2 2 2 6" xfId="50897" xr:uid="{7DB0F916-3032-4919-A1A5-C0214FD0B3A1}"/>
    <cellStyle name="Migliaia 35 3 2 2 2 7" xfId="53913" xr:uid="{27C3BE17-A091-4851-A91A-759EC9593483}"/>
    <cellStyle name="Migliaia 35 3 2 2 2 8" xfId="17666" xr:uid="{418A6C7D-78BC-4DE9-9E2F-C1DD436BA3F3}"/>
    <cellStyle name="Migliaia 35 3 2 2 2 9" xfId="11999" xr:uid="{F940BB75-37D5-40AE-AD2F-B05C4A2496EA}"/>
    <cellStyle name="Migliaia 35 3 2 2 3" xfId="6480" xr:uid="{9B33733F-A593-4818-8B26-09BC9DC3A15A}"/>
    <cellStyle name="Migliaia 35 3 2 2 3 2" xfId="11563" xr:uid="{3B339CFA-A29D-42C9-BD5C-5BD0E82F55CC}"/>
    <cellStyle name="Migliaia 35 3 2 2 4" xfId="3558" xr:uid="{7192D9CE-6817-4368-B7FC-DF236BCB5CC6}"/>
    <cellStyle name="Migliaia 35 3 2 2 4 2" xfId="21509" xr:uid="{3D911A51-C490-4EAB-A8DF-C717EE0F3416}"/>
    <cellStyle name="Migliaia 35 3 2 2 4 3" xfId="47601" xr:uid="{8565670B-4EF7-4612-9B7A-E3E922C90B8B}"/>
    <cellStyle name="Migliaia 35 3 2 2 4 4" xfId="50524" xr:uid="{04A2A048-FDB2-425B-A5A5-62555F8C26F8}"/>
    <cellStyle name="Migliaia 35 3 2 2 4 5" xfId="53540" xr:uid="{3FB2AB20-15E5-4B1A-BFDD-CA7AA16E7774}"/>
    <cellStyle name="Migliaia 35 3 2 2 4 6" xfId="10874" xr:uid="{71B71F1D-33E9-4D72-8B7E-99E74EEC545B}"/>
    <cellStyle name="Migliaia 35 3 2 2 5" xfId="20455" xr:uid="{A45B5FF3-5B86-4DCE-BB89-024793FBB042}"/>
    <cellStyle name="Migliaia 35 3 2 2 6" xfId="24818" xr:uid="{60210EB7-6D1A-4E9E-B84C-7AE66BF0B260}"/>
    <cellStyle name="Migliaia 35 3 2 2 7" xfId="8651" xr:uid="{B10DFE34-F218-47B8-ACA5-B36F09EA0C9C}"/>
    <cellStyle name="Migliaia 35 3 2 3" xfId="5283" xr:uid="{C3B91AD6-33D9-4309-A84F-799EAC910A24}"/>
    <cellStyle name="Migliaia 35 3 2 3 2" xfId="12409" xr:uid="{1CD74651-C857-495D-8F85-7A369AAF05CC}"/>
    <cellStyle name="Migliaia 35 3 2 3 2 2" xfId="39384" xr:uid="{F80BA1E3-30B1-4EED-902F-FD6DDD194EEA}"/>
    <cellStyle name="Migliaia 35 3 2 3 2 3" xfId="44686" xr:uid="{A2032B12-5A91-42E6-8AFE-658BE07DA04B}"/>
    <cellStyle name="Migliaia 35 3 2 3 2 4" xfId="33869" xr:uid="{E3D9FC44-827A-4156-91A0-5B3F9C4CADA4}"/>
    <cellStyle name="Migliaia 35 3 2 3 3" xfId="12000" xr:uid="{B66ECE21-0164-4001-B395-C598ECA47C22}"/>
    <cellStyle name="Migliaia 35 3 2 3 4" xfId="20456" xr:uid="{42D8B7A0-EDD9-45EF-927E-633E83ADEDD6}"/>
    <cellStyle name="Migliaia 35 3 2 3 4 2" xfId="42035" xr:uid="{5CC4829F-FCCD-47B4-ACD2-5639EAEC5673}"/>
    <cellStyle name="Migliaia 35 3 2 3 5" xfId="16447" xr:uid="{AF1DC0C5-B120-4C1F-883A-E533B503575A}"/>
    <cellStyle name="Migliaia 35 3 2 3 6" xfId="7937" xr:uid="{D33CB87E-0F77-4C8C-9356-AD038D5AA7A6}"/>
    <cellStyle name="Migliaia 35 3 2 4" xfId="6479" xr:uid="{20EC5247-241C-4755-B152-807B10BB5ABC}"/>
    <cellStyle name="Migliaia 35 3 2 4 2" xfId="18085" xr:uid="{92541FCF-4ADD-49AC-9150-99037525FB3A}"/>
    <cellStyle name="Migliaia 35 3 2 4 2 2" xfId="39385" xr:uid="{6B91AB0E-7E28-413C-9419-1B9CD721468E}"/>
    <cellStyle name="Migliaia 35 3 2 4 2 3" xfId="44687" xr:uid="{4EAAE896-CAEC-4E34-AE35-66CA9F60FCF9}"/>
    <cellStyle name="Migliaia 35 3 2 4 3" xfId="36810" xr:uid="{08C8D667-165B-4030-8DFA-226360DFA210}"/>
    <cellStyle name="Migliaia 35 3 2 4 4" xfId="42036" xr:uid="{E2C97AF7-3275-423F-B478-5F2B4F7B48A8}"/>
    <cellStyle name="Migliaia 35 3 2 4 5" xfId="17192" xr:uid="{68D2DDC6-4414-43D4-9A6F-95D34EDA8FC5}"/>
    <cellStyle name="Migliaia 35 3 2 4 6" xfId="11348" xr:uid="{741674B3-C08C-412A-9FC4-D89C16EF11BA}"/>
    <cellStyle name="Migliaia 35 3 2 5" xfId="3557" xr:uid="{907C28ED-FB7C-4729-9A5F-F91596411BAE}"/>
    <cellStyle name="Migliaia 35 3 2 5 2" xfId="33870" xr:uid="{C6C9845D-F28F-4F85-8947-66DF1BCEB606}"/>
    <cellStyle name="Migliaia 35 3 2 5 2 2" xfId="39386" xr:uid="{C2A2F740-1992-4784-A610-13ADCA67D4BA}"/>
    <cellStyle name="Migliaia 35 3 2 5 2 3" xfId="44688" xr:uid="{B918D923-A610-4C33-8315-0860DF44A3A4}"/>
    <cellStyle name="Migliaia 35 3 2 5 3" xfId="36811" xr:uid="{530365D4-66DF-45DC-BC76-86C518BAA962}"/>
    <cellStyle name="Migliaia 35 3 2 5 4" xfId="42037" xr:uid="{6630D03C-D83B-4DBC-BEE1-2AF5A8CDC61D}"/>
    <cellStyle name="Migliaia 35 3 2 5 5" xfId="17342" xr:uid="{EA74956D-F0ED-489E-BC31-87AFE480B273}"/>
    <cellStyle name="Migliaia 35 3 2 6" xfId="20454" xr:uid="{BA80BE56-98F1-4399-80B8-108532806A34}"/>
    <cellStyle name="Migliaia 35 3 2 6 2" xfId="33871" xr:uid="{0E12209C-F46B-4CA4-BEEA-195A5EC542AA}"/>
    <cellStyle name="Migliaia 35 3 2 6 2 2" xfId="39387" xr:uid="{68C15D44-B0A6-4D46-B588-95ABC7133F9D}"/>
    <cellStyle name="Migliaia 35 3 2 6 2 3" xfId="44689" xr:uid="{ECF643D0-B9A7-4B8C-B8D1-86DDD13B5EBF}"/>
    <cellStyle name="Migliaia 35 3 2 6 3" xfId="36812" xr:uid="{146FD8DD-D6FD-4399-9D8E-1069E687292C}"/>
    <cellStyle name="Migliaia 35 3 2 6 4" xfId="42038" xr:uid="{2A29053D-1268-4416-AD09-45FC335BD9F6}"/>
    <cellStyle name="Migliaia 35 3 2 6 5" xfId="24819" xr:uid="{5212072C-7737-4A53-A923-9EC2C20BE9EE}"/>
    <cellStyle name="Migliaia 35 3 2 7" xfId="24817" xr:uid="{87486008-11D2-4D7B-B6A1-83000F87A8F8}"/>
    <cellStyle name="Migliaia 35 3 2 8" xfId="7461" xr:uid="{EFD802F4-0F12-42ED-827E-CBBF430196D2}"/>
    <cellStyle name="Migliaia 35 3 3" xfId="3559" xr:uid="{15C9D1D6-1E45-48B7-B6D0-871E1A37F4C2}"/>
    <cellStyle name="Migliaia 35 3 3 10" xfId="7460" xr:uid="{D8CEF066-182F-4C33-B2AD-FCBBD0520170}"/>
    <cellStyle name="Migliaia 35 3 3 2" xfId="5285" xr:uid="{41350FFC-E556-4B1B-B643-048B7F3C072E}"/>
    <cellStyle name="Migliaia 35 3 3 2 2" xfId="9938" xr:uid="{B4B4F172-EB70-49A4-BEA0-3B11FCBBE1FC}"/>
    <cellStyle name="Migliaia 35 3 3 2 2 2" xfId="39389" xr:uid="{FCB31F71-44BE-4393-A4F6-2CC6350C8828}"/>
    <cellStyle name="Migliaia 35 3 3 2 2 3" xfId="44691" xr:uid="{D9C27254-EC8B-4AAC-A915-9CD5AB9DB4DA}"/>
    <cellStyle name="Migliaia 35 3 3 2 3" xfId="18218" xr:uid="{97CD9C5B-6783-4031-A599-02A573C61926}"/>
    <cellStyle name="Migliaia 35 3 3 2 4" xfId="20458" xr:uid="{003EB30D-FC0B-4FE1-AB7D-B5A23B943254}"/>
    <cellStyle name="Migliaia 35 3 3 2 4 2" xfId="42040" xr:uid="{A06E1AC6-3386-4AAC-9C88-572DD76C3763}"/>
    <cellStyle name="Migliaia 35 3 3 2 5" xfId="16449" xr:uid="{912AEE9E-48F7-4D34-8222-A8734777978A}"/>
    <cellStyle name="Migliaia 35 3 3 2 6" xfId="8650" xr:uid="{ECE97480-6BA4-4173-8D08-38144AE7F93E}"/>
    <cellStyle name="Migliaia 35 3 3 3" xfId="6481" xr:uid="{7D094722-9405-4B87-82ED-10BEBB473D78}"/>
    <cellStyle name="Migliaia 35 3 3 3 2" xfId="33873" xr:uid="{C7B280C7-E9DA-48F6-B271-EC52ADC64F85}"/>
    <cellStyle name="Migliaia 35 3 3 3 2 2" xfId="39390" xr:uid="{3887B791-5DB0-4CA3-B14F-5CEB226D1318}"/>
    <cellStyle name="Migliaia 35 3 3 3 2 3" xfId="44692" xr:uid="{06C13CA2-B77B-4D64-9314-5D17D6F8984C}"/>
    <cellStyle name="Migliaia 35 3 3 3 3" xfId="36814" xr:uid="{BCBA76DB-5FB7-4187-8F10-9541AFA042C7}"/>
    <cellStyle name="Migliaia 35 3 3 3 4" xfId="42041" xr:uid="{0DB39CAF-54F4-4D7E-9CDF-90E91BE3BF99}"/>
    <cellStyle name="Migliaia 35 3 3 3 5" xfId="9701" xr:uid="{7DC83C13-3022-4B31-BA90-E19D94296EBF}"/>
    <cellStyle name="Migliaia 35 3 3 4" xfId="20457" xr:uid="{A3DEB2CE-AA24-4C69-B2F6-0B0B483BD73B}"/>
    <cellStyle name="Migliaia 35 3 3 4 2" xfId="33874" xr:uid="{45C4ED89-D9A7-40E2-B6E2-A5199942D47E}"/>
    <cellStyle name="Migliaia 35 3 3 4 2 2" xfId="39391" xr:uid="{84B9D091-54A3-4388-BC8B-AF51B0494695}"/>
    <cellStyle name="Migliaia 35 3 3 4 2 3" xfId="44693" xr:uid="{83B207E5-AC1E-4A86-9E22-D52C06EC5213}"/>
    <cellStyle name="Migliaia 35 3 3 4 3" xfId="36815" xr:uid="{FA669280-7707-4730-A07B-BC52DE66FC40}"/>
    <cellStyle name="Migliaia 35 3 3 4 4" xfId="42042" xr:uid="{EA6E429E-3796-4033-9311-4D5AFA788044}"/>
    <cellStyle name="Migliaia 35 3 3 4 5" xfId="24820" xr:uid="{5764D476-B2F1-4AD0-BEC2-EE7320034998}"/>
    <cellStyle name="Migliaia 35 3 3 5" xfId="24821" xr:uid="{EAF99F3B-498A-4667-A40D-AE05FE65283A}"/>
    <cellStyle name="Migliaia 35 3 3 5 2" xfId="33875" xr:uid="{EC569134-4585-499A-98C1-D08E829C588D}"/>
    <cellStyle name="Migliaia 35 3 3 5 2 2" xfId="39392" xr:uid="{583856A4-458A-4F16-8BC2-B9B5B4DAEFE5}"/>
    <cellStyle name="Migliaia 35 3 3 5 2 3" xfId="44694" xr:uid="{35628DFC-17BC-47E6-94EF-55419A7C34B4}"/>
    <cellStyle name="Migliaia 35 3 3 5 3" xfId="36816" xr:uid="{087F57BC-E81E-439E-ABE1-CC4615CF4C0A}"/>
    <cellStyle name="Migliaia 35 3 3 5 4" xfId="42043" xr:uid="{21142670-DF64-4510-AC94-51EEA6C7BC19}"/>
    <cellStyle name="Migliaia 35 3 3 6" xfId="33872" xr:uid="{912DA3AD-8BF0-4B30-A80A-68AE420CC01B}"/>
    <cellStyle name="Migliaia 35 3 3 6 2" xfId="39388" xr:uid="{8E254C1D-C3A3-41A6-A1CA-2E253DC0B726}"/>
    <cellStyle name="Migliaia 35 3 3 6 3" xfId="44690" xr:uid="{BF438520-315A-441D-9559-9C32FADB5471}"/>
    <cellStyle name="Migliaia 35 3 3 7" xfId="36813" xr:uid="{1747AEF8-87B2-4FB7-B2D5-74B8296BA7BB}"/>
    <cellStyle name="Migliaia 35 3 3 8" xfId="42039" xr:uid="{0A065C0A-6861-4C71-BCDF-9BF2FC027EB3}"/>
    <cellStyle name="Migliaia 35 3 3 9" xfId="16448" xr:uid="{84855EB8-F4D9-4237-B79E-B6E22A01E015}"/>
    <cellStyle name="Migliaia 35 3 4" xfId="3560" xr:uid="{026C782B-B3F2-48E6-B83F-B81CB8D89739}"/>
    <cellStyle name="Migliaia 35 3 4 2" xfId="5286" xr:uid="{B1E29D61-DE77-4BD6-9C5E-F7EE617B107B}"/>
    <cellStyle name="Migliaia 35 3 4 2 2" xfId="14451" xr:uid="{A5B1B314-B6C1-43D6-BE11-DC1B34D55313}"/>
    <cellStyle name="Migliaia 35 3 4 2 3" xfId="18045" xr:uid="{3AECD971-4D84-4B82-98DB-02B3C9B52E7C}"/>
    <cellStyle name="Migliaia 35 3 4 2 4" xfId="20460" xr:uid="{E1C137A7-5B95-42A7-A310-BA42CE832A4B}"/>
    <cellStyle name="Migliaia 35 3 4 2 5" xfId="32387" xr:uid="{B5AB0F53-3D8A-4FE2-88A8-ED47939F1F18}"/>
    <cellStyle name="Migliaia 35 3 4 2 6" xfId="16451" xr:uid="{6A15A6EF-DA30-447D-8C69-4B77EF54C251}"/>
    <cellStyle name="Migliaia 35 3 4 2 7" xfId="8874" xr:uid="{41C391B0-CE71-46FB-90DC-BED43ADD780C}"/>
    <cellStyle name="Migliaia 35 3 4 3" xfId="6482" xr:uid="{3446D2A1-9AC9-46EC-997B-9A9C322BFCD3}"/>
    <cellStyle name="Migliaia 35 3 4 3 2" xfId="35321" xr:uid="{2DA051AC-A78E-4B37-B25D-E4C0B5E7EA99}"/>
    <cellStyle name="Migliaia 35 3 4 3 2 2" xfId="40481" xr:uid="{487CC8C9-8191-44AC-9932-BACF6969BBC7}"/>
    <cellStyle name="Migliaia 35 3 4 3 2 3" xfId="45783" xr:uid="{E8B20824-BADE-410A-9107-B0653D357DFA}"/>
    <cellStyle name="Migliaia 35 3 4 3 3" xfId="37830" xr:uid="{87D718BA-9E3C-424D-8C9D-3CDADBE64E28}"/>
    <cellStyle name="Migliaia 35 3 4 3 4" xfId="43132" xr:uid="{8DAD3752-C9FE-4221-9F56-E8D4B93EECF0}"/>
    <cellStyle name="Migliaia 35 3 4 3 5" xfId="13699" xr:uid="{4CDF45F2-F61B-4B18-96DE-F9E9597CD582}"/>
    <cellStyle name="Migliaia 35 3 4 4" xfId="20459" xr:uid="{89974C4E-B5EF-4D3A-9509-5B61991CB630}"/>
    <cellStyle name="Migliaia 35 3 4 4 2" xfId="39393" xr:uid="{9F218734-04C7-4D72-A6A5-1FB3D78411B2}"/>
    <cellStyle name="Migliaia 35 3 4 4 3" xfId="44695" xr:uid="{A5108A3E-151D-4132-AE25-37012BE0AA41}"/>
    <cellStyle name="Migliaia 35 3 4 4 4" xfId="33876" xr:uid="{A2D76D2B-1415-45CA-AF22-3F3BC657D10A}"/>
    <cellStyle name="Migliaia 35 3 4 5" xfId="36817" xr:uid="{A5BFB52F-D7EF-45BA-A1A1-BC758AB5CEB9}"/>
    <cellStyle name="Migliaia 35 3 4 6" xfId="42044" xr:uid="{0FF95759-BE20-486F-8A6E-6D8E773E7757}"/>
    <cellStyle name="Migliaia 35 3 4 7" xfId="16450" xr:uid="{5A9573F0-BEBA-400C-96E5-56DBA83F17D0}"/>
    <cellStyle name="Migliaia 35 3 4 8" xfId="7684" xr:uid="{7A7B5002-3701-43EF-8D4F-53BBCB98A683}"/>
    <cellStyle name="Migliaia 35 3 5" xfId="3561" xr:uid="{B4F849FC-050E-4514-B6E4-74168CA38B70}"/>
    <cellStyle name="Migliaia 35 3 5 2" xfId="5287" xr:uid="{0BAFE2FF-10D4-4B16-88B3-962F82116B89}"/>
    <cellStyle name="Migliaia 35 3 5 2 2" xfId="35322" xr:uid="{0BCE77DF-19F6-4CFA-A666-E35248809B56}"/>
    <cellStyle name="Migliaia 35 3 5 2 2 2" xfId="40482" xr:uid="{0F72FD70-FB36-4D3F-9CBA-44A511B2D8FE}"/>
    <cellStyle name="Migliaia 35 3 5 2 2 3" xfId="45784" xr:uid="{E511D254-2CF7-4D33-A174-FC8C1355C958}"/>
    <cellStyle name="Migliaia 35 3 5 2 3" xfId="37831" xr:uid="{0BCF7100-DBC5-4FD1-A7A9-BD259704AA52}"/>
    <cellStyle name="Migliaia 35 3 5 2 4" xfId="43133" xr:uid="{364CD9CF-FC75-4736-8A5B-CAAF5DF4C924}"/>
    <cellStyle name="Migliaia 35 3 5 2 5" xfId="14265" xr:uid="{7BC6757F-C389-42BD-86D8-D69960947C89}"/>
    <cellStyle name="Migliaia 35 3 5 3" xfId="6483" xr:uid="{DCC83E0A-9A97-4FCF-BA66-CC94918B4637}"/>
    <cellStyle name="Migliaia 35 3 5 3 2" xfId="39394" xr:uid="{39333641-E279-402E-AFFE-EDDA6CAC562F}"/>
    <cellStyle name="Migliaia 35 3 5 3 3" xfId="44696" xr:uid="{D63BF807-5EC2-4A01-A8F5-53C3EEE5B3AD}"/>
    <cellStyle name="Migliaia 35 3 5 3 4" xfId="33877" xr:uid="{DB237F20-F878-4549-8D89-3DC8EACAFF97}"/>
    <cellStyle name="Migliaia 35 3 5 3 5" xfId="20461" xr:uid="{A6AFED10-E721-49AA-898F-A6DF25A45659}"/>
    <cellStyle name="Migliaia 35 3 5 4" xfId="36818" xr:uid="{B7F94DC5-8FC1-4D9C-BC49-09BDE3DA2FDD}"/>
    <cellStyle name="Migliaia 35 3 5 5" xfId="42045" xr:uid="{E5290A05-CF75-4A80-975A-2B12A1B1CE26}"/>
    <cellStyle name="Migliaia 35 3 5 6" xfId="16452" xr:uid="{C4B3AF3C-90D5-4977-A87B-83AD1DB12610}"/>
    <cellStyle name="Migliaia 35 3 5 7" xfId="8327" xr:uid="{D26C6DD2-CD78-4410-A102-774C2C22EB72}"/>
    <cellStyle name="Migliaia 35 3 6" xfId="5282" xr:uid="{BE78F124-8B25-41F5-A3EF-D4EF92B265A1}"/>
    <cellStyle name="Migliaia 35 3 6 2" xfId="13970" xr:uid="{6FD7C42E-0A2F-46F3-A5A3-BA84F33C88C9}"/>
    <cellStyle name="Migliaia 35 3 6 2 2" xfId="39395" xr:uid="{F3A15F7D-0F41-4AC7-A121-5FEC941DF562}"/>
    <cellStyle name="Migliaia 35 3 6 2 3" xfId="44697" xr:uid="{5AECAA81-AE74-4ED9-91EB-410BB29683D7}"/>
    <cellStyle name="Migliaia 35 3 6 3" xfId="18288" xr:uid="{E386F3B8-6990-4198-A424-6865A06A0BDD}"/>
    <cellStyle name="Migliaia 35 3 6 4" xfId="20462" xr:uid="{60757411-45C0-4E5C-9C8F-FF2AA98F3C6A}"/>
    <cellStyle name="Migliaia 35 3 6 4 2" xfId="42046" xr:uid="{C07E0E09-8734-4990-80E1-E080D785253D}"/>
    <cellStyle name="Migliaia 35 3 6 5" xfId="16453" xr:uid="{41D2F0D5-6050-419A-81EE-22C7C600B02A}"/>
    <cellStyle name="Migliaia 35 3 6 6" xfId="7936" xr:uid="{D570FD2A-31A1-4506-B000-452DB38A1273}"/>
    <cellStyle name="Migliaia 35 3 7" xfId="6478" xr:uid="{237DE95D-F5CE-4177-A7D8-B927A2BC9E1D}"/>
    <cellStyle name="Migliaia 35 3 7 2" xfId="33878" xr:uid="{0BAEB352-1DC2-4642-8E50-D365621A59A2}"/>
    <cellStyle name="Migliaia 35 3 7 2 2" xfId="39396" xr:uid="{FBA0E854-5A40-44F4-B08A-4D7A8FA2E9EB}"/>
    <cellStyle name="Migliaia 35 3 7 2 3" xfId="44698" xr:uid="{8E71BA6B-A7A7-4F5F-9CB2-D1382B067425}"/>
    <cellStyle name="Migliaia 35 3 7 3" xfId="36819" xr:uid="{D19F9A0F-B67F-4D23-98ED-9135E864BB1F}"/>
    <cellStyle name="Migliaia 35 3 7 4" xfId="42047" xr:uid="{1270AC99-C3F8-459F-B8D7-3ADB16F255E5}"/>
    <cellStyle name="Migliaia 35 3 7 5" xfId="12245" xr:uid="{2CE05577-C351-4FE1-A58B-1E9880A2D270}"/>
    <cellStyle name="Migliaia 35 3 8" xfId="3556" xr:uid="{4AECCE64-16B2-46E3-88B0-0BD6CBD9F63E}"/>
    <cellStyle name="Migliaia 35 3 8 2" xfId="33879" xr:uid="{9C2C93B3-2881-44B6-BE0B-B1CD26D551BE}"/>
    <cellStyle name="Migliaia 35 3 8 2 2" xfId="39397" xr:uid="{724EAC3B-FFBC-4FE8-9869-DDBEF312BC0F}"/>
    <cellStyle name="Migliaia 35 3 8 2 3" xfId="44699" xr:uid="{74164157-E991-4F84-81BD-ACC89E1B1E3E}"/>
    <cellStyle name="Migliaia 35 3 8 3" xfId="36820" xr:uid="{E9E6A8A0-FD86-4530-BAE8-F7EC699E58B4}"/>
    <cellStyle name="Migliaia 35 3 8 4" xfId="42048" xr:uid="{64EA7656-4ABE-4D2B-A84E-4A4D679678AD}"/>
    <cellStyle name="Migliaia 35 3 8 5" xfId="24822" xr:uid="{B973D751-EE88-48AE-BE16-36001A1FBB78}"/>
    <cellStyle name="Migliaia 35 3 8 6" xfId="17343" xr:uid="{BA5EB54D-D9CE-4D36-A2B0-B7CB857A61E1}"/>
    <cellStyle name="Migliaia 35 3 9" xfId="20453" xr:uid="{E5B0F987-8059-4413-8FD1-C30ACE8E7B20}"/>
    <cellStyle name="Migliaia 35 4" xfId="1798" xr:uid="{00000000-0005-0000-0000-0000C1030000}"/>
    <cellStyle name="Migliaia 35 4 2" xfId="1799" xr:uid="{00000000-0005-0000-0000-0000C2030000}"/>
    <cellStyle name="Migliaia 35 4 2 2" xfId="5289" xr:uid="{7848695C-ECCE-4133-8BC8-AE2D67432229}"/>
    <cellStyle name="Migliaia 35 4 2 2 2" xfId="33880" xr:uid="{3211BFBD-7608-40D9-9FA4-01F4DD5353D2}"/>
    <cellStyle name="Migliaia 35 4 2 2 2 2" xfId="39398" xr:uid="{2C05AB39-75B3-48E7-AC28-C965B8E9C3EA}"/>
    <cellStyle name="Migliaia 35 4 2 2 2 3" xfId="44700" xr:uid="{7F717C3C-B7B2-4AFC-B0CA-9D306E72D64B}"/>
    <cellStyle name="Migliaia 35 4 2 2 3" xfId="36821" xr:uid="{6932922D-D5C9-4908-87B9-9403EAB9EBFD}"/>
    <cellStyle name="Migliaia 35 4 2 2 4" xfId="42049" xr:uid="{48783423-1079-413A-81A7-F01EBA093D66}"/>
    <cellStyle name="Migliaia 35 4 2 2 5" xfId="9164" xr:uid="{83B820C6-50FF-4CD0-B725-532013D75F97}"/>
    <cellStyle name="Migliaia 35 4 2 3" xfId="3563" xr:uid="{E3885CA7-82BD-4991-A92A-BEE827196074}"/>
    <cellStyle name="Migliaia 35 4 2 3 2" xfId="33881" xr:uid="{67D25329-F43D-47C2-88AF-3C39C1C01920}"/>
    <cellStyle name="Migliaia 35 4 2 3 2 2" xfId="39399" xr:uid="{C21F2730-7F10-4955-8225-1BDDE3704584}"/>
    <cellStyle name="Migliaia 35 4 2 3 2 3" xfId="44701" xr:uid="{55E85D38-CAC7-463F-8001-0F5321EA2FEA}"/>
    <cellStyle name="Migliaia 35 4 2 3 3" xfId="36822" xr:uid="{1C7B3A53-C0A1-4A4A-956E-989910C51A80}"/>
    <cellStyle name="Migliaia 35 4 2 3 4" xfId="42050" xr:uid="{2BC87770-8A8A-4281-ABBA-5039901A6664}"/>
    <cellStyle name="Migliaia 35 4 2 3 5" xfId="12001" xr:uid="{653AAB31-2BC6-4664-A412-FEDB137E3111}"/>
    <cellStyle name="Migliaia 35 4 2 4" xfId="11350" xr:uid="{8B4995C0-D066-4ED9-AA8E-002CDA672309}"/>
    <cellStyle name="Migliaia 35 4 2 5" xfId="10876" xr:uid="{0EFED51F-1BF0-49BF-89E7-A7299BAD0AC6}"/>
    <cellStyle name="Migliaia 35 4 2 5 2" xfId="21511" xr:uid="{E5CD7B3A-EFFE-4116-B559-8EB64ACBE82D}"/>
    <cellStyle name="Migliaia 35 4 2 5 3" xfId="48552" xr:uid="{C6E1A384-41B7-4A98-A79D-3BD09E63C880}"/>
    <cellStyle name="Migliaia 35 4 2 5 4" xfId="50526" xr:uid="{F66C24E3-3F2C-4520-BE79-63B064BF1D81}"/>
    <cellStyle name="Migliaia 35 4 2 5 5" xfId="53542" xr:uid="{01358D04-7B2F-4930-843B-32778A5ED2DC}"/>
    <cellStyle name="Migliaia 35 4 2 6" xfId="20464" xr:uid="{4C617A85-1857-4312-AB7A-3C04857302BF}"/>
    <cellStyle name="Migliaia 35 4 2 7" xfId="24824" xr:uid="{02529878-BDB7-4593-A1F0-FEAD732F6AAF}"/>
    <cellStyle name="Migliaia 35 4 2 8" xfId="8652" xr:uid="{F79E789D-F98F-4BD2-AE93-C3E59A59F542}"/>
    <cellStyle name="Migliaia 35 4 3" xfId="5288" xr:uid="{97B5094E-FB7B-4427-9611-1CD9843CEDFD}"/>
    <cellStyle name="Migliaia 35 4 3 2" xfId="18219" xr:uid="{01764EC6-CC56-4BA1-B949-A61D9028540D}"/>
    <cellStyle name="Migliaia 35 4 3 2 2" xfId="39400" xr:uid="{359398BD-E724-4ADB-AD23-0459E2A3C4D8}"/>
    <cellStyle name="Migliaia 35 4 3 2 3" xfId="44702" xr:uid="{035B8199-C94D-4106-B440-E84F837C5BB7}"/>
    <cellStyle name="Migliaia 35 4 3 3" xfId="36823" xr:uid="{A2AF5E03-763F-4496-A5AA-2F01DF8C1C28}"/>
    <cellStyle name="Migliaia 35 4 3 4" xfId="42051" xr:uid="{C3688B51-73F0-44B8-94E7-1562E5372BEF}"/>
    <cellStyle name="Migliaia 35 4 3 5" xfId="17341" xr:uid="{4A861D79-936E-4698-9C92-824400AC64F1}"/>
    <cellStyle name="Migliaia 35 4 3 6" xfId="9165" xr:uid="{2CD80231-6439-4AF4-963C-4F9FFAE88FE7}"/>
    <cellStyle name="Migliaia 35 4 4" xfId="6484" xr:uid="{03028360-F389-4780-A21B-2C58F25508E1}"/>
    <cellStyle name="Migliaia 35 4 4 2" xfId="33882" xr:uid="{84AF624C-3F57-470A-AE61-E57DCCF7278A}"/>
    <cellStyle name="Migliaia 35 4 4 2 2" xfId="39401" xr:uid="{EBBD5551-41D7-4AC8-ADFA-96BEE56E3192}"/>
    <cellStyle name="Migliaia 35 4 4 2 3" xfId="44703" xr:uid="{77AB6486-02F2-41AF-B57C-3F96F9E06711}"/>
    <cellStyle name="Migliaia 35 4 4 3" xfId="36824" xr:uid="{176C6E28-6EEB-4348-9565-A5D606A61DE0}"/>
    <cellStyle name="Migliaia 35 4 4 4" xfId="42052" xr:uid="{0DF76935-C54D-4064-98FF-38E73FA16ABB}"/>
    <cellStyle name="Migliaia 35 4 4 5" xfId="12002" xr:uid="{C37695F0-8AC8-42C3-9993-29CDC54AE619}"/>
    <cellStyle name="Migliaia 35 4 5" xfId="3562" xr:uid="{5331AEFE-0062-4961-899E-699C25E80013}"/>
    <cellStyle name="Migliaia 35 4 5 2" xfId="33883" xr:uid="{916046E3-970B-4796-BD42-582FC4FFAC42}"/>
    <cellStyle name="Migliaia 35 4 5 2 2" xfId="39402" xr:uid="{8AC0BBC7-8952-4766-8B2D-E052AE9AEECE}"/>
    <cellStyle name="Migliaia 35 4 5 2 3" xfId="44704" xr:uid="{12847A77-32AD-46B8-B5EF-EB52C3AD8725}"/>
    <cellStyle name="Migliaia 35 4 5 3" xfId="36825" xr:uid="{DBEA33A1-A33C-4071-93A3-BFBD56895A45}"/>
    <cellStyle name="Migliaia 35 4 5 4" xfId="42053" xr:uid="{58F5FB30-93CB-453F-AF70-D833BEFCAF7E}"/>
    <cellStyle name="Migliaia 35 4 5 5" xfId="11349" xr:uid="{F85C538F-8F68-41CD-8DBF-1D6856CC5FE0}"/>
    <cellStyle name="Migliaia 35 4 6" xfId="10875" xr:uid="{7B41E372-FCB1-43F4-A2EB-58C1E9352D0D}"/>
    <cellStyle name="Migliaia 35 4 6 2" xfId="21510" xr:uid="{8FAFA7CA-A12C-4D38-8F9B-FDDF99D51909}"/>
    <cellStyle name="Migliaia 35 4 6 2 2" xfId="39403" xr:uid="{2EEAB224-B715-43BB-904B-3C9995604753}"/>
    <cellStyle name="Migliaia 35 4 6 2 3" xfId="44705" xr:uid="{F3EA5D16-24E7-4909-A26F-B9AA7C62082D}"/>
    <cellStyle name="Migliaia 35 4 6 2 4" xfId="33884" xr:uid="{8C698027-6948-4D89-AB0D-C044DDD76DE8}"/>
    <cellStyle name="Migliaia 35 4 6 3" xfId="36826" xr:uid="{CCFD0807-70EF-42EB-95FD-3B9BB7285FDC}"/>
    <cellStyle name="Migliaia 35 4 6 4" xfId="42054" xr:uid="{1C860E75-A8B5-460F-8F50-86B6651F2F4F}"/>
    <cellStyle name="Migliaia 35 4 6 5" xfId="24825" xr:uid="{BF9180F5-38C6-4304-96A6-8351FAAABDA1}"/>
    <cellStyle name="Migliaia 35 4 6 6" xfId="32470" xr:uid="{076BF332-007A-44CF-8A55-57306C51ED28}"/>
    <cellStyle name="Migliaia 35 4 6 7" xfId="50525" xr:uid="{CD15137E-9BB8-42D9-A6FF-23371B01FF9A}"/>
    <cellStyle name="Migliaia 35 4 6 8" xfId="53541" xr:uid="{8F0C88FF-31D4-41D9-B0E4-5DDF43E685D8}"/>
    <cellStyle name="Migliaia 35 4 7" xfId="20463" xr:uid="{95D8D1D5-E084-4C1B-B002-06BEA9A38E5E}"/>
    <cellStyle name="Migliaia 35 4 7 2" xfId="33885" xr:uid="{E21C1923-432A-4E6B-B0B3-9F573D9E3A4C}"/>
    <cellStyle name="Migliaia 35 4 7 2 2" xfId="39404" xr:uid="{D046455E-7668-4FF5-9730-7DCA812335C6}"/>
    <cellStyle name="Migliaia 35 4 7 2 3" xfId="44706" xr:uid="{72AE597C-9A65-46FF-9912-7D2216D54D2D}"/>
    <cellStyle name="Migliaia 35 4 7 3" xfId="36827" xr:uid="{3CE8F6B3-2AF4-49C5-BCBB-E172F25D3C3C}"/>
    <cellStyle name="Migliaia 35 4 7 4" xfId="42055" xr:uid="{869C3958-BB0B-4E05-856C-7587ABB91579}"/>
    <cellStyle name="Migliaia 35 4 7 5" xfId="24826" xr:uid="{5AF088CB-149F-4C19-8AE7-C2AA6C9F5D9B}"/>
    <cellStyle name="Migliaia 35 4 8" xfId="24823" xr:uid="{AE3DC46A-219F-4A22-A7ED-5F896BF394E6}"/>
    <cellStyle name="Migliaia 35 4 9" xfId="7462" xr:uid="{08A08743-2E65-4F65-A10D-582CBA4EC306}"/>
    <cellStyle name="Migliaia 35 5" xfId="1800" xr:uid="{00000000-0005-0000-0000-0000C3030000}"/>
    <cellStyle name="Migliaia 35 5 2" xfId="5290" xr:uid="{BD88701B-2CC5-4E4A-8336-E885E75F2187}"/>
    <cellStyle name="Migliaia 35 5 2 2" xfId="18448" xr:uid="{959FB021-26E4-480E-90CB-29E446C33DCD}"/>
    <cellStyle name="Migliaia 35 5 2 2 2" xfId="39405" xr:uid="{2854A744-B5E0-4A15-BC60-03110D148A8C}"/>
    <cellStyle name="Migliaia 35 5 2 2 3" xfId="44707" xr:uid="{4BBAB548-D879-4DBD-94D2-760DBB695615}"/>
    <cellStyle name="Migliaia 35 5 2 3" xfId="20466" xr:uid="{EB454504-AFD7-48EC-91C3-0EE2E47DEA22}"/>
    <cellStyle name="Migliaia 35 5 2 3 2" xfId="36828" xr:uid="{F1189B2B-22E8-41A2-8377-8FA75FBFF2C0}"/>
    <cellStyle name="Migliaia 35 5 2 4" xfId="42056" xr:uid="{0015A956-A717-4FE6-96EE-53B6BF264C5C}"/>
    <cellStyle name="Migliaia 35 5 2 5" xfId="16454" xr:uid="{E08B7D78-E85F-4964-8403-28C07DFB60A8}"/>
    <cellStyle name="Migliaia 35 5 2 6" xfId="8653" xr:uid="{97272BE5-B54F-4633-BC73-22B5C34F629C}"/>
    <cellStyle name="Migliaia 35 5 3" xfId="6485" xr:uid="{EE76A570-0496-40AC-AA55-E50AC5AA6363}"/>
    <cellStyle name="Migliaia 35 5 3 2" xfId="33886" xr:uid="{3EF6AB6E-BFA9-4D2E-87E6-5E1E0F96DD85}"/>
    <cellStyle name="Migliaia 35 5 3 2 2" xfId="39406" xr:uid="{03119E66-DCEF-4D5C-9447-4FC6802DEBB9}"/>
    <cellStyle name="Migliaia 35 5 3 2 3" xfId="44708" xr:uid="{22D2B11D-360F-4E1B-BF8C-E373EEEDE172}"/>
    <cellStyle name="Migliaia 35 5 3 3" xfId="36829" xr:uid="{49A24943-7602-4F5B-964A-5FAED1DBA636}"/>
    <cellStyle name="Migliaia 35 5 3 4" xfId="42057" xr:uid="{99FE968F-9810-4785-9C42-3E579AE3DA7F}"/>
    <cellStyle name="Migliaia 35 5 3 5" xfId="11351" xr:uid="{5BF24C92-1416-4411-A355-872D5440F1F4}"/>
    <cellStyle name="Migliaia 35 5 4" xfId="3564" xr:uid="{94374BC8-007D-4B93-9748-A5CAC2297803}"/>
    <cellStyle name="Migliaia 35 5 4 2" xfId="21512" xr:uid="{0B21B8A7-88AD-4422-97F3-18100E69AE82}"/>
    <cellStyle name="Migliaia 35 5 4 2 2" xfId="39407" xr:uid="{DAA12D58-63C9-48D2-A4D5-AFE37612D11D}"/>
    <cellStyle name="Migliaia 35 5 4 2 3" xfId="44709" xr:uid="{9D29C497-512A-4DFF-9B94-AC2EC2303E6A}"/>
    <cellStyle name="Migliaia 35 5 4 2 4" xfId="33887" xr:uid="{AF972F48-1C0C-447C-B509-9275C06FBF12}"/>
    <cellStyle name="Migliaia 35 5 4 3" xfId="36830" xr:uid="{CD55B112-6B46-4CFE-A98C-B91AE0DBE8B9}"/>
    <cellStyle name="Migliaia 35 5 4 4" xfId="42058" xr:uid="{FBFDFCD1-3C08-4015-88BE-F992FB098739}"/>
    <cellStyle name="Migliaia 35 5 4 5" xfId="24828" xr:uid="{68D71050-2F7D-429B-A94C-C97C7BDD5975}"/>
    <cellStyle name="Migliaia 35 5 4 6" xfId="46647" xr:uid="{84496E69-BE70-4C4E-BAAE-567222DB8F05}"/>
    <cellStyle name="Migliaia 35 5 4 7" xfId="50527" xr:uid="{E358B751-9EE7-461C-A026-E0DA384CE532}"/>
    <cellStyle name="Migliaia 35 5 4 8" xfId="53543" xr:uid="{3B948F3B-2483-4538-89C7-9B535570DF0E}"/>
    <cellStyle name="Migliaia 35 5 4 9" xfId="10877" xr:uid="{2DBDC068-5104-4F66-9FB7-B00EA95499CA}"/>
    <cellStyle name="Migliaia 35 5 5" xfId="20465" xr:uid="{47D7689B-1B88-4ADB-A513-7CD80108D759}"/>
    <cellStyle name="Migliaia 35 5 5 2" xfId="33888" xr:uid="{A90EC565-3479-4AD3-A39E-CFDFBF6788E3}"/>
    <cellStyle name="Migliaia 35 5 5 2 2" xfId="39408" xr:uid="{129733FF-A0D2-4211-864C-C884F9ACDEFD}"/>
    <cellStyle name="Migliaia 35 5 5 2 3" xfId="44710" xr:uid="{F8D5C75C-874B-4813-9F75-ECDB5EC15A53}"/>
    <cellStyle name="Migliaia 35 5 5 3" xfId="36831" xr:uid="{27C11B8F-714E-47AA-93A3-30941DA172C8}"/>
    <cellStyle name="Migliaia 35 5 5 4" xfId="42059" xr:uid="{D15BE125-0FF6-47DC-ADA9-2E5B8ADDFE3E}"/>
    <cellStyle name="Migliaia 35 5 5 5" xfId="24829" xr:uid="{DC30E029-432D-4D6D-83FC-94286D671591}"/>
    <cellStyle name="Migliaia 35 5 6" xfId="24830" xr:uid="{5AB9CAC0-9F7A-451D-B91F-FE0462954D66}"/>
    <cellStyle name="Migliaia 35 5 6 2" xfId="33889" xr:uid="{D7C7CC31-E444-418B-A2EE-DD429A37E337}"/>
    <cellStyle name="Migliaia 35 5 6 2 2" xfId="39409" xr:uid="{FA604420-661E-438B-A81F-2C3E99C3EBA8}"/>
    <cellStyle name="Migliaia 35 5 6 2 3" xfId="44711" xr:uid="{62CBDB63-9911-41E6-BE69-E036DBB886A3}"/>
    <cellStyle name="Migliaia 35 5 6 3" xfId="36832" xr:uid="{72C73C07-B6EF-4180-8BEC-1085C52215BF}"/>
    <cellStyle name="Migliaia 35 5 6 4" xfId="42060" xr:uid="{E112AFF7-F942-4515-B4A0-F0634F70E94C}"/>
    <cellStyle name="Migliaia 35 5 7" xfId="24827" xr:uid="{43FF2E90-CC85-44DE-B573-9DFFCB4C74E5}"/>
    <cellStyle name="Migliaia 35 5 8" xfId="7463" xr:uid="{5B073F7B-F209-4EAA-BD47-57F51C84B7B7}"/>
    <cellStyle name="Migliaia 35 6" xfId="3565" xr:uid="{0C2A6FD4-6854-4ED7-8030-75CD32492CDE}"/>
    <cellStyle name="Migliaia 35 6 2" xfId="5291" xr:uid="{48607B30-DF11-4331-9593-06FDFE3EE885}"/>
    <cellStyle name="Migliaia 35 6 2 2" xfId="9937" xr:uid="{74B25587-2B06-4140-964A-C288C8B6B02E}"/>
    <cellStyle name="Migliaia 35 6 2 3" xfId="18652" xr:uid="{5C0D19D4-5C3A-430A-A8D8-6DDB02C2E84A}"/>
    <cellStyle name="Migliaia 35 6 2 4" xfId="20468" xr:uid="{2FDCFBB9-AACE-46D7-9BB9-F4D8BBB05B67}"/>
    <cellStyle name="Migliaia 35 6 2 5" xfId="32388" xr:uid="{AB822C86-1277-46D8-A8D9-5CB412FAD036}"/>
    <cellStyle name="Migliaia 35 6 2 6" xfId="16456" xr:uid="{867C6B69-4428-48D6-916C-4DD8B01858D6}"/>
    <cellStyle name="Migliaia 35 6 2 7" xfId="8648" xr:uid="{2443E355-A005-434B-8D41-5C30BB7AEAE0}"/>
    <cellStyle name="Migliaia 35 6 3" xfId="6486" xr:uid="{DC451F01-9A36-4B6E-85B0-9E9047F31AC1}"/>
    <cellStyle name="Migliaia 35 6 3 2" xfId="35323" xr:uid="{A0FFE97A-EC62-453F-9BED-BB421F01B531}"/>
    <cellStyle name="Migliaia 35 6 3 2 2" xfId="40483" xr:uid="{77D05696-183F-4F9A-BA83-43BA02DBDD5B}"/>
    <cellStyle name="Migliaia 35 6 3 2 3" xfId="45785" xr:uid="{3A96A62E-ADC1-4023-9747-0998539EA018}"/>
    <cellStyle name="Migliaia 35 6 3 3" xfId="37832" xr:uid="{8DF8B9B7-5B4B-41AA-AF41-B4A94FD70C51}"/>
    <cellStyle name="Migliaia 35 6 3 4" xfId="43134" xr:uid="{A0550689-E6D7-47BF-808C-4FD82175BEA4}"/>
    <cellStyle name="Migliaia 35 6 3 5" xfId="9700" xr:uid="{3C54D171-E305-4E64-955E-781967F5358E}"/>
    <cellStyle name="Migliaia 35 6 4" xfId="20467" xr:uid="{6140B958-1E2C-45B5-947C-CB204AE5F34E}"/>
    <cellStyle name="Migliaia 35 6 4 2" xfId="39410" xr:uid="{0880D4CB-22D8-4E5D-A2CD-67FF1C5199FB}"/>
    <cellStyle name="Migliaia 35 6 4 3" xfId="44712" xr:uid="{A5020943-3E6E-4D1F-9BE3-D60948902D23}"/>
    <cellStyle name="Migliaia 35 6 4 4" xfId="33890" xr:uid="{AE3A75B0-A20A-4B92-B966-2D6B4386450C}"/>
    <cellStyle name="Migliaia 35 6 5" xfId="36833" xr:uid="{157CB875-1DE6-4220-80CA-E850EDF2118E}"/>
    <cellStyle name="Migliaia 35 6 6" xfId="42061" xr:uid="{9926A732-F570-4E0C-98E8-C9665BBD686A}"/>
    <cellStyle name="Migliaia 35 6 7" xfId="16455" xr:uid="{0D1DADC9-062A-4F9C-8E20-33EF1BB91B42}"/>
    <cellStyle name="Migliaia 35 6 8" xfId="7458" xr:uid="{8F486B74-2F91-4682-951D-7A8A936085CC}"/>
    <cellStyle name="Migliaia 35 7" xfId="3566" xr:uid="{09736CBB-06E8-43BD-945A-6FDFEDEDB61E}"/>
    <cellStyle name="Migliaia 35 7 2" xfId="5292" xr:uid="{F175D549-3DF5-4C55-BECA-344628AB40D4}"/>
    <cellStyle name="Migliaia 35 7 2 2" xfId="35324" xr:uid="{6FB71A25-3574-4A45-B016-2BE1012C91CD}"/>
    <cellStyle name="Migliaia 35 7 2 2 2" xfId="40484" xr:uid="{12F01579-C37D-4387-84DB-61ACD9B8D8F2}"/>
    <cellStyle name="Migliaia 35 7 2 2 3" xfId="45786" xr:uid="{B763B012-EFD1-4BA9-B428-9A6F6DD65C02}"/>
    <cellStyle name="Migliaia 35 7 2 3" xfId="37833" xr:uid="{F4BEE7C8-72EB-452C-9107-94892980EC06}"/>
    <cellStyle name="Migliaia 35 7 2 4" xfId="43135" xr:uid="{BDE69DAF-66F7-4E6E-808B-BAEF017C5C8C}"/>
    <cellStyle name="Migliaia 35 7 2 5" xfId="14263" xr:uid="{D1099C47-6B11-4565-9BFA-E3A34426DD67}"/>
    <cellStyle name="Migliaia 35 7 3" xfId="6487" xr:uid="{31551E26-229C-4694-A2D1-5E7FBB850269}"/>
    <cellStyle name="Migliaia 35 7 3 2" xfId="39411" xr:uid="{2C63AAB3-F48D-4042-85E3-810B34D825CD}"/>
    <cellStyle name="Migliaia 35 7 3 3" xfId="44713" xr:uid="{49A09A57-39F7-41C2-A707-0B32F8C86B6A}"/>
    <cellStyle name="Migliaia 35 7 3 4" xfId="33891" xr:uid="{BCEE3138-1D86-4737-8C8C-ACE4E6942E22}"/>
    <cellStyle name="Migliaia 35 7 3 5" xfId="20469" xr:uid="{FCCA1C70-3660-4218-95C3-F93DA30E1A63}"/>
    <cellStyle name="Migliaia 35 7 4" xfId="36834" xr:uid="{0996F85A-FFBC-4C92-BD04-1618766DC3AE}"/>
    <cellStyle name="Migliaia 35 7 5" xfId="42062" xr:uid="{DCA5E211-5DBA-4E13-9911-B15FF2ED0160}"/>
    <cellStyle name="Migliaia 35 7 6" xfId="16457" xr:uid="{20779983-284F-426D-BB15-30F9E475E1AD}"/>
    <cellStyle name="Migliaia 35 7 7" xfId="8325" xr:uid="{125B703B-F1AF-4672-871F-B6B20EE755A3}"/>
    <cellStyle name="Migliaia 35 8" xfId="3567" xr:uid="{AE5B4270-ADF2-4249-B464-25000DD77339}"/>
    <cellStyle name="Migliaia 35 8 2" xfId="5293" xr:uid="{C91E9C74-18BE-4FA0-B260-D93822CA9336}"/>
    <cellStyle name="Migliaia 35 8 2 2" xfId="35325" xr:uid="{02BE8B85-15BC-4970-9A4A-7326AF702FDF}"/>
    <cellStyle name="Migliaia 35 8 2 2 2" xfId="40485" xr:uid="{78FF6C24-0DF2-4533-B71D-D9BAA8C2DC52}"/>
    <cellStyle name="Migliaia 35 8 2 2 3" xfId="45787" xr:uid="{AA605970-11D5-48C4-AF2E-8FBE760ABFBE}"/>
    <cellStyle name="Migliaia 35 8 2 3" xfId="37834" xr:uid="{712D8017-76C5-49BA-BF34-E2C2B2B28E5F}"/>
    <cellStyle name="Migliaia 35 8 2 4" xfId="43136" xr:uid="{B2F1EFB2-CDC3-47B1-A420-04445CB8CC5F}"/>
    <cellStyle name="Migliaia 35 8 2 5" xfId="13968" xr:uid="{3D982A42-CA1F-4402-B87A-E6053BA672A4}"/>
    <cellStyle name="Migliaia 35 8 3" xfId="6488" xr:uid="{056436A4-BC54-48D1-BF1D-920FF474E682}"/>
    <cellStyle name="Migliaia 35 8 3 2" xfId="39412" xr:uid="{4B2CA245-AD7B-47F8-A713-AE7A0C1A23CD}"/>
    <cellStyle name="Migliaia 35 8 3 3" xfId="44714" xr:uid="{3B8E5BA2-D8C2-40E7-9027-6E35C56E6413}"/>
    <cellStyle name="Migliaia 35 8 3 4" xfId="33892" xr:uid="{A63E6039-DE2E-4B51-8303-27B31C7F187C}"/>
    <cellStyle name="Migliaia 35 8 3 5" xfId="20470" xr:uid="{A7BFAD9F-23C9-4BB2-81B9-AC3B9CFBD025}"/>
    <cellStyle name="Migliaia 35 8 4" xfId="36835" xr:uid="{09877D2C-54DB-42DE-84C1-7B9A4BEC4492}"/>
    <cellStyle name="Migliaia 35 8 5" xfId="42063" xr:uid="{38BE1EB5-6AB4-446C-B6E7-0ECDC3E42804}"/>
    <cellStyle name="Migliaia 35 8 6" xfId="16458" xr:uid="{6E4BA90A-6B91-444F-B609-F2DFBD277BF7}"/>
    <cellStyle name="Migliaia 35 8 7" xfId="7934" xr:uid="{3B9E637D-531F-4EC7-A021-3F1A09B8AF5F}"/>
    <cellStyle name="Migliaia 35 9" xfId="5278" xr:uid="{E787675B-E37C-4085-B9D5-680642A3BCB9}"/>
    <cellStyle name="Migliaia 35 9 2" xfId="33893" xr:uid="{2547D8A3-AA70-427C-93AC-177088C4C32A}"/>
    <cellStyle name="Migliaia 35 9 2 2" xfId="39413" xr:uid="{91EDC5A3-CE25-463A-AD51-4A9F4D2E3312}"/>
    <cellStyle name="Migliaia 35 9 2 3" xfId="44715" xr:uid="{376FA4DE-1C0C-40A6-8EF0-9D354A331F37}"/>
    <cellStyle name="Migliaia 35 9 3" xfId="36836" xr:uid="{39B0B3ED-949B-4E89-ABEC-883184C080EA}"/>
    <cellStyle name="Migliaia 35 9 4" xfId="42064" xr:uid="{0BDF31E5-3D37-4526-AB01-55C7A060DD9F}"/>
    <cellStyle name="Migliaia 35 9 5" xfId="17191" xr:uid="{9F07CAE0-E765-4173-9E96-422063B51408}"/>
    <cellStyle name="Migliaia 36" xfId="417" xr:uid="{00000000-0005-0000-0000-0000C4030000}"/>
    <cellStyle name="Migliaia 36 10" xfId="6489" xr:uid="{4EBF4E20-80F2-4EFB-B5A1-5DB72C738E78}"/>
    <cellStyle name="Migliaia 36 10 2" xfId="39414" xr:uid="{1B77723C-02D2-4253-A113-3407F725F674}"/>
    <cellStyle name="Migliaia 36 10 3" xfId="44716" xr:uid="{224B1FA7-794C-46D9-8799-89FF763F1527}"/>
    <cellStyle name="Migliaia 36 10 4" xfId="33894" xr:uid="{CD423B10-289B-4E57-B56B-371E0BA56BF3}"/>
    <cellStyle name="Migliaia 36 10 5" xfId="20471" xr:uid="{A4FC67D3-E1B6-47F6-8BE1-C06EE131325D}"/>
    <cellStyle name="Migliaia 36 11" xfId="3568" xr:uid="{58C08506-521C-4522-812C-5607456F48EC}"/>
    <cellStyle name="Migliaia 36 11 2" xfId="36837" xr:uid="{AA0BA897-14D6-4DF6-AEE1-9985FB89A781}"/>
    <cellStyle name="Migliaia 36 12" xfId="42065" xr:uid="{BD443297-653A-4A39-8FE3-ABC3BA9E84CF}"/>
    <cellStyle name="Migliaia 36 13" xfId="7129" xr:uid="{78745416-15C0-4FDC-8ECC-0D74A4A18205}"/>
    <cellStyle name="Migliaia 36 2" xfId="418" xr:uid="{00000000-0005-0000-0000-0000C5030000}"/>
    <cellStyle name="Migliaia 36 2 2" xfId="1801" xr:uid="{00000000-0005-0000-0000-0000C6030000}"/>
    <cellStyle name="Migliaia 36 2 2 2" xfId="5296" xr:uid="{87AB162F-C46D-4D3E-9D83-23DF47E7BF86}"/>
    <cellStyle name="Migliaia 36 2 2 2 2" xfId="14392" xr:uid="{97D12C7B-0BCA-4A37-9A0A-88AA9F7377D9}"/>
    <cellStyle name="Migliaia 36 2 2 2 2 2" xfId="39415" xr:uid="{7D0EDCE4-4346-4897-AF86-0471B06D0CB8}"/>
    <cellStyle name="Migliaia 36 2 2 2 2 3" xfId="44717" xr:uid="{FD8392DE-1DA6-4090-A0B1-D2BB82F98A0C}"/>
    <cellStyle name="Migliaia 36 2 2 2 3" xfId="18449" xr:uid="{8623052E-E55D-468F-98E8-5A999E1BCBF7}"/>
    <cellStyle name="Migliaia 36 2 2 2 4" xfId="20474" xr:uid="{141BF681-F26C-4A8B-80E7-BE724A19330F}"/>
    <cellStyle name="Migliaia 36 2 2 2 4 2" xfId="42066" xr:uid="{C8F3E92B-3763-487C-87D7-8E53A0901DD8}"/>
    <cellStyle name="Migliaia 36 2 2 2 5" xfId="16459" xr:uid="{81D1D569-C2C4-4B82-A382-5F13DDFC5383}"/>
    <cellStyle name="Migliaia 36 2 2 2 6" xfId="8655" xr:uid="{0DE3CDD1-EB14-47CE-AFBA-D9D69D1034C9}"/>
    <cellStyle name="Migliaia 36 2 2 3" xfId="6491" xr:uid="{79B82C90-20C7-43F5-A25A-6BB448AFF5C5}"/>
    <cellStyle name="Migliaia 36 2 2 3 2" xfId="35326" xr:uid="{6882CD6B-5C2F-472D-BEBB-D42706D862AF}"/>
    <cellStyle name="Migliaia 36 2 2 3 2 2" xfId="40486" xr:uid="{FC2300A7-B81E-4038-AA2A-39E3AD4B4141}"/>
    <cellStyle name="Migliaia 36 2 2 3 2 3" xfId="45788" xr:uid="{B4A85D73-A2C6-4F6C-AD85-BF0EB592B23E}"/>
    <cellStyle name="Migliaia 36 2 2 3 3" xfId="37835" xr:uid="{635350B5-777A-4E18-85BA-D676CBCE2BA9}"/>
    <cellStyle name="Migliaia 36 2 2 3 4" xfId="43137" xr:uid="{556C4E30-2615-483E-A2DF-CC9A3BE671D1}"/>
    <cellStyle name="Migliaia 36 2 2 3 5" xfId="11619" xr:uid="{C8675D5F-EAAD-488A-9445-A4CD5E3E97A2}"/>
    <cellStyle name="Migliaia 36 2 2 4" xfId="3570" xr:uid="{B6888A4E-D4EF-4401-B7E7-4950A8660E79}"/>
    <cellStyle name="Migliaia 36 2 2 4 2" xfId="21513" xr:uid="{8AE00B50-A1F6-490C-B2D7-E47ECD1693B9}"/>
    <cellStyle name="Migliaia 36 2 2 4 3" xfId="47677" xr:uid="{CD910940-C325-43A5-83F2-2F835A9DC051}"/>
    <cellStyle name="Migliaia 36 2 2 4 4" xfId="50528" xr:uid="{0D78005E-0E2D-4987-B8EB-4A8995B4A86E}"/>
    <cellStyle name="Migliaia 36 2 2 4 5" xfId="53544" xr:uid="{8E7BE9D5-743D-4839-9748-D6028AF7E5AE}"/>
    <cellStyle name="Migliaia 36 2 2 4 6" xfId="10878" xr:uid="{A6741AE2-8C7D-4A56-8F8A-ECD1D8B20579}"/>
    <cellStyle name="Migliaia 36 2 2 5" xfId="20473" xr:uid="{F343B374-A2F7-4EE7-A150-AA62DE8A4D8C}"/>
    <cellStyle name="Migliaia 36 2 2 6" xfId="24832" xr:uid="{52F02520-E755-4942-B6B7-E44B6CBAE4E6}"/>
    <cellStyle name="Migliaia 36 2 2 7" xfId="7465" xr:uid="{B7B4C0CC-0A66-4593-A5D4-F1FD786033C6}"/>
    <cellStyle name="Migliaia 36 2 3" xfId="3571" xr:uid="{8094135A-E435-4DA3-AA1A-041A3D620BE6}"/>
    <cellStyle name="Migliaia 36 2 3 2" xfId="5297" xr:uid="{9113FBDD-7221-4DC3-A464-F40898443AB4}"/>
    <cellStyle name="Migliaia 36 2 3 2 2" xfId="35327" xr:uid="{48FA998B-E839-45E7-83CE-F949C4080F0B}"/>
    <cellStyle name="Migliaia 36 2 3 2 2 2" xfId="40487" xr:uid="{284E1EDF-43D4-4FAB-B640-FEFDF9FFD535}"/>
    <cellStyle name="Migliaia 36 2 3 2 2 3" xfId="45789" xr:uid="{4BAE88DF-4E50-477D-99E1-9CA1EA40F9A2}"/>
    <cellStyle name="Migliaia 36 2 3 2 3" xfId="37836" xr:uid="{7BE50D8D-B8F5-4094-9570-E4148A657E9F}"/>
    <cellStyle name="Migliaia 36 2 3 2 4" xfId="43138" xr:uid="{D7070C03-0F43-4D39-A94B-6E8183EDB41A}"/>
    <cellStyle name="Migliaia 36 2 3 2 5" xfId="14267" xr:uid="{68088151-924D-4CAE-8CE3-71ACE08025FC}"/>
    <cellStyle name="Migliaia 36 2 3 3" xfId="6492" xr:uid="{5876BC9E-63CF-427D-BDF3-1400CC098E78}"/>
    <cellStyle name="Migliaia 36 2 3 3 2" xfId="39416" xr:uid="{C7F225D3-1124-422A-A22B-B6EDE41001EA}"/>
    <cellStyle name="Migliaia 36 2 3 3 3" xfId="44718" xr:uid="{71ED1ACD-3FAE-4AF0-8B58-EABD109E927D}"/>
    <cellStyle name="Migliaia 36 2 3 3 4" xfId="33895" xr:uid="{405B30BB-A270-4AA0-826C-A7CF357671A6}"/>
    <cellStyle name="Migliaia 36 2 3 3 5" xfId="20475" xr:uid="{8FFD3A4A-105F-4EB3-84A2-C552E2B03D7D}"/>
    <cellStyle name="Migliaia 36 2 3 4" xfId="36838" xr:uid="{3701ABCE-18F7-487C-B26A-43AFD0680A05}"/>
    <cellStyle name="Migliaia 36 2 3 5" xfId="42067" xr:uid="{5F3055B3-5D99-4E0B-B9D1-47D2F052E433}"/>
    <cellStyle name="Migliaia 36 2 3 6" xfId="16460" xr:uid="{62748B07-05F0-4EE2-A06A-03EC7EFD6D1D}"/>
    <cellStyle name="Migliaia 36 2 3 7" xfId="8329" xr:uid="{AAEFA122-BD25-4112-86DE-9B08CD50D5CE}"/>
    <cellStyle name="Migliaia 36 2 4" xfId="5295" xr:uid="{0384A640-D228-4056-99ED-66E3F6E79D3E}"/>
    <cellStyle name="Migliaia 36 2 4 2" xfId="13972" xr:uid="{47E2B3DC-375E-4DDD-8D72-EC3580CFF202}"/>
    <cellStyle name="Migliaia 36 2 4 2 2" xfId="39417" xr:uid="{ADB7633C-C35B-404F-AC05-FDAEF3634CCE}"/>
    <cellStyle name="Migliaia 36 2 4 2 3" xfId="44719" xr:uid="{E9E5FA52-D1E5-40E7-8E17-D66EB319193C}"/>
    <cellStyle name="Migliaia 36 2 4 3" xfId="18612" xr:uid="{B78D1614-897C-4FA0-9EA7-2AB879C9DF28}"/>
    <cellStyle name="Migliaia 36 2 4 4" xfId="20476" xr:uid="{DE71B8A1-8072-4123-B369-3CDE6E9CD971}"/>
    <cellStyle name="Migliaia 36 2 4 4 2" xfId="42068" xr:uid="{E611F0A1-9F82-4ABD-B8F1-C2F8473CDC46}"/>
    <cellStyle name="Migliaia 36 2 4 5" xfId="16461" xr:uid="{D4D7031C-B9DF-4013-8699-94B25270819C}"/>
    <cellStyle name="Migliaia 36 2 4 6" xfId="7939" xr:uid="{5DBC49E1-8100-4088-9734-1339BA9CFF28}"/>
    <cellStyle name="Migliaia 36 2 5" xfId="6490" xr:uid="{EC78BB23-7BE4-4354-A845-48A8F1BB148E}"/>
    <cellStyle name="Migliaia 36 2 5 2" xfId="33896" xr:uid="{79499D13-3108-44C0-914E-F3892B16ECD7}"/>
    <cellStyle name="Migliaia 36 2 5 2 2" xfId="39418" xr:uid="{182B7427-7DBA-4947-9528-6EEB055D82E3}"/>
    <cellStyle name="Migliaia 36 2 5 2 3" xfId="44720" xr:uid="{DEE5C170-2F07-4C2F-870F-0ADDE6976057}"/>
    <cellStyle name="Migliaia 36 2 5 3" xfId="36839" xr:uid="{46124F6F-891C-486F-B163-A18644F2802B}"/>
    <cellStyle name="Migliaia 36 2 5 4" xfId="42069" xr:uid="{D9DC65B5-A46E-4637-9411-A679225AE683}"/>
    <cellStyle name="Migliaia 36 2 5 5" xfId="13132" xr:uid="{904B0CB1-A8B0-47A0-A121-5DD75295368A}"/>
    <cellStyle name="Migliaia 36 2 6" xfId="3569" xr:uid="{6CD0B3D0-A4CE-4EDF-B1C6-2FA6BBC8FAE6}"/>
    <cellStyle name="Migliaia 36 2 6 2" xfId="33897" xr:uid="{AC9EB05A-F31B-4D48-8BBF-A48744B194B2}"/>
    <cellStyle name="Migliaia 36 2 6 2 2" xfId="39419" xr:uid="{4D192AF3-A505-4228-A62E-BAE1C644D6A5}"/>
    <cellStyle name="Migliaia 36 2 6 2 3" xfId="44721" xr:uid="{FC0F1878-F7C7-4246-A96C-91475F48FAF4}"/>
    <cellStyle name="Migliaia 36 2 6 3" xfId="36840" xr:uid="{D2A66AB2-44A5-40F6-A003-28DDCEFAB18C}"/>
    <cellStyle name="Migliaia 36 2 6 4" xfId="42070" xr:uid="{9386AA56-5CE8-4479-BF5C-C0443A311A5A}"/>
    <cellStyle name="Migliaia 36 2 6 5" xfId="24833" xr:uid="{04DA511E-C193-4F1F-A2D9-1C77B5D40DCF}"/>
    <cellStyle name="Migliaia 36 2 6 6" xfId="20472" xr:uid="{4FE9DDF1-899F-474D-BFC9-E49F90B81F95}"/>
    <cellStyle name="Migliaia 36 2 7" xfId="24831" xr:uid="{8080D3BE-4741-4CCB-BFDE-3083AB10172C}"/>
    <cellStyle name="Migliaia 36 2 8" xfId="7130" xr:uid="{7ACEB17C-22D0-4F82-A6CE-9FCB3AC3C7CA}"/>
    <cellStyle name="Migliaia 36 3" xfId="419" xr:uid="{00000000-0005-0000-0000-0000C7030000}"/>
    <cellStyle name="Migliaia 36 3 10" xfId="24834" xr:uid="{05C2ED4A-C77C-4DE8-BDF3-9318CF8AF51C}"/>
    <cellStyle name="Migliaia 36 3 11" xfId="16462" xr:uid="{93EEF814-95F1-433E-ACB6-A6288DF9E7C6}"/>
    <cellStyle name="Migliaia 36 3 12" xfId="7131" xr:uid="{BDA04A7A-A35C-4D8F-A3BC-074B9F13A69B}"/>
    <cellStyle name="Migliaia 36 3 2" xfId="420" xr:uid="{00000000-0005-0000-0000-0000C8030000}"/>
    <cellStyle name="Migliaia 36 3 2 2" xfId="1802" xr:uid="{00000000-0005-0000-0000-0000C9030000}"/>
    <cellStyle name="Migliaia 36 3 2 2 2" xfId="5300" xr:uid="{A68C6E22-AFB7-4031-B00E-51E5168B3A9A}"/>
    <cellStyle name="Migliaia 36 3 2 2 2 2" xfId="18450" xr:uid="{0AE75AE1-C918-49FE-B773-7453C6F66CAC}"/>
    <cellStyle name="Migliaia 36 3 2 2 2 2 2" xfId="21870" xr:uid="{CBA4D7FF-7D4E-444D-A397-C074200AB5FB}"/>
    <cellStyle name="Migliaia 36 3 2 2 2 2 2 2" xfId="39420" xr:uid="{D30E7227-BCC3-4BB1-8D77-DFEEF75F037A}"/>
    <cellStyle name="Migliaia 36 3 2 2 2 2 3" xfId="44722" xr:uid="{9047D978-95A7-49BF-A0DF-614AABD38FD0}"/>
    <cellStyle name="Migliaia 36 3 2 2 2 2 4" xfId="33898" xr:uid="{3A1F09CD-B7EB-4ABD-B787-F96F3B573FB2}"/>
    <cellStyle name="Migliaia 36 3 2 2 2 3" xfId="36841" xr:uid="{CECBA0DC-1C8A-47FA-AA63-5872CF081AA0}"/>
    <cellStyle name="Migliaia 36 3 2 2 2 4" xfId="42071" xr:uid="{3B6EB353-F640-47B3-A743-F97E75D1BABB}"/>
    <cellStyle name="Migliaia 36 3 2 2 2 5" xfId="34221" xr:uid="{864F0341-1164-4D0D-B3F1-81C68DE0FB7D}"/>
    <cellStyle name="Migliaia 36 3 2 2 2 6" xfId="50898" xr:uid="{A58A1FD4-4DBF-4941-A2A0-0952F9695287}"/>
    <cellStyle name="Migliaia 36 3 2 2 2 7" xfId="53914" xr:uid="{CC32B9F3-9D61-4546-AB29-DF7D86DBDA99}"/>
    <cellStyle name="Migliaia 36 3 2 2 2 8" xfId="17667" xr:uid="{134703B5-8509-42BE-AA88-E871B3DC78B6}"/>
    <cellStyle name="Migliaia 36 3 2 2 2 9" xfId="12003" xr:uid="{ED95BD90-8DAE-4314-86FA-DEA4114A027B}"/>
    <cellStyle name="Migliaia 36 3 2 2 3" xfId="6495" xr:uid="{992A68F2-B6EC-4E0D-8040-E303B710EE84}"/>
    <cellStyle name="Migliaia 36 3 2 2 3 2" xfId="12173" xr:uid="{55C2DC19-72E6-4D9D-A6FD-958E8F0E0F22}"/>
    <cellStyle name="Migliaia 36 3 2 2 4" xfId="3574" xr:uid="{337A7159-65BB-44AF-B25E-1C075E098118}"/>
    <cellStyle name="Migliaia 36 3 2 2 4 2" xfId="21514" xr:uid="{4A479141-B22A-48B3-B810-8362F3F668A4}"/>
    <cellStyle name="Migliaia 36 3 2 2 4 3" xfId="48282" xr:uid="{4BDE52A2-7AD3-432A-A9FF-34341121F1FC}"/>
    <cellStyle name="Migliaia 36 3 2 2 4 4" xfId="50529" xr:uid="{AAE8042A-D213-4B56-A5EF-BFF828BBC076}"/>
    <cellStyle name="Migliaia 36 3 2 2 4 5" xfId="53545" xr:uid="{58BAC94D-2C82-4CF2-ADD7-B9AFE8DD4657}"/>
    <cellStyle name="Migliaia 36 3 2 2 4 6" xfId="10879" xr:uid="{93DDFA7C-F657-4C3D-BF3F-4BF7FB6E34E2}"/>
    <cellStyle name="Migliaia 36 3 2 2 5" xfId="20479" xr:uid="{CB935A20-7E65-42E6-AD15-ADDD65223421}"/>
    <cellStyle name="Migliaia 36 3 2 2 6" xfId="24836" xr:uid="{FA882C5B-F746-4FEC-89ED-0F15DD54C48C}"/>
    <cellStyle name="Migliaia 36 3 2 2 7" xfId="8657" xr:uid="{8E912580-E3FF-4ECB-9BEA-E94AD99073AB}"/>
    <cellStyle name="Migliaia 36 3 2 3" xfId="5299" xr:uid="{4154503D-E0A1-442E-B8FA-37ACEAAF403B}"/>
    <cellStyle name="Migliaia 36 3 2 3 2" xfId="11545" xr:uid="{E0862835-E32A-45B1-82A4-C44905CF8463}"/>
    <cellStyle name="Migliaia 36 3 2 3 2 2" xfId="39421" xr:uid="{1882E14A-40F0-4839-AD03-2038782E9505}"/>
    <cellStyle name="Migliaia 36 3 2 3 2 3" xfId="44723" xr:uid="{BD8B55ED-CE25-4BC6-AF2D-8D7DBF37012F}"/>
    <cellStyle name="Migliaia 36 3 2 3 2 4" xfId="33899" xr:uid="{A12C6DBD-2C4B-41C3-8CB5-699C20695650}"/>
    <cellStyle name="Migliaia 36 3 2 3 3" xfId="12004" xr:uid="{87F9A3CA-C4A1-4DEB-A221-292BE76D45F5}"/>
    <cellStyle name="Migliaia 36 3 2 3 4" xfId="20480" xr:uid="{47279AB4-5F92-466D-88B9-E5341DC45542}"/>
    <cellStyle name="Migliaia 36 3 2 3 4 2" xfId="42072" xr:uid="{1C9683CF-A354-4243-B482-43D6EB002F69}"/>
    <cellStyle name="Migliaia 36 3 2 3 5" xfId="16463" xr:uid="{7F5B7541-03A9-48A5-A3B5-1D9DB21DA7B8}"/>
    <cellStyle name="Migliaia 36 3 2 3 6" xfId="7941" xr:uid="{E0DDB3A5-4BD1-4C87-8427-9CF237AA4B44}"/>
    <cellStyle name="Migliaia 36 3 2 4" xfId="6494" xr:uid="{579800BC-9E19-4ECE-B2ED-51F95B17AFCE}"/>
    <cellStyle name="Migliaia 36 3 2 4 2" xfId="18086" xr:uid="{9420A33A-3AF6-4CDF-B3A5-CD6A2545A258}"/>
    <cellStyle name="Migliaia 36 3 2 4 2 2" xfId="39422" xr:uid="{48FAA461-814A-4ABE-A930-17BBFB470268}"/>
    <cellStyle name="Migliaia 36 3 2 4 2 3" xfId="44724" xr:uid="{C60E253C-F9AE-4A41-9734-0A01B16B7134}"/>
    <cellStyle name="Migliaia 36 3 2 4 3" xfId="36842" xr:uid="{FC5AAA75-6372-468C-854A-452880F7B303}"/>
    <cellStyle name="Migliaia 36 3 2 4 4" xfId="42073" xr:uid="{0A589F53-445A-4FC7-81AD-C805EC45020E}"/>
    <cellStyle name="Migliaia 36 3 2 4 5" xfId="17194" xr:uid="{92C12346-4C87-49FD-ACF7-893389A2F5EE}"/>
    <cellStyle name="Migliaia 36 3 2 4 6" xfId="11352" xr:uid="{380D8714-9D64-4F16-995E-478CD1C79B53}"/>
    <cellStyle name="Migliaia 36 3 2 5" xfId="3573" xr:uid="{D32DA5F0-6200-40A4-A83D-F8DC007C46F0}"/>
    <cellStyle name="Migliaia 36 3 2 5 2" xfId="33900" xr:uid="{B5AA1899-310D-4457-96F4-A19D15177A85}"/>
    <cellStyle name="Migliaia 36 3 2 5 2 2" xfId="39423" xr:uid="{1F166513-3FB5-42DA-83BF-6BAE2BA23DC8}"/>
    <cellStyle name="Migliaia 36 3 2 5 2 3" xfId="44725" xr:uid="{117D172F-1121-4149-8278-A226CA6169F4}"/>
    <cellStyle name="Migliaia 36 3 2 5 3" xfId="36843" xr:uid="{75072238-E470-418E-B44D-3D1E316EAC9D}"/>
    <cellStyle name="Migliaia 36 3 2 5 4" xfId="42074" xr:uid="{82D8CDD8-82EB-40EA-822B-3511CE8A6713}"/>
    <cellStyle name="Migliaia 36 3 2 5 5" xfId="17339" xr:uid="{C4362ED0-CCE6-4D60-AD98-A7EAF93CB217}"/>
    <cellStyle name="Migliaia 36 3 2 6" xfId="20478" xr:uid="{7B628A51-F324-47CA-856B-4A33EBD4C146}"/>
    <cellStyle name="Migliaia 36 3 2 6 2" xfId="33901" xr:uid="{506C3313-B2B2-477C-8243-FB7131671C2E}"/>
    <cellStyle name="Migliaia 36 3 2 6 2 2" xfId="39424" xr:uid="{FAE582FA-1934-4136-9183-8E42E2C9ED2A}"/>
    <cellStyle name="Migliaia 36 3 2 6 2 3" xfId="44726" xr:uid="{C68E5F90-25AE-4075-A343-9D7B7DE60DD0}"/>
    <cellStyle name="Migliaia 36 3 2 6 3" xfId="36844" xr:uid="{7B41E84E-1FB0-4183-9806-67196AFC9401}"/>
    <cellStyle name="Migliaia 36 3 2 6 4" xfId="42075" xr:uid="{FE2CBC31-0DFB-45B2-B2BA-3CFAEF4E0FBC}"/>
    <cellStyle name="Migliaia 36 3 2 6 5" xfId="24837" xr:uid="{A70E5667-BF9B-4EB0-B703-EF400AF6100F}"/>
    <cellStyle name="Migliaia 36 3 2 7" xfId="24835" xr:uid="{C06817C7-AFD6-4F4E-A435-25B116BB4658}"/>
    <cellStyle name="Migliaia 36 3 2 8" xfId="7467" xr:uid="{03A560B9-4161-49C7-8AA6-0F0B07432838}"/>
    <cellStyle name="Migliaia 36 3 3" xfId="3575" xr:uid="{1DBB7E85-626C-42CC-8543-D54BD0C386D4}"/>
    <cellStyle name="Migliaia 36 3 3 10" xfId="7466" xr:uid="{AE4E723B-C728-4774-A0E5-13B840D4DABD}"/>
    <cellStyle name="Migliaia 36 3 3 2" xfId="5301" xr:uid="{3A0810FC-82D8-485D-B108-E6ABE8150B57}"/>
    <cellStyle name="Migliaia 36 3 3 2 2" xfId="9940" xr:uid="{0E045777-23DA-405D-8422-D1A78FB4E193}"/>
    <cellStyle name="Migliaia 36 3 3 2 2 2" xfId="39426" xr:uid="{5A94322E-24B1-42B6-A3CE-C4FA798C3852}"/>
    <cellStyle name="Migliaia 36 3 3 2 2 3" xfId="44728" xr:uid="{362060BC-8FF0-4494-A546-F09F3FF4CF19}"/>
    <cellStyle name="Migliaia 36 3 3 2 3" xfId="18220" xr:uid="{B223D836-8D43-4A0E-8F46-144F9184F6C9}"/>
    <cellStyle name="Migliaia 36 3 3 2 4" xfId="20482" xr:uid="{BBA352EF-4EB5-49B2-94D9-6B01DB85D091}"/>
    <cellStyle name="Migliaia 36 3 3 2 4 2" xfId="42077" xr:uid="{69748A5B-9D5D-47F7-BC23-1C6AFE637931}"/>
    <cellStyle name="Migliaia 36 3 3 2 5" xfId="16465" xr:uid="{459BB27F-5947-434F-99F9-BDC8E38C103B}"/>
    <cellStyle name="Migliaia 36 3 3 2 6" xfId="8656" xr:uid="{046E0377-7A17-4434-9D44-9A8192E5BEBE}"/>
    <cellStyle name="Migliaia 36 3 3 3" xfId="6496" xr:uid="{03093440-5518-4180-BE9E-119CCD99DE4E}"/>
    <cellStyle name="Migliaia 36 3 3 3 2" xfId="33903" xr:uid="{C3E8F64E-216D-4A98-8955-3F649B8C1CC3}"/>
    <cellStyle name="Migliaia 36 3 3 3 2 2" xfId="39427" xr:uid="{2E5D69F1-D2AF-4AB7-B4D4-4E7B5BC05D9D}"/>
    <cellStyle name="Migliaia 36 3 3 3 2 3" xfId="44729" xr:uid="{47B782FE-680D-4023-AF18-2E3D71878C16}"/>
    <cellStyle name="Migliaia 36 3 3 3 3" xfId="36846" xr:uid="{057D4F3A-C5F0-441A-806E-6F80D754F3A9}"/>
    <cellStyle name="Migliaia 36 3 3 3 4" xfId="42078" xr:uid="{44A17FD5-1BCD-4EF2-B9C4-2ECF294912D3}"/>
    <cellStyle name="Migliaia 36 3 3 3 5" xfId="9703" xr:uid="{DB5C8FDD-64DE-49CC-8C0A-A31D2CB08C04}"/>
    <cellStyle name="Migliaia 36 3 3 4" xfId="20481" xr:uid="{742A8561-DC10-4B10-89D8-1F7AF7293BD6}"/>
    <cellStyle name="Migliaia 36 3 3 4 2" xfId="33904" xr:uid="{CBF9C1AA-F0EA-4F8E-800A-B3E266B1477A}"/>
    <cellStyle name="Migliaia 36 3 3 4 2 2" xfId="39428" xr:uid="{9B1B3926-5D30-4B49-8FFB-2B420180750D}"/>
    <cellStyle name="Migliaia 36 3 3 4 2 3" xfId="44730" xr:uid="{E08C8015-073A-44DD-8C6A-B800E2F9E4EF}"/>
    <cellStyle name="Migliaia 36 3 3 4 3" xfId="36847" xr:uid="{E5BBC612-F97E-4A79-A096-C95C62A0532D}"/>
    <cellStyle name="Migliaia 36 3 3 4 4" xfId="42079" xr:uid="{CAF426EF-C40D-4F87-8F2D-B9528B60D6B2}"/>
    <cellStyle name="Migliaia 36 3 3 4 5" xfId="24838" xr:uid="{3FC16F62-CA16-440B-A5EC-1636C8D18A66}"/>
    <cellStyle name="Migliaia 36 3 3 5" xfId="24839" xr:uid="{D377D0BF-3DC5-4582-9299-6FDFE6578186}"/>
    <cellStyle name="Migliaia 36 3 3 5 2" xfId="33905" xr:uid="{BF3C30DD-A56D-4D7E-A18E-F0FD3C23DE08}"/>
    <cellStyle name="Migliaia 36 3 3 5 2 2" xfId="39429" xr:uid="{C9CD9B14-C363-4FC7-AD7A-DF95BC807425}"/>
    <cellStyle name="Migliaia 36 3 3 5 2 3" xfId="44731" xr:uid="{C3F188C2-8C14-4317-8343-29D6B303B124}"/>
    <cellStyle name="Migliaia 36 3 3 5 3" xfId="36848" xr:uid="{DDB03E3E-9102-4593-99E1-CC7B2F57D0BE}"/>
    <cellStyle name="Migliaia 36 3 3 5 4" xfId="42080" xr:uid="{8E177F9C-89E9-4A97-9801-1D2ABD3B053B}"/>
    <cellStyle name="Migliaia 36 3 3 6" xfId="33902" xr:uid="{5E404858-E3D1-4C7F-8F22-2E408BC8BF10}"/>
    <cellStyle name="Migliaia 36 3 3 6 2" xfId="39425" xr:uid="{4A36A7CB-634A-41F9-8A01-B0A9025D97E1}"/>
    <cellStyle name="Migliaia 36 3 3 6 3" xfId="44727" xr:uid="{17EC7732-F656-42B2-907F-9D9917EEE6C3}"/>
    <cellStyle name="Migliaia 36 3 3 7" xfId="36845" xr:uid="{66F2E748-4459-45F1-AC11-CB3A756223EF}"/>
    <cellStyle name="Migliaia 36 3 3 8" xfId="42076" xr:uid="{692E1DF2-BCA5-44F4-AF3D-11D61C5B4455}"/>
    <cellStyle name="Migliaia 36 3 3 9" xfId="16464" xr:uid="{028A8858-589A-43CC-BB7B-CDAC0661F681}"/>
    <cellStyle name="Migliaia 36 3 4" xfId="3576" xr:uid="{3C366B86-3260-4393-BB3C-3852064D4B57}"/>
    <cellStyle name="Migliaia 36 3 4 2" xfId="5302" xr:uid="{DF2916DD-A922-4D44-A80D-B4559848DC9B}"/>
    <cellStyle name="Migliaia 36 3 4 2 2" xfId="14452" xr:uid="{EE63CB77-F4F1-45F1-B3C4-DA91BFA537B3}"/>
    <cellStyle name="Migliaia 36 3 4 2 3" xfId="18582" xr:uid="{98DE43FF-5D29-425F-B7A9-38E5C04A4F96}"/>
    <cellStyle name="Migliaia 36 3 4 2 4" xfId="20484" xr:uid="{BEE14D52-9E50-4050-89B0-DFE822E3D1E1}"/>
    <cellStyle name="Migliaia 36 3 4 2 5" xfId="32389" xr:uid="{D2ABE191-6DF7-4334-B52E-432819D67918}"/>
    <cellStyle name="Migliaia 36 3 4 2 6" xfId="16467" xr:uid="{A7034F77-CCD9-4C3F-B638-757ED856AC19}"/>
    <cellStyle name="Migliaia 36 3 4 2 7" xfId="8875" xr:uid="{30F53B32-5572-4470-99C9-746B8A918D2C}"/>
    <cellStyle name="Migliaia 36 3 4 3" xfId="6497" xr:uid="{85C9C61A-2BBB-452B-8B33-44913060BCB7}"/>
    <cellStyle name="Migliaia 36 3 4 3 2" xfId="35328" xr:uid="{6190AC00-BAED-4B85-90F9-CCE0B4F43B17}"/>
    <cellStyle name="Migliaia 36 3 4 3 2 2" xfId="40488" xr:uid="{A82EE6B0-542F-4457-ADA3-EF0EA7AFFAC7}"/>
    <cellStyle name="Migliaia 36 3 4 3 2 3" xfId="45790" xr:uid="{A38D578D-B3B7-462A-BA40-5DE22FF6D380}"/>
    <cellStyle name="Migliaia 36 3 4 3 3" xfId="37837" xr:uid="{B503AF36-ACFC-4F6A-ADDA-285922795E33}"/>
    <cellStyle name="Migliaia 36 3 4 3 4" xfId="43139" xr:uid="{592E4CA8-F9D8-4E11-8157-912BB7BDD6A2}"/>
    <cellStyle name="Migliaia 36 3 4 3 5" xfId="13700" xr:uid="{8C323E83-DD3C-4C62-A753-AA8D9C389B76}"/>
    <cellStyle name="Migliaia 36 3 4 4" xfId="20483" xr:uid="{CE3E503F-46E9-4208-8AEE-BDE2E6289D2C}"/>
    <cellStyle name="Migliaia 36 3 4 4 2" xfId="39430" xr:uid="{9E26519A-7AB5-4D84-9F7A-E298A4A6797E}"/>
    <cellStyle name="Migliaia 36 3 4 4 3" xfId="44732" xr:uid="{FDB52958-1563-4CB1-A322-56245D1117E9}"/>
    <cellStyle name="Migliaia 36 3 4 4 4" xfId="33906" xr:uid="{308926A8-307A-4D4E-9906-F663FD0680EE}"/>
    <cellStyle name="Migliaia 36 3 4 5" xfId="36849" xr:uid="{090AB221-139F-414B-95EE-B39DD888148E}"/>
    <cellStyle name="Migliaia 36 3 4 6" xfId="42081" xr:uid="{E4847883-5E17-432F-AE3C-6B236B18B24C}"/>
    <cellStyle name="Migliaia 36 3 4 7" xfId="16466" xr:uid="{21D8ADD5-9733-4419-BA1F-CDE6C05B11C5}"/>
    <cellStyle name="Migliaia 36 3 4 8" xfId="7685" xr:uid="{9295684D-59DA-45A8-84D3-2B8D4030A9C8}"/>
    <cellStyle name="Migliaia 36 3 5" xfId="3577" xr:uid="{E32069A4-8CE1-46AE-9FBF-9A8E9DA3F600}"/>
    <cellStyle name="Migliaia 36 3 5 2" xfId="5303" xr:uid="{07FD3BAC-84CC-4A28-A924-DB3C71700492}"/>
    <cellStyle name="Migliaia 36 3 5 2 2" xfId="35329" xr:uid="{A4E1ACE6-F7CA-4B1C-9B80-23509FC61572}"/>
    <cellStyle name="Migliaia 36 3 5 2 2 2" xfId="40489" xr:uid="{FD25F39A-87BE-4DC8-BD05-C8031F41350C}"/>
    <cellStyle name="Migliaia 36 3 5 2 2 3" xfId="45791" xr:uid="{83361D3C-3677-4626-95C5-DC01E22756EA}"/>
    <cellStyle name="Migliaia 36 3 5 2 3" xfId="37838" xr:uid="{7F6ECD10-0D17-49EF-95A2-4E1DD032BBC3}"/>
    <cellStyle name="Migliaia 36 3 5 2 4" xfId="43140" xr:uid="{1B680D8D-FC69-4472-9AFD-349A32812F4E}"/>
    <cellStyle name="Migliaia 36 3 5 2 5" xfId="14268" xr:uid="{DD1814F6-4B6A-48D1-B43C-DB12D378A566}"/>
    <cellStyle name="Migliaia 36 3 5 3" xfId="6498" xr:uid="{90C877CF-C853-43BF-B00E-2D9D705D00BC}"/>
    <cellStyle name="Migliaia 36 3 5 3 2" xfId="39431" xr:uid="{E807924A-5844-4F4D-B013-FDA2AD3871C7}"/>
    <cellStyle name="Migliaia 36 3 5 3 3" xfId="44733" xr:uid="{F52D4798-6AD9-48DD-911E-BD15D02C45D6}"/>
    <cellStyle name="Migliaia 36 3 5 3 4" xfId="33907" xr:uid="{2CA2B84D-C7B9-4EEB-A32B-87FE037F8257}"/>
    <cellStyle name="Migliaia 36 3 5 3 5" xfId="20485" xr:uid="{FE79506D-2AF5-4551-8114-4570C335B777}"/>
    <cellStyle name="Migliaia 36 3 5 4" xfId="36850" xr:uid="{0BD02983-F368-4408-B3F9-1BECE077ABC6}"/>
    <cellStyle name="Migliaia 36 3 5 5" xfId="42082" xr:uid="{E87345A0-3375-4874-810D-BD162C18C00C}"/>
    <cellStyle name="Migliaia 36 3 5 6" xfId="16468" xr:uid="{E3DE6576-090D-41A2-B289-6F7EAE4B744F}"/>
    <cellStyle name="Migliaia 36 3 5 7" xfId="8330" xr:uid="{BBEF1296-4363-4718-AB3F-7C15CACBCDDF}"/>
    <cellStyle name="Migliaia 36 3 6" xfId="5298" xr:uid="{5ACC02D6-41A4-4405-8785-70D55A2359E1}"/>
    <cellStyle name="Migliaia 36 3 6 2" xfId="13973" xr:uid="{624D3C30-9198-4E0A-BDCE-459E6C027E67}"/>
    <cellStyle name="Migliaia 36 3 6 2 2" xfId="39432" xr:uid="{63F31C34-EC4E-4C4E-A086-6EBCC68E1E92}"/>
    <cellStyle name="Migliaia 36 3 6 2 3" xfId="44734" xr:uid="{B333190C-1983-4265-A476-F6AAD081DF40}"/>
    <cellStyle name="Migliaia 36 3 6 3" xfId="18561" xr:uid="{6AC15317-E575-49CC-A4AC-E6DB535EAC0D}"/>
    <cellStyle name="Migliaia 36 3 6 4" xfId="20486" xr:uid="{98A866AE-E99B-4A74-A7B6-1DD6C08A6CF6}"/>
    <cellStyle name="Migliaia 36 3 6 4 2" xfId="42083" xr:uid="{D7E12C49-1D26-44AD-8803-E576EC29FB7E}"/>
    <cellStyle name="Migliaia 36 3 6 5" xfId="16469" xr:uid="{407E93A1-F592-4B92-8449-395B3CCE5BDC}"/>
    <cellStyle name="Migliaia 36 3 6 6" xfId="7940" xr:uid="{252BD699-3F28-4BB4-AEC5-1583546D6F1A}"/>
    <cellStyle name="Migliaia 36 3 7" xfId="6493" xr:uid="{F1B11BC4-F524-4F0C-A10F-DDA2BEBFAC9B}"/>
    <cellStyle name="Migliaia 36 3 7 2" xfId="33908" xr:uid="{29006B68-29BC-4A85-94BB-6D37CA4E0029}"/>
    <cellStyle name="Migliaia 36 3 7 2 2" xfId="39433" xr:uid="{57392AF9-E315-4749-8816-B3B8DF036693}"/>
    <cellStyle name="Migliaia 36 3 7 2 3" xfId="44735" xr:uid="{A7415F97-C59F-4F42-AC2B-CE82D35A9640}"/>
    <cellStyle name="Migliaia 36 3 7 3" xfId="36851" xr:uid="{0368496F-7FCD-4C7C-9AAA-5E8447C1929B}"/>
    <cellStyle name="Migliaia 36 3 7 4" xfId="42084" xr:uid="{87DEE3D2-F370-4EB7-A53E-22C9266C968E}"/>
    <cellStyle name="Migliaia 36 3 7 5" xfId="11219" xr:uid="{5D910BE9-0BB8-45FF-9236-7E369E2EA820}"/>
    <cellStyle name="Migliaia 36 3 8" xfId="3572" xr:uid="{C7D91E42-3FF5-4A73-83A9-C67D74F13EC0}"/>
    <cellStyle name="Migliaia 36 3 8 2" xfId="33909" xr:uid="{54A140D0-9CC9-48FA-9F24-813696377B06}"/>
    <cellStyle name="Migliaia 36 3 8 2 2" xfId="39434" xr:uid="{3EFF636F-1CC6-4D32-A0C9-5B65C0DD649B}"/>
    <cellStyle name="Migliaia 36 3 8 2 3" xfId="44736" xr:uid="{C59F0859-960E-4D14-AF33-1C6CAE153735}"/>
    <cellStyle name="Migliaia 36 3 8 3" xfId="36852" xr:uid="{DF8C79A7-B41C-4FEC-B976-E4E5015DF8B9}"/>
    <cellStyle name="Migliaia 36 3 8 4" xfId="42085" xr:uid="{B691E97A-F76C-4C4D-AA13-5E3D573E35F4}"/>
    <cellStyle name="Migliaia 36 3 8 5" xfId="24840" xr:uid="{C701881A-06E7-4E04-81B0-7E63260CF4C7}"/>
    <cellStyle name="Migliaia 36 3 8 6" xfId="17340" xr:uid="{6CFB5F46-100D-4E6C-B6D1-7C86F11A2669}"/>
    <cellStyle name="Migliaia 36 3 9" xfId="20477" xr:uid="{F6C684EB-9BF3-4822-835C-96C9D665B1C1}"/>
    <cellStyle name="Migliaia 36 4" xfId="1803" xr:uid="{00000000-0005-0000-0000-0000CA030000}"/>
    <cellStyle name="Migliaia 36 4 2" xfId="1804" xr:uid="{00000000-0005-0000-0000-0000CB030000}"/>
    <cellStyle name="Migliaia 36 4 2 2" xfId="5305" xr:uid="{4C27EBBB-E07F-4F03-A5E2-C47F22F7B4F7}"/>
    <cellStyle name="Migliaia 36 4 2 2 2" xfId="33910" xr:uid="{9C3832D7-665A-41C2-BED7-5DF08FBC3DD0}"/>
    <cellStyle name="Migliaia 36 4 2 2 2 2" xfId="39435" xr:uid="{E445EBB3-D3BE-4C15-89E4-C656A758F579}"/>
    <cellStyle name="Migliaia 36 4 2 2 2 3" xfId="44737" xr:uid="{47176AEA-A2C8-463C-8D5E-B034DBE88F03}"/>
    <cellStyle name="Migliaia 36 4 2 2 3" xfId="36853" xr:uid="{2B7C91D8-2FE6-4007-8C7A-AD1C80F3D021}"/>
    <cellStyle name="Migliaia 36 4 2 2 4" xfId="42086" xr:uid="{DC7B8D2F-DE08-443C-8B88-4FDA17D1B416}"/>
    <cellStyle name="Migliaia 36 4 2 2 5" xfId="9166" xr:uid="{83408B39-B3C5-4003-A8AD-696AB17B8B38}"/>
    <cellStyle name="Migliaia 36 4 2 3" xfId="3579" xr:uid="{FFA56A31-073A-42D4-94F7-8AFDEAF08229}"/>
    <cellStyle name="Migliaia 36 4 2 3 2" xfId="33911" xr:uid="{CD620643-9DE6-490D-BFD8-F05614ADAAE9}"/>
    <cellStyle name="Migliaia 36 4 2 3 2 2" xfId="39436" xr:uid="{DF39283A-C868-41FF-BE35-F58E7E39DB01}"/>
    <cellStyle name="Migliaia 36 4 2 3 2 3" xfId="44738" xr:uid="{96981CD3-6F2C-44CC-9A22-2358694E7F6F}"/>
    <cellStyle name="Migliaia 36 4 2 3 3" xfId="36854" xr:uid="{C34E303E-540C-481C-A63F-DC5FA3A049EE}"/>
    <cellStyle name="Migliaia 36 4 2 3 4" xfId="42087" xr:uid="{7F50327D-6F92-4863-BE64-1B35CD05CC3A}"/>
    <cellStyle name="Migliaia 36 4 2 3 5" xfId="12005" xr:uid="{0F8F446B-962B-46E8-8555-26AEC8B74491}"/>
    <cellStyle name="Migliaia 36 4 2 4" xfId="11354" xr:uid="{16FDEE46-0A33-4ACD-98F0-E4BAC4868DA5}"/>
    <cellStyle name="Migliaia 36 4 2 5" xfId="10881" xr:uid="{2201E4F8-CBB1-40C6-9622-B313B8646819}"/>
    <cellStyle name="Migliaia 36 4 2 5 2" xfId="21516" xr:uid="{675DBB6D-B31B-4680-BB69-98AE6632F0CD}"/>
    <cellStyle name="Migliaia 36 4 2 5 3" xfId="23993" xr:uid="{AEEF6ED9-4CDF-40F0-9FD6-C86F27FE3CB1}"/>
    <cellStyle name="Migliaia 36 4 2 5 4" xfId="50531" xr:uid="{714CA27D-2464-44BC-A3C8-F7BE90025D45}"/>
    <cellStyle name="Migliaia 36 4 2 5 5" xfId="53547" xr:uid="{FF3CB944-FF29-4AB7-9DE1-48211BFDD2CC}"/>
    <cellStyle name="Migliaia 36 4 2 6" xfId="20488" xr:uid="{F44E2622-C85E-419A-A9F1-85699115D0F0}"/>
    <cellStyle name="Migliaia 36 4 2 7" xfId="24842" xr:uid="{E81E4286-9DD8-49B7-8543-2831F0238ABD}"/>
    <cellStyle name="Migliaia 36 4 2 8" xfId="8658" xr:uid="{B152C6D7-D46B-4056-A350-A882DEC95EE6}"/>
    <cellStyle name="Migliaia 36 4 3" xfId="5304" xr:uid="{04A047A6-60DC-4221-913F-711DDFC82C1D}"/>
    <cellStyle name="Migliaia 36 4 3 2" xfId="18221" xr:uid="{D5CB2AF9-6E34-4590-8011-BD85B8A949A8}"/>
    <cellStyle name="Migliaia 36 4 3 2 2" xfId="39437" xr:uid="{1EA7BF1D-54E4-4360-8058-8C541F77F218}"/>
    <cellStyle name="Migliaia 36 4 3 2 3" xfId="44739" xr:uid="{A6D5FB23-9CA7-4B15-860D-09083229EAAC}"/>
    <cellStyle name="Migliaia 36 4 3 3" xfId="36855" xr:uid="{4FAC4CA9-8D99-4380-802D-8A814DE25492}"/>
    <cellStyle name="Migliaia 36 4 3 4" xfId="42088" xr:uid="{776AF7CE-91DF-4B4F-9EDC-A74E185265A4}"/>
    <cellStyle name="Migliaia 36 4 3 5" xfId="17338" xr:uid="{ADF40597-17F9-447B-9FFA-3950B7BDF2EC}"/>
    <cellStyle name="Migliaia 36 4 3 6" xfId="9167" xr:uid="{2214FF59-B4FD-4BF7-A68A-EE506B49B406}"/>
    <cellStyle name="Migliaia 36 4 4" xfId="6499" xr:uid="{2371A2A9-4FF4-45B4-9770-B967FD6D8E6A}"/>
    <cellStyle name="Migliaia 36 4 4 2" xfId="33912" xr:uid="{961C3FAB-B7B7-48A4-844B-E2D2E6459D85}"/>
    <cellStyle name="Migliaia 36 4 4 2 2" xfId="39438" xr:uid="{D5DF14F8-3E7C-47C3-8038-B8FD81BCB46D}"/>
    <cellStyle name="Migliaia 36 4 4 2 3" xfId="44740" xr:uid="{2117FCC7-D61A-4A02-A2C9-FFD9DD875E13}"/>
    <cellStyle name="Migliaia 36 4 4 3" xfId="36856" xr:uid="{5DC0DC9B-20B9-411B-9AF4-E6E50AE3A42D}"/>
    <cellStyle name="Migliaia 36 4 4 4" xfId="42089" xr:uid="{F05E285B-9B32-44FD-9784-6788CC6C7E04}"/>
    <cellStyle name="Migliaia 36 4 4 5" xfId="12006" xr:uid="{0CF6FFE3-AA4F-464D-9DB8-79292FD44B59}"/>
    <cellStyle name="Migliaia 36 4 5" xfId="3578" xr:uid="{F9AA01AE-88FD-4C30-BEF5-6D24043AF8BC}"/>
    <cellStyle name="Migliaia 36 4 5 2" xfId="33913" xr:uid="{04866215-6E07-416A-BF94-97BD1EF51F26}"/>
    <cellStyle name="Migliaia 36 4 5 2 2" xfId="39439" xr:uid="{C8D755EC-1785-45EC-BAB6-338A1D774878}"/>
    <cellStyle name="Migliaia 36 4 5 2 3" xfId="44741" xr:uid="{11585BA5-E3E8-4B0C-9365-57EE80900377}"/>
    <cellStyle name="Migliaia 36 4 5 3" xfId="36857" xr:uid="{891D9462-FBA1-4661-A102-A5B9C9D86666}"/>
    <cellStyle name="Migliaia 36 4 5 4" xfId="42090" xr:uid="{EBE3FCCA-4FFF-483E-8175-9F5B7E79DDB7}"/>
    <cellStyle name="Migliaia 36 4 5 5" xfId="11353" xr:uid="{E5705140-B36E-45ED-A401-06C5BB2E8681}"/>
    <cellStyle name="Migliaia 36 4 6" xfId="10880" xr:uid="{EC9E11F1-3C8B-45C6-B24E-BB8FE48FFEFA}"/>
    <cellStyle name="Migliaia 36 4 6 2" xfId="21515" xr:uid="{F84AA933-BADE-49D8-B6F3-EE67C1F113D0}"/>
    <cellStyle name="Migliaia 36 4 6 2 2" xfId="39440" xr:uid="{0B126A4F-7733-47AF-B56A-7FF8B8F49407}"/>
    <cellStyle name="Migliaia 36 4 6 2 3" xfId="44742" xr:uid="{4754A2D6-188D-481A-A7C5-086013AF546C}"/>
    <cellStyle name="Migliaia 36 4 6 2 4" xfId="33914" xr:uid="{B4138D10-767E-47B6-BC40-65DEE8CD06B3}"/>
    <cellStyle name="Migliaia 36 4 6 3" xfId="36858" xr:uid="{3DA9C114-A893-4E77-A880-886FD8B1B48D}"/>
    <cellStyle name="Migliaia 36 4 6 4" xfId="42091" xr:uid="{4CA054ED-CD7C-408F-97F1-8A5040EBD42E}"/>
    <cellStyle name="Migliaia 36 4 6 5" xfId="24843" xr:uid="{11928724-DA7A-4008-B2F3-AA3DDA0AA985}"/>
    <cellStyle name="Migliaia 36 4 6 6" xfId="23996" xr:uid="{2663C111-6D09-4589-B687-F4DF6C389CAF}"/>
    <cellStyle name="Migliaia 36 4 6 7" xfId="50530" xr:uid="{F2E95D22-0E9F-42CC-AA5A-742FCDD4A00D}"/>
    <cellStyle name="Migliaia 36 4 6 8" xfId="53546" xr:uid="{D7893F70-0EAB-46DC-A258-83E8775A8148}"/>
    <cellStyle name="Migliaia 36 4 7" xfId="20487" xr:uid="{06AB5C37-DDC8-470B-A19B-721A63515245}"/>
    <cellStyle name="Migliaia 36 4 7 2" xfId="33915" xr:uid="{AE901890-0B5C-4FDC-8206-B92D7902CAF4}"/>
    <cellStyle name="Migliaia 36 4 7 2 2" xfId="39441" xr:uid="{31CAF410-B0F1-4004-9958-A459304AC23E}"/>
    <cellStyle name="Migliaia 36 4 7 2 3" xfId="44743" xr:uid="{81CAF638-1E43-4C94-9ED0-9DE3474B203E}"/>
    <cellStyle name="Migliaia 36 4 7 3" xfId="36859" xr:uid="{754AE685-8D6B-425A-A5A0-4237B551DD56}"/>
    <cellStyle name="Migliaia 36 4 7 4" xfId="42092" xr:uid="{2C6B0CAE-CFA2-4380-9AAA-2C22AD9757B5}"/>
    <cellStyle name="Migliaia 36 4 7 5" xfId="24844" xr:uid="{2B868728-2BBD-4735-B574-840B4F80B69A}"/>
    <cellStyle name="Migliaia 36 4 8" xfId="24841" xr:uid="{77EC59A5-F5C7-4D15-ABA4-128CDF6A77F0}"/>
    <cellStyle name="Migliaia 36 4 9" xfId="7468" xr:uid="{B68CC6E4-740D-4484-822B-2CF9B17545D5}"/>
    <cellStyle name="Migliaia 36 5" xfId="1805" xr:uid="{00000000-0005-0000-0000-0000CC030000}"/>
    <cellStyle name="Migliaia 36 5 2" xfId="5306" xr:uid="{4BC4A867-7D47-4266-9728-4BDF865F37A1}"/>
    <cellStyle name="Migliaia 36 5 2 2" xfId="18451" xr:uid="{0AE0E80B-B062-4DF1-B44E-D84747FE3B3D}"/>
    <cellStyle name="Migliaia 36 5 2 2 2" xfId="39442" xr:uid="{8C2E8D5E-70E7-40E9-AAF8-CDB64C632124}"/>
    <cellStyle name="Migliaia 36 5 2 2 3" xfId="44744" xr:uid="{281FBFEB-81CE-42BF-A801-57FB8A4A9C15}"/>
    <cellStyle name="Migliaia 36 5 2 3" xfId="20490" xr:uid="{FC50CF8F-D9BE-4AEC-9463-EC7BDF1E4A4B}"/>
    <cellStyle name="Migliaia 36 5 2 3 2" xfId="36860" xr:uid="{AF17AF08-C2D3-41E6-97F4-80B5D7ECA3C3}"/>
    <cellStyle name="Migliaia 36 5 2 4" xfId="42093" xr:uid="{768B8F3A-CF38-4B0E-B464-05E2FB4ACB49}"/>
    <cellStyle name="Migliaia 36 5 2 5" xfId="16470" xr:uid="{2BD63FB8-3827-40FE-8EE5-8E0C532A73EE}"/>
    <cellStyle name="Migliaia 36 5 2 6" xfId="8659" xr:uid="{154D9EBE-F349-4C5F-B655-C2E8B1DA7349}"/>
    <cellStyle name="Migliaia 36 5 3" xfId="6500" xr:uid="{747066F0-0D64-4EC6-8F0A-183D25CF3671}"/>
    <cellStyle name="Migliaia 36 5 3 2" xfId="33916" xr:uid="{C388F273-59B8-4B3E-B660-437B485B7945}"/>
    <cellStyle name="Migliaia 36 5 3 2 2" xfId="39443" xr:uid="{7ECB2E50-E4C2-4880-AAFA-1696B4C0CB6A}"/>
    <cellStyle name="Migliaia 36 5 3 2 3" xfId="44745" xr:uid="{99B6EC49-0B6B-4420-882C-2F60D25C980F}"/>
    <cellStyle name="Migliaia 36 5 3 3" xfId="36861" xr:uid="{D4145894-D004-447F-A004-BD626D104850}"/>
    <cellStyle name="Migliaia 36 5 3 4" xfId="42094" xr:uid="{4CD7F6EC-0768-4E6A-A128-04AACAC1E6DE}"/>
    <cellStyle name="Migliaia 36 5 3 5" xfId="11355" xr:uid="{CFE0C414-6B13-4F80-8DA1-57D083B7A9AC}"/>
    <cellStyle name="Migliaia 36 5 4" xfId="3580" xr:uid="{3D9BAEAD-E674-40AC-9B34-CE5272E330D9}"/>
    <cellStyle name="Migliaia 36 5 4 2" xfId="21517" xr:uid="{135D5B27-4C00-42F3-8E5B-792CA6E7C6B1}"/>
    <cellStyle name="Migliaia 36 5 4 2 2" xfId="39444" xr:uid="{5B21A89A-EA1B-4AB3-825F-CB82DFBABEC5}"/>
    <cellStyle name="Migliaia 36 5 4 2 3" xfId="44746" xr:uid="{51F6B106-860D-4E9D-8513-289BFADBBF8E}"/>
    <cellStyle name="Migliaia 36 5 4 2 4" xfId="33917" xr:uid="{A8C20130-7C01-49CA-BC09-E0DE40E1B553}"/>
    <cellStyle name="Migliaia 36 5 4 3" xfId="36862" xr:uid="{3AB19117-3A5C-42A4-9860-D22A22D71FD2}"/>
    <cellStyle name="Migliaia 36 5 4 4" xfId="42095" xr:uid="{5F5397B3-42A3-4AF4-9872-C979EB628E98}"/>
    <cellStyle name="Migliaia 36 5 4 5" xfId="24846" xr:uid="{7018A211-FA5F-4A76-B024-EE92740C1D53}"/>
    <cellStyle name="Migliaia 36 5 4 6" xfId="46248" xr:uid="{C236B62B-388D-45AB-B4C1-A57FE06522CA}"/>
    <cellStyle name="Migliaia 36 5 4 7" xfId="50532" xr:uid="{66374911-4FC6-4913-A019-1DF58B26AFCE}"/>
    <cellStyle name="Migliaia 36 5 4 8" xfId="53548" xr:uid="{D18E035C-CAD2-4D4D-96D1-E9EC178CA20B}"/>
    <cellStyle name="Migliaia 36 5 4 9" xfId="10882" xr:uid="{5C273C79-FBBD-43F7-9A2A-186E3BC4F5D2}"/>
    <cellStyle name="Migliaia 36 5 5" xfId="20489" xr:uid="{EB5825A9-135D-4001-B72E-D78C00D099C3}"/>
    <cellStyle name="Migliaia 36 5 5 2" xfId="33918" xr:uid="{F83AFBE1-BB1B-4110-A830-AD2B8AC1F348}"/>
    <cellStyle name="Migliaia 36 5 5 2 2" xfId="39445" xr:uid="{E0E03AA4-CE5C-49D6-95F0-7F4FE1E4464A}"/>
    <cellStyle name="Migliaia 36 5 5 2 3" xfId="44747" xr:uid="{98371C24-BF24-4650-A509-D71D4183AEC4}"/>
    <cellStyle name="Migliaia 36 5 5 3" xfId="36863" xr:uid="{D2CB99B3-6F52-48B9-8BA1-A2B00BB15F7B}"/>
    <cellStyle name="Migliaia 36 5 5 4" xfId="42096" xr:uid="{C4850321-D799-4C90-91B0-F91BFA0ECB79}"/>
    <cellStyle name="Migliaia 36 5 5 5" xfId="24847" xr:uid="{5124E242-EEF3-4A03-904D-E5769A882EDB}"/>
    <cellStyle name="Migliaia 36 5 6" xfId="24848" xr:uid="{1ABE15E5-9CF5-4130-AB27-2450CB5E84D3}"/>
    <cellStyle name="Migliaia 36 5 6 2" xfId="33919" xr:uid="{AF46785F-5141-456D-BE65-A7E2DCAE5764}"/>
    <cellStyle name="Migliaia 36 5 6 2 2" xfId="39446" xr:uid="{0942D412-E9A7-4E51-BE78-FC86A612DCF6}"/>
    <cellStyle name="Migliaia 36 5 6 2 3" xfId="44748" xr:uid="{67C7D0F4-301A-4CF2-9D74-C6F57EF64192}"/>
    <cellStyle name="Migliaia 36 5 6 3" xfId="36864" xr:uid="{59681593-C884-4668-AC1D-A50EB9246FFB}"/>
    <cellStyle name="Migliaia 36 5 6 4" xfId="42097" xr:uid="{5D0ADF24-87EB-4BE9-A4B7-B6693D429E00}"/>
    <cellStyle name="Migliaia 36 5 7" xfId="24845" xr:uid="{88CB6DB7-36F4-470B-BEFE-E34B1EDEC206}"/>
    <cellStyle name="Migliaia 36 5 8" xfId="7469" xr:uid="{5AAF90B6-DD98-4860-93F3-A35F9E0D1147}"/>
    <cellStyle name="Migliaia 36 6" xfId="3581" xr:uid="{BB9235FF-92E6-4168-97DE-F41796DD3032}"/>
    <cellStyle name="Migliaia 36 6 2" xfId="5307" xr:uid="{67C26097-025A-4754-A399-4B074F221E18}"/>
    <cellStyle name="Migliaia 36 6 2 2" xfId="9939" xr:uid="{AE89D354-8657-4961-8524-4880387E6818}"/>
    <cellStyle name="Migliaia 36 6 2 3" xfId="18651" xr:uid="{3D741238-1723-4461-B228-FBFBBB54C925}"/>
    <cellStyle name="Migliaia 36 6 2 4" xfId="20492" xr:uid="{64EE5BB5-0EF7-45A4-982F-67CA2F7DE495}"/>
    <cellStyle name="Migliaia 36 6 2 5" xfId="32390" xr:uid="{3658BF1D-570B-4CB8-8567-9FDB231B0468}"/>
    <cellStyle name="Migliaia 36 6 2 6" xfId="16472" xr:uid="{7983BD1E-5837-4FD2-899D-1405469EF46A}"/>
    <cellStyle name="Migliaia 36 6 2 7" xfId="8654" xr:uid="{0E6942EF-89B9-4236-9515-EB083719EA49}"/>
    <cellStyle name="Migliaia 36 6 3" xfId="6501" xr:uid="{A8A0AA72-F6F5-49FD-94A3-6D9B0CBF231B}"/>
    <cellStyle name="Migliaia 36 6 3 2" xfId="35330" xr:uid="{D3297640-A245-4540-9E1D-6D36FDEEC350}"/>
    <cellStyle name="Migliaia 36 6 3 2 2" xfId="40490" xr:uid="{21248B36-A139-4A8D-8ACB-624D6DD99F45}"/>
    <cellStyle name="Migliaia 36 6 3 2 3" xfId="45792" xr:uid="{F0AE09E0-F695-44A0-932C-28FF0D27AD50}"/>
    <cellStyle name="Migliaia 36 6 3 3" xfId="37839" xr:uid="{58C34081-9215-4246-8000-91826D074211}"/>
    <cellStyle name="Migliaia 36 6 3 4" xfId="43141" xr:uid="{F924F469-C254-46FB-AE18-46F9E52EC42F}"/>
    <cellStyle name="Migliaia 36 6 3 5" xfId="9702" xr:uid="{1D345AAC-C20B-45BC-AC6D-CD0218EB28DA}"/>
    <cellStyle name="Migliaia 36 6 4" xfId="20491" xr:uid="{36EED705-359C-4520-881E-90B1B90ADB91}"/>
    <cellStyle name="Migliaia 36 6 4 2" xfId="39447" xr:uid="{70250433-5232-462F-87F2-4CA8A7BC13B0}"/>
    <cellStyle name="Migliaia 36 6 4 3" xfId="44749" xr:uid="{A32CAA71-D14F-4AA6-871B-696D1B9E1AF4}"/>
    <cellStyle name="Migliaia 36 6 4 4" xfId="33920" xr:uid="{752D7A93-3B92-4C4E-A859-A4F0D8B164BF}"/>
    <cellStyle name="Migliaia 36 6 5" xfId="36865" xr:uid="{604A9950-CB37-4E8D-B1DC-1EC8B7E621D6}"/>
    <cellStyle name="Migliaia 36 6 6" xfId="42098" xr:uid="{1820C003-11E7-4FC1-9D1A-38438340B0C4}"/>
    <cellStyle name="Migliaia 36 6 7" xfId="16471" xr:uid="{338BAE2B-5563-441A-8384-81E6D16172CB}"/>
    <cellStyle name="Migliaia 36 6 8" xfId="7464" xr:uid="{02F8A0B1-4C15-459A-8889-A3D4A0756C9B}"/>
    <cellStyle name="Migliaia 36 7" xfId="3582" xr:uid="{61739952-4064-4808-9757-65E5E90FBEC2}"/>
    <cellStyle name="Migliaia 36 7 2" xfId="5308" xr:uid="{ED0397CF-208D-4E91-B0F8-B8E82CF5DF7D}"/>
    <cellStyle name="Migliaia 36 7 2 2" xfId="35331" xr:uid="{D5C907F4-BDC3-4CF2-AE48-CBBD6BB17189}"/>
    <cellStyle name="Migliaia 36 7 2 2 2" xfId="40491" xr:uid="{759CF592-B617-4499-9319-4E61753CD66C}"/>
    <cellStyle name="Migliaia 36 7 2 2 3" xfId="45793" xr:uid="{960D5568-B5B7-4601-9433-80119FC56EA1}"/>
    <cellStyle name="Migliaia 36 7 2 3" xfId="37840" xr:uid="{FECC8FE7-6486-4A17-9D76-5D0B076C83AE}"/>
    <cellStyle name="Migliaia 36 7 2 4" xfId="43142" xr:uid="{95A30D1E-E155-464D-A9A0-0A6BD3CCD91D}"/>
    <cellStyle name="Migliaia 36 7 2 5" xfId="14266" xr:uid="{6ECC281B-E66C-4763-8FFE-37F5861ACAF2}"/>
    <cellStyle name="Migliaia 36 7 3" xfId="6502" xr:uid="{B1BB469F-19E8-4904-9EE7-BB6B956165D6}"/>
    <cellStyle name="Migliaia 36 7 3 2" xfId="39448" xr:uid="{C61D8A7F-3E7B-4C91-9D42-155F8A663804}"/>
    <cellStyle name="Migliaia 36 7 3 3" xfId="44750" xr:uid="{06017448-B6DF-49A0-BC7B-DA6AEA6868CE}"/>
    <cellStyle name="Migliaia 36 7 3 4" xfId="33921" xr:uid="{CD0B1AE5-F8DA-4887-86B8-E269D6F7BE73}"/>
    <cellStyle name="Migliaia 36 7 3 5" xfId="20493" xr:uid="{5864307D-3429-485E-9624-EB781AB464A6}"/>
    <cellStyle name="Migliaia 36 7 4" xfId="36866" xr:uid="{30A4DB18-3AB5-4F9F-9B21-87EBD43468E2}"/>
    <cellStyle name="Migliaia 36 7 5" xfId="42099" xr:uid="{93A1F2A6-739E-427D-A2CB-FA1A0D1BDFD7}"/>
    <cellStyle name="Migliaia 36 7 6" xfId="16473" xr:uid="{5DB65D78-9F2C-4A9D-B5F4-D18877B4568D}"/>
    <cellStyle name="Migliaia 36 7 7" xfId="8328" xr:uid="{CFF3BAD5-3F53-44AB-B629-94583019214B}"/>
    <cellStyle name="Migliaia 36 8" xfId="3583" xr:uid="{AB7180A6-D0F5-4936-B9C1-AB924464F74F}"/>
    <cellStyle name="Migliaia 36 8 2" xfId="5309" xr:uid="{AEEE28A9-90E7-4025-9768-788E8A652403}"/>
    <cellStyle name="Migliaia 36 8 2 2" xfId="35332" xr:uid="{FCC8877C-8D8D-4040-9402-0194F80DDC65}"/>
    <cellStyle name="Migliaia 36 8 2 2 2" xfId="40492" xr:uid="{B37E5BA6-22B0-41FE-BF63-F7A36AF3343E}"/>
    <cellStyle name="Migliaia 36 8 2 2 3" xfId="45794" xr:uid="{982022EF-18A9-4991-B66A-59FC4BC67F2A}"/>
    <cellStyle name="Migliaia 36 8 2 3" xfId="37841" xr:uid="{FCF1DCAC-0B36-443F-AAD3-7B89A6B090D3}"/>
    <cellStyle name="Migliaia 36 8 2 4" xfId="43143" xr:uid="{B7854717-ACF3-4E64-BD2F-521E8C981562}"/>
    <cellStyle name="Migliaia 36 8 2 5" xfId="13971" xr:uid="{EF877E78-2F9B-4403-97F3-83A382DD954E}"/>
    <cellStyle name="Migliaia 36 8 3" xfId="6503" xr:uid="{CE04CBE6-711D-4ECD-B1E7-27330BE3B977}"/>
    <cellStyle name="Migliaia 36 8 3 2" xfId="39449" xr:uid="{FAC44B89-A799-4977-8FB0-31BFB4093D2B}"/>
    <cellStyle name="Migliaia 36 8 3 3" xfId="44751" xr:uid="{0F0180CD-6D7F-4B13-8AD7-CE0B2AAB2E2E}"/>
    <cellStyle name="Migliaia 36 8 3 4" xfId="33922" xr:uid="{D2312538-78B4-4FA9-8B58-81B4A98F64DC}"/>
    <cellStyle name="Migliaia 36 8 3 5" xfId="20494" xr:uid="{829F0C22-0705-43D4-87F7-935B0D447D75}"/>
    <cellStyle name="Migliaia 36 8 4" xfId="36867" xr:uid="{90BEFA60-35F5-4598-83F2-596AE82A5EAF}"/>
    <cellStyle name="Migliaia 36 8 5" xfId="42100" xr:uid="{B2A88A14-850B-4A9B-8685-AB06A1F41C24}"/>
    <cellStyle name="Migliaia 36 8 6" xfId="16474" xr:uid="{664CB55B-BA59-42DC-8B58-4A9017CFE1CD}"/>
    <cellStyle name="Migliaia 36 8 7" xfId="7938" xr:uid="{B153E314-C5CC-4E6D-9C1D-0B65D4C53052}"/>
    <cellStyle name="Migliaia 36 9" xfId="5294" xr:uid="{908F6743-7398-441C-BCCF-7466FFF2F25A}"/>
    <cellStyle name="Migliaia 36 9 2" xfId="33923" xr:uid="{3D731EA3-3322-459F-8804-950BDF0C9F7A}"/>
    <cellStyle name="Migliaia 36 9 2 2" xfId="39450" xr:uid="{EE7FD666-ABCF-4730-AC8B-54FFC4BBD469}"/>
    <cellStyle name="Migliaia 36 9 2 3" xfId="44752" xr:uid="{39A58C1D-16F4-4D3F-823F-AB23BD01DDFA}"/>
    <cellStyle name="Migliaia 36 9 3" xfId="36868" xr:uid="{07A509F7-99C5-4A48-84C6-68B8CD3D3845}"/>
    <cellStyle name="Migliaia 36 9 4" xfId="42101" xr:uid="{55FFAC0C-BE1C-43F8-A35A-A2C2254D1A6A}"/>
    <cellStyle name="Migliaia 36 9 5" xfId="17193" xr:uid="{6EB9B138-9E84-4E26-9721-CABC45E1E14E}"/>
    <cellStyle name="Migliaia 37" xfId="421" xr:uid="{00000000-0005-0000-0000-0000CD030000}"/>
    <cellStyle name="Migliaia 37 10" xfId="6504" xr:uid="{DAB6754C-D5FB-4380-84F2-122510FAE791}"/>
    <cellStyle name="Migliaia 37 10 2" xfId="39451" xr:uid="{88270880-46C5-4C40-866B-46B720C2CF3F}"/>
    <cellStyle name="Migliaia 37 10 3" xfId="44753" xr:uid="{BB412472-EB7E-4D84-90D2-20090FC99A2A}"/>
    <cellStyle name="Migliaia 37 10 4" xfId="33924" xr:uid="{934A0073-FA52-4DBC-AE78-A05185A7508F}"/>
    <cellStyle name="Migliaia 37 10 5" xfId="20495" xr:uid="{1918F526-5471-4A3C-B73D-573C8FAFD6FA}"/>
    <cellStyle name="Migliaia 37 11" xfId="3584" xr:uid="{164A2796-BF50-4436-B974-8F980D629A6B}"/>
    <cellStyle name="Migliaia 37 11 2" xfId="36869" xr:uid="{D3D53284-0CD2-4885-9524-BF307E45E059}"/>
    <cellStyle name="Migliaia 37 12" xfId="42102" xr:uid="{EE00DB0A-870E-41A7-85E2-2F83D83BCB0F}"/>
    <cellStyle name="Migliaia 37 13" xfId="7132" xr:uid="{AC12D6BB-211B-4DA1-967A-B1724C94E037}"/>
    <cellStyle name="Migliaia 37 2" xfId="422" xr:uid="{00000000-0005-0000-0000-0000CE030000}"/>
    <cellStyle name="Migliaia 37 2 2" xfId="1806" xr:uid="{00000000-0005-0000-0000-0000CF030000}"/>
    <cellStyle name="Migliaia 37 2 2 2" xfId="5312" xr:uid="{2EA2F902-8A93-45B4-A343-418E2501A6AD}"/>
    <cellStyle name="Migliaia 37 2 2 2 2" xfId="14393" xr:uid="{322BAB3D-89AE-4814-80A7-D6909D77AA0E}"/>
    <cellStyle name="Migliaia 37 2 2 2 2 2" xfId="39452" xr:uid="{43CD5C60-7C1A-4266-869A-094AE562B860}"/>
    <cellStyle name="Migliaia 37 2 2 2 2 3" xfId="44754" xr:uid="{BF094665-E678-4825-A6A0-F21C8D836014}"/>
    <cellStyle name="Migliaia 37 2 2 2 3" xfId="18452" xr:uid="{1C5754FB-5399-431B-817E-C4C5175C2746}"/>
    <cellStyle name="Migliaia 37 2 2 2 4" xfId="20498" xr:uid="{3660FD97-5EDA-4406-A162-BD903DD8666E}"/>
    <cellStyle name="Migliaia 37 2 2 2 4 2" xfId="42103" xr:uid="{494CE072-C2D0-49A2-98C2-18368DD0476B}"/>
    <cellStyle name="Migliaia 37 2 2 2 5" xfId="16475" xr:uid="{7ABEFD55-D35E-4FF1-98E9-81C54D5CCF62}"/>
    <cellStyle name="Migliaia 37 2 2 2 6" xfId="8661" xr:uid="{6FF1AF41-C188-4A7E-9FB3-9F47101D3D5A}"/>
    <cellStyle name="Migliaia 37 2 2 3" xfId="6506" xr:uid="{FE1740C6-2915-4AE6-A3C6-7EBC8AB2E9AF}"/>
    <cellStyle name="Migliaia 37 2 2 3 2" xfId="35333" xr:uid="{63FBB585-D48A-4C9C-A006-56011C2EBA4E}"/>
    <cellStyle name="Migliaia 37 2 2 3 2 2" xfId="40493" xr:uid="{89236BDC-C9D3-4863-A46B-8C4388F73B62}"/>
    <cellStyle name="Migliaia 37 2 2 3 2 3" xfId="45795" xr:uid="{63A9C7EB-99BE-4B18-AA88-29BA5667D736}"/>
    <cellStyle name="Migliaia 37 2 2 3 3" xfId="37842" xr:uid="{E7A48455-B776-4C3E-9D49-402CE994DD34}"/>
    <cellStyle name="Migliaia 37 2 2 3 4" xfId="43144" xr:uid="{9EC3EBA7-0140-4DDA-BCEB-F3915CD22BFB}"/>
    <cellStyle name="Migliaia 37 2 2 3 5" xfId="11620" xr:uid="{9A1F36D2-0554-4BED-8BB1-130AB1C369A1}"/>
    <cellStyle name="Migliaia 37 2 2 4" xfId="3586" xr:uid="{A5DB753B-5EB7-4ABB-952A-66E680BD7D2E}"/>
    <cellStyle name="Migliaia 37 2 2 4 2" xfId="21518" xr:uid="{53A842BE-3EF5-4994-A1A0-4EEE73A822D6}"/>
    <cellStyle name="Migliaia 37 2 2 4 3" xfId="48475" xr:uid="{694965F5-3AB6-4F40-8F2A-4BF5DA5082F5}"/>
    <cellStyle name="Migliaia 37 2 2 4 4" xfId="50533" xr:uid="{D148ED6D-A61C-4D08-A8DD-FA8FF3A644BB}"/>
    <cellStyle name="Migliaia 37 2 2 4 5" xfId="53549" xr:uid="{D62A4619-03BD-4137-97C5-10B3304C4162}"/>
    <cellStyle name="Migliaia 37 2 2 4 6" xfId="10883" xr:uid="{97FD69E9-7548-482C-A2E5-B6B2883B1C89}"/>
    <cellStyle name="Migliaia 37 2 2 5" xfId="20497" xr:uid="{AB640648-4FB5-4A8E-AD81-EE7BB54AD97A}"/>
    <cellStyle name="Migliaia 37 2 2 6" xfId="24850" xr:uid="{F2EC3FBE-D755-42A9-9DDE-E464837F41DF}"/>
    <cellStyle name="Migliaia 37 2 2 7" xfId="7471" xr:uid="{CF41507F-F831-4D2C-BB4E-379DD0C4A999}"/>
    <cellStyle name="Migliaia 37 2 3" xfId="3587" xr:uid="{9873D394-9284-4FD6-AF88-63D85ABAAD83}"/>
    <cellStyle name="Migliaia 37 2 3 2" xfId="5313" xr:uid="{3ED5EE35-2228-4F70-9032-FEDBF41C6335}"/>
    <cellStyle name="Migliaia 37 2 3 2 2" xfId="35334" xr:uid="{4EF8BBDC-6E10-455B-871B-A2E0170D8D70}"/>
    <cellStyle name="Migliaia 37 2 3 2 2 2" xfId="40494" xr:uid="{ADD5BDEB-46CD-4F85-A17C-B9B1531C7994}"/>
    <cellStyle name="Migliaia 37 2 3 2 2 3" xfId="45796" xr:uid="{2B013CD7-7656-4D8A-9B6F-EE05EC7A1C73}"/>
    <cellStyle name="Migliaia 37 2 3 2 3" xfId="37843" xr:uid="{C1614EAA-9C92-4A2D-81EA-EEB3CA249E80}"/>
    <cellStyle name="Migliaia 37 2 3 2 4" xfId="43145" xr:uid="{AED18240-6365-4587-9985-AE8F02FD555A}"/>
    <cellStyle name="Migliaia 37 2 3 2 5" xfId="14270" xr:uid="{04405559-29D9-4F1B-8DAD-CE7D6BBD7B95}"/>
    <cellStyle name="Migliaia 37 2 3 3" xfId="6507" xr:uid="{7F725647-5273-45EE-8507-5F914C884808}"/>
    <cellStyle name="Migliaia 37 2 3 3 2" xfId="39453" xr:uid="{3AB80723-1E58-4744-970B-F2D00D09E9B0}"/>
    <cellStyle name="Migliaia 37 2 3 3 3" xfId="44755" xr:uid="{EB32F170-2348-4E02-B47E-B7C14DC28C08}"/>
    <cellStyle name="Migliaia 37 2 3 3 4" xfId="33925" xr:uid="{CE832850-71EF-489C-9A3C-10513C7466DF}"/>
    <cellStyle name="Migliaia 37 2 3 3 5" xfId="20499" xr:uid="{D578BC13-5271-4C9C-A04D-4EA9180A5EAD}"/>
    <cellStyle name="Migliaia 37 2 3 4" xfId="36870" xr:uid="{0DD2FC95-D0E7-426C-AE2B-B437EA2A93BA}"/>
    <cellStyle name="Migliaia 37 2 3 5" xfId="42104" xr:uid="{1B7A65FC-5B25-4611-BC91-5CA60871EFFA}"/>
    <cellStyle name="Migliaia 37 2 3 6" xfId="16476" xr:uid="{A4D86E9D-003B-473D-B5A9-16E6EDFC4627}"/>
    <cellStyle name="Migliaia 37 2 3 7" xfId="8332" xr:uid="{A6535112-D784-42EC-A4B5-A2CE8BB13325}"/>
    <cellStyle name="Migliaia 37 2 4" xfId="5311" xr:uid="{12A1CD4E-3F47-4433-9518-92899C88E883}"/>
    <cellStyle name="Migliaia 37 2 4 2" xfId="13975" xr:uid="{9F8D01B2-FAA8-4939-94D7-7257B876E192}"/>
    <cellStyle name="Migliaia 37 2 4 2 2" xfId="39454" xr:uid="{19655F60-6765-4687-B6A4-1301FC19FB5A}"/>
    <cellStyle name="Migliaia 37 2 4 2 3" xfId="44756" xr:uid="{1A04506F-B129-4ADD-A4C2-5A1EA7EBB886}"/>
    <cellStyle name="Migliaia 37 2 4 3" xfId="18706" xr:uid="{F50175BD-8D0E-4612-96A6-BD7ACB1AD3C9}"/>
    <cellStyle name="Migliaia 37 2 4 4" xfId="20500" xr:uid="{CD16189D-F63E-43C7-9356-9508548EABD2}"/>
    <cellStyle name="Migliaia 37 2 4 4 2" xfId="42105" xr:uid="{688C612E-3F04-4702-A8FD-04C84718BB41}"/>
    <cellStyle name="Migliaia 37 2 4 5" xfId="16477" xr:uid="{889B1B98-0318-4D03-8F8C-93936798734E}"/>
    <cellStyle name="Migliaia 37 2 4 6" xfId="7943" xr:uid="{72634942-A2AE-41A4-B483-C1DB56FBD892}"/>
    <cellStyle name="Migliaia 37 2 5" xfId="6505" xr:uid="{A4CD483B-6536-46EB-8935-57D93CB865A4}"/>
    <cellStyle name="Migliaia 37 2 5 2" xfId="33926" xr:uid="{CA2E5BE4-F55B-4D1A-A256-2F6FBCFDF55F}"/>
    <cellStyle name="Migliaia 37 2 5 2 2" xfId="39455" xr:uid="{C2A9E129-C794-4BD9-9EEE-BDC4F6DD6CC1}"/>
    <cellStyle name="Migliaia 37 2 5 2 3" xfId="44757" xr:uid="{5C467427-30D3-448B-9DEC-2AAB7245E025}"/>
    <cellStyle name="Migliaia 37 2 5 3" xfId="36871" xr:uid="{BAC82649-1EB7-4E9B-956C-6ECB5A409E59}"/>
    <cellStyle name="Migliaia 37 2 5 4" xfId="42106" xr:uid="{0FF8A031-1A40-4F80-940F-20CB2D999BEE}"/>
    <cellStyle name="Migliaia 37 2 5 5" xfId="13133" xr:uid="{0343B286-D718-4100-A919-101372E7C81D}"/>
    <cellStyle name="Migliaia 37 2 6" xfId="3585" xr:uid="{7C5F6C24-B937-48DF-B453-4692D87A0487}"/>
    <cellStyle name="Migliaia 37 2 6 2" xfId="33927" xr:uid="{A383B33C-E307-4546-AC39-A1D3061B1A4A}"/>
    <cellStyle name="Migliaia 37 2 6 2 2" xfId="39456" xr:uid="{05AF7CF5-39DE-40CD-B589-DECA547D38EA}"/>
    <cellStyle name="Migliaia 37 2 6 2 3" xfId="44758" xr:uid="{DF6353E3-927F-45FA-AF64-72D8A509E36E}"/>
    <cellStyle name="Migliaia 37 2 6 3" xfId="36872" xr:uid="{F39B8E3B-8F61-453B-A853-A2F240F1BEFE}"/>
    <cellStyle name="Migliaia 37 2 6 4" xfId="42107" xr:uid="{F0E5E955-9D60-43B5-8354-CB8580BC2749}"/>
    <cellStyle name="Migliaia 37 2 6 5" xfId="24851" xr:uid="{FB1D86BE-7245-41E0-8EC1-3A8717D6CCDF}"/>
    <cellStyle name="Migliaia 37 2 6 6" xfId="20496" xr:uid="{0CABD0D8-F979-4B9D-811C-7241C1D91F23}"/>
    <cellStyle name="Migliaia 37 2 7" xfId="24849" xr:uid="{E30013C8-3453-491B-84E9-178FC2D1EE63}"/>
    <cellStyle name="Migliaia 37 2 8" xfId="7133" xr:uid="{89D55324-0FCB-4299-ACB8-C523073B1EAA}"/>
    <cellStyle name="Migliaia 37 3" xfId="423" xr:uid="{00000000-0005-0000-0000-0000D0030000}"/>
    <cellStyle name="Migliaia 37 3 10" xfId="24852" xr:uid="{43A8BDC0-0392-4A5A-A9E8-5344D04D4035}"/>
    <cellStyle name="Migliaia 37 3 11" xfId="16478" xr:uid="{C8612995-21E1-4EAD-8545-F955CF9D7729}"/>
    <cellStyle name="Migliaia 37 3 12" xfId="7134" xr:uid="{28AD44F4-6F52-4E12-BA58-B6E5E5FED390}"/>
    <cellStyle name="Migliaia 37 3 2" xfId="424" xr:uid="{00000000-0005-0000-0000-0000D1030000}"/>
    <cellStyle name="Migliaia 37 3 2 2" xfId="1807" xr:uid="{00000000-0005-0000-0000-0000D2030000}"/>
    <cellStyle name="Migliaia 37 3 2 2 2" xfId="5316" xr:uid="{87EE64E5-91FF-43B8-BAEE-BE8CE1934248}"/>
    <cellStyle name="Migliaia 37 3 2 2 2 2" xfId="18453" xr:uid="{029E122B-B16C-4766-884B-A6BD29F298A2}"/>
    <cellStyle name="Migliaia 37 3 2 2 2 2 2" xfId="21871" xr:uid="{78127E3F-97C0-4E26-AB93-3D81080BC222}"/>
    <cellStyle name="Migliaia 37 3 2 2 2 2 2 2" xfId="39457" xr:uid="{02EAD3B2-75DE-4365-8FAF-2593C4303BB9}"/>
    <cellStyle name="Migliaia 37 3 2 2 2 2 3" xfId="44759" xr:uid="{35DE8622-74F3-4956-93C9-1A1A7991BB74}"/>
    <cellStyle name="Migliaia 37 3 2 2 2 2 4" xfId="33928" xr:uid="{3C3FCB05-1DFC-488F-BAA3-2B1AB0D595E6}"/>
    <cellStyle name="Migliaia 37 3 2 2 2 3" xfId="36873" xr:uid="{E935F79C-8EFE-4376-976C-CCAF6ED58DBF}"/>
    <cellStyle name="Migliaia 37 3 2 2 2 4" xfId="42108" xr:uid="{48C99134-F7F5-46E1-8DB6-8CD8AB272A6C}"/>
    <cellStyle name="Migliaia 37 3 2 2 2 5" xfId="48192" xr:uid="{2F3EF3BB-0DF6-4EA1-B4D2-224A6F22440A}"/>
    <cellStyle name="Migliaia 37 3 2 2 2 6" xfId="50899" xr:uid="{F24BB711-AA4B-4336-B398-0D1366306A32}"/>
    <cellStyle name="Migliaia 37 3 2 2 2 7" xfId="53915" xr:uid="{88A3C3F3-E974-4B6B-856B-7CE88C1E7D20}"/>
    <cellStyle name="Migliaia 37 3 2 2 2 8" xfId="17668" xr:uid="{B8137BD3-9D04-4F22-A4B8-FA54A161358A}"/>
    <cellStyle name="Migliaia 37 3 2 2 2 9" xfId="12007" xr:uid="{BBFF1D56-4C6A-4D5E-9ADA-CA3EC382C1F4}"/>
    <cellStyle name="Migliaia 37 3 2 2 3" xfId="6510" xr:uid="{FAA0FEEC-19B3-4023-936F-D1204396B11B}"/>
    <cellStyle name="Migliaia 37 3 2 2 3 2" xfId="11564" xr:uid="{563A6FB9-FEF9-475A-BE1D-6F29AE7600C6}"/>
    <cellStyle name="Migliaia 37 3 2 2 4" xfId="3590" xr:uid="{E0FC737A-4D35-4506-8760-4ED833FEB3EC}"/>
    <cellStyle name="Migliaia 37 3 2 2 4 2" xfId="21519" xr:uid="{26D23008-BDDD-48EA-9B2C-92EAED28EF2D}"/>
    <cellStyle name="Migliaia 37 3 2 2 4 3" xfId="48177" xr:uid="{5449863A-23A2-4121-B970-5D3E3048B675}"/>
    <cellStyle name="Migliaia 37 3 2 2 4 4" xfId="50534" xr:uid="{0AFFD0EF-C60B-47EE-9E83-130AA8782F9B}"/>
    <cellStyle name="Migliaia 37 3 2 2 4 5" xfId="53550" xr:uid="{CAABCE47-3C74-4774-83DE-A2EB637A1446}"/>
    <cellStyle name="Migliaia 37 3 2 2 4 6" xfId="10884" xr:uid="{50D2C96A-CB25-4882-9562-A37717B843AA}"/>
    <cellStyle name="Migliaia 37 3 2 2 5" xfId="20503" xr:uid="{ADC274A3-3993-47B3-A8D7-7874FA42DA51}"/>
    <cellStyle name="Migliaia 37 3 2 2 6" xfId="24854" xr:uid="{8B5E1D27-3291-486A-8BD1-1A7C1E604E2B}"/>
    <cellStyle name="Migliaia 37 3 2 2 7" xfId="8663" xr:uid="{E6EBA922-9D9E-4C6A-BDE7-383D2D521034}"/>
    <cellStyle name="Migliaia 37 3 2 3" xfId="5315" xr:uid="{1C742278-59F5-4B53-A16B-55FB25128645}"/>
    <cellStyle name="Migliaia 37 3 2 3 2" xfId="12408" xr:uid="{15A4928B-0761-40B7-BD21-3C414BE16787}"/>
    <cellStyle name="Migliaia 37 3 2 3 2 2" xfId="39458" xr:uid="{A376D0D3-D06F-4228-A0E4-D0E1A6A95936}"/>
    <cellStyle name="Migliaia 37 3 2 3 2 3" xfId="44760" xr:uid="{39EAEE24-1589-469D-A7B9-6458A7F90025}"/>
    <cellStyle name="Migliaia 37 3 2 3 2 4" xfId="33929" xr:uid="{C116E5FF-CB52-4097-81DA-8BA170AAD03B}"/>
    <cellStyle name="Migliaia 37 3 2 3 3" xfId="12008" xr:uid="{F08454DA-0B48-4B23-86A1-BB08EF345B14}"/>
    <cellStyle name="Migliaia 37 3 2 3 4" xfId="20504" xr:uid="{FDA1253C-F1F3-4FAA-8EBB-3458FF090BA4}"/>
    <cellStyle name="Migliaia 37 3 2 3 4 2" xfId="42109" xr:uid="{C90F6C16-52D7-4972-A1DD-D83EF5869D6C}"/>
    <cellStyle name="Migliaia 37 3 2 3 5" xfId="16479" xr:uid="{92D52EAC-9CBD-4272-A34C-F29F97433505}"/>
    <cellStyle name="Migliaia 37 3 2 3 6" xfId="7945" xr:uid="{F9CF9A8A-FB21-4ABE-8CAF-9BA7B6937A5F}"/>
    <cellStyle name="Migliaia 37 3 2 4" xfId="6509" xr:uid="{39BF6808-4C02-478E-BDE4-E06578C67C33}"/>
    <cellStyle name="Migliaia 37 3 2 4 2" xfId="18087" xr:uid="{F0DBAC45-0BC2-4EC5-96C6-4ADC88AE101A}"/>
    <cellStyle name="Migliaia 37 3 2 4 2 2" xfId="39459" xr:uid="{CDF18C5D-2A08-4100-AC36-283AF88D5AF7}"/>
    <cellStyle name="Migliaia 37 3 2 4 2 3" xfId="44761" xr:uid="{156CDDF2-3C72-4993-AFD8-C74C64DB9C90}"/>
    <cellStyle name="Migliaia 37 3 2 4 3" xfId="36874" xr:uid="{FE4D69BD-E6CD-4798-8A08-601DE66FDE5B}"/>
    <cellStyle name="Migliaia 37 3 2 4 4" xfId="42110" xr:uid="{AEEFFF42-8629-4936-A7B5-E3393E897A83}"/>
    <cellStyle name="Migliaia 37 3 2 4 5" xfId="17196" xr:uid="{835AB47D-0C74-47E4-9BB3-9F3E477A30E7}"/>
    <cellStyle name="Migliaia 37 3 2 4 6" xfId="11356" xr:uid="{BC2A3955-F491-4AC3-96DF-FD8810C87F00}"/>
    <cellStyle name="Migliaia 37 3 2 5" xfId="3589" xr:uid="{BFDC1F5E-7631-4531-B37C-F262F86C2C60}"/>
    <cellStyle name="Migliaia 37 3 2 5 2" xfId="33930" xr:uid="{123BC46A-D17C-4C28-9B4F-0272BDBCC200}"/>
    <cellStyle name="Migliaia 37 3 2 5 2 2" xfId="39460" xr:uid="{28121DFF-ED28-4973-96C8-EF3B6B20462D}"/>
    <cellStyle name="Migliaia 37 3 2 5 2 3" xfId="44762" xr:uid="{4F9B317A-5420-4C9E-A2B9-862DBB835F3A}"/>
    <cellStyle name="Migliaia 37 3 2 5 3" xfId="36875" xr:uid="{67DD7EC7-D203-4D66-B891-6AFBC058623F}"/>
    <cellStyle name="Migliaia 37 3 2 5 4" xfId="42111" xr:uid="{2ED59665-E29B-45F7-809C-02524DD49A07}"/>
    <cellStyle name="Migliaia 37 3 2 5 5" xfId="17336" xr:uid="{9AAAA724-C488-44B9-876C-9A70383F0549}"/>
    <cellStyle name="Migliaia 37 3 2 6" xfId="20502" xr:uid="{C5689137-DD34-4F84-886E-3B0562B7496E}"/>
    <cellStyle name="Migliaia 37 3 2 6 2" xfId="33931" xr:uid="{37EA3F95-1E8E-4A50-910C-FFBB15C049CF}"/>
    <cellStyle name="Migliaia 37 3 2 6 2 2" xfId="39461" xr:uid="{5B11A721-39EF-434A-BB87-7187D4B7C7E6}"/>
    <cellStyle name="Migliaia 37 3 2 6 2 3" xfId="44763" xr:uid="{4BFEA0B5-A045-498C-918C-0999D991017A}"/>
    <cellStyle name="Migliaia 37 3 2 6 3" xfId="36876" xr:uid="{419F319C-FC0B-47E6-8A48-585646C5632E}"/>
    <cellStyle name="Migliaia 37 3 2 6 4" xfId="42112" xr:uid="{C80610FD-C6E0-4580-A008-C78EEE6EFC3E}"/>
    <cellStyle name="Migliaia 37 3 2 6 5" xfId="24855" xr:uid="{492EB5C0-DDAF-4C61-A519-D10071C3EA19}"/>
    <cellStyle name="Migliaia 37 3 2 7" xfId="24853" xr:uid="{3542F2C1-2AA6-4453-B516-4BE3BA5E30EB}"/>
    <cellStyle name="Migliaia 37 3 2 8" xfId="7473" xr:uid="{60760162-A591-4B37-9AB0-F997D3D3E896}"/>
    <cellStyle name="Migliaia 37 3 3" xfId="3591" xr:uid="{9B6E9A63-3182-4AB0-99E9-04937A8A4DB2}"/>
    <cellStyle name="Migliaia 37 3 3 10" xfId="7472" xr:uid="{68136A69-6094-465A-A05D-F8E2B4F4E3FE}"/>
    <cellStyle name="Migliaia 37 3 3 2" xfId="5317" xr:uid="{6DC48385-B9A6-45BB-B07A-198A39B3766A}"/>
    <cellStyle name="Migliaia 37 3 3 2 2" xfId="9942" xr:uid="{28D56B09-1A4B-4DE7-9AED-C7447DC58D8B}"/>
    <cellStyle name="Migliaia 37 3 3 2 2 2" xfId="39463" xr:uid="{E64C4E68-DCDA-455D-B2B6-B804A3E62DFF}"/>
    <cellStyle name="Migliaia 37 3 3 2 2 3" xfId="44765" xr:uid="{3232B0F3-E9B2-4F6C-949A-D16B90FB56D5}"/>
    <cellStyle name="Migliaia 37 3 3 2 3" xfId="18222" xr:uid="{5E8194AA-9809-4E67-976A-86E0247902AB}"/>
    <cellStyle name="Migliaia 37 3 3 2 4" xfId="20506" xr:uid="{5F8750B8-2385-4297-BCA5-4E0F670C128E}"/>
    <cellStyle name="Migliaia 37 3 3 2 4 2" xfId="42114" xr:uid="{ABE2B90C-D58A-4250-8571-09F2FCA8D7E3}"/>
    <cellStyle name="Migliaia 37 3 3 2 5" xfId="16481" xr:uid="{C5AF5C81-1FE7-4CD0-B2FE-6B86E7FE0337}"/>
    <cellStyle name="Migliaia 37 3 3 2 6" xfId="8662" xr:uid="{AF753188-8009-425C-8766-1C23E34E8C1A}"/>
    <cellStyle name="Migliaia 37 3 3 3" xfId="6511" xr:uid="{83A67CBE-B313-4F2A-94B1-631C38B1B45E}"/>
    <cellStyle name="Migliaia 37 3 3 3 2" xfId="33933" xr:uid="{051239B2-DC68-4EBC-9D5A-B63EB2A4F8D5}"/>
    <cellStyle name="Migliaia 37 3 3 3 2 2" xfId="39464" xr:uid="{786534BD-6173-4183-9658-A1BDB32DE078}"/>
    <cellStyle name="Migliaia 37 3 3 3 2 3" xfId="44766" xr:uid="{7E317523-A949-4AC5-8892-38AFD69956F6}"/>
    <cellStyle name="Migliaia 37 3 3 3 3" xfId="36878" xr:uid="{AC0D4078-5663-49D0-8EAC-590AE10FD445}"/>
    <cellStyle name="Migliaia 37 3 3 3 4" xfId="42115" xr:uid="{B056FB7B-CE13-485A-8B50-580430CEF004}"/>
    <cellStyle name="Migliaia 37 3 3 3 5" xfId="9705" xr:uid="{C381F117-7831-404A-A97A-FDD8E21A4277}"/>
    <cellStyle name="Migliaia 37 3 3 4" xfId="20505" xr:uid="{564E2B7F-6AA0-4DAE-B524-8F47179F3F98}"/>
    <cellStyle name="Migliaia 37 3 3 4 2" xfId="33934" xr:uid="{31AC12CF-B4CD-401F-AAF0-D47604364156}"/>
    <cellStyle name="Migliaia 37 3 3 4 2 2" xfId="39465" xr:uid="{FA4745F1-1C54-413C-953A-7C906CE018B2}"/>
    <cellStyle name="Migliaia 37 3 3 4 2 3" xfId="44767" xr:uid="{896398E7-CEE8-4884-ACDB-FBD56C273A81}"/>
    <cellStyle name="Migliaia 37 3 3 4 3" xfId="36879" xr:uid="{1BA42A86-6157-4337-B579-0E05FF40F74B}"/>
    <cellStyle name="Migliaia 37 3 3 4 4" xfId="42116" xr:uid="{5C71D161-23DA-406C-AC99-9A2FEEF415D3}"/>
    <cellStyle name="Migliaia 37 3 3 4 5" xfId="24856" xr:uid="{DF51AE2B-4941-4356-87AC-3BB1193693C4}"/>
    <cellStyle name="Migliaia 37 3 3 5" xfId="24857" xr:uid="{EB0BCFCE-5A07-4C51-8EA5-D0C51ECEC054}"/>
    <cellStyle name="Migliaia 37 3 3 5 2" xfId="33935" xr:uid="{DB4DFEED-310D-4E19-AC4B-309918DDA928}"/>
    <cellStyle name="Migliaia 37 3 3 5 2 2" xfId="39466" xr:uid="{E234E520-AB41-4D42-9862-158C6FB98DE7}"/>
    <cellStyle name="Migliaia 37 3 3 5 2 3" xfId="44768" xr:uid="{3EB63A04-61FD-40AD-A0A8-19173847B5E8}"/>
    <cellStyle name="Migliaia 37 3 3 5 3" xfId="36880" xr:uid="{1729BE56-4779-4950-846B-F12E5F639823}"/>
    <cellStyle name="Migliaia 37 3 3 5 4" xfId="42117" xr:uid="{EF6C6836-E531-417D-9768-8464DABE3B4B}"/>
    <cellStyle name="Migliaia 37 3 3 6" xfId="33932" xr:uid="{1C1C439F-C7BB-4749-9C2A-D0BC6B82F511}"/>
    <cellStyle name="Migliaia 37 3 3 6 2" xfId="39462" xr:uid="{FE070F38-1F2F-400A-BD7B-7C2DF85C3EB4}"/>
    <cellStyle name="Migliaia 37 3 3 6 3" xfId="44764" xr:uid="{04AF7F01-CA5D-4174-9495-983D6204F261}"/>
    <cellStyle name="Migliaia 37 3 3 7" xfId="36877" xr:uid="{F14CBF18-B9E7-4535-8AD5-98C5A1197E0D}"/>
    <cellStyle name="Migliaia 37 3 3 8" xfId="42113" xr:uid="{517FEEF4-52D7-43DF-BAE3-3CA02C910590}"/>
    <cellStyle name="Migliaia 37 3 3 9" xfId="16480" xr:uid="{1F048D70-2AC1-4033-9612-14397382F24C}"/>
    <cellStyle name="Migliaia 37 3 4" xfId="3592" xr:uid="{B559AC98-DD11-47FA-8A39-E1C627F183A0}"/>
    <cellStyle name="Migliaia 37 3 4 2" xfId="5318" xr:uid="{004889BF-014B-45DB-BEE1-3AADB29A83BF}"/>
    <cellStyle name="Migliaia 37 3 4 2 2" xfId="14453" xr:uid="{403F59BC-42C9-4FAF-8596-EAF7FC1E59A2}"/>
    <cellStyle name="Migliaia 37 3 4 2 3" xfId="18583" xr:uid="{DE7DB53B-162A-4B61-B9A2-22CCED31C106}"/>
    <cellStyle name="Migliaia 37 3 4 2 4" xfId="20508" xr:uid="{C001BA93-0B97-4016-9200-B6FED91515D4}"/>
    <cellStyle name="Migliaia 37 3 4 2 5" xfId="32391" xr:uid="{657275B5-E1D6-432D-AA88-9C256B4BA32F}"/>
    <cellStyle name="Migliaia 37 3 4 2 6" xfId="16483" xr:uid="{A814DC02-9406-4E2B-BCB1-681BDEEEA825}"/>
    <cellStyle name="Migliaia 37 3 4 2 7" xfId="8876" xr:uid="{2FB919FD-38F3-48C8-9AF9-DFE719898A66}"/>
    <cellStyle name="Migliaia 37 3 4 3" xfId="6512" xr:uid="{7BC5C860-3C99-4435-8A0B-F77CE98200F6}"/>
    <cellStyle name="Migliaia 37 3 4 3 2" xfId="35335" xr:uid="{92206169-29D1-47D4-846D-B04FFF8F83A0}"/>
    <cellStyle name="Migliaia 37 3 4 3 2 2" xfId="40495" xr:uid="{E1E08578-19A2-4574-8606-DE77278E7703}"/>
    <cellStyle name="Migliaia 37 3 4 3 2 3" xfId="45797" xr:uid="{57A54194-BD5B-4172-9FF2-97AA3A1BD471}"/>
    <cellStyle name="Migliaia 37 3 4 3 3" xfId="37844" xr:uid="{84E23034-402F-4512-992A-830B17EF6DE7}"/>
    <cellStyle name="Migliaia 37 3 4 3 4" xfId="43146" xr:uid="{6EE298C5-54DC-4C2F-AA41-A3A11E294290}"/>
    <cellStyle name="Migliaia 37 3 4 3 5" xfId="13701" xr:uid="{E97D1DCD-CF2A-4D0A-B253-29487713DB8F}"/>
    <cellStyle name="Migliaia 37 3 4 4" xfId="20507" xr:uid="{1AD89658-1D6B-461B-8DA7-4AC5961EA731}"/>
    <cellStyle name="Migliaia 37 3 4 4 2" xfId="39467" xr:uid="{12DC02A1-9F54-4088-93DF-1B2B5AAE4495}"/>
    <cellStyle name="Migliaia 37 3 4 4 3" xfId="44769" xr:uid="{DD7B2C39-AB9C-4272-88BF-499685EE5345}"/>
    <cellStyle name="Migliaia 37 3 4 4 4" xfId="33936" xr:uid="{01C8C208-4BF4-4774-8E41-DF77F4567AE0}"/>
    <cellStyle name="Migliaia 37 3 4 5" xfId="36881" xr:uid="{50378D47-BC2B-43E5-9159-4432B5AA49C1}"/>
    <cellStyle name="Migliaia 37 3 4 6" xfId="42118" xr:uid="{D1631D2F-BA46-4264-9AE0-A678FCBB6390}"/>
    <cellStyle name="Migliaia 37 3 4 7" xfId="16482" xr:uid="{EA909DB2-2B03-4D57-AD62-7B0F6B6A8E79}"/>
    <cellStyle name="Migliaia 37 3 4 8" xfId="7686" xr:uid="{1B3476E3-54E0-488A-A3A8-8F441F552EA9}"/>
    <cellStyle name="Migliaia 37 3 5" xfId="3593" xr:uid="{0651C7D5-50C4-4BF6-9423-2C40D079AB05}"/>
    <cellStyle name="Migliaia 37 3 5 2" xfId="5319" xr:uid="{9502462D-35B8-4D29-84B7-A0400B90E7F4}"/>
    <cellStyle name="Migliaia 37 3 5 2 2" xfId="35336" xr:uid="{67D39222-91DB-46E8-A34F-16411880199C}"/>
    <cellStyle name="Migliaia 37 3 5 2 2 2" xfId="40496" xr:uid="{339EFAA2-8E01-40B6-9E66-50C1B06A1439}"/>
    <cellStyle name="Migliaia 37 3 5 2 2 3" xfId="45798" xr:uid="{9600CF79-3B8C-47B7-AC7D-D8515BD6BB7E}"/>
    <cellStyle name="Migliaia 37 3 5 2 3" xfId="37845" xr:uid="{2B3C82F5-FE6B-45B3-9E64-5EB920F5F846}"/>
    <cellStyle name="Migliaia 37 3 5 2 4" xfId="43147" xr:uid="{1A4E7364-0EC6-4FDC-8DEB-E44ED23B7819}"/>
    <cellStyle name="Migliaia 37 3 5 2 5" xfId="14271" xr:uid="{2CB78B99-E50D-4C4A-AD5E-74637BF1749E}"/>
    <cellStyle name="Migliaia 37 3 5 3" xfId="6513" xr:uid="{34C96F0E-1D13-4B21-810A-74F7ED7010C9}"/>
    <cellStyle name="Migliaia 37 3 5 3 2" xfId="39468" xr:uid="{E3F6839D-45A5-4AFE-BD12-454B8AC5A5DE}"/>
    <cellStyle name="Migliaia 37 3 5 3 3" xfId="44770" xr:uid="{4A70C17A-CAC7-4D02-8650-BD526FD43FF6}"/>
    <cellStyle name="Migliaia 37 3 5 3 4" xfId="33937" xr:uid="{840D34D2-CF66-4B11-B98C-A766AA0EEF25}"/>
    <cellStyle name="Migliaia 37 3 5 3 5" xfId="20509" xr:uid="{71D8E9BF-47DC-40E2-BB80-0028BD7BE8B8}"/>
    <cellStyle name="Migliaia 37 3 5 4" xfId="36882" xr:uid="{8161BA9D-0E5E-47ED-9996-22842271061C}"/>
    <cellStyle name="Migliaia 37 3 5 5" xfId="42119" xr:uid="{C7855AD8-D955-4A59-8CCA-B2CF00990B76}"/>
    <cellStyle name="Migliaia 37 3 5 6" xfId="16484" xr:uid="{92B13209-6546-46C5-9425-C92253518C3C}"/>
    <cellStyle name="Migliaia 37 3 5 7" xfId="8333" xr:uid="{3922CDDA-DC06-410E-AE6B-779D8E1D81F6}"/>
    <cellStyle name="Migliaia 37 3 6" xfId="5314" xr:uid="{D9989055-3376-4BB0-B008-BFBE40D1B367}"/>
    <cellStyle name="Migliaia 37 3 6 2" xfId="13976" xr:uid="{D6679B07-7C8A-4B7E-BC80-6C6EC20C7BAF}"/>
    <cellStyle name="Migliaia 37 3 6 2 2" xfId="39469" xr:uid="{1D3DA80F-7F35-44C9-A3E1-39A3FCF67CB1}"/>
    <cellStyle name="Migliaia 37 3 6 2 3" xfId="44771" xr:uid="{EEB64226-7CC8-41F0-89C5-FFD119DE9C5B}"/>
    <cellStyle name="Migliaia 37 3 6 3" xfId="18022" xr:uid="{AF8E84D7-2B82-4532-B6A5-6D155165D333}"/>
    <cellStyle name="Migliaia 37 3 6 4" xfId="20510" xr:uid="{4F23ABAF-91D4-49DE-ACB2-AAA6C4C43B0E}"/>
    <cellStyle name="Migliaia 37 3 6 4 2" xfId="42120" xr:uid="{2F110E27-7EBA-4C64-8A8D-67EFD2DD181A}"/>
    <cellStyle name="Migliaia 37 3 6 5" xfId="16485" xr:uid="{989F6877-7D78-4666-8445-B6BB83FEAA93}"/>
    <cellStyle name="Migliaia 37 3 6 6" xfId="7944" xr:uid="{3647F7E8-E92E-4CEE-A706-2A69BDDB323A}"/>
    <cellStyle name="Migliaia 37 3 7" xfId="6508" xr:uid="{9F642E4B-BEB3-4922-BE23-2E830ADD1472}"/>
    <cellStyle name="Migliaia 37 3 7 2" xfId="33938" xr:uid="{92ED0048-E9E0-492C-B8C9-7D0E0B836434}"/>
    <cellStyle name="Migliaia 37 3 7 2 2" xfId="39470" xr:uid="{C0B39D4E-9FC0-46E0-9830-AE7947A18C5D}"/>
    <cellStyle name="Migliaia 37 3 7 2 3" xfId="44772" xr:uid="{004077B0-B4B2-4978-A390-1AAE2DB03E2C}"/>
    <cellStyle name="Migliaia 37 3 7 3" xfId="36883" xr:uid="{38C712C9-54B5-4602-B2CD-73139FA3A56A}"/>
    <cellStyle name="Migliaia 37 3 7 4" xfId="42121" xr:uid="{685E2A71-38DB-4CCA-8FEF-EFCF3A863A5C}"/>
    <cellStyle name="Migliaia 37 3 7 5" xfId="12167" xr:uid="{047E3868-D044-440E-A55B-854CD3562022}"/>
    <cellStyle name="Migliaia 37 3 8" xfId="3588" xr:uid="{D9A509CE-B803-4352-9697-99228A313C01}"/>
    <cellStyle name="Migliaia 37 3 8 2" xfId="33939" xr:uid="{B6ACB5A1-D56B-44DB-A49F-EB728F36E6BD}"/>
    <cellStyle name="Migliaia 37 3 8 2 2" xfId="39471" xr:uid="{585333FB-0615-43A5-86F3-3B2B8F2829FF}"/>
    <cellStyle name="Migliaia 37 3 8 2 3" xfId="44773" xr:uid="{4967ECAF-B707-40AC-A9C0-2D00E16CBE5C}"/>
    <cellStyle name="Migliaia 37 3 8 3" xfId="36884" xr:uid="{A88233D4-2798-4F6D-BF55-A06CC148C5B6}"/>
    <cellStyle name="Migliaia 37 3 8 4" xfId="42122" xr:uid="{B7E84758-6219-4B9B-B5D4-F6DF9434DB49}"/>
    <cellStyle name="Migliaia 37 3 8 5" xfId="24858" xr:uid="{8A232720-8FEA-4B83-BF20-33C09276FBF7}"/>
    <cellStyle name="Migliaia 37 3 8 6" xfId="17337" xr:uid="{E90C940A-B8D8-495C-A8E7-751AC38CA4FA}"/>
    <cellStyle name="Migliaia 37 3 9" xfId="20501" xr:uid="{3A73851A-405A-42DC-A35C-56559CFEC0C8}"/>
    <cellStyle name="Migliaia 37 4" xfId="1808" xr:uid="{00000000-0005-0000-0000-0000D3030000}"/>
    <cellStyle name="Migliaia 37 4 2" xfId="1809" xr:uid="{00000000-0005-0000-0000-0000D4030000}"/>
    <cellStyle name="Migliaia 37 4 2 2" xfId="5321" xr:uid="{46A48FF8-4845-4102-BBE7-7B8BF93B2077}"/>
    <cellStyle name="Migliaia 37 4 2 2 2" xfId="33940" xr:uid="{BEA85D0B-F424-47C4-BC34-D8510945CCF1}"/>
    <cellStyle name="Migliaia 37 4 2 2 2 2" xfId="39472" xr:uid="{28B586B7-09AA-4D13-8029-D4756BC5A253}"/>
    <cellStyle name="Migliaia 37 4 2 2 2 3" xfId="44774" xr:uid="{ACC9B2D0-2856-4BFA-94A6-48855A2F7471}"/>
    <cellStyle name="Migliaia 37 4 2 2 3" xfId="36885" xr:uid="{3B44E594-80A0-4B4F-8420-48E357402E6A}"/>
    <cellStyle name="Migliaia 37 4 2 2 4" xfId="42123" xr:uid="{64B833E5-5892-48EC-BC9D-13352C44C9B6}"/>
    <cellStyle name="Migliaia 37 4 2 2 5" xfId="9168" xr:uid="{B4E09724-67BE-4331-B306-940E5B173460}"/>
    <cellStyle name="Migliaia 37 4 2 3" xfId="3595" xr:uid="{36F591D5-2E96-458D-9412-0D3B3FDD323D}"/>
    <cellStyle name="Migliaia 37 4 2 3 2" xfId="33941" xr:uid="{55CCCDF1-A0C3-4E97-861B-D0A2518DF1E0}"/>
    <cellStyle name="Migliaia 37 4 2 3 2 2" xfId="39473" xr:uid="{5B536316-8869-45C8-BB43-99DA6E0DC1EC}"/>
    <cellStyle name="Migliaia 37 4 2 3 2 3" xfId="44775" xr:uid="{285B264E-FB2F-4C7F-B334-5343C230E1BC}"/>
    <cellStyle name="Migliaia 37 4 2 3 3" xfId="36886" xr:uid="{5638E44B-10DE-40FF-962C-29244C548F29}"/>
    <cellStyle name="Migliaia 37 4 2 3 4" xfId="42124" xr:uid="{92F156D2-3597-45B6-AD3E-C9CF01BBA846}"/>
    <cellStyle name="Migliaia 37 4 2 3 5" xfId="12009" xr:uid="{7A266946-107F-464D-AD8A-44B457B60C8C}"/>
    <cellStyle name="Migliaia 37 4 2 4" xfId="11358" xr:uid="{00A9FFD1-5A78-4D41-88F6-4F515A04B7F6}"/>
    <cellStyle name="Migliaia 37 4 2 5" xfId="10886" xr:uid="{F8642811-4A00-447F-8065-844719C446F9}"/>
    <cellStyle name="Migliaia 37 4 2 5 2" xfId="21521" xr:uid="{C36EC19E-8365-466B-BCE8-5A02DBEE218C}"/>
    <cellStyle name="Migliaia 37 4 2 5 3" xfId="24242" xr:uid="{D5365060-AFE7-4D69-9291-0EFCC8B4D5D4}"/>
    <cellStyle name="Migliaia 37 4 2 5 4" xfId="50536" xr:uid="{392121F4-257A-4E72-B3AF-8BF2845A5DDA}"/>
    <cellStyle name="Migliaia 37 4 2 5 5" xfId="53552" xr:uid="{052236C5-A4C6-4BA8-AAC7-0A7CA3987DAE}"/>
    <cellStyle name="Migliaia 37 4 2 6" xfId="20512" xr:uid="{27A45288-EBE3-4CD7-8A6B-3C16BE77573C}"/>
    <cellStyle name="Migliaia 37 4 2 7" xfId="24860" xr:uid="{7F19FF27-4B68-4929-B828-0F7AB06ECCC6}"/>
    <cellStyle name="Migliaia 37 4 2 8" xfId="8664" xr:uid="{CFBADEBC-E71B-48CF-9F99-9FE1A8158A8E}"/>
    <cellStyle name="Migliaia 37 4 3" xfId="5320" xr:uid="{3BA4C93B-2C92-43E1-9659-2D78C6001A17}"/>
    <cellStyle name="Migliaia 37 4 3 2" xfId="18223" xr:uid="{82E729C5-7BBF-4AD1-A43A-49F4920FD8C6}"/>
    <cellStyle name="Migliaia 37 4 3 2 2" xfId="39474" xr:uid="{5B386915-BCC8-47F3-BF42-02913EA23B3D}"/>
    <cellStyle name="Migliaia 37 4 3 2 3" xfId="44776" xr:uid="{A4E94988-D792-4714-9F53-9EF58458F721}"/>
    <cellStyle name="Migliaia 37 4 3 3" xfId="36887" xr:uid="{702DD8D5-203D-42C3-881F-6C1705CD5C91}"/>
    <cellStyle name="Migliaia 37 4 3 4" xfId="42125" xr:uid="{47A3240C-DD8B-44CB-BE61-EE90FD51524C}"/>
    <cellStyle name="Migliaia 37 4 3 5" xfId="17335" xr:uid="{D9F37E47-62E5-4E42-8AB5-0DFE9AE932B2}"/>
    <cellStyle name="Migliaia 37 4 3 6" xfId="9169" xr:uid="{4BD6C1B6-0830-4999-A78B-73BA5ACAEE2D}"/>
    <cellStyle name="Migliaia 37 4 4" xfId="6514" xr:uid="{AF797D48-E244-42F5-B7C7-6A7335A4073A}"/>
    <cellStyle name="Migliaia 37 4 4 2" xfId="33942" xr:uid="{BED3B34F-70F1-48F9-9C40-E4427A5E20A2}"/>
    <cellStyle name="Migliaia 37 4 4 2 2" xfId="39475" xr:uid="{DF57AC00-93E0-45D7-BEBB-C54488A10FA3}"/>
    <cellStyle name="Migliaia 37 4 4 2 3" xfId="44777" xr:uid="{4BFA7A27-AB31-4643-855D-51AA0ECDE15E}"/>
    <cellStyle name="Migliaia 37 4 4 3" xfId="36888" xr:uid="{8CD19001-7D16-4325-9104-60157DA9E5CD}"/>
    <cellStyle name="Migliaia 37 4 4 4" xfId="42126" xr:uid="{18F328F7-AA42-4B64-B068-A250CF7FC3D7}"/>
    <cellStyle name="Migliaia 37 4 4 5" xfId="12010" xr:uid="{01715452-FD6C-4C3C-9C9E-A571A86CEDC3}"/>
    <cellStyle name="Migliaia 37 4 5" xfId="3594" xr:uid="{9726D3E7-8F96-474D-AD88-0D141BB704AB}"/>
    <cellStyle name="Migliaia 37 4 5 2" xfId="33943" xr:uid="{8CAD4CC4-804C-4F52-8C7B-CD74268A84D4}"/>
    <cellStyle name="Migliaia 37 4 5 2 2" xfId="39476" xr:uid="{C76B2FA4-FF89-471A-952D-3D109A50D361}"/>
    <cellStyle name="Migliaia 37 4 5 2 3" xfId="44778" xr:uid="{D461C5E7-B0CA-47A7-A1BE-D2C22AA10827}"/>
    <cellStyle name="Migliaia 37 4 5 3" xfId="36889" xr:uid="{B753C684-D347-4FD2-B756-7EE8D041CD94}"/>
    <cellStyle name="Migliaia 37 4 5 4" xfId="42127" xr:uid="{65039DE0-6998-4A95-A01E-BDB202B69924}"/>
    <cellStyle name="Migliaia 37 4 5 5" xfId="11357" xr:uid="{A0065B57-E77E-4E8A-98B1-E2C7764F2EE2}"/>
    <cellStyle name="Migliaia 37 4 6" xfId="10885" xr:uid="{BEEE61C6-8A22-4C3A-8036-7503C4CC9EE5}"/>
    <cellStyle name="Migliaia 37 4 6 2" xfId="21520" xr:uid="{4CC1FE7D-DEEF-4ABB-8E00-C0E04E7BF6DA}"/>
    <cellStyle name="Migliaia 37 4 6 2 2" xfId="39477" xr:uid="{D429B1C9-8A46-456A-AEF2-164AD181D513}"/>
    <cellStyle name="Migliaia 37 4 6 2 3" xfId="44779" xr:uid="{4CCD2EAD-8C7B-450A-B0DC-10D3113223D9}"/>
    <cellStyle name="Migliaia 37 4 6 2 4" xfId="33944" xr:uid="{A8D63D5F-AC1D-43B0-83AA-47BE4BE1355A}"/>
    <cellStyle name="Migliaia 37 4 6 3" xfId="36890" xr:uid="{9E80766A-73AA-4879-981D-3941F7800049}"/>
    <cellStyle name="Migliaia 37 4 6 4" xfId="42128" xr:uid="{A8E82757-004D-43BF-A6C9-FF638E97AA05}"/>
    <cellStyle name="Migliaia 37 4 6 5" xfId="24861" xr:uid="{D885633A-8569-4EEB-AD9A-A3B395EF4EA0}"/>
    <cellStyle name="Migliaia 37 4 6 6" xfId="46249" xr:uid="{1A8CD204-1535-4696-85F9-D56053DB7296}"/>
    <cellStyle name="Migliaia 37 4 6 7" xfId="50535" xr:uid="{44ABA70A-9C24-4EA3-B2BF-E922BCD243DE}"/>
    <cellStyle name="Migliaia 37 4 6 8" xfId="53551" xr:uid="{6DC71CFF-1A35-4B21-8663-0A45EF591F2F}"/>
    <cellStyle name="Migliaia 37 4 7" xfId="20511" xr:uid="{9A092F8A-5110-4BEB-8237-F98C1BEDCE1A}"/>
    <cellStyle name="Migliaia 37 4 7 2" xfId="33945" xr:uid="{926982CA-3FC3-4B01-9235-C6BCEC163769}"/>
    <cellStyle name="Migliaia 37 4 7 2 2" xfId="39478" xr:uid="{281B7D8F-4D94-47E8-8AF0-A5EC39998F13}"/>
    <cellStyle name="Migliaia 37 4 7 2 3" xfId="44780" xr:uid="{69977650-BCF5-4FB8-8D3A-CF39BE5ED3B3}"/>
    <cellStyle name="Migliaia 37 4 7 3" xfId="36891" xr:uid="{BC49E925-0F1E-4151-B761-8DEDE5C9794D}"/>
    <cellStyle name="Migliaia 37 4 7 4" xfId="42129" xr:uid="{AB12CC12-D97C-4CD8-A115-FE38425CD69F}"/>
    <cellStyle name="Migliaia 37 4 7 5" xfId="24862" xr:uid="{9BF1529F-2CA0-4D4C-BF7D-0B4F73FE0778}"/>
    <cellStyle name="Migliaia 37 4 8" xfId="24859" xr:uid="{32D92DE8-FFFA-4299-AA28-A95F117C26E7}"/>
    <cellStyle name="Migliaia 37 4 9" xfId="7474" xr:uid="{695B849C-AEAD-4E48-8E4C-015619F485A8}"/>
    <cellStyle name="Migliaia 37 5" xfId="1810" xr:uid="{00000000-0005-0000-0000-0000D5030000}"/>
    <cellStyle name="Migliaia 37 5 2" xfId="5322" xr:uid="{040770B9-B15F-4948-8884-B33003DC9FFD}"/>
    <cellStyle name="Migliaia 37 5 2 2" xfId="18454" xr:uid="{4E7F0E19-3E41-475D-A4EF-A9272F86255C}"/>
    <cellStyle name="Migliaia 37 5 2 2 2" xfId="39479" xr:uid="{02F9B696-0EA9-43AA-A7FF-E1387A60CAB4}"/>
    <cellStyle name="Migliaia 37 5 2 2 3" xfId="44781" xr:uid="{1169F4E5-FD06-4C5E-BE23-E5E420A74417}"/>
    <cellStyle name="Migliaia 37 5 2 3" xfId="20514" xr:uid="{0A7AA658-9634-4155-B881-48213F0F5047}"/>
    <cellStyle name="Migliaia 37 5 2 3 2" xfId="36892" xr:uid="{A7740636-7DF4-40F6-ADF2-58F79BA20C8E}"/>
    <cellStyle name="Migliaia 37 5 2 4" xfId="42130" xr:uid="{59C35BA1-21DC-4274-AEBB-39C2835C6AC5}"/>
    <cellStyle name="Migliaia 37 5 2 5" xfId="16486" xr:uid="{42327E01-BFCA-4DA4-A661-148A27EFD5BC}"/>
    <cellStyle name="Migliaia 37 5 2 6" xfId="8665" xr:uid="{F325F2E7-4E9B-43E7-81AD-ADB5FF54A276}"/>
    <cellStyle name="Migliaia 37 5 3" xfId="6515" xr:uid="{5B513201-78C3-4B3D-9F88-9D484743C8D1}"/>
    <cellStyle name="Migliaia 37 5 3 2" xfId="33946" xr:uid="{05EA4128-6A74-478F-9824-B34B18C2E545}"/>
    <cellStyle name="Migliaia 37 5 3 2 2" xfId="39480" xr:uid="{4F130702-BB82-453D-9B25-3031E138BB5C}"/>
    <cellStyle name="Migliaia 37 5 3 2 3" xfId="44782" xr:uid="{85C56273-C2B1-4C86-9C8D-4147E63F15BC}"/>
    <cellStyle name="Migliaia 37 5 3 3" xfId="36893" xr:uid="{3DF26CFD-3DBD-40CA-BC6C-9034A83ADF59}"/>
    <cellStyle name="Migliaia 37 5 3 4" xfId="42131" xr:uid="{61295309-B801-4EB3-97BD-FCFD0FAFDA43}"/>
    <cellStyle name="Migliaia 37 5 3 5" xfId="11359" xr:uid="{C1089CA3-40E7-4DD3-AF8D-0D5CFD028A08}"/>
    <cellStyle name="Migliaia 37 5 4" xfId="3596" xr:uid="{D1C469AE-757A-4D31-AC85-B1CAA0F1EAFD}"/>
    <cellStyle name="Migliaia 37 5 4 2" xfId="21522" xr:uid="{57F3C56D-48AA-448B-AC0B-580376D799C2}"/>
    <cellStyle name="Migliaia 37 5 4 2 2" xfId="39481" xr:uid="{5BBB0488-7D9B-4EA1-879D-19E68BBCAA4D}"/>
    <cellStyle name="Migliaia 37 5 4 2 3" xfId="44783" xr:uid="{3152B1A5-4FEC-4419-B1AA-DB39D3547DB6}"/>
    <cellStyle name="Migliaia 37 5 4 2 4" xfId="33947" xr:uid="{D90599A3-65B8-4F8B-BC77-04CC9E3A2D25}"/>
    <cellStyle name="Migliaia 37 5 4 3" xfId="36894" xr:uid="{62C8245F-59B9-421D-B277-8CD9775DB86E}"/>
    <cellStyle name="Migliaia 37 5 4 4" xfId="42132" xr:uid="{17E88206-688C-412F-B925-A4DE2ABE941A}"/>
    <cellStyle name="Migliaia 37 5 4 5" xfId="24864" xr:uid="{EB4167CA-1A17-4A41-9C69-5761B2030D10}"/>
    <cellStyle name="Migliaia 37 5 4 6" xfId="46250" xr:uid="{880F146F-1DE8-496B-9D7D-EEABB9F9E164}"/>
    <cellStyle name="Migliaia 37 5 4 7" xfId="50537" xr:uid="{4C3C88C7-7C3C-43A1-B1B4-2BDE8C0B340C}"/>
    <cellStyle name="Migliaia 37 5 4 8" xfId="53553" xr:uid="{D12FE3F5-C453-4E50-BFE2-59F00416D107}"/>
    <cellStyle name="Migliaia 37 5 4 9" xfId="10887" xr:uid="{5AD6685B-008C-4672-BBA9-DA74C7B6C717}"/>
    <cellStyle name="Migliaia 37 5 5" xfId="20513" xr:uid="{59B50A81-DD3C-46A1-8CFC-67A84DA9DED0}"/>
    <cellStyle name="Migliaia 37 5 5 2" xfId="33948" xr:uid="{3C242595-4945-4325-91B9-37BA570D9E53}"/>
    <cellStyle name="Migliaia 37 5 5 2 2" xfId="39482" xr:uid="{CD091D5A-022A-4C74-B9C6-E00F7947BF43}"/>
    <cellStyle name="Migliaia 37 5 5 2 3" xfId="44784" xr:uid="{C4DB6250-7DB8-42A2-A267-952F29BEFB01}"/>
    <cellStyle name="Migliaia 37 5 5 3" xfId="36895" xr:uid="{2A447B25-BDCA-409A-A34F-1006831A11DB}"/>
    <cellStyle name="Migliaia 37 5 5 4" xfId="42133" xr:uid="{5F08F81E-88BB-43CE-BF2A-0CA0DA665DA3}"/>
    <cellStyle name="Migliaia 37 5 5 5" xfId="24865" xr:uid="{C2120909-6710-477D-8595-31F1CF661D0E}"/>
    <cellStyle name="Migliaia 37 5 6" xfId="24866" xr:uid="{EED989DD-1D76-41F4-B2E4-5FA8EB6A03B2}"/>
    <cellStyle name="Migliaia 37 5 6 2" xfId="33949" xr:uid="{FAC46026-D10A-42B0-8D47-B07625CDA0DA}"/>
    <cellStyle name="Migliaia 37 5 6 2 2" xfId="39483" xr:uid="{F9D394F2-3879-49F0-B610-22E9E3D63BA2}"/>
    <cellStyle name="Migliaia 37 5 6 2 3" xfId="44785" xr:uid="{5B666F98-536B-43E1-8E9A-5B3CEBDA58B1}"/>
    <cellStyle name="Migliaia 37 5 6 3" xfId="36896" xr:uid="{47E4357D-A0A1-4940-BEEF-FCDE8A213373}"/>
    <cellStyle name="Migliaia 37 5 6 4" xfId="42134" xr:uid="{59210FF2-2BB3-4F96-95DC-DED7DADB9543}"/>
    <cellStyle name="Migliaia 37 5 7" xfId="24863" xr:uid="{84751837-7CDB-4F68-B900-78A5659E0F84}"/>
    <cellStyle name="Migliaia 37 5 8" xfId="7475" xr:uid="{D57282CD-7314-433C-9419-0E5F078F6895}"/>
    <cellStyle name="Migliaia 37 6" xfId="3597" xr:uid="{02D50670-B404-4218-B08C-DBEB9951C656}"/>
    <cellStyle name="Migliaia 37 6 2" xfId="5323" xr:uid="{5881A6B7-A243-40C4-A965-4FE26DC4E963}"/>
    <cellStyle name="Migliaia 37 6 2 2" xfId="9941" xr:uid="{E4C57220-6BC6-4B2C-A90C-782F975F3613}"/>
    <cellStyle name="Migliaia 37 6 2 3" xfId="18650" xr:uid="{4C5C5A6A-C6FD-4D60-B93F-477DB0CA6712}"/>
    <cellStyle name="Migliaia 37 6 2 4" xfId="20516" xr:uid="{E748E0B9-F93F-42A0-822B-3958BA6E80D6}"/>
    <cellStyle name="Migliaia 37 6 2 5" xfId="32392" xr:uid="{95BD24AD-9B3A-4054-9728-8818B557E334}"/>
    <cellStyle name="Migliaia 37 6 2 6" xfId="16488" xr:uid="{1C5406CC-CC09-4BC1-B6DE-5A02B87EC346}"/>
    <cellStyle name="Migliaia 37 6 2 7" xfId="8660" xr:uid="{05DD705A-BC51-4203-AAF4-D92E5BAA7FE9}"/>
    <cellStyle name="Migliaia 37 6 3" xfId="6516" xr:uid="{350D6510-8676-4186-9243-D53DB5CF346F}"/>
    <cellStyle name="Migliaia 37 6 3 2" xfId="35337" xr:uid="{D6BF256F-13BE-4FC9-88EF-FF311D1397DE}"/>
    <cellStyle name="Migliaia 37 6 3 2 2" xfId="40497" xr:uid="{7291B415-C9E9-45EB-9DB9-228504FA84D3}"/>
    <cellStyle name="Migliaia 37 6 3 2 3" xfId="45799" xr:uid="{A62E4B72-475B-4F3A-BAF5-C03268ADF760}"/>
    <cellStyle name="Migliaia 37 6 3 3" xfId="37846" xr:uid="{CE20DE70-C68B-45D8-ACDF-126D534EA5C6}"/>
    <cellStyle name="Migliaia 37 6 3 4" xfId="43148" xr:uid="{271BFB9D-C9D8-4CD0-987F-1B21D2351D57}"/>
    <cellStyle name="Migliaia 37 6 3 5" xfId="9704" xr:uid="{B85C5A23-08E3-4F9E-9EE4-68D3C9C1BB70}"/>
    <cellStyle name="Migliaia 37 6 4" xfId="20515" xr:uid="{D12EE4C6-2E35-42F1-ABF6-267FA02053AC}"/>
    <cellStyle name="Migliaia 37 6 4 2" xfId="39484" xr:uid="{23EA2CFF-CC1A-460A-BD60-F3E154615EE3}"/>
    <cellStyle name="Migliaia 37 6 4 3" xfId="44786" xr:uid="{3FAD0D4C-C9D5-4418-A2C6-98345FE98C21}"/>
    <cellStyle name="Migliaia 37 6 4 4" xfId="33950" xr:uid="{C81FBD04-E88C-466B-85E3-03CC49481FDC}"/>
    <cellStyle name="Migliaia 37 6 5" xfId="36897" xr:uid="{3762882E-2294-47C9-9431-8D3434C3D374}"/>
    <cellStyle name="Migliaia 37 6 6" xfId="42135" xr:uid="{B994B19C-D5E1-4AFE-A969-7A0B5439A3A0}"/>
    <cellStyle name="Migliaia 37 6 7" xfId="16487" xr:uid="{ED995D4B-90C0-4308-B4D1-48B9801D4BD4}"/>
    <cellStyle name="Migliaia 37 6 8" xfId="7470" xr:uid="{C95B9084-BD6B-4471-AC47-0B7E9B85D349}"/>
    <cellStyle name="Migliaia 37 7" xfId="3598" xr:uid="{075E0A5D-AAA2-4127-AEBB-09EDFA6C3BDB}"/>
    <cellStyle name="Migliaia 37 7 2" xfId="5324" xr:uid="{359A1158-A60E-464F-B1F9-38CFF9239C04}"/>
    <cellStyle name="Migliaia 37 7 2 2" xfId="35338" xr:uid="{5745D005-9487-480C-AB0E-433FD3517E9E}"/>
    <cellStyle name="Migliaia 37 7 2 2 2" xfId="40498" xr:uid="{9BE6A894-8D2B-48A6-AC5E-D5AC301BEBEE}"/>
    <cellStyle name="Migliaia 37 7 2 2 3" xfId="45800" xr:uid="{04413DD0-E858-45F9-B22B-504507EC369E}"/>
    <cellStyle name="Migliaia 37 7 2 3" xfId="37847" xr:uid="{BC36DBB8-1ECE-4EDA-8F75-2329CD339D17}"/>
    <cellStyle name="Migliaia 37 7 2 4" xfId="43149" xr:uid="{6171C59B-E1F6-40C1-A098-D2CCD31D7426}"/>
    <cellStyle name="Migliaia 37 7 2 5" xfId="14269" xr:uid="{F62A63C2-1E11-420C-B79B-60799B98A2DE}"/>
    <cellStyle name="Migliaia 37 7 3" xfId="6517" xr:uid="{03E3F660-1EFB-499D-96FB-579A48D45FEB}"/>
    <cellStyle name="Migliaia 37 7 3 2" xfId="39485" xr:uid="{D70DA1F7-B1E8-4BBD-A3B0-7750B9D5AAD7}"/>
    <cellStyle name="Migliaia 37 7 3 3" xfId="44787" xr:uid="{062FCC72-E8ED-4BE2-B282-373D84D76430}"/>
    <cellStyle name="Migliaia 37 7 3 4" xfId="33951" xr:uid="{0EF89428-C5C3-4E84-96EE-07D1D26DFB08}"/>
    <cellStyle name="Migliaia 37 7 3 5" xfId="20517" xr:uid="{A2EBB191-6CB6-434B-AA9D-0D7835E4E672}"/>
    <cellStyle name="Migliaia 37 7 4" xfId="36898" xr:uid="{0593B125-9BC3-4D65-A68E-E6A5BDB9471E}"/>
    <cellStyle name="Migliaia 37 7 5" xfId="42136" xr:uid="{58D597F4-AFCE-44A2-B007-FA6081EF045B}"/>
    <cellStyle name="Migliaia 37 7 6" xfId="16489" xr:uid="{F2FC9958-7C09-4FF2-8892-30D58BAD614A}"/>
    <cellStyle name="Migliaia 37 7 7" xfId="8331" xr:uid="{AA756156-34E0-47A9-86DF-F08E2965D1CC}"/>
    <cellStyle name="Migliaia 37 8" xfId="3599" xr:uid="{C232DE7B-EDEF-4B38-A92D-1632F8464D75}"/>
    <cellStyle name="Migliaia 37 8 2" xfId="5325" xr:uid="{AA51008E-09DE-44DB-882F-6BFF0AF4715E}"/>
    <cellStyle name="Migliaia 37 8 2 2" xfId="35339" xr:uid="{0AEE7114-27A7-414C-90D4-5941DFF83163}"/>
    <cellStyle name="Migliaia 37 8 2 2 2" xfId="40499" xr:uid="{E30DA1B0-D177-44C6-8821-EECD316F742D}"/>
    <cellStyle name="Migliaia 37 8 2 2 3" xfId="45801" xr:uid="{83325E35-7923-4BA1-8D77-B9E90A834957}"/>
    <cellStyle name="Migliaia 37 8 2 3" xfId="37848" xr:uid="{DB8579DD-2FF5-43BD-BBDD-68BE729578A3}"/>
    <cellStyle name="Migliaia 37 8 2 4" xfId="43150" xr:uid="{030AA1BF-3105-42D0-B3C1-70DF5783E173}"/>
    <cellStyle name="Migliaia 37 8 2 5" xfId="13974" xr:uid="{D4CF1E22-B83B-4361-A749-632225235F82}"/>
    <cellStyle name="Migliaia 37 8 3" xfId="6518" xr:uid="{A9B3D9D6-843A-4639-81FD-39BEF1E1E66E}"/>
    <cellStyle name="Migliaia 37 8 3 2" xfId="39486" xr:uid="{877CFE5E-2CA2-4DB8-964C-A7EB1EBA4974}"/>
    <cellStyle name="Migliaia 37 8 3 3" xfId="44788" xr:uid="{29951C96-CEAD-4ED6-B90B-9DEB73324787}"/>
    <cellStyle name="Migliaia 37 8 3 4" xfId="33952" xr:uid="{485A51AE-20A2-4411-8EB4-15EA8D15C4E2}"/>
    <cellStyle name="Migliaia 37 8 3 5" xfId="20518" xr:uid="{DA38E185-C5CC-4862-9AAD-58CA0C48ABBE}"/>
    <cellStyle name="Migliaia 37 8 4" xfId="36899" xr:uid="{4AF1BBAB-F183-4F6D-B7D5-F273B33EFD0D}"/>
    <cellStyle name="Migliaia 37 8 5" xfId="42137" xr:uid="{486D2612-91CB-4A7B-8E6B-27FC2EEC9FCA}"/>
    <cellStyle name="Migliaia 37 8 6" xfId="16490" xr:uid="{CF24D403-1FF2-4115-BD3E-73D7311373E0}"/>
    <cellStyle name="Migliaia 37 8 7" xfId="7942" xr:uid="{D7FF80D7-3F41-4026-973D-50D32E36D626}"/>
    <cellStyle name="Migliaia 37 9" xfId="5310" xr:uid="{7F867A6E-AB34-4652-8106-6FDAE61C35E0}"/>
    <cellStyle name="Migliaia 37 9 2" xfId="33953" xr:uid="{1D5D7406-41D4-49AE-842E-09D921E8CF9F}"/>
    <cellStyle name="Migliaia 37 9 2 2" xfId="39487" xr:uid="{D5291881-6E9C-40D3-AA96-7358E82212AD}"/>
    <cellStyle name="Migliaia 37 9 2 3" xfId="44789" xr:uid="{62030131-A6ED-44EA-AF57-06E9DA9B93C8}"/>
    <cellStyle name="Migliaia 37 9 3" xfId="36900" xr:uid="{BA26D8EA-9268-48F0-A8D9-B0C34B4A79C4}"/>
    <cellStyle name="Migliaia 37 9 4" xfId="42138" xr:uid="{E99DA59A-73DC-49EC-8756-C808913F00E0}"/>
    <cellStyle name="Migliaia 37 9 5" xfId="17195" xr:uid="{E3055A77-6F04-445B-9077-01EEBA9727DC}"/>
    <cellStyle name="Migliaia 38" xfId="425" xr:uid="{00000000-0005-0000-0000-0000D6030000}"/>
    <cellStyle name="Migliaia 38 10" xfId="6519" xr:uid="{48F4F792-D39C-4989-9355-B09A28869061}"/>
    <cellStyle name="Migliaia 38 10 2" xfId="39488" xr:uid="{37CC3291-8AF7-4C12-BD6E-16F5FF37E68D}"/>
    <cellStyle name="Migliaia 38 10 3" xfId="44790" xr:uid="{1DFAD0CA-E205-4F8F-AC67-AEE1AB8B11FD}"/>
    <cellStyle name="Migliaia 38 10 4" xfId="33954" xr:uid="{F6A606BF-5DD0-4B27-9599-B307D6074F7D}"/>
    <cellStyle name="Migliaia 38 10 5" xfId="20519" xr:uid="{21C66D7A-61A5-40BF-905D-4E1463947F51}"/>
    <cellStyle name="Migliaia 38 11" xfId="3600" xr:uid="{F0B5EB3C-E4AA-4AAA-9BDD-ACD6991327DA}"/>
    <cellStyle name="Migliaia 38 11 2" xfId="36901" xr:uid="{B041C9FC-0957-464E-9E1E-AF96C17DC514}"/>
    <cellStyle name="Migliaia 38 12" xfId="42139" xr:uid="{C67CF126-5163-43F2-9B85-35891F9CA3A9}"/>
    <cellStyle name="Migliaia 38 13" xfId="7135" xr:uid="{B95F1F88-FFB1-4F7B-A1F6-2BA6CED84DF6}"/>
    <cellStyle name="Migliaia 38 2" xfId="426" xr:uid="{00000000-0005-0000-0000-0000D7030000}"/>
    <cellStyle name="Migliaia 38 2 2" xfId="1811" xr:uid="{00000000-0005-0000-0000-0000D8030000}"/>
    <cellStyle name="Migliaia 38 2 2 2" xfId="5328" xr:uid="{EA6AC698-C72B-42AE-B749-E09E27789715}"/>
    <cellStyle name="Migliaia 38 2 2 2 2" xfId="14394" xr:uid="{3114F6CA-A51C-42EA-85F7-0F4C844DE373}"/>
    <cellStyle name="Migliaia 38 2 2 2 2 2" xfId="39489" xr:uid="{DC5E068A-BDFB-4F51-85FD-7CE7CB95C5B3}"/>
    <cellStyle name="Migliaia 38 2 2 2 2 3" xfId="44791" xr:uid="{01A135A6-22CA-428E-95E6-3891F05E44B8}"/>
    <cellStyle name="Migliaia 38 2 2 2 3" xfId="18455" xr:uid="{1565A37F-4C87-4D11-B7A4-7B2442CD5C5F}"/>
    <cellStyle name="Migliaia 38 2 2 2 4" xfId="20522" xr:uid="{50D7A5BF-F89E-4AFC-A40B-4278D64A9ADA}"/>
    <cellStyle name="Migliaia 38 2 2 2 4 2" xfId="42140" xr:uid="{C46DF8C2-2769-4DF8-8FAF-20F97906E7AF}"/>
    <cellStyle name="Migliaia 38 2 2 2 5" xfId="16491" xr:uid="{A98163FA-BE89-4898-ACCC-A15275C14AEB}"/>
    <cellStyle name="Migliaia 38 2 2 2 6" xfId="8667" xr:uid="{89A5E8D5-A90B-4440-B40A-4516BCD88633}"/>
    <cellStyle name="Migliaia 38 2 2 3" xfId="6521" xr:uid="{CD35BAC1-E071-40B0-A89C-05193445CCB9}"/>
    <cellStyle name="Migliaia 38 2 2 3 2" xfId="35340" xr:uid="{48F010C9-2F86-4AFF-8F44-177FC0853119}"/>
    <cellStyle name="Migliaia 38 2 2 3 2 2" xfId="40500" xr:uid="{1D838483-1348-4D1D-87D9-BED9D71507A0}"/>
    <cellStyle name="Migliaia 38 2 2 3 2 3" xfId="45802" xr:uid="{E01C8003-8ADE-4058-96B5-AE6BE780E0E8}"/>
    <cellStyle name="Migliaia 38 2 2 3 3" xfId="37849" xr:uid="{4750A646-2EF9-4F4D-9723-38B065AC820A}"/>
    <cellStyle name="Migliaia 38 2 2 3 4" xfId="43151" xr:uid="{A4D330B8-7BC5-457A-923B-1814D75A5D67}"/>
    <cellStyle name="Migliaia 38 2 2 3 5" xfId="11621" xr:uid="{E9547213-D9E5-4404-8A0B-86B65694F752}"/>
    <cellStyle name="Migliaia 38 2 2 4" xfId="3602" xr:uid="{CC8288F0-74CA-4DCB-92C2-909A5BE87EA2}"/>
    <cellStyle name="Migliaia 38 2 2 4 2" xfId="21523" xr:uid="{7B163D3C-998A-4BF5-88F4-7C10C93D010B}"/>
    <cellStyle name="Migliaia 38 2 2 4 3" xfId="47307" xr:uid="{37C24236-F369-407D-B233-9080F503D84A}"/>
    <cellStyle name="Migliaia 38 2 2 4 4" xfId="50538" xr:uid="{0A49192A-5ABF-4A75-BE47-7B773618768C}"/>
    <cellStyle name="Migliaia 38 2 2 4 5" xfId="53554" xr:uid="{B658EABF-7489-4200-846D-2B56AF87C48E}"/>
    <cellStyle name="Migliaia 38 2 2 4 6" xfId="10888" xr:uid="{96A214C4-4C75-426F-A095-CC3B6744119A}"/>
    <cellStyle name="Migliaia 38 2 2 5" xfId="20521" xr:uid="{D3D75FA3-F9B3-4CEC-BE06-FB5B49ECBF2D}"/>
    <cellStyle name="Migliaia 38 2 2 6" xfId="24868" xr:uid="{A70D1D34-BA94-4AE7-A1B0-A287E36B4C91}"/>
    <cellStyle name="Migliaia 38 2 2 7" xfId="7477" xr:uid="{5B737F9F-5434-4227-87EB-CC7DD7C9886E}"/>
    <cellStyle name="Migliaia 38 2 3" xfId="3603" xr:uid="{F7D50DF9-C34C-4F60-B22D-FBDB90820433}"/>
    <cellStyle name="Migliaia 38 2 3 2" xfId="5329" xr:uid="{EB225DAB-FB4F-43FE-9F17-4692AF62927E}"/>
    <cellStyle name="Migliaia 38 2 3 2 2" xfId="35341" xr:uid="{CFCC60D7-6B71-47B4-81F3-EE79BEDC4FBD}"/>
    <cellStyle name="Migliaia 38 2 3 2 2 2" xfId="40501" xr:uid="{A6380E6A-9F09-450D-8775-CDEEDD34C950}"/>
    <cellStyle name="Migliaia 38 2 3 2 2 3" xfId="45803" xr:uid="{17BF8822-67E5-4C06-A573-A289A5E24D47}"/>
    <cellStyle name="Migliaia 38 2 3 2 3" xfId="37850" xr:uid="{BA0CF14A-480B-449F-9E5A-620FB0CCA58F}"/>
    <cellStyle name="Migliaia 38 2 3 2 4" xfId="43152" xr:uid="{04AB9F80-37E9-4355-A3B8-ADE1BC91A8C9}"/>
    <cellStyle name="Migliaia 38 2 3 2 5" xfId="14273" xr:uid="{4DBBE0C5-09B2-4204-A620-40DD728E9AE0}"/>
    <cellStyle name="Migliaia 38 2 3 3" xfId="6522" xr:uid="{B92EC2F4-C659-4FB9-83F3-703DBC26EF7A}"/>
    <cellStyle name="Migliaia 38 2 3 3 2" xfId="39490" xr:uid="{23B6A006-2989-482B-9124-2BD10D638850}"/>
    <cellStyle name="Migliaia 38 2 3 3 3" xfId="44792" xr:uid="{BF713897-99A2-4B5B-ADCE-C2E29689C7AE}"/>
    <cellStyle name="Migliaia 38 2 3 3 4" xfId="33955" xr:uid="{A970BEDE-4341-4C9B-BED3-822446990ECA}"/>
    <cellStyle name="Migliaia 38 2 3 3 5" xfId="20523" xr:uid="{CC03A306-8E54-4902-9CF1-4F4D605AB944}"/>
    <cellStyle name="Migliaia 38 2 3 4" xfId="36902" xr:uid="{253ADE66-233B-47E8-B966-048DC349D550}"/>
    <cellStyle name="Migliaia 38 2 3 5" xfId="42141" xr:uid="{7135E8A5-531B-4490-BD85-C9BE4E4EC904}"/>
    <cellStyle name="Migliaia 38 2 3 6" xfId="16492" xr:uid="{07EF21D2-5CC6-4E99-ABE3-D667A63D33E9}"/>
    <cellStyle name="Migliaia 38 2 3 7" xfId="8335" xr:uid="{0682881F-2824-4A6A-85F6-559C0AD4D450}"/>
    <cellStyle name="Migliaia 38 2 4" xfId="5327" xr:uid="{6C77A039-D1A1-4D5F-BE0C-59947A39F44F}"/>
    <cellStyle name="Migliaia 38 2 4 2" xfId="13978" xr:uid="{91329869-DFAC-4F14-9E19-A187906B5D2C}"/>
    <cellStyle name="Migliaia 38 2 4 2 2" xfId="39491" xr:uid="{565EF5DE-FA62-4CC9-8680-B7E33D8525D4}"/>
    <cellStyle name="Migliaia 38 2 4 2 3" xfId="44793" xr:uid="{1C6B3210-C0DA-4941-A23E-6AAB12CC95FA}"/>
    <cellStyle name="Migliaia 38 2 4 3" xfId="18705" xr:uid="{6412A9A1-6658-4D68-9D31-E6A2154717E4}"/>
    <cellStyle name="Migliaia 38 2 4 4" xfId="20524" xr:uid="{07A9CD23-D6C4-4BC3-9D4C-B665A8DD5350}"/>
    <cellStyle name="Migliaia 38 2 4 4 2" xfId="42142" xr:uid="{D5301AE0-8B6D-4F27-B71E-7C13EEEB050C}"/>
    <cellStyle name="Migliaia 38 2 4 5" xfId="16493" xr:uid="{234A2756-BBBC-43E6-9ABE-49189A28CEA0}"/>
    <cellStyle name="Migliaia 38 2 4 6" xfId="7947" xr:uid="{D72B7F3E-5562-472E-94C9-22737A766E05}"/>
    <cellStyle name="Migliaia 38 2 5" xfId="6520" xr:uid="{ABFE1193-C612-426D-867C-EC04DF7370FB}"/>
    <cellStyle name="Migliaia 38 2 5 2" xfId="33956" xr:uid="{04323558-9076-47CF-8B26-2677CEC7717D}"/>
    <cellStyle name="Migliaia 38 2 5 2 2" xfId="39492" xr:uid="{13A15B6C-3078-4A9B-B152-0844B0BD12B9}"/>
    <cellStyle name="Migliaia 38 2 5 2 3" xfId="44794" xr:uid="{A9FAD7E9-6008-428E-A97E-6654BD5F51B5}"/>
    <cellStyle name="Migliaia 38 2 5 3" xfId="36903" xr:uid="{A11A4A8C-5F32-4277-BAA9-819F74E188B6}"/>
    <cellStyle name="Migliaia 38 2 5 4" xfId="42143" xr:uid="{3C0933D2-607E-45F0-B242-D201F5667F96}"/>
    <cellStyle name="Migliaia 38 2 5 5" xfId="13134" xr:uid="{4161142A-07D3-4130-B4D0-E8A75F9E53FD}"/>
    <cellStyle name="Migliaia 38 2 6" xfId="3601" xr:uid="{95445A0F-9632-4D42-B07B-A3AFF2B045EA}"/>
    <cellStyle name="Migliaia 38 2 6 2" xfId="33957" xr:uid="{F83A6D51-917C-4CEB-A02F-4A8B4A5F8613}"/>
    <cellStyle name="Migliaia 38 2 6 2 2" xfId="39493" xr:uid="{292A0137-EB82-4129-929C-4C98FC641E9A}"/>
    <cellStyle name="Migliaia 38 2 6 2 3" xfId="44795" xr:uid="{32B2F417-A41C-4CCF-9131-11DD8299AC5D}"/>
    <cellStyle name="Migliaia 38 2 6 3" xfId="36904" xr:uid="{C0F161A9-DF44-4D61-B863-EC183D907CBE}"/>
    <cellStyle name="Migliaia 38 2 6 4" xfId="42144" xr:uid="{C172BD62-8C42-4869-AA43-61D24B7C3EFC}"/>
    <cellStyle name="Migliaia 38 2 6 5" xfId="24869" xr:uid="{B163AD11-E455-4AA8-962F-A5D6968B367A}"/>
    <cellStyle name="Migliaia 38 2 6 6" xfId="20520" xr:uid="{A3A2A246-CB05-421F-9A49-FD77CA17E933}"/>
    <cellStyle name="Migliaia 38 2 7" xfId="24867" xr:uid="{5DBCB35D-C7F7-460F-9C8F-0531D67E0BC0}"/>
    <cellStyle name="Migliaia 38 2 8" xfId="7136" xr:uid="{C3498C50-D7AD-45AC-887F-D3DDE09C6234}"/>
    <cellStyle name="Migliaia 38 3" xfId="427" xr:uid="{00000000-0005-0000-0000-0000D9030000}"/>
    <cellStyle name="Migliaia 38 3 10" xfId="24870" xr:uid="{E893E195-7598-4C51-B5C2-DBE98E7D976B}"/>
    <cellStyle name="Migliaia 38 3 11" xfId="16494" xr:uid="{EAC9CE1D-8D90-456A-8DFB-0121508C31EB}"/>
    <cellStyle name="Migliaia 38 3 12" xfId="7137" xr:uid="{361DD419-A4A9-479B-B11B-97E7F21A2EE1}"/>
    <cellStyle name="Migliaia 38 3 2" xfId="428" xr:uid="{00000000-0005-0000-0000-0000DA030000}"/>
    <cellStyle name="Migliaia 38 3 2 2" xfId="1812" xr:uid="{00000000-0005-0000-0000-0000DB030000}"/>
    <cellStyle name="Migliaia 38 3 2 2 2" xfId="5332" xr:uid="{D0CE1583-2C21-4DBD-9FB4-9A9091181EAD}"/>
    <cellStyle name="Migliaia 38 3 2 2 2 2" xfId="18456" xr:uid="{7B3EF70D-494B-4D58-B456-E0EF94C5C4D4}"/>
    <cellStyle name="Migliaia 38 3 2 2 2 2 2" xfId="21872" xr:uid="{3A25C66B-D024-4758-9400-50D4271629A1}"/>
    <cellStyle name="Migliaia 38 3 2 2 2 2 2 2" xfId="39494" xr:uid="{A7DB44E7-B720-4FB9-8E04-603BFB858A65}"/>
    <cellStyle name="Migliaia 38 3 2 2 2 2 3" xfId="44796" xr:uid="{7D9EDA69-519D-4CAC-8A4F-24EE4DEF16AC}"/>
    <cellStyle name="Migliaia 38 3 2 2 2 2 4" xfId="33958" xr:uid="{1A1460B1-A807-4348-A7AB-9FDBBD5CBFF7}"/>
    <cellStyle name="Migliaia 38 3 2 2 2 3" xfId="36905" xr:uid="{E7714318-2F31-41B0-BD34-4B5AC469181C}"/>
    <cellStyle name="Migliaia 38 3 2 2 2 4" xfId="42145" xr:uid="{F372C539-473F-43D6-8E14-6B2B9700D674}"/>
    <cellStyle name="Migliaia 38 3 2 2 2 5" xfId="46748" xr:uid="{CCDBECFD-BFA5-4D13-895F-D02418976989}"/>
    <cellStyle name="Migliaia 38 3 2 2 2 6" xfId="50900" xr:uid="{959EFBC0-04AA-4DAC-8D60-3549F15DCABE}"/>
    <cellStyle name="Migliaia 38 3 2 2 2 7" xfId="53916" xr:uid="{EA088152-E0A2-42CA-B3D9-C9AA0E905C25}"/>
    <cellStyle name="Migliaia 38 3 2 2 2 8" xfId="17669" xr:uid="{6D06D18F-017E-49BA-A1E4-3BF9B58D6775}"/>
    <cellStyle name="Migliaia 38 3 2 2 2 9" xfId="12011" xr:uid="{1E3BAEB7-96A3-43D2-93F1-556E7C0BC099}"/>
    <cellStyle name="Migliaia 38 3 2 2 3" xfId="6525" xr:uid="{5B73C05B-34B4-4EB1-A292-409472A35D68}"/>
    <cellStyle name="Migliaia 38 3 2 2 3 2" xfId="11565" xr:uid="{7A231238-7D31-4F7F-A7D2-F75510F29459}"/>
    <cellStyle name="Migliaia 38 3 2 2 4" xfId="3606" xr:uid="{A93408DE-FA5A-4202-9595-2A0110C15F82}"/>
    <cellStyle name="Migliaia 38 3 2 2 4 2" xfId="21524" xr:uid="{768567DA-D132-4DA8-AF88-59989CBE7B6A}"/>
    <cellStyle name="Migliaia 38 3 2 2 4 3" xfId="46251" xr:uid="{B9267E41-EB64-4065-85AE-559C30B12B11}"/>
    <cellStyle name="Migliaia 38 3 2 2 4 4" xfId="50539" xr:uid="{D8629CA9-296D-4987-BA3A-1FB98E01BE72}"/>
    <cellStyle name="Migliaia 38 3 2 2 4 5" xfId="53555" xr:uid="{2746B891-D85E-4FBA-B72F-23EFB1216D07}"/>
    <cellStyle name="Migliaia 38 3 2 2 4 6" xfId="10889" xr:uid="{C3048E5B-FDAF-462D-B46B-146F52D76883}"/>
    <cellStyle name="Migliaia 38 3 2 2 5" xfId="20527" xr:uid="{8C95328A-FB90-4451-8074-CC660B7F7265}"/>
    <cellStyle name="Migliaia 38 3 2 2 6" xfId="24872" xr:uid="{EA671DE4-FAA2-48F0-9905-F8AB4A58B8D5}"/>
    <cellStyle name="Migliaia 38 3 2 2 7" xfId="8669" xr:uid="{4C669DE5-04E4-456B-853B-DB45F8365EF7}"/>
    <cellStyle name="Migliaia 38 3 2 3" xfId="5331" xr:uid="{91F9B1FE-73FF-42E9-95C0-24CCA9077C54}"/>
    <cellStyle name="Migliaia 38 3 2 3 2" xfId="11658" xr:uid="{FB4A00DF-3DF4-4F7D-944B-F8CD899E256A}"/>
    <cellStyle name="Migliaia 38 3 2 3 2 2" xfId="39495" xr:uid="{166FE51F-3981-4CD4-9273-710A62FBB107}"/>
    <cellStyle name="Migliaia 38 3 2 3 2 3" xfId="44797" xr:uid="{0B7FCC75-AD16-4888-A541-D5D4F31217AF}"/>
    <cellStyle name="Migliaia 38 3 2 3 2 4" xfId="33959" xr:uid="{A0BEF434-55BF-4A75-8C3D-F6FD44198E4D}"/>
    <cellStyle name="Migliaia 38 3 2 3 3" xfId="12012" xr:uid="{C5A2E48A-D8BB-4C78-9634-446FAE778CAC}"/>
    <cellStyle name="Migliaia 38 3 2 3 4" xfId="20528" xr:uid="{0F0C20F1-64E5-4703-894E-B1D1E9FA094E}"/>
    <cellStyle name="Migliaia 38 3 2 3 4 2" xfId="42146" xr:uid="{7B96C800-D2B2-4D6A-AA3D-7A31F0FBDA2B}"/>
    <cellStyle name="Migliaia 38 3 2 3 5" xfId="16495" xr:uid="{C1CCC75C-DC35-4126-AD09-A268D2983F01}"/>
    <cellStyle name="Migliaia 38 3 2 3 6" xfId="7949" xr:uid="{FB5BCB0D-2A1F-4008-B3A0-91D70DC7D1E9}"/>
    <cellStyle name="Migliaia 38 3 2 4" xfId="6524" xr:uid="{0EB52077-972D-45EE-9F75-01F143972C94}"/>
    <cellStyle name="Migliaia 38 3 2 4 2" xfId="18088" xr:uid="{BBBE813D-613A-4904-BAC3-3D5B915774DA}"/>
    <cellStyle name="Migliaia 38 3 2 4 2 2" xfId="39496" xr:uid="{8C255D9D-D4A4-4F77-890C-639D43DCA5D7}"/>
    <cellStyle name="Migliaia 38 3 2 4 2 3" xfId="44798" xr:uid="{1D6B524A-227A-44B8-AF39-2EA26715A45D}"/>
    <cellStyle name="Migliaia 38 3 2 4 3" xfId="36906" xr:uid="{467DBFD4-B406-4CD7-ADA5-50CEF2F1AA86}"/>
    <cellStyle name="Migliaia 38 3 2 4 4" xfId="42147" xr:uid="{D1C2F791-3311-4738-A107-9572F394E1E9}"/>
    <cellStyle name="Migliaia 38 3 2 4 5" xfId="17198" xr:uid="{D53897E4-4A13-415E-8911-3221C641DB9B}"/>
    <cellStyle name="Migliaia 38 3 2 4 6" xfId="11360" xr:uid="{466CDDB6-D36B-4C55-A4F8-8C627E353DEE}"/>
    <cellStyle name="Migliaia 38 3 2 5" xfId="3605" xr:uid="{0F78C155-B81C-4F41-A033-9A773CB9F65C}"/>
    <cellStyle name="Migliaia 38 3 2 5 2" xfId="33960" xr:uid="{489DB895-E6DF-4E1D-8547-20B3173F6D59}"/>
    <cellStyle name="Migliaia 38 3 2 5 2 2" xfId="39497" xr:uid="{BB2B2164-06D6-4B55-9F64-E3FE650638B1}"/>
    <cellStyle name="Migliaia 38 3 2 5 2 3" xfId="44799" xr:uid="{C4728C0E-4746-4EE7-9824-A6E1487D7E38}"/>
    <cellStyle name="Migliaia 38 3 2 5 3" xfId="36907" xr:uid="{42EB457B-9446-4320-84B9-B5152961711D}"/>
    <cellStyle name="Migliaia 38 3 2 5 4" xfId="42148" xr:uid="{72FA1F99-4151-46EC-BDD5-89730DDFABC6}"/>
    <cellStyle name="Migliaia 38 3 2 5 5" xfId="17333" xr:uid="{1DA84B22-8C15-4B47-A630-00469DE9109F}"/>
    <cellStyle name="Migliaia 38 3 2 6" xfId="20526" xr:uid="{5FCFEAB7-D428-4B6B-AC5D-BBE1F586D6C0}"/>
    <cellStyle name="Migliaia 38 3 2 6 2" xfId="33961" xr:uid="{6865B7B0-B8B8-4893-88F2-6341A260202F}"/>
    <cellStyle name="Migliaia 38 3 2 6 2 2" xfId="39498" xr:uid="{0BE3FBBF-6CA5-49FD-A19E-ADA3D9BC17E4}"/>
    <cellStyle name="Migliaia 38 3 2 6 2 3" xfId="44800" xr:uid="{E0506D97-4409-4F65-9F36-CA00D0006646}"/>
    <cellStyle name="Migliaia 38 3 2 6 3" xfId="36908" xr:uid="{BB3093A2-E985-402C-B779-3D22B19AF0BE}"/>
    <cellStyle name="Migliaia 38 3 2 6 4" xfId="42149" xr:uid="{0542F52E-E4F5-45FE-B795-EAD2C8B22031}"/>
    <cellStyle name="Migliaia 38 3 2 6 5" xfId="24873" xr:uid="{A863C9E3-6B5D-4476-B25E-2676F66DD009}"/>
    <cellStyle name="Migliaia 38 3 2 7" xfId="24871" xr:uid="{2D5A5E1C-A74E-43EC-8F45-A7D3A772BFFC}"/>
    <cellStyle name="Migliaia 38 3 2 8" xfId="7479" xr:uid="{EA800ECB-F153-4834-B9D0-0570D14B914D}"/>
    <cellStyle name="Migliaia 38 3 3" xfId="3607" xr:uid="{E6DD005A-9134-476D-B762-83809B5FBFBE}"/>
    <cellStyle name="Migliaia 38 3 3 10" xfId="7478" xr:uid="{A194FCB5-57B8-4DC4-82B7-7C897416D9E7}"/>
    <cellStyle name="Migliaia 38 3 3 2" xfId="5333" xr:uid="{4BC41AA1-D181-4A6D-A385-A576B2EDBB0E}"/>
    <cellStyle name="Migliaia 38 3 3 2 2" xfId="9944" xr:uid="{3E47CA5C-58FC-47DB-8814-9C144799FFB9}"/>
    <cellStyle name="Migliaia 38 3 3 2 2 2" xfId="39500" xr:uid="{3EDA6167-02C2-4C9E-929A-040ED58679F8}"/>
    <cellStyle name="Migliaia 38 3 3 2 2 3" xfId="44802" xr:uid="{A6C20078-FFA1-4450-A376-BE56CFCDEE44}"/>
    <cellStyle name="Migliaia 38 3 3 2 3" xfId="18224" xr:uid="{D0104D05-8D33-40DE-81F8-4B7E5A476EAF}"/>
    <cellStyle name="Migliaia 38 3 3 2 4" xfId="20530" xr:uid="{403AFAE3-DE38-43F0-8787-F5A87D49EE2A}"/>
    <cellStyle name="Migliaia 38 3 3 2 4 2" xfId="42151" xr:uid="{87471109-BDF7-4811-8F21-8262FD2B4D26}"/>
    <cellStyle name="Migliaia 38 3 3 2 5" xfId="16497" xr:uid="{08D09FB3-368A-4260-85B6-A6EA03231D62}"/>
    <cellStyle name="Migliaia 38 3 3 2 6" xfId="8668" xr:uid="{84EE48C7-E986-4ADF-B969-C2710B6EEE20}"/>
    <cellStyle name="Migliaia 38 3 3 3" xfId="6526" xr:uid="{E5CDDE51-A4DF-4806-8F58-52B864150B4F}"/>
    <cellStyle name="Migliaia 38 3 3 3 2" xfId="33963" xr:uid="{21D28120-3F94-430C-B720-C159E8BC0EAA}"/>
    <cellStyle name="Migliaia 38 3 3 3 2 2" xfId="39501" xr:uid="{7371B45E-C670-49F8-9525-FB32E029072F}"/>
    <cellStyle name="Migliaia 38 3 3 3 2 3" xfId="44803" xr:uid="{89ECEA0B-CA26-411D-8681-E6C8D8DF12E3}"/>
    <cellStyle name="Migliaia 38 3 3 3 3" xfId="36910" xr:uid="{0DEA77D8-02A4-4B93-899F-F1429A607C2A}"/>
    <cellStyle name="Migliaia 38 3 3 3 4" xfId="42152" xr:uid="{A46FECE1-23A0-405D-BC2E-CBADA02617ED}"/>
    <cellStyle name="Migliaia 38 3 3 3 5" xfId="9707" xr:uid="{22F99343-8C2E-4B0F-967C-7356BEBF3ABA}"/>
    <cellStyle name="Migliaia 38 3 3 4" xfId="20529" xr:uid="{88928595-2AD8-4707-BF45-388767B3CD37}"/>
    <cellStyle name="Migliaia 38 3 3 4 2" xfId="33964" xr:uid="{9C3FBF04-0935-4764-8058-FC86E27B966A}"/>
    <cellStyle name="Migliaia 38 3 3 4 2 2" xfId="39502" xr:uid="{CAA54364-1A66-4458-8793-0054A7DB2DF0}"/>
    <cellStyle name="Migliaia 38 3 3 4 2 3" xfId="44804" xr:uid="{11D0C421-5424-4819-A765-BCF9CE7475BA}"/>
    <cellStyle name="Migliaia 38 3 3 4 3" xfId="36911" xr:uid="{8BC22591-FCC0-4CB2-8371-E2CCFE2B265F}"/>
    <cellStyle name="Migliaia 38 3 3 4 4" xfId="42153" xr:uid="{EFEEB4A1-C8F6-4DF9-AB0B-833F1DC651D8}"/>
    <cellStyle name="Migliaia 38 3 3 4 5" xfId="24874" xr:uid="{804C617F-6015-420C-9B05-A35253FF2A5F}"/>
    <cellStyle name="Migliaia 38 3 3 5" xfId="24875" xr:uid="{0193E0B1-1831-43CA-908B-40D947EF54EA}"/>
    <cellStyle name="Migliaia 38 3 3 5 2" xfId="33965" xr:uid="{8966386D-266B-4E17-9D42-50F1CCAFD2FF}"/>
    <cellStyle name="Migliaia 38 3 3 5 2 2" xfId="39503" xr:uid="{B7222EE0-D2F2-4F5F-8E98-B050DBD047F7}"/>
    <cellStyle name="Migliaia 38 3 3 5 2 3" xfId="44805" xr:uid="{EA1DB3EC-3357-43B6-9D6E-964B8AAF224B}"/>
    <cellStyle name="Migliaia 38 3 3 5 3" xfId="36912" xr:uid="{1A53FBC7-EADE-4D22-A743-CE136AF3ED9C}"/>
    <cellStyle name="Migliaia 38 3 3 5 4" xfId="42154" xr:uid="{2370C3F4-AF04-474B-845B-4D31CE4C93CD}"/>
    <cellStyle name="Migliaia 38 3 3 6" xfId="33962" xr:uid="{C8BC030E-E123-426D-9A29-0CB9B6C2D448}"/>
    <cellStyle name="Migliaia 38 3 3 6 2" xfId="39499" xr:uid="{5F661768-FBCE-427F-A766-BBC1EA838A59}"/>
    <cellStyle name="Migliaia 38 3 3 6 3" xfId="44801" xr:uid="{AC3ACC16-6D75-462E-A493-5F091F0AD8A4}"/>
    <cellStyle name="Migliaia 38 3 3 7" xfId="36909" xr:uid="{C7EE4B52-3333-4495-BC37-02206D8925B5}"/>
    <cellStyle name="Migliaia 38 3 3 8" xfId="42150" xr:uid="{A2641004-2C15-4D00-9677-5C001B3B0191}"/>
    <cellStyle name="Migliaia 38 3 3 9" xfId="16496" xr:uid="{2FC81A26-EDB8-40B5-ACAF-70F15ECCBF65}"/>
    <cellStyle name="Migliaia 38 3 4" xfId="3608" xr:uid="{03636019-356D-450C-A339-43049776B7D5}"/>
    <cellStyle name="Migliaia 38 3 4 2" xfId="5334" xr:uid="{38D61A6A-5CDF-45B8-811B-E12970FB7DD6}"/>
    <cellStyle name="Migliaia 38 3 4 2 2" xfId="14454" xr:uid="{992DF857-C1AD-420D-9FD2-9E7BF790301F}"/>
    <cellStyle name="Migliaia 38 3 4 2 3" xfId="18130" xr:uid="{52632DA4-16D9-40E1-9888-1A67A6B21BDA}"/>
    <cellStyle name="Migliaia 38 3 4 2 4" xfId="20532" xr:uid="{2D7E4857-A1AB-4F21-B09A-057592BE8811}"/>
    <cellStyle name="Migliaia 38 3 4 2 5" xfId="32393" xr:uid="{1243FA94-33B8-471A-A5AB-E642435D2F0E}"/>
    <cellStyle name="Migliaia 38 3 4 2 6" xfId="16499" xr:uid="{B8F278E4-C8AE-4845-9E33-C603E5DB509D}"/>
    <cellStyle name="Migliaia 38 3 4 2 7" xfId="8877" xr:uid="{F3A3D0C9-7B3F-416E-92C4-C3B86A61DDB2}"/>
    <cellStyle name="Migliaia 38 3 4 3" xfId="6527" xr:uid="{CCC29080-2494-4314-96D0-464D4B1845A2}"/>
    <cellStyle name="Migliaia 38 3 4 3 2" xfId="35342" xr:uid="{F4B1B1ED-C272-4C55-AF48-234BE25D0365}"/>
    <cellStyle name="Migliaia 38 3 4 3 2 2" xfId="40502" xr:uid="{98A0A85D-4246-4E2A-B939-64C277451032}"/>
    <cellStyle name="Migliaia 38 3 4 3 2 3" xfId="45804" xr:uid="{CF60CBAC-E954-44A9-93F0-F583E9AEAAB1}"/>
    <cellStyle name="Migliaia 38 3 4 3 3" xfId="37851" xr:uid="{267F65DE-5F73-4F7F-98A2-6D0348070A74}"/>
    <cellStyle name="Migliaia 38 3 4 3 4" xfId="43153" xr:uid="{7064413A-F68B-44E5-8D47-B842F8A4ECFB}"/>
    <cellStyle name="Migliaia 38 3 4 3 5" xfId="13702" xr:uid="{BAC9919B-7081-4430-A3DD-7C94FDA9C1B1}"/>
    <cellStyle name="Migliaia 38 3 4 4" xfId="20531" xr:uid="{9EEE0D2C-4429-48CF-9644-E1B034E37B29}"/>
    <cellStyle name="Migliaia 38 3 4 4 2" xfId="39504" xr:uid="{C3FEACE6-9DD5-4D6A-AFA0-58D333D9AD19}"/>
    <cellStyle name="Migliaia 38 3 4 4 3" xfId="44806" xr:uid="{E960209D-4A11-4F79-9EB0-ED89F6D02F25}"/>
    <cellStyle name="Migliaia 38 3 4 4 4" xfId="33966" xr:uid="{07B31352-D605-4EFA-9D69-92981C235BDD}"/>
    <cellStyle name="Migliaia 38 3 4 5" xfId="36913" xr:uid="{8E492602-D8C9-4333-855D-6CA55086C662}"/>
    <cellStyle name="Migliaia 38 3 4 6" xfId="42155" xr:uid="{3DC5CEA4-1F4D-4DC2-8EEB-4846B55A6653}"/>
    <cellStyle name="Migliaia 38 3 4 7" xfId="16498" xr:uid="{F60BDBA7-6B33-4066-A0DC-F2842075C8C6}"/>
    <cellStyle name="Migliaia 38 3 4 8" xfId="7687" xr:uid="{180227B2-CE76-45D8-95EC-0310AD9DAB0A}"/>
    <cellStyle name="Migliaia 38 3 5" xfId="3609" xr:uid="{D2132C9F-5EC5-40E6-9013-33262637A7BA}"/>
    <cellStyle name="Migliaia 38 3 5 2" xfId="5335" xr:uid="{B2395656-4B00-4F69-B8AF-4BAF0CC926E9}"/>
    <cellStyle name="Migliaia 38 3 5 2 2" xfId="35343" xr:uid="{7043AC64-AABC-4E50-8E74-8449FAA70599}"/>
    <cellStyle name="Migliaia 38 3 5 2 2 2" xfId="40503" xr:uid="{B4DAFFC8-2AEA-42A5-A764-83F3C93AAA05}"/>
    <cellStyle name="Migliaia 38 3 5 2 2 3" xfId="45805" xr:uid="{264A86D4-3AA4-45B2-A871-5871E10B4E7D}"/>
    <cellStyle name="Migliaia 38 3 5 2 3" xfId="37852" xr:uid="{F360E874-84DA-44AB-A587-E4E8CCF50DF3}"/>
    <cellStyle name="Migliaia 38 3 5 2 4" xfId="43154" xr:uid="{D82E9405-A9ED-403C-877D-96BFEB1FEA7A}"/>
    <cellStyle name="Migliaia 38 3 5 2 5" xfId="14274" xr:uid="{FACCE34A-5912-4C21-81E2-CAE8BA36EBD0}"/>
    <cellStyle name="Migliaia 38 3 5 3" xfId="6528" xr:uid="{C8039125-AF5B-4875-829B-C2D9E880EA80}"/>
    <cellStyle name="Migliaia 38 3 5 3 2" xfId="39505" xr:uid="{0BED0C95-F469-4478-9E99-B3BF20240072}"/>
    <cellStyle name="Migliaia 38 3 5 3 3" xfId="44807" xr:uid="{D5EB5F1B-1AA3-4660-BCFE-0323D16B70A7}"/>
    <cellStyle name="Migliaia 38 3 5 3 4" xfId="33967" xr:uid="{560C5A14-984D-48E5-B3D4-B4C067577A1D}"/>
    <cellStyle name="Migliaia 38 3 5 3 5" xfId="20533" xr:uid="{291CA0C2-3998-4557-8B23-A92A949F29A6}"/>
    <cellStyle name="Migliaia 38 3 5 4" xfId="36914" xr:uid="{B9A02760-BF61-4B45-A987-748E126BC8EA}"/>
    <cellStyle name="Migliaia 38 3 5 5" xfId="42156" xr:uid="{A75BFAEC-2F00-42D1-8AC7-709A27C3A265}"/>
    <cellStyle name="Migliaia 38 3 5 6" xfId="16500" xr:uid="{EA374F2B-88DE-45BD-9A27-9A52F60BB599}"/>
    <cellStyle name="Migliaia 38 3 5 7" xfId="8336" xr:uid="{4FF5003C-BD30-4D9A-87DA-15B58F4432D5}"/>
    <cellStyle name="Migliaia 38 3 6" xfId="5330" xr:uid="{A28B5CC7-EC12-40AB-B727-2D07B696D258}"/>
    <cellStyle name="Migliaia 38 3 6 2" xfId="13979" xr:uid="{7C0CA3A6-566D-4BBE-B65A-79B6B3CFB69F}"/>
    <cellStyle name="Migliaia 38 3 6 2 2" xfId="39506" xr:uid="{568CD108-AF48-438A-91A3-5973AC0CCAB9}"/>
    <cellStyle name="Migliaia 38 3 6 2 3" xfId="44808" xr:uid="{D20C39C3-4FAA-4DFD-A3CB-A453D449707E}"/>
    <cellStyle name="Migliaia 38 3 6 3" xfId="18611" xr:uid="{100C366B-0D7F-4866-8D30-6352C6CBD3D2}"/>
    <cellStyle name="Migliaia 38 3 6 4" xfId="20534" xr:uid="{F1BE9AAF-7B1B-4A40-B135-3C7C6FE4A295}"/>
    <cellStyle name="Migliaia 38 3 6 4 2" xfId="42157" xr:uid="{2523EB8F-7D87-4859-90A9-F9192CAB87C9}"/>
    <cellStyle name="Migliaia 38 3 6 5" xfId="16501" xr:uid="{378B25B5-84FF-4201-8987-7A99D95479D3}"/>
    <cellStyle name="Migliaia 38 3 6 6" xfId="7948" xr:uid="{A8D5FE97-34AB-4E00-A824-FB181E6BDE03}"/>
    <cellStyle name="Migliaia 38 3 7" xfId="6523" xr:uid="{02543DDF-E2DA-4DFB-8B39-CD37854D65A4}"/>
    <cellStyle name="Migliaia 38 3 7 2" xfId="33968" xr:uid="{8F16D6E8-4FC7-4942-BBEE-097B70B8B432}"/>
    <cellStyle name="Migliaia 38 3 7 2 2" xfId="39507" xr:uid="{A7AF7014-CBDE-443C-B9CF-385FB95AB5AB}"/>
    <cellStyle name="Migliaia 38 3 7 2 3" xfId="44809" xr:uid="{96CA9D8C-F926-4A88-AFD7-B794112A900F}"/>
    <cellStyle name="Migliaia 38 3 7 3" xfId="36915" xr:uid="{8006C9C7-28BF-4AF7-B60E-65632C82BC46}"/>
    <cellStyle name="Migliaia 38 3 7 4" xfId="42158" xr:uid="{056D18D8-480D-4DD2-9686-BF210572D2ED}"/>
    <cellStyle name="Migliaia 38 3 7 5" xfId="11706" xr:uid="{BCB83896-98F9-42DC-9C8B-ECB3C929866F}"/>
    <cellStyle name="Migliaia 38 3 8" xfId="3604" xr:uid="{083DEB44-C1CA-4EAD-A030-BFAC9415BB9F}"/>
    <cellStyle name="Migliaia 38 3 8 2" xfId="33969" xr:uid="{6636ADCF-1567-4224-9CAE-EC04B8ACCCB2}"/>
    <cellStyle name="Migliaia 38 3 8 2 2" xfId="39508" xr:uid="{EDE5F1BE-8B78-42DE-97CD-1BECFCC781DD}"/>
    <cellStyle name="Migliaia 38 3 8 2 3" xfId="44810" xr:uid="{681FF8D8-5BEA-4F9B-B479-F182A37819E6}"/>
    <cellStyle name="Migliaia 38 3 8 3" xfId="36916" xr:uid="{C80B1BA1-D77F-42C4-9526-12A0C8A0AC3E}"/>
    <cellStyle name="Migliaia 38 3 8 4" xfId="42159" xr:uid="{524E8ED3-DBB1-408F-99FA-ED638F717A5F}"/>
    <cellStyle name="Migliaia 38 3 8 5" xfId="24876" xr:uid="{697B3691-FEF6-4B84-85DD-2B433B4E0368}"/>
    <cellStyle name="Migliaia 38 3 8 6" xfId="17334" xr:uid="{BF9BE613-11A4-4D02-B5B3-8F6D10DC5D07}"/>
    <cellStyle name="Migliaia 38 3 9" xfId="20525" xr:uid="{689A3EB2-26CC-4338-BA6A-7FC8CEF5E5BC}"/>
    <cellStyle name="Migliaia 38 4" xfId="1813" xr:uid="{00000000-0005-0000-0000-0000DC030000}"/>
    <cellStyle name="Migliaia 38 4 2" xfId="1814" xr:uid="{00000000-0005-0000-0000-0000DD030000}"/>
    <cellStyle name="Migliaia 38 4 2 2" xfId="5337" xr:uid="{4F97117D-5AC0-481C-B2C9-77B914E2198B}"/>
    <cellStyle name="Migliaia 38 4 2 2 2" xfId="33970" xr:uid="{1BDF14C5-133F-4506-9460-05F5DDB24633}"/>
    <cellStyle name="Migliaia 38 4 2 2 2 2" xfId="39509" xr:uid="{6433EBED-EB8E-4EF1-8715-C3ED54E86487}"/>
    <cellStyle name="Migliaia 38 4 2 2 2 3" xfId="44811" xr:uid="{68C5162E-D815-4C8B-8822-64507207CA5C}"/>
    <cellStyle name="Migliaia 38 4 2 2 3" xfId="36917" xr:uid="{094A6189-C086-41E2-9AA4-F7469DC11399}"/>
    <cellStyle name="Migliaia 38 4 2 2 4" xfId="42160" xr:uid="{26BD0101-6F0C-4D42-8D35-8D59B7BBBF0D}"/>
    <cellStyle name="Migliaia 38 4 2 2 5" xfId="9170" xr:uid="{28F66063-98B9-4893-8E7A-2CF403985FC0}"/>
    <cellStyle name="Migliaia 38 4 2 3" xfId="3611" xr:uid="{DD482E3B-6EB1-4AA9-BF95-F73D1E49A9B3}"/>
    <cellStyle name="Migliaia 38 4 2 3 2" xfId="33971" xr:uid="{6AD51307-6CD8-4657-A41C-56BD924F6F45}"/>
    <cellStyle name="Migliaia 38 4 2 3 2 2" xfId="39510" xr:uid="{44E5453A-9B29-4D8B-A09E-FDE584C01A89}"/>
    <cellStyle name="Migliaia 38 4 2 3 2 3" xfId="44812" xr:uid="{740B4852-1A52-4037-A643-85A361888B7D}"/>
    <cellStyle name="Migliaia 38 4 2 3 3" xfId="36918" xr:uid="{1C9A8A19-1029-419C-9270-F57CECBD894A}"/>
    <cellStyle name="Migliaia 38 4 2 3 4" xfId="42161" xr:uid="{652C8916-D3A5-4762-B67B-8277AFEEDFA7}"/>
    <cellStyle name="Migliaia 38 4 2 3 5" xfId="12013" xr:uid="{82A5B069-72F9-471D-B480-87906547C120}"/>
    <cellStyle name="Migliaia 38 4 2 4" xfId="11362" xr:uid="{059931A2-5726-4770-BA86-8DBBA6B09853}"/>
    <cellStyle name="Migliaia 38 4 2 5" xfId="10891" xr:uid="{4DCA0870-D8ED-43C6-A7E5-75F15ABD51C1}"/>
    <cellStyle name="Migliaia 38 4 2 5 2" xfId="21526" xr:uid="{4BEE206E-AE65-446E-889A-E5494963CAC8}"/>
    <cellStyle name="Migliaia 38 4 2 5 3" xfId="46252" xr:uid="{4783B407-595C-4624-91F6-A792FD183E5F}"/>
    <cellStyle name="Migliaia 38 4 2 5 4" xfId="50541" xr:uid="{94A947A8-E80A-4EB8-8AAE-ACEAB68B6357}"/>
    <cellStyle name="Migliaia 38 4 2 5 5" xfId="53557" xr:uid="{CFCF6AF5-628C-4229-9932-3584A4E0EEF8}"/>
    <cellStyle name="Migliaia 38 4 2 6" xfId="20536" xr:uid="{D84D18A1-4CB3-4530-98B8-0A4D8EC0B061}"/>
    <cellStyle name="Migliaia 38 4 2 7" xfId="24878" xr:uid="{3C978C58-D2AF-4428-A9EB-C196818AA8A5}"/>
    <cellStyle name="Migliaia 38 4 2 8" xfId="8670" xr:uid="{E1B7E20E-E376-470E-BA59-E4199A6761EA}"/>
    <cellStyle name="Migliaia 38 4 3" xfId="5336" xr:uid="{3900A934-2117-4FC1-BBE5-CB392DBCE2C7}"/>
    <cellStyle name="Migliaia 38 4 3 2" xfId="18225" xr:uid="{34A67653-280F-4591-A84B-F4FA48FE4B04}"/>
    <cellStyle name="Migliaia 38 4 3 2 2" xfId="39511" xr:uid="{DC8435A8-F4AF-4A65-BCAA-C9D06ABC2B8C}"/>
    <cellStyle name="Migliaia 38 4 3 2 3" xfId="44813" xr:uid="{42B40CEC-DC8B-4407-9AA1-921A86171482}"/>
    <cellStyle name="Migliaia 38 4 3 3" xfId="36919" xr:uid="{C5202835-3F51-4AF5-B04C-C42CC0D6B107}"/>
    <cellStyle name="Migliaia 38 4 3 4" xfId="42162" xr:uid="{0A579BEB-B2C6-4EC3-B365-40886C64324B}"/>
    <cellStyle name="Migliaia 38 4 3 5" xfId="17332" xr:uid="{5C3834E6-80C4-40F8-8464-A84A1DB43EC7}"/>
    <cellStyle name="Migliaia 38 4 3 6" xfId="9171" xr:uid="{C6E805C6-048E-4690-9FC4-575B2A851FF8}"/>
    <cellStyle name="Migliaia 38 4 4" xfId="6529" xr:uid="{9ADE9208-CFC7-46FA-8603-393658F63F30}"/>
    <cellStyle name="Migliaia 38 4 4 2" xfId="33972" xr:uid="{139821CB-D86F-4C1A-8B2C-4AE08B0E50F7}"/>
    <cellStyle name="Migliaia 38 4 4 2 2" xfId="39512" xr:uid="{BD0EF0D4-EF80-4583-9362-F14365DD4C7F}"/>
    <cellStyle name="Migliaia 38 4 4 2 3" xfId="44814" xr:uid="{56BD93E4-BFE0-4416-B5C9-47827E46B156}"/>
    <cellStyle name="Migliaia 38 4 4 3" xfId="36920" xr:uid="{31FA38EB-6C6D-42F5-814A-0312DA86260B}"/>
    <cellStyle name="Migliaia 38 4 4 4" xfId="42163" xr:uid="{7C202CB8-8083-48AD-995F-832B4DB055CA}"/>
    <cellStyle name="Migliaia 38 4 4 5" xfId="12014" xr:uid="{8D4C8D00-67F2-4FD3-BEA5-35A4419C7FE1}"/>
    <cellStyle name="Migliaia 38 4 5" xfId="3610" xr:uid="{CBD67DC0-37CA-4186-8127-0777D4535373}"/>
    <cellStyle name="Migliaia 38 4 5 2" xfId="33973" xr:uid="{0F12C39B-4048-48D0-ACD8-584D7A5F4919}"/>
    <cellStyle name="Migliaia 38 4 5 2 2" xfId="39513" xr:uid="{689CDDE9-CE00-405B-9925-AB54006522F6}"/>
    <cellStyle name="Migliaia 38 4 5 2 3" xfId="44815" xr:uid="{0830287E-2144-47BC-9B75-2A1BBECCA05E}"/>
    <cellStyle name="Migliaia 38 4 5 3" xfId="36921" xr:uid="{D15253DC-587A-4E40-9F47-3D30195D71D4}"/>
    <cellStyle name="Migliaia 38 4 5 4" xfId="42164" xr:uid="{432BF40B-2E81-43AE-8EC6-7F673611AD61}"/>
    <cellStyle name="Migliaia 38 4 5 5" xfId="11361" xr:uid="{366800F8-0D2D-4B62-90D6-8BAE44954995}"/>
    <cellStyle name="Migliaia 38 4 6" xfId="10890" xr:uid="{FDDF7823-376E-4C03-A53D-5F3AD7710AAC}"/>
    <cellStyle name="Migliaia 38 4 6 2" xfId="21525" xr:uid="{15E99F90-8946-4743-9CB8-A0737A2B21BF}"/>
    <cellStyle name="Migliaia 38 4 6 2 2" xfId="39514" xr:uid="{BE6D0F70-62EC-4D98-AB8A-0F541248E51C}"/>
    <cellStyle name="Migliaia 38 4 6 2 3" xfId="44816" xr:uid="{1A5A20A3-7763-47EE-BC40-95B0A52C0376}"/>
    <cellStyle name="Migliaia 38 4 6 2 4" xfId="33974" xr:uid="{8237EE14-D81D-45E6-A3EA-A955B3D18798}"/>
    <cellStyle name="Migliaia 38 4 6 3" xfId="36922" xr:uid="{89837D3E-9EAF-4ADE-8CE0-2990EE55B0E3}"/>
    <cellStyle name="Migliaia 38 4 6 4" xfId="42165" xr:uid="{A84BF9CA-99CF-4427-BB50-C480E3668876}"/>
    <cellStyle name="Migliaia 38 4 6 5" xfId="24879" xr:uid="{A7276291-0EAA-4150-9A99-F2146281902F}"/>
    <cellStyle name="Migliaia 38 4 6 6" xfId="47900" xr:uid="{F734F4C7-FF6A-4383-8CDB-BEC389F4CB3A}"/>
    <cellStyle name="Migliaia 38 4 6 7" xfId="50540" xr:uid="{97B1FCE4-E07B-4E8A-8C56-FC9FD8217137}"/>
    <cellStyle name="Migliaia 38 4 6 8" xfId="53556" xr:uid="{B483C4F5-863A-435C-870F-B4D502CC987E}"/>
    <cellStyle name="Migliaia 38 4 7" xfId="20535" xr:uid="{CA981286-2140-40D9-9BE8-ECED60365144}"/>
    <cellStyle name="Migliaia 38 4 7 2" xfId="33975" xr:uid="{593BD9DE-DD47-4B86-9B78-6DB1131061F3}"/>
    <cellStyle name="Migliaia 38 4 7 2 2" xfId="39515" xr:uid="{210A647F-5707-4A53-B72D-6394ACD7A1B0}"/>
    <cellStyle name="Migliaia 38 4 7 2 3" xfId="44817" xr:uid="{48CAE7D6-A494-4C48-AB86-6978960EAA86}"/>
    <cellStyle name="Migliaia 38 4 7 3" xfId="36923" xr:uid="{E3E486F9-754C-4878-BAE5-9922DE50DDF5}"/>
    <cellStyle name="Migliaia 38 4 7 4" xfId="42166" xr:uid="{9111BED0-AC20-4925-A646-7AC09EFE8D1E}"/>
    <cellStyle name="Migliaia 38 4 7 5" xfId="24880" xr:uid="{1B8272CE-8A17-4994-A5F5-9528581EE9F0}"/>
    <cellStyle name="Migliaia 38 4 8" xfId="24877" xr:uid="{4A7A79FA-9767-451A-8EE3-FCAF65518FF5}"/>
    <cellStyle name="Migliaia 38 4 9" xfId="7480" xr:uid="{AEC38727-F490-4A21-B310-CB2408E8A6CB}"/>
    <cellStyle name="Migliaia 38 5" xfId="1815" xr:uid="{00000000-0005-0000-0000-0000DE030000}"/>
    <cellStyle name="Migliaia 38 5 2" xfId="5338" xr:uid="{3AB354CE-116D-422B-8ACC-9C145B8CCEE6}"/>
    <cellStyle name="Migliaia 38 5 2 2" xfId="18457" xr:uid="{C31DFC08-64E8-464B-BEAC-1B05E615799D}"/>
    <cellStyle name="Migliaia 38 5 2 2 2" xfId="39516" xr:uid="{DD1E635A-0E4C-45C6-8669-F438EAD15097}"/>
    <cellStyle name="Migliaia 38 5 2 2 3" xfId="44818" xr:uid="{A781480E-7069-4096-BBB9-C14366A9EB90}"/>
    <cellStyle name="Migliaia 38 5 2 3" xfId="20538" xr:uid="{021A725C-F5C3-4AC7-B2D1-B2DC88D96552}"/>
    <cellStyle name="Migliaia 38 5 2 3 2" xfId="36924" xr:uid="{73F40181-AEC0-4D4A-9227-7C6389F0DD3B}"/>
    <cellStyle name="Migliaia 38 5 2 4" xfId="42167" xr:uid="{870F9C44-35D7-4BE1-BD57-F849662DE2E3}"/>
    <cellStyle name="Migliaia 38 5 2 5" xfId="16502" xr:uid="{A1D33785-E148-4449-B48D-67C9E54CEE82}"/>
    <cellStyle name="Migliaia 38 5 2 6" xfId="8671" xr:uid="{26E018E0-6FB8-488A-8416-2820BD1C51AD}"/>
    <cellStyle name="Migliaia 38 5 3" xfId="6530" xr:uid="{4B086269-5CD7-46FC-88C3-D86EE7F5E3C8}"/>
    <cellStyle name="Migliaia 38 5 3 2" xfId="33976" xr:uid="{BAB130B2-35E3-4295-B75B-CCF40F1178BB}"/>
    <cellStyle name="Migliaia 38 5 3 2 2" xfId="39517" xr:uid="{A7BA6BD2-879C-47AE-8878-156F88B3CE1C}"/>
    <cellStyle name="Migliaia 38 5 3 2 3" xfId="44819" xr:uid="{FBDDCE84-45AB-4661-A2B5-4D04AA52645E}"/>
    <cellStyle name="Migliaia 38 5 3 3" xfId="36925" xr:uid="{F8916960-F33A-4323-AE71-54E781EA6816}"/>
    <cellStyle name="Migliaia 38 5 3 4" xfId="42168" xr:uid="{E573E481-1B06-48E4-97F2-E543E3FB4CA1}"/>
    <cellStyle name="Migliaia 38 5 3 5" xfId="11363" xr:uid="{E945DEE9-D0A1-4867-BE0C-0A1253E59647}"/>
    <cellStyle name="Migliaia 38 5 4" xfId="3612" xr:uid="{77423CE8-20EA-4637-92C3-33DFA38E2407}"/>
    <cellStyle name="Migliaia 38 5 4 2" xfId="21527" xr:uid="{196AE844-E883-468E-8E6E-3BD9CAA58FCF}"/>
    <cellStyle name="Migliaia 38 5 4 2 2" xfId="39518" xr:uid="{B4ABB43E-1F90-4263-92A4-9CF4068EC46C}"/>
    <cellStyle name="Migliaia 38 5 4 2 3" xfId="44820" xr:uid="{93E65D6D-21B1-4C61-8FEE-F268F6FE0AD4}"/>
    <cellStyle name="Migliaia 38 5 4 2 4" xfId="33977" xr:uid="{530150AE-51CC-4648-A07E-635FBF441E1E}"/>
    <cellStyle name="Migliaia 38 5 4 3" xfId="36926" xr:uid="{D4A2CD11-418F-4998-BE11-3888E531503D}"/>
    <cellStyle name="Migliaia 38 5 4 4" xfId="42169" xr:uid="{7ED6D1EB-13C9-4D79-9BB0-90D76581905C}"/>
    <cellStyle name="Migliaia 38 5 4 5" xfId="24882" xr:uid="{0A17BA00-861F-4AA2-98A9-5810A7958C66}"/>
    <cellStyle name="Migliaia 38 5 4 6" xfId="46253" xr:uid="{3A218018-1903-4AC1-BE57-5979C85F8AFF}"/>
    <cellStyle name="Migliaia 38 5 4 7" xfId="50542" xr:uid="{7E470CEE-2EDB-40E8-BF20-04A8C01036FF}"/>
    <cellStyle name="Migliaia 38 5 4 8" xfId="53558" xr:uid="{59CEBDA3-CC2A-4910-82A9-6EF29CAC668C}"/>
    <cellStyle name="Migliaia 38 5 4 9" xfId="10892" xr:uid="{A4A7F521-B645-40A7-A510-A874423F7885}"/>
    <cellStyle name="Migliaia 38 5 5" xfId="20537" xr:uid="{9ACD79CC-CFE0-4D58-B5D0-E0231FCFD630}"/>
    <cellStyle name="Migliaia 38 5 5 2" xfId="33978" xr:uid="{AA4A9F53-515E-44A6-A070-52E5651A482F}"/>
    <cellStyle name="Migliaia 38 5 5 2 2" xfId="39519" xr:uid="{12A20AC3-C5F5-4281-B685-5D570C01F9E0}"/>
    <cellStyle name="Migliaia 38 5 5 2 3" xfId="44821" xr:uid="{0453917E-320E-4DC5-A4D9-5EAFC0862391}"/>
    <cellStyle name="Migliaia 38 5 5 3" xfId="36927" xr:uid="{544CB84C-73BF-4BDD-9D3B-1438DCD66724}"/>
    <cellStyle name="Migliaia 38 5 5 4" xfId="42170" xr:uid="{FEA11BA8-684B-4B32-A400-F115BFBACD05}"/>
    <cellStyle name="Migliaia 38 5 5 5" xfId="24883" xr:uid="{3ECCFFE5-EB6F-4111-A2A6-C8436A338E93}"/>
    <cellStyle name="Migliaia 38 5 6" xfId="24884" xr:uid="{7701F8FE-E15A-40CB-8578-9902267B22CE}"/>
    <cellStyle name="Migliaia 38 5 6 2" xfId="33979" xr:uid="{3B9B4C24-1D71-4F72-AAA5-454E1685DB6E}"/>
    <cellStyle name="Migliaia 38 5 6 2 2" xfId="39520" xr:uid="{33CA0117-7B01-4D59-8F1A-6BD3A1C82C3A}"/>
    <cellStyle name="Migliaia 38 5 6 2 3" xfId="44822" xr:uid="{42BD6741-6DEC-4033-AF67-24B1D8559035}"/>
    <cellStyle name="Migliaia 38 5 6 3" xfId="36928" xr:uid="{B4DCCCFA-E8F7-4FC3-8684-608EC943704B}"/>
    <cellStyle name="Migliaia 38 5 6 4" xfId="42171" xr:uid="{073CFFC8-EBE5-427D-8FEA-FD71F5181E07}"/>
    <cellStyle name="Migliaia 38 5 7" xfId="24881" xr:uid="{2F87B4FA-0CEF-464D-99A5-CC156FDE2918}"/>
    <cellStyle name="Migliaia 38 5 8" xfId="7481" xr:uid="{0AC5EA4C-F43E-4421-87F1-B7A1588CEA4E}"/>
    <cellStyle name="Migliaia 38 6" xfId="3613" xr:uid="{2432D56B-EABC-460A-9C46-0DDD26E30DDA}"/>
    <cellStyle name="Migliaia 38 6 2" xfId="5339" xr:uid="{2DDFE5EF-3994-4CDF-902B-F43901D5D494}"/>
    <cellStyle name="Migliaia 38 6 2 2" xfId="9943" xr:uid="{BB1AE1D5-E3EB-424C-8F0E-6C0F0B1596F5}"/>
    <cellStyle name="Migliaia 38 6 2 3" xfId="18649" xr:uid="{C6007671-0598-4245-AEDA-7FAD794516E4}"/>
    <cellStyle name="Migliaia 38 6 2 4" xfId="20540" xr:uid="{44393667-F443-4FEA-9C1C-3686DBE8A75C}"/>
    <cellStyle name="Migliaia 38 6 2 5" xfId="32394" xr:uid="{02AB99C2-68B1-44C9-9CAF-F1A1D23DBD87}"/>
    <cellStyle name="Migliaia 38 6 2 6" xfId="16504" xr:uid="{C159323F-3D6C-4DA5-9DB8-C3F752BE2013}"/>
    <cellStyle name="Migliaia 38 6 2 7" xfId="8666" xr:uid="{F85D33D3-9A33-4730-A6CA-D944BFB65717}"/>
    <cellStyle name="Migliaia 38 6 3" xfId="6531" xr:uid="{A985C821-2329-4D1E-8BBA-BEBF2DCFCFDC}"/>
    <cellStyle name="Migliaia 38 6 3 2" xfId="35344" xr:uid="{C67FBBCF-5330-4161-A58A-0BF08793A2EF}"/>
    <cellStyle name="Migliaia 38 6 3 2 2" xfId="40504" xr:uid="{CCD105AC-661A-48E9-9219-E0E67EEA6924}"/>
    <cellStyle name="Migliaia 38 6 3 2 3" xfId="45806" xr:uid="{D3B6A73F-A070-4121-B753-AE0036133C78}"/>
    <cellStyle name="Migliaia 38 6 3 3" xfId="37853" xr:uid="{A23ACF0B-A1D6-4B97-88D8-7B6D24781BFA}"/>
    <cellStyle name="Migliaia 38 6 3 4" xfId="43155" xr:uid="{4CC202AB-06E5-410D-BA00-DD61AEBCB3BA}"/>
    <cellStyle name="Migliaia 38 6 3 5" xfId="9706" xr:uid="{C1907B14-E75C-4306-B1A5-89CCB24BBB8E}"/>
    <cellStyle name="Migliaia 38 6 4" xfId="20539" xr:uid="{BBB169F1-5B44-4C0C-8CB4-EB12FD864BCA}"/>
    <cellStyle name="Migliaia 38 6 4 2" xfId="39521" xr:uid="{868A4163-8ED4-4E84-93AB-9C6E22DF5B39}"/>
    <cellStyle name="Migliaia 38 6 4 3" xfId="44823" xr:uid="{36F6CDCE-675B-4091-BFF8-E8052291EDBA}"/>
    <cellStyle name="Migliaia 38 6 4 4" xfId="33980" xr:uid="{9ED13515-99B1-43E0-B06B-D7A51E048C96}"/>
    <cellStyle name="Migliaia 38 6 5" xfId="36929" xr:uid="{5E9827C5-1A60-424A-9378-90EB1A010E2D}"/>
    <cellStyle name="Migliaia 38 6 6" xfId="42172" xr:uid="{3608E785-AB11-49C5-8F84-AD6F0A8D3298}"/>
    <cellStyle name="Migliaia 38 6 7" xfId="16503" xr:uid="{47462BA2-18F6-4527-BDE6-F89843CB9319}"/>
    <cellStyle name="Migliaia 38 6 8" xfId="7476" xr:uid="{EC8A6846-4131-43B6-A32F-14DB9E3FACD4}"/>
    <cellStyle name="Migliaia 38 7" xfId="3614" xr:uid="{5B712389-F75E-48E9-9F97-FDA680FC2D5B}"/>
    <cellStyle name="Migliaia 38 7 2" xfId="5340" xr:uid="{CE2A1AFF-8F65-4D9F-B01C-ED7ECCE7CB48}"/>
    <cellStyle name="Migliaia 38 7 2 2" xfId="35345" xr:uid="{D0072D0E-8368-4E2B-9FF9-B403C134B8AB}"/>
    <cellStyle name="Migliaia 38 7 2 2 2" xfId="40505" xr:uid="{727161BA-DCE1-44CC-9372-5EEA48C0E9C4}"/>
    <cellStyle name="Migliaia 38 7 2 2 3" xfId="45807" xr:uid="{836CB491-E48F-4095-AD7E-79E4EA480871}"/>
    <cellStyle name="Migliaia 38 7 2 3" xfId="37854" xr:uid="{901ABC2F-D7F6-49C6-B51E-5B56EC9D6EFA}"/>
    <cellStyle name="Migliaia 38 7 2 4" xfId="43156" xr:uid="{E64924D3-33A8-4FA8-BF9C-3AFD8CAC9ABB}"/>
    <cellStyle name="Migliaia 38 7 2 5" xfId="14272" xr:uid="{C69C7007-FD96-4AB2-BF19-EEF4170C7CD5}"/>
    <cellStyle name="Migliaia 38 7 3" xfId="6532" xr:uid="{8C96FD05-2175-42F0-B465-9A60BA25F179}"/>
    <cellStyle name="Migliaia 38 7 3 2" xfId="39522" xr:uid="{02360B93-5965-4052-9D4A-85CE198146FB}"/>
    <cellStyle name="Migliaia 38 7 3 3" xfId="44824" xr:uid="{99D897BD-E920-4312-9920-AE6062BF1FBB}"/>
    <cellStyle name="Migliaia 38 7 3 4" xfId="33981" xr:uid="{6D8FCC62-7423-4416-89A0-60DF7C1436FC}"/>
    <cellStyle name="Migliaia 38 7 3 5" xfId="20541" xr:uid="{DE5A4458-4033-41EA-AF23-FA86AF4EF498}"/>
    <cellStyle name="Migliaia 38 7 4" xfId="36930" xr:uid="{0AB25883-8096-4D62-BF19-1341D67D7711}"/>
    <cellStyle name="Migliaia 38 7 5" xfId="42173" xr:uid="{53A0BB3D-4D98-43FD-B198-414C02133474}"/>
    <cellStyle name="Migliaia 38 7 6" xfId="16505" xr:uid="{E4BDA299-B8E2-4C25-9BA9-021E7DE2EAD7}"/>
    <cellStyle name="Migliaia 38 7 7" xfId="8334" xr:uid="{0BF76980-5D77-4864-864C-7B845E49A0B5}"/>
    <cellStyle name="Migliaia 38 8" xfId="3615" xr:uid="{FEC2D15C-2EC3-435B-B5CE-C45E47472578}"/>
    <cellStyle name="Migliaia 38 8 2" xfId="5341" xr:uid="{42294420-5BEF-4D46-B74F-ABEAC6D40298}"/>
    <cellStyle name="Migliaia 38 8 2 2" xfId="35346" xr:uid="{4135E346-B0C4-467B-AB39-33DFF1B54AD4}"/>
    <cellStyle name="Migliaia 38 8 2 2 2" xfId="40506" xr:uid="{E4618E37-8259-4D81-90B2-5C653F3616F2}"/>
    <cellStyle name="Migliaia 38 8 2 2 3" xfId="45808" xr:uid="{2A96178B-4164-4F32-A03B-808EF207CFCA}"/>
    <cellStyle name="Migliaia 38 8 2 3" xfId="37855" xr:uid="{53F01672-6580-437F-8B4C-99696E7E49D3}"/>
    <cellStyle name="Migliaia 38 8 2 4" xfId="43157" xr:uid="{819C7FD2-7699-46CD-8C35-BB81186A5DF9}"/>
    <cellStyle name="Migliaia 38 8 2 5" xfId="13977" xr:uid="{12CE5E39-68BF-4336-B861-7928DE3B8FE6}"/>
    <cellStyle name="Migliaia 38 8 3" xfId="6533" xr:uid="{CB580AB0-2084-416E-A6C7-8C65823827ED}"/>
    <cellStyle name="Migliaia 38 8 3 2" xfId="39523" xr:uid="{B84FA462-4A74-4770-AA03-C2A5EEF058A3}"/>
    <cellStyle name="Migliaia 38 8 3 3" xfId="44825" xr:uid="{2FD711A0-0536-4EE6-8B4D-AA35547950BB}"/>
    <cellStyle name="Migliaia 38 8 3 4" xfId="33982" xr:uid="{06DE6B00-85EC-4EE7-8BC2-8432A9126C07}"/>
    <cellStyle name="Migliaia 38 8 3 5" xfId="20542" xr:uid="{FB31FA05-E2FA-4554-8104-5E602221DD2D}"/>
    <cellStyle name="Migliaia 38 8 4" xfId="36931" xr:uid="{A789DFA4-EAAA-45EB-BE4D-E386F63DE8CE}"/>
    <cellStyle name="Migliaia 38 8 5" xfId="42174" xr:uid="{F3A5F626-A9A1-4BFD-B68C-F9F0D4FFF15B}"/>
    <cellStyle name="Migliaia 38 8 6" xfId="16506" xr:uid="{0744CB20-4640-4469-A46D-C463A6D726D2}"/>
    <cellStyle name="Migliaia 38 8 7" xfId="7946" xr:uid="{831DE035-A5C8-47AE-92B7-ABDA8D2A6DA3}"/>
    <cellStyle name="Migliaia 38 9" xfId="5326" xr:uid="{FFABC888-0373-4DA5-9D10-C3F0132A77DA}"/>
    <cellStyle name="Migliaia 38 9 2" xfId="33983" xr:uid="{9E785BA5-22FD-4EE8-B7B3-123BEF5E7F4D}"/>
    <cellStyle name="Migliaia 38 9 2 2" xfId="39524" xr:uid="{BD6032E4-FE5E-4A6C-84FB-135AF1346B76}"/>
    <cellStyle name="Migliaia 38 9 2 3" xfId="44826" xr:uid="{4840CC6D-2F2C-41F5-A246-39D60C16671C}"/>
    <cellStyle name="Migliaia 38 9 3" xfId="36932" xr:uid="{AB55963A-D76D-4FA5-9E96-89F52E2B3330}"/>
    <cellStyle name="Migliaia 38 9 4" xfId="42175" xr:uid="{6AC58B75-5552-44A8-924D-00A0CBD91F99}"/>
    <cellStyle name="Migliaia 38 9 5" xfId="17197" xr:uid="{3F4FDAEF-6FEA-469D-808F-FCB76C288A29}"/>
    <cellStyle name="Migliaia 39" xfId="429" xr:uid="{00000000-0005-0000-0000-0000DF030000}"/>
    <cellStyle name="Migliaia 39 10" xfId="6534" xr:uid="{CFC2E287-C38C-4918-86C7-3ABD9EA5D7EF}"/>
    <cellStyle name="Migliaia 39 10 2" xfId="39525" xr:uid="{E8D584A6-D6E2-4A99-BCFA-D7BAFF33B098}"/>
    <cellStyle name="Migliaia 39 10 3" xfId="44827" xr:uid="{518D6A0A-FA25-49F5-893D-999AF9D36279}"/>
    <cellStyle name="Migliaia 39 10 4" xfId="33984" xr:uid="{16747DD9-8380-4B3F-95C9-D80452D3B4D3}"/>
    <cellStyle name="Migliaia 39 10 5" xfId="20543" xr:uid="{4E03B5DF-C31C-4BA1-9693-1EAE6EBA8D05}"/>
    <cellStyle name="Migliaia 39 11" xfId="3616" xr:uid="{4DF7559D-8ACB-46A8-A601-C3870FEBD4B5}"/>
    <cellStyle name="Migliaia 39 11 2" xfId="36933" xr:uid="{F90B55F5-7AF7-49AD-A929-8EE3EA3F8F30}"/>
    <cellStyle name="Migliaia 39 12" xfId="42176" xr:uid="{6214C8B2-E615-4163-9EC1-C92C530B2FA6}"/>
    <cellStyle name="Migliaia 39 13" xfId="7138" xr:uid="{9545CC27-B02C-4A10-A384-A1507A3722CA}"/>
    <cellStyle name="Migliaia 39 2" xfId="430" xr:uid="{00000000-0005-0000-0000-0000E0030000}"/>
    <cellStyle name="Migliaia 39 2 2" xfId="1816" xr:uid="{00000000-0005-0000-0000-0000E1030000}"/>
    <cellStyle name="Migliaia 39 2 2 2" xfId="5344" xr:uid="{4EEF8358-44C1-4910-815E-9E9540C6B007}"/>
    <cellStyle name="Migliaia 39 2 2 2 2" xfId="14395" xr:uid="{A68F90ED-1675-4333-84A3-9F37EDCD8410}"/>
    <cellStyle name="Migliaia 39 2 2 2 2 2" xfId="39526" xr:uid="{800C7850-53E6-4673-8DF2-F0CADE09EE55}"/>
    <cellStyle name="Migliaia 39 2 2 2 2 3" xfId="44828" xr:uid="{6BA9331F-8ADD-4EC8-9FB1-A07D8569D3E5}"/>
    <cellStyle name="Migliaia 39 2 2 2 3" xfId="18458" xr:uid="{35666D8F-3670-4E9F-A22E-3B391A7BD221}"/>
    <cellStyle name="Migliaia 39 2 2 2 4" xfId="20546" xr:uid="{22DFF55F-AE2E-4FBA-9DA0-FB4E30C3A94B}"/>
    <cellStyle name="Migliaia 39 2 2 2 4 2" xfId="42177" xr:uid="{531CDC44-C77E-4248-91CB-BD1676B45F02}"/>
    <cellStyle name="Migliaia 39 2 2 2 5" xfId="16507" xr:uid="{9C003247-3AED-4121-A131-B4661EB201E6}"/>
    <cellStyle name="Migliaia 39 2 2 2 6" xfId="8673" xr:uid="{6D4BACA8-AC08-4ECF-869C-A012CC4CE493}"/>
    <cellStyle name="Migliaia 39 2 2 3" xfId="6536" xr:uid="{02EB63FC-9469-4416-ACE2-59A140F48404}"/>
    <cellStyle name="Migliaia 39 2 2 3 2" xfId="35347" xr:uid="{2052D74D-BA06-44EF-8E39-51A08EEFB58C}"/>
    <cellStyle name="Migliaia 39 2 2 3 2 2" xfId="40507" xr:uid="{D0FC187F-C955-4CF0-B9D6-EDB70443EE99}"/>
    <cellStyle name="Migliaia 39 2 2 3 2 3" xfId="45809" xr:uid="{B41F007B-9445-40FB-884F-2B6F710FCED9}"/>
    <cellStyle name="Migliaia 39 2 2 3 3" xfId="37856" xr:uid="{A5810752-EB0E-4E79-9539-1093CA579309}"/>
    <cellStyle name="Migliaia 39 2 2 3 4" xfId="43158" xr:uid="{97976791-4D20-4CC0-8237-C4599FE5FE5B}"/>
    <cellStyle name="Migliaia 39 2 2 3 5" xfId="11622" xr:uid="{39C69095-398A-424C-929F-D58716CC3A4F}"/>
    <cellStyle name="Migliaia 39 2 2 4" xfId="3618" xr:uid="{F25BBBD6-FD29-41D9-94DA-E5DD52922C08}"/>
    <cellStyle name="Migliaia 39 2 2 4 2" xfId="21528" xr:uid="{AB403708-2513-47FC-9F2E-2A7044202921}"/>
    <cellStyle name="Migliaia 39 2 2 4 3" xfId="47603" xr:uid="{937F623D-3846-4B46-9877-F367C2566C77}"/>
    <cellStyle name="Migliaia 39 2 2 4 4" xfId="50543" xr:uid="{3326EBA4-2E21-46E2-AA0C-9806294E50AA}"/>
    <cellStyle name="Migliaia 39 2 2 4 5" xfId="53559" xr:uid="{3D5863B7-B395-436C-ABE5-BE01314E1456}"/>
    <cellStyle name="Migliaia 39 2 2 4 6" xfId="10893" xr:uid="{261825A8-6883-43AE-B650-06EE72FA18B0}"/>
    <cellStyle name="Migliaia 39 2 2 5" xfId="20545" xr:uid="{AE3F912A-40D6-4539-A3F5-0369AED0CF9C}"/>
    <cellStyle name="Migliaia 39 2 2 6" xfId="24886" xr:uid="{7560E1A8-AEA0-4D22-9ACA-5076B2A3E69E}"/>
    <cellStyle name="Migliaia 39 2 2 7" xfId="7483" xr:uid="{BA1500E9-C0FE-4AAB-9566-39C5D49D0208}"/>
    <cellStyle name="Migliaia 39 2 3" xfId="3619" xr:uid="{1385B6D2-D70A-416A-80D4-50E6D9CABB6A}"/>
    <cellStyle name="Migliaia 39 2 3 2" xfId="5345" xr:uid="{7E5B0DCB-5B81-4FF9-873F-919D92038554}"/>
    <cellStyle name="Migliaia 39 2 3 2 2" xfId="35348" xr:uid="{49547A22-6951-47AB-9FE6-FE265F87A873}"/>
    <cellStyle name="Migliaia 39 2 3 2 2 2" xfId="40508" xr:uid="{3477EF12-B89B-4E42-A926-6583829EDC10}"/>
    <cellStyle name="Migliaia 39 2 3 2 2 3" xfId="45810" xr:uid="{19E5822B-7BCF-4A26-A857-10BFEC24E375}"/>
    <cellStyle name="Migliaia 39 2 3 2 3" xfId="37857" xr:uid="{6C347C19-805D-4E95-B30D-8BB312E3AAC8}"/>
    <cellStyle name="Migliaia 39 2 3 2 4" xfId="43159" xr:uid="{98EAA1EC-305A-441E-908E-5416420AE7FF}"/>
    <cellStyle name="Migliaia 39 2 3 2 5" xfId="14276" xr:uid="{4FD1EBB6-9FDF-4391-8E95-5040A4544B61}"/>
    <cellStyle name="Migliaia 39 2 3 3" xfId="6537" xr:uid="{48A1327F-BAEF-4FBC-BC9A-6A99552285DF}"/>
    <cellStyle name="Migliaia 39 2 3 3 2" xfId="39527" xr:uid="{1F73E9BC-A4E6-4A69-9C3C-575F9D25BC39}"/>
    <cellStyle name="Migliaia 39 2 3 3 3" xfId="44829" xr:uid="{5DD8EA27-B944-470C-BE23-FDA57919E009}"/>
    <cellStyle name="Migliaia 39 2 3 3 4" xfId="33985" xr:uid="{FE931FA8-92AB-40E1-8834-E0CC08B86A7F}"/>
    <cellStyle name="Migliaia 39 2 3 3 5" xfId="20547" xr:uid="{1CCB78B1-CC1C-4EA2-8F88-92AD26783412}"/>
    <cellStyle name="Migliaia 39 2 3 4" xfId="36934" xr:uid="{D3BC682B-DB9D-489B-A4BA-686C07665A82}"/>
    <cellStyle name="Migliaia 39 2 3 5" xfId="42178" xr:uid="{1A552BE0-E9A1-4944-9188-80170BA68EFB}"/>
    <cellStyle name="Migliaia 39 2 3 6" xfId="16508" xr:uid="{BC555791-082A-41E0-BB27-3667F1FB477B}"/>
    <cellStyle name="Migliaia 39 2 3 7" xfId="8338" xr:uid="{A9054987-6B3A-4749-9D31-F7A488625D68}"/>
    <cellStyle name="Migliaia 39 2 4" xfId="5343" xr:uid="{0017A008-D53C-4605-8121-AEFAA5FC2D95}"/>
    <cellStyle name="Migliaia 39 2 4 2" xfId="13981" xr:uid="{B96DE7FD-BF52-4E37-A9E6-20025753CA65}"/>
    <cellStyle name="Migliaia 39 2 4 2 2" xfId="39528" xr:uid="{54047E1C-FE5C-4EFF-B92F-9837409EE402}"/>
    <cellStyle name="Migliaia 39 2 4 2 3" xfId="44830" xr:uid="{2763DF77-4016-4239-B615-2152353F8C04}"/>
    <cellStyle name="Migliaia 39 2 4 3" xfId="18704" xr:uid="{C345BE5A-EA8E-4F82-8B15-5CC4D982AE73}"/>
    <cellStyle name="Migliaia 39 2 4 4" xfId="20548" xr:uid="{F1069851-EB8C-41B9-AD51-5FA44FE43CDD}"/>
    <cellStyle name="Migliaia 39 2 4 4 2" xfId="42179" xr:uid="{AD56C349-0A8D-4430-92BC-306E68831BA8}"/>
    <cellStyle name="Migliaia 39 2 4 5" xfId="16509" xr:uid="{208764A7-A4E2-43F5-AC50-AD9D879D693E}"/>
    <cellStyle name="Migliaia 39 2 4 6" xfId="7951" xr:uid="{672C059B-BFB9-4BBB-84D1-507A967C1F4B}"/>
    <cellStyle name="Migliaia 39 2 5" xfId="6535" xr:uid="{47C8FCE7-CD69-453A-8748-D9E240DE063B}"/>
    <cellStyle name="Migliaia 39 2 5 2" xfId="33986" xr:uid="{1336F91F-65A2-4A43-8827-019C66CCF6BF}"/>
    <cellStyle name="Migliaia 39 2 5 2 2" xfId="39529" xr:uid="{6B8DD92F-A8E9-4A90-A8A8-06D34F3E2E90}"/>
    <cellStyle name="Migliaia 39 2 5 2 3" xfId="44831" xr:uid="{6937F19D-2D91-4AB1-960D-2B058CEA79BF}"/>
    <cellStyle name="Migliaia 39 2 5 3" xfId="36935" xr:uid="{0B659761-6345-454A-965D-BECEC9B506DF}"/>
    <cellStyle name="Migliaia 39 2 5 4" xfId="42180" xr:uid="{B7D86EAD-7DB7-4E2E-8C7C-4C6EEFBEE98F}"/>
    <cellStyle name="Migliaia 39 2 5 5" xfId="13135" xr:uid="{16EB16D5-5181-41D9-A20E-A3DBDF02E6D5}"/>
    <cellStyle name="Migliaia 39 2 6" xfId="3617" xr:uid="{DC7BE60A-9252-4E57-8C45-E0934247A5F6}"/>
    <cellStyle name="Migliaia 39 2 6 2" xfId="33987" xr:uid="{4A4A2698-5E73-4469-8FF5-4DAF709484F1}"/>
    <cellStyle name="Migliaia 39 2 6 2 2" xfId="39530" xr:uid="{09E9A30A-D222-4724-97E9-460A8F375C5E}"/>
    <cellStyle name="Migliaia 39 2 6 2 3" xfId="44832" xr:uid="{06D36C32-9C52-4BCE-A4F7-97AF0BCEF978}"/>
    <cellStyle name="Migliaia 39 2 6 3" xfId="36936" xr:uid="{F601C551-DCF5-4727-989B-00E6C09B806E}"/>
    <cellStyle name="Migliaia 39 2 6 4" xfId="42181" xr:uid="{5231C3DC-44AA-48D8-B8ED-6764503B41F4}"/>
    <cellStyle name="Migliaia 39 2 6 5" xfId="24887" xr:uid="{97EAEC56-848A-46B6-8610-C65377193928}"/>
    <cellStyle name="Migliaia 39 2 6 6" xfId="20544" xr:uid="{6194EC90-FAD1-4C66-9349-975687FF49EF}"/>
    <cellStyle name="Migliaia 39 2 7" xfId="24885" xr:uid="{C117FF7E-886B-49F8-BA3D-415B61187E32}"/>
    <cellStyle name="Migliaia 39 2 8" xfId="7139" xr:uid="{C117A12B-9623-481C-AA69-B2268352ADB8}"/>
    <cellStyle name="Migliaia 39 3" xfId="431" xr:uid="{00000000-0005-0000-0000-0000E2030000}"/>
    <cellStyle name="Migliaia 39 3 10" xfId="24888" xr:uid="{B7C1BAD9-B927-4F49-B683-8A50BE3BE42A}"/>
    <cellStyle name="Migliaia 39 3 11" xfId="16510" xr:uid="{91856B3E-C32F-48FA-BB25-ACFB0AACC015}"/>
    <cellStyle name="Migliaia 39 3 12" xfId="7140" xr:uid="{42DD65A6-BA7A-4D15-9B24-DF3BDD9A242D}"/>
    <cellStyle name="Migliaia 39 3 2" xfId="432" xr:uid="{00000000-0005-0000-0000-0000E3030000}"/>
    <cellStyle name="Migliaia 39 3 2 2" xfId="1817" xr:uid="{00000000-0005-0000-0000-0000E4030000}"/>
    <cellStyle name="Migliaia 39 3 2 2 2" xfId="5348" xr:uid="{DA376E34-C122-4C97-970E-21CD391347C1}"/>
    <cellStyle name="Migliaia 39 3 2 2 2 2" xfId="18459" xr:uid="{B3656EA0-5C8D-45B6-9D72-8AFB931EB599}"/>
    <cellStyle name="Migliaia 39 3 2 2 2 2 2" xfId="21873" xr:uid="{A1E8E18C-D9C2-4317-86B3-A7867B5928B3}"/>
    <cellStyle name="Migliaia 39 3 2 2 2 2 2 2" xfId="39531" xr:uid="{556E67E0-57DD-4DA2-8B2D-E6C0A71D8FE3}"/>
    <cellStyle name="Migliaia 39 3 2 2 2 2 3" xfId="44833" xr:uid="{AF1C9BFE-6622-489C-8534-626336BCFE93}"/>
    <cellStyle name="Migliaia 39 3 2 2 2 2 4" xfId="33988" xr:uid="{EB567233-1415-4B2A-A661-C6E0B2B62E77}"/>
    <cellStyle name="Migliaia 39 3 2 2 2 3" xfId="36937" xr:uid="{113CFFDE-4FDD-4860-AEB5-8E2C8987EAF2}"/>
    <cellStyle name="Migliaia 39 3 2 2 2 4" xfId="42182" xr:uid="{E4AED56F-8EA9-4F2E-9FFC-6222B70ECA60}"/>
    <cellStyle name="Migliaia 39 3 2 2 2 5" xfId="32434" xr:uid="{F3AB2E02-708C-4721-98E0-2CE657F1843B}"/>
    <cellStyle name="Migliaia 39 3 2 2 2 6" xfId="50901" xr:uid="{2CC20C33-EECE-4F00-8827-B3292154483B}"/>
    <cellStyle name="Migliaia 39 3 2 2 2 7" xfId="53917" xr:uid="{D0BCA0FD-D5DC-44E5-9231-767677ED9C33}"/>
    <cellStyle name="Migliaia 39 3 2 2 2 8" xfId="17670" xr:uid="{7F7C1CB7-E840-471B-BFA7-96EB1C17E031}"/>
    <cellStyle name="Migliaia 39 3 2 2 2 9" xfId="12015" xr:uid="{385CD7A1-FCBB-4E03-8265-51A507E11A89}"/>
    <cellStyle name="Migliaia 39 3 2 2 3" xfId="6540" xr:uid="{263F1D12-AF9B-4129-8A1E-D06510094D81}"/>
    <cellStyle name="Migliaia 39 3 2 2 3 2" xfId="11566" xr:uid="{4B7CF2E5-E457-4D30-BC8E-8F3F01736250}"/>
    <cellStyle name="Migliaia 39 3 2 2 4" xfId="3622" xr:uid="{59FABD8E-0803-4D4D-B625-7CBAF1602C2F}"/>
    <cellStyle name="Migliaia 39 3 2 2 4 2" xfId="21529" xr:uid="{7A352A63-3E76-4B31-8956-786760B42DFD}"/>
    <cellStyle name="Migliaia 39 3 2 2 4 3" xfId="47602" xr:uid="{B721EF49-3E84-4C60-A144-6581B0B4A4D7}"/>
    <cellStyle name="Migliaia 39 3 2 2 4 4" xfId="50544" xr:uid="{49DE03A4-D8E5-4552-8B94-116B07D49B71}"/>
    <cellStyle name="Migliaia 39 3 2 2 4 5" xfId="53560" xr:uid="{FA499CEF-BCD7-4E9B-9523-703626A8807B}"/>
    <cellStyle name="Migliaia 39 3 2 2 4 6" xfId="10894" xr:uid="{82C2670E-280B-4079-8380-01EB95475958}"/>
    <cellStyle name="Migliaia 39 3 2 2 5" xfId="20551" xr:uid="{DA037DB5-086E-46CA-A0F3-872149770DF2}"/>
    <cellStyle name="Migliaia 39 3 2 2 6" xfId="24890" xr:uid="{C5546E1C-6D56-45E0-8F92-1675D5188522}"/>
    <cellStyle name="Migliaia 39 3 2 2 7" xfId="8675" xr:uid="{F51CD125-C37B-4703-BEB7-4931B3871A9B}"/>
    <cellStyle name="Migliaia 39 3 2 3" xfId="5347" xr:uid="{2AD8AE99-A637-4AC3-8F3E-2F9D4FCB2364}"/>
    <cellStyle name="Migliaia 39 3 2 3 2" xfId="12224" xr:uid="{150A9623-C85C-42BF-BF9C-6753E925171A}"/>
    <cellStyle name="Migliaia 39 3 2 3 2 2" xfId="39532" xr:uid="{7938307D-D9AA-4AEE-BAF5-F8362449D337}"/>
    <cellStyle name="Migliaia 39 3 2 3 2 3" xfId="44834" xr:uid="{3139D78A-ECBD-499B-BC9A-51D2B3301113}"/>
    <cellStyle name="Migliaia 39 3 2 3 2 4" xfId="33989" xr:uid="{000A0C9F-CC54-4F9F-97FD-DC6318FB9B5C}"/>
    <cellStyle name="Migliaia 39 3 2 3 3" xfId="12016" xr:uid="{C59C5669-60A7-471C-9B90-08A4FC144127}"/>
    <cellStyle name="Migliaia 39 3 2 3 4" xfId="20552" xr:uid="{91CE704F-4795-4F60-ADB1-D3ECDC16D035}"/>
    <cellStyle name="Migliaia 39 3 2 3 4 2" xfId="42183" xr:uid="{06BC8E8E-4E2C-436C-9E50-1A80C635C1AF}"/>
    <cellStyle name="Migliaia 39 3 2 3 5" xfId="16511" xr:uid="{08A0B994-1EB4-4489-9F00-73B689BD0DA9}"/>
    <cellStyle name="Migliaia 39 3 2 3 6" xfId="7953" xr:uid="{34BA15D5-D651-4274-AF47-297ACD886005}"/>
    <cellStyle name="Migliaia 39 3 2 4" xfId="6539" xr:uid="{8549E9DB-8819-4648-82CF-A7F4713ABB64}"/>
    <cellStyle name="Migliaia 39 3 2 4 2" xfId="18089" xr:uid="{2FC20810-2D96-4D4F-A288-D845A56CFD62}"/>
    <cellStyle name="Migliaia 39 3 2 4 2 2" xfId="39533" xr:uid="{E4AD3CB4-054B-426D-A008-4E92CC2C9399}"/>
    <cellStyle name="Migliaia 39 3 2 4 2 3" xfId="44835" xr:uid="{8811D267-9CD7-4930-A2A9-B19CA98351D8}"/>
    <cellStyle name="Migliaia 39 3 2 4 3" xfId="36939" xr:uid="{FCA77973-3FD4-4044-8484-A2C9DFF03CB2}"/>
    <cellStyle name="Migliaia 39 3 2 4 4" xfId="42184" xr:uid="{FF4CA4BA-E8D4-499F-8805-FB7C9F5BC98B}"/>
    <cellStyle name="Migliaia 39 3 2 4 5" xfId="17200" xr:uid="{6A411EC6-CC4A-41E9-B953-48D783B4B3B4}"/>
    <cellStyle name="Migliaia 39 3 2 4 6" xfId="11364" xr:uid="{9A0C53F5-D210-450E-A124-D83744D141FF}"/>
    <cellStyle name="Migliaia 39 3 2 5" xfId="3621" xr:uid="{2DEF76CC-2892-4195-8E8D-6DC5B9E884B1}"/>
    <cellStyle name="Migliaia 39 3 2 5 2" xfId="33991" xr:uid="{A83A22F4-7DB2-4BD7-A991-90D6F3FADF35}"/>
    <cellStyle name="Migliaia 39 3 2 5 2 2" xfId="39534" xr:uid="{6D3D5BF3-D854-47A2-B4BC-E7DB7C9B4523}"/>
    <cellStyle name="Migliaia 39 3 2 5 2 3" xfId="44836" xr:uid="{D019104C-CFFC-4C74-B067-B8B2FC3EA321}"/>
    <cellStyle name="Migliaia 39 3 2 5 3" xfId="36940" xr:uid="{40C698B4-B1D0-4252-8044-8FAB6E8DC726}"/>
    <cellStyle name="Migliaia 39 3 2 5 4" xfId="42185" xr:uid="{B77BB8A3-70BB-4DCE-AFB0-6B1DDC54D424}"/>
    <cellStyle name="Migliaia 39 3 2 5 5" xfId="17330" xr:uid="{914E09AE-814D-4661-9893-DC3BC2B0F50F}"/>
    <cellStyle name="Migliaia 39 3 2 6" xfId="20550" xr:uid="{0C1A9267-29E6-4FC4-A59D-B97F756CB70D}"/>
    <cellStyle name="Migliaia 39 3 2 6 2" xfId="33992" xr:uid="{28C54FA5-EAD7-4841-984B-23B05B682639}"/>
    <cellStyle name="Migliaia 39 3 2 6 2 2" xfId="39535" xr:uid="{5D728060-8D98-4556-94CF-E0340E9C37DB}"/>
    <cellStyle name="Migliaia 39 3 2 6 2 3" xfId="44837" xr:uid="{D6C7D7D1-BC2B-4B8C-9C15-415113FC736C}"/>
    <cellStyle name="Migliaia 39 3 2 6 3" xfId="36941" xr:uid="{7856E28B-FE0E-4DD0-97C1-E87BF7DD04FE}"/>
    <cellStyle name="Migliaia 39 3 2 6 4" xfId="42186" xr:uid="{DB6C05F6-1779-4319-AA06-C936F6463F92}"/>
    <cellStyle name="Migliaia 39 3 2 6 5" xfId="24893" xr:uid="{B6E43D91-1972-4607-80BA-FE9F901BFBD9}"/>
    <cellStyle name="Migliaia 39 3 2 7" xfId="24889" xr:uid="{C6AD90A9-CEFF-4C0E-AF68-153130DBFB54}"/>
    <cellStyle name="Migliaia 39 3 2 8" xfId="7485" xr:uid="{629E9B1A-018F-4330-A12E-F5756284AAB2}"/>
    <cellStyle name="Migliaia 39 3 3" xfId="3623" xr:uid="{014A9E13-49C7-40AB-9415-918FFDBA1DC0}"/>
    <cellStyle name="Migliaia 39 3 3 10" xfId="7484" xr:uid="{91A00090-8A9F-433A-85FD-98855ADDC681}"/>
    <cellStyle name="Migliaia 39 3 3 2" xfId="5349" xr:uid="{513ED7CB-8380-4F80-BA36-2335FD42EE8B}"/>
    <cellStyle name="Migliaia 39 3 3 2 2" xfId="9946" xr:uid="{64FEE60B-8363-4713-ABB8-FC7195DE6DE7}"/>
    <cellStyle name="Migliaia 39 3 3 2 2 2" xfId="39537" xr:uid="{FD2E0982-D408-4A5D-A717-E0C2E48B9F4E}"/>
    <cellStyle name="Migliaia 39 3 3 2 2 3" xfId="44839" xr:uid="{C70B6F58-AE69-409D-85D5-DD6F0A9AE007}"/>
    <cellStyle name="Migliaia 39 3 3 2 3" xfId="18226" xr:uid="{1A674EF7-7539-40AD-BA9D-A7F6FDAEC187}"/>
    <cellStyle name="Migliaia 39 3 3 2 4" xfId="20554" xr:uid="{5048F0F3-F1E1-474D-890B-93302B151320}"/>
    <cellStyle name="Migliaia 39 3 3 2 4 2" xfId="42188" xr:uid="{11DE0F28-8E14-4A68-8D14-4A77784FE346}"/>
    <cellStyle name="Migliaia 39 3 3 2 5" xfId="16513" xr:uid="{1F710998-EC7F-42C7-9998-8B47A2DF035B}"/>
    <cellStyle name="Migliaia 39 3 3 2 6" xfId="8674" xr:uid="{5A2DF3CB-0EA7-4DEC-B3CC-E374BBE2989B}"/>
    <cellStyle name="Migliaia 39 3 3 3" xfId="6541" xr:uid="{176F2416-6811-4EB4-8420-AF407E1D6085}"/>
    <cellStyle name="Migliaia 39 3 3 3 2" xfId="33995" xr:uid="{24AEE98C-9FCC-4213-B771-74686DEA5021}"/>
    <cellStyle name="Migliaia 39 3 3 3 2 2" xfId="39538" xr:uid="{3A33BA3B-E6CB-49E5-BBA0-C3E63F612330}"/>
    <cellStyle name="Migliaia 39 3 3 3 2 3" xfId="44840" xr:uid="{109A088A-D7A7-4939-8D8A-2EF642C1DE3D}"/>
    <cellStyle name="Migliaia 39 3 3 3 3" xfId="36944" xr:uid="{15995CBE-FDA4-41AB-A16C-8674BD283241}"/>
    <cellStyle name="Migliaia 39 3 3 3 4" xfId="42189" xr:uid="{81E30383-4DBC-42A8-8448-606B76786B85}"/>
    <cellStyle name="Migliaia 39 3 3 3 5" xfId="9709" xr:uid="{5FDB18AB-DB14-4E00-9023-0B9EBED2920F}"/>
    <cellStyle name="Migliaia 39 3 3 4" xfId="20553" xr:uid="{50B378A0-E56C-47C2-BB06-551112A6E6A2}"/>
    <cellStyle name="Migliaia 39 3 3 4 2" xfId="33996" xr:uid="{858E9A93-B85A-4BAB-9E20-EBB2AE404FD9}"/>
    <cellStyle name="Migliaia 39 3 3 4 2 2" xfId="39539" xr:uid="{7071E168-D07B-4446-9143-BBEA34529C5A}"/>
    <cellStyle name="Migliaia 39 3 3 4 2 3" xfId="44841" xr:uid="{2A3758D4-A5D5-4C55-BFFE-CA65CBA54173}"/>
    <cellStyle name="Migliaia 39 3 3 4 3" xfId="36945" xr:uid="{2268797D-5353-406E-AA33-B477B7171749}"/>
    <cellStyle name="Migliaia 39 3 3 4 4" xfId="42190" xr:uid="{E8C79336-AA7C-48A2-964D-576CD39B36D0}"/>
    <cellStyle name="Migliaia 39 3 3 4 5" xfId="24897" xr:uid="{D34AD686-ADF6-4628-91BB-8D560FFE2C2E}"/>
    <cellStyle name="Migliaia 39 3 3 5" xfId="24898" xr:uid="{39EE1A20-2B00-499B-97C4-C8EA380416A2}"/>
    <cellStyle name="Migliaia 39 3 3 5 2" xfId="33997" xr:uid="{EC761F0D-7602-45B1-B952-BD9C74B4DC09}"/>
    <cellStyle name="Migliaia 39 3 3 5 2 2" xfId="39540" xr:uid="{65D7A235-0B49-49AA-AE59-C1331B2568E8}"/>
    <cellStyle name="Migliaia 39 3 3 5 2 3" xfId="44842" xr:uid="{7E9B18D3-9DFF-4CD3-B544-328FCAC9F2B2}"/>
    <cellStyle name="Migliaia 39 3 3 5 3" xfId="36946" xr:uid="{FA9C01C2-9380-4538-94CE-6671F884C5F8}"/>
    <cellStyle name="Migliaia 39 3 3 5 4" xfId="42191" xr:uid="{D031C4A3-5BE1-4710-902E-D37F8515500F}"/>
    <cellStyle name="Migliaia 39 3 3 6" xfId="33993" xr:uid="{D66D6906-E122-4201-88D2-4079C8557C3F}"/>
    <cellStyle name="Migliaia 39 3 3 6 2" xfId="39536" xr:uid="{27D203BC-7200-41F6-9175-0DBB8DA0C718}"/>
    <cellStyle name="Migliaia 39 3 3 6 3" xfId="44838" xr:uid="{364971FE-3BEA-46B6-BE53-BAE7DA19AEA1}"/>
    <cellStyle name="Migliaia 39 3 3 7" xfId="36942" xr:uid="{9D450160-A903-4927-B8DE-9C4EF8263A93}"/>
    <cellStyle name="Migliaia 39 3 3 8" xfId="42187" xr:uid="{1DC18966-B6D1-4923-8203-70DCAFE64597}"/>
    <cellStyle name="Migliaia 39 3 3 9" xfId="16512" xr:uid="{69A21EF7-5263-4E80-AC47-A47D387EDB85}"/>
    <cellStyle name="Migliaia 39 3 4" xfId="3624" xr:uid="{76992008-256F-41EA-B4E0-6903B9E6B7C2}"/>
    <cellStyle name="Migliaia 39 3 4 2" xfId="5350" xr:uid="{E6837375-F6A3-4819-9FAC-D09F42EF1249}"/>
    <cellStyle name="Migliaia 39 3 4 2 2" xfId="14455" xr:uid="{7C3DCBD5-05F3-4293-9FC7-6B05736B1873}"/>
    <cellStyle name="Migliaia 39 3 4 2 3" xfId="18131" xr:uid="{5669A124-9B3A-4EE6-A1C3-18455B0B6530}"/>
    <cellStyle name="Migliaia 39 3 4 2 4" xfId="20556" xr:uid="{0AE08B59-7DE2-4857-9CD4-9EAA971C8A43}"/>
    <cellStyle name="Migliaia 39 3 4 2 5" xfId="32395" xr:uid="{409AE6A7-ED55-4EA1-941A-9950C08E3686}"/>
    <cellStyle name="Migliaia 39 3 4 2 6" xfId="16515" xr:uid="{24E7D8A8-0E4F-4FF9-8C48-A17EE68B8796}"/>
    <cellStyle name="Migliaia 39 3 4 2 7" xfId="8878" xr:uid="{94426A29-481E-433A-B18E-719EAFD391DD}"/>
    <cellStyle name="Migliaia 39 3 4 3" xfId="6542" xr:uid="{D2C3A463-DE6E-4547-91A8-35C252C090FB}"/>
    <cellStyle name="Migliaia 39 3 4 3 2" xfId="35349" xr:uid="{4443D78C-9C58-40A6-8BFE-67D2C423318E}"/>
    <cellStyle name="Migliaia 39 3 4 3 2 2" xfId="40509" xr:uid="{03F43078-4E58-4290-B7B3-14D9CDF9EC3B}"/>
    <cellStyle name="Migliaia 39 3 4 3 2 3" xfId="45811" xr:uid="{8464696A-0D0F-4430-80CB-378448C2F3F0}"/>
    <cellStyle name="Migliaia 39 3 4 3 3" xfId="37858" xr:uid="{5729C90E-93A6-4FD5-AC0E-40EDF149DB57}"/>
    <cellStyle name="Migliaia 39 3 4 3 4" xfId="43160" xr:uid="{C332807E-D2AA-4599-8EFE-68ACB3803C55}"/>
    <cellStyle name="Migliaia 39 3 4 3 5" xfId="13703" xr:uid="{97B3D162-0965-4595-A8F6-7217AD5F0447}"/>
    <cellStyle name="Migliaia 39 3 4 4" xfId="20555" xr:uid="{A12AE1CD-593E-4A54-8A3E-12CECC874BF0}"/>
    <cellStyle name="Migliaia 39 3 4 4 2" xfId="39541" xr:uid="{84C90F0F-2EAC-4E42-8078-0A919E55C254}"/>
    <cellStyle name="Migliaia 39 3 4 4 3" xfId="44843" xr:uid="{3B8006AB-0476-46AC-A023-42054647A3E8}"/>
    <cellStyle name="Migliaia 39 3 4 4 4" xfId="33998" xr:uid="{52F80CAC-397E-49AA-B8A3-0EDB0AD5F6C4}"/>
    <cellStyle name="Migliaia 39 3 4 5" xfId="36947" xr:uid="{F8E78C72-BAAA-4B92-807E-B9C3102EB882}"/>
    <cellStyle name="Migliaia 39 3 4 6" xfId="42192" xr:uid="{B0C33F54-7B08-4CE3-9F57-1AB78A20A228}"/>
    <cellStyle name="Migliaia 39 3 4 7" xfId="16514" xr:uid="{1A3080FC-D56F-4668-A437-86D8C7E2584C}"/>
    <cellStyle name="Migliaia 39 3 4 8" xfId="7688" xr:uid="{9D0C48FA-125A-410F-8082-A4B3A9F5CD85}"/>
    <cellStyle name="Migliaia 39 3 5" xfId="3625" xr:uid="{C2F16917-2C87-4594-838C-79498D90E6C8}"/>
    <cellStyle name="Migliaia 39 3 5 2" xfId="5351" xr:uid="{FCDBD2A5-C6FD-4BD2-B08B-55A1A6D990B8}"/>
    <cellStyle name="Migliaia 39 3 5 2 2" xfId="35350" xr:uid="{FF6619AD-AF1C-48EE-AC24-BD227B1376BE}"/>
    <cellStyle name="Migliaia 39 3 5 2 2 2" xfId="40510" xr:uid="{62C4CB77-6310-4BE9-A6F8-5CFDD2A82E7D}"/>
    <cellStyle name="Migliaia 39 3 5 2 2 3" xfId="45812" xr:uid="{31A670C3-E823-4914-84A9-FE3AD693575F}"/>
    <cellStyle name="Migliaia 39 3 5 2 3" xfId="37859" xr:uid="{F4CA6FD6-8DA2-46F2-8932-2297352BD81E}"/>
    <cellStyle name="Migliaia 39 3 5 2 4" xfId="43161" xr:uid="{25725698-8131-482D-80AF-6CB5AD0DEEFC}"/>
    <cellStyle name="Migliaia 39 3 5 2 5" xfId="14277" xr:uid="{B417E577-37A5-444C-B3C7-2E34321C6116}"/>
    <cellStyle name="Migliaia 39 3 5 3" xfId="6543" xr:uid="{29A6465F-809D-472B-8E8B-DF24D09348DE}"/>
    <cellStyle name="Migliaia 39 3 5 3 2" xfId="39542" xr:uid="{1AA47CE1-35E2-4E52-A5DE-97017FD983BD}"/>
    <cellStyle name="Migliaia 39 3 5 3 3" xfId="44844" xr:uid="{67F4A0F9-9B42-40BD-BCBB-CB5EBB5E9948}"/>
    <cellStyle name="Migliaia 39 3 5 3 4" xfId="33999" xr:uid="{1C069B6C-3460-429A-B24F-59AC68C968F1}"/>
    <cellStyle name="Migliaia 39 3 5 3 5" xfId="20557" xr:uid="{C8E1A30D-AF35-40EE-A803-87933F3A1622}"/>
    <cellStyle name="Migliaia 39 3 5 4" xfId="36948" xr:uid="{9ECB072E-E66F-484B-B27C-CB239A4D53E3}"/>
    <cellStyle name="Migliaia 39 3 5 5" xfId="42193" xr:uid="{7CFD0D6D-07B2-419D-B286-1BFFEC98F02C}"/>
    <cellStyle name="Migliaia 39 3 5 6" xfId="16516" xr:uid="{426B963C-F1A2-4062-8CDE-3F1E685B47BC}"/>
    <cellStyle name="Migliaia 39 3 5 7" xfId="8339" xr:uid="{EB09E490-9FD7-45B9-BBE6-FB2263D56A2E}"/>
    <cellStyle name="Migliaia 39 3 6" xfId="5346" xr:uid="{7A8E6761-B157-4C88-905A-534893E95D41}"/>
    <cellStyle name="Migliaia 39 3 6 2" xfId="13982" xr:uid="{8B645D16-D1D0-4F65-8196-8BA7E9EC6B50}"/>
    <cellStyle name="Migliaia 39 3 6 2 2" xfId="39543" xr:uid="{655C8A16-624D-4A54-94E7-92B1B982E995}"/>
    <cellStyle name="Migliaia 39 3 6 2 3" xfId="44845" xr:uid="{5128CEC1-E109-485E-BCA1-BCA52F9F07EC}"/>
    <cellStyle name="Migliaia 39 3 6 3" xfId="18610" xr:uid="{033B2C41-B3B1-4F12-A9B2-7EB65275021D}"/>
    <cellStyle name="Migliaia 39 3 6 4" xfId="20558" xr:uid="{74F67427-06E8-4691-851B-E4BB8631AD16}"/>
    <cellStyle name="Migliaia 39 3 6 4 2" xfId="42194" xr:uid="{27AAB1DA-2B14-43D0-8FA1-99E59C590C8D}"/>
    <cellStyle name="Migliaia 39 3 6 5" xfId="16517" xr:uid="{7F47B537-9305-4A5E-AAA2-5C21120EC7AF}"/>
    <cellStyle name="Migliaia 39 3 6 6" xfId="7952" xr:uid="{AF0E73A6-FBA5-4001-A3C6-DCBB4EC09CA0}"/>
    <cellStyle name="Migliaia 39 3 7" xfId="6538" xr:uid="{3CA499F2-6FB4-4E52-8750-2A961480390B}"/>
    <cellStyle name="Migliaia 39 3 7 2" xfId="34001" xr:uid="{A935F85C-83DC-4529-8FBA-4739C381D911}"/>
    <cellStyle name="Migliaia 39 3 7 2 2" xfId="39544" xr:uid="{0A6C7FB3-346F-4920-8826-A22FDAEE08CC}"/>
    <cellStyle name="Migliaia 39 3 7 2 3" xfId="44846" xr:uid="{82E5ECC6-C189-4468-B25E-F8EA4899AF5B}"/>
    <cellStyle name="Migliaia 39 3 7 3" xfId="36950" xr:uid="{14BB8D18-A402-4921-BA58-0E96A29C5C7B}"/>
    <cellStyle name="Migliaia 39 3 7 4" xfId="42195" xr:uid="{7DEB72A5-679F-43BF-8FD9-71DF98FE90FD}"/>
    <cellStyle name="Migliaia 39 3 7 5" xfId="12246" xr:uid="{556B4AA2-6CC1-4205-A94F-05DB9E9011F8}"/>
    <cellStyle name="Migliaia 39 3 8" xfId="3620" xr:uid="{5E0C95DF-66EC-4253-B2DD-4DBEBE1FED07}"/>
    <cellStyle name="Migliaia 39 3 8 2" xfId="34002" xr:uid="{955CC0B3-534D-4C0C-9B27-9435C3B8D602}"/>
    <cellStyle name="Migliaia 39 3 8 2 2" xfId="39545" xr:uid="{15BDA1B4-DA03-44AE-8359-B20D8727B7C9}"/>
    <cellStyle name="Migliaia 39 3 8 2 3" xfId="44847" xr:uid="{B5BEF261-432F-4FD8-846C-D7691DCA597B}"/>
    <cellStyle name="Migliaia 39 3 8 3" xfId="36951" xr:uid="{6FD2AC2E-6969-4C82-877F-685B09962B36}"/>
    <cellStyle name="Migliaia 39 3 8 4" xfId="42196" xr:uid="{A639A8A0-E288-4095-A5CC-BBC0FBD63856}"/>
    <cellStyle name="Migliaia 39 3 8 5" xfId="24903" xr:uid="{F657C979-23D6-4CE7-8ABD-951D8CB07E66}"/>
    <cellStyle name="Migliaia 39 3 8 6" xfId="17331" xr:uid="{A87A9A80-F087-4443-85B2-3E2C2ED80E3A}"/>
    <cellStyle name="Migliaia 39 3 9" xfId="20549" xr:uid="{195796D9-7E99-4F0A-B8C3-885E1B21C0D3}"/>
    <cellStyle name="Migliaia 39 4" xfId="1818" xr:uid="{00000000-0005-0000-0000-0000E5030000}"/>
    <cellStyle name="Migliaia 39 4 2" xfId="1819" xr:uid="{00000000-0005-0000-0000-0000E6030000}"/>
    <cellStyle name="Migliaia 39 4 2 2" xfId="5353" xr:uid="{24BBCF88-5249-4052-8B5F-5F74FEE5AA87}"/>
    <cellStyle name="Migliaia 39 4 2 2 2" xfId="34003" xr:uid="{D6329F97-8DBB-4780-BE91-3FA42CAF620C}"/>
    <cellStyle name="Migliaia 39 4 2 2 2 2" xfId="39546" xr:uid="{4E75ACCA-06DA-4D29-98ED-55C1233BAFAA}"/>
    <cellStyle name="Migliaia 39 4 2 2 2 3" xfId="44848" xr:uid="{CF5955BE-AB57-4388-957E-20236AB2535E}"/>
    <cellStyle name="Migliaia 39 4 2 2 3" xfId="36952" xr:uid="{5186D4AC-FD54-47FD-90D7-A6314981F3C9}"/>
    <cellStyle name="Migliaia 39 4 2 2 4" xfId="42197" xr:uid="{4A9C2799-BEB4-413D-8480-6A77BDD8339C}"/>
    <cellStyle name="Migliaia 39 4 2 2 5" xfId="9172" xr:uid="{C8E51782-26C4-4F87-9478-85CE1334D10A}"/>
    <cellStyle name="Migliaia 39 4 2 3" xfId="3627" xr:uid="{DB4BC0AE-548D-4373-8DA4-7F08D8D38D39}"/>
    <cellStyle name="Migliaia 39 4 2 3 2" xfId="34004" xr:uid="{99D41647-2D41-4328-B226-FBCB592DE2E0}"/>
    <cellStyle name="Migliaia 39 4 2 3 2 2" xfId="39547" xr:uid="{667EF3FF-0EC1-4ED6-B024-9F9DFC5A40CA}"/>
    <cellStyle name="Migliaia 39 4 2 3 2 3" xfId="44849" xr:uid="{115868CC-3F23-4E37-B84E-800FF2434BB4}"/>
    <cellStyle name="Migliaia 39 4 2 3 3" xfId="36953" xr:uid="{F7C3DDD1-F56A-4ABE-B9B2-32CFD5F21824}"/>
    <cellStyle name="Migliaia 39 4 2 3 4" xfId="42198" xr:uid="{F5BDFE03-A0E9-43B5-9E74-5E22E1636B96}"/>
    <cellStyle name="Migliaia 39 4 2 3 5" xfId="12017" xr:uid="{C8C85988-D14C-46F8-BAE7-DAA5D2B1CBD0}"/>
    <cellStyle name="Migliaia 39 4 2 4" xfId="11366" xr:uid="{200F21AC-154A-48D0-9AE7-710038605A32}"/>
    <cellStyle name="Migliaia 39 4 2 5" xfId="10896" xr:uid="{F9AE7C16-E1EA-4423-9678-55C6B94029BE}"/>
    <cellStyle name="Migliaia 39 4 2 5 2" xfId="21531" xr:uid="{BE8122A7-D502-4C1B-BFF9-B878A7F0BEA7}"/>
    <cellStyle name="Migliaia 39 4 2 5 3" xfId="48178" xr:uid="{D6F3F009-FE5B-4D25-8C07-C3E1CD673CE9}"/>
    <cellStyle name="Migliaia 39 4 2 5 4" xfId="50546" xr:uid="{C0B15AB4-EBCD-4D9B-BA6C-2D65A05FDF3B}"/>
    <cellStyle name="Migliaia 39 4 2 5 5" xfId="53562" xr:uid="{162B3784-B395-496E-82BE-EFE151EE805F}"/>
    <cellStyle name="Migliaia 39 4 2 6" xfId="20560" xr:uid="{5C20F9A0-6490-41CD-8D57-70FC6E5812B2}"/>
    <cellStyle name="Migliaia 39 4 2 7" xfId="24905" xr:uid="{1C35EB78-C7D2-452A-A102-72DB683BB662}"/>
    <cellStyle name="Migliaia 39 4 2 8" xfId="8676" xr:uid="{819ABC09-B3DE-4F59-B316-ACB7D57EACCC}"/>
    <cellStyle name="Migliaia 39 4 3" xfId="5352" xr:uid="{0BB4C36B-4DD7-41DA-89D7-54542B2A165B}"/>
    <cellStyle name="Migliaia 39 4 3 2" xfId="18227" xr:uid="{59808F72-862B-4336-B4E4-981AF77BE901}"/>
    <cellStyle name="Migliaia 39 4 3 2 2" xfId="39548" xr:uid="{D6FEB8C3-C48F-4374-AC96-5C2DF966F8AD}"/>
    <cellStyle name="Migliaia 39 4 3 2 3" xfId="44850" xr:uid="{20FBA41F-1A12-4940-AD05-731979C5D590}"/>
    <cellStyle name="Migliaia 39 4 3 3" xfId="36954" xr:uid="{40FB2AF8-A59D-470B-9556-7BA583769631}"/>
    <cellStyle name="Migliaia 39 4 3 4" xfId="42199" xr:uid="{13589C14-7177-428B-ADA9-8959D2DAA2DE}"/>
    <cellStyle name="Migliaia 39 4 3 5" xfId="17329" xr:uid="{88F13841-A6DC-41BE-AE35-DF28A1BAEB68}"/>
    <cellStyle name="Migliaia 39 4 3 6" xfId="9173" xr:uid="{3F69CA83-5210-4CFC-8C37-3A806175CC48}"/>
    <cellStyle name="Migliaia 39 4 4" xfId="6544" xr:uid="{AC65918E-E011-483C-BB9F-1AB4CB98BBB4}"/>
    <cellStyle name="Migliaia 39 4 4 2" xfId="34006" xr:uid="{8747304E-FE4A-4591-A7B7-203E1FC35B64}"/>
    <cellStyle name="Migliaia 39 4 4 2 2" xfId="39549" xr:uid="{653708DE-4800-43C4-BDF7-7CE1C11AA67A}"/>
    <cellStyle name="Migliaia 39 4 4 2 3" xfId="44851" xr:uid="{D924349E-7179-466E-96AB-74BFE66FD576}"/>
    <cellStyle name="Migliaia 39 4 4 3" xfId="36955" xr:uid="{E0953F39-86AE-4A5D-BE97-5CA34B56080D}"/>
    <cellStyle name="Migliaia 39 4 4 4" xfId="42200" xr:uid="{5DF0A8B0-F116-4A1D-B6D0-FDCA95E9B44E}"/>
    <cellStyle name="Migliaia 39 4 4 5" xfId="12018" xr:uid="{918772B4-3922-4509-946D-7FD492DD6C57}"/>
    <cellStyle name="Migliaia 39 4 5" xfId="3626" xr:uid="{BACDCCF8-CF0A-4446-8E18-1A5EB17B1C26}"/>
    <cellStyle name="Migliaia 39 4 5 2" xfId="34007" xr:uid="{12B3FAD5-CAE9-4A3B-B80A-CE5D9036A143}"/>
    <cellStyle name="Migliaia 39 4 5 2 2" xfId="39550" xr:uid="{49573AC1-5925-4F7B-99EA-6BC76E37FDB9}"/>
    <cellStyle name="Migliaia 39 4 5 2 3" xfId="44852" xr:uid="{9DD6FE02-E0C1-4DFE-B4DC-E2D6D5E409F1}"/>
    <cellStyle name="Migliaia 39 4 5 3" xfId="36956" xr:uid="{040B7087-C0D7-4BB1-B7B6-7A36F8BDA6DC}"/>
    <cellStyle name="Migliaia 39 4 5 4" xfId="42201" xr:uid="{97DD57BC-A6E8-4D76-8B20-2ADA75981A96}"/>
    <cellStyle name="Migliaia 39 4 5 5" xfId="11365" xr:uid="{F5E36788-3401-4635-82F8-581A242B65D7}"/>
    <cellStyle name="Migliaia 39 4 6" xfId="10895" xr:uid="{20FF2FBE-394B-4BB5-A168-3127F54E41D2}"/>
    <cellStyle name="Migliaia 39 4 6 2" xfId="21530" xr:uid="{513FB039-9C48-4759-B501-A86192C2B87D}"/>
    <cellStyle name="Migliaia 39 4 6 2 2" xfId="39551" xr:uid="{94AAB7F2-7B55-42C4-803A-38497FAB0F87}"/>
    <cellStyle name="Migliaia 39 4 6 2 3" xfId="44853" xr:uid="{BCC04B93-23A3-4607-9A2E-5523DD68749C}"/>
    <cellStyle name="Migliaia 39 4 6 2 4" xfId="34008" xr:uid="{24E384AC-526B-4E76-B4B9-6D8BBD14FEA2}"/>
    <cellStyle name="Migliaia 39 4 6 3" xfId="36957" xr:uid="{B3BBE7C6-F279-4651-93F1-56324B383182}"/>
    <cellStyle name="Migliaia 39 4 6 4" xfId="42202" xr:uid="{2755E988-8563-4D96-BEE9-D5C42B983479}"/>
    <cellStyle name="Migliaia 39 4 6 5" xfId="24911" xr:uid="{8DFB8221-CB70-40DF-9DA5-A5B3E4B76385}"/>
    <cellStyle name="Migliaia 39 4 6 6" xfId="46254" xr:uid="{80FD73B1-4AB9-43D3-A77D-37CC7B4A5A4F}"/>
    <cellStyle name="Migliaia 39 4 6 7" xfId="50545" xr:uid="{DB108F73-0390-41BB-8DFF-C4FE65B6709B}"/>
    <cellStyle name="Migliaia 39 4 6 8" xfId="53561" xr:uid="{F402E0C3-8C96-4181-B40F-F14A5E268494}"/>
    <cellStyle name="Migliaia 39 4 7" xfId="20559" xr:uid="{C0CB2690-351F-48E0-BBAF-8910B1394D6B}"/>
    <cellStyle name="Migliaia 39 4 7 2" xfId="34009" xr:uid="{CA6EC07F-0D32-4564-8887-0184F828DAF3}"/>
    <cellStyle name="Migliaia 39 4 7 2 2" xfId="39552" xr:uid="{851893B4-54FA-4EC1-B3FD-A17C969F3388}"/>
    <cellStyle name="Migliaia 39 4 7 2 3" xfId="44854" xr:uid="{F772A7A2-D1E1-4F41-8E34-3A794C4756EE}"/>
    <cellStyle name="Migliaia 39 4 7 3" xfId="36958" xr:uid="{6F7877A2-CC1A-4001-BA38-830E1518F47C}"/>
    <cellStyle name="Migliaia 39 4 7 4" xfId="42203" xr:uid="{BE784AA9-197F-4227-9796-B8A1F0EEC630}"/>
    <cellStyle name="Migliaia 39 4 7 5" xfId="24912" xr:uid="{87B964DC-DB51-4FCE-878E-B1DFBAC70B1B}"/>
    <cellStyle name="Migliaia 39 4 8" xfId="24904" xr:uid="{2CA02159-5933-4D0C-A79A-3AAED85B46EC}"/>
    <cellStyle name="Migliaia 39 4 9" xfId="7486" xr:uid="{6DE8DA73-D092-4676-9C89-FF7C2203DD49}"/>
    <cellStyle name="Migliaia 39 5" xfId="1820" xr:uid="{00000000-0005-0000-0000-0000E7030000}"/>
    <cellStyle name="Migliaia 39 5 2" xfId="5354" xr:uid="{7059AAB9-9D25-4306-96C5-212CAF7DC14C}"/>
    <cellStyle name="Migliaia 39 5 2 2" xfId="18460" xr:uid="{149A80DE-F1FC-49A2-BB87-C6581038EAA4}"/>
    <cellStyle name="Migliaia 39 5 2 2 2" xfId="39553" xr:uid="{13E927E4-E249-4E63-AB94-4EBADB988BAF}"/>
    <cellStyle name="Migliaia 39 5 2 2 3" xfId="44855" xr:uid="{551A1367-C137-418E-A54B-9A7ED3990345}"/>
    <cellStyle name="Migliaia 39 5 2 3" xfId="20562" xr:uid="{C5DE9C5A-85AC-4D1D-A3C2-5C9EF16757A2}"/>
    <cellStyle name="Migliaia 39 5 2 3 2" xfId="36959" xr:uid="{C8C773D8-93B2-4CA4-9168-45ECAD1EBAB1}"/>
    <cellStyle name="Migliaia 39 5 2 4" xfId="42204" xr:uid="{4D5EB3D9-7973-4534-8D28-0E8C5F61A894}"/>
    <cellStyle name="Migliaia 39 5 2 5" xfId="16518" xr:uid="{5A2A6B34-5B48-4EA1-98EB-7B44B7924FFB}"/>
    <cellStyle name="Migliaia 39 5 2 6" xfId="8677" xr:uid="{2C0ACD1D-00B0-4C2C-9DA3-61EEDF21C352}"/>
    <cellStyle name="Migliaia 39 5 3" xfId="6545" xr:uid="{EEA491A8-2E86-49F3-8450-C8E8BD0AF943}"/>
    <cellStyle name="Migliaia 39 5 3 2" xfId="34011" xr:uid="{C1708F7F-E714-48C0-B2F1-FF1A7FFC00EE}"/>
    <cellStyle name="Migliaia 39 5 3 2 2" xfId="39554" xr:uid="{ED4F4B91-80C7-4950-A29C-57D195EEF46C}"/>
    <cellStyle name="Migliaia 39 5 3 2 3" xfId="44856" xr:uid="{B77C2280-F033-4C3E-A9BD-A6AF2BDC5DB0}"/>
    <cellStyle name="Migliaia 39 5 3 3" xfId="36960" xr:uid="{19FF57B0-F0CE-4B35-AD3A-AC167FEA40B1}"/>
    <cellStyle name="Migliaia 39 5 3 4" xfId="42205" xr:uid="{AA542EFE-B409-40C3-9CDE-D6F99A44040D}"/>
    <cellStyle name="Migliaia 39 5 3 5" xfId="11367" xr:uid="{C6A427F2-962F-492E-A341-9DF44FA74D8D}"/>
    <cellStyle name="Migliaia 39 5 4" xfId="3628" xr:uid="{C7FC68F3-DA80-4C35-B48E-E28C0AF5D606}"/>
    <cellStyle name="Migliaia 39 5 4 2" xfId="21532" xr:uid="{123CC7BD-4D04-4444-8C31-EC1494F33AB6}"/>
    <cellStyle name="Migliaia 39 5 4 2 2" xfId="39555" xr:uid="{BA85741D-82D8-4D82-9FC8-DEAFFB012BD8}"/>
    <cellStyle name="Migliaia 39 5 4 2 3" xfId="44857" xr:uid="{FA18F1D2-27A2-4B44-8430-584990E2A1CF}"/>
    <cellStyle name="Migliaia 39 5 4 2 4" xfId="34012" xr:uid="{880624D5-800F-4E8B-8962-CF17D3BC7FDE}"/>
    <cellStyle name="Migliaia 39 5 4 3" xfId="36961" xr:uid="{CF5B0F94-7374-4188-9108-311A8C1A40CD}"/>
    <cellStyle name="Migliaia 39 5 4 4" xfId="42206" xr:uid="{BF70F695-02D5-4ABC-A754-D7B76B3F75E8}"/>
    <cellStyle name="Migliaia 39 5 4 5" xfId="24915" xr:uid="{BF055DDA-F342-4116-971B-295D934122DE}"/>
    <cellStyle name="Migliaia 39 5 4 6" xfId="46255" xr:uid="{C6B1AFE2-6AD4-4919-A71D-C20681902E3C}"/>
    <cellStyle name="Migliaia 39 5 4 7" xfId="50547" xr:uid="{35F8CBE9-FD8C-4EFF-9F48-B8972741D9BD}"/>
    <cellStyle name="Migliaia 39 5 4 8" xfId="53563" xr:uid="{4CE59E45-418C-4BA4-9378-AC1C69E938EA}"/>
    <cellStyle name="Migliaia 39 5 4 9" xfId="10897" xr:uid="{146A709E-A4C9-49D0-9312-9DA328339AAD}"/>
    <cellStyle name="Migliaia 39 5 5" xfId="20561" xr:uid="{917BC2B3-926E-43C4-B439-9BCC625504A6}"/>
    <cellStyle name="Migliaia 39 5 5 2" xfId="34013" xr:uid="{717F87DB-07EF-4D63-96F1-8FBBA4F5374F}"/>
    <cellStyle name="Migliaia 39 5 5 2 2" xfId="39556" xr:uid="{B7F7BF57-236D-48E8-9A0D-5B5E9821784D}"/>
    <cellStyle name="Migliaia 39 5 5 2 3" xfId="44858" xr:uid="{2438ED2F-6E8F-4735-80A9-F162C04EDED6}"/>
    <cellStyle name="Migliaia 39 5 5 3" xfId="36962" xr:uid="{32878D1B-424A-4F51-8A8E-2794FBB2434E}"/>
    <cellStyle name="Migliaia 39 5 5 4" xfId="42207" xr:uid="{B8B49184-7480-43A2-BE05-CA3BDEAD8F36}"/>
    <cellStyle name="Migliaia 39 5 5 5" xfId="24916" xr:uid="{ABC2B91A-B897-44D5-845B-9D389D3F5DA0}"/>
    <cellStyle name="Migliaia 39 5 6" xfId="24917" xr:uid="{964709F2-BA42-4CE0-A9C2-CF56A9378BE7}"/>
    <cellStyle name="Migliaia 39 5 6 2" xfId="34014" xr:uid="{AF53AF96-897F-44FF-9BFA-7E1233947456}"/>
    <cellStyle name="Migliaia 39 5 6 2 2" xfId="39557" xr:uid="{7D8A9A95-3EC5-447E-BD19-F0E8B4BE4D39}"/>
    <cellStyle name="Migliaia 39 5 6 2 3" xfId="44859" xr:uid="{CFCEBD9D-C873-4BD9-8EF4-9C8819D93DB1}"/>
    <cellStyle name="Migliaia 39 5 6 3" xfId="36963" xr:uid="{E7979051-E936-4836-9043-C20DDFE2B485}"/>
    <cellStyle name="Migliaia 39 5 6 4" xfId="42208" xr:uid="{ABCFC529-BE46-4781-9B71-2C17549D6B9B}"/>
    <cellStyle name="Migliaia 39 5 7" xfId="24913" xr:uid="{2B48FD34-9F74-45F2-887C-68DB1D3ECE0A}"/>
    <cellStyle name="Migliaia 39 5 8" xfId="7487" xr:uid="{648FC253-3EE9-4486-947F-6F6948D52ECD}"/>
    <cellStyle name="Migliaia 39 6" xfId="3629" xr:uid="{2DF91330-6850-4732-A357-34177DCD4B1C}"/>
    <cellStyle name="Migliaia 39 6 2" xfId="5355" xr:uid="{642FEB35-DA3A-4D19-B555-22598D7C37AD}"/>
    <cellStyle name="Migliaia 39 6 2 2" xfId="9945" xr:uid="{387B8713-11CD-4A1E-9AE1-B1C787B36847}"/>
    <cellStyle name="Migliaia 39 6 2 3" xfId="18648" xr:uid="{B6CCF253-9386-40E8-A6AB-68949B6419D1}"/>
    <cellStyle name="Migliaia 39 6 2 4" xfId="20564" xr:uid="{80197F63-7EA5-4543-B208-79C2664858B0}"/>
    <cellStyle name="Migliaia 39 6 2 5" xfId="32398" xr:uid="{6EAEEDA1-2CF7-4BA6-AE55-79BD4E26A612}"/>
    <cellStyle name="Migliaia 39 6 2 6" xfId="16520" xr:uid="{BB438504-FCDA-4259-8936-B576532042DE}"/>
    <cellStyle name="Migliaia 39 6 2 7" xfId="8672" xr:uid="{856E902C-C145-4F0B-B486-DC57C9A47EF1}"/>
    <cellStyle name="Migliaia 39 6 3" xfId="6546" xr:uid="{837932BF-0207-40DD-8A1D-0E391398F323}"/>
    <cellStyle name="Migliaia 39 6 3 2" xfId="35351" xr:uid="{71C5CA33-642F-4F00-9DEB-35D01929316A}"/>
    <cellStyle name="Migliaia 39 6 3 2 2" xfId="40511" xr:uid="{AAA199CE-CAAF-4481-A28E-ECED2D079B5D}"/>
    <cellStyle name="Migliaia 39 6 3 2 3" xfId="45813" xr:uid="{659D21F1-FAFC-4742-AD92-156E0E8A50D9}"/>
    <cellStyle name="Migliaia 39 6 3 3" xfId="37860" xr:uid="{09085A1A-4C68-4692-9DA9-476571E1634E}"/>
    <cellStyle name="Migliaia 39 6 3 4" xfId="43162" xr:uid="{1CD66D07-B0AB-410D-9300-D9BFF7F272AA}"/>
    <cellStyle name="Migliaia 39 6 3 5" xfId="9708" xr:uid="{C30EE54E-4E8B-4880-B0FA-B379BA110C31}"/>
    <cellStyle name="Migliaia 39 6 4" xfId="20563" xr:uid="{A8A9E057-9319-4335-8F98-076680C72397}"/>
    <cellStyle name="Migliaia 39 6 4 2" xfId="39558" xr:uid="{2958291C-F758-4756-B236-DC407CE83AB4}"/>
    <cellStyle name="Migliaia 39 6 4 3" xfId="44860" xr:uid="{F987B816-516A-4727-A6E3-B34D8558C560}"/>
    <cellStyle name="Migliaia 39 6 4 4" xfId="34015" xr:uid="{73A91605-88FC-495A-98C4-492C18F58369}"/>
    <cellStyle name="Migliaia 39 6 5" xfId="36964" xr:uid="{F6102AB9-9FE7-4040-8E4F-AB1A04AD8378}"/>
    <cellStyle name="Migliaia 39 6 6" xfId="42209" xr:uid="{068AC0C8-DBCD-4046-8336-9AF53D99C99F}"/>
    <cellStyle name="Migliaia 39 6 7" xfId="16519" xr:uid="{04C26E5F-2985-43EB-A245-ED0D9ECD4727}"/>
    <cellStyle name="Migliaia 39 6 8" xfId="7482" xr:uid="{A17F5E17-D773-4275-9646-8322CE3B37D5}"/>
    <cellStyle name="Migliaia 39 7" xfId="3630" xr:uid="{82A18DBE-59BD-46DC-98DB-99D492101250}"/>
    <cellStyle name="Migliaia 39 7 2" xfId="5356" xr:uid="{DA87A8CF-90FB-4A7D-AD23-105EA91FA17A}"/>
    <cellStyle name="Migliaia 39 7 2 2" xfId="35352" xr:uid="{BEC030A8-4D18-4231-91A0-C32C37F99C49}"/>
    <cellStyle name="Migliaia 39 7 2 2 2" xfId="40512" xr:uid="{0E0AD2E7-F2BB-4E16-9AF0-B198D1DCC8AF}"/>
    <cellStyle name="Migliaia 39 7 2 2 3" xfId="45814" xr:uid="{AE95AA1C-DF59-4D32-A411-7258A53DE069}"/>
    <cellStyle name="Migliaia 39 7 2 3" xfId="37861" xr:uid="{3C8948DB-2C51-4DB8-A3B0-6808667174D5}"/>
    <cellStyle name="Migliaia 39 7 2 4" xfId="43163" xr:uid="{839B97BA-AA1B-43EC-8328-666DF0EB2393}"/>
    <cellStyle name="Migliaia 39 7 2 5" xfId="14275" xr:uid="{12A75E09-3D47-42FD-9942-0167A6C150E3}"/>
    <cellStyle name="Migliaia 39 7 3" xfId="6547" xr:uid="{0F867A8B-A7FE-487B-B26E-FCC82FE16BD7}"/>
    <cellStyle name="Migliaia 39 7 3 2" xfId="39559" xr:uid="{A75D98E2-9B2F-4325-8C44-913C569A15B2}"/>
    <cellStyle name="Migliaia 39 7 3 3" xfId="44861" xr:uid="{12151E66-5E80-40E6-B170-D8157BE44729}"/>
    <cellStyle name="Migliaia 39 7 3 4" xfId="34016" xr:uid="{049A42E8-7D0D-4D71-BF1B-42E9D778793A}"/>
    <cellStyle name="Migliaia 39 7 3 5" xfId="20565" xr:uid="{90117E44-DF07-495D-9F51-83D4C09A0534}"/>
    <cellStyle name="Migliaia 39 7 4" xfId="36965" xr:uid="{8E9CEB3E-B9AD-4CDA-9A5B-57B8E595DEA1}"/>
    <cellStyle name="Migliaia 39 7 5" xfId="42210" xr:uid="{BA7C80D4-4340-49AC-8CE2-5AB878D2689B}"/>
    <cellStyle name="Migliaia 39 7 6" xfId="16521" xr:uid="{A80DA12A-5D30-4F9A-AE76-ACC407C0601C}"/>
    <cellStyle name="Migliaia 39 7 7" xfId="8337" xr:uid="{11BFD40C-4975-402D-9117-BD044F07A0CB}"/>
    <cellStyle name="Migliaia 39 8" xfId="3631" xr:uid="{A2F0EDE6-0149-4EE1-A70E-AA7E987C56F9}"/>
    <cellStyle name="Migliaia 39 8 2" xfId="5357" xr:uid="{0AD2B88F-1264-482C-9648-81191E107CA2}"/>
    <cellStyle name="Migliaia 39 8 2 2" xfId="35353" xr:uid="{F4D8556C-B2C5-42B2-9F68-F0A898E44483}"/>
    <cellStyle name="Migliaia 39 8 2 2 2" xfId="40513" xr:uid="{8FDBEBD1-8EBE-4044-A29B-791446292DF5}"/>
    <cellStyle name="Migliaia 39 8 2 2 3" xfId="45815" xr:uid="{85AA7121-13EC-41AD-8D92-6442E70D0803}"/>
    <cellStyle name="Migliaia 39 8 2 3" xfId="37862" xr:uid="{85DE8175-4AA1-4D8B-B5CA-7B7840BDCF8A}"/>
    <cellStyle name="Migliaia 39 8 2 4" xfId="43164" xr:uid="{15599CD8-49FD-408F-9616-62698F499143}"/>
    <cellStyle name="Migliaia 39 8 2 5" xfId="13980" xr:uid="{3E1F3A79-01FC-477D-841C-0FB4A11D9CF9}"/>
    <cellStyle name="Migliaia 39 8 3" xfId="6548" xr:uid="{22BCE63F-6CC8-4055-ADFF-3ADDAEB822E7}"/>
    <cellStyle name="Migliaia 39 8 3 2" xfId="39560" xr:uid="{B8C6DF32-F706-4E88-85DC-3E8CC4546B14}"/>
    <cellStyle name="Migliaia 39 8 3 3" xfId="44862" xr:uid="{7C1B54BF-80F9-4C3B-B289-79643A49D065}"/>
    <cellStyle name="Migliaia 39 8 3 4" xfId="34017" xr:uid="{571BA963-EED5-49B3-9EB2-5EA562647D84}"/>
    <cellStyle name="Migliaia 39 8 3 5" xfId="20566" xr:uid="{23619E70-F5F4-4BCC-85C8-39D41472FB67}"/>
    <cellStyle name="Migliaia 39 8 4" xfId="36966" xr:uid="{010E339A-87F5-4723-91BC-A2B7E537AE29}"/>
    <cellStyle name="Migliaia 39 8 5" xfId="42211" xr:uid="{B2C67D41-45FA-43AB-898D-92406C0FA79A}"/>
    <cellStyle name="Migliaia 39 8 6" xfId="16522" xr:uid="{408E5172-9DF1-42EC-B5BE-A1AC65FAEA6A}"/>
    <cellStyle name="Migliaia 39 8 7" xfId="7950" xr:uid="{1AF03328-BA63-44AB-9DC3-568A9AE20D42}"/>
    <cellStyle name="Migliaia 39 9" xfId="5342" xr:uid="{E6D4DAFF-BA00-4F48-B80D-EF6E928434BE}"/>
    <cellStyle name="Migliaia 39 9 2" xfId="34018" xr:uid="{51763DFF-9273-4B66-859E-489D60479BCB}"/>
    <cellStyle name="Migliaia 39 9 2 2" xfId="39561" xr:uid="{DCE75DC5-DCC8-438F-A8FB-177B5EA6C517}"/>
    <cellStyle name="Migliaia 39 9 2 3" xfId="44863" xr:uid="{23D143BE-FD4B-4260-8210-FD3D81284AE5}"/>
    <cellStyle name="Migliaia 39 9 3" xfId="36967" xr:uid="{74223B91-4DEC-4570-9550-E1ED963835A7}"/>
    <cellStyle name="Migliaia 39 9 4" xfId="42212" xr:uid="{CFA851EC-438A-46A7-8700-EDBED71E256E}"/>
    <cellStyle name="Migliaia 39 9 5" xfId="17199" xr:uid="{9D046696-4DD5-4928-8657-91A3FD862588}"/>
    <cellStyle name="Migliaia 4" xfId="433" xr:uid="{00000000-0005-0000-0000-0000E8030000}"/>
    <cellStyle name="Migliaia 4 10" xfId="6549" xr:uid="{DB540070-4EF7-48DE-A8AD-946941EEDE68}"/>
    <cellStyle name="Migliaia 4 10 2" xfId="39562" xr:uid="{D2708D79-F514-417F-A280-EB0ACD156966}"/>
    <cellStyle name="Migliaia 4 10 3" xfId="44864" xr:uid="{604FB403-4614-49C5-8DD8-57AA8A640A91}"/>
    <cellStyle name="Migliaia 4 10 4" xfId="34019" xr:uid="{A71707B0-D5F1-4772-BBFE-E117929C7C9B}"/>
    <cellStyle name="Migliaia 4 10 5" xfId="20567" xr:uid="{1BF2F3DD-C91C-4DA9-BF4F-4DD1C94B873E}"/>
    <cellStyle name="Migliaia 4 11" xfId="3632" xr:uid="{C36E57AC-11D2-46E4-AB60-52C866218C4B}"/>
    <cellStyle name="Migliaia 4 11 2" xfId="36968" xr:uid="{94D8ECD5-FC5C-4B88-A01B-3DE832EE9A43}"/>
    <cellStyle name="Migliaia 4 12" xfId="42213" xr:uid="{0092C8C3-0AFA-4899-B5A9-295D776B9B8A}"/>
    <cellStyle name="Migliaia 4 13" xfId="7141" xr:uid="{5A6952B7-A356-465F-B157-77B984BFF7EE}"/>
    <cellStyle name="Migliaia 4 2" xfId="434" xr:uid="{00000000-0005-0000-0000-0000E9030000}"/>
    <cellStyle name="Migliaia 4 2 2" xfId="1821" xr:uid="{00000000-0005-0000-0000-0000EA030000}"/>
    <cellStyle name="Migliaia 4 2 2 2" xfId="5360" xr:uid="{76765C3C-1981-4C1C-97B3-17F46F0C3222}"/>
    <cellStyle name="Migliaia 4 2 2 2 2" xfId="14396" xr:uid="{8929BF24-07F1-49DC-BBDA-F0E90C3337F7}"/>
    <cellStyle name="Migliaia 4 2 2 2 2 2" xfId="39563" xr:uid="{A55996E7-9E56-4FA0-989F-85EAF06C7DE9}"/>
    <cellStyle name="Migliaia 4 2 2 2 2 3" xfId="44865" xr:uid="{5BDC5C03-EA0A-4857-8CDB-D698A75A9A07}"/>
    <cellStyle name="Migliaia 4 2 2 2 3" xfId="18461" xr:uid="{CE08D9BC-EC67-4DAE-9F39-D48652D19E9F}"/>
    <cellStyle name="Migliaia 4 2 2 2 4" xfId="20570" xr:uid="{1B0FC064-3F0E-491A-9923-C38ADE8AA107}"/>
    <cellStyle name="Migliaia 4 2 2 2 4 2" xfId="42214" xr:uid="{962E0D17-97A4-4F1F-8E43-4D4BEA00E23F}"/>
    <cellStyle name="Migliaia 4 2 2 2 5" xfId="16523" xr:uid="{ECDEDC01-2C26-44C0-97E8-85C89D393ECF}"/>
    <cellStyle name="Migliaia 4 2 2 2 6" xfId="8679" xr:uid="{6A7585A2-30D1-4883-8A69-AE043D809EA4}"/>
    <cellStyle name="Migliaia 4 2 2 3" xfId="6551" xr:uid="{E4E3D661-6755-49EF-9FCD-D076E10CBF93}"/>
    <cellStyle name="Migliaia 4 2 2 3 2" xfId="35354" xr:uid="{FD4ABA22-B9D1-4784-847F-31351E264B21}"/>
    <cellStyle name="Migliaia 4 2 2 3 2 2" xfId="40514" xr:uid="{54A2E82A-5FF1-4550-8B6D-E2B536535072}"/>
    <cellStyle name="Migliaia 4 2 2 3 2 3" xfId="45816" xr:uid="{BAD5BE37-7E91-48FA-907B-4ECE2E2799DF}"/>
    <cellStyle name="Migliaia 4 2 2 3 3" xfId="37863" xr:uid="{AA691E95-7489-4702-9513-55C882B0D203}"/>
    <cellStyle name="Migliaia 4 2 2 3 4" xfId="43165" xr:uid="{38D5B556-FF62-44EA-8122-9DD6E6A6B9CA}"/>
    <cellStyle name="Migliaia 4 2 2 3 5" xfId="11623" xr:uid="{7F0B7A18-5C90-42F4-AF89-D6CBFA3DC851}"/>
    <cellStyle name="Migliaia 4 2 2 4" xfId="3634" xr:uid="{43A942F3-EA15-4179-9350-7A3D01F04B89}"/>
    <cellStyle name="Migliaia 4 2 2 4 2" xfId="21533" xr:uid="{6B7963BB-0A2F-42E0-A689-5928554A48D1}"/>
    <cellStyle name="Migliaia 4 2 2 4 3" xfId="32297" xr:uid="{FBCC89FC-A132-4C8C-ACAD-AC40716FD256}"/>
    <cellStyle name="Migliaia 4 2 2 4 4" xfId="50548" xr:uid="{9885ED8D-7E68-43BD-B0DD-742ED2390B84}"/>
    <cellStyle name="Migliaia 4 2 2 4 5" xfId="53564" xr:uid="{4A5DDAD4-8678-404B-9D62-094BED4A51D8}"/>
    <cellStyle name="Migliaia 4 2 2 4 6" xfId="10898" xr:uid="{952256CD-A1E1-4868-8660-B9669EB52F57}"/>
    <cellStyle name="Migliaia 4 2 2 5" xfId="20569" xr:uid="{DF098DC7-23FA-4A9A-AB3B-6CEADBBC26E9}"/>
    <cellStyle name="Migliaia 4 2 2 6" xfId="24924" xr:uid="{FCC49594-4FB4-4C9B-A628-27802751C64C}"/>
    <cellStyle name="Migliaia 4 2 2 7" xfId="7489" xr:uid="{86EFA997-82F2-42BB-AB11-FF15F204BD14}"/>
    <cellStyle name="Migliaia 4 2 3" xfId="3635" xr:uid="{F7E57930-5846-43E6-B8DE-8AD9898220B1}"/>
    <cellStyle name="Migliaia 4 2 3 2" xfId="5361" xr:uid="{36A04C13-DB88-48A6-B93F-8DEEA38D88CD}"/>
    <cellStyle name="Migliaia 4 2 3 2 2" xfId="35355" xr:uid="{2A52EA7E-B279-4E8F-8D7D-9FB2C0098A63}"/>
    <cellStyle name="Migliaia 4 2 3 2 2 2" xfId="40515" xr:uid="{9630A37C-F318-4A60-A553-9CD4F0972BFB}"/>
    <cellStyle name="Migliaia 4 2 3 2 2 3" xfId="45817" xr:uid="{84B28D83-42A9-4964-B591-C33DFBD5E821}"/>
    <cellStyle name="Migliaia 4 2 3 2 3" xfId="37864" xr:uid="{695636CD-B706-46E6-9F90-96FD1BD522A1}"/>
    <cellStyle name="Migliaia 4 2 3 2 4" xfId="43166" xr:uid="{BE3816C2-DC07-4E4B-BA07-2577E4851207}"/>
    <cellStyle name="Migliaia 4 2 3 2 5" xfId="14279" xr:uid="{E093660E-E65D-41A9-BFC0-1D351F6CE225}"/>
    <cellStyle name="Migliaia 4 2 3 3" xfId="6552" xr:uid="{9E4ED60E-1A9C-4BDF-8CAA-A9C9203A586D}"/>
    <cellStyle name="Migliaia 4 2 3 3 2" xfId="39564" xr:uid="{1CE1A29F-CC36-4473-809B-F7A92A6EFF28}"/>
    <cellStyle name="Migliaia 4 2 3 3 3" xfId="44866" xr:uid="{74B01060-35C9-4106-AE9F-0B41F9053EE0}"/>
    <cellStyle name="Migliaia 4 2 3 3 4" xfId="34021" xr:uid="{692A0E3C-8CE4-4053-958C-713C90334556}"/>
    <cellStyle name="Migliaia 4 2 3 3 5" xfId="20571" xr:uid="{0268FB34-E835-4CBB-93D6-40CE9090D5D0}"/>
    <cellStyle name="Migliaia 4 2 3 4" xfId="36970" xr:uid="{2C34B115-CBF8-440A-A497-51EF7D0A6C7B}"/>
    <cellStyle name="Migliaia 4 2 3 5" xfId="42215" xr:uid="{851857B2-9B4A-47BA-9705-EFC1C3561AE8}"/>
    <cellStyle name="Migliaia 4 2 3 6" xfId="16524" xr:uid="{E29F9012-4BB2-4EF3-845B-1CD39C5217FC}"/>
    <cellStyle name="Migliaia 4 2 3 7" xfId="8341" xr:uid="{2E7EBC5F-A23B-45E5-B2EE-99A8C0531A1B}"/>
    <cellStyle name="Migliaia 4 2 4" xfId="5359" xr:uid="{E38673E1-7937-48EF-8B19-67D42262D4FE}"/>
    <cellStyle name="Migliaia 4 2 4 2" xfId="13984" xr:uid="{89D98156-A9FC-4BDF-9407-06E988215D76}"/>
    <cellStyle name="Migliaia 4 2 4 2 2" xfId="39565" xr:uid="{22DA724F-2766-444F-8D9C-2AA9A16E3F95}"/>
    <cellStyle name="Migliaia 4 2 4 2 3" xfId="44867" xr:uid="{AC55D3C4-3F57-46ED-900B-5332618C9010}"/>
    <cellStyle name="Migliaia 4 2 4 3" xfId="18703" xr:uid="{5465AF22-5B6B-4CBC-ACB4-42AC61FFCAC0}"/>
    <cellStyle name="Migliaia 4 2 4 4" xfId="20572" xr:uid="{4A7310D2-ABE4-4EB2-BE45-77DC5EDD7B96}"/>
    <cellStyle name="Migliaia 4 2 4 4 2" xfId="42216" xr:uid="{C1AF2B96-F906-453D-83F0-05C841B30BD9}"/>
    <cellStyle name="Migliaia 4 2 4 5" xfId="16525" xr:uid="{427D5630-98D2-41F0-9EE5-CCFE6BE38FDB}"/>
    <cellStyle name="Migliaia 4 2 4 6" xfId="7955" xr:uid="{6910115A-F89B-4AA3-9EEC-455391C5FCA5}"/>
    <cellStyle name="Migliaia 4 2 5" xfId="6550" xr:uid="{DE1383EE-94CE-4B8F-818C-312F4599F16F}"/>
    <cellStyle name="Migliaia 4 2 5 2" xfId="34023" xr:uid="{A3FE7C9C-994F-4449-BC98-7472A7CC73BC}"/>
    <cellStyle name="Migliaia 4 2 5 2 2" xfId="39566" xr:uid="{27D792CC-D518-4997-BDF0-2F4F8163F614}"/>
    <cellStyle name="Migliaia 4 2 5 2 3" xfId="44868" xr:uid="{E746F8F9-F459-431C-8835-4D1BFE02F782}"/>
    <cellStyle name="Migliaia 4 2 5 3" xfId="36972" xr:uid="{BC0068B3-8392-4F76-A154-ECC5E8FD82DB}"/>
    <cellStyle name="Migliaia 4 2 5 4" xfId="42217" xr:uid="{C8FE7842-6F38-400F-9866-D9A06EA1A537}"/>
    <cellStyle name="Migliaia 4 2 5 5" xfId="13136" xr:uid="{51F81A8C-A8BB-449D-BB75-C57A6F41A34A}"/>
    <cellStyle name="Migliaia 4 2 6" xfId="3633" xr:uid="{6832B15A-A782-41F5-905D-87979449EA21}"/>
    <cellStyle name="Migliaia 4 2 6 2" xfId="34024" xr:uid="{162E9E20-7721-4D81-8217-ED34760B013A}"/>
    <cellStyle name="Migliaia 4 2 6 2 2" xfId="39567" xr:uid="{62FCB0C5-BFB5-456B-9B20-FDE4EEB3BEBE}"/>
    <cellStyle name="Migliaia 4 2 6 2 3" xfId="44869" xr:uid="{4A9296D4-930E-48B6-A5C7-083532283F8B}"/>
    <cellStyle name="Migliaia 4 2 6 3" xfId="36973" xr:uid="{D58618C3-55EB-41C5-8C02-866822F3A6A1}"/>
    <cellStyle name="Migliaia 4 2 6 4" xfId="42218" xr:uid="{75A7A927-E4CC-4F2C-8B76-95CD9BAEE89C}"/>
    <cellStyle name="Migliaia 4 2 6 5" xfId="24928" xr:uid="{46AB8F3E-8DDA-4556-B063-DBDCA7AEC820}"/>
    <cellStyle name="Migliaia 4 2 6 6" xfId="20568" xr:uid="{2DC5669A-A766-4E87-A7E6-F1874D5D960E}"/>
    <cellStyle name="Migliaia 4 2 7" xfId="24923" xr:uid="{C00714E2-324E-4CB2-AC44-A2658A5FE018}"/>
    <cellStyle name="Migliaia 4 2 8" xfId="7142" xr:uid="{022E1762-20CF-4B22-B7D8-9988893E859A}"/>
    <cellStyle name="Migliaia 4 3" xfId="435" xr:uid="{00000000-0005-0000-0000-0000EB030000}"/>
    <cellStyle name="Migliaia 4 3 10" xfId="24929" xr:uid="{3843D638-F1F8-40DC-BE61-58DE5D8D1C6A}"/>
    <cellStyle name="Migliaia 4 3 11" xfId="16526" xr:uid="{63AA3807-68A7-406A-A297-D0E573524CF8}"/>
    <cellStyle name="Migliaia 4 3 12" xfId="7143" xr:uid="{7F4B1077-3739-4E57-8B85-AAD43705A6FD}"/>
    <cellStyle name="Migliaia 4 3 2" xfId="436" xr:uid="{00000000-0005-0000-0000-0000EC030000}"/>
    <cellStyle name="Migliaia 4 3 2 2" xfId="1822" xr:uid="{00000000-0005-0000-0000-0000ED030000}"/>
    <cellStyle name="Migliaia 4 3 2 2 2" xfId="5364" xr:uid="{25E452A3-3B9C-4355-8D98-DD87FCFA4FE1}"/>
    <cellStyle name="Migliaia 4 3 2 2 2 2" xfId="18462" xr:uid="{8848A93C-C58F-4DE8-942B-791F160B320D}"/>
    <cellStyle name="Migliaia 4 3 2 2 2 2 2" xfId="21874" xr:uid="{8E696A4D-3BFA-42D6-A3B2-7B0380E98BD1}"/>
    <cellStyle name="Migliaia 4 3 2 2 2 2 2 2" xfId="39568" xr:uid="{46280DD1-8832-40CE-A7E6-A6B8A74A0453}"/>
    <cellStyle name="Migliaia 4 3 2 2 2 2 3" xfId="44870" xr:uid="{4896D924-E44D-4A15-A37C-74FAAF193E2C}"/>
    <cellStyle name="Migliaia 4 3 2 2 2 2 4" xfId="34025" xr:uid="{A9DE0449-94C7-4BA8-8055-3AE88D863CF2}"/>
    <cellStyle name="Migliaia 4 3 2 2 2 3" xfId="36974" xr:uid="{2B22D150-6F08-4596-9EB0-849DF4F683B9}"/>
    <cellStyle name="Migliaia 4 3 2 2 2 4" xfId="42219" xr:uid="{30994076-DFA4-428E-AD2F-AA2696BA7DAE}"/>
    <cellStyle name="Migliaia 4 3 2 2 2 5" xfId="47077" xr:uid="{A7EEC294-4380-4F32-B501-A4E895609912}"/>
    <cellStyle name="Migliaia 4 3 2 2 2 6" xfId="50902" xr:uid="{8FA62D2D-9DEB-4A44-BDDF-8C1DF0DE8BDE}"/>
    <cellStyle name="Migliaia 4 3 2 2 2 7" xfId="53918" xr:uid="{6FBDC66D-1214-4B04-9F98-14F801335019}"/>
    <cellStyle name="Migliaia 4 3 2 2 2 8" xfId="17672" xr:uid="{C014CCC7-666B-4AFA-B7C2-2FC612FFD601}"/>
    <cellStyle name="Migliaia 4 3 2 2 2 9" xfId="12019" xr:uid="{0F1EBFA7-3D21-42A3-80D8-0E34463CB6B2}"/>
    <cellStyle name="Migliaia 4 3 2 2 3" xfId="6555" xr:uid="{29E95BFE-1ACC-4CEC-96F9-40C385B695CD}"/>
    <cellStyle name="Migliaia 4 3 2 2 3 2" xfId="11140" xr:uid="{2E0261E5-2181-4997-9E1D-653A04854D3A}"/>
    <cellStyle name="Migliaia 4 3 2 2 4" xfId="3638" xr:uid="{AB48C4E7-AA3F-46EB-892F-F1915196FE97}"/>
    <cellStyle name="Migliaia 4 3 2 2 4 2" xfId="21534" xr:uid="{B46E015F-F9B9-4689-B3D2-27458E3D8434}"/>
    <cellStyle name="Migliaia 4 3 2 2 4 3" xfId="46256" xr:uid="{05C60CF1-2EB7-4790-BBC8-0A6FB604C308}"/>
    <cellStyle name="Migliaia 4 3 2 2 4 4" xfId="50549" xr:uid="{4D3234BA-3698-4D34-8BC8-152A68E64336}"/>
    <cellStyle name="Migliaia 4 3 2 2 4 5" xfId="53565" xr:uid="{363163DE-6B31-47D2-B95A-43D15FAB2DDD}"/>
    <cellStyle name="Migliaia 4 3 2 2 4 6" xfId="10899" xr:uid="{903EC674-6DE6-4431-9B86-136F183AEA94}"/>
    <cellStyle name="Migliaia 4 3 2 2 5" xfId="20575" xr:uid="{B59F5069-2E16-4ACE-BE2B-0359021A0E09}"/>
    <cellStyle name="Migliaia 4 3 2 2 6" xfId="24931" xr:uid="{CB491A96-DFB8-4E84-A138-4B90ADA2F54F}"/>
    <cellStyle name="Migliaia 4 3 2 2 7" xfId="8681" xr:uid="{F9D15335-FF81-4FC5-903E-0E8E4730EF97}"/>
    <cellStyle name="Migliaia 4 3 2 3" xfId="5363" xr:uid="{D086087F-CD5A-4557-AC3A-36ADED505D28}"/>
    <cellStyle name="Migliaia 4 3 2 3 2" xfId="11106" xr:uid="{5B39951B-EB35-4369-BB58-4460B8AE16C5}"/>
    <cellStyle name="Migliaia 4 3 2 3 2 2" xfId="39569" xr:uid="{CD70F68B-D50B-4E07-9DEE-CF98F7DEA476}"/>
    <cellStyle name="Migliaia 4 3 2 3 2 3" xfId="44871" xr:uid="{F813B4A2-252E-4130-B67C-10BD9B338CD7}"/>
    <cellStyle name="Migliaia 4 3 2 3 2 4" xfId="34026" xr:uid="{791991A0-569E-44E4-B0D3-A29B24837ADC}"/>
    <cellStyle name="Migliaia 4 3 2 3 3" xfId="12020" xr:uid="{17CCDCF0-25E6-49DE-A538-5BF0E24CFFDC}"/>
    <cellStyle name="Migliaia 4 3 2 3 4" xfId="20576" xr:uid="{94C54D21-5D6E-4A7A-8A8D-6FA739E6B316}"/>
    <cellStyle name="Migliaia 4 3 2 3 4 2" xfId="42220" xr:uid="{F7736415-6ED9-4C29-91FB-DB054DA8A143}"/>
    <cellStyle name="Migliaia 4 3 2 3 5" xfId="16527" xr:uid="{9BD9B504-CFAA-4C4F-863A-B0F978C26C9A}"/>
    <cellStyle name="Migliaia 4 3 2 3 6" xfId="7957" xr:uid="{F4575712-2E92-4759-8C42-98D55EF80B2D}"/>
    <cellStyle name="Migliaia 4 3 2 4" xfId="6554" xr:uid="{AEE7FDB2-2C73-48F7-85E1-2BB93D89D385}"/>
    <cellStyle name="Migliaia 4 3 2 4 2" xfId="18090" xr:uid="{83752B35-BDEF-4666-83C2-122BA91E646B}"/>
    <cellStyle name="Migliaia 4 3 2 4 2 2" xfId="39570" xr:uid="{2364D572-FD72-4429-BDBB-F8B0322CE405}"/>
    <cellStyle name="Migliaia 4 3 2 4 2 3" xfId="44872" xr:uid="{0E034DF0-3227-4DDC-9519-5A399A80988D}"/>
    <cellStyle name="Migliaia 4 3 2 4 3" xfId="36976" xr:uid="{AF3CD104-30AA-4D63-A673-744149B042B1}"/>
    <cellStyle name="Migliaia 4 3 2 4 4" xfId="42221" xr:uid="{C8B183E7-20B2-4378-BDC0-07FE48500E39}"/>
    <cellStyle name="Migliaia 4 3 2 4 5" xfId="17202" xr:uid="{176EE5A3-70DC-4F6E-9D34-97C2EDDE6503}"/>
    <cellStyle name="Migliaia 4 3 2 4 6" xfId="11368" xr:uid="{C9531B89-67EA-46BB-BB7C-D03975CDB15B}"/>
    <cellStyle name="Migliaia 4 3 2 5" xfId="3637" xr:uid="{774A102B-68E8-4C44-80FF-05E09A4A2734}"/>
    <cellStyle name="Migliaia 4 3 2 5 2" xfId="34028" xr:uid="{DE3B779C-C6B5-48CA-922C-FEFEA5F8EF1A}"/>
    <cellStyle name="Migliaia 4 3 2 5 2 2" xfId="39571" xr:uid="{A4635BA2-355E-4310-ADA0-3749EB0C7401}"/>
    <cellStyle name="Migliaia 4 3 2 5 2 3" xfId="44873" xr:uid="{9237FFD7-22A1-42FE-B2B8-5802B7904CF4}"/>
    <cellStyle name="Migliaia 4 3 2 5 3" xfId="36977" xr:uid="{DC87D592-E889-430C-9E45-79085D12BE59}"/>
    <cellStyle name="Migliaia 4 3 2 5 4" xfId="42222" xr:uid="{F970A323-234A-45F4-A59E-DC955C3B45D4}"/>
    <cellStyle name="Migliaia 4 3 2 5 5" xfId="17327" xr:uid="{3FFB2BBE-9DA8-45BD-BC44-AA7F37EAF666}"/>
    <cellStyle name="Migliaia 4 3 2 6" xfId="20574" xr:uid="{886D7817-6F2A-48D0-9EF1-41A101057F95}"/>
    <cellStyle name="Migliaia 4 3 2 6 2" xfId="34029" xr:uid="{1279C7DF-8454-43F5-8308-E2AEC4257AFA}"/>
    <cellStyle name="Migliaia 4 3 2 6 2 2" xfId="39572" xr:uid="{2D0BC3F3-D423-4DAD-9F45-BD957D935002}"/>
    <cellStyle name="Migliaia 4 3 2 6 2 3" xfId="44874" xr:uid="{80E100C9-C12A-4E3C-85A4-01F9B34A9E73}"/>
    <cellStyle name="Migliaia 4 3 2 6 3" xfId="36978" xr:uid="{A9C2E821-3C5F-4E25-BD8E-4AF65D491597}"/>
    <cellStyle name="Migliaia 4 3 2 6 4" xfId="42223" xr:uid="{4743FF33-217B-40E5-A83B-6317DE4B53CB}"/>
    <cellStyle name="Migliaia 4 3 2 6 5" xfId="24936" xr:uid="{8B699951-70BA-46B0-A14E-825D7CB0A9BC}"/>
    <cellStyle name="Migliaia 4 3 2 7" xfId="24930" xr:uid="{E04CE2AF-86BC-42A4-BCB1-8A35AC9E3A29}"/>
    <cellStyle name="Migliaia 4 3 2 8" xfId="7491" xr:uid="{AEE93DA5-1050-4A30-9FAA-A0FFF160C37B}"/>
    <cellStyle name="Migliaia 4 3 3" xfId="3639" xr:uid="{C4F61EC8-F582-4632-A73E-E51258D72703}"/>
    <cellStyle name="Migliaia 4 3 3 10" xfId="7490" xr:uid="{B0E6D4C6-6BCB-4AAA-B161-248EEFCF1138}"/>
    <cellStyle name="Migliaia 4 3 3 2" xfId="5365" xr:uid="{CDC579E7-863B-43D4-8CF8-79DBB15CD936}"/>
    <cellStyle name="Migliaia 4 3 3 2 2" xfId="9948" xr:uid="{3B7EE5D0-0A47-4776-B94F-5667AAD01E8F}"/>
    <cellStyle name="Migliaia 4 3 3 2 2 2" xfId="39574" xr:uid="{25177448-773C-4EB9-89CF-D6122FAC6070}"/>
    <cellStyle name="Migliaia 4 3 3 2 2 3" xfId="44876" xr:uid="{0417A4A9-DF3C-4B3E-99DD-984F974741A1}"/>
    <cellStyle name="Migliaia 4 3 3 2 3" xfId="18228" xr:uid="{3B1A4B3C-35A7-483C-AEEC-ED89616F4687}"/>
    <cellStyle name="Migliaia 4 3 3 2 4" xfId="20578" xr:uid="{45E0265A-B3FF-4B11-ACEF-81BA36C4BC32}"/>
    <cellStyle name="Migliaia 4 3 3 2 4 2" xfId="42225" xr:uid="{E4F561D0-4356-4DF8-ADBD-54B2D19B044F}"/>
    <cellStyle name="Migliaia 4 3 3 2 5" xfId="16529" xr:uid="{EC601D55-992B-454E-B4C3-80A35020E2C5}"/>
    <cellStyle name="Migliaia 4 3 3 2 6" xfId="8680" xr:uid="{03026B3E-E62C-4710-BBD1-F076511354F6}"/>
    <cellStyle name="Migliaia 4 3 3 3" xfId="6556" xr:uid="{51A59EB4-55BD-49CC-BCD1-67E815F6EFE6}"/>
    <cellStyle name="Migliaia 4 3 3 3 2" xfId="34032" xr:uid="{4EC25BCF-50BE-48A9-A650-5AAF6A4C3803}"/>
    <cellStyle name="Migliaia 4 3 3 3 2 2" xfId="39575" xr:uid="{A9534F89-B318-43A4-9B0B-FD3DD0082F99}"/>
    <cellStyle name="Migliaia 4 3 3 3 2 3" xfId="44877" xr:uid="{F730985D-37E4-48CE-B668-F8C10E4253FB}"/>
    <cellStyle name="Migliaia 4 3 3 3 3" xfId="36981" xr:uid="{96A5193E-148D-40FF-B4E4-49403D97C066}"/>
    <cellStyle name="Migliaia 4 3 3 3 4" xfId="42226" xr:uid="{D975E420-A041-4307-8525-F6D2FAA470E4}"/>
    <cellStyle name="Migliaia 4 3 3 3 5" xfId="9711" xr:uid="{D56218E9-81A6-4B9D-AE39-61ECFC055202}"/>
    <cellStyle name="Migliaia 4 3 3 4" xfId="20577" xr:uid="{734CE600-5C78-4F01-BE4D-CFE4D272979C}"/>
    <cellStyle name="Migliaia 4 3 3 4 2" xfId="34033" xr:uid="{28976844-DCD2-4111-A062-3ED98036064D}"/>
    <cellStyle name="Migliaia 4 3 3 4 2 2" xfId="39576" xr:uid="{41C3A809-69ED-4E13-AD99-1EC109662BEE}"/>
    <cellStyle name="Migliaia 4 3 3 4 2 3" xfId="44878" xr:uid="{FE867912-E0F4-4A0C-8A49-5B72209BF989}"/>
    <cellStyle name="Migliaia 4 3 3 4 3" xfId="36982" xr:uid="{5C28F7F2-3F7B-41AD-91FC-8C99F037FAD0}"/>
    <cellStyle name="Migliaia 4 3 3 4 4" xfId="42227" xr:uid="{F619E393-6BAC-4CB5-9E2E-36A98ED5E234}"/>
    <cellStyle name="Migliaia 4 3 3 4 5" xfId="24940" xr:uid="{58D3E28D-EAF0-4792-AFFF-4575C0BF4FB8}"/>
    <cellStyle name="Migliaia 4 3 3 5" xfId="24941" xr:uid="{BE168DA0-BA56-4DA5-9808-80C0E6F4B17B}"/>
    <cellStyle name="Migliaia 4 3 3 5 2" xfId="34034" xr:uid="{33E15E2F-F3F3-4B65-883B-C35032792348}"/>
    <cellStyle name="Migliaia 4 3 3 5 2 2" xfId="39577" xr:uid="{CE7B87DA-0D5D-401B-9AD1-F432394E044D}"/>
    <cellStyle name="Migliaia 4 3 3 5 2 3" xfId="44879" xr:uid="{96AC4F55-E963-4513-98B2-2A0DF3078216}"/>
    <cellStyle name="Migliaia 4 3 3 5 3" xfId="36983" xr:uid="{F0EA5557-CDEE-4BEE-9137-9B1C2EFD9F49}"/>
    <cellStyle name="Migliaia 4 3 3 5 4" xfId="42228" xr:uid="{CB647618-1877-46DE-924B-06DB6CE371F0}"/>
    <cellStyle name="Migliaia 4 3 3 6" xfId="34030" xr:uid="{F4397DC5-186D-4E34-A5A9-3B97B97B6789}"/>
    <cellStyle name="Migliaia 4 3 3 6 2" xfId="39573" xr:uid="{89C79B57-B07F-42FD-A355-DE9887899A2B}"/>
    <cellStyle name="Migliaia 4 3 3 6 3" xfId="44875" xr:uid="{518617BB-E961-4D2A-B498-DD6951533D86}"/>
    <cellStyle name="Migliaia 4 3 3 7" xfId="36979" xr:uid="{F81C0AE3-2720-4A35-B029-FEC437C55656}"/>
    <cellStyle name="Migliaia 4 3 3 8" xfId="42224" xr:uid="{BACB0650-06EB-4C29-9BC4-BEA759F3DFA0}"/>
    <cellStyle name="Migliaia 4 3 3 9" xfId="16528" xr:uid="{BABCF931-CF73-4635-8E83-183AF9883DAB}"/>
    <cellStyle name="Migliaia 4 3 4" xfId="3640" xr:uid="{18F38CBC-8BCC-4922-890F-12040E12BF7E}"/>
    <cellStyle name="Migliaia 4 3 4 2" xfId="5366" xr:uid="{E67CFD34-9BCD-49EE-8DD6-7B035553830D}"/>
    <cellStyle name="Migliaia 4 3 4 2 2" xfId="14456" xr:uid="{78D105C2-AD9A-4F14-B027-B2C5FC7186D0}"/>
    <cellStyle name="Migliaia 4 3 4 2 3" xfId="18580" xr:uid="{6DC025C6-05AD-4AF9-8CA5-1E1CE4D3609A}"/>
    <cellStyle name="Migliaia 4 3 4 2 4" xfId="20580" xr:uid="{716102DD-C482-4257-BAE0-23B2038FFED9}"/>
    <cellStyle name="Migliaia 4 3 4 2 5" xfId="32404" xr:uid="{12DAD57C-6559-4AFE-BE9B-E91D1C451D5C}"/>
    <cellStyle name="Migliaia 4 3 4 2 6" xfId="16531" xr:uid="{54220C00-8878-4FFE-8135-F666CA3DCE1A}"/>
    <cellStyle name="Migliaia 4 3 4 2 7" xfId="8879" xr:uid="{AC13CB7A-0794-4E7F-9334-C8CD1CEE4427}"/>
    <cellStyle name="Migliaia 4 3 4 3" xfId="6557" xr:uid="{631E5F87-6761-4E87-A9D6-8B080FBB88B3}"/>
    <cellStyle name="Migliaia 4 3 4 3 2" xfId="35356" xr:uid="{3B734706-343D-49D8-B4B9-684B9FC12EE5}"/>
    <cellStyle name="Migliaia 4 3 4 3 2 2" xfId="40516" xr:uid="{D2013CC7-FF87-4DAE-B71F-E57C5B76A110}"/>
    <cellStyle name="Migliaia 4 3 4 3 2 3" xfId="45818" xr:uid="{139E4A9C-8772-4937-98FA-FCC15D7DD1F5}"/>
    <cellStyle name="Migliaia 4 3 4 3 3" xfId="37865" xr:uid="{57452563-1FDE-4FB7-857D-EA4AD9F7A152}"/>
    <cellStyle name="Migliaia 4 3 4 3 4" xfId="43167" xr:uid="{1A3208AD-95CC-41D3-9E7F-9484AD7F9C58}"/>
    <cellStyle name="Migliaia 4 3 4 3 5" xfId="13704" xr:uid="{05004FA1-9C30-49E6-910A-26C0559BE1D5}"/>
    <cellStyle name="Migliaia 4 3 4 4" xfId="20579" xr:uid="{2B98877F-C199-4CED-9F3D-891E1ED5F546}"/>
    <cellStyle name="Migliaia 4 3 4 4 2" xfId="39578" xr:uid="{8B79964E-7CA8-4E44-9A55-1FCA5AFF5E95}"/>
    <cellStyle name="Migliaia 4 3 4 4 3" xfId="44880" xr:uid="{C52DE6A2-15E6-4DCD-8646-16738CA1D1A5}"/>
    <cellStyle name="Migliaia 4 3 4 4 4" xfId="34035" xr:uid="{D77E38E1-0DFA-4C5D-856E-D78A418CD7CA}"/>
    <cellStyle name="Migliaia 4 3 4 5" xfId="36984" xr:uid="{2590269F-74DA-4C1B-AD38-005E5E4AF81F}"/>
    <cellStyle name="Migliaia 4 3 4 6" xfId="42229" xr:uid="{E116304C-1F8C-4EBA-AA0C-092E77DAB3F9}"/>
    <cellStyle name="Migliaia 4 3 4 7" xfId="16530" xr:uid="{A5FD9967-B746-4520-B80F-A39E00902C40}"/>
    <cellStyle name="Migliaia 4 3 4 8" xfId="7689" xr:uid="{D3472088-CF15-4537-99F6-05D253188A4B}"/>
    <cellStyle name="Migliaia 4 3 5" xfId="3641" xr:uid="{D887109D-1C94-4274-BD1D-2AD296DBB16A}"/>
    <cellStyle name="Migliaia 4 3 5 2" xfId="5367" xr:uid="{CF9C5A7D-534C-4310-840D-E9A7F281E376}"/>
    <cellStyle name="Migliaia 4 3 5 2 2" xfId="35357" xr:uid="{FA5A3FE9-83E7-4249-BE34-A4B0A2967A1D}"/>
    <cellStyle name="Migliaia 4 3 5 2 2 2" xfId="40517" xr:uid="{4F7BC34B-6678-404C-A763-D5AAFD269136}"/>
    <cellStyle name="Migliaia 4 3 5 2 2 3" xfId="45819" xr:uid="{B2C7B7E8-9FD5-417B-AB74-6CD84B5927F1}"/>
    <cellStyle name="Migliaia 4 3 5 2 3" xfId="37866" xr:uid="{39132629-D366-449F-8891-E8705C4F8856}"/>
    <cellStyle name="Migliaia 4 3 5 2 4" xfId="43168" xr:uid="{4A51C481-4179-4A97-B5F3-9CABD49FD3A5}"/>
    <cellStyle name="Migliaia 4 3 5 2 5" xfId="14280" xr:uid="{94B1FABE-F20F-4FE3-9AC2-A7F175E111FA}"/>
    <cellStyle name="Migliaia 4 3 5 3" xfId="6558" xr:uid="{D2AA91BB-C8D2-48B9-846E-2D5E9BC1CF94}"/>
    <cellStyle name="Migliaia 4 3 5 3 2" xfId="39579" xr:uid="{9DE59CAD-75E9-4D6F-89A4-C661264ECB19}"/>
    <cellStyle name="Migliaia 4 3 5 3 3" xfId="44881" xr:uid="{F48D507B-BDAA-44CA-B2AF-8598128201A6}"/>
    <cellStyle name="Migliaia 4 3 5 3 4" xfId="34036" xr:uid="{C4C097E1-490D-40B1-97B3-197FBD9E708A}"/>
    <cellStyle name="Migliaia 4 3 5 3 5" xfId="20581" xr:uid="{3EF8CC44-89F9-4471-8420-F79D0458BE42}"/>
    <cellStyle name="Migliaia 4 3 5 4" xfId="36985" xr:uid="{4601004E-831C-4F10-80FA-2EE60CAED393}"/>
    <cellStyle name="Migliaia 4 3 5 5" xfId="42230" xr:uid="{B4CFF321-F168-4AB1-B8FF-56AC6C0B0DDA}"/>
    <cellStyle name="Migliaia 4 3 5 6" xfId="16532" xr:uid="{911C2910-24E9-4037-9DA6-5364FC3A9850}"/>
    <cellStyle name="Migliaia 4 3 5 7" xfId="8342" xr:uid="{0B7A44F7-CE97-44DE-ADF8-FE591747CE05}"/>
    <cellStyle name="Migliaia 4 3 6" xfId="5362" xr:uid="{AF1DC7D3-186F-4992-A3D9-79EAEE59DAB2}"/>
    <cellStyle name="Migliaia 4 3 6 2" xfId="13985" xr:uid="{59093C2D-F4D4-4E24-9101-14A3FD0AC7A5}"/>
    <cellStyle name="Migliaia 4 3 6 2 2" xfId="39580" xr:uid="{774694E2-6056-43A1-BB8B-1002845A3033}"/>
    <cellStyle name="Migliaia 4 3 6 2 3" xfId="44882" xr:uid="{23728D4F-CBB1-4465-A42D-AD2E2CB69AF5}"/>
    <cellStyle name="Migliaia 4 3 6 3" xfId="18702" xr:uid="{32AB7F4A-E1C4-4EDE-8376-463F31CCCF6A}"/>
    <cellStyle name="Migliaia 4 3 6 4" xfId="20582" xr:uid="{5685B875-FC9F-4AD3-8FEC-DFCC68BD506A}"/>
    <cellStyle name="Migliaia 4 3 6 4 2" xfId="42231" xr:uid="{62C73621-EB7D-4510-B7AD-D1163D5F44D7}"/>
    <cellStyle name="Migliaia 4 3 6 5" xfId="16533" xr:uid="{6CF930A3-A242-4133-AFCF-BEE2EACCA537}"/>
    <cellStyle name="Migliaia 4 3 6 6" xfId="7956" xr:uid="{C9EC68B1-9C67-4600-BDC1-75ADF87C4865}"/>
    <cellStyle name="Migliaia 4 3 7" xfId="6553" xr:uid="{0374635D-66E7-4D74-9912-8084B42DB37E}"/>
    <cellStyle name="Migliaia 4 3 7 2" xfId="34038" xr:uid="{D3386157-D575-4EE5-9E0C-54E8384C6427}"/>
    <cellStyle name="Migliaia 4 3 7 2 2" xfId="39581" xr:uid="{30DCA03A-B733-423D-9A46-24AFE27FABDD}"/>
    <cellStyle name="Migliaia 4 3 7 2 3" xfId="44883" xr:uid="{4A18BB65-64CA-4F8D-A08E-055F18C5A17E}"/>
    <cellStyle name="Migliaia 4 3 7 3" xfId="36987" xr:uid="{8BCFA5D8-DD24-49EC-A96F-E4A6A731974B}"/>
    <cellStyle name="Migliaia 4 3 7 4" xfId="42232" xr:uid="{2B93ADB1-FCF9-4109-85E5-636CAC8FA6C5}"/>
    <cellStyle name="Migliaia 4 3 7 5" xfId="12284" xr:uid="{DA27B978-B6E1-403D-AE55-A65AF374A861}"/>
    <cellStyle name="Migliaia 4 3 8" xfId="3636" xr:uid="{6E37D77B-EFA6-4172-9C84-5058D44E2E5A}"/>
    <cellStyle name="Migliaia 4 3 8 2" xfId="34039" xr:uid="{85EFE4A9-FAAE-4A0B-A657-F7EB17014F9C}"/>
    <cellStyle name="Migliaia 4 3 8 2 2" xfId="39582" xr:uid="{27964A03-B563-42E8-8C04-AB6B2DBE3269}"/>
    <cellStyle name="Migliaia 4 3 8 2 3" xfId="44884" xr:uid="{302D2353-D62F-44AF-B369-89AE7746ABF8}"/>
    <cellStyle name="Migliaia 4 3 8 3" xfId="36988" xr:uid="{6907F23E-F2BD-4585-AF45-7229C4D27271}"/>
    <cellStyle name="Migliaia 4 3 8 4" xfId="42233" xr:uid="{A9CE331C-B930-444A-95AB-234340FEAFC6}"/>
    <cellStyle name="Migliaia 4 3 8 5" xfId="24946" xr:uid="{A4D512B0-8AB1-4F36-AFC1-5F3AE1A823D9}"/>
    <cellStyle name="Migliaia 4 3 8 6" xfId="17328" xr:uid="{3D06B50F-8B0E-45E2-BAFF-F1192194683D}"/>
    <cellStyle name="Migliaia 4 3 9" xfId="20573" xr:uid="{58C5BED8-099B-4791-9EAC-DC01178CFEE7}"/>
    <cellStyle name="Migliaia 4 4" xfId="1823" xr:uid="{00000000-0005-0000-0000-0000EE030000}"/>
    <cellStyle name="Migliaia 4 4 2" xfId="1824" xr:uid="{00000000-0005-0000-0000-0000EF030000}"/>
    <cellStyle name="Migliaia 4 4 2 2" xfId="5369" xr:uid="{0A7B6AE2-C82D-4357-BF70-42685159F04C}"/>
    <cellStyle name="Migliaia 4 4 2 2 2" xfId="34040" xr:uid="{84449A1E-C576-40DB-AF7C-6612541370C3}"/>
    <cellStyle name="Migliaia 4 4 2 2 2 2" xfId="39583" xr:uid="{897FF647-8C4A-49D2-9645-E9012CD8CAF3}"/>
    <cellStyle name="Migliaia 4 4 2 2 2 3" xfId="44885" xr:uid="{826FFC1C-39EB-4F2C-8CC5-380E89C56E37}"/>
    <cellStyle name="Migliaia 4 4 2 2 3" xfId="36989" xr:uid="{D43B33A4-B0AE-4C3A-820D-9DADA39ED733}"/>
    <cellStyle name="Migliaia 4 4 2 2 4" xfId="42234" xr:uid="{69EBAD36-F0D7-4449-B767-E90F249466D7}"/>
    <cellStyle name="Migliaia 4 4 2 2 5" xfId="9174" xr:uid="{056E5A88-2461-4585-B1D0-264E98C464DF}"/>
    <cellStyle name="Migliaia 4 4 2 3" xfId="3643" xr:uid="{053F2128-59C7-4FF9-8F12-BBC171429481}"/>
    <cellStyle name="Migliaia 4 4 2 3 2" xfId="34041" xr:uid="{B13C5F29-08C5-4CBC-974C-80706302600B}"/>
    <cellStyle name="Migliaia 4 4 2 3 2 2" xfId="39584" xr:uid="{3F0A4AC7-927B-4E84-AE21-B1F66636A227}"/>
    <cellStyle name="Migliaia 4 4 2 3 2 3" xfId="44886" xr:uid="{E00D8D7A-02B1-4C2C-8B5A-7E5A2916FFCC}"/>
    <cellStyle name="Migliaia 4 4 2 3 3" xfId="36990" xr:uid="{ADDAC1A4-4253-4118-ACA1-04D47FDB88A6}"/>
    <cellStyle name="Migliaia 4 4 2 3 4" xfId="42235" xr:uid="{262E32A9-3612-415B-B22B-5D6D676DEF50}"/>
    <cellStyle name="Migliaia 4 4 2 3 5" xfId="12021" xr:uid="{83F07BAF-DA20-4E91-80A9-797AA8D0F7C0}"/>
    <cellStyle name="Migliaia 4 4 2 4" xfId="11370" xr:uid="{301A8B75-F730-4732-8754-7036EA3E57FB}"/>
    <cellStyle name="Migliaia 4 4 2 5" xfId="10901" xr:uid="{70C527CF-D784-4CB4-AE53-50526D45CEDF}"/>
    <cellStyle name="Migliaia 4 4 2 5 2" xfId="21536" xr:uid="{CD70F500-B85A-4C12-BA0C-E01683D270CC}"/>
    <cellStyle name="Migliaia 4 4 2 5 3" xfId="47116" xr:uid="{726F6E58-5FD3-4C70-B340-9C1FAEA9E58B}"/>
    <cellStyle name="Migliaia 4 4 2 5 4" xfId="50551" xr:uid="{15F1FB2A-448D-4015-AC14-44DA62F535E1}"/>
    <cellStyle name="Migliaia 4 4 2 5 5" xfId="53567" xr:uid="{291E76C8-C732-4DF3-A2B9-135DF88C4F1D}"/>
    <cellStyle name="Migliaia 4 4 2 6" xfId="20584" xr:uid="{BA728E9C-83A5-4215-9F7A-9D39D81D159A}"/>
    <cellStyle name="Migliaia 4 4 2 7" xfId="24948" xr:uid="{08ECD5BA-5A57-4CA6-9D04-C0CB10798CF8}"/>
    <cellStyle name="Migliaia 4 4 2 8" xfId="8682" xr:uid="{06FED83B-C977-4ACE-9D38-C2EE3DC9B026}"/>
    <cellStyle name="Migliaia 4 4 3" xfId="5368" xr:uid="{F07ECBDF-DF21-4AD0-87EA-427071F7F424}"/>
    <cellStyle name="Migliaia 4 4 3 2" xfId="18229" xr:uid="{BCFBA17F-A8B7-4B18-BD98-FDE26AAFBC3F}"/>
    <cellStyle name="Migliaia 4 4 3 2 2" xfId="39585" xr:uid="{98986B2C-594D-4F9A-8BF1-A96247ED0CA9}"/>
    <cellStyle name="Migliaia 4 4 3 2 3" xfId="44887" xr:uid="{662A68D2-BFF7-4C73-82F4-ACF9CF776748}"/>
    <cellStyle name="Migliaia 4 4 3 3" xfId="36991" xr:uid="{CF5AC16A-AA27-4ABC-A104-663F997BD747}"/>
    <cellStyle name="Migliaia 4 4 3 4" xfId="42236" xr:uid="{6735BE25-E760-47E8-9209-33BF996FD366}"/>
    <cellStyle name="Migliaia 4 4 3 5" xfId="17326" xr:uid="{9DE434E5-A5A7-45D1-ABB6-3F8C71457D16}"/>
    <cellStyle name="Migliaia 4 4 3 6" xfId="9175" xr:uid="{7DFE5D0E-77CD-458F-A629-905347A6139F}"/>
    <cellStyle name="Migliaia 4 4 4" xfId="6559" xr:uid="{44E864D9-FFEB-4DBC-8563-D097C8676501}"/>
    <cellStyle name="Migliaia 4 4 4 2" xfId="34043" xr:uid="{185AF2C1-2459-47F4-AD47-6F01130E7592}"/>
    <cellStyle name="Migliaia 4 4 4 2 2" xfId="39586" xr:uid="{EFE9FFBE-A223-4E8A-ABAA-818B403F7422}"/>
    <cellStyle name="Migliaia 4 4 4 2 3" xfId="44888" xr:uid="{15C3ADC0-AB6F-4358-B118-95ADE4207DDA}"/>
    <cellStyle name="Migliaia 4 4 4 3" xfId="36992" xr:uid="{73525AB3-A588-425D-815E-C30287A84F11}"/>
    <cellStyle name="Migliaia 4 4 4 4" xfId="42237" xr:uid="{707E7C6E-17D7-4D8C-B579-6ACC85B97CBC}"/>
    <cellStyle name="Migliaia 4 4 4 5" xfId="12022" xr:uid="{8EAA2108-D2DC-414C-B4F1-878C3F42929D}"/>
    <cellStyle name="Migliaia 4 4 5" xfId="3642" xr:uid="{49E297A0-828B-46EE-910E-632E167F2739}"/>
    <cellStyle name="Migliaia 4 4 5 2" xfId="34044" xr:uid="{52F0852D-F8DD-4763-BB63-959F907063B2}"/>
    <cellStyle name="Migliaia 4 4 5 2 2" xfId="39587" xr:uid="{09BD8BF1-6982-4333-AEDD-33701EDEA182}"/>
    <cellStyle name="Migliaia 4 4 5 2 3" xfId="44889" xr:uid="{95AF467B-5D73-4D64-8D7F-0E7F4828847D}"/>
    <cellStyle name="Migliaia 4 4 5 3" xfId="36993" xr:uid="{64231308-3827-4ECD-BE48-3CDC811E4CB5}"/>
    <cellStyle name="Migliaia 4 4 5 4" xfId="42238" xr:uid="{DCA38B76-7BF1-4245-A62C-7412AFC88828}"/>
    <cellStyle name="Migliaia 4 4 5 5" xfId="11369" xr:uid="{3C686851-C585-4A3F-B57B-C1BE0558020C}"/>
    <cellStyle name="Migliaia 4 4 6" xfId="10900" xr:uid="{905BE364-68A0-4B2E-A5A0-DCCA8E439570}"/>
    <cellStyle name="Migliaia 4 4 6 2" xfId="21535" xr:uid="{8E7FFFFE-DBAC-4B8B-A7DA-EB8798ECA6AA}"/>
    <cellStyle name="Migliaia 4 4 6 2 2" xfId="39588" xr:uid="{5820C5F3-23FF-46D5-9199-4C57B25B89D0}"/>
    <cellStyle name="Migliaia 4 4 6 2 3" xfId="44890" xr:uid="{050F24BB-001A-45AD-BCB1-ED8F926ECA57}"/>
    <cellStyle name="Migliaia 4 4 6 2 4" xfId="34045" xr:uid="{D38D854E-69E8-48A3-876D-0A2D5ED62845}"/>
    <cellStyle name="Migliaia 4 4 6 3" xfId="36994" xr:uid="{1F808397-C613-420A-A746-68DA99A537EB}"/>
    <cellStyle name="Migliaia 4 4 6 4" xfId="42239" xr:uid="{2EE009A0-035F-481E-A7F0-41A014B0F040}"/>
    <cellStyle name="Migliaia 4 4 6 5" xfId="24954" xr:uid="{056DC795-4B6C-407E-95EB-D1BE598DD138}"/>
    <cellStyle name="Migliaia 4 4 6 6" xfId="47308" xr:uid="{DDA4A4DF-E61E-4B2B-9DC7-8E64BF3B9787}"/>
    <cellStyle name="Migliaia 4 4 6 7" xfId="50550" xr:uid="{C6D19D2C-8A0A-4248-9102-B43BC62C0889}"/>
    <cellStyle name="Migliaia 4 4 6 8" xfId="53566" xr:uid="{BDB95807-2CE0-47F1-8213-98695D9AEB8F}"/>
    <cellStyle name="Migliaia 4 4 7" xfId="20583" xr:uid="{58EE3A49-DADD-4E4D-B9E8-99958D84262B}"/>
    <cellStyle name="Migliaia 4 4 7 2" xfId="34046" xr:uid="{5A351417-DE6D-4303-BCAC-89CD7F66F4CE}"/>
    <cellStyle name="Migliaia 4 4 7 2 2" xfId="39589" xr:uid="{0D4C572F-B887-4F03-BCD5-73E5C4B02E68}"/>
    <cellStyle name="Migliaia 4 4 7 2 3" xfId="44891" xr:uid="{178FB839-8FDD-424E-A2B5-0F0FB421BB44}"/>
    <cellStyle name="Migliaia 4 4 7 3" xfId="36995" xr:uid="{62765AED-A694-4C50-B3FE-7A63E4537C1F}"/>
    <cellStyle name="Migliaia 4 4 7 4" xfId="42240" xr:uid="{A369561D-12DE-423B-9AFF-4E1FA555085D}"/>
    <cellStyle name="Migliaia 4 4 7 5" xfId="24955" xr:uid="{EBED3847-7666-45A1-85F5-B316CDB0B931}"/>
    <cellStyle name="Migliaia 4 4 8" xfId="24947" xr:uid="{9631A9B5-3081-4CE8-A57D-A9E645B4AAF9}"/>
    <cellStyle name="Migliaia 4 4 9" xfId="7492" xr:uid="{C566F1C8-5952-40F3-AFF1-E7BB5324ED0C}"/>
    <cellStyle name="Migliaia 4 5" xfId="1825" xr:uid="{00000000-0005-0000-0000-0000F0030000}"/>
    <cellStyle name="Migliaia 4 5 2" xfId="5370" xr:uid="{6A9E9BD3-F75D-4778-BC01-F5822B38C3B1}"/>
    <cellStyle name="Migliaia 4 5 2 2" xfId="18463" xr:uid="{70730FF0-9A0D-4A74-9AFF-C53384E78FDD}"/>
    <cellStyle name="Migliaia 4 5 2 2 2" xfId="39590" xr:uid="{59254C07-CB4C-404C-8EA8-42446F931CDB}"/>
    <cellStyle name="Migliaia 4 5 2 2 3" xfId="44892" xr:uid="{9ACE5E88-E06B-4D4A-992A-8607A3C26793}"/>
    <cellStyle name="Migliaia 4 5 2 3" xfId="20586" xr:uid="{FB723628-09EC-4DA7-831F-5ADFD5F05D3A}"/>
    <cellStyle name="Migliaia 4 5 2 3 2" xfId="36996" xr:uid="{A181843A-430A-4408-BDB4-AA3978D311E5}"/>
    <cellStyle name="Migliaia 4 5 2 4" xfId="42241" xr:uid="{889534C1-2BA1-43C7-82C6-20510E337160}"/>
    <cellStyle name="Migliaia 4 5 2 5" xfId="16534" xr:uid="{D9198CB6-B03D-4527-9898-B1FB38872251}"/>
    <cellStyle name="Migliaia 4 5 2 6" xfId="8683" xr:uid="{24A5F2EC-9357-409E-AF52-60BE043C9ECE}"/>
    <cellStyle name="Migliaia 4 5 3" xfId="6560" xr:uid="{DED86B47-9777-4B51-A0B3-D7DC08A4CF45}"/>
    <cellStyle name="Migliaia 4 5 3 2" xfId="34048" xr:uid="{650A8D9C-5095-43CA-A33A-D92D4CB53C7B}"/>
    <cellStyle name="Migliaia 4 5 3 2 2" xfId="39591" xr:uid="{257977C2-A8C8-43BC-A54F-E39F4EF51B1A}"/>
    <cellStyle name="Migliaia 4 5 3 2 3" xfId="44893" xr:uid="{1F7C7D9E-6602-4303-8AAE-276B026EAA19}"/>
    <cellStyle name="Migliaia 4 5 3 3" xfId="36997" xr:uid="{C61097D2-57A0-4DBB-A7E7-F598E96966B1}"/>
    <cellStyle name="Migliaia 4 5 3 4" xfId="42242" xr:uid="{2B837E3E-8E7B-4CD8-B612-3E3A8FB102D0}"/>
    <cellStyle name="Migliaia 4 5 3 5" xfId="11371" xr:uid="{C171332B-4F7C-4256-BF35-163AC4617C0D}"/>
    <cellStyle name="Migliaia 4 5 4" xfId="3644" xr:uid="{7FF4BD5E-8671-491E-8C6F-A70738CB1F7F}"/>
    <cellStyle name="Migliaia 4 5 4 2" xfId="21537" xr:uid="{9F7D2DF8-CE26-4B10-9786-831AF1935CFB}"/>
    <cellStyle name="Migliaia 4 5 4 2 2" xfId="39592" xr:uid="{E97DCB5A-4199-42F1-AD4C-808E08C28ECF}"/>
    <cellStyle name="Migliaia 4 5 4 2 3" xfId="44894" xr:uid="{7E1F58CC-8AF6-4AB5-BE81-D613A4CCE60A}"/>
    <cellStyle name="Migliaia 4 5 4 2 4" xfId="34049" xr:uid="{070079DE-DD3C-4238-9019-7B8EDEE67C36}"/>
    <cellStyle name="Migliaia 4 5 4 3" xfId="36998" xr:uid="{DACA353E-2E3D-4DFF-A600-88D5B095FA5C}"/>
    <cellStyle name="Migliaia 4 5 4 4" xfId="42243" xr:uid="{115C0761-7260-4B77-9997-F9FA017B67B1}"/>
    <cellStyle name="Migliaia 4 5 4 5" xfId="24959" xr:uid="{0308A294-C2F3-4DE5-973F-1C512FBC6258}"/>
    <cellStyle name="Migliaia 4 5 4 6" xfId="48476" xr:uid="{818BBD83-D335-450A-8E06-B8B86670AAF0}"/>
    <cellStyle name="Migliaia 4 5 4 7" xfId="50552" xr:uid="{AC75D377-BE1C-418E-BD21-58E0CED3C0D3}"/>
    <cellStyle name="Migliaia 4 5 4 8" xfId="53568" xr:uid="{A60D09E8-D592-4172-BF96-D8F9BC67A663}"/>
    <cellStyle name="Migliaia 4 5 4 9" xfId="10902" xr:uid="{D44ED193-5531-421F-8C66-2F41E2F04EF7}"/>
    <cellStyle name="Migliaia 4 5 5" xfId="20585" xr:uid="{74CB0932-E599-46AD-8AE6-DEE0E8BAD208}"/>
    <cellStyle name="Migliaia 4 5 5 2" xfId="34050" xr:uid="{A861614D-07AF-4843-B640-9B8D03C65B3E}"/>
    <cellStyle name="Migliaia 4 5 5 2 2" xfId="39593" xr:uid="{C642C2F3-9170-4455-8FAC-21E308D7E22B}"/>
    <cellStyle name="Migliaia 4 5 5 2 3" xfId="44895" xr:uid="{43536CB7-2FF9-4A29-850E-CEA817DDE21C}"/>
    <cellStyle name="Migliaia 4 5 5 3" xfId="36999" xr:uid="{09174CF5-DEF2-42E3-AECE-02DF0DEC3D24}"/>
    <cellStyle name="Migliaia 4 5 5 4" xfId="42244" xr:uid="{058EA28E-EB40-4126-9B42-FF2D2F9F7918}"/>
    <cellStyle name="Migliaia 4 5 5 5" xfId="24960" xr:uid="{077E7579-5550-4783-B847-D50562B16ED7}"/>
    <cellStyle name="Migliaia 4 5 6" xfId="24961" xr:uid="{139236BC-CD85-4A20-9EA3-03B577217D53}"/>
    <cellStyle name="Migliaia 4 5 6 2" xfId="34051" xr:uid="{0B582FC4-ACCC-49BC-9C9B-BC4734986F10}"/>
    <cellStyle name="Migliaia 4 5 6 2 2" xfId="39594" xr:uid="{272AEC33-17E0-4664-BA1B-9A647EA3B289}"/>
    <cellStyle name="Migliaia 4 5 6 2 3" xfId="44896" xr:uid="{C007CF76-DB6D-4D88-B281-14E286047920}"/>
    <cellStyle name="Migliaia 4 5 6 3" xfId="37000" xr:uid="{2688BF21-7D02-42C9-A9AD-2693D0755B68}"/>
    <cellStyle name="Migliaia 4 5 6 4" xfId="42245" xr:uid="{9131C864-6D7A-44E6-8BC8-32457760A710}"/>
    <cellStyle name="Migliaia 4 5 7" xfId="24956" xr:uid="{586CD731-6ECA-4B66-BF83-505F89D693CE}"/>
    <cellStyle name="Migliaia 4 5 8" xfId="7493" xr:uid="{EA1FEF69-800B-4B80-B369-6599176A1595}"/>
    <cellStyle name="Migliaia 4 6" xfId="3645" xr:uid="{8DC4BE46-180B-4F9C-8041-D9C195BED723}"/>
    <cellStyle name="Migliaia 4 6 2" xfId="5371" xr:uid="{B5275D74-C9AC-4CB9-8A9F-A654DFB4AB89}"/>
    <cellStyle name="Migliaia 4 6 2 2" xfId="9947" xr:uid="{F4A92557-A192-45E9-89E6-E4DED3FE831A}"/>
    <cellStyle name="Migliaia 4 6 2 3" xfId="18647" xr:uid="{8E7D2CC3-1EE5-40BF-A992-CAE62A5EC85C}"/>
    <cellStyle name="Migliaia 4 6 2 4" xfId="20588" xr:uid="{BB10D401-EB31-481D-9318-670D9934AF10}"/>
    <cellStyle name="Migliaia 4 6 2 5" xfId="32407" xr:uid="{710C2ECC-FBCB-4D54-A76E-57428F327997}"/>
    <cellStyle name="Migliaia 4 6 2 6" xfId="16536" xr:uid="{D67934B7-E440-4155-B487-7E2C3A393A8F}"/>
    <cellStyle name="Migliaia 4 6 2 7" xfId="8678" xr:uid="{3BE748FC-8D1B-4AFD-B38A-981AAA39AE30}"/>
    <cellStyle name="Migliaia 4 6 3" xfId="6561" xr:uid="{23B7CDAB-39A2-4C5B-8346-DC713F9D6EEE}"/>
    <cellStyle name="Migliaia 4 6 3 2" xfId="35358" xr:uid="{F0788EF0-DA1D-4FFE-8DF7-36BE02B4FC34}"/>
    <cellStyle name="Migliaia 4 6 3 2 2" xfId="40518" xr:uid="{B0C44329-4137-4594-9BB2-9890C36F38F8}"/>
    <cellStyle name="Migliaia 4 6 3 2 3" xfId="45820" xr:uid="{0D9403C5-1517-44EA-8096-8D28E2B357D6}"/>
    <cellStyle name="Migliaia 4 6 3 3" xfId="37867" xr:uid="{2538B1C1-D0DD-430C-840D-B7981C3695A7}"/>
    <cellStyle name="Migliaia 4 6 3 4" xfId="43169" xr:uid="{4B36827D-2DAC-45E2-90D3-EE251D6D3352}"/>
    <cellStyle name="Migliaia 4 6 3 5" xfId="9710" xr:uid="{99CE6775-57BE-4F7C-A4B8-A80FFA7F22CE}"/>
    <cellStyle name="Migliaia 4 6 4" xfId="20587" xr:uid="{677E4C87-75F8-42A5-A6FD-111F96A587A8}"/>
    <cellStyle name="Migliaia 4 6 4 2" xfId="39595" xr:uid="{FD51BA18-94F0-4D45-AD3A-42D3DD14FA11}"/>
    <cellStyle name="Migliaia 4 6 4 3" xfId="44897" xr:uid="{C4E57680-2388-4EFA-9CEF-483AE043AF0D}"/>
    <cellStyle name="Migliaia 4 6 4 4" xfId="34052" xr:uid="{07819D7C-5C2D-4BA4-9C40-B22ED77823D8}"/>
    <cellStyle name="Migliaia 4 6 5" xfId="37001" xr:uid="{86F22D37-13B2-4D70-9C96-A5138D2C2D1A}"/>
    <cellStyle name="Migliaia 4 6 6" xfId="42246" xr:uid="{F0D785A2-051D-4F2B-A927-08300EE0DF88}"/>
    <cellStyle name="Migliaia 4 6 7" xfId="16535" xr:uid="{22AF3DEA-FCEA-480F-9975-AEFB104B14DF}"/>
    <cellStyle name="Migliaia 4 6 8" xfId="7488" xr:uid="{40F40624-F372-4DBA-BCD5-0ECDF2933D58}"/>
    <cellStyle name="Migliaia 4 7" xfId="3646" xr:uid="{B35065B9-9393-4940-9342-948183CB72CE}"/>
    <cellStyle name="Migliaia 4 7 2" xfId="5372" xr:uid="{97CF11F6-CB96-4039-9F5B-71E2679370E0}"/>
    <cellStyle name="Migliaia 4 7 2 2" xfId="35359" xr:uid="{7B14621E-FC71-4394-8EA9-9A0BACD321E4}"/>
    <cellStyle name="Migliaia 4 7 2 2 2" xfId="40519" xr:uid="{39C2A076-9DA7-42C2-8675-D92ED3F4B204}"/>
    <cellStyle name="Migliaia 4 7 2 2 3" xfId="45821" xr:uid="{C4878F5C-8911-4574-866B-02B785359181}"/>
    <cellStyle name="Migliaia 4 7 2 3" xfId="37868" xr:uid="{1D3D1678-45FB-4983-9713-5749590FF69E}"/>
    <cellStyle name="Migliaia 4 7 2 4" xfId="43170" xr:uid="{44504BAE-A97D-4DD4-987C-1E49762DBC78}"/>
    <cellStyle name="Migliaia 4 7 2 5" xfId="14278" xr:uid="{7975038C-C98A-4E6D-A69F-3BA1C46EE4A6}"/>
    <cellStyle name="Migliaia 4 7 3" xfId="6562" xr:uid="{7484FC6F-6A4E-44DB-AA93-6AAA417D753C}"/>
    <cellStyle name="Migliaia 4 7 3 2" xfId="39596" xr:uid="{54D5645D-1E96-490A-B0AF-3A54A9597CA1}"/>
    <cellStyle name="Migliaia 4 7 3 3" xfId="44898" xr:uid="{69734EF3-27BD-486C-81F3-A712955E7729}"/>
    <cellStyle name="Migliaia 4 7 3 4" xfId="34053" xr:uid="{4D0C88B6-5629-4CF9-846C-8FDF91C4E8CA}"/>
    <cellStyle name="Migliaia 4 7 3 5" xfId="20589" xr:uid="{91D510A5-F7B4-47AD-827D-A37D34DC594A}"/>
    <cellStyle name="Migliaia 4 7 4" xfId="37002" xr:uid="{26B4FBB3-E6DD-432A-B263-5B03647BC1B7}"/>
    <cellStyle name="Migliaia 4 7 5" xfId="42247" xr:uid="{D4C14922-6D96-4C11-88DF-B7D156B149BF}"/>
    <cellStyle name="Migliaia 4 7 6" xfId="16537" xr:uid="{1F8CA726-E694-491E-B0F7-26603DBEFC87}"/>
    <cellStyle name="Migliaia 4 7 7" xfId="8340" xr:uid="{BF170BA1-549C-448A-BA84-878BE46479D6}"/>
    <cellStyle name="Migliaia 4 8" xfId="3647" xr:uid="{1F07FE26-4361-471D-A1E0-6485B1672019}"/>
    <cellStyle name="Migliaia 4 8 2" xfId="5373" xr:uid="{114F8054-6210-43FA-B85C-260F4D637F6C}"/>
    <cellStyle name="Migliaia 4 8 2 2" xfId="35360" xr:uid="{6EAC7FDC-47F0-44EC-B56F-AF152FD2719F}"/>
    <cellStyle name="Migliaia 4 8 2 2 2" xfId="40520" xr:uid="{AC1D5628-3CC6-48C8-A5FF-9AFA826CA09F}"/>
    <cellStyle name="Migliaia 4 8 2 2 3" xfId="45822" xr:uid="{005BF8B5-87C0-4638-B011-305D79BB1CED}"/>
    <cellStyle name="Migliaia 4 8 2 3" xfId="37869" xr:uid="{C3F085D2-919B-4B7A-96DE-037F5A78D883}"/>
    <cellStyle name="Migliaia 4 8 2 4" xfId="43171" xr:uid="{11D45EED-CDDD-47B0-82B4-6ECD5EF7DCF3}"/>
    <cellStyle name="Migliaia 4 8 2 5" xfId="13983" xr:uid="{15C95D41-42D6-4626-856D-16870D8C4F77}"/>
    <cellStyle name="Migliaia 4 8 3" xfId="6563" xr:uid="{817BEC91-123F-47A2-9491-0E24223B3FB7}"/>
    <cellStyle name="Migliaia 4 8 3 2" xfId="39597" xr:uid="{B7C5660F-0CA3-4304-B6FD-C714B5989A09}"/>
    <cellStyle name="Migliaia 4 8 3 3" xfId="44899" xr:uid="{672CF9EF-D9AF-40DB-980A-142D0A1FADD1}"/>
    <cellStyle name="Migliaia 4 8 3 4" xfId="34054" xr:uid="{08F639CD-6885-44F7-8759-C4C31DCF8CB2}"/>
    <cellStyle name="Migliaia 4 8 3 5" xfId="20590" xr:uid="{42D6E2F5-D2C0-4701-9057-DCBF4F24AB23}"/>
    <cellStyle name="Migliaia 4 8 4" xfId="37003" xr:uid="{1E426BA2-A896-4CF2-A28E-61B770875403}"/>
    <cellStyle name="Migliaia 4 8 5" xfId="42248" xr:uid="{28715A8F-819B-4DCE-A1CB-E8D2B39FBB43}"/>
    <cellStyle name="Migliaia 4 8 6" xfId="16538" xr:uid="{14876143-C891-456C-8EE1-80D4F4D7B588}"/>
    <cellStyle name="Migliaia 4 8 7" xfId="7954" xr:uid="{231C9DEA-6294-4D54-B7EC-6816E1239DC2}"/>
    <cellStyle name="Migliaia 4 9" xfId="5358" xr:uid="{FCECB6E5-A6B7-487A-98FC-EA4F8B2032FF}"/>
    <cellStyle name="Migliaia 4 9 2" xfId="34055" xr:uid="{49C4C0C2-2F84-48E9-B0EF-DCAC511DCECD}"/>
    <cellStyle name="Migliaia 4 9 2 2" xfId="39598" xr:uid="{C79FE9F2-8970-4139-A00D-E6C251C70A9E}"/>
    <cellStyle name="Migliaia 4 9 2 3" xfId="44900" xr:uid="{D394EFBC-34FC-4914-A293-D4499C79BF38}"/>
    <cellStyle name="Migliaia 4 9 3" xfId="37004" xr:uid="{2141CA6A-A914-4C46-B3F0-9494CD158296}"/>
    <cellStyle name="Migliaia 4 9 4" xfId="42249" xr:uid="{8510F204-0330-4202-A227-D383954B9FAC}"/>
    <cellStyle name="Migliaia 4 9 5" xfId="17201" xr:uid="{A67027E8-59EE-4A2B-AE13-7BFE081BE1AE}"/>
    <cellStyle name="Migliaia 40" xfId="437" xr:uid="{00000000-0005-0000-0000-0000F1030000}"/>
    <cellStyle name="Migliaia 40 10" xfId="6564" xr:uid="{3F548FCE-A300-454C-9A57-0C44B64D906D}"/>
    <cellStyle name="Migliaia 40 10 2" xfId="39599" xr:uid="{9FF0780A-2BF7-465A-A355-AFF9FB40BC86}"/>
    <cellStyle name="Migliaia 40 10 3" xfId="44901" xr:uid="{3DAB61FC-C459-4BF6-B525-D9BD25DCD327}"/>
    <cellStyle name="Migliaia 40 10 4" xfId="34056" xr:uid="{B8B98F7E-BBC5-4460-882B-88D3F3388560}"/>
    <cellStyle name="Migliaia 40 10 5" xfId="20591" xr:uid="{3FA7C231-C23C-49DC-9469-044759BA7D6D}"/>
    <cellStyle name="Migliaia 40 11" xfId="3648" xr:uid="{2DDCC1D5-2C24-455F-AC00-81AFB21B95BF}"/>
    <cellStyle name="Migliaia 40 11 2" xfId="37005" xr:uid="{B363CC94-AA29-4E13-AFCC-53292E2B2561}"/>
    <cellStyle name="Migliaia 40 12" xfId="42250" xr:uid="{E1EECA55-9B6C-4610-A298-0187E9768492}"/>
    <cellStyle name="Migliaia 40 13" xfId="7144" xr:uid="{DE6FDF63-3DDB-47E6-AB3F-B4F133D6A5DD}"/>
    <cellStyle name="Migliaia 40 2" xfId="438" xr:uid="{00000000-0005-0000-0000-0000F2030000}"/>
    <cellStyle name="Migliaia 40 2 2" xfId="1826" xr:uid="{00000000-0005-0000-0000-0000F3030000}"/>
    <cellStyle name="Migliaia 40 2 2 2" xfId="5376" xr:uid="{E5901360-51EC-402A-B5A7-A3E9CE8EEB5B}"/>
    <cellStyle name="Migliaia 40 2 2 2 2" xfId="14397" xr:uid="{A21CD7D4-88EB-4FC5-932D-14FB5F48D202}"/>
    <cellStyle name="Migliaia 40 2 2 2 2 2" xfId="39600" xr:uid="{AC2567A2-743A-48EE-B465-8B246B4A00C8}"/>
    <cellStyle name="Migliaia 40 2 2 2 2 3" xfId="44902" xr:uid="{614629EA-19A9-4988-985D-483E25B3960F}"/>
    <cellStyle name="Migliaia 40 2 2 2 3" xfId="18464" xr:uid="{E4B9826C-05AF-4445-9587-CCBE7E80122D}"/>
    <cellStyle name="Migliaia 40 2 2 2 4" xfId="20594" xr:uid="{BC3CD92B-F809-4599-B9DB-B55E3F626894}"/>
    <cellStyle name="Migliaia 40 2 2 2 4 2" xfId="42251" xr:uid="{E4CDD84A-58E3-41CF-B975-5DF12FD2F816}"/>
    <cellStyle name="Migliaia 40 2 2 2 5" xfId="16539" xr:uid="{84187E1E-F290-4DB8-89F1-CFEBB3EBB493}"/>
    <cellStyle name="Migliaia 40 2 2 2 6" xfId="8685" xr:uid="{43E8B2EB-7AB9-4A67-BF86-0B5DBFBF0699}"/>
    <cellStyle name="Migliaia 40 2 2 3" xfId="6566" xr:uid="{32D79352-E617-4BEF-BA40-7DED70798825}"/>
    <cellStyle name="Migliaia 40 2 2 3 2" xfId="35361" xr:uid="{F09E6BD1-5A68-4A37-A413-716EE4B2701C}"/>
    <cellStyle name="Migliaia 40 2 2 3 2 2" xfId="40521" xr:uid="{74EFA444-C579-4A97-A86B-5523A803D7A0}"/>
    <cellStyle name="Migliaia 40 2 2 3 2 3" xfId="45823" xr:uid="{0333B11A-1CD7-4801-A808-FC3CB3A9760B}"/>
    <cellStyle name="Migliaia 40 2 2 3 3" xfId="37870" xr:uid="{39B22016-1C51-46EF-A055-0ED5CCD0D5A2}"/>
    <cellStyle name="Migliaia 40 2 2 3 4" xfId="43172" xr:uid="{C0A7687A-F711-4E3F-A34F-67CEC2961306}"/>
    <cellStyle name="Migliaia 40 2 2 3 5" xfId="11624" xr:uid="{35127764-8DF0-4DD4-B5FB-456372024E51}"/>
    <cellStyle name="Migliaia 40 2 2 4" xfId="3650" xr:uid="{71D9899D-9093-4CFD-BD9B-43CA373D767A}"/>
    <cellStyle name="Migliaia 40 2 2 4 2" xfId="21538" xr:uid="{0B6459B3-4CA0-42E3-8AF2-5C7133420C3F}"/>
    <cellStyle name="Migliaia 40 2 2 4 3" xfId="47901" xr:uid="{B9F04CDF-EC91-4047-BA91-86C971FB1889}"/>
    <cellStyle name="Migliaia 40 2 2 4 4" xfId="50553" xr:uid="{7EAAE896-BACB-4990-9874-72509061BD56}"/>
    <cellStyle name="Migliaia 40 2 2 4 5" xfId="53569" xr:uid="{A6340A2C-F92C-43E1-B8EA-B48C6DD9E120}"/>
    <cellStyle name="Migliaia 40 2 2 4 6" xfId="10903" xr:uid="{B1415B4B-6FBA-4190-8410-D5B7743378BF}"/>
    <cellStyle name="Migliaia 40 2 2 5" xfId="20593" xr:uid="{537294FC-FE26-4E40-B710-B464D551EB14}"/>
    <cellStyle name="Migliaia 40 2 2 6" xfId="24968" xr:uid="{CB8EBF23-65DB-43E3-8423-2B0AF1C83DDA}"/>
    <cellStyle name="Migliaia 40 2 2 7" xfId="7495" xr:uid="{C77F6371-E216-46F9-B1C1-D360EE3F6FAE}"/>
    <cellStyle name="Migliaia 40 2 3" xfId="3651" xr:uid="{53BEE199-6FB4-427F-ADED-D1BF60783B9A}"/>
    <cellStyle name="Migliaia 40 2 3 2" xfId="5377" xr:uid="{FB2CDA29-6041-491B-AA1D-AE58514C6506}"/>
    <cellStyle name="Migliaia 40 2 3 2 2" xfId="35362" xr:uid="{E255323F-3FD8-4ABE-A322-F2B202A544F4}"/>
    <cellStyle name="Migliaia 40 2 3 2 2 2" xfId="40522" xr:uid="{0968628F-F392-409F-A09E-01938D76E12C}"/>
    <cellStyle name="Migliaia 40 2 3 2 2 3" xfId="45824" xr:uid="{454343AE-A468-4E29-8E59-BD21DD435B00}"/>
    <cellStyle name="Migliaia 40 2 3 2 3" xfId="37871" xr:uid="{EDA50057-AF19-4B45-BE28-F9A7412CB90B}"/>
    <cellStyle name="Migliaia 40 2 3 2 4" xfId="43173" xr:uid="{B24EBE1C-BB2A-4B11-81CA-EEEEE1A0B857}"/>
    <cellStyle name="Migliaia 40 2 3 2 5" xfId="14282" xr:uid="{66D408B3-1B39-411C-A60C-C8BA15164901}"/>
    <cellStyle name="Migliaia 40 2 3 3" xfId="6567" xr:uid="{AB8201F6-BF34-444A-AA41-2549D83721C5}"/>
    <cellStyle name="Migliaia 40 2 3 3 2" xfId="39601" xr:uid="{22EE30E1-164D-42F0-B381-B7CE5CDA9CA8}"/>
    <cellStyle name="Migliaia 40 2 3 3 3" xfId="44903" xr:uid="{7EA15FA1-1158-48F4-B9E9-BF21D6487FEF}"/>
    <cellStyle name="Migliaia 40 2 3 3 4" xfId="34058" xr:uid="{110D3AC7-E980-4F5D-9EF0-02465EA4523F}"/>
    <cellStyle name="Migliaia 40 2 3 3 5" xfId="20595" xr:uid="{EE0BFE85-41C8-40BC-9F8E-E77553C52EA8}"/>
    <cellStyle name="Migliaia 40 2 3 4" xfId="37007" xr:uid="{00AF6B28-0271-42CA-9D54-531FE996BF01}"/>
    <cellStyle name="Migliaia 40 2 3 5" xfId="42252" xr:uid="{9C1EADE4-6246-4B0A-9B60-C382805C880A}"/>
    <cellStyle name="Migliaia 40 2 3 6" xfId="16540" xr:uid="{A2B114AC-1597-479E-A4A6-626189DE37E2}"/>
    <cellStyle name="Migliaia 40 2 3 7" xfId="8344" xr:uid="{4F901284-43D1-4CAC-B0D6-A064713D6F33}"/>
    <cellStyle name="Migliaia 40 2 4" xfId="5375" xr:uid="{1254A463-2801-4829-B90F-0B124C2BA1BD}"/>
    <cellStyle name="Migliaia 40 2 4 2" xfId="13987" xr:uid="{0E98C99C-96DF-4041-9707-B0538204FD8D}"/>
    <cellStyle name="Migliaia 40 2 4 2 2" xfId="39602" xr:uid="{A9C5BB71-E436-4538-AB95-1C0327AC99F7}"/>
    <cellStyle name="Migliaia 40 2 4 2 3" xfId="44904" xr:uid="{4A6CFB85-286E-4DA3-8E91-D66EACD7A078}"/>
    <cellStyle name="Migliaia 40 2 4 3" xfId="18701" xr:uid="{04486297-4990-4B10-A4CD-2F49712CEA48}"/>
    <cellStyle name="Migliaia 40 2 4 4" xfId="20596" xr:uid="{94C51E1C-B50C-420E-97C1-A8E3A1D734B2}"/>
    <cellStyle name="Migliaia 40 2 4 4 2" xfId="42253" xr:uid="{8740280E-1F43-4657-9422-FC69051F57C9}"/>
    <cellStyle name="Migliaia 40 2 4 5" xfId="16541" xr:uid="{8A58FC5D-7D8D-46A3-82A3-CCFB32481197}"/>
    <cellStyle name="Migliaia 40 2 4 6" xfId="7959" xr:uid="{BE680D8F-D774-472A-BB71-DAA115FB88FD}"/>
    <cellStyle name="Migliaia 40 2 5" xfId="6565" xr:uid="{CBA65061-74AA-49C7-829E-4A359E2ABA62}"/>
    <cellStyle name="Migliaia 40 2 5 2" xfId="34060" xr:uid="{8A51699D-84E0-40BD-9DC6-76837CAAB951}"/>
    <cellStyle name="Migliaia 40 2 5 2 2" xfId="39603" xr:uid="{22E4FBB7-6DD7-4E6A-944D-827265CD306F}"/>
    <cellStyle name="Migliaia 40 2 5 2 3" xfId="44905" xr:uid="{A5DFB281-F6C3-480E-97DD-CEDCAD7D5D40}"/>
    <cellStyle name="Migliaia 40 2 5 3" xfId="37009" xr:uid="{4F0C80AB-516F-46EA-B211-B41FEA4402D2}"/>
    <cellStyle name="Migliaia 40 2 5 4" xfId="42254" xr:uid="{70799F08-AB89-49A3-AF36-DA25D1DD4B7D}"/>
    <cellStyle name="Migliaia 40 2 5 5" xfId="13137" xr:uid="{E7CB4195-53AA-4EAE-980E-DC94A04112B6}"/>
    <cellStyle name="Migliaia 40 2 6" xfId="3649" xr:uid="{11E2DD5E-9B3B-4D3A-9ACC-CCD961C196E8}"/>
    <cellStyle name="Migliaia 40 2 6 2" xfId="34061" xr:uid="{F3DBD151-47F9-4948-8983-43A4B357528A}"/>
    <cellStyle name="Migliaia 40 2 6 2 2" xfId="39604" xr:uid="{59BDB291-1A75-46B8-BDD0-5028F75BADB9}"/>
    <cellStyle name="Migliaia 40 2 6 2 3" xfId="44906" xr:uid="{CA17BA01-6894-418F-A556-63A30F15A981}"/>
    <cellStyle name="Migliaia 40 2 6 3" xfId="37010" xr:uid="{7E8A5813-28F5-45DF-82AB-7F5C98201993}"/>
    <cellStyle name="Migliaia 40 2 6 4" xfId="42255" xr:uid="{E775CDDE-8A21-4639-AE46-85FCE995722D}"/>
    <cellStyle name="Migliaia 40 2 6 5" xfId="24973" xr:uid="{D192117A-2231-4AE0-8967-F6E8E5047773}"/>
    <cellStyle name="Migliaia 40 2 6 6" xfId="20592" xr:uid="{FDF21277-6EE1-460A-A0EC-757B532C85C3}"/>
    <cellStyle name="Migliaia 40 2 7" xfId="24967" xr:uid="{BE50D5A7-5219-4951-97AA-E443EDAE4AF5}"/>
    <cellStyle name="Migliaia 40 2 8" xfId="7145" xr:uid="{E0BDF0DC-A599-47BC-B153-13A02C313A86}"/>
    <cellStyle name="Migliaia 40 3" xfId="439" xr:uid="{00000000-0005-0000-0000-0000F4030000}"/>
    <cellStyle name="Migliaia 40 3 10" xfId="24974" xr:uid="{04DF16EA-6B44-442E-804A-CC63110A36AF}"/>
    <cellStyle name="Migliaia 40 3 11" xfId="16542" xr:uid="{E0D29783-D3CA-4B7D-B589-35D167DCA9D4}"/>
    <cellStyle name="Migliaia 40 3 12" xfId="7146" xr:uid="{DF6C5C25-F622-447B-B47C-F3A1D70E70C6}"/>
    <cellStyle name="Migliaia 40 3 2" xfId="440" xr:uid="{00000000-0005-0000-0000-0000F5030000}"/>
    <cellStyle name="Migliaia 40 3 2 2" xfId="1827" xr:uid="{00000000-0005-0000-0000-0000F6030000}"/>
    <cellStyle name="Migliaia 40 3 2 2 2" xfId="5380" xr:uid="{A35AF7A5-2F1F-4EF8-82E4-AF2E94513DB0}"/>
    <cellStyle name="Migliaia 40 3 2 2 2 2" xfId="18465" xr:uid="{16B18845-5C8F-4506-A8FE-2B4360B0D5D1}"/>
    <cellStyle name="Migliaia 40 3 2 2 2 2 2" xfId="21875" xr:uid="{EF8EC2C0-9F05-496E-B18F-BA306B0112A4}"/>
    <cellStyle name="Migliaia 40 3 2 2 2 2 2 2" xfId="39605" xr:uid="{FFFE6351-8E14-4BCB-BB15-EB14857E8801}"/>
    <cellStyle name="Migliaia 40 3 2 2 2 2 3" xfId="44907" xr:uid="{0D2D6C26-29C8-4249-BB54-5739D55B60DD}"/>
    <cellStyle name="Migliaia 40 3 2 2 2 2 4" xfId="34062" xr:uid="{1412F6C7-C45F-4934-B4C3-052B4A336B3C}"/>
    <cellStyle name="Migliaia 40 3 2 2 2 3" xfId="37011" xr:uid="{131237C6-EBAB-4858-A95B-1E0808B377ED}"/>
    <cellStyle name="Migliaia 40 3 2 2 2 4" xfId="42256" xr:uid="{A3651C63-FB90-4436-9E18-EE8BE9804ACF}"/>
    <cellStyle name="Migliaia 40 3 2 2 2 5" xfId="46749" xr:uid="{025786E8-A5F4-4C82-A341-DA4820445F02}"/>
    <cellStyle name="Migliaia 40 3 2 2 2 6" xfId="50903" xr:uid="{8C5B3888-24AB-4839-ABCA-121CD5CD6CF3}"/>
    <cellStyle name="Migliaia 40 3 2 2 2 7" xfId="53919" xr:uid="{5C6499F8-0CEE-4B32-BE81-83B5A636DC88}"/>
    <cellStyle name="Migliaia 40 3 2 2 2 8" xfId="17673" xr:uid="{BE63C4AD-4456-4849-BF52-0FC126F125C4}"/>
    <cellStyle name="Migliaia 40 3 2 2 2 9" xfId="12023" xr:uid="{38DB8E41-1981-4183-AC64-54858C445F50}"/>
    <cellStyle name="Migliaia 40 3 2 2 3" xfId="6570" xr:uid="{3086855A-C625-421B-9A5F-DF363A5127D8}"/>
    <cellStyle name="Migliaia 40 3 2 2 3 2" xfId="11177" xr:uid="{F3291818-B989-4F04-86E5-5BDA3564F188}"/>
    <cellStyle name="Migliaia 40 3 2 2 4" xfId="3654" xr:uid="{CF9F03F0-8E70-4308-98C1-894B795C6C68}"/>
    <cellStyle name="Migliaia 40 3 2 2 4 2" xfId="21539" xr:uid="{145D2151-4650-4970-803C-D1F84C336672}"/>
    <cellStyle name="Migliaia 40 3 2 2 4 3" xfId="47423" xr:uid="{823151E0-89B2-4BA9-9197-23E675037192}"/>
    <cellStyle name="Migliaia 40 3 2 2 4 4" xfId="50554" xr:uid="{C5E0848B-9122-4015-A525-8C25DDBE133F}"/>
    <cellStyle name="Migliaia 40 3 2 2 4 5" xfId="53570" xr:uid="{77026AAD-0B63-414C-8885-FD14945085A4}"/>
    <cellStyle name="Migliaia 40 3 2 2 4 6" xfId="10904" xr:uid="{2D6123A9-6031-465E-ADDD-8771D345C1EC}"/>
    <cellStyle name="Migliaia 40 3 2 2 5" xfId="20599" xr:uid="{B4215A2E-3EE7-4EB1-A3F1-A97460CD8BD5}"/>
    <cellStyle name="Migliaia 40 3 2 2 6" xfId="24976" xr:uid="{17E76108-C79E-438E-A919-5DC9DD2C6A4E}"/>
    <cellStyle name="Migliaia 40 3 2 2 7" xfId="8687" xr:uid="{03EA865A-061E-463F-9638-F8C694B78606}"/>
    <cellStyle name="Migliaia 40 3 2 3" xfId="5379" xr:uid="{13DC3EE7-8E02-4896-9A4D-F7B08ECAC9B0}"/>
    <cellStyle name="Migliaia 40 3 2 3 2" xfId="12223" xr:uid="{3707D694-19C4-4BE4-A29C-88364C5F2971}"/>
    <cellStyle name="Migliaia 40 3 2 3 2 2" xfId="39606" xr:uid="{D4404CCB-0A71-41DE-99C9-0F5079905FD7}"/>
    <cellStyle name="Migliaia 40 3 2 3 2 3" xfId="44908" xr:uid="{FD502630-C855-4601-BC34-494A2BF692B6}"/>
    <cellStyle name="Migliaia 40 3 2 3 2 4" xfId="34063" xr:uid="{DB0379D9-7B41-4788-B27F-3D4BDC747F3D}"/>
    <cellStyle name="Migliaia 40 3 2 3 3" xfId="12024" xr:uid="{5D695A85-4883-4BB6-B552-3665BE7C17C6}"/>
    <cellStyle name="Migliaia 40 3 2 3 4" xfId="20600" xr:uid="{8D3E1576-6F38-40B7-B731-B674CFA294D4}"/>
    <cellStyle name="Migliaia 40 3 2 3 4 2" xfId="42257" xr:uid="{C5F27EE2-F264-4B9A-8027-06EC098F8AC1}"/>
    <cellStyle name="Migliaia 40 3 2 3 5" xfId="16543" xr:uid="{41685E66-1924-459D-8A7E-6C1D45495D1E}"/>
    <cellStyle name="Migliaia 40 3 2 3 6" xfId="7961" xr:uid="{19802D85-E4E3-4E6E-9C90-D2164BD01FC3}"/>
    <cellStyle name="Migliaia 40 3 2 4" xfId="6569" xr:uid="{3AA213D6-C2D6-458A-BF0A-22C44E871D76}"/>
    <cellStyle name="Migliaia 40 3 2 4 2" xfId="18091" xr:uid="{2E54F842-3123-48AC-BB25-E5F52F291644}"/>
    <cellStyle name="Migliaia 40 3 2 4 2 2" xfId="39607" xr:uid="{E08E2476-8734-4E8C-8501-C5C41AB4FB1D}"/>
    <cellStyle name="Migliaia 40 3 2 4 2 3" xfId="44909" xr:uid="{A5EC403C-F04E-4A35-9401-BAA33E9B6281}"/>
    <cellStyle name="Migliaia 40 3 2 4 3" xfId="37013" xr:uid="{722EB077-EE1A-4930-9C9E-A32555D8949F}"/>
    <cellStyle name="Migliaia 40 3 2 4 4" xfId="42258" xr:uid="{D9A61075-DD41-49BB-9D4E-5A7AEBB2EA4B}"/>
    <cellStyle name="Migliaia 40 3 2 4 5" xfId="17204" xr:uid="{401647B4-7364-4B9D-98BF-062549EE0BAA}"/>
    <cellStyle name="Migliaia 40 3 2 4 6" xfId="11372" xr:uid="{9D83BD44-3B72-4645-92FB-E23674B72B4A}"/>
    <cellStyle name="Migliaia 40 3 2 5" xfId="3653" xr:uid="{EEACEFAB-A5C3-4BBD-BC01-229050BC67C6}"/>
    <cellStyle name="Migliaia 40 3 2 5 2" xfId="34065" xr:uid="{2B9F5EE1-AB19-4B98-9DE7-65A1B1CA07B9}"/>
    <cellStyle name="Migliaia 40 3 2 5 2 2" xfId="39608" xr:uid="{9561DBC3-A8CE-4B9E-9BA1-5DAFCBB22257}"/>
    <cellStyle name="Migliaia 40 3 2 5 2 3" xfId="44910" xr:uid="{9A61443D-81F9-4BB7-8CBF-E93F7A2326A0}"/>
    <cellStyle name="Migliaia 40 3 2 5 3" xfId="37014" xr:uid="{5F03C033-B7A5-4EB8-A44A-4B91D67FBC97}"/>
    <cellStyle name="Migliaia 40 3 2 5 4" xfId="42259" xr:uid="{6EA43870-186E-4914-A427-675C19344E9A}"/>
    <cellStyle name="Migliaia 40 3 2 5 5" xfId="17324" xr:uid="{4F1EAB65-72C9-4800-A591-6709ABC849A7}"/>
    <cellStyle name="Migliaia 40 3 2 6" xfId="20598" xr:uid="{ECA00CFB-368B-4193-92E8-56DBBEDEF100}"/>
    <cellStyle name="Migliaia 40 3 2 6 2" xfId="34066" xr:uid="{B0320758-8546-41C2-BD97-E82F26F7DBA6}"/>
    <cellStyle name="Migliaia 40 3 2 6 2 2" xfId="39609" xr:uid="{64A353C0-E06C-4C34-A9D3-13019FCDB861}"/>
    <cellStyle name="Migliaia 40 3 2 6 2 3" xfId="44911" xr:uid="{C0ED8034-2637-4111-BA46-8391EBDBBA93}"/>
    <cellStyle name="Migliaia 40 3 2 6 3" xfId="37015" xr:uid="{9C5055B7-776C-4079-8AD6-521470907CF5}"/>
    <cellStyle name="Migliaia 40 3 2 6 4" xfId="42260" xr:uid="{9FD535AB-D387-49BA-8BF4-6D44CFDF42BA}"/>
    <cellStyle name="Migliaia 40 3 2 6 5" xfId="24981" xr:uid="{8CEC5436-A8FC-4290-A794-0FFF5143F87D}"/>
    <cellStyle name="Migliaia 40 3 2 7" xfId="24975" xr:uid="{63576FAC-3871-48F6-8695-B25D348E4B0C}"/>
    <cellStyle name="Migliaia 40 3 2 8" xfId="7497" xr:uid="{6B77FDA6-5532-4DBF-B634-582A0B1E72BC}"/>
    <cellStyle name="Migliaia 40 3 3" xfId="3655" xr:uid="{6EE31049-E971-40F1-BAF2-35550E2D1FCA}"/>
    <cellStyle name="Migliaia 40 3 3 10" xfId="7496" xr:uid="{D74618B2-3DDB-44DB-9961-542768B3DFA6}"/>
    <cellStyle name="Migliaia 40 3 3 2" xfId="5381" xr:uid="{864D2D15-010C-48C4-9ADC-6B872AFD4245}"/>
    <cellStyle name="Migliaia 40 3 3 2 2" xfId="9950" xr:uid="{FD930C7C-DBDB-44AB-B812-CC15B32C6D00}"/>
    <cellStyle name="Migliaia 40 3 3 2 2 2" xfId="39611" xr:uid="{338E9DB5-42C5-4FDB-B7E4-8BC5D27C7459}"/>
    <cellStyle name="Migliaia 40 3 3 2 2 3" xfId="44913" xr:uid="{E4AC2DE6-FBF2-4053-9AE2-B35DD1718FEA}"/>
    <cellStyle name="Migliaia 40 3 3 2 3" xfId="18230" xr:uid="{CBF57C9F-4F0C-4643-B92B-3CD60D78BEF5}"/>
    <cellStyle name="Migliaia 40 3 3 2 4" xfId="20602" xr:uid="{7D66451B-58DB-49A7-B785-DC1E93F58BB0}"/>
    <cellStyle name="Migliaia 40 3 3 2 4 2" xfId="42262" xr:uid="{300FA86D-287F-4646-BB81-28BAF85FD7DB}"/>
    <cellStyle name="Migliaia 40 3 3 2 5" xfId="16545" xr:uid="{48AEBCB9-FCFE-4566-9BF7-822F46449D86}"/>
    <cellStyle name="Migliaia 40 3 3 2 6" xfId="8686" xr:uid="{63679DAC-586B-408E-99D4-6CE0150700B3}"/>
    <cellStyle name="Migliaia 40 3 3 3" xfId="6571" xr:uid="{4B56B737-966C-4DE5-9210-390C168CF428}"/>
    <cellStyle name="Migliaia 40 3 3 3 2" xfId="34069" xr:uid="{81E0AD06-1A28-4B8C-8327-8D7060339999}"/>
    <cellStyle name="Migliaia 40 3 3 3 2 2" xfId="39612" xr:uid="{A55E5618-5D11-4195-885B-1FBFBF83CA03}"/>
    <cellStyle name="Migliaia 40 3 3 3 2 3" xfId="44914" xr:uid="{4A682D39-4A31-4540-AFCA-4D8A7959A52E}"/>
    <cellStyle name="Migliaia 40 3 3 3 3" xfId="37018" xr:uid="{7FA34C57-B68F-40BB-A400-E3EC1410E6EE}"/>
    <cellStyle name="Migliaia 40 3 3 3 4" xfId="42263" xr:uid="{7D2D67B9-ED79-4885-8D45-8E2C1C62459D}"/>
    <cellStyle name="Migliaia 40 3 3 3 5" xfId="9713" xr:uid="{448FDE21-5634-4F14-879E-C25254299B04}"/>
    <cellStyle name="Migliaia 40 3 3 4" xfId="20601" xr:uid="{2A55B4EF-A455-4E69-8AF6-863116B72749}"/>
    <cellStyle name="Migliaia 40 3 3 4 2" xfId="34070" xr:uid="{3B28A62E-D9D0-4D25-A978-4EE698BC0B3C}"/>
    <cellStyle name="Migliaia 40 3 3 4 2 2" xfId="39613" xr:uid="{FD5CDB4C-722C-4712-A23A-8EDEA3009112}"/>
    <cellStyle name="Migliaia 40 3 3 4 2 3" xfId="44915" xr:uid="{EF1562DB-63F6-492E-971E-0C7D3FE0A471}"/>
    <cellStyle name="Migliaia 40 3 3 4 3" xfId="37019" xr:uid="{45AE7AF7-BE82-4374-960A-B35E51A81BF1}"/>
    <cellStyle name="Migliaia 40 3 3 4 4" xfId="42264" xr:uid="{B0D6F25C-0038-4741-ADD9-1110F78880AD}"/>
    <cellStyle name="Migliaia 40 3 3 4 5" xfId="24985" xr:uid="{BD6F092C-1A3C-4A70-B2B4-6BF24BA535C9}"/>
    <cellStyle name="Migliaia 40 3 3 5" xfId="24986" xr:uid="{C045BEDC-B9CE-4FF1-ADEE-733BCE0D4258}"/>
    <cellStyle name="Migliaia 40 3 3 5 2" xfId="34071" xr:uid="{83FA60AC-3102-4794-819B-952E09F553CF}"/>
    <cellStyle name="Migliaia 40 3 3 5 2 2" xfId="39614" xr:uid="{5F7342DD-94C9-4907-991C-DECE57448872}"/>
    <cellStyle name="Migliaia 40 3 3 5 2 3" xfId="44916" xr:uid="{A670482B-53B1-434C-9716-1B608F79020F}"/>
    <cellStyle name="Migliaia 40 3 3 5 3" xfId="37020" xr:uid="{EED44E00-8384-4355-B945-BF6D4850440A}"/>
    <cellStyle name="Migliaia 40 3 3 5 4" xfId="42265" xr:uid="{5D7250B3-139D-42E8-BAE0-E183B42129DE}"/>
    <cellStyle name="Migliaia 40 3 3 6" xfId="34067" xr:uid="{1F7DC8A6-F5CB-4212-A8CA-4D49CE071E67}"/>
    <cellStyle name="Migliaia 40 3 3 6 2" xfId="39610" xr:uid="{008E8585-6FDC-4C0F-86C1-0A43E77AF85E}"/>
    <cellStyle name="Migliaia 40 3 3 6 3" xfId="44912" xr:uid="{7986AD2C-CFFC-4A7E-BE33-10D9C9B9787E}"/>
    <cellStyle name="Migliaia 40 3 3 7" xfId="37016" xr:uid="{DA64C292-C3D0-492D-8D65-408FD23E820F}"/>
    <cellStyle name="Migliaia 40 3 3 8" xfId="42261" xr:uid="{3313C9EF-952F-48CF-B2D3-ADD10C7B52FF}"/>
    <cellStyle name="Migliaia 40 3 3 9" xfId="16544" xr:uid="{2D2C9F21-679B-4411-AD4D-07DD7DD4B44A}"/>
    <cellStyle name="Migliaia 40 3 4" xfId="3656" xr:uid="{5BF90421-885E-4F28-A225-FB810E49DA92}"/>
    <cellStyle name="Migliaia 40 3 4 2" xfId="5382" xr:uid="{EB25D9ED-CEB4-484C-8702-F64C5F24969E}"/>
    <cellStyle name="Migliaia 40 3 4 2 2" xfId="14457" xr:uid="{CBDB46AE-FEE8-4079-9FA3-EC34121AEDE9}"/>
    <cellStyle name="Migliaia 40 3 4 2 3" xfId="18581" xr:uid="{C704AFF7-F7EE-46FC-9344-740F87DEC0A7}"/>
    <cellStyle name="Migliaia 40 3 4 2 4" xfId="20604" xr:uid="{59EE7D13-C229-40C5-B3B5-0FEFB139DF0B}"/>
    <cellStyle name="Migliaia 40 3 4 2 5" xfId="32413" xr:uid="{017B6750-60A0-4950-88EA-E4D1FBBFB467}"/>
    <cellStyle name="Migliaia 40 3 4 2 6" xfId="16547" xr:uid="{A2DC02B6-BDAA-483B-828B-CBAF4CCF9E20}"/>
    <cellStyle name="Migliaia 40 3 4 2 7" xfId="8880" xr:uid="{1D600F0A-02AC-49ED-A165-A62A28F1D5AC}"/>
    <cellStyle name="Migliaia 40 3 4 3" xfId="6572" xr:uid="{7C3F7D3E-F9F0-420A-B3E9-593B739973B5}"/>
    <cellStyle name="Migliaia 40 3 4 3 2" xfId="35363" xr:uid="{F497F27D-E790-450B-B137-516EF82E5975}"/>
    <cellStyle name="Migliaia 40 3 4 3 2 2" xfId="40523" xr:uid="{F7E571A0-E0AB-406B-AC33-A6C23408C09E}"/>
    <cellStyle name="Migliaia 40 3 4 3 2 3" xfId="45825" xr:uid="{E6C5BF17-54F5-41C8-8D3D-874EABBA7C6A}"/>
    <cellStyle name="Migliaia 40 3 4 3 3" xfId="37872" xr:uid="{DBF30D78-C7E2-4186-82C7-1DE80676F1BA}"/>
    <cellStyle name="Migliaia 40 3 4 3 4" xfId="43174" xr:uid="{B71AB9CA-6440-4DC9-ADDA-29FA7854904C}"/>
    <cellStyle name="Migliaia 40 3 4 3 5" xfId="13705" xr:uid="{6E34F8A4-193D-4588-8A07-533E100667F2}"/>
    <cellStyle name="Migliaia 40 3 4 4" xfId="20603" xr:uid="{3871E044-EBB6-491C-A49B-D34255558F73}"/>
    <cellStyle name="Migliaia 40 3 4 4 2" xfId="39615" xr:uid="{2A80D6BF-7D71-4CBB-8B7B-997F8EBCCDE6}"/>
    <cellStyle name="Migliaia 40 3 4 4 3" xfId="44917" xr:uid="{60D36D2F-F942-4EE8-B656-A540CE671EE8}"/>
    <cellStyle name="Migliaia 40 3 4 4 4" xfId="34072" xr:uid="{B9BCE288-995F-46A4-8723-DDA627131B84}"/>
    <cellStyle name="Migliaia 40 3 4 5" xfId="37021" xr:uid="{CBA9DA06-2911-4CD1-A067-799891164B91}"/>
    <cellStyle name="Migliaia 40 3 4 6" xfId="42266" xr:uid="{F3A856E8-A7D2-47D1-BB30-22D8F4BAF987}"/>
    <cellStyle name="Migliaia 40 3 4 7" xfId="16546" xr:uid="{EB8C3C29-A82F-479A-A401-9979635B0F0D}"/>
    <cellStyle name="Migliaia 40 3 4 8" xfId="7690" xr:uid="{72A155EA-EFFC-4779-B359-F929878ADA6A}"/>
    <cellStyle name="Migliaia 40 3 5" xfId="3657" xr:uid="{B82AF4CB-65B2-42CF-90C8-D0A33967B291}"/>
    <cellStyle name="Migliaia 40 3 5 2" xfId="5383" xr:uid="{26DFB600-A41E-4C5B-ABB0-60AEF244E8D7}"/>
    <cellStyle name="Migliaia 40 3 5 2 2" xfId="35364" xr:uid="{F53B499F-D5B6-40BC-B87A-83E679B7EF5C}"/>
    <cellStyle name="Migliaia 40 3 5 2 2 2" xfId="40524" xr:uid="{03C8A4E2-D2A8-4BAE-AC7F-93BE277062F5}"/>
    <cellStyle name="Migliaia 40 3 5 2 2 3" xfId="45826" xr:uid="{C80AA801-26D5-4123-A536-07602CF39FE6}"/>
    <cellStyle name="Migliaia 40 3 5 2 3" xfId="37873" xr:uid="{19B5455E-8F9F-4596-86D6-6101D28AA084}"/>
    <cellStyle name="Migliaia 40 3 5 2 4" xfId="43175" xr:uid="{0A03221F-E1C4-45E0-A4FE-137FAADB35BF}"/>
    <cellStyle name="Migliaia 40 3 5 2 5" xfId="14283" xr:uid="{D29D81AE-CED6-4AFA-ADDC-058EE29863CC}"/>
    <cellStyle name="Migliaia 40 3 5 3" xfId="6573" xr:uid="{BF77D1C9-BEDE-4822-9AC6-935ABF49A4F5}"/>
    <cellStyle name="Migliaia 40 3 5 3 2" xfId="39616" xr:uid="{2B5DCFA1-E127-437B-A834-E1B5B313571B}"/>
    <cellStyle name="Migliaia 40 3 5 3 3" xfId="44918" xr:uid="{550B641E-3CF6-4CA9-950B-F0D0A6DF9658}"/>
    <cellStyle name="Migliaia 40 3 5 3 4" xfId="34073" xr:uid="{9F6CD954-CD42-40F5-9E07-C1A5166CC93D}"/>
    <cellStyle name="Migliaia 40 3 5 3 5" xfId="20605" xr:uid="{63635582-6B95-4EFB-8387-B55BF3A763BE}"/>
    <cellStyle name="Migliaia 40 3 5 4" xfId="37022" xr:uid="{95D7FBF1-BF27-4B59-AE01-C208583A31BB}"/>
    <cellStyle name="Migliaia 40 3 5 5" xfId="42267" xr:uid="{80C25C73-A5AA-48ED-8968-E3C5ABA02883}"/>
    <cellStyle name="Migliaia 40 3 5 6" xfId="16548" xr:uid="{9DB7B4DA-A06C-4A88-A3E9-2D033EAFED16}"/>
    <cellStyle name="Migliaia 40 3 5 7" xfId="8345" xr:uid="{72746BFE-D190-46FB-A678-D3ABBB7F9D00}"/>
    <cellStyle name="Migliaia 40 3 6" xfId="5378" xr:uid="{301BF274-5B41-4690-89C4-21264D90D556}"/>
    <cellStyle name="Migliaia 40 3 6 2" xfId="13988" xr:uid="{81B23282-D4AD-4314-87D9-9F2E5E5E357C}"/>
    <cellStyle name="Migliaia 40 3 6 2 2" xfId="39617" xr:uid="{29B801F0-1D51-4C55-B8C9-4B4038BF8D4E}"/>
    <cellStyle name="Migliaia 40 3 6 2 3" xfId="44919" xr:uid="{B8093332-39CD-4DB0-A300-A30A4139B8DA}"/>
    <cellStyle name="Migliaia 40 3 6 3" xfId="18700" xr:uid="{FB1DE14F-A872-4458-9939-93114744910D}"/>
    <cellStyle name="Migliaia 40 3 6 4" xfId="20606" xr:uid="{E3F5E471-8E22-4792-A4EE-3FFF1FC2AB89}"/>
    <cellStyle name="Migliaia 40 3 6 4 2" xfId="42268" xr:uid="{81509DAD-8167-43C8-9BD9-C7FBF69AAF5E}"/>
    <cellStyle name="Migliaia 40 3 6 5" xfId="16549" xr:uid="{B73FE2FE-188E-465A-8DCC-4F60AB0736A3}"/>
    <cellStyle name="Migliaia 40 3 6 6" xfId="7960" xr:uid="{4F7B7B31-3674-42A4-98EC-44E5DFCFBF98}"/>
    <cellStyle name="Migliaia 40 3 7" xfId="6568" xr:uid="{62936169-4996-446A-BC76-A8D45F6E83A5}"/>
    <cellStyle name="Migliaia 40 3 7 2" xfId="34074" xr:uid="{329FA9D4-6492-46FC-9568-D87EB3DBBD8B}"/>
    <cellStyle name="Migliaia 40 3 7 2 2" xfId="39618" xr:uid="{C80B2A7B-233A-4D33-BF9A-B69CBA9EC3AB}"/>
    <cellStyle name="Migliaia 40 3 7 2 3" xfId="44920" xr:uid="{29A740FD-55FB-4D55-AFC4-4C0EC7344586}"/>
    <cellStyle name="Migliaia 40 3 7 3" xfId="37023" xr:uid="{748D622B-A3BA-4CFA-8EFE-822D03EE473E}"/>
    <cellStyle name="Migliaia 40 3 7 4" xfId="42269" xr:uid="{41239423-2F64-4A0F-A065-02652E798543}"/>
    <cellStyle name="Migliaia 40 3 7 5" xfId="11532" xr:uid="{0EEC25BB-B7B5-4068-808F-E2910C2C4FB8}"/>
    <cellStyle name="Migliaia 40 3 8" xfId="3652" xr:uid="{F9EAA708-C0B7-4368-A467-4A951CA22227}"/>
    <cellStyle name="Migliaia 40 3 8 2" xfId="34075" xr:uid="{2F682A28-0FAE-42A4-A8B2-93DF76916B73}"/>
    <cellStyle name="Migliaia 40 3 8 2 2" xfId="39619" xr:uid="{F39F519E-2E29-4E08-AB93-6412A67CCC2F}"/>
    <cellStyle name="Migliaia 40 3 8 2 3" xfId="44921" xr:uid="{1492D772-D02F-48C2-8836-7DC685390989}"/>
    <cellStyle name="Migliaia 40 3 8 3" xfId="37024" xr:uid="{37DA97E3-A9DF-424A-A5CD-5B014D6203EC}"/>
    <cellStyle name="Migliaia 40 3 8 4" xfId="42270" xr:uid="{3ADD2D22-68DD-42B6-9B79-8B4CD2177985}"/>
    <cellStyle name="Migliaia 40 3 8 5" xfId="24988" xr:uid="{C0EDC8E3-D8D0-40C5-9181-0FF668785129}"/>
    <cellStyle name="Migliaia 40 3 8 6" xfId="17325" xr:uid="{A5B8E9DD-EE34-4B59-A6EE-53F1F9CB2EE0}"/>
    <cellStyle name="Migliaia 40 3 9" xfId="20597" xr:uid="{92D5239F-6D1A-4D5F-BF16-C35AC1E0E76C}"/>
    <cellStyle name="Migliaia 40 4" xfId="1828" xr:uid="{00000000-0005-0000-0000-0000F7030000}"/>
    <cellStyle name="Migliaia 40 4 2" xfId="1829" xr:uid="{00000000-0005-0000-0000-0000F8030000}"/>
    <cellStyle name="Migliaia 40 4 2 2" xfId="5385" xr:uid="{AA74ED43-0770-4DB1-B220-2A2EF229484D}"/>
    <cellStyle name="Migliaia 40 4 2 2 2" xfId="34076" xr:uid="{785C804F-F4EF-45FC-84C6-649A7DC3125A}"/>
    <cellStyle name="Migliaia 40 4 2 2 2 2" xfId="39620" xr:uid="{49EF8C30-DB6A-424D-B1A1-37390C38E3C9}"/>
    <cellStyle name="Migliaia 40 4 2 2 2 3" xfId="44922" xr:uid="{F35D67E5-6B19-4F12-9C1A-885DA2F7FEBC}"/>
    <cellStyle name="Migliaia 40 4 2 2 3" xfId="37025" xr:uid="{592825EF-4CFB-4455-A782-909D60BFD3DE}"/>
    <cellStyle name="Migliaia 40 4 2 2 4" xfId="42271" xr:uid="{D0EFE4C3-8D3C-46FB-BB40-EA856416D73F}"/>
    <cellStyle name="Migliaia 40 4 2 2 5" xfId="9176" xr:uid="{28C07F2B-6C87-4A17-A9B6-3158DFC2E0E5}"/>
    <cellStyle name="Migliaia 40 4 2 3" xfId="3659" xr:uid="{91CD397F-3049-4EA6-8EAA-BF7D9665F7B0}"/>
    <cellStyle name="Migliaia 40 4 2 3 2" xfId="34077" xr:uid="{A3344A57-6CA1-4045-8DA3-8F005F583A77}"/>
    <cellStyle name="Migliaia 40 4 2 3 2 2" xfId="39621" xr:uid="{3D308363-A9C1-481E-95BA-756BBCB58B00}"/>
    <cellStyle name="Migliaia 40 4 2 3 2 3" xfId="44923" xr:uid="{66B54AAD-CE7B-48E3-8453-F78BC3E9684D}"/>
    <cellStyle name="Migliaia 40 4 2 3 3" xfId="37026" xr:uid="{D6A7E3C6-5F36-42FA-8802-0FABE70D009E}"/>
    <cellStyle name="Migliaia 40 4 2 3 4" xfId="42272" xr:uid="{6A89BFF9-CCAA-451A-BD92-6C78CE99A2E9}"/>
    <cellStyle name="Migliaia 40 4 2 3 5" xfId="12025" xr:uid="{5217B6FD-5048-4592-89C5-9CF79258A543}"/>
    <cellStyle name="Migliaia 40 4 2 4" xfId="11374" xr:uid="{CD7AB2F7-04CD-445D-85A8-0487DE0D5A0E}"/>
    <cellStyle name="Migliaia 40 4 2 5" xfId="10906" xr:uid="{C39A7557-3E72-4B94-88A6-8BFC83B17E97}"/>
    <cellStyle name="Migliaia 40 4 2 5 2" xfId="21541" xr:uid="{FF7A80FE-0E33-4AB0-AA3F-91B4922DD8E4}"/>
    <cellStyle name="Migliaia 40 4 2 5 3" xfId="47117" xr:uid="{2349D9E2-CC04-4338-A724-FB795DD5E706}"/>
    <cellStyle name="Migliaia 40 4 2 5 4" xfId="50556" xr:uid="{C958D9C6-A11B-4E35-864B-F51CA613C0B0}"/>
    <cellStyle name="Migliaia 40 4 2 5 5" xfId="53572" xr:uid="{6754080B-628F-4031-82A9-E51E9C7F82CB}"/>
    <cellStyle name="Migliaia 40 4 2 6" xfId="20608" xr:uid="{35685CC0-B8E9-4DA6-AFE7-F3F70D7D6C4D}"/>
    <cellStyle name="Migliaia 40 4 2 7" xfId="24990" xr:uid="{E6190895-C543-4C73-9FE5-000E9595ECEF}"/>
    <cellStyle name="Migliaia 40 4 2 8" xfId="8688" xr:uid="{3C5BD1E1-DADC-4377-A886-F18E646A85E6}"/>
    <cellStyle name="Migliaia 40 4 3" xfId="5384" xr:uid="{715ECAF9-CAAE-4B82-86B5-E4B4EAD8F797}"/>
    <cellStyle name="Migliaia 40 4 3 2" xfId="18231" xr:uid="{FD3D6B1A-5C4D-46D6-8663-B41D99BDE4A5}"/>
    <cellStyle name="Migliaia 40 4 3 2 2" xfId="39622" xr:uid="{24F5DAD0-F68B-491D-95FC-96EF0574B2CA}"/>
    <cellStyle name="Migliaia 40 4 3 2 3" xfId="44924" xr:uid="{48181987-2713-45D6-B91C-6BAD74FC9B30}"/>
    <cellStyle name="Migliaia 40 4 3 3" xfId="37027" xr:uid="{C52342F5-AEC5-4B08-890E-E37DE51627AE}"/>
    <cellStyle name="Migliaia 40 4 3 4" xfId="42273" xr:uid="{43A885C3-1CA7-4E1E-AD19-4ABCA41E9FB6}"/>
    <cellStyle name="Migliaia 40 4 3 5" xfId="17323" xr:uid="{86C0BA01-993A-4F2B-BD50-732D2C37C9A7}"/>
    <cellStyle name="Migliaia 40 4 3 6" xfId="9177" xr:uid="{8DB15B35-D767-4BF7-A440-889F5A47E9AF}"/>
    <cellStyle name="Migliaia 40 4 4" xfId="6574" xr:uid="{4AF5CBA4-47CD-4D1F-9798-D5A4A0616AB4}"/>
    <cellStyle name="Migliaia 40 4 4 2" xfId="34078" xr:uid="{F286C3FE-59B2-4CEA-9E96-C8543763D4CB}"/>
    <cellStyle name="Migliaia 40 4 4 2 2" xfId="39623" xr:uid="{F7374414-EC92-459D-8841-972920D16575}"/>
    <cellStyle name="Migliaia 40 4 4 2 3" xfId="44925" xr:uid="{6C3B6F1A-314B-4F8C-869E-C5FCD62ACA06}"/>
    <cellStyle name="Migliaia 40 4 4 3" xfId="37028" xr:uid="{82418CF3-68A8-4596-A0E8-51F8B2211BAB}"/>
    <cellStyle name="Migliaia 40 4 4 4" xfId="42274" xr:uid="{57A2F23D-1D16-4F06-A5F2-34B4403AFB6C}"/>
    <cellStyle name="Migliaia 40 4 4 5" xfId="12026" xr:uid="{914B5EF7-274A-4D34-A2BD-DA79417EB145}"/>
    <cellStyle name="Migliaia 40 4 5" xfId="3658" xr:uid="{99583DAC-1F90-4E1E-9BD8-973810CD5882}"/>
    <cellStyle name="Migliaia 40 4 5 2" xfId="34079" xr:uid="{E332A127-5E72-4431-9AC2-455D2C2DD19B}"/>
    <cellStyle name="Migliaia 40 4 5 2 2" xfId="39624" xr:uid="{0F271002-E442-483A-B822-63DE12CF37BB}"/>
    <cellStyle name="Migliaia 40 4 5 2 3" xfId="44926" xr:uid="{615EDD98-D97B-4D5C-93B5-5D76D29F78B3}"/>
    <cellStyle name="Migliaia 40 4 5 3" xfId="37029" xr:uid="{72AB533B-6542-4F25-A85C-36CC21D13C46}"/>
    <cellStyle name="Migliaia 40 4 5 4" xfId="42275" xr:uid="{12FFC233-9DE6-435E-8358-B2140108E927}"/>
    <cellStyle name="Migliaia 40 4 5 5" xfId="11373" xr:uid="{4909B722-028A-4686-AD15-ECA185BADCBA}"/>
    <cellStyle name="Migliaia 40 4 6" xfId="10905" xr:uid="{ABB9ECA4-878A-4A3D-8AAE-1775C34294D9}"/>
    <cellStyle name="Migliaia 40 4 6 2" xfId="21540" xr:uid="{2584420C-8894-4607-A686-B2507BDAB698}"/>
    <cellStyle name="Migliaia 40 4 6 2 2" xfId="39625" xr:uid="{AB88646B-6853-4FD9-9DD1-BD024377660F}"/>
    <cellStyle name="Migliaia 40 4 6 2 3" xfId="44927" xr:uid="{46017A9F-1BC3-45B2-A60A-52C4ABC13595}"/>
    <cellStyle name="Migliaia 40 4 6 2 4" xfId="34080" xr:uid="{6050C3C5-E234-4B40-BB40-D3152D82C6FE}"/>
    <cellStyle name="Migliaia 40 4 6 3" xfId="37030" xr:uid="{4EF83D5A-82AE-4CE6-9049-FB9E1DB12E6A}"/>
    <cellStyle name="Migliaia 40 4 6 4" xfId="42276" xr:uid="{2B543BF4-A71F-4925-8BD4-E6C15F949FDD}"/>
    <cellStyle name="Migliaia 40 4 6 5" xfId="24991" xr:uid="{2B0C10BF-F086-4F6C-845D-A9CFD4B527D7}"/>
    <cellStyle name="Migliaia 40 4 6 6" xfId="46257" xr:uid="{2F6EC5C3-08AB-4B32-A93A-B4646869E666}"/>
    <cellStyle name="Migliaia 40 4 6 7" xfId="50555" xr:uid="{789A4F5E-B80A-4AA0-BF2D-7D556A5A78B8}"/>
    <cellStyle name="Migliaia 40 4 6 8" xfId="53571" xr:uid="{2AF2948F-D73D-462F-B16A-7F94561E9B1B}"/>
    <cellStyle name="Migliaia 40 4 7" xfId="20607" xr:uid="{04A34A60-109D-4D42-B94A-E7090C09C79C}"/>
    <cellStyle name="Migliaia 40 4 7 2" xfId="34081" xr:uid="{7D738F1D-0AD3-4FB2-A819-190E4FC61105}"/>
    <cellStyle name="Migliaia 40 4 7 2 2" xfId="39626" xr:uid="{042ECC34-0E3B-47E2-9BE9-BCEF19211DC5}"/>
    <cellStyle name="Migliaia 40 4 7 2 3" xfId="44928" xr:uid="{FCC6CFC9-67DD-447C-B3BC-C413B44B3283}"/>
    <cellStyle name="Migliaia 40 4 7 3" xfId="37031" xr:uid="{F68C515C-B223-483E-8F6D-19E5E3317B7E}"/>
    <cellStyle name="Migliaia 40 4 7 4" xfId="42277" xr:uid="{E651993A-DEFD-49DA-8D41-51D29C6D9B4A}"/>
    <cellStyle name="Migliaia 40 4 7 5" xfId="24992" xr:uid="{0599B0AF-25D5-4407-9F31-D313EF83CC9B}"/>
    <cellStyle name="Migliaia 40 4 8" xfId="24989" xr:uid="{C6628F42-F84B-4D92-A259-5D0796DFB4B9}"/>
    <cellStyle name="Migliaia 40 4 9" xfId="7498" xr:uid="{5F9FA653-DC98-45B3-AA82-D3B686A6A9BC}"/>
    <cellStyle name="Migliaia 40 5" xfId="1830" xr:uid="{00000000-0005-0000-0000-0000F9030000}"/>
    <cellStyle name="Migliaia 40 5 2" xfId="5386" xr:uid="{2B1B3094-218A-499B-8251-3AE58343F96A}"/>
    <cellStyle name="Migliaia 40 5 2 2" xfId="18466" xr:uid="{F810B180-9973-4E8A-91B3-F102CEE22321}"/>
    <cellStyle name="Migliaia 40 5 2 2 2" xfId="39627" xr:uid="{EAF040A4-E18E-44F0-9CA7-1020B0771C14}"/>
    <cellStyle name="Migliaia 40 5 2 2 3" xfId="44929" xr:uid="{857FEEFF-F36C-488F-86AC-C1374AE84439}"/>
    <cellStyle name="Migliaia 40 5 2 3" xfId="20610" xr:uid="{35637244-69E2-42DD-978A-1DC1F6540E66}"/>
    <cellStyle name="Migliaia 40 5 2 3 2" xfId="37032" xr:uid="{54F0782E-0866-4A36-B12A-346A07EF5B33}"/>
    <cellStyle name="Migliaia 40 5 2 4" xfId="42278" xr:uid="{0272DE28-C21C-4673-B016-11CC39051218}"/>
    <cellStyle name="Migliaia 40 5 2 5" xfId="16550" xr:uid="{F0C9E0DA-CF3E-4DF7-9E12-08ED8D985478}"/>
    <cellStyle name="Migliaia 40 5 2 6" xfId="8689" xr:uid="{84328031-C691-4265-A008-41A6264970E0}"/>
    <cellStyle name="Migliaia 40 5 3" xfId="6575" xr:uid="{987F6F85-51C7-4FD8-A150-A9794AC2E39E}"/>
    <cellStyle name="Migliaia 40 5 3 2" xfId="34082" xr:uid="{7439DF7B-C9A3-43DB-B2A3-E1A3FA6FC2F0}"/>
    <cellStyle name="Migliaia 40 5 3 2 2" xfId="39628" xr:uid="{CEDD7DFD-D47B-424B-A7D1-B6E074D530DF}"/>
    <cellStyle name="Migliaia 40 5 3 2 3" xfId="44930" xr:uid="{97149C99-F9B4-4D0E-9225-D69586A9338C}"/>
    <cellStyle name="Migliaia 40 5 3 3" xfId="37033" xr:uid="{E86D55BF-83D2-433B-9371-C00EC76862C6}"/>
    <cellStyle name="Migliaia 40 5 3 4" xfId="42279" xr:uid="{959698A7-7FAC-46C9-ABB6-BCD100F77D30}"/>
    <cellStyle name="Migliaia 40 5 3 5" xfId="11375" xr:uid="{B7884250-E043-453A-BE35-6CCFA32F13C9}"/>
    <cellStyle name="Migliaia 40 5 4" xfId="3660" xr:uid="{D7DF010E-A659-4CE0-AE21-F847E91B1374}"/>
    <cellStyle name="Migliaia 40 5 4 2" xfId="21542" xr:uid="{B302A748-1DEB-4C8B-87DA-F0F95CE3DA48}"/>
    <cellStyle name="Migliaia 40 5 4 2 2" xfId="39629" xr:uid="{D6716C6E-EAC1-40AE-8275-EBB7999B706D}"/>
    <cellStyle name="Migliaia 40 5 4 2 3" xfId="44931" xr:uid="{82A7EAFA-74D8-469B-93F5-3103B955EEBE}"/>
    <cellStyle name="Migliaia 40 5 4 2 4" xfId="34083" xr:uid="{10A4D5D6-D1B0-4188-9D17-5BB7B6D18087}"/>
    <cellStyle name="Migliaia 40 5 4 3" xfId="37034" xr:uid="{66703E32-8A7D-46CC-BD23-344323D74048}"/>
    <cellStyle name="Migliaia 40 5 4 4" xfId="42280" xr:uid="{C67B50E9-14D7-41CF-B914-B0B30CE8272D}"/>
    <cellStyle name="Migliaia 40 5 4 5" xfId="24994" xr:uid="{50A77049-0C40-441D-A8B9-7C9DA6EE04A7}"/>
    <cellStyle name="Migliaia 40 5 4 6" xfId="47424" xr:uid="{5E709F3E-FD5D-44AA-82FC-692A595FE1D3}"/>
    <cellStyle name="Migliaia 40 5 4 7" xfId="50557" xr:uid="{883338AD-E35D-4EC4-A104-A370C217D2B4}"/>
    <cellStyle name="Migliaia 40 5 4 8" xfId="53573" xr:uid="{1620A3B6-C00D-46EB-8823-E09AA3095666}"/>
    <cellStyle name="Migliaia 40 5 4 9" xfId="10907" xr:uid="{544F6EB5-440B-4382-8BFA-B5D4E1D67258}"/>
    <cellStyle name="Migliaia 40 5 5" xfId="20609" xr:uid="{BBF0756B-D001-428A-9987-5C263B525A9B}"/>
    <cellStyle name="Migliaia 40 5 5 2" xfId="34084" xr:uid="{FF75B541-53CE-410D-B4CE-652AC8533411}"/>
    <cellStyle name="Migliaia 40 5 5 2 2" xfId="39630" xr:uid="{08403872-3C3B-49AC-913E-66E6CC3523DB}"/>
    <cellStyle name="Migliaia 40 5 5 2 3" xfId="44932" xr:uid="{BB88B5E4-73A2-4998-8F82-3F1746E87917}"/>
    <cellStyle name="Migliaia 40 5 5 3" xfId="37035" xr:uid="{036C4B80-AF1C-4BE3-B995-E6A911A785FB}"/>
    <cellStyle name="Migliaia 40 5 5 4" xfId="42281" xr:uid="{D12FDDAF-AE83-429E-88BD-90110A78C1CB}"/>
    <cellStyle name="Migliaia 40 5 5 5" xfId="24995" xr:uid="{BFF5CC7D-7900-4B54-99E3-04166F1835F1}"/>
    <cellStyle name="Migliaia 40 5 6" xfId="24996" xr:uid="{4FAE78D5-7BC9-467E-8738-D50E292C9416}"/>
    <cellStyle name="Migliaia 40 5 6 2" xfId="34085" xr:uid="{16248633-8B13-49A4-8986-2F0B53F062E3}"/>
    <cellStyle name="Migliaia 40 5 6 2 2" xfId="39631" xr:uid="{DE91ED99-4480-491E-823F-F2863E3FBF4F}"/>
    <cellStyle name="Migliaia 40 5 6 2 3" xfId="44933" xr:uid="{AB463BD3-663B-4D02-83CF-3CA7CC40C3DF}"/>
    <cellStyle name="Migliaia 40 5 6 3" xfId="37036" xr:uid="{EF4393D0-E107-4F09-B06B-EE817E1616A5}"/>
    <cellStyle name="Migliaia 40 5 6 4" xfId="42282" xr:uid="{FDCB282C-0DAC-4D90-A0D4-1586F914D0C4}"/>
    <cellStyle name="Migliaia 40 5 7" xfId="24993" xr:uid="{8D52C39E-1CC5-4FBE-BE65-D67F77BDD9FF}"/>
    <cellStyle name="Migliaia 40 5 8" xfId="7499" xr:uid="{77FB37A9-369D-4A6B-B86D-6FD6631D8DC4}"/>
    <cellStyle name="Migliaia 40 6" xfId="3661" xr:uid="{E19F1F50-49B5-4762-A31B-6464AEF3D2AE}"/>
    <cellStyle name="Migliaia 40 6 2" xfId="5387" xr:uid="{7FAEAEA1-518F-4A9F-B1B9-2D21F8853E18}"/>
    <cellStyle name="Migliaia 40 6 2 2" xfId="9949" xr:uid="{B9E91C0C-392E-4356-9829-5D8E8A36E6BF}"/>
    <cellStyle name="Migliaia 40 6 2 3" xfId="18646" xr:uid="{A3C41829-003F-414C-B1DF-F1349D5573E9}"/>
    <cellStyle name="Migliaia 40 6 2 4" xfId="20612" xr:uid="{F2B73CAB-E1AB-448A-8BF4-15003BA2F6A6}"/>
    <cellStyle name="Migliaia 40 6 2 5" xfId="32415" xr:uid="{C82B02D1-5EFF-435C-A588-317334C829B1}"/>
    <cellStyle name="Migliaia 40 6 2 6" xfId="16552" xr:uid="{2F679070-BBA7-4666-B7C7-0E51131808D0}"/>
    <cellStyle name="Migliaia 40 6 2 7" xfId="8684" xr:uid="{71A4D4FB-4436-4155-9281-6D24B5AA398A}"/>
    <cellStyle name="Migliaia 40 6 3" xfId="6576" xr:uid="{39B3B163-CA0D-476B-9A97-B455440E06D3}"/>
    <cellStyle name="Migliaia 40 6 3 2" xfId="35365" xr:uid="{03591050-0099-40A8-95A7-2745B527336B}"/>
    <cellStyle name="Migliaia 40 6 3 2 2" xfId="40525" xr:uid="{C2457F58-85F3-4E92-B5E5-D043925999BA}"/>
    <cellStyle name="Migliaia 40 6 3 2 3" xfId="45827" xr:uid="{2A9F7C8E-6636-4326-92C8-FED8AC20769D}"/>
    <cellStyle name="Migliaia 40 6 3 3" xfId="37874" xr:uid="{964C0130-6577-4C05-BD83-CBE8EA9657D8}"/>
    <cellStyle name="Migliaia 40 6 3 4" xfId="43176" xr:uid="{E7F97524-B8FF-4060-BFB6-268E095D2B37}"/>
    <cellStyle name="Migliaia 40 6 3 5" xfId="9712" xr:uid="{7BEC77F4-FAEF-4C4F-B170-B284F855BFEC}"/>
    <cellStyle name="Migliaia 40 6 4" xfId="20611" xr:uid="{D0625238-8FDD-49F9-928F-EBC32016A4D0}"/>
    <cellStyle name="Migliaia 40 6 4 2" xfId="39632" xr:uid="{DAB74FFD-CBBC-4E33-985F-C46F16FF8F2B}"/>
    <cellStyle name="Migliaia 40 6 4 3" xfId="44934" xr:uid="{A1520CFC-64A4-492E-ADFC-CE003217976D}"/>
    <cellStyle name="Migliaia 40 6 4 4" xfId="34086" xr:uid="{FE5C0BD0-4486-4C6C-89FD-144EE87528E4}"/>
    <cellStyle name="Migliaia 40 6 5" xfId="37037" xr:uid="{173029BC-859D-4B14-A19E-81AE103F1F54}"/>
    <cellStyle name="Migliaia 40 6 6" xfId="42283" xr:uid="{8EF396F5-629E-4F77-BEE6-2B892FE1F21F}"/>
    <cellStyle name="Migliaia 40 6 7" xfId="16551" xr:uid="{815B2047-1933-446F-9452-E5A5F5ECE689}"/>
    <cellStyle name="Migliaia 40 6 8" xfId="7494" xr:uid="{8DE9B063-9741-4A9C-B3C1-B6B78E40CD79}"/>
    <cellStyle name="Migliaia 40 7" xfId="3662" xr:uid="{EB42B6F9-E3CE-41D2-996C-4B99324B2A42}"/>
    <cellStyle name="Migliaia 40 7 2" xfId="5388" xr:uid="{D18F02D3-C422-4293-9011-DD441643D0F8}"/>
    <cellStyle name="Migliaia 40 7 2 2" xfId="35366" xr:uid="{E2196725-8D8B-4E01-AEB3-C73C0F0E967D}"/>
    <cellStyle name="Migliaia 40 7 2 2 2" xfId="40526" xr:uid="{ADDB2E2B-C2D4-40FC-AE64-3F34BD96D2E3}"/>
    <cellStyle name="Migliaia 40 7 2 2 3" xfId="45828" xr:uid="{7BACBDC5-3C75-4170-BB6C-D3CAF3B8EE70}"/>
    <cellStyle name="Migliaia 40 7 2 3" xfId="37875" xr:uid="{E0F51F4A-C804-42E9-A0E9-B8118B75EDAB}"/>
    <cellStyle name="Migliaia 40 7 2 4" xfId="43177" xr:uid="{B14D66DF-0AC9-40C7-ACF1-4048E8EDAA79}"/>
    <cellStyle name="Migliaia 40 7 2 5" xfId="14281" xr:uid="{2F856FA3-B93D-402F-934D-92441CEC6189}"/>
    <cellStyle name="Migliaia 40 7 3" xfId="6577" xr:uid="{7E10C901-DC2B-458A-B1E2-C6B48A6BE3AE}"/>
    <cellStyle name="Migliaia 40 7 3 2" xfId="39633" xr:uid="{F4ECB484-C588-40DC-ADBB-BB23CAAC2B46}"/>
    <cellStyle name="Migliaia 40 7 3 3" xfId="44935" xr:uid="{A0343788-313D-40DE-B361-5E29011C9966}"/>
    <cellStyle name="Migliaia 40 7 3 4" xfId="34087" xr:uid="{16C4982F-E9BD-4797-BABE-478D9569839C}"/>
    <cellStyle name="Migliaia 40 7 3 5" xfId="20613" xr:uid="{F87854F1-B77B-4516-A88B-D505BB458243}"/>
    <cellStyle name="Migliaia 40 7 4" xfId="37038" xr:uid="{853290E1-B4D7-4BD8-87BA-BEA1E0AA3EAF}"/>
    <cellStyle name="Migliaia 40 7 5" xfId="42284" xr:uid="{5CE49D19-219D-4457-BDB7-A839AC61977B}"/>
    <cellStyle name="Migliaia 40 7 6" xfId="16553" xr:uid="{18BE8D33-33B9-4C6B-BCFC-B37DBF038BBF}"/>
    <cellStyle name="Migliaia 40 7 7" xfId="8343" xr:uid="{E15E6109-FA3A-441A-BA2C-B18570621DB3}"/>
    <cellStyle name="Migliaia 40 8" xfId="3663" xr:uid="{7642D7F4-7196-40D7-9C76-EA470A5BE69F}"/>
    <cellStyle name="Migliaia 40 8 2" xfId="5389" xr:uid="{20A80043-9182-4069-99C2-65386FCE7D8A}"/>
    <cellStyle name="Migliaia 40 8 2 2" xfId="35367" xr:uid="{47CD279D-1CD0-454C-ACC5-E3D9C31FECD6}"/>
    <cellStyle name="Migliaia 40 8 2 2 2" xfId="40527" xr:uid="{113291C4-D0B5-444C-9E1B-5F68E9DDD1E8}"/>
    <cellStyle name="Migliaia 40 8 2 2 3" xfId="45829" xr:uid="{D6940F22-C7B1-4538-B23E-ED9C9AC38A2E}"/>
    <cellStyle name="Migliaia 40 8 2 3" xfId="37876" xr:uid="{A70ADFA3-E7DA-4D39-8027-D54131D2B5EC}"/>
    <cellStyle name="Migliaia 40 8 2 4" xfId="43178" xr:uid="{B0AE7512-496C-4A03-A459-FEA102197AD8}"/>
    <cellStyle name="Migliaia 40 8 2 5" xfId="13986" xr:uid="{513AD09A-7176-4EAC-9633-072BB17A0DE2}"/>
    <cellStyle name="Migliaia 40 8 3" xfId="6578" xr:uid="{EEB67D72-8A3E-44C8-AFC1-729AFAD41242}"/>
    <cellStyle name="Migliaia 40 8 3 2" xfId="39634" xr:uid="{C2D0BDFC-92A3-4EEB-ABB5-0560AE5FE1D6}"/>
    <cellStyle name="Migliaia 40 8 3 3" xfId="44936" xr:uid="{30417659-53DF-46B6-A2D3-509B1827CED8}"/>
    <cellStyle name="Migliaia 40 8 3 4" xfId="34088" xr:uid="{F0AD4526-1B34-4947-BE42-D152A2049AB1}"/>
    <cellStyle name="Migliaia 40 8 3 5" xfId="20614" xr:uid="{4EF73AD6-0A27-49EB-BDCC-5652AB3FEB74}"/>
    <cellStyle name="Migliaia 40 8 4" xfId="37039" xr:uid="{341B9EF9-2AD3-439A-A32D-8F3D5309D8C2}"/>
    <cellStyle name="Migliaia 40 8 5" xfId="42285" xr:uid="{C79790F5-4893-4C0E-8CDE-EE8EA8C062A2}"/>
    <cellStyle name="Migliaia 40 8 6" xfId="16554" xr:uid="{066F4CB0-95BF-4B96-818A-A9B02A484A1E}"/>
    <cellStyle name="Migliaia 40 8 7" xfId="7958" xr:uid="{A494FBB8-0C79-4DA0-91FB-2FECC24BE118}"/>
    <cellStyle name="Migliaia 40 9" xfId="5374" xr:uid="{98D7C1E1-CDFB-485D-92AD-13B8CD95FAEA}"/>
    <cellStyle name="Migliaia 40 9 2" xfId="34089" xr:uid="{D5FF9751-E4C2-4923-B8F5-090C63034A6C}"/>
    <cellStyle name="Migliaia 40 9 2 2" xfId="39635" xr:uid="{A3B35520-6B8B-43C8-89FE-814CC309F68E}"/>
    <cellStyle name="Migliaia 40 9 2 3" xfId="44937" xr:uid="{BE4D0E32-F966-40C0-B399-7915A87BEA08}"/>
    <cellStyle name="Migliaia 40 9 3" xfId="37040" xr:uid="{4E4FE1A1-C2A1-4C80-BE04-4D14FDE405E3}"/>
    <cellStyle name="Migliaia 40 9 4" xfId="42286" xr:uid="{E2E50AB6-A09D-4D91-AFCF-8334AD8A7B8A}"/>
    <cellStyle name="Migliaia 40 9 5" xfId="17203" xr:uid="{62EA7DEA-9E2C-4D20-AB08-C8D79363DB3B}"/>
    <cellStyle name="Migliaia 41" xfId="441" xr:uid="{00000000-0005-0000-0000-0000FA030000}"/>
    <cellStyle name="Migliaia 41 10" xfId="6579" xr:uid="{B6AE73A4-8A73-405B-8428-CE5BD40C5DA2}"/>
    <cellStyle name="Migliaia 41 10 2" xfId="39636" xr:uid="{A5CBE2C6-2B70-40F0-9B14-1DA20FB6D621}"/>
    <cellStyle name="Migliaia 41 10 3" xfId="44938" xr:uid="{FA8B788B-28DE-4F4F-9F1F-D5804197000C}"/>
    <cellStyle name="Migliaia 41 10 4" xfId="34090" xr:uid="{10ADE848-0EE2-484F-A454-DA4316CC6E57}"/>
    <cellStyle name="Migliaia 41 10 5" xfId="20615" xr:uid="{BF9EF805-F67E-4F5E-ACAE-9C664659D076}"/>
    <cellStyle name="Migliaia 41 11" xfId="3664" xr:uid="{24B1569F-0220-4C46-8137-D373FE19626E}"/>
    <cellStyle name="Migliaia 41 11 2" xfId="37041" xr:uid="{AC4963A3-3DAC-4165-9E9B-9E671103E47F}"/>
    <cellStyle name="Migliaia 41 12" xfId="42287" xr:uid="{EB96BB6F-ADF4-4EAE-AA65-7D53E055E816}"/>
    <cellStyle name="Migliaia 41 13" xfId="7147" xr:uid="{31CE06D9-FA02-4731-BD47-E7DB72557DA1}"/>
    <cellStyle name="Migliaia 41 2" xfId="442" xr:uid="{00000000-0005-0000-0000-0000FB030000}"/>
    <cellStyle name="Migliaia 41 2 2" xfId="1831" xr:uid="{00000000-0005-0000-0000-0000FC030000}"/>
    <cellStyle name="Migliaia 41 2 2 2" xfId="5392" xr:uid="{1A8EB5F1-BF4D-482B-A49F-F45BD5CF30B2}"/>
    <cellStyle name="Migliaia 41 2 2 2 2" xfId="14398" xr:uid="{90599C7F-7689-4EF5-AF68-4A2975B0CC72}"/>
    <cellStyle name="Migliaia 41 2 2 2 2 2" xfId="39637" xr:uid="{D13A4986-9F67-490B-8749-9C77226C3ED8}"/>
    <cellStyle name="Migliaia 41 2 2 2 2 3" xfId="44939" xr:uid="{264CC9D4-C86C-4D5E-A0D2-E8E7D314E513}"/>
    <cellStyle name="Migliaia 41 2 2 2 3" xfId="18467" xr:uid="{02FE4AAF-AF30-4C42-8201-E899A4CB409E}"/>
    <cellStyle name="Migliaia 41 2 2 2 4" xfId="20618" xr:uid="{ACEC91DD-DFD4-4D65-BEF5-D001E247C9E0}"/>
    <cellStyle name="Migliaia 41 2 2 2 4 2" xfId="42288" xr:uid="{3D1AF2EC-AD29-417A-B2B7-3AC37796D905}"/>
    <cellStyle name="Migliaia 41 2 2 2 5" xfId="16555" xr:uid="{298B8B99-F84E-4A33-B091-F7AB2D0A3F63}"/>
    <cellStyle name="Migliaia 41 2 2 2 6" xfId="8691" xr:uid="{A6652197-975B-47BC-93F4-5BBD081A4C4A}"/>
    <cellStyle name="Migliaia 41 2 2 3" xfId="6581" xr:uid="{08D5C62D-956C-425E-B8EA-3192A152D32B}"/>
    <cellStyle name="Migliaia 41 2 2 3 2" xfId="35368" xr:uid="{BD87902D-7561-46F4-AC8A-6D2A12E0D811}"/>
    <cellStyle name="Migliaia 41 2 2 3 2 2" xfId="40528" xr:uid="{F901F05B-3E0F-4B0A-879D-BF96C196F7A0}"/>
    <cellStyle name="Migliaia 41 2 2 3 2 3" xfId="45830" xr:uid="{6FA232C4-992A-42D0-98FA-554D0C7CA9EF}"/>
    <cellStyle name="Migliaia 41 2 2 3 3" xfId="37877" xr:uid="{0069C3B5-A09A-43E9-90A2-16F15FC4ABD7}"/>
    <cellStyle name="Migliaia 41 2 2 3 4" xfId="43179" xr:uid="{E445D6B5-A58E-4B4D-BA45-5B86FD3B4469}"/>
    <cellStyle name="Migliaia 41 2 2 3 5" xfId="11625" xr:uid="{38DFC627-820C-4108-AAF5-A13213A28634}"/>
    <cellStyle name="Migliaia 41 2 2 4" xfId="3666" xr:uid="{41DB77EF-B363-49C8-A2F1-52830D0E35F1}"/>
    <cellStyle name="Migliaia 41 2 2 4 2" xfId="21543" xr:uid="{D989958D-404E-4C78-9C70-B7B885DF3ABC}"/>
    <cellStyle name="Migliaia 41 2 2 4 3" xfId="48181" xr:uid="{787921EC-215F-42EB-9D62-04F5B23DC8DE}"/>
    <cellStyle name="Migliaia 41 2 2 4 4" xfId="50558" xr:uid="{F859E345-FBD0-4AA0-A90B-2616953EFF7F}"/>
    <cellStyle name="Migliaia 41 2 2 4 5" xfId="53574" xr:uid="{583B3DD7-C447-4F63-B246-B02BAB42C182}"/>
    <cellStyle name="Migliaia 41 2 2 4 6" xfId="10908" xr:uid="{2DF75FF2-9CF8-4A13-A4A3-952907D9C4DA}"/>
    <cellStyle name="Migliaia 41 2 2 5" xfId="20617" xr:uid="{20B697C7-0F8D-4103-88FD-E8911DCC098E}"/>
    <cellStyle name="Migliaia 41 2 2 6" xfId="24998" xr:uid="{7E7F0D22-436F-4C83-B972-50CF1480B91B}"/>
    <cellStyle name="Migliaia 41 2 2 7" xfId="7501" xr:uid="{BF9FADA5-8CC0-4806-B2D7-65BB0819FEB3}"/>
    <cellStyle name="Migliaia 41 2 3" xfId="3667" xr:uid="{755F7E7D-E15D-43D7-B9E4-F2EB3A943F41}"/>
    <cellStyle name="Migliaia 41 2 3 2" xfId="5393" xr:uid="{C359E737-32B1-4E52-AABC-0758EEB3843C}"/>
    <cellStyle name="Migliaia 41 2 3 2 2" xfId="35369" xr:uid="{47E29B2C-F0CE-4490-9D68-C2C7CC8C285A}"/>
    <cellStyle name="Migliaia 41 2 3 2 2 2" xfId="40529" xr:uid="{110BFBCB-9E83-4FCC-A46B-849142F3AC72}"/>
    <cellStyle name="Migliaia 41 2 3 2 2 3" xfId="45831" xr:uid="{A224337A-0BA1-421A-A823-EB84B6B3718A}"/>
    <cellStyle name="Migliaia 41 2 3 2 3" xfId="37878" xr:uid="{A8B53441-B723-4BE6-B604-42133C04C3FB}"/>
    <cellStyle name="Migliaia 41 2 3 2 4" xfId="43180" xr:uid="{8D8743F9-9AAC-4979-97AB-7DDC0FA195F9}"/>
    <cellStyle name="Migliaia 41 2 3 2 5" xfId="14285" xr:uid="{F0D88E17-40FB-4A9B-A8B4-8DC1524405CF}"/>
    <cellStyle name="Migliaia 41 2 3 3" xfId="6582" xr:uid="{564CD3C9-A399-447F-A669-D88D24533841}"/>
    <cellStyle name="Migliaia 41 2 3 3 2" xfId="39638" xr:uid="{CBF880B3-A8DC-48CA-B71B-161468199BCF}"/>
    <cellStyle name="Migliaia 41 2 3 3 3" xfId="44940" xr:uid="{D337CFD8-2C6D-44DF-A58C-7415B58AF85D}"/>
    <cellStyle name="Migliaia 41 2 3 3 4" xfId="34091" xr:uid="{DD18C9B2-6F88-425B-90DA-5A1DACA5920A}"/>
    <cellStyle name="Migliaia 41 2 3 3 5" xfId="20619" xr:uid="{A733A393-7C6C-46D0-8F3D-94D8960AB62B}"/>
    <cellStyle name="Migliaia 41 2 3 4" xfId="37042" xr:uid="{74A8B156-FDFB-4B93-8364-363A387A2A51}"/>
    <cellStyle name="Migliaia 41 2 3 5" xfId="42289" xr:uid="{CC29908C-8137-4EA2-ABA6-F9421805F488}"/>
    <cellStyle name="Migliaia 41 2 3 6" xfId="16556" xr:uid="{6C9D36DE-4776-41B7-8C8B-440AC56670CD}"/>
    <cellStyle name="Migliaia 41 2 3 7" xfId="8347" xr:uid="{CBAD86FF-096C-4DC7-8DAF-A3EBF4739401}"/>
    <cellStyle name="Migliaia 41 2 4" xfId="5391" xr:uid="{24FCC011-D9B2-4610-A5E0-0480C22F29F4}"/>
    <cellStyle name="Migliaia 41 2 4 2" xfId="13990" xr:uid="{E6EDDC8B-A4D3-4453-9AE2-1917E441439A}"/>
    <cellStyle name="Migliaia 41 2 4 2 2" xfId="39639" xr:uid="{1F5F2463-5A35-42D4-A15E-A6A54E993FC1}"/>
    <cellStyle name="Migliaia 41 2 4 2 3" xfId="44941" xr:uid="{8FAEF81E-26E0-4C99-8AC8-4A735694CEA6}"/>
    <cellStyle name="Migliaia 41 2 4 3" xfId="18153" xr:uid="{DAB9F0A1-A31A-4AB3-9C58-AFF939397131}"/>
    <cellStyle name="Migliaia 41 2 4 4" xfId="20620" xr:uid="{49A26813-1C63-4BBA-9BE8-B70717386228}"/>
    <cellStyle name="Migliaia 41 2 4 4 2" xfId="42290" xr:uid="{A76EAC5A-726A-4070-86C8-E41B87D34F3C}"/>
    <cellStyle name="Migliaia 41 2 4 5" xfId="16557" xr:uid="{F16D268D-B924-476C-9A55-E05707CD823B}"/>
    <cellStyle name="Migliaia 41 2 4 6" xfId="7963" xr:uid="{A712C83D-3D57-4B0D-8BDF-7A22D75663BE}"/>
    <cellStyle name="Migliaia 41 2 5" xfId="6580" xr:uid="{DE08F1CC-6040-4C85-A8B6-048A78AE9957}"/>
    <cellStyle name="Migliaia 41 2 5 2" xfId="34092" xr:uid="{93789C3B-7184-4B4D-B60D-12D083C4C411}"/>
    <cellStyle name="Migliaia 41 2 5 2 2" xfId="39640" xr:uid="{9C412E1E-E188-41F6-85AF-92E1516B4B7D}"/>
    <cellStyle name="Migliaia 41 2 5 2 3" xfId="44942" xr:uid="{397F4F0E-635E-48F9-8BE4-5F20F43F0B81}"/>
    <cellStyle name="Migliaia 41 2 5 3" xfId="37043" xr:uid="{4A7BE68C-2B60-4EF9-9BC6-328387A7BA97}"/>
    <cellStyle name="Migliaia 41 2 5 4" xfId="42291" xr:uid="{F490798F-8E89-4598-9103-A86BB7DC5A57}"/>
    <cellStyle name="Migliaia 41 2 5 5" xfId="13138" xr:uid="{6EA7C34E-6E6B-4787-AB76-CE21E2B2AF25}"/>
    <cellStyle name="Migliaia 41 2 6" xfId="3665" xr:uid="{80785BF2-9B6E-42B0-95FB-B2701C01D253}"/>
    <cellStyle name="Migliaia 41 2 6 2" xfId="34093" xr:uid="{E53A92B6-440E-4420-A4D6-556792231DE3}"/>
    <cellStyle name="Migliaia 41 2 6 2 2" xfId="39641" xr:uid="{60E51DF7-2173-4312-BFF9-F14CDF999C2C}"/>
    <cellStyle name="Migliaia 41 2 6 2 3" xfId="44943" xr:uid="{FB8A3AF2-28C3-419F-8F67-47B0BDA9E18D}"/>
    <cellStyle name="Migliaia 41 2 6 3" xfId="37044" xr:uid="{D2ABFE12-6704-4ED8-8594-8C16D61C88C1}"/>
    <cellStyle name="Migliaia 41 2 6 4" xfId="42292" xr:uid="{26F09DCC-F99C-4E38-9147-118D1EFBEFDE}"/>
    <cellStyle name="Migliaia 41 2 6 5" xfId="24999" xr:uid="{85BC1BB6-6F54-456E-A8DB-FD20A015A0E4}"/>
    <cellStyle name="Migliaia 41 2 6 6" xfId="20616" xr:uid="{08FB3022-B176-4920-9270-F573BA45862F}"/>
    <cellStyle name="Migliaia 41 2 7" xfId="24997" xr:uid="{DC0B12AB-8F25-4758-A241-0151C8F06FA0}"/>
    <cellStyle name="Migliaia 41 2 8" xfId="7148" xr:uid="{52409EC0-5D91-40F7-8958-E5EDBFFDF3A1}"/>
    <cellStyle name="Migliaia 41 3" xfId="443" xr:uid="{00000000-0005-0000-0000-0000FD030000}"/>
    <cellStyle name="Migliaia 41 3 10" xfId="25000" xr:uid="{F55983E0-C5DC-45F0-9E91-D70D7A81164D}"/>
    <cellStyle name="Migliaia 41 3 11" xfId="16558" xr:uid="{19E0B3D2-FFD6-40F2-8377-DBA6B38DBBF4}"/>
    <cellStyle name="Migliaia 41 3 12" xfId="7149" xr:uid="{77970086-BB66-420B-A16E-CECBC5ED062D}"/>
    <cellStyle name="Migliaia 41 3 2" xfId="444" xr:uid="{00000000-0005-0000-0000-0000FE030000}"/>
    <cellStyle name="Migliaia 41 3 2 2" xfId="1832" xr:uid="{00000000-0005-0000-0000-0000FF030000}"/>
    <cellStyle name="Migliaia 41 3 2 2 2" xfId="5396" xr:uid="{E7F5DF68-4D0F-42BB-98DE-F9B8C034CF0B}"/>
    <cellStyle name="Migliaia 41 3 2 2 2 2" xfId="18468" xr:uid="{DB1CAF3B-5451-4C54-A717-1281A8BC8BA8}"/>
    <cellStyle name="Migliaia 41 3 2 2 2 2 2" xfId="21876" xr:uid="{FF9C3021-14E6-42D2-8D5D-FBE402243E58}"/>
    <cellStyle name="Migliaia 41 3 2 2 2 2 2 2" xfId="39642" xr:uid="{6AC22212-D1E5-4F5E-BC37-EDEBE045CE15}"/>
    <cellStyle name="Migliaia 41 3 2 2 2 2 3" xfId="44944" xr:uid="{A3BF4A2B-A728-4B83-B86C-C0AFD9388E78}"/>
    <cellStyle name="Migliaia 41 3 2 2 2 2 4" xfId="34094" xr:uid="{E049D853-EB5B-40E2-9D20-3B283388C8B9}"/>
    <cellStyle name="Migliaia 41 3 2 2 2 3" xfId="37045" xr:uid="{E809266C-C739-4767-B5FD-FED71BC0BC17}"/>
    <cellStyle name="Migliaia 41 3 2 2 2 4" xfId="42293" xr:uid="{51FECCA5-2519-4D9F-BA04-A77D5D776C53}"/>
    <cellStyle name="Migliaia 41 3 2 2 2 5" xfId="36383" xr:uid="{1E825E1F-7B59-4273-8A23-E278C4958529}"/>
    <cellStyle name="Migliaia 41 3 2 2 2 6" xfId="50904" xr:uid="{675A1F0E-0A94-4D89-B313-A97B52400572}"/>
    <cellStyle name="Migliaia 41 3 2 2 2 7" xfId="53920" xr:uid="{EE858222-201D-4CEE-8ABD-7A74AF092A12}"/>
    <cellStyle name="Migliaia 41 3 2 2 2 8" xfId="17674" xr:uid="{23625E0B-8916-4E4D-9520-B5D40A7D0F36}"/>
    <cellStyle name="Migliaia 41 3 2 2 2 9" xfId="12027" xr:uid="{27A9CCAD-C3DB-4DFA-8942-46D1656F4EE9}"/>
    <cellStyle name="Migliaia 41 3 2 2 3" xfId="6585" xr:uid="{1023E66E-3B1E-41E0-87E5-C0623393763F}"/>
    <cellStyle name="Migliaia 41 3 2 2 3 2" xfId="11567" xr:uid="{FEC6F5D9-754B-4583-90FD-886864E413E0}"/>
    <cellStyle name="Migliaia 41 3 2 2 4" xfId="3670" xr:uid="{39CE3AC9-B03E-4EAB-BB40-6BD123818B87}"/>
    <cellStyle name="Migliaia 41 3 2 2 4 2" xfId="21544" xr:uid="{9D98EF69-61BE-4964-9FAF-C6AFBD6EECE9}"/>
    <cellStyle name="Migliaia 41 3 2 2 4 3" xfId="24241" xr:uid="{97C035E6-11A2-45A4-860C-0DA5FB208452}"/>
    <cellStyle name="Migliaia 41 3 2 2 4 4" xfId="50559" xr:uid="{5A9C2C28-CCD5-44BD-91B2-C6F72F206506}"/>
    <cellStyle name="Migliaia 41 3 2 2 4 5" xfId="53575" xr:uid="{43BA6B23-72A4-409E-BE9C-462E06CE36B1}"/>
    <cellStyle name="Migliaia 41 3 2 2 4 6" xfId="10909" xr:uid="{5D70369B-3866-4926-99BF-88ACDC8C5608}"/>
    <cellStyle name="Migliaia 41 3 2 2 5" xfId="20623" xr:uid="{7099677D-E384-4A1A-B379-1DAE1A41D0FB}"/>
    <cellStyle name="Migliaia 41 3 2 2 6" xfId="25002" xr:uid="{8EE0ACA9-B621-49BC-9FF0-FF3C4D2DB993}"/>
    <cellStyle name="Migliaia 41 3 2 2 7" xfId="8693" xr:uid="{D7D80972-ED75-4964-99DD-E970F7C4878F}"/>
    <cellStyle name="Migliaia 41 3 2 3" xfId="5395" xr:uid="{D7E725C4-924A-44F2-9F61-708986A900D2}"/>
    <cellStyle name="Migliaia 41 3 2 3 2" xfId="12407" xr:uid="{C9AE605E-7421-4709-8FC2-4F1C84A20756}"/>
    <cellStyle name="Migliaia 41 3 2 3 2 2" xfId="39643" xr:uid="{6E75FB98-F384-4F2A-AF8B-C34938F8D032}"/>
    <cellStyle name="Migliaia 41 3 2 3 2 3" xfId="44945" xr:uid="{04774580-FD8F-4194-98E0-775A36F538C5}"/>
    <cellStyle name="Migliaia 41 3 2 3 2 4" xfId="34095" xr:uid="{735DB84A-F07E-4BAF-92CF-F99E2580F904}"/>
    <cellStyle name="Migliaia 41 3 2 3 3" xfId="12028" xr:uid="{6CDF0BE9-A9B2-4174-A31B-237EC699113C}"/>
    <cellStyle name="Migliaia 41 3 2 3 4" xfId="20624" xr:uid="{D807D630-3C69-4FB6-9015-1181D7B4FECC}"/>
    <cellStyle name="Migliaia 41 3 2 3 4 2" xfId="42294" xr:uid="{8648EE54-8D27-41C4-BF64-BBA7D375699D}"/>
    <cellStyle name="Migliaia 41 3 2 3 5" xfId="16559" xr:uid="{990B157A-C57A-47CC-A9A5-EC3F26CD280B}"/>
    <cellStyle name="Migliaia 41 3 2 3 6" xfId="7965" xr:uid="{F7D4FEF9-A9CE-49FA-BDFC-390C09AB7997}"/>
    <cellStyle name="Migliaia 41 3 2 4" xfId="6584" xr:uid="{8B786F37-023B-4378-9E26-BC6294ECD313}"/>
    <cellStyle name="Migliaia 41 3 2 4 2" xfId="18092" xr:uid="{E5FE0878-7E9E-4F4A-8576-21816B744B63}"/>
    <cellStyle name="Migliaia 41 3 2 4 2 2" xfId="39644" xr:uid="{F8151C25-43F1-4F8A-AE72-A38AF26F9D8F}"/>
    <cellStyle name="Migliaia 41 3 2 4 2 3" xfId="44946" xr:uid="{C82AE960-F43B-42F7-92B6-B0C2CD5A773D}"/>
    <cellStyle name="Migliaia 41 3 2 4 3" xfId="37046" xr:uid="{F202A4E8-9ABD-48BF-8A5D-203C4429E0EA}"/>
    <cellStyle name="Migliaia 41 3 2 4 4" xfId="42295" xr:uid="{CDE32346-5D0D-47FC-ACD0-76136FD9513C}"/>
    <cellStyle name="Migliaia 41 3 2 4 5" xfId="17206" xr:uid="{F5ECD5AC-1EE8-47B8-9897-5330C9E5B718}"/>
    <cellStyle name="Migliaia 41 3 2 4 6" xfId="11376" xr:uid="{083505BB-DD07-4F15-9148-54DA9CD19D17}"/>
    <cellStyle name="Migliaia 41 3 2 5" xfId="3669" xr:uid="{F701301A-973F-44F5-84DE-75593B3F8F08}"/>
    <cellStyle name="Migliaia 41 3 2 5 2" xfId="34096" xr:uid="{38A07DA2-8954-49AD-89C3-F36C7A413C90}"/>
    <cellStyle name="Migliaia 41 3 2 5 2 2" xfId="39645" xr:uid="{281B793F-989A-4765-877F-B85516EB3DD3}"/>
    <cellStyle name="Migliaia 41 3 2 5 2 3" xfId="44947" xr:uid="{FF840C0A-040B-4721-8DAC-1D5E1B9FB948}"/>
    <cellStyle name="Migliaia 41 3 2 5 3" xfId="37047" xr:uid="{42A7C774-9FE0-4305-8DE2-67D2194DDCC7}"/>
    <cellStyle name="Migliaia 41 3 2 5 4" xfId="42296" xr:uid="{73A14144-025B-49ED-A110-68DF86775C25}"/>
    <cellStyle name="Migliaia 41 3 2 5 5" xfId="17321" xr:uid="{ADFB4761-1CB9-475C-8E66-D69D79FBF822}"/>
    <cellStyle name="Migliaia 41 3 2 6" xfId="20622" xr:uid="{6EC63469-8E9C-470E-B421-3CD2ED3D896D}"/>
    <cellStyle name="Migliaia 41 3 2 6 2" xfId="34097" xr:uid="{45F7A800-FB22-452D-AA57-6CA6A2A918BF}"/>
    <cellStyle name="Migliaia 41 3 2 6 2 2" xfId="39646" xr:uid="{1047FE4F-A0EA-491F-8E67-51E7B2E0CD6A}"/>
    <cellStyle name="Migliaia 41 3 2 6 2 3" xfId="44948" xr:uid="{681CD1AA-74FD-41CB-8C48-6530C1F98B57}"/>
    <cellStyle name="Migliaia 41 3 2 6 3" xfId="37048" xr:uid="{3525D9A3-F71E-416F-907C-F2BFBA74AFD0}"/>
    <cellStyle name="Migliaia 41 3 2 6 4" xfId="42297" xr:uid="{50F03ADB-3700-4978-9329-18EA1D6F93AF}"/>
    <cellStyle name="Migliaia 41 3 2 6 5" xfId="25003" xr:uid="{6CD3AA43-36D3-4124-BEEE-F1D9927A7494}"/>
    <cellStyle name="Migliaia 41 3 2 7" xfId="25001" xr:uid="{079013BC-5E83-406A-91AD-D253BA2A28A3}"/>
    <cellStyle name="Migliaia 41 3 2 8" xfId="7503" xr:uid="{B5012525-EF60-497C-AB04-591EF92178BB}"/>
    <cellStyle name="Migliaia 41 3 3" xfId="3671" xr:uid="{CCC797CA-FBEB-4E93-BFBB-570D0269D9E0}"/>
    <cellStyle name="Migliaia 41 3 3 10" xfId="7502" xr:uid="{18FD1AD1-D1B0-4311-BE69-F0615B335E3E}"/>
    <cellStyle name="Migliaia 41 3 3 2" xfId="5397" xr:uid="{3DBDA27A-78D8-4037-A8E3-22F005BC373E}"/>
    <cellStyle name="Migliaia 41 3 3 2 2" xfId="9952" xr:uid="{5AA84A20-2E79-4B82-BD8F-E49822CD1B35}"/>
    <cellStyle name="Migliaia 41 3 3 2 2 2" xfId="39648" xr:uid="{2B00042F-D211-4A2D-AD72-CCEA3F58A8C1}"/>
    <cellStyle name="Migliaia 41 3 3 2 2 3" xfId="44950" xr:uid="{756CC39A-E2F2-43B6-AE4A-BCEA84235299}"/>
    <cellStyle name="Migliaia 41 3 3 2 3" xfId="18232" xr:uid="{91A4F19B-9C2C-4F18-A467-B6893E48BE97}"/>
    <cellStyle name="Migliaia 41 3 3 2 4" xfId="20626" xr:uid="{3930B3A4-8DA1-4D07-88AD-EA91F1F95FC9}"/>
    <cellStyle name="Migliaia 41 3 3 2 4 2" xfId="42299" xr:uid="{011B03E8-F46A-4CF4-9A6C-D573CEB58E3B}"/>
    <cellStyle name="Migliaia 41 3 3 2 5" xfId="16561" xr:uid="{BA1DBB79-CD30-4086-BFB2-72D0EC8F1B72}"/>
    <cellStyle name="Migliaia 41 3 3 2 6" xfId="8692" xr:uid="{68F61442-95A3-492E-AC16-9DC52B503594}"/>
    <cellStyle name="Migliaia 41 3 3 3" xfId="6586" xr:uid="{B25CEFFB-DD2A-4064-888A-FAD34E38B694}"/>
    <cellStyle name="Migliaia 41 3 3 3 2" xfId="34099" xr:uid="{819364A7-3B78-4ACA-A9F9-A6F29D38CCF9}"/>
    <cellStyle name="Migliaia 41 3 3 3 2 2" xfId="39649" xr:uid="{E79D0DD8-81B0-4862-8060-3247FE141720}"/>
    <cellStyle name="Migliaia 41 3 3 3 2 3" xfId="44951" xr:uid="{15CDA7A5-452C-4B9F-8BD3-8B648AE57C63}"/>
    <cellStyle name="Migliaia 41 3 3 3 3" xfId="37050" xr:uid="{F024124F-657F-41C8-BD22-5185A3C0DC7F}"/>
    <cellStyle name="Migliaia 41 3 3 3 4" xfId="42300" xr:uid="{1E7E6735-7B52-4CC5-8443-4D0BE66317C5}"/>
    <cellStyle name="Migliaia 41 3 3 3 5" xfId="9715" xr:uid="{845F9063-DC25-401D-9AFF-37BF8820265E}"/>
    <cellStyle name="Migliaia 41 3 3 4" xfId="20625" xr:uid="{26E748E5-7D70-4C7E-A3F7-A9D53BF3B418}"/>
    <cellStyle name="Migliaia 41 3 3 4 2" xfId="34100" xr:uid="{4CF09EFF-8FFE-4E5B-A62D-49DE8E2A106E}"/>
    <cellStyle name="Migliaia 41 3 3 4 2 2" xfId="39650" xr:uid="{A60AE7EB-D3E9-48DB-93DA-B5E958C6ABF2}"/>
    <cellStyle name="Migliaia 41 3 3 4 2 3" xfId="44952" xr:uid="{EE4ECD4C-575C-4A0F-95DE-538C0A7E713D}"/>
    <cellStyle name="Migliaia 41 3 3 4 3" xfId="37051" xr:uid="{12D2B6BD-9EF4-4F3C-9A34-1FD948971B85}"/>
    <cellStyle name="Migliaia 41 3 3 4 4" xfId="42301" xr:uid="{8871F7BD-0A79-453B-BB0F-E9E3375D8DC5}"/>
    <cellStyle name="Migliaia 41 3 3 4 5" xfId="25004" xr:uid="{1671B8AF-80D7-404C-9467-A43490713BD6}"/>
    <cellStyle name="Migliaia 41 3 3 5" xfId="25005" xr:uid="{4CF47941-D879-40CE-8FA4-BA5BA7D3A3CB}"/>
    <cellStyle name="Migliaia 41 3 3 5 2" xfId="34101" xr:uid="{5E304405-EC75-49E1-BB03-6D82B1C0098E}"/>
    <cellStyle name="Migliaia 41 3 3 5 2 2" xfId="39651" xr:uid="{3B7D4F69-FDC5-48DD-8E83-5F42244CEC4F}"/>
    <cellStyle name="Migliaia 41 3 3 5 2 3" xfId="44953" xr:uid="{F6B9C8D4-2A52-4702-AAF5-8C4BA9D3D198}"/>
    <cellStyle name="Migliaia 41 3 3 5 3" xfId="37052" xr:uid="{3C17FA83-AEEF-4721-8608-B710E7C09A8A}"/>
    <cellStyle name="Migliaia 41 3 3 5 4" xfId="42302" xr:uid="{E0C847A4-5476-410A-9F4B-4309319AC808}"/>
    <cellStyle name="Migliaia 41 3 3 6" xfId="34098" xr:uid="{4FC95122-826E-4D27-B821-520AB95CBF7D}"/>
    <cellStyle name="Migliaia 41 3 3 6 2" xfId="39647" xr:uid="{50F90400-F9CE-48A3-8BF4-CF09169E8AA6}"/>
    <cellStyle name="Migliaia 41 3 3 6 3" xfId="44949" xr:uid="{55DF8494-8A09-4EF9-AD16-42EF484176AF}"/>
    <cellStyle name="Migliaia 41 3 3 7" xfId="37049" xr:uid="{DDAFE839-01F9-4103-90EF-9A1EAEB355C2}"/>
    <cellStyle name="Migliaia 41 3 3 8" xfId="42298" xr:uid="{A68F6160-4E21-4DBF-B347-BE2DA2DB2DCC}"/>
    <cellStyle name="Migliaia 41 3 3 9" xfId="16560" xr:uid="{143C6E86-5178-4E0A-A27E-3A5F25FAA9A1}"/>
    <cellStyle name="Migliaia 41 3 4" xfId="3672" xr:uid="{D30FD7CA-C51D-440F-98C6-C690A4034CC5}"/>
    <cellStyle name="Migliaia 41 3 4 2" xfId="5398" xr:uid="{A68135B6-C8F5-4D17-8604-B08907A2EDBC}"/>
    <cellStyle name="Migliaia 41 3 4 2 2" xfId="14458" xr:uid="{91E8AE19-16DB-4C2C-8E36-C283F7C57AF4}"/>
    <cellStyle name="Migliaia 41 3 4 2 3" xfId="18559" xr:uid="{727C3342-576F-44BB-A043-FBE11A37FF4A}"/>
    <cellStyle name="Migliaia 41 3 4 2 4" xfId="20628" xr:uid="{43195EEF-4DC1-40A2-B64D-1D7F73F5417A}"/>
    <cellStyle name="Migliaia 41 3 4 2 5" xfId="32416" xr:uid="{D8B450A3-0ED7-4B69-B246-15105107F0FE}"/>
    <cellStyle name="Migliaia 41 3 4 2 6" xfId="16563" xr:uid="{45603A33-DE07-4C36-9DEF-F08A42361FBB}"/>
    <cellStyle name="Migliaia 41 3 4 2 7" xfId="8881" xr:uid="{6B0BFB32-80FF-4F93-9131-99F22841209B}"/>
    <cellStyle name="Migliaia 41 3 4 3" xfId="6587" xr:uid="{8D3D2554-A257-4EEB-952E-57575849FADA}"/>
    <cellStyle name="Migliaia 41 3 4 3 2" xfId="35370" xr:uid="{76EC9C43-7D87-4AA3-82FD-EE340CAF5FD0}"/>
    <cellStyle name="Migliaia 41 3 4 3 2 2" xfId="40530" xr:uid="{5DF57E19-1337-4336-9D3D-372903B6D763}"/>
    <cellStyle name="Migliaia 41 3 4 3 2 3" xfId="45832" xr:uid="{F45AE0CA-6FCC-4B83-A1E7-56BCD71ECB68}"/>
    <cellStyle name="Migliaia 41 3 4 3 3" xfId="37879" xr:uid="{48722FA0-E6A9-4323-A505-C6D904D9FE42}"/>
    <cellStyle name="Migliaia 41 3 4 3 4" xfId="43181" xr:uid="{FFC20FFA-432D-4FA6-94CD-D9EC797F234F}"/>
    <cellStyle name="Migliaia 41 3 4 3 5" xfId="13706" xr:uid="{5EA68E3B-CE69-4A52-B2C7-442F87A65A20}"/>
    <cellStyle name="Migliaia 41 3 4 4" xfId="20627" xr:uid="{C19D4BD5-F786-4780-BFE4-DB13DA16C04F}"/>
    <cellStyle name="Migliaia 41 3 4 4 2" xfId="39652" xr:uid="{18733AF6-CC29-4731-8DD8-4919DA4919B2}"/>
    <cellStyle name="Migliaia 41 3 4 4 3" xfId="44954" xr:uid="{07199F13-7E6B-4194-8125-D9447F9D56AB}"/>
    <cellStyle name="Migliaia 41 3 4 4 4" xfId="34102" xr:uid="{EC8262AE-3055-4D8B-B74B-DE7A8BFE0F09}"/>
    <cellStyle name="Migliaia 41 3 4 5" xfId="37053" xr:uid="{679DC479-B5CC-43EC-A06A-EA77B696D616}"/>
    <cellStyle name="Migliaia 41 3 4 6" xfId="42303" xr:uid="{39F0E50C-7B5D-4B53-B3DB-56314205024A}"/>
    <cellStyle name="Migliaia 41 3 4 7" xfId="16562" xr:uid="{C955CE13-1336-4910-8396-1451B1D2AD31}"/>
    <cellStyle name="Migliaia 41 3 4 8" xfId="7691" xr:uid="{08E9DC64-3CA9-444D-A1CA-4C77336C206D}"/>
    <cellStyle name="Migliaia 41 3 5" xfId="3673" xr:uid="{C4A2ABCB-763C-4A24-8A6D-D5CDE7675D47}"/>
    <cellStyle name="Migliaia 41 3 5 2" xfId="5399" xr:uid="{BD5CB2BD-DDA7-414E-982A-4D238B461DC1}"/>
    <cellStyle name="Migliaia 41 3 5 2 2" xfId="35371" xr:uid="{2A4D9CD1-0FAF-48D1-A741-CD2D176CE807}"/>
    <cellStyle name="Migliaia 41 3 5 2 2 2" xfId="40531" xr:uid="{CC7D5DA3-7AAC-4F05-A10C-6113BD314F73}"/>
    <cellStyle name="Migliaia 41 3 5 2 2 3" xfId="45833" xr:uid="{3C30DE44-E8EE-4ACC-9BAA-ED7102B90480}"/>
    <cellStyle name="Migliaia 41 3 5 2 3" xfId="37880" xr:uid="{661D44C7-29AF-494B-9E6B-81ABB9BEECB9}"/>
    <cellStyle name="Migliaia 41 3 5 2 4" xfId="43182" xr:uid="{0ABCCB9D-59D9-44F5-8C8D-9BE7789F015E}"/>
    <cellStyle name="Migliaia 41 3 5 2 5" xfId="14286" xr:uid="{EBB3EA6D-2A31-477E-8F84-D52F4C2E9B83}"/>
    <cellStyle name="Migliaia 41 3 5 3" xfId="6588" xr:uid="{C2BC8053-3E19-4CF8-A840-2B5F4F0B891C}"/>
    <cellStyle name="Migliaia 41 3 5 3 2" xfId="39653" xr:uid="{A12A9753-AC53-455C-9723-2B7DDF5FDD38}"/>
    <cellStyle name="Migliaia 41 3 5 3 3" xfId="44955" xr:uid="{B17409FC-CEDC-4ECE-A460-41DD0DB781C4}"/>
    <cellStyle name="Migliaia 41 3 5 3 4" xfId="34103" xr:uid="{634F572D-5E7B-4EEF-B13C-2696D56FE283}"/>
    <cellStyle name="Migliaia 41 3 5 3 5" xfId="20629" xr:uid="{8C208878-67C1-492F-8FAF-B177C5C9AAAA}"/>
    <cellStyle name="Migliaia 41 3 5 4" xfId="37054" xr:uid="{9EB73F53-EC4A-4EF2-8370-619E89D74D6F}"/>
    <cellStyle name="Migliaia 41 3 5 5" xfId="42304" xr:uid="{56F8D175-C0C7-4A4E-B2C7-2F117F3AC4BF}"/>
    <cellStyle name="Migliaia 41 3 5 6" xfId="16564" xr:uid="{1A251CBE-BE3F-4E67-82D5-DA5ABE530D96}"/>
    <cellStyle name="Migliaia 41 3 5 7" xfId="8348" xr:uid="{C1107E28-A1FB-4F27-A306-69FFA56613A7}"/>
    <cellStyle name="Migliaia 41 3 6" xfId="5394" xr:uid="{B63FAC98-84DD-48EF-BA3D-FF867E6E66DF}"/>
    <cellStyle name="Migliaia 41 3 6 2" xfId="13991" xr:uid="{425D19BC-618E-4E64-8923-3B74D6343C74}"/>
    <cellStyle name="Migliaia 41 3 6 2 2" xfId="39654" xr:uid="{7AB844E4-3F9A-4B86-830D-B7F5CD032A37}"/>
    <cellStyle name="Migliaia 41 3 6 2 3" xfId="44956" xr:uid="{A000242A-8EFA-4F8B-9D00-B7EEBD759451}"/>
    <cellStyle name="Migliaia 41 3 6 3" xfId="18699" xr:uid="{F78F34CA-F7A9-46BC-BD8B-E62CBD568FF6}"/>
    <cellStyle name="Migliaia 41 3 6 4" xfId="20630" xr:uid="{99CEADA1-5B0A-4B43-8B60-5C9C1FA0C4F3}"/>
    <cellStyle name="Migliaia 41 3 6 4 2" xfId="42305" xr:uid="{030E28E8-527A-468E-B2DD-DC2129E916F1}"/>
    <cellStyle name="Migliaia 41 3 6 5" xfId="16565" xr:uid="{B4B1F38F-E638-4345-ABFE-E8BFD8CFB22B}"/>
    <cellStyle name="Migliaia 41 3 6 6" xfId="7964" xr:uid="{9A3BA60D-AD26-4FEE-879C-BE4B3C19F139}"/>
    <cellStyle name="Migliaia 41 3 7" xfId="6583" xr:uid="{D75A280D-C0F6-4DF2-BD43-C7D366392263}"/>
    <cellStyle name="Migliaia 41 3 7 2" xfId="34104" xr:uid="{CAC07438-1576-4A17-94CC-15E2A7D66C1D}"/>
    <cellStyle name="Migliaia 41 3 7 2 2" xfId="39655" xr:uid="{333030BF-4A2D-4D19-AAB4-2866DD92F6D4}"/>
    <cellStyle name="Migliaia 41 3 7 2 3" xfId="44957" xr:uid="{489F4D29-DAF4-419B-980C-69A701799F04}"/>
    <cellStyle name="Migliaia 41 3 7 3" xfId="37055" xr:uid="{8C1CC1A0-C737-4B26-80B7-FAFF933BF67F}"/>
    <cellStyle name="Migliaia 41 3 7 4" xfId="42306" xr:uid="{1848E72A-F4C9-4BD0-AD43-0E6B866E3332}"/>
    <cellStyle name="Migliaia 41 3 7 5" xfId="12283" xr:uid="{8E821BFE-234B-4711-8F74-F2EC61090BAF}"/>
    <cellStyle name="Migliaia 41 3 8" xfId="3668" xr:uid="{EA780D19-D4FC-42B6-8EF9-A185886509C6}"/>
    <cellStyle name="Migliaia 41 3 8 2" xfId="34105" xr:uid="{09F2C016-FB95-45FA-BF05-9D2CE15E0D1B}"/>
    <cellStyle name="Migliaia 41 3 8 2 2" xfId="39656" xr:uid="{CA17C210-583C-4A54-82F2-C1C573D36E71}"/>
    <cellStyle name="Migliaia 41 3 8 2 3" xfId="44958" xr:uid="{03ECD010-1676-4243-A8FF-EBA8C4462B7D}"/>
    <cellStyle name="Migliaia 41 3 8 3" xfId="37056" xr:uid="{A2012E00-0E37-4AA9-AAD9-0212E09141B7}"/>
    <cellStyle name="Migliaia 41 3 8 4" xfId="42307" xr:uid="{6686506C-E558-461C-89A6-93F1769EDD1D}"/>
    <cellStyle name="Migliaia 41 3 8 5" xfId="25006" xr:uid="{E73927C2-4BB4-4B35-92BD-509324C4C68E}"/>
    <cellStyle name="Migliaia 41 3 8 6" xfId="17322" xr:uid="{3702EA85-3C55-47F3-AF36-CE4E221237D6}"/>
    <cellStyle name="Migliaia 41 3 9" xfId="20621" xr:uid="{77F94837-2E88-4A6F-87B7-3859B74CD333}"/>
    <cellStyle name="Migliaia 41 4" xfId="1833" xr:uid="{00000000-0005-0000-0000-000000040000}"/>
    <cellStyle name="Migliaia 41 4 2" xfId="1834" xr:uid="{00000000-0005-0000-0000-000001040000}"/>
    <cellStyle name="Migliaia 41 4 2 2" xfId="5401" xr:uid="{0BF81CD2-D495-4235-A5F3-8598116771B7}"/>
    <cellStyle name="Migliaia 41 4 2 2 2" xfId="34106" xr:uid="{9F5AC840-0C41-4E93-A8D6-D0E756ABA11B}"/>
    <cellStyle name="Migliaia 41 4 2 2 2 2" xfId="39657" xr:uid="{D3DE2BE5-93A4-4A68-A528-B6E4388C65BA}"/>
    <cellStyle name="Migliaia 41 4 2 2 2 3" xfId="44959" xr:uid="{B3AA32C0-EB7E-4E71-8E2F-C763061AA4D7}"/>
    <cellStyle name="Migliaia 41 4 2 2 3" xfId="37057" xr:uid="{C67112EF-D02A-42F3-BF8A-BC64390C6B22}"/>
    <cellStyle name="Migliaia 41 4 2 2 4" xfId="42308" xr:uid="{655B2B46-B035-4FBF-AFAF-12A5DCAC27AF}"/>
    <cellStyle name="Migliaia 41 4 2 2 5" xfId="9178" xr:uid="{7EA65DB3-471A-49AC-9F98-CA7DE158D027}"/>
    <cellStyle name="Migliaia 41 4 2 3" xfId="3675" xr:uid="{250A6D7E-0F04-4EB3-A22E-E160BB8C9FCB}"/>
    <cellStyle name="Migliaia 41 4 2 3 2" xfId="34107" xr:uid="{8247E28C-BFC6-445B-BB3B-5DC950CC0EAE}"/>
    <cellStyle name="Migliaia 41 4 2 3 2 2" xfId="39658" xr:uid="{7FCD017A-685F-4FCE-976F-246F7C15A43B}"/>
    <cellStyle name="Migliaia 41 4 2 3 2 3" xfId="44960" xr:uid="{3783C4B9-F319-4551-AB30-DB0D1D825C2D}"/>
    <cellStyle name="Migliaia 41 4 2 3 3" xfId="37058" xr:uid="{FC715CF3-EFE4-47CA-9303-E77BFBF79489}"/>
    <cellStyle name="Migliaia 41 4 2 3 4" xfId="42309" xr:uid="{E6DDFDBE-D06D-4074-B86D-99E3EF7A71EC}"/>
    <cellStyle name="Migliaia 41 4 2 3 5" xfId="12029" xr:uid="{9F30BB87-1D97-42A1-B797-EE4AE4DE2AA4}"/>
    <cellStyle name="Migliaia 41 4 2 4" xfId="11378" xr:uid="{DE8E7B8A-7E71-4138-ABB5-2B12FBDD44A0}"/>
    <cellStyle name="Migliaia 41 4 2 5" xfId="10911" xr:uid="{4C1A4322-6650-4108-BCB2-57BD51ACFA0C}"/>
    <cellStyle name="Migliaia 41 4 2 5 2" xfId="21546" xr:uid="{D297181E-B8B6-465B-B4E3-77170C3E9887}"/>
    <cellStyle name="Migliaia 41 4 2 5 3" xfId="32296" xr:uid="{0954944C-C574-4EE4-B282-5958D17161BD}"/>
    <cellStyle name="Migliaia 41 4 2 5 4" xfId="50561" xr:uid="{580CBDB0-F899-4233-AE1F-ECA6C400C83C}"/>
    <cellStyle name="Migliaia 41 4 2 5 5" xfId="53577" xr:uid="{E9E84837-FB54-4E57-87B0-4FD97C3228EE}"/>
    <cellStyle name="Migliaia 41 4 2 6" xfId="20632" xr:uid="{7340A75D-DC49-4EF1-BCB3-5A15CC4430E4}"/>
    <cellStyle name="Migliaia 41 4 2 7" xfId="25008" xr:uid="{13C65749-3881-42EF-A64E-8EE2BB235D9E}"/>
    <cellStyle name="Migliaia 41 4 2 8" xfId="8694" xr:uid="{29870646-EBA1-4B21-8A05-8DC124E8817F}"/>
    <cellStyle name="Migliaia 41 4 3" xfId="5400" xr:uid="{57ABE550-183B-4D9B-91BB-7176C2F47CF2}"/>
    <cellStyle name="Migliaia 41 4 3 2" xfId="18233" xr:uid="{35B943FE-27B3-4651-BD08-B684101A12F6}"/>
    <cellStyle name="Migliaia 41 4 3 2 2" xfId="39659" xr:uid="{F0647A8C-9546-402A-9B69-C17C8338EB75}"/>
    <cellStyle name="Migliaia 41 4 3 2 3" xfId="44961" xr:uid="{0A109135-C54A-4941-AEFC-B4F951313E2D}"/>
    <cellStyle name="Migliaia 41 4 3 3" xfId="37059" xr:uid="{643B86CF-C6C5-461D-9EAE-5534231BD581}"/>
    <cellStyle name="Migliaia 41 4 3 4" xfId="42310" xr:uid="{FECCEF29-FB20-4014-BC75-E918D6051B74}"/>
    <cellStyle name="Migliaia 41 4 3 5" xfId="17320" xr:uid="{D1B6A159-C346-4DFD-B2C5-3849D427E210}"/>
    <cellStyle name="Migliaia 41 4 3 6" xfId="9179" xr:uid="{1EF10DBD-8513-4E72-964B-B4631020BAF7}"/>
    <cellStyle name="Migliaia 41 4 4" xfId="6589" xr:uid="{644339AC-D222-4D57-A042-89D255E7F645}"/>
    <cellStyle name="Migliaia 41 4 4 2" xfId="34108" xr:uid="{8E6ACFAC-6EB7-49FF-BA32-3A74FED2932E}"/>
    <cellStyle name="Migliaia 41 4 4 2 2" xfId="39660" xr:uid="{B407FAB9-4601-46B1-8EBB-32BF9DCA43C7}"/>
    <cellStyle name="Migliaia 41 4 4 2 3" xfId="44962" xr:uid="{8A60B855-4493-4D95-A88A-EB534020B5FB}"/>
    <cellStyle name="Migliaia 41 4 4 3" xfId="37060" xr:uid="{4AB9B8C4-BD01-4CAC-83B4-71A694925EFF}"/>
    <cellStyle name="Migliaia 41 4 4 4" xfId="42311" xr:uid="{794D014E-EB3A-4032-9D74-A103FF59EDB7}"/>
    <cellStyle name="Migliaia 41 4 4 5" xfId="12030" xr:uid="{0538037C-27ED-4B10-BE11-6F7C6C7F2597}"/>
    <cellStyle name="Migliaia 41 4 5" xfId="3674" xr:uid="{48D38193-51CB-4F37-9660-A67B15AF9EA3}"/>
    <cellStyle name="Migliaia 41 4 5 2" xfId="34109" xr:uid="{60F7753D-E222-45A2-A333-F20DB3D03835}"/>
    <cellStyle name="Migliaia 41 4 5 2 2" xfId="39661" xr:uid="{AC51F5AD-652B-4A64-AB8C-8A92CF83F547}"/>
    <cellStyle name="Migliaia 41 4 5 2 3" xfId="44963" xr:uid="{926E6578-054E-4BA0-8972-85E3D6D4CA5D}"/>
    <cellStyle name="Migliaia 41 4 5 3" xfId="37061" xr:uid="{F7A861D7-F6A2-4636-A14F-FDF6281E554E}"/>
    <cellStyle name="Migliaia 41 4 5 4" xfId="42312" xr:uid="{6091078E-A9ED-4CA9-8F03-464AEC4C332E}"/>
    <cellStyle name="Migliaia 41 4 5 5" xfId="11377" xr:uid="{CDCCA49D-692F-4D48-9D55-599A0CDE8DE1}"/>
    <cellStyle name="Migliaia 41 4 6" xfId="10910" xr:uid="{3B874466-C450-4B29-ABA6-0714AFB72B33}"/>
    <cellStyle name="Migliaia 41 4 6 2" xfId="21545" xr:uid="{A87C5062-1B88-4194-B5AE-D753C51BB5C4}"/>
    <cellStyle name="Migliaia 41 4 6 2 2" xfId="39662" xr:uid="{8860EAE8-0F0F-4767-AF0A-FA816EB3D2DD}"/>
    <cellStyle name="Migliaia 41 4 6 2 3" xfId="44964" xr:uid="{013DBEE3-46F1-43CB-8781-8CA57114BBFF}"/>
    <cellStyle name="Migliaia 41 4 6 2 4" xfId="34110" xr:uid="{CC0D77A4-EACD-4582-8E85-EFA5B5F542DB}"/>
    <cellStyle name="Migliaia 41 4 6 3" xfId="37062" xr:uid="{FC37E175-B1D0-43B6-857F-8FAE1FE23656}"/>
    <cellStyle name="Migliaia 41 4 6 4" xfId="42313" xr:uid="{2AD99E77-5025-408B-9E12-58ED825FB11B}"/>
    <cellStyle name="Migliaia 41 4 6 5" xfId="25009" xr:uid="{36CDAB8D-8ED2-4382-8C19-76882376DDD6}"/>
    <cellStyle name="Migliaia 41 4 6 6" xfId="46258" xr:uid="{EDA256BD-7128-4705-AB38-9BEB1ECE9C9D}"/>
    <cellStyle name="Migliaia 41 4 6 7" xfId="50560" xr:uid="{17AA54BB-853D-4F1B-8D71-304ED2919D4B}"/>
    <cellStyle name="Migliaia 41 4 6 8" xfId="53576" xr:uid="{95C50941-CCC4-45FE-B238-CF6B0CDE49DC}"/>
    <cellStyle name="Migliaia 41 4 7" xfId="20631" xr:uid="{06DBF93B-484A-4E5E-83E5-431AEB83DAB5}"/>
    <cellStyle name="Migliaia 41 4 7 2" xfId="34111" xr:uid="{8CBBD78D-0260-419F-AF4D-EE06A6835BB8}"/>
    <cellStyle name="Migliaia 41 4 7 2 2" xfId="39663" xr:uid="{B2DF1348-C5E2-4D43-8E0F-E51B061743AA}"/>
    <cellStyle name="Migliaia 41 4 7 2 3" xfId="44965" xr:uid="{2B8453B4-5257-42E1-8BFC-9B5DCB8D3D76}"/>
    <cellStyle name="Migliaia 41 4 7 3" xfId="37063" xr:uid="{7F7A05E7-4818-48DB-ACE8-D9FD3CD2AA66}"/>
    <cellStyle name="Migliaia 41 4 7 4" xfId="42314" xr:uid="{B2E6EADA-1692-498F-8C0D-1A84AFED3A90}"/>
    <cellStyle name="Migliaia 41 4 7 5" xfId="25010" xr:uid="{B2CF51E2-DD6C-44FB-99A3-D81CB1745392}"/>
    <cellStyle name="Migliaia 41 4 8" xfId="25007" xr:uid="{2CE0A57D-FD9B-43F0-8FD2-75FA808FF554}"/>
    <cellStyle name="Migliaia 41 4 9" xfId="7504" xr:uid="{77B076FB-7022-4C39-8CEC-910716A1F41C}"/>
    <cellStyle name="Migliaia 41 5" xfId="1835" xr:uid="{00000000-0005-0000-0000-000002040000}"/>
    <cellStyle name="Migliaia 41 5 2" xfId="5402" xr:uid="{5B9AF5BB-B682-4D79-8DE9-2B41D3B87B7B}"/>
    <cellStyle name="Migliaia 41 5 2 2" xfId="18469" xr:uid="{BB49E6EF-2F1C-4D41-9D83-25C2EC6DDE20}"/>
    <cellStyle name="Migliaia 41 5 2 2 2" xfId="39664" xr:uid="{BBBADB65-CD3D-4652-82CC-D4DB527FFCA5}"/>
    <cellStyle name="Migliaia 41 5 2 2 3" xfId="44966" xr:uid="{FB4745D1-4178-40BD-91A3-C3BEDE3BBAED}"/>
    <cellStyle name="Migliaia 41 5 2 3" xfId="20634" xr:uid="{549AFE9E-3ACE-463D-A471-0CFD376C6EC5}"/>
    <cellStyle name="Migliaia 41 5 2 3 2" xfId="37064" xr:uid="{7752558F-71C8-4F38-8460-3F69D43C5267}"/>
    <cellStyle name="Migliaia 41 5 2 4" xfId="42315" xr:uid="{7EF7C16D-9DAD-46AA-9426-E4235C93CBEA}"/>
    <cellStyle name="Migliaia 41 5 2 5" xfId="16566" xr:uid="{C8DAAEB5-FC86-4CE0-96BB-CBFE863E5DF9}"/>
    <cellStyle name="Migliaia 41 5 2 6" xfId="8695" xr:uid="{599AF1C2-2745-4E59-B043-B89402E92A36}"/>
    <cellStyle name="Migliaia 41 5 3" xfId="6590" xr:uid="{A9DCFD99-76E1-4D5A-93B9-359DF6A1AA1F}"/>
    <cellStyle name="Migliaia 41 5 3 2" xfId="34112" xr:uid="{1DB1D63B-E34D-40ED-91EE-401888E5FB70}"/>
    <cellStyle name="Migliaia 41 5 3 2 2" xfId="39665" xr:uid="{F3B23F83-9874-412B-97D1-EB313D376B8A}"/>
    <cellStyle name="Migliaia 41 5 3 2 3" xfId="44967" xr:uid="{E940C95F-0AF5-463E-AA5C-EC40AE6B620F}"/>
    <cellStyle name="Migliaia 41 5 3 3" xfId="37065" xr:uid="{7B32B80B-A70C-434C-9713-08B9ADAE9B6F}"/>
    <cellStyle name="Migliaia 41 5 3 4" xfId="42316" xr:uid="{13A427BE-1D48-45CE-9A25-74C608DC0343}"/>
    <cellStyle name="Migliaia 41 5 3 5" xfId="11379" xr:uid="{CC301E79-2B7A-41F0-90DA-439460803275}"/>
    <cellStyle name="Migliaia 41 5 4" xfId="3676" xr:uid="{24A4F75F-356B-46B7-A5D7-9B28498CE010}"/>
    <cellStyle name="Migliaia 41 5 4 2" xfId="21547" xr:uid="{8F67C49A-EE76-4B04-B790-2D2BCCC8C233}"/>
    <cellStyle name="Migliaia 41 5 4 2 2" xfId="39666" xr:uid="{B7D9C7F1-B6F8-41BD-AAFB-537F7443BD5E}"/>
    <cellStyle name="Migliaia 41 5 4 2 3" xfId="44968" xr:uid="{A5D3E2A4-221C-4E9C-A225-313C7D574809}"/>
    <cellStyle name="Migliaia 41 5 4 2 4" xfId="34113" xr:uid="{15B4F3B6-E064-415E-981E-5E90E87698C1}"/>
    <cellStyle name="Migliaia 41 5 4 3" xfId="37066" xr:uid="{A46162F0-776B-4BEE-A9F0-6932C242839F}"/>
    <cellStyle name="Migliaia 41 5 4 4" xfId="42317" xr:uid="{0A10C200-1DDE-43EB-B982-7B1DF5CE5BB2}"/>
    <cellStyle name="Migliaia 41 5 4 5" xfId="25012" xr:uid="{7F0FD481-457B-4D56-82F2-EB95A7171C1C}"/>
    <cellStyle name="Migliaia 41 5 4 6" xfId="47118" xr:uid="{4AF26D37-F88D-4D71-A611-8EE77E1DF4D7}"/>
    <cellStyle name="Migliaia 41 5 4 7" xfId="50562" xr:uid="{F6DE96B4-C9D7-4F24-964C-0B86D2A96D61}"/>
    <cellStyle name="Migliaia 41 5 4 8" xfId="53578" xr:uid="{D3C8623E-B8C2-45F1-8699-2D25483D4A04}"/>
    <cellStyle name="Migliaia 41 5 4 9" xfId="10912" xr:uid="{F2B3FDD6-948F-43B0-9220-D114624EC539}"/>
    <cellStyle name="Migliaia 41 5 5" xfId="20633" xr:uid="{38BE6AA5-5727-4E11-8693-5B0FFD9E5CE1}"/>
    <cellStyle name="Migliaia 41 5 5 2" xfId="34114" xr:uid="{05D5CD27-945A-4910-BACC-5A11B8406C47}"/>
    <cellStyle name="Migliaia 41 5 5 2 2" xfId="39667" xr:uid="{E981CDD4-0A1E-44CA-B211-FD262E04F5AC}"/>
    <cellStyle name="Migliaia 41 5 5 2 3" xfId="44969" xr:uid="{89E14843-C217-4934-A828-C5FED416D201}"/>
    <cellStyle name="Migliaia 41 5 5 3" xfId="37067" xr:uid="{015C0A26-AA0E-4929-B6FB-A37A3CBC5027}"/>
    <cellStyle name="Migliaia 41 5 5 4" xfId="42318" xr:uid="{29C251F7-767A-49A3-941B-5FFB1CB8468D}"/>
    <cellStyle name="Migliaia 41 5 5 5" xfId="25013" xr:uid="{4ABC1534-EC0A-43F7-AC64-B42B09E5A069}"/>
    <cellStyle name="Migliaia 41 5 6" xfId="25014" xr:uid="{A5ACB79F-214F-4597-9F9C-79B10108838A}"/>
    <cellStyle name="Migliaia 41 5 6 2" xfId="34115" xr:uid="{F2E2E127-DC62-4E7E-88CD-DC1453FAD5E0}"/>
    <cellStyle name="Migliaia 41 5 6 2 2" xfId="39668" xr:uid="{13E647D2-2927-4831-B67F-DCD15411F3DA}"/>
    <cellStyle name="Migliaia 41 5 6 2 3" xfId="44970" xr:uid="{109130E9-ECD4-4422-A7B3-69A077626DC8}"/>
    <cellStyle name="Migliaia 41 5 6 3" xfId="37068" xr:uid="{106A4295-F09A-43D6-8D14-05C1D071DA8D}"/>
    <cellStyle name="Migliaia 41 5 6 4" xfId="42319" xr:uid="{0C234BF9-9F2F-41A0-9897-377BDFA4EF72}"/>
    <cellStyle name="Migliaia 41 5 7" xfId="25011" xr:uid="{53901848-5172-4D23-B613-8757119B875D}"/>
    <cellStyle name="Migliaia 41 5 8" xfId="7505" xr:uid="{AFC2450B-8B2B-41D5-91AD-2FEBFFB83D11}"/>
    <cellStyle name="Migliaia 41 6" xfId="3677" xr:uid="{64EBE5BE-22B6-4CD3-ACAB-945D61481878}"/>
    <cellStyle name="Migliaia 41 6 2" xfId="5403" xr:uid="{A182C449-281E-4104-B67F-B8166D007DF1}"/>
    <cellStyle name="Migliaia 41 6 2 2" xfId="9951" xr:uid="{DBCF0ED2-18A6-4DDD-963F-F6F29521C374}"/>
    <cellStyle name="Migliaia 41 6 2 3" xfId="18645" xr:uid="{2BE3DAB5-2C86-4EAB-970B-57ABE0D6CFA9}"/>
    <cellStyle name="Migliaia 41 6 2 4" xfId="20636" xr:uid="{8F2B280A-4CA3-4C6B-BACB-AF9D32E09B51}"/>
    <cellStyle name="Migliaia 41 6 2 5" xfId="32417" xr:uid="{E6219713-C2C3-4BFA-A8F3-E1471704A8FF}"/>
    <cellStyle name="Migliaia 41 6 2 6" xfId="16568" xr:uid="{FB7A3B08-1992-4547-9F92-FB4589648B96}"/>
    <cellStyle name="Migliaia 41 6 2 7" xfId="8690" xr:uid="{71819118-DF65-450D-BD41-B582D66B3822}"/>
    <cellStyle name="Migliaia 41 6 3" xfId="6591" xr:uid="{E4433CCD-FCA9-416A-9A73-816451B07F74}"/>
    <cellStyle name="Migliaia 41 6 3 2" xfId="35372" xr:uid="{73424A20-9428-42C3-8A99-3B40AE34075E}"/>
    <cellStyle name="Migliaia 41 6 3 2 2" xfId="40532" xr:uid="{625F64F1-0505-4532-A5D8-1C19814968C3}"/>
    <cellStyle name="Migliaia 41 6 3 2 3" xfId="45834" xr:uid="{5C6649FB-589D-4C5C-B15A-5E22FCA4DEA6}"/>
    <cellStyle name="Migliaia 41 6 3 3" xfId="37881" xr:uid="{FDA45F98-72A4-4006-9093-C73CEEA3FF56}"/>
    <cellStyle name="Migliaia 41 6 3 4" xfId="43183" xr:uid="{5A74474D-4048-4F7D-A92E-47503E11E4AF}"/>
    <cellStyle name="Migliaia 41 6 3 5" xfId="9714" xr:uid="{E94F2DE0-0C36-4577-9D30-B9B7917C7D3B}"/>
    <cellStyle name="Migliaia 41 6 4" xfId="20635" xr:uid="{A1C58C75-267F-4AFC-AA83-6A703D6F645A}"/>
    <cellStyle name="Migliaia 41 6 4 2" xfId="39669" xr:uid="{7294BEC7-D59C-4F63-9A3C-0B2C990329AC}"/>
    <cellStyle name="Migliaia 41 6 4 3" xfId="44971" xr:uid="{6416DAD6-9462-4E01-8D0E-E0364918B05C}"/>
    <cellStyle name="Migliaia 41 6 4 4" xfId="34116" xr:uid="{477C358B-6F70-48B2-B838-E32B9331B424}"/>
    <cellStyle name="Migliaia 41 6 5" xfId="37069" xr:uid="{73FB0A2D-47D5-4ED4-A739-F7DF158B8731}"/>
    <cellStyle name="Migliaia 41 6 6" xfId="42320" xr:uid="{2C6F5E2A-BA2C-4201-8CBB-87387866D3DE}"/>
    <cellStyle name="Migliaia 41 6 7" xfId="16567" xr:uid="{6A7A8A11-1989-4078-92C6-270B25423B5A}"/>
    <cellStyle name="Migliaia 41 6 8" xfId="7500" xr:uid="{06B433C0-9701-4CA7-8430-750ED955758C}"/>
    <cellStyle name="Migliaia 41 7" xfId="3678" xr:uid="{AB694BBD-D91F-4DE4-B3F6-A942DC9C1F35}"/>
    <cellStyle name="Migliaia 41 7 2" xfId="5404" xr:uid="{E6E82F0C-8A3E-4364-8460-1D0214C26916}"/>
    <cellStyle name="Migliaia 41 7 2 2" xfId="35373" xr:uid="{D56175CD-9B50-4514-BDDC-6A679362798E}"/>
    <cellStyle name="Migliaia 41 7 2 2 2" xfId="40533" xr:uid="{ABDDE411-0707-499D-87ED-994CFCC23D69}"/>
    <cellStyle name="Migliaia 41 7 2 2 3" xfId="45835" xr:uid="{72CC50C2-1340-4215-82B5-F4C2A7A5B94D}"/>
    <cellStyle name="Migliaia 41 7 2 3" xfId="37882" xr:uid="{608E0254-3CA5-4445-89A4-502EDB7CE72E}"/>
    <cellStyle name="Migliaia 41 7 2 4" xfId="43184" xr:uid="{87C6EA41-C821-455E-B96E-F5F53E736370}"/>
    <cellStyle name="Migliaia 41 7 2 5" xfId="14284" xr:uid="{08CABD1B-3429-43A1-8199-8C8196ED8EC7}"/>
    <cellStyle name="Migliaia 41 7 3" xfId="6592" xr:uid="{FF2122F4-0943-43D6-BA95-C723958CF4A9}"/>
    <cellStyle name="Migliaia 41 7 3 2" xfId="39670" xr:uid="{8CBB92C4-45A4-427A-A3F6-B56FB903E85A}"/>
    <cellStyle name="Migliaia 41 7 3 3" xfId="44972" xr:uid="{61E2C023-3C1E-4F8A-8549-907D8389F904}"/>
    <cellStyle name="Migliaia 41 7 3 4" xfId="34117" xr:uid="{9DB40DEE-0BC2-47F1-B991-20EAD9A5C87E}"/>
    <cellStyle name="Migliaia 41 7 3 5" xfId="20637" xr:uid="{90BA7B7B-A7FD-4A4E-AB6F-7188633A83DF}"/>
    <cellStyle name="Migliaia 41 7 4" xfId="37070" xr:uid="{F9E9F99C-6F55-41C9-96E6-F36FFDF4D4DB}"/>
    <cellStyle name="Migliaia 41 7 5" xfId="42321" xr:uid="{28B09A89-7A21-4B06-BD79-F9CAE819E143}"/>
    <cellStyle name="Migliaia 41 7 6" xfId="16569" xr:uid="{427F9776-C4EC-41FD-A631-C8391F01E182}"/>
    <cellStyle name="Migliaia 41 7 7" xfId="8346" xr:uid="{97D2DE38-6700-4F0B-8DA3-4270B6069CB6}"/>
    <cellStyle name="Migliaia 41 8" xfId="3679" xr:uid="{1F3D00DE-01F6-4BD7-95C0-2747F8039565}"/>
    <cellStyle name="Migliaia 41 8 2" xfId="5405" xr:uid="{2F1B0665-19C4-4449-80F2-0E8435B1CBAD}"/>
    <cellStyle name="Migliaia 41 8 2 2" xfId="35374" xr:uid="{16208FFA-5163-42DE-97BA-B2C6F1DA84E8}"/>
    <cellStyle name="Migliaia 41 8 2 2 2" xfId="40534" xr:uid="{5960E34F-48FD-4219-BCC4-6C2CC5E2C4AC}"/>
    <cellStyle name="Migliaia 41 8 2 2 3" xfId="45836" xr:uid="{F5390EF0-6DD0-472B-B31E-A48019A7E879}"/>
    <cellStyle name="Migliaia 41 8 2 3" xfId="37883" xr:uid="{F6EE9643-F643-46E7-8A18-3162593CB5C1}"/>
    <cellStyle name="Migliaia 41 8 2 4" xfId="43185" xr:uid="{5D7512A2-9E44-4E06-A23B-09CD10B8671A}"/>
    <cellStyle name="Migliaia 41 8 2 5" xfId="13989" xr:uid="{1FB5A1EE-7924-4747-884E-A6BAE0D55ED4}"/>
    <cellStyle name="Migliaia 41 8 3" xfId="6593" xr:uid="{DB823D79-6E06-4B3E-A7A2-793B3ADC91C4}"/>
    <cellStyle name="Migliaia 41 8 3 2" xfId="39671" xr:uid="{0A906E5B-5D6E-4898-89E4-2FB33000F402}"/>
    <cellStyle name="Migliaia 41 8 3 3" xfId="44973" xr:uid="{7A299ECC-6B93-4B66-99B4-88D75391B5EB}"/>
    <cellStyle name="Migliaia 41 8 3 4" xfId="34118" xr:uid="{E93B39C3-48AE-4B7A-A9BD-06132B22BA34}"/>
    <cellStyle name="Migliaia 41 8 3 5" xfId="20638" xr:uid="{FD374B21-D3CC-4007-A3EF-C280DD7891FB}"/>
    <cellStyle name="Migliaia 41 8 4" xfId="37071" xr:uid="{199934E5-773F-4A6B-8038-1AB7A294F76B}"/>
    <cellStyle name="Migliaia 41 8 5" xfId="42322" xr:uid="{0032F8C1-43FD-480E-80AB-F8BC538AB216}"/>
    <cellStyle name="Migliaia 41 8 6" xfId="16570" xr:uid="{1143FA6D-93F2-450D-8C60-58DB8E830FCE}"/>
    <cellStyle name="Migliaia 41 8 7" xfId="7962" xr:uid="{2D6C33EC-AB37-4FE0-9C99-F60697025DEE}"/>
    <cellStyle name="Migliaia 41 9" xfId="5390" xr:uid="{4ACE08C6-2C20-46FA-AC8E-1D2D865DA549}"/>
    <cellStyle name="Migliaia 41 9 2" xfId="34119" xr:uid="{0C30C3B9-06AE-4A14-8BF9-F2695B42EC56}"/>
    <cellStyle name="Migliaia 41 9 2 2" xfId="39672" xr:uid="{9E2B7AC6-5332-42F3-B237-468615DCB2DA}"/>
    <cellStyle name="Migliaia 41 9 2 3" xfId="44974" xr:uid="{2980C7C0-9A8C-487F-91DF-4DC808D28D6F}"/>
    <cellStyle name="Migliaia 41 9 3" xfId="37072" xr:uid="{E802DB20-AF27-43B1-9053-2C5120DF0A47}"/>
    <cellStyle name="Migliaia 41 9 4" xfId="42323" xr:uid="{921B04B9-0282-4025-89DB-A79649FD869D}"/>
    <cellStyle name="Migliaia 41 9 5" xfId="17205" xr:uid="{3F74649E-36D4-4D71-A3B5-88596FEBFDB2}"/>
    <cellStyle name="Migliaia 42" xfId="445" xr:uid="{00000000-0005-0000-0000-000003040000}"/>
    <cellStyle name="Migliaia 42 10" xfId="6594" xr:uid="{4CA667ED-9C0C-4A5B-93E9-45E13265C50F}"/>
    <cellStyle name="Migliaia 42 10 2" xfId="39673" xr:uid="{FBA18652-CFCC-4487-B18D-F20E8943328D}"/>
    <cellStyle name="Migliaia 42 10 3" xfId="44975" xr:uid="{C33B1DD2-C26C-49EC-85F0-F882A43535C1}"/>
    <cellStyle name="Migliaia 42 10 4" xfId="34120" xr:uid="{92BAEC75-5046-4F34-865C-C8B08A811C63}"/>
    <cellStyle name="Migliaia 42 10 5" xfId="20639" xr:uid="{78FDB559-F84D-4B8E-A92D-CB7FD5EC773E}"/>
    <cellStyle name="Migliaia 42 11" xfId="3680" xr:uid="{63575C2D-0943-4508-94B2-FF374F8D3B40}"/>
    <cellStyle name="Migliaia 42 11 2" xfId="37073" xr:uid="{C24EEEE5-2650-4934-B852-66EBE9F6E65B}"/>
    <cellStyle name="Migliaia 42 12" xfId="42324" xr:uid="{A4D6DA36-829F-40D9-9100-C556C2CB2D3E}"/>
    <cellStyle name="Migliaia 42 13" xfId="7150" xr:uid="{D53E19C0-5F6C-450C-B516-13CD276D2FFB}"/>
    <cellStyle name="Migliaia 42 2" xfId="446" xr:uid="{00000000-0005-0000-0000-000004040000}"/>
    <cellStyle name="Migliaia 42 2 2" xfId="1836" xr:uid="{00000000-0005-0000-0000-000005040000}"/>
    <cellStyle name="Migliaia 42 2 2 2" xfId="5408" xr:uid="{FC4DF6BE-260D-4227-BB92-FF8BE8E97E50}"/>
    <cellStyle name="Migliaia 42 2 2 2 2" xfId="14399" xr:uid="{16FD9EFA-762F-4CE1-B059-2B1561E22968}"/>
    <cellStyle name="Migliaia 42 2 2 2 2 2" xfId="39674" xr:uid="{474DE85D-5B37-473C-9D76-F8CBB9773ED1}"/>
    <cellStyle name="Migliaia 42 2 2 2 2 3" xfId="44976" xr:uid="{1EF34E44-DD9A-4274-A784-FCC7F69DF060}"/>
    <cellStyle name="Migliaia 42 2 2 2 3" xfId="18470" xr:uid="{603D8668-9A85-41F7-AE7B-D792CED87B6B}"/>
    <cellStyle name="Migliaia 42 2 2 2 4" xfId="20642" xr:uid="{C0E7D02A-B75D-46FF-8E4F-D0780FECC6ED}"/>
    <cellStyle name="Migliaia 42 2 2 2 4 2" xfId="42325" xr:uid="{76E20149-FB91-47A8-84FB-158618E2C3E2}"/>
    <cellStyle name="Migliaia 42 2 2 2 5" xfId="16571" xr:uid="{DAB33F08-4853-4416-B920-577479B8FFBD}"/>
    <cellStyle name="Migliaia 42 2 2 2 6" xfId="8697" xr:uid="{22BA0BCD-22AF-4B70-8273-0921B6C5B3AE}"/>
    <cellStyle name="Migliaia 42 2 2 3" xfId="6596" xr:uid="{9CECB5FF-B687-427A-92DB-2183CFD32993}"/>
    <cellStyle name="Migliaia 42 2 2 3 2" xfId="35375" xr:uid="{391A201B-7809-4275-B189-81D743CAC599}"/>
    <cellStyle name="Migliaia 42 2 2 3 2 2" xfId="40535" xr:uid="{CFD95F3E-85EE-4340-A779-2F1C32325E44}"/>
    <cellStyle name="Migliaia 42 2 2 3 2 3" xfId="45837" xr:uid="{7C7F94A1-7034-4C1F-85D9-B19EBE2AC6B8}"/>
    <cellStyle name="Migliaia 42 2 2 3 3" xfId="37884" xr:uid="{29154DFC-2A20-4D8B-902D-D3B6CFF149F6}"/>
    <cellStyle name="Migliaia 42 2 2 3 4" xfId="43186" xr:uid="{36AF4D62-237A-419E-893A-5A78453A91D9}"/>
    <cellStyle name="Migliaia 42 2 2 3 5" xfId="11626" xr:uid="{0041E145-7DB8-4A09-8A55-9D846EDB3BFE}"/>
    <cellStyle name="Migliaia 42 2 2 4" xfId="3682" xr:uid="{C3433140-B375-4634-B4A8-6DE0989B7C51}"/>
    <cellStyle name="Migliaia 42 2 2 4 2" xfId="21548" xr:uid="{E362E10A-77BB-424A-9D38-5478E96FB660}"/>
    <cellStyle name="Migliaia 42 2 2 4 3" xfId="47309" xr:uid="{3EA5971F-AAFA-4FA2-B634-7C5F74502D3C}"/>
    <cellStyle name="Migliaia 42 2 2 4 4" xfId="50563" xr:uid="{C00BDEED-CA2A-48F3-9344-7848D7E19869}"/>
    <cellStyle name="Migliaia 42 2 2 4 5" xfId="53579" xr:uid="{BB3BC3ED-94AE-4403-A618-050B2239ADF5}"/>
    <cellStyle name="Migliaia 42 2 2 4 6" xfId="10913" xr:uid="{AB72B128-DED0-4546-BF22-475381BA55F9}"/>
    <cellStyle name="Migliaia 42 2 2 5" xfId="20641" xr:uid="{12AB9F2E-D69F-4289-961C-AF5189CACB86}"/>
    <cellStyle name="Migliaia 42 2 2 6" xfId="25016" xr:uid="{152A06A6-5A2D-4BD7-A9F2-D8CFD461D767}"/>
    <cellStyle name="Migliaia 42 2 2 7" xfId="7507" xr:uid="{CB9DE556-7B75-48F5-8773-A2EC8FE61D9C}"/>
    <cellStyle name="Migliaia 42 2 3" xfId="3683" xr:uid="{B7EDE378-2CD8-4A31-8C5A-827F0011BC37}"/>
    <cellStyle name="Migliaia 42 2 3 2" xfId="5409" xr:uid="{7A25153E-547F-4B10-9912-2C02885DF10C}"/>
    <cellStyle name="Migliaia 42 2 3 2 2" xfId="35376" xr:uid="{DA528DE9-17F9-4026-86B5-90E4920F8CF6}"/>
    <cellStyle name="Migliaia 42 2 3 2 2 2" xfId="40536" xr:uid="{D51C024C-236F-44C8-8D5E-7CD627A64CC3}"/>
    <cellStyle name="Migliaia 42 2 3 2 2 3" xfId="45838" xr:uid="{7D8B117B-3332-4F5B-8A4D-16B2EE3967B0}"/>
    <cellStyle name="Migliaia 42 2 3 2 3" xfId="37885" xr:uid="{6432F162-0550-41FA-8C89-ADC22E7CC6C9}"/>
    <cellStyle name="Migliaia 42 2 3 2 4" xfId="43187" xr:uid="{9A8C8520-C97E-416C-833F-EE8282CB605C}"/>
    <cellStyle name="Migliaia 42 2 3 2 5" xfId="14288" xr:uid="{7818B884-3E8C-4EA1-9144-0F7B234EEDCA}"/>
    <cellStyle name="Migliaia 42 2 3 3" xfId="6597" xr:uid="{BEB49CE5-149C-4004-8F7B-74C637C35268}"/>
    <cellStyle name="Migliaia 42 2 3 3 2" xfId="39675" xr:uid="{2C7F0003-4315-4DB9-8585-98232C4F275C}"/>
    <cellStyle name="Migliaia 42 2 3 3 3" xfId="44977" xr:uid="{FE6A2E17-7532-4E08-A00D-063BC3A90268}"/>
    <cellStyle name="Migliaia 42 2 3 3 4" xfId="34121" xr:uid="{2C41090A-6182-401E-BC50-11AF5BF5F7E7}"/>
    <cellStyle name="Migliaia 42 2 3 3 5" xfId="20643" xr:uid="{A228E10F-E31B-4FCA-959B-E5183BF4802C}"/>
    <cellStyle name="Migliaia 42 2 3 4" xfId="37074" xr:uid="{6B16147C-715C-43CB-BD86-6421DCA272F9}"/>
    <cellStyle name="Migliaia 42 2 3 5" xfId="42326" xr:uid="{E79CC83C-FF94-4A04-B183-89556A0605BA}"/>
    <cellStyle name="Migliaia 42 2 3 6" xfId="16572" xr:uid="{1E85E9CB-C049-4B90-B961-231F295486E0}"/>
    <cellStyle name="Migliaia 42 2 3 7" xfId="8350" xr:uid="{42B1F9B4-B46C-4350-BC6C-3C91AA2C1B38}"/>
    <cellStyle name="Migliaia 42 2 4" xfId="5407" xr:uid="{CA689A89-2784-4832-9BD9-6035668EF8D8}"/>
    <cellStyle name="Migliaia 42 2 4 2" xfId="13993" xr:uid="{2C7B4CFF-FA78-4282-8CAE-3871F9C8D840}"/>
    <cellStyle name="Migliaia 42 2 4 2 2" xfId="39676" xr:uid="{C8B4B55F-4478-4A59-BF32-A7BEB0EED60D}"/>
    <cellStyle name="Migliaia 42 2 4 2 3" xfId="44978" xr:uid="{1BDEB0EA-8F9B-479A-B22E-7C8C2F8E4263}"/>
    <cellStyle name="Migliaia 42 2 4 3" xfId="18698" xr:uid="{629751DE-D6A1-4A8E-92D3-443D3B07E9A5}"/>
    <cellStyle name="Migliaia 42 2 4 4" xfId="20644" xr:uid="{47C2361D-4403-4AB3-9AD5-BF208EAE24FE}"/>
    <cellStyle name="Migliaia 42 2 4 4 2" xfId="42327" xr:uid="{DCF47A8D-785A-4C7D-A225-F1E36B1A0CBA}"/>
    <cellStyle name="Migliaia 42 2 4 5" xfId="16573" xr:uid="{B7F70B6D-8CCB-463C-94C4-EB1473027240}"/>
    <cellStyle name="Migliaia 42 2 4 6" xfId="7967" xr:uid="{17310118-7B23-4F76-81BB-C16B75D9215D}"/>
    <cellStyle name="Migliaia 42 2 5" xfId="6595" xr:uid="{E6E24544-EE03-4DAD-93FD-0DE641D8DCCF}"/>
    <cellStyle name="Migliaia 42 2 5 2" xfId="34122" xr:uid="{D5DE7451-7D69-4B81-97C6-AB320B09D45E}"/>
    <cellStyle name="Migliaia 42 2 5 2 2" xfId="39677" xr:uid="{12C3C188-A4A5-4B82-85B8-D9DEB8DAD615}"/>
    <cellStyle name="Migliaia 42 2 5 2 3" xfId="44979" xr:uid="{29AC3EB2-CB36-42F3-B577-EF6A6D0D80BF}"/>
    <cellStyle name="Migliaia 42 2 5 3" xfId="37075" xr:uid="{10AA29A1-3C80-42F6-8614-80B28451E87B}"/>
    <cellStyle name="Migliaia 42 2 5 4" xfId="42328" xr:uid="{3EAE7413-D230-4437-B7CD-FD5F0D69AA4E}"/>
    <cellStyle name="Migliaia 42 2 5 5" xfId="13139" xr:uid="{A73740C3-5E05-4761-A792-B2B280AECDEF}"/>
    <cellStyle name="Migliaia 42 2 6" xfId="3681" xr:uid="{98B60FD5-F5FB-4C1F-B12C-DB87333136C2}"/>
    <cellStyle name="Migliaia 42 2 6 2" xfId="34123" xr:uid="{5A677FA6-D4F6-4B1D-9FEE-71CB50005D38}"/>
    <cellStyle name="Migliaia 42 2 6 2 2" xfId="39678" xr:uid="{9B4F3087-F573-47A2-8CBF-DC48F2CB7103}"/>
    <cellStyle name="Migliaia 42 2 6 2 3" xfId="44980" xr:uid="{110E8423-1CB9-4285-8451-6546F9EACB94}"/>
    <cellStyle name="Migliaia 42 2 6 3" xfId="37076" xr:uid="{3EE9DD15-0BBB-462C-96FA-F5807D7E8336}"/>
    <cellStyle name="Migliaia 42 2 6 4" xfId="42329" xr:uid="{FD4D46B5-4797-4D29-8ADB-DB947C45D3BB}"/>
    <cellStyle name="Migliaia 42 2 6 5" xfId="25017" xr:uid="{72AC9495-4537-40EB-93C0-0977A85AFF0F}"/>
    <cellStyle name="Migliaia 42 2 6 6" xfId="20640" xr:uid="{41A50701-6C6F-4C43-96A3-609540EE791C}"/>
    <cellStyle name="Migliaia 42 2 7" xfId="25015" xr:uid="{D127CEE8-50C8-4219-8735-C47DF7E18DE4}"/>
    <cellStyle name="Migliaia 42 2 8" xfId="7151" xr:uid="{47962C00-BF36-4EA5-9BDA-27F18695023F}"/>
    <cellStyle name="Migliaia 42 3" xfId="447" xr:uid="{00000000-0005-0000-0000-000006040000}"/>
    <cellStyle name="Migliaia 42 3 10" xfId="25018" xr:uid="{D6AADFE3-80E2-4A6E-8472-88BFF57D4C4E}"/>
    <cellStyle name="Migliaia 42 3 11" xfId="16574" xr:uid="{3A20ABCA-E18E-4E83-9C6C-934D62725D78}"/>
    <cellStyle name="Migliaia 42 3 12" xfId="7152" xr:uid="{9379673C-91F8-45BF-87BB-C781451C25C9}"/>
    <cellStyle name="Migliaia 42 3 2" xfId="448" xr:uid="{00000000-0005-0000-0000-000007040000}"/>
    <cellStyle name="Migliaia 42 3 2 2" xfId="1837" xr:uid="{00000000-0005-0000-0000-000008040000}"/>
    <cellStyle name="Migliaia 42 3 2 2 2" xfId="5412" xr:uid="{6F73CBD8-D11F-4FCC-BE10-340B3C8D2687}"/>
    <cellStyle name="Migliaia 42 3 2 2 2 2" xfId="18471" xr:uid="{B0DF7848-59FE-4CF7-8D23-71BA4B1F1BEE}"/>
    <cellStyle name="Migliaia 42 3 2 2 2 2 2" xfId="21877" xr:uid="{E9E7F037-9624-4C90-8119-04AA2263CCAA}"/>
    <cellStyle name="Migliaia 42 3 2 2 2 2 2 2" xfId="39679" xr:uid="{210C82CE-FA05-4C3C-B6B0-3EFB65765F2B}"/>
    <cellStyle name="Migliaia 42 3 2 2 2 2 3" xfId="44981" xr:uid="{FBA4F13F-20D1-4B22-AC54-47C83C97CA24}"/>
    <cellStyle name="Migliaia 42 3 2 2 2 2 4" xfId="34124" xr:uid="{10E01876-9554-41C4-B702-9E38C4F809CC}"/>
    <cellStyle name="Migliaia 42 3 2 2 2 3" xfId="37077" xr:uid="{A92F6058-736B-4F84-A80C-42E4A5F0FD2C}"/>
    <cellStyle name="Migliaia 42 3 2 2 2 4" xfId="42330" xr:uid="{BA8335FC-5ADA-4FC3-8962-E6D643CC6A7E}"/>
    <cellStyle name="Migliaia 42 3 2 2 2 5" xfId="23988" xr:uid="{FFCE5E57-DE31-485F-A3BA-008373997C93}"/>
    <cellStyle name="Migliaia 42 3 2 2 2 6" xfId="50905" xr:uid="{FA9870B7-A6EA-4E8B-975A-DA0212DBF9FC}"/>
    <cellStyle name="Migliaia 42 3 2 2 2 7" xfId="53921" xr:uid="{494B921F-BBB0-417D-9779-4A33E8FEA2B4}"/>
    <cellStyle name="Migliaia 42 3 2 2 2 8" xfId="17675" xr:uid="{2174B7D5-601C-4A58-9744-75950DB64AD2}"/>
    <cellStyle name="Migliaia 42 3 2 2 2 9" xfId="12031" xr:uid="{411375EC-3586-4563-BFF8-DA297BFED320}"/>
    <cellStyle name="Migliaia 42 3 2 2 3" xfId="6600" xr:uid="{0328CB94-615F-4A6E-8AAF-C67B88E1B857}"/>
    <cellStyle name="Migliaia 42 3 2 2 3 2" xfId="11568" xr:uid="{5D7005F5-760A-495C-8C29-C62938DC432D}"/>
    <cellStyle name="Migliaia 42 3 2 2 4" xfId="3686" xr:uid="{8C01A4E3-8ABD-440E-8CDE-7F758DDC3D98}"/>
    <cellStyle name="Migliaia 42 3 2 2 4 2" xfId="21549" xr:uid="{8FAD40E7-F943-4A47-9E48-9C7E0AE1B22C}"/>
    <cellStyle name="Migliaia 42 3 2 2 4 3" xfId="47425" xr:uid="{606EFEA6-FDD2-4E27-91F0-61C082F1BF65}"/>
    <cellStyle name="Migliaia 42 3 2 2 4 4" xfId="50564" xr:uid="{7E585232-475A-4D95-BE5D-4A6CFAD4C7F4}"/>
    <cellStyle name="Migliaia 42 3 2 2 4 5" xfId="53580" xr:uid="{C158CF4A-83C5-4F6F-89E0-EA837C09DFB8}"/>
    <cellStyle name="Migliaia 42 3 2 2 4 6" xfId="10914" xr:uid="{AEBFA000-85C5-4F50-95EE-A714CA995C3A}"/>
    <cellStyle name="Migliaia 42 3 2 2 5" xfId="20647" xr:uid="{79ABB003-FB5B-454D-AD85-769AE11C1DAA}"/>
    <cellStyle name="Migliaia 42 3 2 2 6" xfId="25020" xr:uid="{7FDF8E4C-F6DE-4057-B352-C2714E8CB346}"/>
    <cellStyle name="Migliaia 42 3 2 2 7" xfId="8699" xr:uid="{E82652F7-89C5-4491-8D60-0813ADD81E0A}"/>
    <cellStyle name="Migliaia 42 3 2 3" xfId="5411" xr:uid="{7AE042D6-73EB-4AC6-BC85-07A616024026}"/>
    <cellStyle name="Migliaia 42 3 2 3 2" xfId="12406" xr:uid="{2DCB0AD6-61A0-4DBF-A0E8-16F5DBBFAE5E}"/>
    <cellStyle name="Migliaia 42 3 2 3 2 2" xfId="39680" xr:uid="{C28C5956-783C-4603-A280-666EB5DF5332}"/>
    <cellStyle name="Migliaia 42 3 2 3 2 3" xfId="44982" xr:uid="{6F38F036-6DA4-4DED-8A5D-9BDFA27EE6E5}"/>
    <cellStyle name="Migliaia 42 3 2 3 2 4" xfId="34125" xr:uid="{459715AD-4917-4A8B-A460-EAB7F6E93EB8}"/>
    <cellStyle name="Migliaia 42 3 2 3 3" xfId="12032" xr:uid="{F4BE4F1F-2C76-4735-9E3E-458E919DCD51}"/>
    <cellStyle name="Migliaia 42 3 2 3 4" xfId="20648" xr:uid="{895ACF05-6772-4D5E-B312-1CCB9B524110}"/>
    <cellStyle name="Migliaia 42 3 2 3 4 2" xfId="42331" xr:uid="{90153681-EA6A-4441-8E27-14887EB4C69C}"/>
    <cellStyle name="Migliaia 42 3 2 3 5" xfId="16575" xr:uid="{DCEFB2F3-9728-4A23-8C62-AB17E25AE7BB}"/>
    <cellStyle name="Migliaia 42 3 2 3 6" xfId="7969" xr:uid="{8A98B4BA-22BB-47C6-9CFD-F6F859CCACF1}"/>
    <cellStyle name="Migliaia 42 3 2 4" xfId="6599" xr:uid="{548C2C2F-34C3-4615-B91D-56194F789C96}"/>
    <cellStyle name="Migliaia 42 3 2 4 2" xfId="18093" xr:uid="{9338A041-5061-46EB-B5C4-D84D39735A85}"/>
    <cellStyle name="Migliaia 42 3 2 4 2 2" xfId="39681" xr:uid="{972E6E81-F91B-42F1-ADDE-2DA788FD7EA3}"/>
    <cellStyle name="Migliaia 42 3 2 4 2 3" xfId="44983" xr:uid="{CF25D883-5245-44EF-B3C4-BCE3ACD67541}"/>
    <cellStyle name="Migliaia 42 3 2 4 3" xfId="37078" xr:uid="{F6865A4E-3DE2-465B-84F5-FC4CCDFE6937}"/>
    <cellStyle name="Migliaia 42 3 2 4 4" xfId="42332" xr:uid="{D12478DD-874E-41E0-9012-4329D67C6055}"/>
    <cellStyle name="Migliaia 42 3 2 4 5" xfId="17208" xr:uid="{2C7ED76A-F9A4-490C-ACF9-27C574214624}"/>
    <cellStyle name="Migliaia 42 3 2 4 6" xfId="11380" xr:uid="{1F7B6F86-2BFE-47E7-BED5-9AD7983C8D2C}"/>
    <cellStyle name="Migliaia 42 3 2 5" xfId="3685" xr:uid="{046DF93E-5516-4292-A2CD-BE3E4CE547C4}"/>
    <cellStyle name="Migliaia 42 3 2 5 2" xfId="34126" xr:uid="{C16BB024-944E-4947-8D41-4984FF66AA7D}"/>
    <cellStyle name="Migliaia 42 3 2 5 2 2" xfId="39682" xr:uid="{99627C58-3987-49B3-A012-F16FC9D9D9BF}"/>
    <cellStyle name="Migliaia 42 3 2 5 2 3" xfId="44984" xr:uid="{B07E80A0-19AE-437C-8C3B-DB26858640CB}"/>
    <cellStyle name="Migliaia 42 3 2 5 3" xfId="37079" xr:uid="{5CF27984-ABDB-4688-A9CF-56A6CD8FC148}"/>
    <cellStyle name="Migliaia 42 3 2 5 4" xfId="42333" xr:uid="{CDC4C1FD-E28C-4EF6-9D6C-8F49F8714BA5}"/>
    <cellStyle name="Migliaia 42 3 2 5 5" xfId="17318" xr:uid="{664588A4-A51E-4891-A474-A6803CC71C60}"/>
    <cellStyle name="Migliaia 42 3 2 6" xfId="20646" xr:uid="{919CF251-2508-4690-AED7-701914E4BD49}"/>
    <cellStyle name="Migliaia 42 3 2 6 2" xfId="34127" xr:uid="{A54E5D9B-C3F4-41EC-B53B-825FCFA426AF}"/>
    <cellStyle name="Migliaia 42 3 2 6 2 2" xfId="39683" xr:uid="{9CD4C518-519C-44F8-9661-CBC634A43347}"/>
    <cellStyle name="Migliaia 42 3 2 6 2 3" xfId="44985" xr:uid="{E469F326-0284-49E6-A03C-30555A994FB7}"/>
    <cellStyle name="Migliaia 42 3 2 6 3" xfId="37080" xr:uid="{C2C7C948-3F13-41A2-9905-16D00EDFBEE3}"/>
    <cellStyle name="Migliaia 42 3 2 6 4" xfId="42334" xr:uid="{C47C88A6-A046-44AF-8967-7850DB7A39C1}"/>
    <cellStyle name="Migliaia 42 3 2 6 5" xfId="25021" xr:uid="{464085E3-6782-4785-9AA5-C0FA341E4FD1}"/>
    <cellStyle name="Migliaia 42 3 2 7" xfId="25019" xr:uid="{6D96BA6D-20D5-4BBE-9D30-DC618E1A0DAC}"/>
    <cellStyle name="Migliaia 42 3 2 8" xfId="7509" xr:uid="{5C5AC451-612B-43C6-81A9-7F0CEA49D912}"/>
    <cellStyle name="Migliaia 42 3 3" xfId="3687" xr:uid="{14AD234C-A93C-434D-8AA0-E9E268F695CA}"/>
    <cellStyle name="Migliaia 42 3 3 10" xfId="7508" xr:uid="{3AA6861F-5499-4BD7-BB74-A00259EB6600}"/>
    <cellStyle name="Migliaia 42 3 3 2" xfId="5413" xr:uid="{935F6128-386C-42F2-A7C2-5CED5BA480A5}"/>
    <cellStyle name="Migliaia 42 3 3 2 2" xfId="9954" xr:uid="{C54C5DF8-A766-4A7A-9ED0-0B94FECC10DD}"/>
    <cellStyle name="Migliaia 42 3 3 2 2 2" xfId="39685" xr:uid="{CE015A26-B7D1-4C39-9811-AB79CC501899}"/>
    <cellStyle name="Migliaia 42 3 3 2 2 3" xfId="44987" xr:uid="{9CD1730B-062F-4819-BD7F-D08AB98AC43D}"/>
    <cellStyle name="Migliaia 42 3 3 2 3" xfId="18234" xr:uid="{321031B4-1002-4B1D-83E2-C5F038249221}"/>
    <cellStyle name="Migliaia 42 3 3 2 4" xfId="20650" xr:uid="{4585F5E2-A727-4CC3-85B2-7AF4B3C09AED}"/>
    <cellStyle name="Migliaia 42 3 3 2 4 2" xfId="42336" xr:uid="{8E5B5955-3B8E-4E84-87BF-1F7B856DC025}"/>
    <cellStyle name="Migliaia 42 3 3 2 5" xfId="16577" xr:uid="{690A8058-8C5C-4D49-9A60-EB7E065DE3DE}"/>
    <cellStyle name="Migliaia 42 3 3 2 6" xfId="8698" xr:uid="{225F4972-5E5D-4A75-9148-8DFAF0FE524A}"/>
    <cellStyle name="Migliaia 42 3 3 3" xfId="6601" xr:uid="{CF9E21B0-96BE-4BA8-A247-D8194F45F190}"/>
    <cellStyle name="Migliaia 42 3 3 3 2" xfId="34129" xr:uid="{1DD9C758-0364-49C0-A045-BECD82D26BAF}"/>
    <cellStyle name="Migliaia 42 3 3 3 2 2" xfId="39686" xr:uid="{566BD775-A204-476E-B90A-EEC205DC28CE}"/>
    <cellStyle name="Migliaia 42 3 3 3 2 3" xfId="44988" xr:uid="{D7D039F6-728B-4B68-BC82-D7FFF33DBC20}"/>
    <cellStyle name="Migliaia 42 3 3 3 3" xfId="37082" xr:uid="{14848FD8-D93C-41C2-947B-98F36CB46461}"/>
    <cellStyle name="Migliaia 42 3 3 3 4" xfId="42337" xr:uid="{C9718DD5-02D0-4BDA-8576-9D522D0225C0}"/>
    <cellStyle name="Migliaia 42 3 3 3 5" xfId="9717" xr:uid="{0E80169B-1E6C-44B4-A4D4-A9C123E891BC}"/>
    <cellStyle name="Migliaia 42 3 3 4" xfId="20649" xr:uid="{82F555A5-158E-42ED-8D48-69289CE4B6F4}"/>
    <cellStyle name="Migliaia 42 3 3 4 2" xfId="34130" xr:uid="{BF3F9426-5B0A-4342-AF60-48316662C650}"/>
    <cellStyle name="Migliaia 42 3 3 4 2 2" xfId="39687" xr:uid="{FB8D534E-D82E-49A2-BCDA-D0769E0D31B5}"/>
    <cellStyle name="Migliaia 42 3 3 4 2 3" xfId="44989" xr:uid="{BC382741-B34E-4B46-B8C0-C137AC5E6676}"/>
    <cellStyle name="Migliaia 42 3 3 4 3" xfId="37083" xr:uid="{8E1DB54D-FB00-4211-8302-A677B0A42E62}"/>
    <cellStyle name="Migliaia 42 3 3 4 4" xfId="42338" xr:uid="{F715F4BA-9EFA-4233-AA21-114F93715F83}"/>
    <cellStyle name="Migliaia 42 3 3 4 5" xfId="25022" xr:uid="{F41961CC-134D-4345-9C69-2047B3FE4094}"/>
    <cellStyle name="Migliaia 42 3 3 5" xfId="25023" xr:uid="{5243B470-B646-42BB-B3A9-389D8A85E3B4}"/>
    <cellStyle name="Migliaia 42 3 3 5 2" xfId="34131" xr:uid="{2F4FA38B-E540-4D45-83E0-B5A4AD8F4499}"/>
    <cellStyle name="Migliaia 42 3 3 5 2 2" xfId="39688" xr:uid="{E3484864-E94B-4CC8-8D84-14E9795FF9BD}"/>
    <cellStyle name="Migliaia 42 3 3 5 2 3" xfId="44990" xr:uid="{3A217358-5944-4C17-95B0-F86393E026DF}"/>
    <cellStyle name="Migliaia 42 3 3 5 3" xfId="37084" xr:uid="{DE81502C-6E50-4508-B398-3D64BD167DC7}"/>
    <cellStyle name="Migliaia 42 3 3 5 4" xfId="42339" xr:uid="{E2D48FEB-9EC8-4157-B3D5-745959F64CE0}"/>
    <cellStyle name="Migliaia 42 3 3 6" xfId="34128" xr:uid="{8B6EB805-3E86-4563-927C-5269FC3ED6D6}"/>
    <cellStyle name="Migliaia 42 3 3 6 2" xfId="39684" xr:uid="{44109717-C499-4FCC-A2B8-0013D97A75AA}"/>
    <cellStyle name="Migliaia 42 3 3 6 3" xfId="44986" xr:uid="{572F0177-2376-4424-891E-0540DBE2FA3B}"/>
    <cellStyle name="Migliaia 42 3 3 7" xfId="37081" xr:uid="{5741A35A-74BA-4518-A4AA-7DB5C7AE28E4}"/>
    <cellStyle name="Migliaia 42 3 3 8" xfId="42335" xr:uid="{1D0DFCE9-B5D0-47EB-A1A4-584F734A0100}"/>
    <cellStyle name="Migliaia 42 3 3 9" xfId="16576" xr:uid="{C2AD4F90-E9F1-4E82-8500-DDC260279846}"/>
    <cellStyle name="Migliaia 42 3 4" xfId="3688" xr:uid="{F529A206-FE6C-46CC-BFB3-399F2C0C49CE}"/>
    <cellStyle name="Migliaia 42 3 4 2" xfId="5414" xr:uid="{BDADA8EF-4072-46E6-9238-9652E920CBC7}"/>
    <cellStyle name="Migliaia 42 3 4 2 2" xfId="14459" xr:uid="{56A8C100-BECD-4354-8A52-D33B6A3D3BF0}"/>
    <cellStyle name="Migliaia 42 3 4 2 3" xfId="18628" xr:uid="{2BA26BD7-1FC2-4AD7-879F-92FF607BB406}"/>
    <cellStyle name="Migliaia 42 3 4 2 4" xfId="20652" xr:uid="{C7024B64-1F0C-4A1D-9F46-685C16A1427F}"/>
    <cellStyle name="Migliaia 42 3 4 2 5" xfId="32418" xr:uid="{A9D93383-B5FC-40E3-B227-0C8339B075F4}"/>
    <cellStyle name="Migliaia 42 3 4 2 6" xfId="16579" xr:uid="{8CCD9A84-4652-45FD-9A14-991890218AF0}"/>
    <cellStyle name="Migliaia 42 3 4 2 7" xfId="8882" xr:uid="{99B3A80C-A8FD-4980-9169-04689D52FD2B}"/>
    <cellStyle name="Migliaia 42 3 4 3" xfId="6602" xr:uid="{94099431-B308-4B76-BCDA-426073D11105}"/>
    <cellStyle name="Migliaia 42 3 4 3 2" xfId="35377" xr:uid="{68C7BCAC-2721-4934-AEAF-6FA9739E450F}"/>
    <cellStyle name="Migliaia 42 3 4 3 2 2" xfId="40537" xr:uid="{58558476-16C1-40E3-A7D2-A4FDDBC774BF}"/>
    <cellStyle name="Migliaia 42 3 4 3 2 3" xfId="45839" xr:uid="{08D7F91A-A5D9-4733-BCCB-190A530DEE77}"/>
    <cellStyle name="Migliaia 42 3 4 3 3" xfId="37886" xr:uid="{193B0AA8-ABBC-44D9-BD82-2CE22B33CACF}"/>
    <cellStyle name="Migliaia 42 3 4 3 4" xfId="43188" xr:uid="{B0592774-6268-46EF-A4E0-72C18969CC35}"/>
    <cellStyle name="Migliaia 42 3 4 3 5" xfId="13707" xr:uid="{9E79E41F-1E2E-4A76-9943-D8CC8C476CC4}"/>
    <cellStyle name="Migliaia 42 3 4 4" xfId="20651" xr:uid="{D30DF690-AEF7-4FD6-A5C9-D616D4014E36}"/>
    <cellStyle name="Migliaia 42 3 4 4 2" xfId="39689" xr:uid="{A6C47B8A-7120-412C-9F40-34EE22700BBE}"/>
    <cellStyle name="Migliaia 42 3 4 4 3" xfId="44991" xr:uid="{79E7109D-0E90-47FF-A704-CE138CB25BC1}"/>
    <cellStyle name="Migliaia 42 3 4 4 4" xfId="34132" xr:uid="{D0DE17A3-6E1F-4C87-AA59-8DD00A745CAA}"/>
    <cellStyle name="Migliaia 42 3 4 5" xfId="37085" xr:uid="{4E698B98-1F3E-4640-A263-FCC154F31706}"/>
    <cellStyle name="Migliaia 42 3 4 6" xfId="42340" xr:uid="{FFA5D687-E782-4EDF-AB88-D5E4BCE19592}"/>
    <cellStyle name="Migliaia 42 3 4 7" xfId="16578" xr:uid="{0ED7AB9D-DC8C-4DB5-8D72-6A7D89AAAA07}"/>
    <cellStyle name="Migliaia 42 3 4 8" xfId="7692" xr:uid="{6ADF6C3E-4A22-40F7-BF01-524132127E2D}"/>
    <cellStyle name="Migliaia 42 3 5" xfId="3689" xr:uid="{F8E66518-068A-494A-B58A-A69DDA470BBD}"/>
    <cellStyle name="Migliaia 42 3 5 2" xfId="5415" xr:uid="{0EFAC48A-16B6-4400-83A1-F8E0EB29F1BA}"/>
    <cellStyle name="Migliaia 42 3 5 2 2" xfId="35378" xr:uid="{8F7ACB88-5C37-4F31-A35B-823FA1AA62B4}"/>
    <cellStyle name="Migliaia 42 3 5 2 2 2" xfId="40538" xr:uid="{C9BE55C2-F20A-4C1A-BC9F-C7745923DBE8}"/>
    <cellStyle name="Migliaia 42 3 5 2 2 3" xfId="45840" xr:uid="{1ADF1C08-8641-48F7-A771-A22922A63F5E}"/>
    <cellStyle name="Migliaia 42 3 5 2 3" xfId="37887" xr:uid="{DFABE7B0-7080-4317-A17C-ACD564CE5FC5}"/>
    <cellStyle name="Migliaia 42 3 5 2 4" xfId="43189" xr:uid="{75CAC2C5-56F0-4CEA-B347-10A3E3D14B73}"/>
    <cellStyle name="Migliaia 42 3 5 2 5" xfId="14289" xr:uid="{B65BC46D-037B-4143-BD7C-3F4C84034DAF}"/>
    <cellStyle name="Migliaia 42 3 5 3" xfId="6603" xr:uid="{6F8B11C8-0983-4291-A012-5619273643DE}"/>
    <cellStyle name="Migliaia 42 3 5 3 2" xfId="39690" xr:uid="{77FBB6C4-9410-4978-8859-6178D6CF925C}"/>
    <cellStyle name="Migliaia 42 3 5 3 3" xfId="44992" xr:uid="{96045B64-10A0-4149-A554-1E59907C8F2C}"/>
    <cellStyle name="Migliaia 42 3 5 3 4" xfId="34133" xr:uid="{94E330F9-BC44-45C6-873D-EB06B56D5204}"/>
    <cellStyle name="Migliaia 42 3 5 3 5" xfId="20653" xr:uid="{570D26FC-5C0F-41ED-B108-646DDC59A4E2}"/>
    <cellStyle name="Migliaia 42 3 5 4" xfId="37086" xr:uid="{29C17E89-99E0-472E-8FD4-3D88C75B546F}"/>
    <cellStyle name="Migliaia 42 3 5 5" xfId="42341" xr:uid="{548D2DCD-B4D2-4A07-AAFA-3A6300BBC7FC}"/>
    <cellStyle name="Migliaia 42 3 5 6" xfId="16580" xr:uid="{B165D33E-875F-4109-94DD-099B8BD67F63}"/>
    <cellStyle name="Migliaia 42 3 5 7" xfId="8351" xr:uid="{6EB12D98-E6FC-4280-88DF-0068047FCC3C}"/>
    <cellStyle name="Migliaia 42 3 6" xfId="5410" xr:uid="{D95E8B71-2436-4DF1-B110-FA1A92E0AFF0}"/>
    <cellStyle name="Migliaia 42 3 6 2" xfId="13994" xr:uid="{4A5BF096-EB06-472F-9CC4-7E109587D6B2}"/>
    <cellStyle name="Migliaia 42 3 6 2 2" xfId="39691" xr:uid="{7A7D7358-70AC-46D7-AE40-6181E80FC49D}"/>
    <cellStyle name="Migliaia 42 3 6 2 3" xfId="44993" xr:uid="{C0AAC34A-D2D4-4FF7-BD72-C8AD9CFBA916}"/>
    <cellStyle name="Migliaia 42 3 6 3" xfId="18609" xr:uid="{832B40FE-DED6-42DB-894F-D2A6A9E48C2A}"/>
    <cellStyle name="Migliaia 42 3 6 4" xfId="20654" xr:uid="{6A480FE5-A1E0-46F3-8BB1-E4292A7CE2BC}"/>
    <cellStyle name="Migliaia 42 3 6 4 2" xfId="42342" xr:uid="{97E03AFF-BA59-43B9-B8AB-9A7E8062442B}"/>
    <cellStyle name="Migliaia 42 3 6 5" xfId="16581" xr:uid="{40079096-9E7C-47C7-A83A-F7A136780138}"/>
    <cellStyle name="Migliaia 42 3 6 6" xfId="7968" xr:uid="{02B4B44F-E093-4A04-9A21-762027150C24}"/>
    <cellStyle name="Migliaia 42 3 7" xfId="6598" xr:uid="{E99903A8-AD5F-4B60-A58A-7BE94FBD941C}"/>
    <cellStyle name="Migliaia 42 3 7 2" xfId="34134" xr:uid="{B8BBBE5A-5DEE-4271-A93A-8399D9661805}"/>
    <cellStyle name="Migliaia 42 3 7 2 2" xfId="39692" xr:uid="{3908C0C6-2AE8-4D4F-AB01-1EE1C51D0F77}"/>
    <cellStyle name="Migliaia 42 3 7 2 3" xfId="44994" xr:uid="{C07F44F0-AC2B-48D8-A2F2-87D3CC7717AA}"/>
    <cellStyle name="Migliaia 42 3 7 3" xfId="37087" xr:uid="{A9D39D86-0A7C-489E-8F63-4A19A2B764A3}"/>
    <cellStyle name="Migliaia 42 3 7 4" xfId="42343" xr:uid="{754C375B-A4BC-4E46-BE4A-C1A35F8C4A32}"/>
    <cellStyle name="Migliaia 42 3 7 5" xfId="12247" xr:uid="{3F005B55-F432-4327-8A99-03759731F798}"/>
    <cellStyle name="Migliaia 42 3 8" xfId="3684" xr:uid="{BF2E584E-DB74-4E71-9D2D-2897249F35F7}"/>
    <cellStyle name="Migliaia 42 3 8 2" xfId="34135" xr:uid="{CC1FC2F4-7CF9-4630-B6C4-3D37BDF8DC8A}"/>
    <cellStyle name="Migliaia 42 3 8 2 2" xfId="39693" xr:uid="{365EAC0B-F12A-44D8-B360-5010724E28EE}"/>
    <cellStyle name="Migliaia 42 3 8 2 3" xfId="44995" xr:uid="{400186FC-53B4-4E70-9139-763B4372EF67}"/>
    <cellStyle name="Migliaia 42 3 8 3" xfId="37088" xr:uid="{ABAAC972-8EC0-47AC-9311-9A9AE474F45A}"/>
    <cellStyle name="Migliaia 42 3 8 4" xfId="42344" xr:uid="{DEBC1C1B-4E98-4F79-A1DA-60BB40F58AF2}"/>
    <cellStyle name="Migliaia 42 3 8 5" xfId="25024" xr:uid="{C79967D1-0035-4B07-9C17-52E60D809C7F}"/>
    <cellStyle name="Migliaia 42 3 8 6" xfId="17319" xr:uid="{5D66BA5B-B59E-4AFC-B0BA-C220CC535EDD}"/>
    <cellStyle name="Migliaia 42 3 9" xfId="20645" xr:uid="{AA61BE4B-94F6-4D82-A58F-9C3877A3D12A}"/>
    <cellStyle name="Migliaia 42 4" xfId="1838" xr:uid="{00000000-0005-0000-0000-000009040000}"/>
    <cellStyle name="Migliaia 42 4 2" xfId="1839" xr:uid="{00000000-0005-0000-0000-00000A040000}"/>
    <cellStyle name="Migliaia 42 4 2 2" xfId="5417" xr:uid="{F353511E-7122-4DF1-B2D0-CB89EB433B1C}"/>
    <cellStyle name="Migliaia 42 4 2 2 2" xfId="34136" xr:uid="{085579E7-D7D2-4999-904A-7A570419B02A}"/>
    <cellStyle name="Migliaia 42 4 2 2 2 2" xfId="39694" xr:uid="{8B8AFBAB-DFF6-4F4E-9C58-E14329CEDC8B}"/>
    <cellStyle name="Migliaia 42 4 2 2 2 3" xfId="44996" xr:uid="{FB449D6D-0592-4AE0-9C6C-C9E149038165}"/>
    <cellStyle name="Migliaia 42 4 2 2 3" xfId="37089" xr:uid="{16478EB4-3F56-497E-8F2F-E204D7F79FBB}"/>
    <cellStyle name="Migliaia 42 4 2 2 4" xfId="42345" xr:uid="{92FD4046-5060-4F3E-9150-333972F020E0}"/>
    <cellStyle name="Migliaia 42 4 2 2 5" xfId="9180" xr:uid="{708F96F8-B4E2-4884-B538-AD707E37325F}"/>
    <cellStyle name="Migliaia 42 4 2 3" xfId="3691" xr:uid="{F0016668-CC46-41EE-8DE0-434A015DD712}"/>
    <cellStyle name="Migliaia 42 4 2 3 2" xfId="34137" xr:uid="{C8D39D2C-74D1-4C69-A416-8EB164162F3F}"/>
    <cellStyle name="Migliaia 42 4 2 3 2 2" xfId="39695" xr:uid="{66059E14-89D1-447E-8C0A-36CBAF7152F8}"/>
    <cellStyle name="Migliaia 42 4 2 3 2 3" xfId="44997" xr:uid="{F3D76387-0F67-4B94-BDCD-AB6C26018E4A}"/>
    <cellStyle name="Migliaia 42 4 2 3 3" xfId="37090" xr:uid="{844B621C-CDA5-485F-B147-68E79CBD8CB1}"/>
    <cellStyle name="Migliaia 42 4 2 3 4" xfId="42346" xr:uid="{17110356-0DB1-4732-A1D4-134365C5E38A}"/>
    <cellStyle name="Migliaia 42 4 2 3 5" xfId="12033" xr:uid="{5D7F69AF-3327-4A0D-A394-0B6FDA605FB8}"/>
    <cellStyle name="Migliaia 42 4 2 4" xfId="11382" xr:uid="{0AE7782F-93A3-4834-8DCC-0D41B9619757}"/>
    <cellStyle name="Migliaia 42 4 2 5" xfId="10916" xr:uid="{3456CFC0-55C6-486B-B365-2DBF3F293A78}"/>
    <cellStyle name="Migliaia 42 4 2 5 2" xfId="21551" xr:uid="{8B5DD290-BACE-493A-B357-BF3E2C575750}"/>
    <cellStyle name="Migliaia 42 4 2 5 3" xfId="25350" xr:uid="{86BE9832-EBD2-48FE-965A-97C6F93EBE83}"/>
    <cellStyle name="Migliaia 42 4 2 5 4" xfId="50566" xr:uid="{7A0EA6F6-23CE-4589-9850-9F3585EF9F54}"/>
    <cellStyle name="Migliaia 42 4 2 5 5" xfId="53582" xr:uid="{791E3DDC-93C9-44F4-8F2B-23758393803B}"/>
    <cellStyle name="Migliaia 42 4 2 6" xfId="20656" xr:uid="{9BDC98E3-086B-41F1-8DF5-1F9EFDCE9F97}"/>
    <cellStyle name="Migliaia 42 4 2 7" xfId="25026" xr:uid="{B228C546-5E58-42A6-A976-6C32D62B83D4}"/>
    <cellStyle name="Migliaia 42 4 2 8" xfId="8700" xr:uid="{916E3B09-6D98-454D-B3BC-E3DDC01C4653}"/>
    <cellStyle name="Migliaia 42 4 3" xfId="5416" xr:uid="{97FE7688-E785-41D6-9197-6C70640B3B6C}"/>
    <cellStyle name="Migliaia 42 4 3 2" xfId="18235" xr:uid="{95A122C6-8CAA-414F-A21F-DDC81A26D37B}"/>
    <cellStyle name="Migliaia 42 4 3 2 2" xfId="39696" xr:uid="{6B7CCB82-631B-4F4A-B59A-0FE557CFE5C1}"/>
    <cellStyle name="Migliaia 42 4 3 2 3" xfId="44998" xr:uid="{3821AAA2-51B7-4612-9EA4-5CBF28692F86}"/>
    <cellStyle name="Migliaia 42 4 3 3" xfId="37091" xr:uid="{FBC34D1C-F38D-4F12-A5DD-32D4023B58DF}"/>
    <cellStyle name="Migliaia 42 4 3 4" xfId="42347" xr:uid="{5EB83BF4-6300-456B-A270-C6535DD39961}"/>
    <cellStyle name="Migliaia 42 4 3 5" xfId="17317" xr:uid="{244FC892-FDBC-4590-A83E-AB73B96A6D21}"/>
    <cellStyle name="Migliaia 42 4 3 6" xfId="9181" xr:uid="{3A105F35-1FDD-4F78-9E14-30ACE820FE2F}"/>
    <cellStyle name="Migliaia 42 4 4" xfId="6604" xr:uid="{E5812EF7-A939-4F47-82A0-F11A5EDB1272}"/>
    <cellStyle name="Migliaia 42 4 4 2" xfId="34139" xr:uid="{7157546D-A726-4F46-830C-0EAD428201DA}"/>
    <cellStyle name="Migliaia 42 4 4 2 2" xfId="39697" xr:uid="{28667A3C-0F8E-42DB-9291-ADB42CAE446E}"/>
    <cellStyle name="Migliaia 42 4 4 2 3" xfId="44999" xr:uid="{6C29DF8F-BCB1-45C4-8D07-A39EDBC19B9C}"/>
    <cellStyle name="Migliaia 42 4 4 3" xfId="37092" xr:uid="{29994A0A-3568-4ACE-80E2-0F2F3332189A}"/>
    <cellStyle name="Migliaia 42 4 4 4" xfId="42348" xr:uid="{B14256B5-64D4-484F-8486-A88EB0234EA1}"/>
    <cellStyle name="Migliaia 42 4 4 5" xfId="12034" xr:uid="{86423CAE-C65F-439B-ACD4-8D6CAEBBF3B0}"/>
    <cellStyle name="Migliaia 42 4 5" xfId="3690" xr:uid="{6FC28AF1-43DA-4F9C-8AD9-01091AC3B763}"/>
    <cellStyle name="Migliaia 42 4 5 2" xfId="34140" xr:uid="{30D3BA50-4BB8-441E-85D9-34943EE57AFA}"/>
    <cellStyle name="Migliaia 42 4 5 2 2" xfId="39698" xr:uid="{ABE9ADCA-3F52-480C-B41F-CC55EE767380}"/>
    <cellStyle name="Migliaia 42 4 5 2 3" xfId="45000" xr:uid="{604F3892-337E-4D07-90F6-AEF1F0FAC483}"/>
    <cellStyle name="Migliaia 42 4 5 3" xfId="37093" xr:uid="{4C2515FE-5CB1-4BAC-8869-5197295B12F5}"/>
    <cellStyle name="Migliaia 42 4 5 4" xfId="42349" xr:uid="{807EC45C-F2F2-483F-91EF-AC2237467E2C}"/>
    <cellStyle name="Migliaia 42 4 5 5" xfId="11381" xr:uid="{7E840DF5-48DD-4840-93B3-7630826BBFC7}"/>
    <cellStyle name="Migliaia 42 4 6" xfId="10915" xr:uid="{044C42C3-19D9-4BEC-AACC-C9615294B72C}"/>
    <cellStyle name="Migliaia 42 4 6 2" xfId="21550" xr:uid="{F0F8C6ED-1F35-43E1-91D6-1550E7AE4F78}"/>
    <cellStyle name="Migliaia 42 4 6 2 2" xfId="39699" xr:uid="{2C2F327F-977B-4B2C-8374-6CE49ED9F1B2}"/>
    <cellStyle name="Migliaia 42 4 6 2 3" xfId="45001" xr:uid="{B84CB9B0-67DB-47C8-A26D-3FF23643B1A6}"/>
    <cellStyle name="Migliaia 42 4 6 2 4" xfId="34141" xr:uid="{88D80FC9-CFCE-4E29-85F1-B487C936AC6F}"/>
    <cellStyle name="Migliaia 42 4 6 3" xfId="37094" xr:uid="{BF0BD964-B065-4B30-A6D7-701D74AC6E19}"/>
    <cellStyle name="Migliaia 42 4 6 4" xfId="42350" xr:uid="{7A4702FC-F8D2-4283-95BE-7583CD903C85}"/>
    <cellStyle name="Migliaia 42 4 6 5" xfId="25031" xr:uid="{337E76B7-19C2-47C6-BF50-67B7E1C73838}"/>
    <cellStyle name="Migliaia 42 4 6 6" xfId="47903" xr:uid="{F6C99586-E809-4139-A32B-4BC304936084}"/>
    <cellStyle name="Migliaia 42 4 6 7" xfId="50565" xr:uid="{F92DD9A6-AF17-489D-869A-FE6C211F139C}"/>
    <cellStyle name="Migliaia 42 4 6 8" xfId="53581" xr:uid="{B1EDCFBB-BB40-4B49-85A7-521C843829A3}"/>
    <cellStyle name="Migliaia 42 4 7" xfId="20655" xr:uid="{71F86F2E-0FCD-452F-99FE-FCC55A23FE35}"/>
    <cellStyle name="Migliaia 42 4 7 2" xfId="34142" xr:uid="{2D80DD91-CE47-496A-9AC1-07878BAE9F3D}"/>
    <cellStyle name="Migliaia 42 4 7 2 2" xfId="39700" xr:uid="{DAADC547-4F36-4B87-B578-1472E5C30525}"/>
    <cellStyle name="Migliaia 42 4 7 2 3" xfId="45002" xr:uid="{B43BC6E9-6C6C-40DE-99F2-2A5A6EA2960F}"/>
    <cellStyle name="Migliaia 42 4 7 3" xfId="37095" xr:uid="{E7581B52-504A-4431-AAFC-FD1A241726A4}"/>
    <cellStyle name="Migliaia 42 4 7 4" xfId="42351" xr:uid="{9B48FEE6-4DCA-415E-B1F9-B9C7A1C9DACC}"/>
    <cellStyle name="Migliaia 42 4 7 5" xfId="25032" xr:uid="{09F2F37F-6B7B-4F96-9BC9-787A386A051F}"/>
    <cellStyle name="Migliaia 42 4 8" xfId="25025" xr:uid="{278E04B7-CD0B-4952-AF7A-CD77EB018638}"/>
    <cellStyle name="Migliaia 42 4 9" xfId="7510" xr:uid="{35F41FBD-FD71-45FE-96A7-3EC765E9D364}"/>
    <cellStyle name="Migliaia 42 5" xfId="1840" xr:uid="{00000000-0005-0000-0000-00000B040000}"/>
    <cellStyle name="Migliaia 42 5 2" xfId="5418" xr:uid="{89C8FEB2-EEDB-4A35-9C06-3BEEC11466E6}"/>
    <cellStyle name="Migliaia 42 5 2 2" xfId="18472" xr:uid="{71913396-5AD8-479F-977C-245B420F6236}"/>
    <cellStyle name="Migliaia 42 5 2 2 2" xfId="39701" xr:uid="{09A56A1B-B7B9-4EDD-B8E2-FE1F9677E456}"/>
    <cellStyle name="Migliaia 42 5 2 2 3" xfId="45003" xr:uid="{22954157-D996-4313-B65D-48B4EA72177D}"/>
    <cellStyle name="Migliaia 42 5 2 3" xfId="20658" xr:uid="{776B25E5-49E6-42C4-BF1F-2EE831664061}"/>
    <cellStyle name="Migliaia 42 5 2 3 2" xfId="37096" xr:uid="{712A855E-1832-49BD-B84E-031EF6050D47}"/>
    <cellStyle name="Migliaia 42 5 2 4" xfId="42352" xr:uid="{A5F44E9E-D99A-4CB1-8D4E-07152677ABA9}"/>
    <cellStyle name="Migliaia 42 5 2 5" xfId="16582" xr:uid="{EEDC6D8C-F384-4717-B5DD-FE713485889C}"/>
    <cellStyle name="Migliaia 42 5 2 6" xfId="8701" xr:uid="{0751170D-EBF2-4A14-9BB1-81F0340F697A}"/>
    <cellStyle name="Migliaia 42 5 3" xfId="6605" xr:uid="{28F63BBA-C89B-4692-8F68-297820F79E7E}"/>
    <cellStyle name="Migliaia 42 5 3 2" xfId="34144" xr:uid="{5D2ED6CF-D0C9-4F69-AFE6-667B2FA701A6}"/>
    <cellStyle name="Migliaia 42 5 3 2 2" xfId="39702" xr:uid="{61FCB0B4-4DD9-407F-B64A-A3F4B49E4841}"/>
    <cellStyle name="Migliaia 42 5 3 2 3" xfId="45004" xr:uid="{159854C0-1813-43AD-AC90-A9DCDC6CA20C}"/>
    <cellStyle name="Migliaia 42 5 3 3" xfId="37097" xr:uid="{7DAEA7DC-D5B2-477C-B5C6-2C88B382000D}"/>
    <cellStyle name="Migliaia 42 5 3 4" xfId="42353" xr:uid="{65C81641-3E98-4937-8AF1-10C951A4FFC1}"/>
    <cellStyle name="Migliaia 42 5 3 5" xfId="11383" xr:uid="{20282CAF-A50D-48D0-8DE8-BA72663CA1BE}"/>
    <cellStyle name="Migliaia 42 5 4" xfId="3692" xr:uid="{FC3A25BA-A23A-4BC1-86D8-F1797FCD92AA}"/>
    <cellStyle name="Migliaia 42 5 4 2" xfId="21552" xr:uid="{4F9E3A51-BCE4-4C22-B3C2-7DE750FA89B0}"/>
    <cellStyle name="Migliaia 42 5 4 2 2" xfId="39703" xr:uid="{F3DC06B1-3C14-45D4-B755-40A49FE26D2C}"/>
    <cellStyle name="Migliaia 42 5 4 2 3" xfId="45005" xr:uid="{8C441359-2FED-4416-97DC-D83180C7C25E}"/>
    <cellStyle name="Migliaia 42 5 4 2 4" xfId="34145" xr:uid="{05510ACB-39A7-4BD0-A17C-35931F310413}"/>
    <cellStyle name="Migliaia 42 5 4 3" xfId="37098" xr:uid="{2DA758ED-DA7F-41E2-AFAD-5824E66DC567}"/>
    <cellStyle name="Migliaia 42 5 4 4" xfId="42354" xr:uid="{A4C5A8C5-A031-4912-AF8F-E31066B7CCC3}"/>
    <cellStyle name="Migliaia 42 5 4 5" xfId="25036" xr:uid="{929007F9-4F7D-4425-B6FD-CA009A5F084A}"/>
    <cellStyle name="Migliaia 42 5 4 6" xfId="47684" xr:uid="{D09DA7AA-3FDE-4DA1-A2BC-7382D4EA0C88}"/>
    <cellStyle name="Migliaia 42 5 4 7" xfId="50567" xr:uid="{06AAA181-05A6-4EC1-80B4-5464477E7659}"/>
    <cellStyle name="Migliaia 42 5 4 8" xfId="53583" xr:uid="{5D1B8EE0-FFBC-4DE9-AF5D-5BB1046A1322}"/>
    <cellStyle name="Migliaia 42 5 4 9" xfId="10917" xr:uid="{54E9E6D5-9CE0-4630-B71A-5AD853E5B158}"/>
    <cellStyle name="Migliaia 42 5 5" xfId="20657" xr:uid="{3C92F024-D803-4427-BC08-47A46C67D0B4}"/>
    <cellStyle name="Migliaia 42 5 5 2" xfId="34146" xr:uid="{E106252F-B7F0-4372-83B2-9E1B3287131B}"/>
    <cellStyle name="Migliaia 42 5 5 2 2" xfId="39704" xr:uid="{2F62A187-F02C-4653-A3F5-4DAD06E88209}"/>
    <cellStyle name="Migliaia 42 5 5 2 3" xfId="45006" xr:uid="{31AB2EB6-CAB9-40C9-9AFD-B1523FE452E2}"/>
    <cellStyle name="Migliaia 42 5 5 3" xfId="37099" xr:uid="{916A10A9-30FC-46EA-B362-D0AF2FD585B8}"/>
    <cellStyle name="Migliaia 42 5 5 4" xfId="42355" xr:uid="{57CE34D6-DFEB-45BB-8FFB-A4E618C5E78C}"/>
    <cellStyle name="Migliaia 42 5 5 5" xfId="25037" xr:uid="{B7C15AA2-FF3D-4582-AFF3-21A8988BCAE7}"/>
    <cellStyle name="Migliaia 42 5 6" xfId="25038" xr:uid="{590B0E26-ADB6-45C0-AB39-C7438022B959}"/>
    <cellStyle name="Migliaia 42 5 6 2" xfId="34147" xr:uid="{C6CAA7C5-E433-4D6D-9794-05EA3ABAFF43}"/>
    <cellStyle name="Migliaia 42 5 6 2 2" xfId="39705" xr:uid="{B54E7263-6061-4228-97C8-AD0B95AFC840}"/>
    <cellStyle name="Migliaia 42 5 6 2 3" xfId="45007" xr:uid="{F58790AC-0A54-4ACA-8A2C-F3BDE8A247D1}"/>
    <cellStyle name="Migliaia 42 5 6 3" xfId="37100" xr:uid="{F5743281-DAE1-4B32-ABAC-B8F188F3F1AA}"/>
    <cellStyle name="Migliaia 42 5 6 4" xfId="42356" xr:uid="{07C6A713-2E1D-4F26-832C-E8C459CEAEF0}"/>
    <cellStyle name="Migliaia 42 5 7" xfId="25033" xr:uid="{3D742FCF-7F11-4439-9130-BB69FFD90C32}"/>
    <cellStyle name="Migliaia 42 5 8" xfId="7511" xr:uid="{438F3350-91B1-42F4-93C4-4F4B5064ACEA}"/>
    <cellStyle name="Migliaia 42 6" xfId="3693" xr:uid="{632F3160-871B-4698-BB32-D290612D7D8A}"/>
    <cellStyle name="Migliaia 42 6 2" xfId="5419" xr:uid="{5E0A78F6-9B38-42BD-BDA4-94C39C3CCE10}"/>
    <cellStyle name="Migliaia 42 6 2 2" xfId="9953" xr:uid="{C94CA372-A326-4BA4-9EAB-8D3069556100}"/>
    <cellStyle name="Migliaia 42 6 2 3" xfId="18644" xr:uid="{8338275C-AD53-44FF-8622-FE5E4991A444}"/>
    <cellStyle name="Migliaia 42 6 2 4" xfId="20660" xr:uid="{6474C2C1-DB5B-4545-8A32-B9B3FBD4CDB3}"/>
    <cellStyle name="Migliaia 42 6 2 5" xfId="32419" xr:uid="{CDA34691-F75C-4650-A9FC-D2E5F5D007FE}"/>
    <cellStyle name="Migliaia 42 6 2 6" xfId="16584" xr:uid="{C6F1395F-2893-4D98-BFF5-C892990790AD}"/>
    <cellStyle name="Migliaia 42 6 2 7" xfId="8696" xr:uid="{55625B93-B671-4D1A-B37B-6CD269009727}"/>
    <cellStyle name="Migliaia 42 6 3" xfId="6606" xr:uid="{87D8BCEA-FE4D-4CFA-8F43-CC31D9131F9A}"/>
    <cellStyle name="Migliaia 42 6 3 2" xfId="35379" xr:uid="{35CEE2E6-76E6-4714-AA64-E87E408ABCD3}"/>
    <cellStyle name="Migliaia 42 6 3 2 2" xfId="40539" xr:uid="{56F293E3-7307-4FFC-A6B7-8FFC53484306}"/>
    <cellStyle name="Migliaia 42 6 3 2 3" xfId="45841" xr:uid="{A0937652-114D-4A68-A878-9677C981A4B0}"/>
    <cellStyle name="Migliaia 42 6 3 3" xfId="37888" xr:uid="{9A32E8BB-B5B8-4604-8723-357E31A70C59}"/>
    <cellStyle name="Migliaia 42 6 3 4" xfId="43190" xr:uid="{D0CB7B31-4066-4602-BE9D-02FB445F3670}"/>
    <cellStyle name="Migliaia 42 6 3 5" xfId="9716" xr:uid="{F52C3CF1-7177-40C9-ACA8-35F69BB49C07}"/>
    <cellStyle name="Migliaia 42 6 4" xfId="20659" xr:uid="{86195FB4-9CE8-48C8-ACEA-0BF283F645C7}"/>
    <cellStyle name="Migliaia 42 6 4 2" xfId="39706" xr:uid="{8284C111-2C85-45B5-8DD8-0915D19AC26D}"/>
    <cellStyle name="Migliaia 42 6 4 3" xfId="45008" xr:uid="{DC5251C0-BCDD-435E-B7D3-8DD7711D19E4}"/>
    <cellStyle name="Migliaia 42 6 4 4" xfId="34148" xr:uid="{4A98269E-ADCB-4F3C-BA55-BD0A9014880B}"/>
    <cellStyle name="Migliaia 42 6 5" xfId="37101" xr:uid="{62705112-3FCC-4254-9D27-FB597149D44E}"/>
    <cellStyle name="Migliaia 42 6 6" xfId="42357" xr:uid="{85CBBAA0-02F1-46E8-8ADD-DBE6A322FA32}"/>
    <cellStyle name="Migliaia 42 6 7" xfId="16583" xr:uid="{6E99512B-F487-4724-9388-204FA21AC43A}"/>
    <cellStyle name="Migliaia 42 6 8" xfId="7506" xr:uid="{3A1A4E62-6C7A-4692-B148-EFF938A6D860}"/>
    <cellStyle name="Migliaia 42 7" xfId="3694" xr:uid="{879D1E0B-71AA-4AC4-A310-DA61331F4844}"/>
    <cellStyle name="Migliaia 42 7 2" xfId="5420" xr:uid="{CF49F9FA-E279-4E2A-8397-9A999C594BF7}"/>
    <cellStyle name="Migliaia 42 7 2 2" xfId="35380" xr:uid="{9FB1DC88-E215-4F86-AC06-9807FB596B58}"/>
    <cellStyle name="Migliaia 42 7 2 2 2" xfId="40540" xr:uid="{F2B7B221-A1A6-4712-BB00-85BF242294C7}"/>
    <cellStyle name="Migliaia 42 7 2 2 3" xfId="45842" xr:uid="{EB7DA3E3-797D-40DB-A63B-C84D14C7AFD4}"/>
    <cellStyle name="Migliaia 42 7 2 3" xfId="37889" xr:uid="{121DD3C7-2B49-4BDD-9E45-769EE915D09E}"/>
    <cellStyle name="Migliaia 42 7 2 4" xfId="43191" xr:uid="{EB8DCA5A-C024-463A-9D57-1789DBF95E6F}"/>
    <cellStyle name="Migliaia 42 7 2 5" xfId="14287" xr:uid="{5037202B-2391-4B24-B5C2-436F0F9B8CC9}"/>
    <cellStyle name="Migliaia 42 7 3" xfId="6607" xr:uid="{A0759CFA-4706-4847-B960-D9A8D10A652A}"/>
    <cellStyle name="Migliaia 42 7 3 2" xfId="39707" xr:uid="{D3F1FC1E-9DF4-4742-B5EC-8633C9D4D321}"/>
    <cellStyle name="Migliaia 42 7 3 3" xfId="45009" xr:uid="{42935F49-D243-4398-B3F8-BB3BB052A5DB}"/>
    <cellStyle name="Migliaia 42 7 3 4" xfId="34149" xr:uid="{555C4B1C-DD2B-4061-B80D-1277033CA646}"/>
    <cellStyle name="Migliaia 42 7 3 5" xfId="20661" xr:uid="{CA0FF31B-E8EC-445B-9649-6262140C29F2}"/>
    <cellStyle name="Migliaia 42 7 4" xfId="37102" xr:uid="{1BC709C6-93A6-4C74-8AFA-8FDCE16F7678}"/>
    <cellStyle name="Migliaia 42 7 5" xfId="42358" xr:uid="{C98F35F6-31C8-4E2C-B727-CAFB49DEAC52}"/>
    <cellStyle name="Migliaia 42 7 6" xfId="16585" xr:uid="{CAB21A63-3A81-4569-BCEC-90BC77516C3C}"/>
    <cellStyle name="Migliaia 42 7 7" xfId="8349" xr:uid="{650960B5-31DD-4E25-B70D-50CE8A6E5422}"/>
    <cellStyle name="Migliaia 42 8" xfId="3695" xr:uid="{5ED4FED8-AA9E-4460-93D5-72AC33061130}"/>
    <cellStyle name="Migliaia 42 8 2" xfId="5421" xr:uid="{191A56C6-AC93-447F-81F8-367E259B40C6}"/>
    <cellStyle name="Migliaia 42 8 2 2" xfId="35381" xr:uid="{AC49295C-2D14-4970-914C-3DDC24A1CC33}"/>
    <cellStyle name="Migliaia 42 8 2 2 2" xfId="40541" xr:uid="{AB75B483-C930-45A0-99F7-89EBB7BBD1C1}"/>
    <cellStyle name="Migliaia 42 8 2 2 3" xfId="45843" xr:uid="{C778D8E1-00F8-45C9-8856-57AE50E5FA1C}"/>
    <cellStyle name="Migliaia 42 8 2 3" xfId="37890" xr:uid="{6B5B6772-559C-423D-A8A3-160BEA79A81C}"/>
    <cellStyle name="Migliaia 42 8 2 4" xfId="43192" xr:uid="{235E667D-B7E2-4D75-B361-7B9DA357DD70}"/>
    <cellStyle name="Migliaia 42 8 2 5" xfId="13992" xr:uid="{59030CFF-2F4B-40C7-8EB2-B30B68723314}"/>
    <cellStyle name="Migliaia 42 8 3" xfId="6608" xr:uid="{2E4669DF-12E5-470B-9A61-A0C393B6ABDB}"/>
    <cellStyle name="Migliaia 42 8 3 2" xfId="39708" xr:uid="{91F83CBA-67BD-4F7F-8845-D88C3C1DA8E5}"/>
    <cellStyle name="Migliaia 42 8 3 3" xfId="45010" xr:uid="{110E9A64-DB44-40C6-A564-D376DF7DC4B6}"/>
    <cellStyle name="Migliaia 42 8 3 4" xfId="34150" xr:uid="{FF951990-E552-4794-B4C2-CA456A14F062}"/>
    <cellStyle name="Migliaia 42 8 3 5" xfId="20662" xr:uid="{FC99B20C-281A-418D-ACB5-A86FD1DE53F7}"/>
    <cellStyle name="Migliaia 42 8 4" xfId="37103" xr:uid="{D5BC26DC-A00B-49D0-999F-E4980D5548C8}"/>
    <cellStyle name="Migliaia 42 8 5" xfId="42359" xr:uid="{A09881A1-F812-4D5E-8D45-F89F704E2FC2}"/>
    <cellStyle name="Migliaia 42 8 6" xfId="16586" xr:uid="{D9228E3F-3DA6-40D5-9F3F-1A92361A1F6F}"/>
    <cellStyle name="Migliaia 42 8 7" xfId="7966" xr:uid="{9440F674-15C5-42F1-AD0F-026941564D32}"/>
    <cellStyle name="Migliaia 42 9" xfId="5406" xr:uid="{1DEB2634-39AF-4229-AB19-878D9A76D4A9}"/>
    <cellStyle name="Migliaia 42 9 2" xfId="34151" xr:uid="{609F3586-2594-40CA-A7EF-AEFD1DAF03A6}"/>
    <cellStyle name="Migliaia 42 9 2 2" xfId="39709" xr:uid="{6E96F12C-B860-43C5-9F6E-AEE411E9100E}"/>
    <cellStyle name="Migliaia 42 9 2 3" xfId="45011" xr:uid="{428A8C5B-82DE-4C83-91A6-63F015884195}"/>
    <cellStyle name="Migliaia 42 9 3" xfId="37104" xr:uid="{F1DF73D5-A5B8-49C3-8A2E-A194A1BCFC50}"/>
    <cellStyle name="Migliaia 42 9 4" xfId="42360" xr:uid="{0EAB34A9-27C2-4615-B6AA-7971F8F54945}"/>
    <cellStyle name="Migliaia 42 9 5" xfId="17207" xr:uid="{F854B0F7-E528-4857-8868-7BA7F76C49E6}"/>
    <cellStyle name="Migliaia 43" xfId="449" xr:uid="{00000000-0005-0000-0000-00000C040000}"/>
    <cellStyle name="Migliaia 43 10" xfId="6609" xr:uid="{7828C89F-F659-4428-9044-91FF9D5FA5EC}"/>
    <cellStyle name="Migliaia 43 10 2" xfId="39710" xr:uid="{868D094E-BC63-46A7-8D48-37351FDE7523}"/>
    <cellStyle name="Migliaia 43 10 3" xfId="45012" xr:uid="{EA8D02A2-CC04-4811-A4E3-8136A527576B}"/>
    <cellStyle name="Migliaia 43 10 4" xfId="34152" xr:uid="{C741703E-6EA2-41D1-8A9A-84735AAB9C19}"/>
    <cellStyle name="Migliaia 43 10 5" xfId="20663" xr:uid="{66CBB224-6774-4FE2-8C1E-E0086CD1611D}"/>
    <cellStyle name="Migliaia 43 11" xfId="3696" xr:uid="{1F709AED-F455-4A56-A064-8FBE24D576EA}"/>
    <cellStyle name="Migliaia 43 11 2" xfId="37105" xr:uid="{7B79099D-032F-4B05-BEA5-F4ADD9CEE883}"/>
    <cellStyle name="Migliaia 43 12" xfId="42361" xr:uid="{FB608340-FD6E-4D6D-8A59-D355090013FB}"/>
    <cellStyle name="Migliaia 43 13" xfId="7153" xr:uid="{92BAFA19-9115-4E02-A344-DEAA97C55EF3}"/>
    <cellStyle name="Migliaia 43 2" xfId="450" xr:uid="{00000000-0005-0000-0000-00000D040000}"/>
    <cellStyle name="Migliaia 43 2 2" xfId="1841" xr:uid="{00000000-0005-0000-0000-00000E040000}"/>
    <cellStyle name="Migliaia 43 2 2 2" xfId="5424" xr:uid="{49839C44-7518-468A-BCA9-196611BFD54F}"/>
    <cellStyle name="Migliaia 43 2 2 2 2" xfId="14400" xr:uid="{EFF754C5-6105-4DF8-915A-3920240F4D25}"/>
    <cellStyle name="Migliaia 43 2 2 2 2 2" xfId="39711" xr:uid="{C3EA92F8-7663-449E-9ACC-63E32C7B82E3}"/>
    <cellStyle name="Migliaia 43 2 2 2 2 3" xfId="45013" xr:uid="{FD2B266A-8E54-41E3-B12A-49690057E905}"/>
    <cellStyle name="Migliaia 43 2 2 2 3" xfId="18473" xr:uid="{5CDA7EDA-40AF-4DFB-925F-B4C715A317E9}"/>
    <cellStyle name="Migliaia 43 2 2 2 4" xfId="20666" xr:uid="{27A8FEFB-9078-4CF0-A7A0-EDC76896D069}"/>
    <cellStyle name="Migliaia 43 2 2 2 4 2" xfId="42362" xr:uid="{0AD3DAA4-29B3-4F32-A4B0-0BF76F0851A7}"/>
    <cellStyle name="Migliaia 43 2 2 2 5" xfId="16587" xr:uid="{CC26867F-E2E0-4CE5-B060-D2EF837E6193}"/>
    <cellStyle name="Migliaia 43 2 2 2 6" xfId="8703" xr:uid="{66391FD5-BE31-4705-BD63-A18DD88A3143}"/>
    <cellStyle name="Migliaia 43 2 2 3" xfId="6611" xr:uid="{EBEEF11C-D5DB-41BD-939A-FE7222A02729}"/>
    <cellStyle name="Migliaia 43 2 2 3 2" xfId="35382" xr:uid="{4AFD7B41-E21E-4FC5-857F-F08171696D02}"/>
    <cellStyle name="Migliaia 43 2 2 3 2 2" xfId="40542" xr:uid="{4C6CD827-CBBF-4509-96DC-326B7C56352A}"/>
    <cellStyle name="Migliaia 43 2 2 3 2 3" xfId="45844" xr:uid="{70019DD3-2BFD-4C97-80A1-6F8CA132AF43}"/>
    <cellStyle name="Migliaia 43 2 2 3 3" xfId="37891" xr:uid="{89940BA5-710E-4614-81C8-E8D83DA36CED}"/>
    <cellStyle name="Migliaia 43 2 2 3 4" xfId="43193" xr:uid="{8CBEA2A7-4EED-4D15-A4B2-27400174865D}"/>
    <cellStyle name="Migliaia 43 2 2 3 5" xfId="11627" xr:uid="{9642820D-38BE-46CE-8F7B-07A2F6C41455}"/>
    <cellStyle name="Migliaia 43 2 2 4" xfId="3698" xr:uid="{31C160B1-093A-4118-ABE6-D4859C4E366A}"/>
    <cellStyle name="Migliaia 43 2 2 4 2" xfId="21553" xr:uid="{9092DC02-4A5A-4F9E-B4E4-6593FDFF3884}"/>
    <cellStyle name="Migliaia 43 2 2 4 3" xfId="46648" xr:uid="{2AB0ED83-783A-4BD1-8F73-C0093F8A1092}"/>
    <cellStyle name="Migliaia 43 2 2 4 4" xfId="50568" xr:uid="{D0BC10F8-527C-41F7-A39F-6B01BB77C703}"/>
    <cellStyle name="Migliaia 43 2 2 4 5" xfId="53584" xr:uid="{1413CE68-218C-4B76-B025-7094A52F6B76}"/>
    <cellStyle name="Migliaia 43 2 2 4 6" xfId="10918" xr:uid="{33883E87-9986-4E63-99F5-D7E9FAEFEC90}"/>
    <cellStyle name="Migliaia 43 2 2 5" xfId="20665" xr:uid="{B56C77FE-8919-4F95-8300-FB645D2A009F}"/>
    <cellStyle name="Migliaia 43 2 2 6" xfId="25045" xr:uid="{AD74B53F-B1BC-4571-960C-C4549F319632}"/>
    <cellStyle name="Migliaia 43 2 2 7" xfId="7513" xr:uid="{958D17F3-44B6-40F4-B35A-65CEB223F951}"/>
    <cellStyle name="Migliaia 43 2 3" xfId="3699" xr:uid="{EC4A9E39-04FF-4D3E-96DF-557A0B41BEA1}"/>
    <cellStyle name="Migliaia 43 2 3 2" xfId="5425" xr:uid="{6B6C10FF-3B8A-44F9-86E0-A909BE29BAE9}"/>
    <cellStyle name="Migliaia 43 2 3 2 2" xfId="35383" xr:uid="{B041A09A-4811-4CE9-A383-F5C471B669C6}"/>
    <cellStyle name="Migliaia 43 2 3 2 2 2" xfId="40543" xr:uid="{1D9D4E05-51A0-4E27-BD46-87E3FC98CCB7}"/>
    <cellStyle name="Migliaia 43 2 3 2 2 3" xfId="45845" xr:uid="{C1F486B9-DCE8-4CC3-9758-D9C57E4E9BB2}"/>
    <cellStyle name="Migliaia 43 2 3 2 3" xfId="37892" xr:uid="{E34A3D0D-8D4D-4BDA-BCA9-6D28CF5B28F8}"/>
    <cellStyle name="Migliaia 43 2 3 2 4" xfId="43194" xr:uid="{3389F25F-0569-4FAA-AF48-4280A2ED28D6}"/>
    <cellStyle name="Migliaia 43 2 3 2 5" xfId="14291" xr:uid="{BAC342F4-B1DE-4AAB-8750-BDD886A494FA}"/>
    <cellStyle name="Migliaia 43 2 3 3" xfId="6612" xr:uid="{7093F441-B026-4001-A20C-C1991CA647F4}"/>
    <cellStyle name="Migliaia 43 2 3 3 2" xfId="39712" xr:uid="{EF720481-5E2C-400A-8CE1-3915E9D98EEA}"/>
    <cellStyle name="Migliaia 43 2 3 3 3" xfId="45014" xr:uid="{19055BFE-72E0-442B-BD61-CD77146A52A6}"/>
    <cellStyle name="Migliaia 43 2 3 3 4" xfId="34154" xr:uid="{227C43BC-8BB6-4E83-A81E-7D49FC5D675C}"/>
    <cellStyle name="Migliaia 43 2 3 3 5" xfId="20667" xr:uid="{E2BBD45B-8312-46AD-8D77-59C3021792EB}"/>
    <cellStyle name="Migliaia 43 2 3 4" xfId="37107" xr:uid="{0634D817-DAD2-4BA4-A95C-3FA9311BE7DB}"/>
    <cellStyle name="Migliaia 43 2 3 5" xfId="42363" xr:uid="{B573B628-41EC-4B70-A61A-1D5A870114D5}"/>
    <cellStyle name="Migliaia 43 2 3 6" xfId="16588" xr:uid="{F1FE39D3-6456-4374-9CC8-2E8613CC1E69}"/>
    <cellStyle name="Migliaia 43 2 3 7" xfId="8353" xr:uid="{AE2B5A89-905F-4595-BAE9-8AA25C383DD1}"/>
    <cellStyle name="Migliaia 43 2 4" xfId="5423" xr:uid="{016DC3AE-3817-4F79-9372-9E38E01E7DA3}"/>
    <cellStyle name="Migliaia 43 2 4 2" xfId="13996" xr:uid="{1E457AC8-FF1A-4F08-BE27-522546FC4A90}"/>
    <cellStyle name="Migliaia 43 2 4 2 2" xfId="39713" xr:uid="{2765CB81-FD04-4122-BFF7-A756AEFE0283}"/>
    <cellStyle name="Migliaia 43 2 4 2 3" xfId="45015" xr:uid="{F02DAF1B-1871-4D27-ACFB-9ED58B118B98}"/>
    <cellStyle name="Migliaia 43 2 4 3" xfId="18289" xr:uid="{0C02AFEA-63EA-440D-A70F-7EC55330B7C8}"/>
    <cellStyle name="Migliaia 43 2 4 4" xfId="20668" xr:uid="{5FC2A43D-9DFE-4142-BF8C-903A028CD615}"/>
    <cellStyle name="Migliaia 43 2 4 4 2" xfId="42364" xr:uid="{5BCBA173-0439-47D5-BE58-B0C3A422E8AF}"/>
    <cellStyle name="Migliaia 43 2 4 5" xfId="16589" xr:uid="{6D56A285-53AD-45E7-83E2-758AC74F3464}"/>
    <cellStyle name="Migliaia 43 2 4 6" xfId="7971" xr:uid="{EB0E458F-559B-4779-825C-A758FD5F490A}"/>
    <cellStyle name="Migliaia 43 2 5" xfId="6610" xr:uid="{03C114F5-F6FC-400E-AA53-D915636EBD5E}"/>
    <cellStyle name="Migliaia 43 2 5 2" xfId="34155" xr:uid="{C267EB13-CF07-45B9-816A-A6692F227727}"/>
    <cellStyle name="Migliaia 43 2 5 2 2" xfId="39714" xr:uid="{93BCDC13-E440-41C8-B087-FC86ECE70D6C}"/>
    <cellStyle name="Migliaia 43 2 5 2 3" xfId="45016" xr:uid="{96FD800D-3A5A-4C43-AA5E-C6B3AFEC7DE2}"/>
    <cellStyle name="Migliaia 43 2 5 3" xfId="37109" xr:uid="{43ACFF08-0CAA-43FF-BC07-ADA49DC23259}"/>
    <cellStyle name="Migliaia 43 2 5 4" xfId="42365" xr:uid="{B79B914F-C451-4F01-884F-DE0A70970DF6}"/>
    <cellStyle name="Migliaia 43 2 5 5" xfId="13140" xr:uid="{62DC6C09-F830-4557-AFEA-5A889A6019ED}"/>
    <cellStyle name="Migliaia 43 2 6" xfId="3697" xr:uid="{62560EEF-FDC7-4812-B4A1-1C78330739A4}"/>
    <cellStyle name="Migliaia 43 2 6 2" xfId="34156" xr:uid="{1E122B88-57B2-4230-BF3A-1A07D0FCCA40}"/>
    <cellStyle name="Migliaia 43 2 6 2 2" xfId="39715" xr:uid="{BA3FC78F-6A98-42CF-96C1-F83644F2F5A6}"/>
    <cellStyle name="Migliaia 43 2 6 2 3" xfId="45017" xr:uid="{8C383BE4-B04D-411E-9369-D9B28D1640B9}"/>
    <cellStyle name="Migliaia 43 2 6 3" xfId="37110" xr:uid="{F947CF86-86A2-469E-A2F2-8403C966DDC5}"/>
    <cellStyle name="Migliaia 43 2 6 4" xfId="42366" xr:uid="{A0E3338E-F78C-404D-B57F-8800341A04E5}"/>
    <cellStyle name="Migliaia 43 2 6 5" xfId="25050" xr:uid="{0464839D-0DFA-41D8-916D-358AFE29C213}"/>
    <cellStyle name="Migliaia 43 2 6 6" xfId="20664" xr:uid="{9B3148CE-B8D5-43EB-94D6-9EF4F13B24C1}"/>
    <cellStyle name="Migliaia 43 2 7" xfId="25044" xr:uid="{F2473E12-39A3-4759-AEF6-66C4D21F8251}"/>
    <cellStyle name="Migliaia 43 2 8" xfId="7154" xr:uid="{10E2D32E-DD83-42F1-9D8A-E080D5B3299E}"/>
    <cellStyle name="Migliaia 43 3" xfId="451" xr:uid="{00000000-0005-0000-0000-00000F040000}"/>
    <cellStyle name="Migliaia 43 3 10" xfId="25051" xr:uid="{5757DFDC-AE60-402B-83C2-9FE6CA89CEAB}"/>
    <cellStyle name="Migliaia 43 3 11" xfId="16590" xr:uid="{F191CF5E-E007-4040-858E-22BC47FEA002}"/>
    <cellStyle name="Migliaia 43 3 12" xfId="7155" xr:uid="{0536EF18-715D-4613-8E05-E609FAA17048}"/>
    <cellStyle name="Migliaia 43 3 2" xfId="452" xr:uid="{00000000-0005-0000-0000-000010040000}"/>
    <cellStyle name="Migliaia 43 3 2 2" xfId="1842" xr:uid="{00000000-0005-0000-0000-000011040000}"/>
    <cellStyle name="Migliaia 43 3 2 2 2" xfId="5428" xr:uid="{D5403BE5-FC5B-4B9B-AADD-C7FC6EB8DA3C}"/>
    <cellStyle name="Migliaia 43 3 2 2 2 2" xfId="18474" xr:uid="{BF64C4DD-DC47-442E-87C6-28CEB47FC436}"/>
    <cellStyle name="Migliaia 43 3 2 2 2 2 2" xfId="21878" xr:uid="{40884ED0-4FF2-446E-8ED9-6963F72FABBE}"/>
    <cellStyle name="Migliaia 43 3 2 2 2 2 2 2" xfId="39716" xr:uid="{0E59B65A-784D-4913-8AC5-C524D60269F9}"/>
    <cellStyle name="Migliaia 43 3 2 2 2 2 3" xfId="45018" xr:uid="{E84A62A5-1CF0-4CFC-B7C1-14F2EB12C497}"/>
    <cellStyle name="Migliaia 43 3 2 2 2 2 4" xfId="34157" xr:uid="{14CA3302-0992-4186-9750-207280DBA0E2}"/>
    <cellStyle name="Migliaia 43 3 2 2 2 3" xfId="37111" xr:uid="{32945834-79C6-4622-B8E0-F27EDA633825}"/>
    <cellStyle name="Migliaia 43 3 2 2 2 4" xfId="42367" xr:uid="{12A43A55-6AAC-4A85-9100-17A4FDBA6157}"/>
    <cellStyle name="Migliaia 43 3 2 2 2 5" xfId="46750" xr:uid="{DFD83035-497F-4227-A1AD-C935672F60B9}"/>
    <cellStyle name="Migliaia 43 3 2 2 2 6" xfId="50906" xr:uid="{1751B70A-69EA-47FF-8182-496E7619649F}"/>
    <cellStyle name="Migliaia 43 3 2 2 2 7" xfId="53922" xr:uid="{46E0FD31-5918-4764-8D10-D9C22030B754}"/>
    <cellStyle name="Migliaia 43 3 2 2 2 8" xfId="17676" xr:uid="{12422C07-4C11-44F3-AECE-3A00404E22F3}"/>
    <cellStyle name="Migliaia 43 3 2 2 2 9" xfId="12035" xr:uid="{7CC954FC-7BE8-4C6A-B076-8726B0A74713}"/>
    <cellStyle name="Migliaia 43 3 2 2 3" xfId="6615" xr:uid="{37AA7550-D513-4A67-93FE-B0CE9C60A80A}"/>
    <cellStyle name="Migliaia 43 3 2 2 3 2" xfId="12174" xr:uid="{41708C03-8B40-4D44-811C-C5E1AD181871}"/>
    <cellStyle name="Migliaia 43 3 2 2 4" xfId="3702" xr:uid="{889E4846-3796-4257-AE69-1EF1E0D440D8}"/>
    <cellStyle name="Migliaia 43 3 2 2 4 2" xfId="21554" xr:uid="{F6536B3B-BDC1-4D34-B6F4-3EAACA6F813F}"/>
    <cellStyle name="Migliaia 43 3 2 2 4 3" xfId="48257" xr:uid="{2C9B646A-363A-479B-8B6D-1140D05D756C}"/>
    <cellStyle name="Migliaia 43 3 2 2 4 4" xfId="50569" xr:uid="{853450D7-6FF6-4EEC-95DD-2CEF31D79FA9}"/>
    <cellStyle name="Migliaia 43 3 2 2 4 5" xfId="53585" xr:uid="{8767E1FF-C540-4C07-8976-F8216755FADB}"/>
    <cellStyle name="Migliaia 43 3 2 2 4 6" xfId="10919" xr:uid="{CB8BD4CB-B159-4B5A-812C-7261D2CFC014}"/>
    <cellStyle name="Migliaia 43 3 2 2 5" xfId="20671" xr:uid="{86D4CB2D-A918-4B91-835D-71EC32EC9E25}"/>
    <cellStyle name="Migliaia 43 3 2 2 6" xfId="25053" xr:uid="{EC23201F-83FB-4242-8BD3-AFA89574FC77}"/>
    <cellStyle name="Migliaia 43 3 2 2 7" xfId="8705" xr:uid="{B4B50419-230D-4C7D-8552-D25B504D30D5}"/>
    <cellStyle name="Migliaia 43 3 2 3" xfId="5427" xr:uid="{59F7E196-E6B1-4F5F-BD82-F6E7A666E1A0}"/>
    <cellStyle name="Migliaia 43 3 2 3 2" xfId="12405" xr:uid="{54499A43-FB75-4384-9899-49D2F958FC62}"/>
    <cellStyle name="Migliaia 43 3 2 3 2 2" xfId="39717" xr:uid="{36428C8C-A6B0-41E3-8A27-72BFEEA66BFB}"/>
    <cellStyle name="Migliaia 43 3 2 3 2 3" xfId="45019" xr:uid="{DBA9E010-885D-49AD-97DF-DA480B3D58C1}"/>
    <cellStyle name="Migliaia 43 3 2 3 2 4" xfId="34158" xr:uid="{2996C05D-1199-4E66-A0DE-82CC0AF42F13}"/>
    <cellStyle name="Migliaia 43 3 2 3 3" xfId="12036" xr:uid="{528C95FD-928F-47A7-A1CB-A752FB512C7B}"/>
    <cellStyle name="Migliaia 43 3 2 3 4" xfId="20672" xr:uid="{6464916D-DD3D-48DA-A11B-9F932A4A4694}"/>
    <cellStyle name="Migliaia 43 3 2 3 4 2" xfId="42368" xr:uid="{61BDBAD0-055B-40FA-B4CE-417B84A8E6CF}"/>
    <cellStyle name="Migliaia 43 3 2 3 5" xfId="16591" xr:uid="{0A19EECB-7B91-455B-A014-63D9C08DC81C}"/>
    <cellStyle name="Migliaia 43 3 2 3 6" xfId="7973" xr:uid="{2CD26B0E-740F-459B-89BA-FB97E55E1A1C}"/>
    <cellStyle name="Migliaia 43 3 2 4" xfId="6614" xr:uid="{6C66720D-3082-46EB-8ADC-BC443882FC13}"/>
    <cellStyle name="Migliaia 43 3 2 4 2" xfId="18094" xr:uid="{7EE45EBC-F2B0-4439-B319-941FDD6F1114}"/>
    <cellStyle name="Migliaia 43 3 2 4 2 2" xfId="39718" xr:uid="{F15DD610-E322-41E0-8B1C-57B8C392ED6B}"/>
    <cellStyle name="Migliaia 43 3 2 4 2 3" xfId="45020" xr:uid="{992B3473-FDC7-44AD-9CC5-ED9F1BF7293E}"/>
    <cellStyle name="Migliaia 43 3 2 4 3" xfId="37113" xr:uid="{DEFF0303-A636-47DC-99AB-E9AC22BF8E4D}"/>
    <cellStyle name="Migliaia 43 3 2 4 4" xfId="42369" xr:uid="{161587AC-136D-4BF2-A9BF-F8F905AD2BBE}"/>
    <cellStyle name="Migliaia 43 3 2 4 5" xfId="17210" xr:uid="{EEC5FA0E-23F3-4F41-AD52-1282B9B6ABC6}"/>
    <cellStyle name="Migliaia 43 3 2 4 6" xfId="11384" xr:uid="{42E7D8DD-0778-4ABE-8DCC-6956F9D9C8C1}"/>
    <cellStyle name="Migliaia 43 3 2 5" xfId="3701" xr:uid="{58D20B1C-E517-46D3-B52A-B791A609F367}"/>
    <cellStyle name="Migliaia 43 3 2 5 2" xfId="34160" xr:uid="{3174A042-CE68-4A8B-BBAA-692E3679A807}"/>
    <cellStyle name="Migliaia 43 3 2 5 2 2" xfId="39719" xr:uid="{DAFEDB3B-859F-4A06-B4DE-88C029DF3D3C}"/>
    <cellStyle name="Migliaia 43 3 2 5 2 3" xfId="45021" xr:uid="{3F015F49-7632-43ED-B556-BA09DF914A85}"/>
    <cellStyle name="Migliaia 43 3 2 5 3" xfId="37114" xr:uid="{F9B10F61-ACE8-4AA9-8ADF-CEAED949A40C}"/>
    <cellStyle name="Migliaia 43 3 2 5 4" xfId="42370" xr:uid="{0AB70625-3879-4973-B7C1-34A587151590}"/>
    <cellStyle name="Migliaia 43 3 2 5 5" xfId="17315" xr:uid="{849BCFE8-9989-4214-A44E-E18047CD11A9}"/>
    <cellStyle name="Migliaia 43 3 2 6" xfId="20670" xr:uid="{CBD82545-456D-425E-8CEB-887DF4C3195E}"/>
    <cellStyle name="Migliaia 43 3 2 6 2" xfId="34161" xr:uid="{D81AAFEA-6F22-45EB-A9EF-72E8AB204CB4}"/>
    <cellStyle name="Migliaia 43 3 2 6 2 2" xfId="39720" xr:uid="{3D4C1EA5-C2C4-4EDE-BFCF-8E2835037320}"/>
    <cellStyle name="Migliaia 43 3 2 6 2 3" xfId="45022" xr:uid="{67485ADC-5ADE-4348-8E6E-0F6C18DE0EA6}"/>
    <cellStyle name="Migliaia 43 3 2 6 3" xfId="37115" xr:uid="{C2061F5F-0D44-4FC9-8829-A27CA521CB0B}"/>
    <cellStyle name="Migliaia 43 3 2 6 4" xfId="42371" xr:uid="{09C96970-28CE-4C52-B4E6-644132B6BD4C}"/>
    <cellStyle name="Migliaia 43 3 2 6 5" xfId="25058" xr:uid="{6C620E30-ABC5-45E1-A0AE-E97B4A835128}"/>
    <cellStyle name="Migliaia 43 3 2 7" xfId="25052" xr:uid="{54B8BAD9-9893-4658-8C3D-F1D65B379085}"/>
    <cellStyle name="Migliaia 43 3 2 8" xfId="7515" xr:uid="{15522BE0-E05F-4B41-BC80-87D466DDB24E}"/>
    <cellStyle name="Migliaia 43 3 3" xfId="3703" xr:uid="{65E1434F-A338-4681-AC67-36312D7F0D10}"/>
    <cellStyle name="Migliaia 43 3 3 10" xfId="7514" xr:uid="{85737D3A-BA0F-4946-955B-5A62DD8D3A3F}"/>
    <cellStyle name="Migliaia 43 3 3 2" xfId="5429" xr:uid="{EC01A1EE-AA6F-4060-8A55-8806FDC2501B}"/>
    <cellStyle name="Migliaia 43 3 3 2 2" xfId="9956" xr:uid="{41319265-3843-48DF-9967-692F04B1F1DE}"/>
    <cellStyle name="Migliaia 43 3 3 2 2 2" xfId="39722" xr:uid="{C1C71A9C-1D3D-47B0-8602-6B182F35FCB4}"/>
    <cellStyle name="Migliaia 43 3 3 2 2 3" xfId="45024" xr:uid="{3CFCD39F-ECA0-4041-A3F7-EAE72D3CF3C3}"/>
    <cellStyle name="Migliaia 43 3 3 2 3" xfId="18236" xr:uid="{51C70468-CBF0-43C9-8DE1-F7D5CB4E3392}"/>
    <cellStyle name="Migliaia 43 3 3 2 4" xfId="20674" xr:uid="{F5A1067B-018B-4FEA-A27C-7F6BBC5E26AB}"/>
    <cellStyle name="Migliaia 43 3 3 2 4 2" xfId="42373" xr:uid="{DB32D776-A3D4-4E05-851B-60DF61D0C1F1}"/>
    <cellStyle name="Migliaia 43 3 3 2 5" xfId="16593" xr:uid="{381DCEA5-5A62-4055-8E92-37A5E87C837F}"/>
    <cellStyle name="Migliaia 43 3 3 2 6" xfId="8704" xr:uid="{F85DEF5E-9401-4568-A36B-A4A9C56EFD8D}"/>
    <cellStyle name="Migliaia 43 3 3 3" xfId="6616" xr:uid="{85113703-F0EA-4B30-9BCF-A976FD4CAB38}"/>
    <cellStyle name="Migliaia 43 3 3 3 2" xfId="34164" xr:uid="{2A768E68-DB58-43FB-A311-96DCCF443490}"/>
    <cellStyle name="Migliaia 43 3 3 3 2 2" xfId="39723" xr:uid="{CA0A2A37-BEBF-4268-9067-3057524AB43D}"/>
    <cellStyle name="Migliaia 43 3 3 3 2 3" xfId="45025" xr:uid="{2A2AC789-D897-4DAF-97B5-0E4FB0ACB8D1}"/>
    <cellStyle name="Migliaia 43 3 3 3 3" xfId="37118" xr:uid="{B4692E16-995B-481B-953C-687CBB5511B6}"/>
    <cellStyle name="Migliaia 43 3 3 3 4" xfId="42374" xr:uid="{BA20E789-114B-4415-A08F-12BC74286816}"/>
    <cellStyle name="Migliaia 43 3 3 3 5" xfId="9719" xr:uid="{35E1251F-48D5-4C2E-833A-209C7356DB8F}"/>
    <cellStyle name="Migliaia 43 3 3 4" xfId="20673" xr:uid="{1EDD993B-2BE1-4BF6-920D-430FEDD3A36E}"/>
    <cellStyle name="Migliaia 43 3 3 4 2" xfId="34165" xr:uid="{EB7D0C53-E306-4582-A804-A9792081579A}"/>
    <cellStyle name="Migliaia 43 3 3 4 2 2" xfId="39724" xr:uid="{B0716F1B-BDCD-4F54-814B-4E70EC209B65}"/>
    <cellStyle name="Migliaia 43 3 3 4 2 3" xfId="45026" xr:uid="{B338A192-EE8E-4B31-A7A4-2F30B0A7BCB8}"/>
    <cellStyle name="Migliaia 43 3 3 4 3" xfId="37119" xr:uid="{F4FE3C53-AB9A-472C-9E98-F7CFA41B7CBB}"/>
    <cellStyle name="Migliaia 43 3 3 4 4" xfId="42375" xr:uid="{7AFC23DF-EF6F-455E-BBFD-9D2BC2B61DE7}"/>
    <cellStyle name="Migliaia 43 3 3 4 5" xfId="25062" xr:uid="{9FA1626C-3D2F-460A-BDFD-7AA4DEC443DC}"/>
    <cellStyle name="Migliaia 43 3 3 5" xfId="25063" xr:uid="{8C04FD00-7D64-4C2F-BF0E-ACA897D7BAC4}"/>
    <cellStyle name="Migliaia 43 3 3 5 2" xfId="34166" xr:uid="{C05E6070-2501-44A9-ADF0-A5CBE968FDA7}"/>
    <cellStyle name="Migliaia 43 3 3 5 2 2" xfId="39725" xr:uid="{6EF96632-37AA-45D3-B110-EFF13A515D29}"/>
    <cellStyle name="Migliaia 43 3 3 5 2 3" xfId="45027" xr:uid="{D41182E5-CA26-40BE-9A6A-CC7F9A207C91}"/>
    <cellStyle name="Migliaia 43 3 3 5 3" xfId="37120" xr:uid="{C7716C88-7349-4A5D-934F-75E6529C0CC6}"/>
    <cellStyle name="Migliaia 43 3 3 5 4" xfId="42376" xr:uid="{06696FA3-D502-441C-9905-B6B32A836E00}"/>
    <cellStyle name="Migliaia 43 3 3 6" xfId="34162" xr:uid="{A1B714B5-78E1-4C04-8022-A6471F03ABAA}"/>
    <cellStyle name="Migliaia 43 3 3 6 2" xfId="39721" xr:uid="{9B237987-9F10-46E9-A6EE-36D413B91456}"/>
    <cellStyle name="Migliaia 43 3 3 6 3" xfId="45023" xr:uid="{62675886-F928-4C39-86A3-955AFFDEA149}"/>
    <cellStyle name="Migliaia 43 3 3 7" xfId="37116" xr:uid="{09D522EC-796E-456F-B019-0B5256BFC627}"/>
    <cellStyle name="Migliaia 43 3 3 8" xfId="42372" xr:uid="{A28A638C-48E2-49B1-9B5C-4180C2749FCE}"/>
    <cellStyle name="Migliaia 43 3 3 9" xfId="16592" xr:uid="{48D2FE39-BD28-4379-A631-7A3E89F648AC}"/>
    <cellStyle name="Migliaia 43 3 4" xfId="3704" xr:uid="{6C271BCC-AA0D-4046-BF70-502DC218C912}"/>
    <cellStyle name="Migliaia 43 3 4 2" xfId="5430" xr:uid="{EBDA9C74-000E-4CC2-BB15-E748E45F932A}"/>
    <cellStyle name="Migliaia 43 3 4 2 2" xfId="14460" xr:uid="{5E068F2A-29E9-433A-A6D0-CDF9202244A8}"/>
    <cellStyle name="Migliaia 43 3 4 2 3" xfId="18132" xr:uid="{1A629785-208A-4D97-9566-453B9A19596B}"/>
    <cellStyle name="Migliaia 43 3 4 2 4" xfId="20676" xr:uid="{FA9C0F0B-F4A0-47A8-9D1B-F7D535CA7906}"/>
    <cellStyle name="Migliaia 43 3 4 2 5" xfId="32425" xr:uid="{4C19820A-894F-4C4C-B3DA-F45B2BD111E7}"/>
    <cellStyle name="Migliaia 43 3 4 2 6" xfId="16595" xr:uid="{14A515DD-BDDE-4947-AEC7-9707C7222B39}"/>
    <cellStyle name="Migliaia 43 3 4 2 7" xfId="8883" xr:uid="{DDD17D1B-55E1-4002-9D22-6ADB038A04D3}"/>
    <cellStyle name="Migliaia 43 3 4 3" xfId="6617" xr:uid="{37BD3EBB-C1F3-425D-8E70-C3B4A8566F44}"/>
    <cellStyle name="Migliaia 43 3 4 3 2" xfId="35384" xr:uid="{BBE58207-4C60-4D1F-B65D-0505BB7BAA05}"/>
    <cellStyle name="Migliaia 43 3 4 3 2 2" xfId="40544" xr:uid="{A86CAA9B-B10F-4D47-A307-FFD9E3CFCEF1}"/>
    <cellStyle name="Migliaia 43 3 4 3 2 3" xfId="45846" xr:uid="{BA3372F0-3251-449C-BD9E-62EBC84A913A}"/>
    <cellStyle name="Migliaia 43 3 4 3 3" xfId="37893" xr:uid="{44EB5D94-D115-4C19-80AA-AB58EF330F12}"/>
    <cellStyle name="Migliaia 43 3 4 3 4" xfId="43195" xr:uid="{6FC23DC3-D7C6-4A8C-A523-DDBB2F27AD83}"/>
    <cellStyle name="Migliaia 43 3 4 3 5" xfId="13708" xr:uid="{8D07CD6C-DE5C-41B0-B702-D3B1307F652B}"/>
    <cellStyle name="Migliaia 43 3 4 4" xfId="20675" xr:uid="{BB932412-7C8B-4EF3-A632-3CDA8CF3D84A}"/>
    <cellStyle name="Migliaia 43 3 4 4 2" xfId="39726" xr:uid="{DB5F872A-C917-4804-92A2-92E8C415BC28}"/>
    <cellStyle name="Migliaia 43 3 4 4 3" xfId="45028" xr:uid="{70D94F9E-C546-47A0-A695-F346B63494DF}"/>
    <cellStyle name="Migliaia 43 3 4 4 4" xfId="34167" xr:uid="{684EA4C0-485C-41FA-8B71-2085A27C29E7}"/>
    <cellStyle name="Migliaia 43 3 4 5" xfId="37121" xr:uid="{4B0FACE1-2839-4B50-88E9-4456588AADA1}"/>
    <cellStyle name="Migliaia 43 3 4 6" xfId="42377" xr:uid="{934FF300-6716-41C8-96DA-F0E10C1056F3}"/>
    <cellStyle name="Migliaia 43 3 4 7" xfId="16594" xr:uid="{43FAF9CC-2A03-44B0-A9BC-A6D2C69AFA96}"/>
    <cellStyle name="Migliaia 43 3 4 8" xfId="7693" xr:uid="{1D5DBED4-5994-4FEC-A6AC-6D626295289A}"/>
    <cellStyle name="Migliaia 43 3 5" xfId="3705" xr:uid="{68C33D07-A8C5-4CB2-85C6-A8498106DD2F}"/>
    <cellStyle name="Migliaia 43 3 5 2" xfId="5431" xr:uid="{1D9F2EA8-64E0-407B-B98B-3BE489B96248}"/>
    <cellStyle name="Migliaia 43 3 5 2 2" xfId="35385" xr:uid="{EBCD51A8-7F53-4217-A3AF-C12CDD0BF22B}"/>
    <cellStyle name="Migliaia 43 3 5 2 2 2" xfId="40545" xr:uid="{A879C7D3-4F96-44FD-AD3A-06F23CDC3E48}"/>
    <cellStyle name="Migliaia 43 3 5 2 2 3" xfId="45847" xr:uid="{3CDA5AFA-140F-4295-8331-9BC879834FD1}"/>
    <cellStyle name="Migliaia 43 3 5 2 3" xfId="37894" xr:uid="{8305D945-48DD-46E4-AF2C-942E3958E905}"/>
    <cellStyle name="Migliaia 43 3 5 2 4" xfId="43196" xr:uid="{EFD3B234-BCB7-4880-B664-AFD8D87CC811}"/>
    <cellStyle name="Migliaia 43 3 5 2 5" xfId="14292" xr:uid="{82550F0E-1E35-4546-AA31-2CE5021E90B4}"/>
    <cellStyle name="Migliaia 43 3 5 3" xfId="6618" xr:uid="{F378636C-A7F0-4845-AF59-6745C293FFAD}"/>
    <cellStyle name="Migliaia 43 3 5 3 2" xfId="39727" xr:uid="{8EA2309F-BB2A-44D8-8D5A-C9CAB7D61AAB}"/>
    <cellStyle name="Migliaia 43 3 5 3 3" xfId="45029" xr:uid="{4809AF43-37D2-4855-B110-9CA59350EC02}"/>
    <cellStyle name="Migliaia 43 3 5 3 4" xfId="34168" xr:uid="{DD2BA1D8-6572-4988-A37B-AEC95C43910F}"/>
    <cellStyle name="Migliaia 43 3 5 3 5" xfId="20677" xr:uid="{40A7DABD-507C-40D6-B0DF-69F06A558BB5}"/>
    <cellStyle name="Migliaia 43 3 5 4" xfId="37122" xr:uid="{8649139F-19CD-4AAE-91CC-F6E23007512A}"/>
    <cellStyle name="Migliaia 43 3 5 5" xfId="42378" xr:uid="{87A7DFDA-6BA8-4F6B-A29A-63165DECE69B}"/>
    <cellStyle name="Migliaia 43 3 5 6" xfId="16596" xr:uid="{E6E49358-25B6-4FB1-A9B4-73333C1F0865}"/>
    <cellStyle name="Migliaia 43 3 5 7" xfId="8354" xr:uid="{3C489F8E-78DC-4DC1-B1DC-79C9B38972C8}"/>
    <cellStyle name="Migliaia 43 3 6" xfId="5426" xr:uid="{DBBAE00A-0A95-4A90-A3C2-C92BFB18727F}"/>
    <cellStyle name="Migliaia 43 3 6 2" xfId="13997" xr:uid="{F3C96492-BB16-42CB-930D-C2340E28CA87}"/>
    <cellStyle name="Migliaia 43 3 6 2 2" xfId="39728" xr:uid="{A5FE435E-35CE-49FC-9954-53F7AC5FB6EE}"/>
    <cellStyle name="Migliaia 43 3 6 2 3" xfId="45030" xr:uid="{58494975-409E-4D79-9DA5-D1560ADEBD6D}"/>
    <cellStyle name="Migliaia 43 3 6 3" xfId="18023" xr:uid="{20224FD5-2995-44EB-93E7-2B6EF72AA9ED}"/>
    <cellStyle name="Migliaia 43 3 6 4" xfId="20678" xr:uid="{4F003EF8-E038-4595-8E34-39A98FD3FD6D}"/>
    <cellStyle name="Migliaia 43 3 6 4 2" xfId="42379" xr:uid="{952BD2A4-BF0F-42F2-9507-8BF381D3A14A}"/>
    <cellStyle name="Migliaia 43 3 6 5" xfId="16597" xr:uid="{55396C5B-00CA-431C-A447-B2B79836F566}"/>
    <cellStyle name="Migliaia 43 3 6 6" xfId="7972" xr:uid="{8546FFD2-6044-4ECC-A50F-391F66D9CD07}"/>
    <cellStyle name="Migliaia 43 3 7" xfId="6613" xr:uid="{A2298F06-8173-4CE0-886F-40D57C9B7459}"/>
    <cellStyle name="Migliaia 43 3 7 2" xfId="34170" xr:uid="{A735E35B-510D-4BD8-8187-62F50103A6E7}"/>
    <cellStyle name="Migliaia 43 3 7 2 2" xfId="39729" xr:uid="{0179EF3F-E203-463E-B3A1-951FA793EAB3}"/>
    <cellStyle name="Migliaia 43 3 7 2 3" xfId="45031" xr:uid="{52637D82-16B6-495D-80B0-DB22E5F68FDC}"/>
    <cellStyle name="Migliaia 43 3 7 3" xfId="37124" xr:uid="{29A074B1-4D0B-48D1-BF6A-F16E8BC6ED21}"/>
    <cellStyle name="Migliaia 43 3 7 4" xfId="42380" xr:uid="{9C07E753-AB0E-4458-B687-97229996D54F}"/>
    <cellStyle name="Migliaia 43 3 7 5" xfId="11218" xr:uid="{D0EBA80E-6010-4DEB-A5E8-00C385A28EC6}"/>
    <cellStyle name="Migliaia 43 3 8" xfId="3700" xr:uid="{13A3A862-2990-4B10-9DC9-4CC398BB5405}"/>
    <cellStyle name="Migliaia 43 3 8 2" xfId="34171" xr:uid="{CF0FF482-B624-4C2B-BF39-4B71CD5FE47C}"/>
    <cellStyle name="Migliaia 43 3 8 2 2" xfId="39730" xr:uid="{10335B84-BFF8-4EBB-8DBE-212D77AD4B8A}"/>
    <cellStyle name="Migliaia 43 3 8 2 3" xfId="45032" xr:uid="{091AC831-635B-499D-8B28-3FFBF65378EA}"/>
    <cellStyle name="Migliaia 43 3 8 3" xfId="37125" xr:uid="{C55255FE-4F7A-474D-A32D-22010DE67BD2}"/>
    <cellStyle name="Migliaia 43 3 8 4" xfId="42381" xr:uid="{B8B31C03-490A-42DD-B052-28E1B647D4FF}"/>
    <cellStyle name="Migliaia 43 3 8 5" xfId="25068" xr:uid="{AEB033BC-2A09-4CF1-B4E7-512CDE1FF411}"/>
    <cellStyle name="Migliaia 43 3 8 6" xfId="17316" xr:uid="{66CF9003-BEDB-4B3B-89CD-F4C8CD28C3DE}"/>
    <cellStyle name="Migliaia 43 3 9" xfId="20669" xr:uid="{77FD21BF-8659-4E21-B850-65E6A3D1B1A5}"/>
    <cellStyle name="Migliaia 43 4" xfId="1843" xr:uid="{00000000-0005-0000-0000-000012040000}"/>
    <cellStyle name="Migliaia 43 4 2" xfId="1844" xr:uid="{00000000-0005-0000-0000-000013040000}"/>
    <cellStyle name="Migliaia 43 4 2 2" xfId="5433" xr:uid="{FCA34C9C-2165-4B21-93A9-1693C5E53DEE}"/>
    <cellStyle name="Migliaia 43 4 2 2 2" xfId="34172" xr:uid="{4CB8CF92-56D6-431E-B24F-9DE452EC39AE}"/>
    <cellStyle name="Migliaia 43 4 2 2 2 2" xfId="39731" xr:uid="{616E0339-DE4E-40AD-8248-506E8A6962A1}"/>
    <cellStyle name="Migliaia 43 4 2 2 2 3" xfId="45033" xr:uid="{C19DFF35-C085-4B47-B3D0-541436C833F2}"/>
    <cellStyle name="Migliaia 43 4 2 2 3" xfId="37126" xr:uid="{3BD04D5A-AF7A-4065-B1E3-A487DE9405DF}"/>
    <cellStyle name="Migliaia 43 4 2 2 4" xfId="42382" xr:uid="{BD9321CA-BA1B-40D3-A34A-5A7DD02720E8}"/>
    <cellStyle name="Migliaia 43 4 2 2 5" xfId="9182" xr:uid="{655707D8-4E22-41AE-94B2-64A8C125378D}"/>
    <cellStyle name="Migliaia 43 4 2 3" xfId="3707" xr:uid="{511D714A-B169-4432-9F0A-707476A89686}"/>
    <cellStyle name="Migliaia 43 4 2 3 2" xfId="34173" xr:uid="{BB45BF0F-B66E-451B-8A4A-74A96A074BC7}"/>
    <cellStyle name="Migliaia 43 4 2 3 2 2" xfId="39732" xr:uid="{E2A8E2AB-2555-4651-9FC9-93688D0F5A6D}"/>
    <cellStyle name="Migliaia 43 4 2 3 2 3" xfId="45034" xr:uid="{8A9373B6-230B-4B61-B8AB-4DCF53F23D83}"/>
    <cellStyle name="Migliaia 43 4 2 3 3" xfId="37127" xr:uid="{9D877977-D2BB-40DB-92EE-A43DA4729C8A}"/>
    <cellStyle name="Migliaia 43 4 2 3 4" xfId="42383" xr:uid="{445BE23B-C839-4956-A13A-85F09612DC5E}"/>
    <cellStyle name="Migliaia 43 4 2 3 5" xfId="12037" xr:uid="{C0ADC7E1-5BF7-4B8E-991C-8A796BA4032D}"/>
    <cellStyle name="Migliaia 43 4 2 4" xfId="11386" xr:uid="{94575CD5-D102-441A-B2AA-C9C01ED2CE05}"/>
    <cellStyle name="Migliaia 43 4 2 5" xfId="10921" xr:uid="{3899E73C-0586-4B72-BDE3-1F5627242BFF}"/>
    <cellStyle name="Migliaia 43 4 2 5 2" xfId="21556" xr:uid="{95FB1715-7405-420B-B9E8-5E5B984C227A}"/>
    <cellStyle name="Migliaia 43 4 2 5 3" xfId="47364" xr:uid="{C4B40BF3-02D3-4CA2-9F2A-3EBF3D32BEC3}"/>
    <cellStyle name="Migliaia 43 4 2 5 4" xfId="50571" xr:uid="{37456766-B88B-4B1E-9A40-24A5C7AFC4B5}"/>
    <cellStyle name="Migliaia 43 4 2 5 5" xfId="53587" xr:uid="{E2181475-8738-403D-B224-4B7EDB70D9B4}"/>
    <cellStyle name="Migliaia 43 4 2 6" xfId="20680" xr:uid="{38CE37D6-AC2D-44E3-8298-6C0A229F94CE}"/>
    <cellStyle name="Migliaia 43 4 2 7" xfId="25070" xr:uid="{92154275-68EE-4237-A5C3-903495FC8902}"/>
    <cellStyle name="Migliaia 43 4 2 8" xfId="8706" xr:uid="{F24C4962-701B-49E3-ADB5-075C1405B469}"/>
    <cellStyle name="Migliaia 43 4 3" xfId="5432" xr:uid="{5C16A89C-6620-4EF5-8FBD-1B9F0E2D5A2B}"/>
    <cellStyle name="Migliaia 43 4 3 2" xfId="18237" xr:uid="{980CA8D3-7547-4D6B-BD82-06482480C7FA}"/>
    <cellStyle name="Migliaia 43 4 3 2 2" xfId="39733" xr:uid="{D1070AC1-DD56-41DD-B955-0F0EB4A90903}"/>
    <cellStyle name="Migliaia 43 4 3 2 3" xfId="45035" xr:uid="{93725761-7C5C-4FDC-A77A-98352A57ACA3}"/>
    <cellStyle name="Migliaia 43 4 3 3" xfId="37128" xr:uid="{D92565F8-34A8-49EC-9E06-52EA91AA24F5}"/>
    <cellStyle name="Migliaia 43 4 3 4" xfId="42384" xr:uid="{766AE19D-F67C-47B8-A074-1312BEF06233}"/>
    <cellStyle name="Migliaia 43 4 3 5" xfId="17314" xr:uid="{719319D2-BF1A-4F0C-8302-09F0D14F9C01}"/>
    <cellStyle name="Migliaia 43 4 3 6" xfId="9183" xr:uid="{2693692E-5C2C-4F0A-89D0-E86D01DC87BA}"/>
    <cellStyle name="Migliaia 43 4 4" xfId="6619" xr:uid="{79B51477-2238-42D7-802B-9B4E05057A8A}"/>
    <cellStyle name="Migliaia 43 4 4 2" xfId="34175" xr:uid="{791C7DFC-28DC-444C-A727-58605EE462BC}"/>
    <cellStyle name="Migliaia 43 4 4 2 2" xfId="39734" xr:uid="{E184BEC8-2540-4ABA-8304-E595142D479E}"/>
    <cellStyle name="Migliaia 43 4 4 2 3" xfId="45036" xr:uid="{C5BEEDD2-EA4F-4ED6-B3A0-149D0460BF4F}"/>
    <cellStyle name="Migliaia 43 4 4 3" xfId="37129" xr:uid="{82A5C984-AFA3-450C-A8B8-178F02B3C30A}"/>
    <cellStyle name="Migliaia 43 4 4 4" xfId="42385" xr:uid="{7677C060-9254-46F9-8C2D-1001ACB9504C}"/>
    <cellStyle name="Migliaia 43 4 4 5" xfId="12038" xr:uid="{5F32C596-C382-44F2-86FC-12D88FE8AFD1}"/>
    <cellStyle name="Migliaia 43 4 5" xfId="3706" xr:uid="{55B37FB2-0420-40E0-B31D-40AAE29CC37A}"/>
    <cellStyle name="Migliaia 43 4 5 2" xfId="34176" xr:uid="{AA22D1B6-B66D-40E8-8749-89DBFE0E39D2}"/>
    <cellStyle name="Migliaia 43 4 5 2 2" xfId="39735" xr:uid="{46516304-2F47-4AB9-9E8C-1079D1662872}"/>
    <cellStyle name="Migliaia 43 4 5 2 3" xfId="45037" xr:uid="{79BB87F6-6060-4E2C-A7EC-E936C600E971}"/>
    <cellStyle name="Migliaia 43 4 5 3" xfId="37130" xr:uid="{EAD07527-D0E6-495F-A3D7-7DCA6C3D1A61}"/>
    <cellStyle name="Migliaia 43 4 5 4" xfId="42386" xr:uid="{23394B5E-F416-4E6E-A8BD-AFD906F7D78C}"/>
    <cellStyle name="Migliaia 43 4 5 5" xfId="11385" xr:uid="{43F2C320-C2A3-4F72-B567-83F43E2BAD46}"/>
    <cellStyle name="Migliaia 43 4 6" xfId="10920" xr:uid="{CEA8DB65-C5D6-4AD1-BA81-07C76FD5F5D8}"/>
    <cellStyle name="Migliaia 43 4 6 2" xfId="21555" xr:uid="{EA20C6A8-DA8D-4377-BD24-73B415A29550}"/>
    <cellStyle name="Migliaia 43 4 6 2 2" xfId="39736" xr:uid="{E89DB492-0756-4BE9-A65C-EC63AA4E0DB3}"/>
    <cellStyle name="Migliaia 43 4 6 2 3" xfId="45038" xr:uid="{90B0A57E-706C-47CB-AA67-AA991AB74788}"/>
    <cellStyle name="Migliaia 43 4 6 2 4" xfId="34177" xr:uid="{44FDD22A-728B-4C5B-A258-F0B543510C24}"/>
    <cellStyle name="Migliaia 43 4 6 3" xfId="37131" xr:uid="{D7CB82F5-5AD6-482C-9E8D-C0F9F16FF47B}"/>
    <cellStyle name="Migliaia 43 4 6 4" xfId="42387" xr:uid="{B6FFBCE4-25B3-43BD-9EB2-9F18A253BB59}"/>
    <cellStyle name="Migliaia 43 4 6 5" xfId="25076" xr:uid="{95A8ACF1-E127-44D5-9950-3965C380F7A0}"/>
    <cellStyle name="Migliaia 43 4 6 6" xfId="47264" xr:uid="{F8D86233-6EBA-4C49-9934-AEE128D9BBEF}"/>
    <cellStyle name="Migliaia 43 4 6 7" xfId="50570" xr:uid="{61EEF052-66C1-4668-B3F6-C121D0962261}"/>
    <cellStyle name="Migliaia 43 4 6 8" xfId="53586" xr:uid="{B16FC150-703B-43B0-9CF9-C47CD68AA7D4}"/>
    <cellStyle name="Migliaia 43 4 7" xfId="20679" xr:uid="{72102058-8F77-4B2D-9B07-96398FF7D91A}"/>
    <cellStyle name="Migliaia 43 4 7 2" xfId="34178" xr:uid="{22672D5D-0A6B-4FB8-9DB7-575C083B4983}"/>
    <cellStyle name="Migliaia 43 4 7 2 2" xfId="39737" xr:uid="{03641958-64E5-4875-A852-91C8B2740571}"/>
    <cellStyle name="Migliaia 43 4 7 2 3" xfId="45039" xr:uid="{CCD48F93-C7CB-4837-B821-1542C6DD5E3E}"/>
    <cellStyle name="Migliaia 43 4 7 3" xfId="37132" xr:uid="{D7D7BC0B-FF71-4843-AE10-DFFF0B55E67A}"/>
    <cellStyle name="Migliaia 43 4 7 4" xfId="42388" xr:uid="{C45A65FD-0240-486D-BCB8-A341E0C658E9}"/>
    <cellStyle name="Migliaia 43 4 7 5" xfId="25077" xr:uid="{9117ED36-0E46-4054-BF1C-21806AC64ADF}"/>
    <cellStyle name="Migliaia 43 4 8" xfId="25069" xr:uid="{BE0499CF-A6D4-41DD-99A8-308C959DF963}"/>
    <cellStyle name="Migliaia 43 4 9" xfId="7516" xr:uid="{656B39BA-325F-48EC-A899-12BD22F3166F}"/>
    <cellStyle name="Migliaia 43 5" xfId="1845" xr:uid="{00000000-0005-0000-0000-000014040000}"/>
    <cellStyle name="Migliaia 43 5 2" xfId="5434" xr:uid="{FA42EACE-A059-4BF5-8E5A-48E50AAD8857}"/>
    <cellStyle name="Migliaia 43 5 2 2" xfId="18475" xr:uid="{1DD1D7F2-B799-46ED-83DF-FD8B385752BF}"/>
    <cellStyle name="Migliaia 43 5 2 2 2" xfId="39738" xr:uid="{32318B93-7CA7-46FA-A98A-5825F8CD276B}"/>
    <cellStyle name="Migliaia 43 5 2 2 3" xfId="45040" xr:uid="{FDF9BFB0-9889-4194-9286-BF2EDDA7A4B4}"/>
    <cellStyle name="Migliaia 43 5 2 3" xfId="20682" xr:uid="{0AEC5357-7D78-4B93-92A0-2698326A62BB}"/>
    <cellStyle name="Migliaia 43 5 2 3 2" xfId="37133" xr:uid="{650B1D34-1E9B-4FA3-8AE2-0510C63EB89F}"/>
    <cellStyle name="Migliaia 43 5 2 4" xfId="42389" xr:uid="{68667E0C-A03B-43FC-BFE0-1CBA23294587}"/>
    <cellStyle name="Migliaia 43 5 2 5" xfId="16598" xr:uid="{0118E776-98CE-4895-863E-04E672BC14C5}"/>
    <cellStyle name="Migliaia 43 5 2 6" xfId="8707" xr:uid="{E450942C-5175-4CA4-84FB-5CFEB8C1B2E5}"/>
    <cellStyle name="Migliaia 43 5 3" xfId="6620" xr:uid="{5C3EA93A-136B-4265-8CC5-5660E75BEBAE}"/>
    <cellStyle name="Migliaia 43 5 3 2" xfId="34180" xr:uid="{0D37C7E5-02DA-42C7-91AC-F33C352E1D94}"/>
    <cellStyle name="Migliaia 43 5 3 2 2" xfId="39739" xr:uid="{51400C6A-4C98-465E-8327-C1F229457523}"/>
    <cellStyle name="Migliaia 43 5 3 2 3" xfId="45041" xr:uid="{1EFBD755-841C-4881-876E-29362E8F9894}"/>
    <cellStyle name="Migliaia 43 5 3 3" xfId="37134" xr:uid="{4C949410-1D52-4AFB-928A-A6BFEF193365}"/>
    <cellStyle name="Migliaia 43 5 3 4" xfId="42390" xr:uid="{A7851E4F-D750-4EFD-A3BC-829E222CD2AD}"/>
    <cellStyle name="Migliaia 43 5 3 5" xfId="11387" xr:uid="{9E10C2AE-C794-4041-B233-699F0BFD2518}"/>
    <cellStyle name="Migliaia 43 5 4" xfId="3708" xr:uid="{E224E1F4-931F-4E25-AE94-2E9EF9F2C2C5}"/>
    <cellStyle name="Migliaia 43 5 4 2" xfId="21557" xr:uid="{0DBE780F-0382-4FD3-97AE-A9B816B552C4}"/>
    <cellStyle name="Migliaia 43 5 4 2 2" xfId="39740" xr:uid="{F279D305-57A1-4F2E-9A5B-132B0FFAE2AD}"/>
    <cellStyle name="Migliaia 43 5 4 2 3" xfId="45042" xr:uid="{89775498-2167-4B47-8B1A-BF093639CAC8}"/>
    <cellStyle name="Migliaia 43 5 4 2 4" xfId="34181" xr:uid="{0524A084-E6F1-4CCC-9B4F-2FC07AB8BC3B}"/>
    <cellStyle name="Migliaia 43 5 4 3" xfId="37135" xr:uid="{86511C26-2962-4507-9F61-C914605E96BF}"/>
    <cellStyle name="Migliaia 43 5 4 4" xfId="42391" xr:uid="{D62620D8-4552-43B8-8EF6-3BD0D3457D1E}"/>
    <cellStyle name="Migliaia 43 5 4 5" xfId="25081" xr:uid="{D6684779-F851-48E0-AA09-B247D8BEB77A}"/>
    <cellStyle name="Migliaia 43 5 4 6" xfId="46259" xr:uid="{B663A6B9-0E81-47FD-B6E2-0638407BBA11}"/>
    <cellStyle name="Migliaia 43 5 4 7" xfId="50572" xr:uid="{94EE158C-3315-4569-BE3D-65B929F5B99B}"/>
    <cellStyle name="Migliaia 43 5 4 8" xfId="53588" xr:uid="{CA40F439-C6F7-4A96-A240-AFB6E3ECBEFF}"/>
    <cellStyle name="Migliaia 43 5 4 9" xfId="10922" xr:uid="{EFCB44CE-5AB7-4F43-AF7A-0F281D13DCCC}"/>
    <cellStyle name="Migliaia 43 5 5" xfId="20681" xr:uid="{93A61784-CD46-46A6-AA0B-B53ABADE8897}"/>
    <cellStyle name="Migliaia 43 5 5 2" xfId="34182" xr:uid="{E01A1212-A99B-44E7-A3E6-A2BF0D05345E}"/>
    <cellStyle name="Migliaia 43 5 5 2 2" xfId="39741" xr:uid="{D2986DBD-7FC7-498D-A4C5-DDFB71208819}"/>
    <cellStyle name="Migliaia 43 5 5 2 3" xfId="45043" xr:uid="{460D357E-B93A-43E4-AF08-E1FBFF3B64E4}"/>
    <cellStyle name="Migliaia 43 5 5 3" xfId="37136" xr:uid="{FEB6F996-E0E0-42FB-8EF3-D5D320C62510}"/>
    <cellStyle name="Migliaia 43 5 5 4" xfId="42392" xr:uid="{4CD4B72F-C953-4234-BE85-885E37E7C6FB}"/>
    <cellStyle name="Migliaia 43 5 5 5" xfId="25082" xr:uid="{6B5C94BA-8A65-46E7-8320-E15FA653301A}"/>
    <cellStyle name="Migliaia 43 5 6" xfId="25083" xr:uid="{CBA383BD-3EBF-42A5-8396-FBCE64C4A4DE}"/>
    <cellStyle name="Migliaia 43 5 6 2" xfId="34183" xr:uid="{A3052A38-88B9-44DD-BCB2-14CDC61AC282}"/>
    <cellStyle name="Migliaia 43 5 6 2 2" xfId="39742" xr:uid="{9D0199FC-82A7-4E66-BD15-515DAE66B76E}"/>
    <cellStyle name="Migliaia 43 5 6 2 3" xfId="45044" xr:uid="{4E1C9835-793C-4BE7-A7FF-D40BCBEFCE6D}"/>
    <cellStyle name="Migliaia 43 5 6 3" xfId="37137" xr:uid="{C6330DED-917D-40C4-95E5-485CF9266DF3}"/>
    <cellStyle name="Migliaia 43 5 6 4" xfId="42393" xr:uid="{4ED8858D-EC5E-4CA1-85DC-3F6F1F4A6F28}"/>
    <cellStyle name="Migliaia 43 5 7" xfId="25078" xr:uid="{DCBCBEC3-D5A9-4864-93C4-D356CBC24D15}"/>
    <cellStyle name="Migliaia 43 5 8" xfId="7517" xr:uid="{3C89BBE0-228B-41B5-B700-4B2F115155E1}"/>
    <cellStyle name="Migliaia 43 6" xfId="3709" xr:uid="{F072E6B5-FE24-4E0D-A4DC-03F9C71B9882}"/>
    <cellStyle name="Migliaia 43 6 2" xfId="5435" xr:uid="{0B4D3EA2-B8F0-4CD0-885B-6F83EC6E70ED}"/>
    <cellStyle name="Migliaia 43 6 2 2" xfId="9955" xr:uid="{47DE7256-A376-4740-A9D4-13FE421EA5A6}"/>
    <cellStyle name="Migliaia 43 6 2 3" xfId="18643" xr:uid="{48A983F2-7AE3-4467-8CD6-D88CB78EAF10}"/>
    <cellStyle name="Migliaia 43 6 2 4" xfId="20684" xr:uid="{10EA8155-EA0F-460B-B33F-3397AF55905E}"/>
    <cellStyle name="Migliaia 43 6 2 5" xfId="32427" xr:uid="{6717DDCF-8FB5-408C-8B03-215205B3BAA0}"/>
    <cellStyle name="Migliaia 43 6 2 6" xfId="16600" xr:uid="{0B2002C7-A939-40AA-8366-94BCC85F35CC}"/>
    <cellStyle name="Migliaia 43 6 2 7" xfId="8702" xr:uid="{340B007C-E359-418C-AA4A-3D385D6E0122}"/>
    <cellStyle name="Migliaia 43 6 3" xfId="6621" xr:uid="{8BF9FBF5-236D-49C7-BFD3-6B2B271B0ECA}"/>
    <cellStyle name="Migliaia 43 6 3 2" xfId="35386" xr:uid="{5E7EED87-9663-4C52-8FD5-D8414C4A27E7}"/>
    <cellStyle name="Migliaia 43 6 3 2 2" xfId="40546" xr:uid="{E7AC8B0F-3854-4827-8342-52E4E3ECF1CF}"/>
    <cellStyle name="Migliaia 43 6 3 2 3" xfId="45848" xr:uid="{0A6EB1FD-DA97-42F3-969A-4ABB731F23C9}"/>
    <cellStyle name="Migliaia 43 6 3 3" xfId="37895" xr:uid="{1993A862-22B1-4718-97C2-F38FA88CFB48}"/>
    <cellStyle name="Migliaia 43 6 3 4" xfId="43197" xr:uid="{A5B8DB68-6A7E-41CA-9ABB-52BF4E0D58E8}"/>
    <cellStyle name="Migliaia 43 6 3 5" xfId="9718" xr:uid="{DBAF44B0-B876-41AA-AA2F-AF8C2DBFFFB2}"/>
    <cellStyle name="Migliaia 43 6 4" xfId="20683" xr:uid="{09FD1F59-12C6-4CCB-B823-02DF341006DF}"/>
    <cellStyle name="Migliaia 43 6 4 2" xfId="39743" xr:uid="{A6EB34DE-558C-4CA1-89E9-05133F75DA03}"/>
    <cellStyle name="Migliaia 43 6 4 3" xfId="45045" xr:uid="{5CF2A20D-9DB5-4CA7-B4E4-E03317580649}"/>
    <cellStyle name="Migliaia 43 6 4 4" xfId="34184" xr:uid="{9A6C3B5F-2984-40F7-99C4-3C58C33BFA5E}"/>
    <cellStyle name="Migliaia 43 6 5" xfId="37138" xr:uid="{68E8C4EC-5162-4864-82FE-77B424EE089B}"/>
    <cellStyle name="Migliaia 43 6 6" xfId="42394" xr:uid="{EEE29800-5F47-452B-AE0A-F91C0DDAAB6D}"/>
    <cellStyle name="Migliaia 43 6 7" xfId="16599" xr:uid="{08D31EBD-C698-4C2F-99E4-84AFAB8F5A9D}"/>
    <cellStyle name="Migliaia 43 6 8" xfId="7512" xr:uid="{66884DA4-7A92-4615-A2AB-A3C35AE2F40E}"/>
    <cellStyle name="Migliaia 43 7" xfId="3710" xr:uid="{118DD966-44D8-43A0-B4D9-71ADC72DC010}"/>
    <cellStyle name="Migliaia 43 7 2" xfId="5436" xr:uid="{63826C31-3B57-4F51-A584-91A8D3E5120B}"/>
    <cellStyle name="Migliaia 43 7 2 2" xfId="35387" xr:uid="{BC89A0D4-FE08-44EF-AB80-82A2745832AE}"/>
    <cellStyle name="Migliaia 43 7 2 2 2" xfId="40547" xr:uid="{739587F9-C83C-48AC-AFCB-2BDCC13F95B4}"/>
    <cellStyle name="Migliaia 43 7 2 2 3" xfId="45849" xr:uid="{67525FB6-AC57-476F-88A7-33431C1C0A2C}"/>
    <cellStyle name="Migliaia 43 7 2 3" xfId="37896" xr:uid="{88E63988-EF98-4DCB-95D7-A3E284836D75}"/>
    <cellStyle name="Migliaia 43 7 2 4" xfId="43198" xr:uid="{9FD5DA2F-8AD3-4828-A1EC-325B3906DA37}"/>
    <cellStyle name="Migliaia 43 7 2 5" xfId="14290" xr:uid="{35B87AF5-0EB0-40DA-8826-C332D9FA1923}"/>
    <cellStyle name="Migliaia 43 7 3" xfId="6622" xr:uid="{3544D5E2-072E-40D6-AFE3-D0E85DA1E348}"/>
    <cellStyle name="Migliaia 43 7 3 2" xfId="39744" xr:uid="{F95710EB-193A-4F65-8537-70509C12D038}"/>
    <cellStyle name="Migliaia 43 7 3 3" xfId="45046" xr:uid="{35DD572C-251F-4F76-9C9C-D09966D94AFD}"/>
    <cellStyle name="Migliaia 43 7 3 4" xfId="34185" xr:uid="{FACCC2D0-985C-4F4C-AE3C-A069383C0AC8}"/>
    <cellStyle name="Migliaia 43 7 3 5" xfId="20685" xr:uid="{98B11196-C41D-4CBD-93AF-58CB905EA803}"/>
    <cellStyle name="Migliaia 43 7 4" xfId="37139" xr:uid="{C9521F0F-3D7E-4EE7-92F0-ADEA0A9CE08D}"/>
    <cellStyle name="Migliaia 43 7 5" xfId="42395" xr:uid="{4416FDCC-825F-4EE3-9F60-4EE03FED8200}"/>
    <cellStyle name="Migliaia 43 7 6" xfId="16601" xr:uid="{FE019635-BF6C-4FBB-B1E9-441F6F369E3D}"/>
    <cellStyle name="Migliaia 43 7 7" xfId="8352" xr:uid="{C3E43FB2-27A8-4CD8-AF75-159C7E0BED10}"/>
    <cellStyle name="Migliaia 43 8" xfId="3711" xr:uid="{7780D516-51AA-4E45-B93A-0175E8FF9C2C}"/>
    <cellStyle name="Migliaia 43 8 2" xfId="5437" xr:uid="{276B9114-7D7D-4299-ADFA-B6C80DB86282}"/>
    <cellStyle name="Migliaia 43 8 2 2" xfId="35388" xr:uid="{3FCF122D-6D0A-49D0-8A17-38EE21897407}"/>
    <cellStyle name="Migliaia 43 8 2 2 2" xfId="40548" xr:uid="{E27BDB13-4E3C-4808-B572-C7A697F015B7}"/>
    <cellStyle name="Migliaia 43 8 2 2 3" xfId="45850" xr:uid="{6E784B3F-B21A-4150-A4BB-0DD4C860F23D}"/>
    <cellStyle name="Migliaia 43 8 2 3" xfId="37897" xr:uid="{5FA2D2E1-52FD-49D2-A4A9-A2C07C14DB77}"/>
    <cellStyle name="Migliaia 43 8 2 4" xfId="43199" xr:uid="{B1C5E889-BA2E-470C-8A9E-78FD0C520BF3}"/>
    <cellStyle name="Migliaia 43 8 2 5" xfId="13995" xr:uid="{A48DA4E1-D229-481A-8E68-6C1A5ABADEEE}"/>
    <cellStyle name="Migliaia 43 8 3" xfId="6623" xr:uid="{9F11793E-9177-4C2B-8556-0565DB74A265}"/>
    <cellStyle name="Migliaia 43 8 3 2" xfId="39745" xr:uid="{E534010F-2F91-49A5-BA88-3059B2705E7E}"/>
    <cellStyle name="Migliaia 43 8 3 3" xfId="45047" xr:uid="{14FCC487-C263-4355-B831-38EBFD0F2C3C}"/>
    <cellStyle name="Migliaia 43 8 3 4" xfId="34186" xr:uid="{D982147A-BBB8-47A0-A4DA-F1891678B8F3}"/>
    <cellStyle name="Migliaia 43 8 3 5" xfId="20686" xr:uid="{805BAE3C-32C0-47F5-A315-660737B719CD}"/>
    <cellStyle name="Migliaia 43 8 4" xfId="37140" xr:uid="{B80EF678-A1DA-4772-A0FF-5A3D63673C96}"/>
    <cellStyle name="Migliaia 43 8 5" xfId="42396" xr:uid="{04731A40-E075-488C-A490-1F491A7889C4}"/>
    <cellStyle name="Migliaia 43 8 6" xfId="16602" xr:uid="{0440B9E3-DF16-4671-9159-F2CDC8FA924F}"/>
    <cellStyle name="Migliaia 43 8 7" xfId="7970" xr:uid="{956DC0B6-7E2B-4BAC-A855-CDB815BFDF6A}"/>
    <cellStyle name="Migliaia 43 9" xfId="5422" xr:uid="{63CC7E02-61B6-4E30-A101-7A865BDF1BC2}"/>
    <cellStyle name="Migliaia 43 9 2" xfId="34187" xr:uid="{1EAE561F-FEA9-44D6-954A-750D5C4E5F55}"/>
    <cellStyle name="Migliaia 43 9 2 2" xfId="39746" xr:uid="{7C7FB619-737B-4A43-A067-B300F8C16FD4}"/>
    <cellStyle name="Migliaia 43 9 2 3" xfId="45048" xr:uid="{6A3FB4B5-A8A9-4F6C-AF7A-5F96CA50D00B}"/>
    <cellStyle name="Migliaia 43 9 3" xfId="37141" xr:uid="{E8D1818C-3E28-4EE2-BB00-A0B57CC5085B}"/>
    <cellStyle name="Migliaia 43 9 4" xfId="42397" xr:uid="{7DAEBF02-6682-431D-B363-309CF141DA98}"/>
    <cellStyle name="Migliaia 43 9 5" xfId="17209" xr:uid="{0EE0B0F5-30C3-4E78-AC07-EE33E544D467}"/>
    <cellStyle name="Migliaia 44" xfId="453" xr:uid="{00000000-0005-0000-0000-000015040000}"/>
    <cellStyle name="Migliaia 44 10" xfId="6624" xr:uid="{A8D53E44-37FD-4DC9-8A4A-82D613CB23B6}"/>
    <cellStyle name="Migliaia 44 10 2" xfId="39747" xr:uid="{33A559D5-C87A-4E29-B914-BC828432C12E}"/>
    <cellStyle name="Migliaia 44 10 3" xfId="45049" xr:uid="{6C2E9CA5-5ABB-4968-B8E2-4FF27B1575EA}"/>
    <cellStyle name="Migliaia 44 10 4" xfId="34188" xr:uid="{F239B6AF-DE01-46C3-A0F3-62BA53F23DFE}"/>
    <cellStyle name="Migliaia 44 10 5" xfId="20687" xr:uid="{567A0866-3A18-4714-949A-6CD621199F2D}"/>
    <cellStyle name="Migliaia 44 11" xfId="3712" xr:uid="{6DC8F25D-EE44-4546-85BB-50ED6B7759A6}"/>
    <cellStyle name="Migliaia 44 11 2" xfId="37142" xr:uid="{5109B807-7298-4A5B-B8CD-909E00C96DBC}"/>
    <cellStyle name="Migliaia 44 12" xfId="42398" xr:uid="{984F9000-BA07-4E0A-968C-E0FF961D08D1}"/>
    <cellStyle name="Migliaia 44 13" xfId="7156" xr:uid="{9EBDA7FE-D3B0-41B2-82CC-4A10091EF2EE}"/>
    <cellStyle name="Migliaia 44 2" xfId="454" xr:uid="{00000000-0005-0000-0000-000016040000}"/>
    <cellStyle name="Migliaia 44 2 2" xfId="1846" xr:uid="{00000000-0005-0000-0000-000017040000}"/>
    <cellStyle name="Migliaia 44 2 2 2" xfId="5440" xr:uid="{28D25D56-790E-44B2-993B-A295C3550BA0}"/>
    <cellStyle name="Migliaia 44 2 2 2 2" xfId="14401" xr:uid="{55FCC41F-0BAA-47B3-BE9E-64EA3E786A25}"/>
    <cellStyle name="Migliaia 44 2 2 2 2 2" xfId="39748" xr:uid="{F7F8AF53-7D5D-4F32-95F6-E3F5A6BF41EF}"/>
    <cellStyle name="Migliaia 44 2 2 2 2 3" xfId="45050" xr:uid="{31EA1B0E-D774-4D92-B621-4D1E64A5BBF8}"/>
    <cellStyle name="Migliaia 44 2 2 2 3" xfId="18476" xr:uid="{32A29965-ED6E-49CF-8E7A-70CF5F9697E4}"/>
    <cellStyle name="Migliaia 44 2 2 2 4" xfId="20690" xr:uid="{EABDA32C-DFD9-4CE4-8F14-8BAAF08A56D9}"/>
    <cellStyle name="Migliaia 44 2 2 2 4 2" xfId="42399" xr:uid="{BCCC9A6A-9E96-4C9F-B671-503A59646C08}"/>
    <cellStyle name="Migliaia 44 2 2 2 5" xfId="16603" xr:uid="{FBBA37D3-F281-47D3-A99F-3AF27F6A2B25}"/>
    <cellStyle name="Migliaia 44 2 2 2 6" xfId="8709" xr:uid="{074D9D02-51E4-484E-AF8D-D5773D52E095}"/>
    <cellStyle name="Migliaia 44 2 2 3" xfId="6626" xr:uid="{904E045B-19C4-432B-BC32-05470016BC52}"/>
    <cellStyle name="Migliaia 44 2 2 3 2" xfId="35389" xr:uid="{5F739DC0-E90E-48EC-BED4-6D53A1B13FD7}"/>
    <cellStyle name="Migliaia 44 2 2 3 2 2" xfId="40549" xr:uid="{2CE77EFD-EC1E-4B6B-887F-D838287D1B0C}"/>
    <cellStyle name="Migliaia 44 2 2 3 2 3" xfId="45851" xr:uid="{56121CB7-558D-414D-8C50-075617ED7DFB}"/>
    <cellStyle name="Migliaia 44 2 2 3 3" xfId="37898" xr:uid="{B9295926-0AED-4E1C-B62E-F11E1D9A6707}"/>
    <cellStyle name="Migliaia 44 2 2 3 4" xfId="43200" xr:uid="{A76CF8D2-2DB4-4EC8-B357-C5CB14A6DD6F}"/>
    <cellStyle name="Migliaia 44 2 2 3 5" xfId="11628" xr:uid="{ABA7E34F-D115-4A01-80DD-02D570A22257}"/>
    <cellStyle name="Migliaia 44 2 2 4" xfId="3714" xr:uid="{8D4B1600-5DB4-487D-9980-14978E7BCDC2}"/>
    <cellStyle name="Migliaia 44 2 2 4 2" xfId="21558" xr:uid="{97AB884F-7D6D-42D6-881C-6D2E62B84FAD}"/>
    <cellStyle name="Migliaia 44 2 2 4 3" xfId="47604" xr:uid="{BD9F8AD8-730A-440D-A1F1-CC7248259B27}"/>
    <cellStyle name="Migliaia 44 2 2 4 4" xfId="50573" xr:uid="{ADD7138B-80F0-4B23-B47E-329183788EDF}"/>
    <cellStyle name="Migliaia 44 2 2 4 5" xfId="53589" xr:uid="{BA98F7C4-00F2-4C2C-BC8A-44AB076C33CC}"/>
    <cellStyle name="Migliaia 44 2 2 4 6" xfId="10923" xr:uid="{EFB97BF3-4C81-4581-AD56-1B2E49F3CC9A}"/>
    <cellStyle name="Migliaia 44 2 2 5" xfId="20689" xr:uid="{AE472FB9-574A-4337-9D68-E426957609E5}"/>
    <cellStyle name="Migliaia 44 2 2 6" xfId="25090" xr:uid="{AB3B409B-3297-44EB-AE51-C17BE065289F}"/>
    <cellStyle name="Migliaia 44 2 2 7" xfId="7519" xr:uid="{0372186C-106C-4CB9-95ED-7CAB14732C62}"/>
    <cellStyle name="Migliaia 44 2 3" xfId="3715" xr:uid="{AF28B6FB-A1F2-47A2-BB70-BFC4EF2ED806}"/>
    <cellStyle name="Migliaia 44 2 3 2" xfId="5441" xr:uid="{D00BD111-F711-4EA3-B1D5-2F0821A74D2E}"/>
    <cellStyle name="Migliaia 44 2 3 2 2" xfId="35390" xr:uid="{3FFD429C-B5AF-4277-88C9-FE7B15A1EF66}"/>
    <cellStyle name="Migliaia 44 2 3 2 2 2" xfId="40550" xr:uid="{5BAE779C-8383-4F98-8C5F-8C2B8EAD39EF}"/>
    <cellStyle name="Migliaia 44 2 3 2 2 3" xfId="45852" xr:uid="{5DA84BAF-E980-4C87-879C-D50891A2CF89}"/>
    <cellStyle name="Migliaia 44 2 3 2 3" xfId="37899" xr:uid="{16C3AF66-935D-48E8-ACDF-CBD5B6964574}"/>
    <cellStyle name="Migliaia 44 2 3 2 4" xfId="43201" xr:uid="{C8DD5F52-DA42-4C8E-A2C0-BA5AB86C6CB4}"/>
    <cellStyle name="Migliaia 44 2 3 2 5" xfId="14294" xr:uid="{344F9587-6557-4502-9A75-3F96410A7760}"/>
    <cellStyle name="Migliaia 44 2 3 3" xfId="6627" xr:uid="{D96E467E-E4D7-4E82-A0A1-0500AD740787}"/>
    <cellStyle name="Migliaia 44 2 3 3 2" xfId="39749" xr:uid="{BCAE3F75-0FD3-4CEF-BFDA-27701EE70784}"/>
    <cellStyle name="Migliaia 44 2 3 3 3" xfId="45051" xr:uid="{25BB52EC-CDC5-4EC8-85E9-C7173DF36D71}"/>
    <cellStyle name="Migliaia 44 2 3 3 4" xfId="34190" xr:uid="{0D827030-F4CD-4E9F-ABE3-3C03F6FE064D}"/>
    <cellStyle name="Migliaia 44 2 3 3 5" xfId="20691" xr:uid="{482EC773-4FD2-489F-9442-CEA4E38BE994}"/>
    <cellStyle name="Migliaia 44 2 3 4" xfId="37144" xr:uid="{43513EE5-B022-46D5-A4AB-990BEA962186}"/>
    <cellStyle name="Migliaia 44 2 3 5" xfId="42400" xr:uid="{F73C5625-8403-4100-A3B7-52200BD11B5B}"/>
    <cellStyle name="Migliaia 44 2 3 6" xfId="16604" xr:uid="{C3FC07BC-02CD-40C5-85C1-0056DEB27EB7}"/>
    <cellStyle name="Migliaia 44 2 3 7" xfId="8356" xr:uid="{337820A8-A21A-4974-A120-D822F946591F}"/>
    <cellStyle name="Migliaia 44 2 4" xfId="5439" xr:uid="{8D5A401F-98CC-4B2E-AB8D-78767C17BED6}"/>
    <cellStyle name="Migliaia 44 2 4 2" xfId="13999" xr:uid="{6EF584A2-826D-4833-B383-DE2F91DB691E}"/>
    <cellStyle name="Migliaia 44 2 4 2 2" xfId="39750" xr:uid="{9A49DA97-70D9-4A2F-89B0-69B80527AB97}"/>
    <cellStyle name="Migliaia 44 2 4 2 3" xfId="45052" xr:uid="{45522ED3-4ED4-496D-B479-28C55EDAC0FF}"/>
    <cellStyle name="Migliaia 44 2 4 3" xfId="18608" xr:uid="{D9E092F3-DFD6-4B97-A0D5-140A2D08799F}"/>
    <cellStyle name="Migliaia 44 2 4 4" xfId="20692" xr:uid="{F4D5E7D9-EE1B-4455-A058-702954718656}"/>
    <cellStyle name="Migliaia 44 2 4 4 2" xfId="42401" xr:uid="{6F5BAB18-FBB7-4AA0-BC75-F4E630D29C56}"/>
    <cellStyle name="Migliaia 44 2 4 5" xfId="16605" xr:uid="{827D37D4-4C79-464C-B016-59E510E5AF25}"/>
    <cellStyle name="Migliaia 44 2 4 6" xfId="7975" xr:uid="{631EAAE9-CA59-45D1-9896-973C2D0B996F}"/>
    <cellStyle name="Migliaia 44 2 5" xfId="6625" xr:uid="{3EEDC538-83E2-4FBD-864A-098E6BB934DE}"/>
    <cellStyle name="Migliaia 44 2 5 2" xfId="34191" xr:uid="{AACEAB61-1432-4753-AE3B-0283306B6E2C}"/>
    <cellStyle name="Migliaia 44 2 5 2 2" xfId="39751" xr:uid="{C1F5425D-84DE-4D5F-B01A-0AED104B11CA}"/>
    <cellStyle name="Migliaia 44 2 5 2 3" xfId="45053" xr:uid="{0E64FCAD-B365-4ED3-B69B-00AFB612BD21}"/>
    <cellStyle name="Migliaia 44 2 5 3" xfId="37145" xr:uid="{E3A5E7B5-372C-4EC0-A0A6-75B63C57792B}"/>
    <cellStyle name="Migliaia 44 2 5 4" xfId="42402" xr:uid="{BD093E10-AFCE-4CD6-8CA0-F070AEF2E500}"/>
    <cellStyle name="Migliaia 44 2 5 5" xfId="13141" xr:uid="{78A7402C-5D46-44DB-AFB6-686187D4629A}"/>
    <cellStyle name="Migliaia 44 2 6" xfId="3713" xr:uid="{CA824D8A-2ADC-4E78-AE53-724E9F125FAF}"/>
    <cellStyle name="Migliaia 44 2 6 2" xfId="34192" xr:uid="{DDA26824-854B-4B9B-AED5-DDFD60BB8D99}"/>
    <cellStyle name="Migliaia 44 2 6 2 2" xfId="39752" xr:uid="{BCC8F59B-BCB8-4E91-B6E1-FAE2EFB20D04}"/>
    <cellStyle name="Migliaia 44 2 6 2 3" xfId="45054" xr:uid="{18129C84-51E2-4833-ABFB-193257E4471D}"/>
    <cellStyle name="Migliaia 44 2 6 3" xfId="37146" xr:uid="{87305442-A995-4048-BACB-7B680F00DB42}"/>
    <cellStyle name="Migliaia 44 2 6 4" xfId="42403" xr:uid="{6342FB03-9FFF-40AC-A390-AD323783CEF2}"/>
    <cellStyle name="Migliaia 44 2 6 5" xfId="25092" xr:uid="{6A24767E-394B-44A8-AB57-E45082A883C0}"/>
    <cellStyle name="Migliaia 44 2 6 6" xfId="20688" xr:uid="{4A82205D-1B66-423F-B7D1-A60FE1D2FED5}"/>
    <cellStyle name="Migliaia 44 2 7" xfId="25089" xr:uid="{E40D86A3-4EAA-423A-9135-9F08C45588FD}"/>
    <cellStyle name="Migliaia 44 2 8" xfId="7157" xr:uid="{00B97E6C-587D-4420-8103-D9FF8C7603ED}"/>
    <cellStyle name="Migliaia 44 3" xfId="455" xr:uid="{00000000-0005-0000-0000-000018040000}"/>
    <cellStyle name="Migliaia 44 3 10" xfId="25093" xr:uid="{9EBF86FF-5AB2-4840-84E6-46FA6E94A88A}"/>
    <cellStyle name="Migliaia 44 3 11" xfId="16606" xr:uid="{2A816D33-C4DF-4840-9606-1CE831ADF7B6}"/>
    <cellStyle name="Migliaia 44 3 12" xfId="7158" xr:uid="{5D19B05A-1A84-4AFD-9D28-E4B2E3EA8F0E}"/>
    <cellStyle name="Migliaia 44 3 2" xfId="456" xr:uid="{00000000-0005-0000-0000-000019040000}"/>
    <cellStyle name="Migliaia 44 3 2 2" xfId="1847" xr:uid="{00000000-0005-0000-0000-00001A040000}"/>
    <cellStyle name="Migliaia 44 3 2 2 2" xfId="5444" xr:uid="{861B8755-8FBD-4691-A486-819FA10B0846}"/>
    <cellStyle name="Migliaia 44 3 2 2 2 2" xfId="18477" xr:uid="{5B8761B7-5267-47DE-AA26-BAFD5E05928F}"/>
    <cellStyle name="Migliaia 44 3 2 2 2 2 2" xfId="21879" xr:uid="{AF14AB27-2FE2-41DC-8C70-6705686D7AC9}"/>
    <cellStyle name="Migliaia 44 3 2 2 2 2 2 2" xfId="39753" xr:uid="{3D50B70B-5C4E-4B44-AC36-2A107C391D18}"/>
    <cellStyle name="Migliaia 44 3 2 2 2 2 3" xfId="45055" xr:uid="{56936C79-BE41-4544-9155-AB91F9F9DF21}"/>
    <cellStyle name="Migliaia 44 3 2 2 2 2 4" xfId="34193" xr:uid="{33171C85-FF9E-4149-8962-05D04C9FC7B8}"/>
    <cellStyle name="Migliaia 44 3 2 2 2 3" xfId="37147" xr:uid="{68B731E0-1AEA-4CFB-83AA-A70A723A9753}"/>
    <cellStyle name="Migliaia 44 3 2 2 2 4" xfId="42404" xr:uid="{078152DB-0F8E-4AFD-AB61-A10AAAE0D630}"/>
    <cellStyle name="Migliaia 44 3 2 2 2 5" xfId="47212" xr:uid="{8BE1A9BE-D625-4978-BEEC-81217BE0B5AB}"/>
    <cellStyle name="Migliaia 44 3 2 2 2 6" xfId="50907" xr:uid="{358CC441-9133-4843-8972-4514233B40E6}"/>
    <cellStyle name="Migliaia 44 3 2 2 2 7" xfId="53923" xr:uid="{733EE611-4BC3-4252-B550-5BE2F28B873F}"/>
    <cellStyle name="Migliaia 44 3 2 2 2 8" xfId="17677" xr:uid="{F008281C-9CA1-4A74-9CB6-D5686DB5D943}"/>
    <cellStyle name="Migliaia 44 3 2 2 2 9" xfId="12039" xr:uid="{C4B968C2-D41A-48FE-A9B4-59C0CC3910A1}"/>
    <cellStyle name="Migliaia 44 3 2 2 3" xfId="6630" xr:uid="{917919BD-6B66-4E4E-960F-BA4F0384F55D}"/>
    <cellStyle name="Migliaia 44 3 2 2 3 2" xfId="11569" xr:uid="{015AD682-BAC4-4723-9DC2-6BAE02CCB901}"/>
    <cellStyle name="Migliaia 44 3 2 2 4" xfId="3718" xr:uid="{BD4F330B-D144-4029-9F78-9FF59D30185E}"/>
    <cellStyle name="Migliaia 44 3 2 2 4 2" xfId="21559" xr:uid="{2321D8FA-90E5-408E-B583-202BE6EA9AC0}"/>
    <cellStyle name="Migliaia 44 3 2 2 4 3" xfId="32469" xr:uid="{4F7E9DDA-1FF2-44EC-9274-0B6D105C071B}"/>
    <cellStyle name="Migliaia 44 3 2 2 4 4" xfId="50574" xr:uid="{FD9CB82D-9C48-4875-BB59-78E04C6E9343}"/>
    <cellStyle name="Migliaia 44 3 2 2 4 5" xfId="53590" xr:uid="{3E5B3F3B-437F-4C31-A7EA-2154E421816F}"/>
    <cellStyle name="Migliaia 44 3 2 2 4 6" xfId="10924" xr:uid="{E5CC1809-70B2-4502-BA9B-D90557BD16EE}"/>
    <cellStyle name="Migliaia 44 3 2 2 5" xfId="20695" xr:uid="{E8242429-45C3-4E6E-96B8-09F08D52B3F6}"/>
    <cellStyle name="Migliaia 44 3 2 2 6" xfId="25095" xr:uid="{0CC10331-3B18-4BB5-91B8-7ED461770DE8}"/>
    <cellStyle name="Migliaia 44 3 2 2 7" xfId="8711" xr:uid="{55021F92-B330-4639-8B6E-36DE043E8690}"/>
    <cellStyle name="Migliaia 44 3 2 3" xfId="5443" xr:uid="{B8E228EA-5609-41AA-8907-B20C07421AED}"/>
    <cellStyle name="Migliaia 44 3 2 3 2" xfId="12404" xr:uid="{C9A7FCAF-563C-4C60-961A-F8A19B978974}"/>
    <cellStyle name="Migliaia 44 3 2 3 2 2" xfId="39754" xr:uid="{1E54F82A-5930-4BAE-B8D1-F2F3032D2B83}"/>
    <cellStyle name="Migliaia 44 3 2 3 2 3" xfId="45056" xr:uid="{EBFC4D89-F5D6-4F3E-BBC4-B2E47908C455}"/>
    <cellStyle name="Migliaia 44 3 2 3 2 4" xfId="34194" xr:uid="{55BA28E6-10FF-49FD-9630-B5F8DA97DEAA}"/>
    <cellStyle name="Migliaia 44 3 2 3 3" xfId="12040" xr:uid="{1136854C-8AF9-4E65-94F5-20BC895521EE}"/>
    <cellStyle name="Migliaia 44 3 2 3 4" xfId="20696" xr:uid="{A92DA1FF-145C-42D3-A5ED-9A6D5B66F23F}"/>
    <cellStyle name="Migliaia 44 3 2 3 4 2" xfId="42405" xr:uid="{CD791D95-0D23-4841-874E-16D04451C30D}"/>
    <cellStyle name="Migliaia 44 3 2 3 5" xfId="16607" xr:uid="{325A3BC5-744B-4BD3-95C8-0E6AE0253CF8}"/>
    <cellStyle name="Migliaia 44 3 2 3 6" xfId="7977" xr:uid="{228FB0B2-5F8D-4608-9A5C-CA2A255BA5F0}"/>
    <cellStyle name="Migliaia 44 3 2 4" xfId="6629" xr:uid="{EA1D03E1-00CB-4E2E-A6F2-919D8CFF335F}"/>
    <cellStyle name="Migliaia 44 3 2 4 2" xfId="18095" xr:uid="{1C828EC4-793F-4E54-B0AC-30DE8C06B35E}"/>
    <cellStyle name="Migliaia 44 3 2 4 2 2" xfId="39755" xr:uid="{E1E82E91-CEBE-4E97-A6EC-A7A2159D42E0}"/>
    <cellStyle name="Migliaia 44 3 2 4 2 3" xfId="45057" xr:uid="{630ED773-CF2C-494B-85B3-C71AE30D8647}"/>
    <cellStyle name="Migliaia 44 3 2 4 3" xfId="37148" xr:uid="{C1FD4A05-FE0B-4FC0-9F8E-A4091DE5788A}"/>
    <cellStyle name="Migliaia 44 3 2 4 4" xfId="42406" xr:uid="{DA1CCEBB-F729-44C8-ACBB-1ACA182CC429}"/>
    <cellStyle name="Migliaia 44 3 2 4 5" xfId="17212" xr:uid="{054E3898-362B-485B-913B-7A1480C58CBD}"/>
    <cellStyle name="Migliaia 44 3 2 4 6" xfId="11388" xr:uid="{9A357FE5-6F67-4A72-B0C1-A30B1B10E1CA}"/>
    <cellStyle name="Migliaia 44 3 2 5" xfId="3717" xr:uid="{7B7C961D-9974-4584-88EE-6B3E88E9D2A2}"/>
    <cellStyle name="Migliaia 44 3 2 5 2" xfId="34195" xr:uid="{0D6B56D1-3C32-48BA-AA93-25E3A4D3DA86}"/>
    <cellStyle name="Migliaia 44 3 2 5 2 2" xfId="39756" xr:uid="{8948FEFB-C9D1-45DD-8153-1F24FD7B13DE}"/>
    <cellStyle name="Migliaia 44 3 2 5 2 3" xfId="45058" xr:uid="{4BB23E9A-4348-494D-AFDF-C21029D14F98}"/>
    <cellStyle name="Migliaia 44 3 2 5 3" xfId="37149" xr:uid="{F3601FBB-B351-4615-9720-D03730B6A1C3}"/>
    <cellStyle name="Migliaia 44 3 2 5 4" xfId="42407" xr:uid="{E5DCE5DA-5D16-45CC-99E1-D3EC6E82702B}"/>
    <cellStyle name="Migliaia 44 3 2 5 5" xfId="17312" xr:uid="{361550D7-F118-4FFC-BA67-C451C9033BDB}"/>
    <cellStyle name="Migliaia 44 3 2 6" xfId="20694" xr:uid="{061747CF-3EF1-40B8-81A0-9CE89A64A9D4}"/>
    <cellStyle name="Migliaia 44 3 2 6 2" xfId="34196" xr:uid="{AD43EDBF-06C8-495F-9995-2613540BE6FD}"/>
    <cellStyle name="Migliaia 44 3 2 6 2 2" xfId="39757" xr:uid="{4575AEE7-06D3-49CC-9564-7456AEB618F9}"/>
    <cellStyle name="Migliaia 44 3 2 6 2 3" xfId="45059" xr:uid="{89561864-2343-4B0E-A286-F72145FD13BA}"/>
    <cellStyle name="Migliaia 44 3 2 6 3" xfId="37150" xr:uid="{A283F890-49AF-4B01-85DB-343D74460320}"/>
    <cellStyle name="Migliaia 44 3 2 6 4" xfId="42408" xr:uid="{B345AA3C-A281-4779-AFEB-037126DD2509}"/>
    <cellStyle name="Migliaia 44 3 2 6 5" xfId="25096" xr:uid="{6911CC77-81B9-4FCC-B2D8-756CEB2BE785}"/>
    <cellStyle name="Migliaia 44 3 2 7" xfId="25094" xr:uid="{01C2E9EE-3A26-49F6-A571-4AE51AB32955}"/>
    <cellStyle name="Migliaia 44 3 2 8" xfId="7521" xr:uid="{DD04ADB4-4956-4EE9-B16E-2E056D4D9FD9}"/>
    <cellStyle name="Migliaia 44 3 3" xfId="3719" xr:uid="{6900DCB4-EF93-40FE-BE01-A4A35B96B411}"/>
    <cellStyle name="Migliaia 44 3 3 10" xfId="7520" xr:uid="{DC5C0DEF-2D1C-4018-B012-46119AC14704}"/>
    <cellStyle name="Migliaia 44 3 3 2" xfId="5445" xr:uid="{60ABB838-2A0B-4222-AE93-52A6170EF019}"/>
    <cellStyle name="Migliaia 44 3 3 2 2" xfId="9958" xr:uid="{FE8D5FE4-2FB8-4302-B617-23B3A55FFA82}"/>
    <cellStyle name="Migliaia 44 3 3 2 2 2" xfId="39759" xr:uid="{84071B29-E1FB-42C3-BC9F-B6C53B540EC2}"/>
    <cellStyle name="Migliaia 44 3 3 2 2 3" xfId="45061" xr:uid="{E75707D8-B60C-42FF-9396-F3DA5F37763D}"/>
    <cellStyle name="Migliaia 44 3 3 2 3" xfId="18238" xr:uid="{358C14C5-5785-45EA-819A-F417E98EFF5A}"/>
    <cellStyle name="Migliaia 44 3 3 2 4" xfId="20698" xr:uid="{E8C309C1-8331-4E8F-877C-656642B31E2B}"/>
    <cellStyle name="Migliaia 44 3 3 2 4 2" xfId="42410" xr:uid="{AFAB6AB7-C51C-4B72-94F3-05A6B1317B97}"/>
    <cellStyle name="Migliaia 44 3 3 2 5" xfId="16609" xr:uid="{5278E8F9-81FE-41F7-AEFD-63DCBC671E50}"/>
    <cellStyle name="Migliaia 44 3 3 2 6" xfId="8710" xr:uid="{2E7649A1-FD1B-40F8-AAA3-9466F73C8847}"/>
    <cellStyle name="Migliaia 44 3 3 3" xfId="6631" xr:uid="{2C2A44C1-2D90-4F7E-8C6B-F0C5948DC5B9}"/>
    <cellStyle name="Migliaia 44 3 3 3 2" xfId="34198" xr:uid="{29B94591-9AB1-4087-84EE-656348B3FE09}"/>
    <cellStyle name="Migliaia 44 3 3 3 2 2" xfId="39760" xr:uid="{A9200040-7E7A-426D-92CC-638B5BEAEE19}"/>
    <cellStyle name="Migliaia 44 3 3 3 2 3" xfId="45062" xr:uid="{CAC0975B-D9D1-4E24-9E4A-B28B5A63393B}"/>
    <cellStyle name="Migliaia 44 3 3 3 3" xfId="37152" xr:uid="{97530F50-0673-4D66-BD10-D5B98B91F8EA}"/>
    <cellStyle name="Migliaia 44 3 3 3 4" xfId="42411" xr:uid="{355EEB10-7E1F-4636-9A57-2BAFD5002BE6}"/>
    <cellStyle name="Migliaia 44 3 3 3 5" xfId="9721" xr:uid="{7BA15277-8182-4814-9F46-7249A16C88C5}"/>
    <cellStyle name="Migliaia 44 3 3 4" xfId="20697" xr:uid="{F6D09BE2-F517-4B9A-BDD8-D7D3A9F0489C}"/>
    <cellStyle name="Migliaia 44 3 3 4 2" xfId="34199" xr:uid="{AF67F587-3C30-4AD2-8D6E-E29EAD51CE34}"/>
    <cellStyle name="Migliaia 44 3 3 4 2 2" xfId="39761" xr:uid="{8BD06F36-FFA7-471A-95D2-75670B8C4A01}"/>
    <cellStyle name="Migliaia 44 3 3 4 2 3" xfId="45063" xr:uid="{332620E8-49CF-4B1F-8CAB-8791E58FBDAB}"/>
    <cellStyle name="Migliaia 44 3 3 4 3" xfId="37153" xr:uid="{F7970C24-5621-4E82-A70B-05ACA1D8DC5D}"/>
    <cellStyle name="Migliaia 44 3 3 4 4" xfId="42412" xr:uid="{9B0CEB22-78E5-4191-9F4C-5D0E54B83952}"/>
    <cellStyle name="Migliaia 44 3 3 4 5" xfId="25097" xr:uid="{BB14E425-C5A8-4CC0-AA18-62FF6380548F}"/>
    <cellStyle name="Migliaia 44 3 3 5" xfId="25098" xr:uid="{F0D8F215-A8F4-444E-91A0-156C60720D0D}"/>
    <cellStyle name="Migliaia 44 3 3 5 2" xfId="34200" xr:uid="{29C78F79-6AFA-49F8-BB13-29C0AD725EEF}"/>
    <cellStyle name="Migliaia 44 3 3 5 2 2" xfId="39762" xr:uid="{2D532BBE-92DB-4BD1-AAD4-87A786CB2F2A}"/>
    <cellStyle name="Migliaia 44 3 3 5 2 3" xfId="45064" xr:uid="{C19FB828-CF7C-476E-8F6E-5A932EC12DF7}"/>
    <cellStyle name="Migliaia 44 3 3 5 3" xfId="37154" xr:uid="{111687A4-3951-4CFE-B470-133520E7DD3C}"/>
    <cellStyle name="Migliaia 44 3 3 5 4" xfId="42413" xr:uid="{FDC8A997-AFB4-4B0B-AC67-406159030F78}"/>
    <cellStyle name="Migliaia 44 3 3 6" xfId="34197" xr:uid="{05479C39-857D-4006-9903-DE94D0794D40}"/>
    <cellStyle name="Migliaia 44 3 3 6 2" xfId="39758" xr:uid="{1F81EE7B-0C1B-479E-8E2E-BAE9554D5446}"/>
    <cellStyle name="Migliaia 44 3 3 6 3" xfId="45060" xr:uid="{3E7430DB-4C59-4C8A-A001-16F5A9B31AB2}"/>
    <cellStyle name="Migliaia 44 3 3 7" xfId="37151" xr:uid="{6903BEFE-A182-48F4-8C51-08405D06D680}"/>
    <cellStyle name="Migliaia 44 3 3 8" xfId="42409" xr:uid="{9E5767DB-CD3F-40CB-87AC-D784075D6598}"/>
    <cellStyle name="Migliaia 44 3 3 9" xfId="16608" xr:uid="{537A3BAE-7D70-4CDD-BB25-9FF7647C2BEF}"/>
    <cellStyle name="Migliaia 44 3 4" xfId="3720" xr:uid="{AF33F740-0144-403E-8DE8-9F5640CCEE60}"/>
    <cellStyle name="Migliaia 44 3 4 2" xfId="5446" xr:uid="{173D0A7A-6705-42BC-8CF2-4742FE979774}"/>
    <cellStyle name="Migliaia 44 3 4 2 2" xfId="14461" xr:uid="{A4DF7D1E-7FD4-4D68-A8DF-702EA5A65EC1}"/>
    <cellStyle name="Migliaia 44 3 4 2 3" xfId="18133" xr:uid="{64ACF327-6074-40EE-B3BA-D64CE1883201}"/>
    <cellStyle name="Migliaia 44 3 4 2 4" xfId="20700" xr:uid="{AA58EA23-DF28-4024-8011-80AFE78D7098}"/>
    <cellStyle name="Migliaia 44 3 4 2 5" xfId="32432" xr:uid="{475BDA86-DD9B-4A9D-AD2E-52CA515E4B19}"/>
    <cellStyle name="Migliaia 44 3 4 2 6" xfId="16611" xr:uid="{6100AAE0-4F78-4B29-A362-090705D8FFA8}"/>
    <cellStyle name="Migliaia 44 3 4 2 7" xfId="8884" xr:uid="{944BAD98-FD2A-4FF9-9571-2976991A4936}"/>
    <cellStyle name="Migliaia 44 3 4 3" xfId="6632" xr:uid="{72EB8694-7FEE-4D7B-AAF3-7D8B1BAC25BC}"/>
    <cellStyle name="Migliaia 44 3 4 3 2" xfId="35391" xr:uid="{12ACAD47-B94E-4285-A68E-397C3FE379FF}"/>
    <cellStyle name="Migliaia 44 3 4 3 2 2" xfId="40551" xr:uid="{07A75CC3-EF3A-48F5-BCDA-E8E2F6705B51}"/>
    <cellStyle name="Migliaia 44 3 4 3 2 3" xfId="45853" xr:uid="{575DEFC5-B06E-454C-B675-D25AED47226F}"/>
    <cellStyle name="Migliaia 44 3 4 3 3" xfId="37900" xr:uid="{2A74C8F5-43A6-44DC-94DF-202761129431}"/>
    <cellStyle name="Migliaia 44 3 4 3 4" xfId="43202" xr:uid="{942B5F2B-16DF-4BB9-A2F4-0C81F1C20535}"/>
    <cellStyle name="Migliaia 44 3 4 3 5" xfId="13709" xr:uid="{50E72A2F-953C-4308-A4A0-C4A33A78E5C0}"/>
    <cellStyle name="Migliaia 44 3 4 4" xfId="20699" xr:uid="{09606D36-F6D8-4F2B-92CB-D4649A144E3D}"/>
    <cellStyle name="Migliaia 44 3 4 4 2" xfId="39763" xr:uid="{5CF6B0A3-7195-4BAE-B80A-FF3491D2296A}"/>
    <cellStyle name="Migliaia 44 3 4 4 3" xfId="45065" xr:uid="{4EE2B89B-A882-4A77-AC11-114E43379586}"/>
    <cellStyle name="Migliaia 44 3 4 4 4" xfId="34201" xr:uid="{D57B0A9C-7349-4E3D-830A-84900E2350A8}"/>
    <cellStyle name="Migliaia 44 3 4 5" xfId="37155" xr:uid="{4335E90B-FE1F-4AED-BAFE-B842FAD11B1F}"/>
    <cellStyle name="Migliaia 44 3 4 6" xfId="42414" xr:uid="{361A997E-3E5B-4438-B1A4-C608DEBA49D7}"/>
    <cellStyle name="Migliaia 44 3 4 7" xfId="16610" xr:uid="{46664480-FAAC-4E1B-B73D-3322F4BE499A}"/>
    <cellStyle name="Migliaia 44 3 4 8" xfId="7694" xr:uid="{5FD6CB5D-C6C0-42E7-B366-CAEDE923D10C}"/>
    <cellStyle name="Migliaia 44 3 5" xfId="3721" xr:uid="{0B522378-E586-43EB-818D-2A491ADD29E9}"/>
    <cellStyle name="Migliaia 44 3 5 2" xfId="5447" xr:uid="{84000AE2-4D60-455E-9FE7-E5398ED7EE40}"/>
    <cellStyle name="Migliaia 44 3 5 2 2" xfId="35392" xr:uid="{B40FCCC0-7C13-4A58-9C7B-B19213FBAD7E}"/>
    <cellStyle name="Migliaia 44 3 5 2 2 2" xfId="40552" xr:uid="{AEDC7F82-6DB1-4541-8AA2-F37CE472EBFA}"/>
    <cellStyle name="Migliaia 44 3 5 2 2 3" xfId="45854" xr:uid="{734B6949-0F60-4D88-BEAE-505A62C163C8}"/>
    <cellStyle name="Migliaia 44 3 5 2 3" xfId="37901" xr:uid="{F79F5A23-0C35-46F8-871C-4F37E10FE7B4}"/>
    <cellStyle name="Migliaia 44 3 5 2 4" xfId="43203" xr:uid="{54AA181D-2BAA-4181-9EB2-A975F64C7DD8}"/>
    <cellStyle name="Migliaia 44 3 5 2 5" xfId="14295" xr:uid="{29CF4C3F-E8FE-441C-8851-29D89D4CEBE5}"/>
    <cellStyle name="Migliaia 44 3 5 3" xfId="6633" xr:uid="{AEA74206-CA55-40DB-B82C-46250188FAA6}"/>
    <cellStyle name="Migliaia 44 3 5 3 2" xfId="39764" xr:uid="{5678D900-2EB4-46FE-BF3B-F5FD0ADAFE01}"/>
    <cellStyle name="Migliaia 44 3 5 3 3" xfId="45066" xr:uid="{25899101-768C-4362-8633-18245B204DAF}"/>
    <cellStyle name="Migliaia 44 3 5 3 4" xfId="34202" xr:uid="{70DB9935-9FFA-4814-8C4A-4B8A3CE1E21C}"/>
    <cellStyle name="Migliaia 44 3 5 3 5" xfId="20701" xr:uid="{9A0F9F40-AE43-469F-BE98-35A40D3C341D}"/>
    <cellStyle name="Migliaia 44 3 5 4" xfId="37156" xr:uid="{C29B3F41-044B-47D6-8107-2ECADA207EEC}"/>
    <cellStyle name="Migliaia 44 3 5 5" xfId="42415" xr:uid="{DE1F5FA3-E79C-40A9-B86A-5F2177FC30C0}"/>
    <cellStyle name="Migliaia 44 3 5 6" xfId="16612" xr:uid="{98B9F411-6EB0-4493-BCDF-16B980B8B1AF}"/>
    <cellStyle name="Migliaia 44 3 5 7" xfId="8357" xr:uid="{0E7BB83C-E6D5-4031-B770-86C86DC48501}"/>
    <cellStyle name="Migliaia 44 3 6" xfId="5442" xr:uid="{3EEFC3D4-2C66-4584-8D4A-860EF4388484}"/>
    <cellStyle name="Migliaia 44 3 6 2" xfId="14000" xr:uid="{3E379953-BA96-4E81-A208-959496E8CF21}"/>
    <cellStyle name="Migliaia 44 3 6 2 2" xfId="39765" xr:uid="{1F8CABC8-CE63-4F4A-B94D-0A831CBBED8D}"/>
    <cellStyle name="Migliaia 44 3 6 2 3" xfId="45067" xr:uid="{A178D84F-4A04-4496-B04D-F895B8FE8329}"/>
    <cellStyle name="Migliaia 44 3 6 3" xfId="18290" xr:uid="{DFA0BFA5-3FB9-49B8-A2EC-6582CEF25699}"/>
    <cellStyle name="Migliaia 44 3 6 4" xfId="20702" xr:uid="{100DB960-6333-4EB6-99FF-3A030BB4758F}"/>
    <cellStyle name="Migliaia 44 3 6 4 2" xfId="42416" xr:uid="{355E7388-C344-4F30-9625-CAB25584D9E6}"/>
    <cellStyle name="Migliaia 44 3 6 5" xfId="16613" xr:uid="{EF25E997-7DF6-42B0-AAAB-F0D257721C8A}"/>
    <cellStyle name="Migliaia 44 3 6 6" xfId="7976" xr:uid="{866A2EF3-9A12-44AD-924D-B416DF1743F1}"/>
    <cellStyle name="Migliaia 44 3 7" xfId="6628" xr:uid="{55B4266E-D3C1-413C-9139-63CD568310AD}"/>
    <cellStyle name="Migliaia 44 3 7 2" xfId="34203" xr:uid="{BD21876C-3F8A-4B2C-8953-5FD735D10F0C}"/>
    <cellStyle name="Migliaia 44 3 7 2 2" xfId="39766" xr:uid="{39A78412-2AAC-450C-94B9-5699F747F83B}"/>
    <cellStyle name="Migliaia 44 3 7 2 3" xfId="45068" xr:uid="{568A4226-78D4-421A-88EA-4C9E769FDDDF}"/>
    <cellStyle name="Migliaia 44 3 7 3" xfId="37157" xr:uid="{4404E111-0D53-4E8A-802E-22ADD0EAC5E8}"/>
    <cellStyle name="Migliaia 44 3 7 4" xfId="42417" xr:uid="{7FEC17CB-DC28-418C-91D9-14008645EFC9}"/>
    <cellStyle name="Migliaia 44 3 7 5" xfId="11531" xr:uid="{25606D7E-4E2A-4AD9-B1B0-B89A57D0D5F3}"/>
    <cellStyle name="Migliaia 44 3 8" xfId="3716" xr:uid="{5EC787BA-4D6C-42C2-99E6-631453E03DE8}"/>
    <cellStyle name="Migliaia 44 3 8 2" xfId="34204" xr:uid="{B40A5357-340D-46C9-BFEE-375DB67C5442}"/>
    <cellStyle name="Migliaia 44 3 8 2 2" xfId="39767" xr:uid="{52ED2925-1961-4E11-A6EA-F1569C09C53F}"/>
    <cellStyle name="Migliaia 44 3 8 2 3" xfId="45069" xr:uid="{4D57276E-18BF-45A8-9852-2E03E66E268B}"/>
    <cellStyle name="Migliaia 44 3 8 3" xfId="37158" xr:uid="{726EA871-584C-4FAC-9F01-0D48D10D5D5C}"/>
    <cellStyle name="Migliaia 44 3 8 4" xfId="42418" xr:uid="{B0C898F8-22CF-4415-AC1A-FBB13446E96A}"/>
    <cellStyle name="Migliaia 44 3 8 5" xfId="25099" xr:uid="{1EDCF5FB-808F-421E-B23B-8B2FEE906CC2}"/>
    <cellStyle name="Migliaia 44 3 8 6" xfId="17313" xr:uid="{AE05D928-3506-47CE-A58D-C08F00E758DD}"/>
    <cellStyle name="Migliaia 44 3 9" xfId="20693" xr:uid="{4AB8EFAF-F417-4F78-A7FD-261A0AA7B14A}"/>
    <cellStyle name="Migliaia 44 4" xfId="1848" xr:uid="{00000000-0005-0000-0000-00001B040000}"/>
    <cellStyle name="Migliaia 44 4 2" xfId="1849" xr:uid="{00000000-0005-0000-0000-00001C040000}"/>
    <cellStyle name="Migliaia 44 4 2 2" xfId="5449" xr:uid="{8DD2AA22-2652-4242-BD9A-1F8296586DC6}"/>
    <cellStyle name="Migliaia 44 4 2 2 2" xfId="34205" xr:uid="{FE3FB68E-1436-44BA-9927-DC69C3FD8EE3}"/>
    <cellStyle name="Migliaia 44 4 2 2 2 2" xfId="39768" xr:uid="{03BFBE08-5DB5-4AA4-9E6F-957571FBAAE1}"/>
    <cellStyle name="Migliaia 44 4 2 2 2 3" xfId="45070" xr:uid="{6048DFDB-47BE-470E-8C4A-C32DBB01ECB6}"/>
    <cellStyle name="Migliaia 44 4 2 2 3" xfId="37159" xr:uid="{A5ECB326-65DC-4969-974F-4D9492D57C1A}"/>
    <cellStyle name="Migliaia 44 4 2 2 4" xfId="42419" xr:uid="{FD8C9492-5834-4C34-A38E-6B22C509D55A}"/>
    <cellStyle name="Migliaia 44 4 2 2 5" xfId="9184" xr:uid="{2677F580-784C-441C-A3AF-9307507E0519}"/>
    <cellStyle name="Migliaia 44 4 2 3" xfId="3723" xr:uid="{FDE08B28-0A17-43A8-B934-8F33F81E52E9}"/>
    <cellStyle name="Migliaia 44 4 2 3 2" xfId="34206" xr:uid="{505A79BD-C7A1-4AE6-BD9A-0F6D286F930D}"/>
    <cellStyle name="Migliaia 44 4 2 3 2 2" xfId="39769" xr:uid="{085B96AB-E2C8-4871-AB3E-AE90125E46E7}"/>
    <cellStyle name="Migliaia 44 4 2 3 2 3" xfId="45071" xr:uid="{0EDB73A1-E78B-40AC-864D-5D2B5B522C0C}"/>
    <cellStyle name="Migliaia 44 4 2 3 3" xfId="37160" xr:uid="{713616E1-4E9A-42FC-BF42-23B8826D1232}"/>
    <cellStyle name="Migliaia 44 4 2 3 4" xfId="42420" xr:uid="{6BC613D0-3644-47DE-9E3A-45BF36C7453B}"/>
    <cellStyle name="Migliaia 44 4 2 3 5" xfId="12041" xr:uid="{EA6993FD-D8DB-40F4-9E1E-743C549ED5B6}"/>
    <cellStyle name="Migliaia 44 4 2 4" xfId="11390" xr:uid="{4BD26477-30C2-4FBB-9C1E-E6AB2267B82D}"/>
    <cellStyle name="Migliaia 44 4 2 5" xfId="10926" xr:uid="{31D58768-C77A-4B47-82DB-1478056B22A8}"/>
    <cellStyle name="Migliaia 44 4 2 5 2" xfId="21561" xr:uid="{24FED794-7C0F-4227-8312-341358D8EF8A}"/>
    <cellStyle name="Migliaia 44 4 2 5 3" xfId="46649" xr:uid="{7BB45274-71D9-4C55-AB88-F11859EF1BB1}"/>
    <cellStyle name="Migliaia 44 4 2 5 4" xfId="50576" xr:uid="{20B441FD-702F-4F93-A8AE-D23639CCFA2A}"/>
    <cellStyle name="Migliaia 44 4 2 5 5" xfId="53592" xr:uid="{B427FDF6-2C25-48F4-B37F-A10FABA48208}"/>
    <cellStyle name="Migliaia 44 4 2 6" xfId="20704" xr:uid="{72494F94-6151-456A-B828-89B1D2ACD283}"/>
    <cellStyle name="Migliaia 44 4 2 7" xfId="25101" xr:uid="{65385FFB-AEF9-4F02-BC65-EE24E7949154}"/>
    <cellStyle name="Migliaia 44 4 2 8" xfId="8712" xr:uid="{0B6A4F7D-538D-4AB1-A793-0BCD011CEEE5}"/>
    <cellStyle name="Migliaia 44 4 3" xfId="5448" xr:uid="{927E3CEB-76A2-4C0F-8642-5F4F187E2C88}"/>
    <cellStyle name="Migliaia 44 4 3 2" xfId="18239" xr:uid="{20AD7DB2-7A43-4A7E-87D8-80E7E2ADA54C}"/>
    <cellStyle name="Migliaia 44 4 3 2 2" xfId="39770" xr:uid="{FC929D02-180C-482E-A0C7-BF720F283FD8}"/>
    <cellStyle name="Migliaia 44 4 3 2 3" xfId="45072" xr:uid="{2E3AE97A-1FF3-4597-AD8E-E31970BB58B0}"/>
    <cellStyle name="Migliaia 44 4 3 3" xfId="37161" xr:uid="{8BFC251F-49FC-4745-8F82-80A9C284FFAF}"/>
    <cellStyle name="Migliaia 44 4 3 4" xfId="42421" xr:uid="{ECD3EC9A-5109-42CA-BA76-3AED4FBCDA2B}"/>
    <cellStyle name="Migliaia 44 4 3 5" xfId="17311" xr:uid="{A5B7D536-EC07-4FA6-9866-D4671362AB8F}"/>
    <cellStyle name="Migliaia 44 4 3 6" xfId="9185" xr:uid="{4CBF72AB-A388-4BEB-B77C-D1F6FD112A66}"/>
    <cellStyle name="Migliaia 44 4 4" xfId="6634" xr:uid="{8FB85026-CE7E-4BB5-8FEA-AF23276BC979}"/>
    <cellStyle name="Migliaia 44 4 4 2" xfId="34207" xr:uid="{9665C257-262C-4FE3-BE77-C4B554247195}"/>
    <cellStyle name="Migliaia 44 4 4 2 2" xfId="39771" xr:uid="{D2607FA3-9D31-4FE7-A44F-E0936D357848}"/>
    <cellStyle name="Migliaia 44 4 4 2 3" xfId="45073" xr:uid="{F9F5BCB0-E4ED-44F3-9F0B-9758B3249C67}"/>
    <cellStyle name="Migliaia 44 4 4 3" xfId="37162" xr:uid="{05200463-51EA-49D0-9337-2980656F3FD7}"/>
    <cellStyle name="Migliaia 44 4 4 4" xfId="42422" xr:uid="{AB94BECC-D867-4023-8AD3-E41F264F5EE9}"/>
    <cellStyle name="Migliaia 44 4 4 5" xfId="12042" xr:uid="{EAF97073-B993-49AF-9945-CA4E0B1BF2DA}"/>
    <cellStyle name="Migliaia 44 4 5" xfId="3722" xr:uid="{59F3572B-9313-423A-A1AF-4B4018541B15}"/>
    <cellStyle name="Migliaia 44 4 5 2" xfId="34208" xr:uid="{C2C05EFE-F8D4-40F4-B2DC-382C811C8359}"/>
    <cellStyle name="Migliaia 44 4 5 2 2" xfId="39772" xr:uid="{9889FA51-76CC-4EA4-9178-6AE4EAC3344A}"/>
    <cellStyle name="Migliaia 44 4 5 2 3" xfId="45074" xr:uid="{A42D45D4-B381-4030-B27D-00DCC278E3FC}"/>
    <cellStyle name="Migliaia 44 4 5 3" xfId="37163" xr:uid="{1D34534B-9631-4754-91B4-128E5326A27C}"/>
    <cellStyle name="Migliaia 44 4 5 4" xfId="42423" xr:uid="{2F6BDE68-46CA-4875-A650-27B8F96DA1C8}"/>
    <cellStyle name="Migliaia 44 4 5 5" xfId="11389" xr:uid="{581FA83E-AFF5-48E0-95BA-D1ED41492DA8}"/>
    <cellStyle name="Migliaia 44 4 6" xfId="10925" xr:uid="{F2E1D25E-AA62-48B3-873C-9BB099E20FB6}"/>
    <cellStyle name="Migliaia 44 4 6 2" xfId="21560" xr:uid="{65A9F7D7-2D84-4502-9ACC-C28E909B1F79}"/>
    <cellStyle name="Migliaia 44 4 6 2 2" xfId="39773" xr:uid="{775FC090-EC8E-4EF6-9B23-17E951C1EDEF}"/>
    <cellStyle name="Migliaia 44 4 6 2 3" xfId="45075" xr:uid="{D5EAE920-7E4F-4D65-A492-D8B87007C6DB}"/>
    <cellStyle name="Migliaia 44 4 6 2 4" xfId="34209" xr:uid="{34875ECC-B65F-4CD6-A330-F92A85A6343A}"/>
    <cellStyle name="Migliaia 44 4 6 3" xfId="37164" xr:uid="{2F0CB3C0-5E51-487F-B2D5-059E29ADF9B2}"/>
    <cellStyle name="Migliaia 44 4 6 4" xfId="42424" xr:uid="{2CF355FF-8CA2-4B57-B1E5-9BF645719AA6}"/>
    <cellStyle name="Migliaia 44 4 6 5" xfId="25102" xr:uid="{F726B957-0F09-4E34-8E86-5BC079E5713E}"/>
    <cellStyle name="Migliaia 44 4 6 6" xfId="48265" xr:uid="{ADB060B3-E544-4E44-B7BD-E559F9248D9A}"/>
    <cellStyle name="Migliaia 44 4 6 7" xfId="50575" xr:uid="{B125ED72-C7CC-41AC-BCB8-550210E92FDE}"/>
    <cellStyle name="Migliaia 44 4 6 8" xfId="53591" xr:uid="{03D0DF0B-B9A8-42D6-9FA0-2F7466714028}"/>
    <cellStyle name="Migliaia 44 4 7" xfId="20703" xr:uid="{7CA85A8B-11E0-47C5-9167-DAB2B405E4D1}"/>
    <cellStyle name="Migliaia 44 4 7 2" xfId="34210" xr:uid="{C0EE8309-0F1C-4AD1-9C2C-8C1C945E6544}"/>
    <cellStyle name="Migliaia 44 4 7 2 2" xfId="39774" xr:uid="{5A6E74B2-E643-407C-90A9-E63278F69D05}"/>
    <cellStyle name="Migliaia 44 4 7 2 3" xfId="45076" xr:uid="{746597BC-B466-427F-9F4F-6B67A34B1AE3}"/>
    <cellStyle name="Migliaia 44 4 7 3" xfId="37165" xr:uid="{8440DFAB-106D-437C-99B4-953285C06F4A}"/>
    <cellStyle name="Migliaia 44 4 7 4" xfId="42425" xr:uid="{2F7A3132-01F3-428A-BD43-DE9421EC919D}"/>
    <cellStyle name="Migliaia 44 4 7 5" xfId="25103" xr:uid="{1333DCF3-CFCB-48E8-B983-03BAB33AA72B}"/>
    <cellStyle name="Migliaia 44 4 8" xfId="25100" xr:uid="{ADBF2E3A-4FB5-45AB-81F7-9554D546571B}"/>
    <cellStyle name="Migliaia 44 4 9" xfId="7522" xr:uid="{F2F93A9F-A1DC-4E4C-AF55-6F5920CD2129}"/>
    <cellStyle name="Migliaia 44 5" xfId="1850" xr:uid="{00000000-0005-0000-0000-00001D040000}"/>
    <cellStyle name="Migliaia 44 5 2" xfId="5450" xr:uid="{4E6E42EF-E27B-459B-B41A-9B4449054B5B}"/>
    <cellStyle name="Migliaia 44 5 2 2" xfId="18478" xr:uid="{7A1AFB66-F85C-4364-A031-112A588DD996}"/>
    <cellStyle name="Migliaia 44 5 2 2 2" xfId="39775" xr:uid="{2175ECD3-383B-4D11-883C-BCAE6A675328}"/>
    <cellStyle name="Migliaia 44 5 2 2 3" xfId="45077" xr:uid="{D4210010-CE8A-4BA0-8305-D1F92818E71F}"/>
    <cellStyle name="Migliaia 44 5 2 3" xfId="20706" xr:uid="{694CAF9C-C412-42D2-AA74-025C3448FEA7}"/>
    <cellStyle name="Migliaia 44 5 2 3 2" xfId="37166" xr:uid="{CE300E90-9A6C-445A-8B80-07CE29DFBD38}"/>
    <cellStyle name="Migliaia 44 5 2 4" xfId="42426" xr:uid="{79992522-403A-4BFC-872D-E7BD588E5160}"/>
    <cellStyle name="Migliaia 44 5 2 5" xfId="16614" xr:uid="{0B6BA713-A1A0-403E-B02A-9E6564952FA4}"/>
    <cellStyle name="Migliaia 44 5 2 6" xfId="8713" xr:uid="{DECBF57D-E45E-403F-8699-31CEF86F4C0D}"/>
    <cellStyle name="Migliaia 44 5 3" xfId="6635" xr:uid="{22BB5BC8-F2A8-4609-A595-51234E78F983}"/>
    <cellStyle name="Migliaia 44 5 3 2" xfId="34211" xr:uid="{A977745A-1609-4864-AF5F-A05866A44717}"/>
    <cellStyle name="Migliaia 44 5 3 2 2" xfId="39776" xr:uid="{EF7EC22C-AB3E-4F47-9B8E-47FE0CE7DF64}"/>
    <cellStyle name="Migliaia 44 5 3 2 3" xfId="45078" xr:uid="{3D05E8EA-E843-481C-9172-6984D9A2FBA6}"/>
    <cellStyle name="Migliaia 44 5 3 3" xfId="37167" xr:uid="{97A88EC7-67AD-4981-8E7E-4C47563BD10D}"/>
    <cellStyle name="Migliaia 44 5 3 4" xfId="42427" xr:uid="{18C626EF-EE18-4739-ACC7-17475D54A451}"/>
    <cellStyle name="Migliaia 44 5 3 5" xfId="11391" xr:uid="{A7E7D77A-3C1B-4C52-89B4-3EB83D5CFEBE}"/>
    <cellStyle name="Migliaia 44 5 4" xfId="3724" xr:uid="{B1B9CAE4-A201-40C2-AFD1-274C107521F9}"/>
    <cellStyle name="Migliaia 44 5 4 2" xfId="21562" xr:uid="{37746872-E93F-4360-9299-3A828A39EAA8}"/>
    <cellStyle name="Migliaia 44 5 4 2 2" xfId="39777" xr:uid="{2F033F72-5647-488B-8377-193CC1AEE448}"/>
    <cellStyle name="Migliaia 44 5 4 2 3" xfId="45079" xr:uid="{F8991CFE-DED0-45FC-9A60-9E6E435D58E4}"/>
    <cellStyle name="Migliaia 44 5 4 2 4" xfId="34212" xr:uid="{3FEEED97-07DC-4963-B865-F006579AF0F0}"/>
    <cellStyle name="Migliaia 44 5 4 3" xfId="37168" xr:uid="{76862522-164D-4991-842D-C447791B0832}"/>
    <cellStyle name="Migliaia 44 5 4 4" xfId="42428" xr:uid="{73300D37-B649-456A-AD7C-1E8D207D04C2}"/>
    <cellStyle name="Migliaia 44 5 4 5" xfId="25106" xr:uid="{8579DAC7-34D3-48FE-B088-0945FEB3E467}"/>
    <cellStyle name="Migliaia 44 5 4 6" xfId="47144" xr:uid="{E04C95D9-66B7-42AC-98BE-C396DE564BC3}"/>
    <cellStyle name="Migliaia 44 5 4 7" xfId="50577" xr:uid="{C3B863F9-6BEA-4EDE-8F13-FDD8612E54CA}"/>
    <cellStyle name="Migliaia 44 5 4 8" xfId="53593" xr:uid="{83E82749-3A77-43C7-94DB-CB44B41C8CC5}"/>
    <cellStyle name="Migliaia 44 5 4 9" xfId="10927" xr:uid="{FE06348E-4502-417B-9A08-AA343CDAA203}"/>
    <cellStyle name="Migliaia 44 5 5" xfId="20705" xr:uid="{C28E810E-0973-4059-9C30-F7B07D383AD1}"/>
    <cellStyle name="Migliaia 44 5 5 2" xfId="34213" xr:uid="{54278351-DF2C-41D5-A0C8-901ACFE3F21C}"/>
    <cellStyle name="Migliaia 44 5 5 2 2" xfId="39778" xr:uid="{90BB5106-C184-4E11-8494-2FC11049B34F}"/>
    <cellStyle name="Migliaia 44 5 5 2 3" xfId="45080" xr:uid="{80EB85CD-4309-459B-A956-AB8AB12791C0}"/>
    <cellStyle name="Migliaia 44 5 5 3" xfId="37169" xr:uid="{1A2916C2-FBA7-4250-9DE2-CF8AF7526543}"/>
    <cellStyle name="Migliaia 44 5 5 4" xfId="42429" xr:uid="{9F15883F-747D-4658-959F-562BEE87155F}"/>
    <cellStyle name="Migliaia 44 5 5 5" xfId="25107" xr:uid="{93EBC265-331B-4CE8-97EF-210C7502B73B}"/>
    <cellStyle name="Migliaia 44 5 6" xfId="25108" xr:uid="{53AF20FC-3B2C-4F32-83D4-CA2D0E8CA2AB}"/>
    <cellStyle name="Migliaia 44 5 6 2" xfId="34214" xr:uid="{FDD68640-8EE7-4AA5-8238-D7DE177F7295}"/>
    <cellStyle name="Migliaia 44 5 6 2 2" xfId="39779" xr:uid="{B4701F5E-5E3F-49D2-8F0F-E7A9BFD1B6C7}"/>
    <cellStyle name="Migliaia 44 5 6 2 3" xfId="45081" xr:uid="{67036E29-0A02-4DF1-B847-9C26757CCD24}"/>
    <cellStyle name="Migliaia 44 5 6 3" xfId="37170" xr:uid="{10E74408-7940-4117-AF17-B8E71A94DE0F}"/>
    <cellStyle name="Migliaia 44 5 6 4" xfId="42430" xr:uid="{80C83B32-368A-4619-AC3E-7B6839C1872D}"/>
    <cellStyle name="Migliaia 44 5 7" xfId="25104" xr:uid="{6C0FC56C-1D4E-4369-BF9A-2F4738FF729A}"/>
    <cellStyle name="Migliaia 44 5 8" xfId="7523" xr:uid="{5AE19133-2A6A-4836-A1F0-2FF68BC94F65}"/>
    <cellStyle name="Migliaia 44 6" xfId="3725" xr:uid="{CF324E23-EDE7-4354-9AEB-A0CEC7FDF5B6}"/>
    <cellStyle name="Migliaia 44 6 2" xfId="5451" xr:uid="{4DB200AB-90A7-46BD-BA97-66E0989B388C}"/>
    <cellStyle name="Migliaia 44 6 2 2" xfId="9957" xr:uid="{487BB87C-C853-4B76-A8FB-282A9675EF8D}"/>
    <cellStyle name="Migliaia 44 6 2 3" xfId="18642" xr:uid="{728B8EE7-B157-4CD9-A002-531F9446FF78}"/>
    <cellStyle name="Migliaia 44 6 2 4" xfId="20708" xr:uid="{CB749558-0E4E-4826-A645-7017EB013495}"/>
    <cellStyle name="Migliaia 44 6 2 5" xfId="32433" xr:uid="{451BC901-4BE0-4F0B-A275-EC2E77C76025}"/>
    <cellStyle name="Migliaia 44 6 2 6" xfId="16616" xr:uid="{558F8D16-2B69-45FB-B791-7A6AA0F082A9}"/>
    <cellStyle name="Migliaia 44 6 2 7" xfId="8708" xr:uid="{41FC712F-140B-4FEE-98C0-FAA7D9FA5792}"/>
    <cellStyle name="Migliaia 44 6 3" xfId="6636" xr:uid="{E26374A9-8151-4087-88CF-21E30ADADF34}"/>
    <cellStyle name="Migliaia 44 6 3 2" xfId="35393" xr:uid="{BFFC31B7-2D03-4570-8C1D-9A61E56EF4D2}"/>
    <cellStyle name="Migliaia 44 6 3 2 2" xfId="40553" xr:uid="{822684EF-B8B8-483B-AD0B-5C7D9FFB0698}"/>
    <cellStyle name="Migliaia 44 6 3 2 3" xfId="45855" xr:uid="{A6737DC9-FEA6-4405-996C-365F9589661D}"/>
    <cellStyle name="Migliaia 44 6 3 3" xfId="37902" xr:uid="{F74A463A-239C-4CC7-A8F7-BB6EBC65EB2A}"/>
    <cellStyle name="Migliaia 44 6 3 4" xfId="43204" xr:uid="{78F52D41-61EB-4638-9669-84D451626749}"/>
    <cellStyle name="Migliaia 44 6 3 5" xfId="9720" xr:uid="{7907CBFF-FB45-4462-9F0F-27392BCA9535}"/>
    <cellStyle name="Migliaia 44 6 4" xfId="20707" xr:uid="{BC8EF088-9DB7-4881-BA52-1C25373D2D87}"/>
    <cellStyle name="Migliaia 44 6 4 2" xfId="39780" xr:uid="{2A195C70-6783-410E-ACAE-89DC90CFE612}"/>
    <cellStyle name="Migliaia 44 6 4 3" xfId="45082" xr:uid="{2300E7E5-04C2-4E1F-8E59-14B9EF50D04A}"/>
    <cellStyle name="Migliaia 44 6 4 4" xfId="34215" xr:uid="{0D5F5EC0-C84B-4127-BE1F-5283224FD488}"/>
    <cellStyle name="Migliaia 44 6 5" xfId="37171" xr:uid="{713C1E22-542F-45B4-BAA7-95B10A5AE682}"/>
    <cellStyle name="Migliaia 44 6 6" xfId="42431" xr:uid="{8F11D115-D676-4465-B411-1F88C3DF56AF}"/>
    <cellStyle name="Migliaia 44 6 7" xfId="16615" xr:uid="{809628F2-F373-4689-BE05-1232ECAC4C1C}"/>
    <cellStyle name="Migliaia 44 6 8" xfId="7518" xr:uid="{4392AC52-7483-4BD5-8924-EF5168E4380C}"/>
    <cellStyle name="Migliaia 44 7" xfId="3726" xr:uid="{14D4DD88-180E-4CD7-B583-DD33A3BFB54F}"/>
    <cellStyle name="Migliaia 44 7 2" xfId="5452" xr:uid="{F5C7DC81-4AA8-4935-A67C-701B272661B8}"/>
    <cellStyle name="Migliaia 44 7 2 2" xfId="35394" xr:uid="{361E4FFE-B302-44EF-B771-5ADC11EF8CD3}"/>
    <cellStyle name="Migliaia 44 7 2 2 2" xfId="40554" xr:uid="{146A8E0B-2D5E-46A4-AD04-AA11AE14FEF4}"/>
    <cellStyle name="Migliaia 44 7 2 2 3" xfId="45856" xr:uid="{32F9A35C-8AE1-456B-B646-2B4452FB565B}"/>
    <cellStyle name="Migliaia 44 7 2 3" xfId="37903" xr:uid="{849B5FC1-6354-4BEC-A58A-B74A27D65396}"/>
    <cellStyle name="Migliaia 44 7 2 4" xfId="43205" xr:uid="{4DC36DBA-0468-4386-95B9-1687F49A61CB}"/>
    <cellStyle name="Migliaia 44 7 2 5" xfId="14293" xr:uid="{AC03A435-D745-4FB7-AE42-B4A394420738}"/>
    <cellStyle name="Migliaia 44 7 3" xfId="6637" xr:uid="{F3C72B20-1445-4CC3-87A4-28E5E62066B0}"/>
    <cellStyle name="Migliaia 44 7 3 2" xfId="39781" xr:uid="{FC272549-1DD4-4825-96E3-A27F49E10FDC}"/>
    <cellStyle name="Migliaia 44 7 3 3" xfId="45083" xr:uid="{E4678D1D-213C-4E16-B36E-12FFC22FB450}"/>
    <cellStyle name="Migliaia 44 7 3 4" xfId="34216" xr:uid="{F5CE154C-3C28-4104-93EB-E188AFBF5E7B}"/>
    <cellStyle name="Migliaia 44 7 3 5" xfId="20709" xr:uid="{D3567147-4D8D-4703-86AD-06A37C6626A0}"/>
    <cellStyle name="Migliaia 44 7 4" xfId="37172" xr:uid="{CD2D7DB7-C675-4D01-B3BA-94E69147463F}"/>
    <cellStyle name="Migliaia 44 7 5" xfId="42432" xr:uid="{EEB9800A-3359-4D91-8F41-7BD4E804B203}"/>
    <cellStyle name="Migliaia 44 7 6" xfId="16617" xr:uid="{58298541-006D-43AD-9F8A-37762B149C2B}"/>
    <cellStyle name="Migliaia 44 7 7" xfId="8355" xr:uid="{4091219D-BE11-4F79-AB09-73F26F239575}"/>
    <cellStyle name="Migliaia 44 8" xfId="3727" xr:uid="{5E796974-C4BC-46FB-91D4-D41B3BB4EF58}"/>
    <cellStyle name="Migliaia 44 8 2" xfId="5453" xr:uid="{89D24175-CFDB-474D-AE7A-AED0EFF4A9C7}"/>
    <cellStyle name="Migliaia 44 8 2 2" xfId="35395" xr:uid="{88F5ACA7-08C5-4E81-A3C6-684D3C9F62BB}"/>
    <cellStyle name="Migliaia 44 8 2 2 2" xfId="40555" xr:uid="{AF633EFE-4219-48D7-AB70-89079FE53A20}"/>
    <cellStyle name="Migliaia 44 8 2 2 3" xfId="45857" xr:uid="{0C738855-409D-42D2-ACF6-61819E3B854E}"/>
    <cellStyle name="Migliaia 44 8 2 3" xfId="37904" xr:uid="{ADEDCA4F-1D5E-4CD4-BA75-F5C6AB07392B}"/>
    <cellStyle name="Migliaia 44 8 2 4" xfId="43206" xr:uid="{99D9B21C-780C-411A-A97D-59AD7E0DC944}"/>
    <cellStyle name="Migliaia 44 8 2 5" xfId="13998" xr:uid="{283935A5-892A-4825-B158-AFD5173C0170}"/>
    <cellStyle name="Migliaia 44 8 3" xfId="6638" xr:uid="{72EB42BE-18CE-4E08-816E-BE04A1D72D2C}"/>
    <cellStyle name="Migliaia 44 8 3 2" xfId="39782" xr:uid="{1E9982F9-CEEE-4EA3-822B-1CFAA9A1B122}"/>
    <cellStyle name="Migliaia 44 8 3 3" xfId="45084" xr:uid="{DFECC3E8-C503-4BD3-B784-0634D57F2945}"/>
    <cellStyle name="Migliaia 44 8 3 4" xfId="34217" xr:uid="{CD611326-C62D-4AC2-B36D-69D0F0BB6B20}"/>
    <cellStyle name="Migliaia 44 8 3 5" xfId="20710" xr:uid="{1006290D-DB25-4691-9F5D-C4B3B7C1C0CB}"/>
    <cellStyle name="Migliaia 44 8 4" xfId="37173" xr:uid="{AC75CC8A-13F7-4FB9-AB47-5E51ABD03A0C}"/>
    <cellStyle name="Migliaia 44 8 5" xfId="42433" xr:uid="{DC6901EC-D55D-4EE8-9C1F-6AA43893F89F}"/>
    <cellStyle name="Migliaia 44 8 6" xfId="16618" xr:uid="{266F34E5-4F0C-485D-A473-DA00D21046B5}"/>
    <cellStyle name="Migliaia 44 8 7" xfId="7974" xr:uid="{BF7754CF-A331-4911-8805-46C009290C5A}"/>
    <cellStyle name="Migliaia 44 9" xfId="5438" xr:uid="{4E77F5C1-8DAE-4B56-90A3-1C629B13C55F}"/>
    <cellStyle name="Migliaia 44 9 2" xfId="34218" xr:uid="{84FC19BA-1CB9-4008-B249-76B2ECB5F9B5}"/>
    <cellStyle name="Migliaia 44 9 2 2" xfId="39783" xr:uid="{D3546828-6B42-4595-B141-78E173E4B878}"/>
    <cellStyle name="Migliaia 44 9 2 3" xfId="45085" xr:uid="{626068B7-E48E-445F-BAEC-F60742F1FEAD}"/>
    <cellStyle name="Migliaia 44 9 3" xfId="37174" xr:uid="{330E2C1D-03F3-4517-A8CD-CFEA04B61558}"/>
    <cellStyle name="Migliaia 44 9 4" xfId="42434" xr:uid="{E7197999-D648-4F39-B417-1F2416EBABB9}"/>
    <cellStyle name="Migliaia 44 9 5" xfId="17211" xr:uid="{ADBC7CDF-294A-4863-9B01-53E7C9C570AB}"/>
    <cellStyle name="Migliaia 45" xfId="457" xr:uid="{00000000-0005-0000-0000-00001E040000}"/>
    <cellStyle name="Migliaia 45 10" xfId="6639" xr:uid="{CB4C5E9D-DB0B-402A-B61B-58D73708FDC3}"/>
    <cellStyle name="Migliaia 45 10 2" xfId="39784" xr:uid="{66CDC3D7-5918-4513-82B7-D4B88208F41A}"/>
    <cellStyle name="Migliaia 45 10 3" xfId="45086" xr:uid="{82DF6D56-1180-40AE-91E8-7F20DD24BBF5}"/>
    <cellStyle name="Migliaia 45 10 4" xfId="34219" xr:uid="{6E3F5C12-D477-45F2-BD74-A3423AD2E33A}"/>
    <cellStyle name="Migliaia 45 10 5" xfId="20711" xr:uid="{3DE811A1-6F37-4AC4-9064-94012F863504}"/>
    <cellStyle name="Migliaia 45 11" xfId="3728" xr:uid="{360FA787-C808-4CDB-954B-1A945C46AE26}"/>
    <cellStyle name="Migliaia 45 11 2" xfId="37175" xr:uid="{559D9D8C-4A1C-4DC1-91B5-2EFF08F71A75}"/>
    <cellStyle name="Migliaia 45 12" xfId="42435" xr:uid="{BB01DEC1-90B4-4626-8642-B25B201F63BC}"/>
    <cellStyle name="Migliaia 45 13" xfId="7159" xr:uid="{91A7E6B3-9DE8-48B3-85E1-C7DF8E14C32D}"/>
    <cellStyle name="Migliaia 45 2" xfId="458" xr:uid="{00000000-0005-0000-0000-00001F040000}"/>
    <cellStyle name="Migliaia 45 2 2" xfId="1851" xr:uid="{00000000-0005-0000-0000-000020040000}"/>
    <cellStyle name="Migliaia 45 2 2 2" xfId="5456" xr:uid="{88F7DDCA-EF5E-4A07-ABBC-3E9667C945B8}"/>
    <cellStyle name="Migliaia 45 2 2 2 2" xfId="14402" xr:uid="{7B7BB0D5-D698-4C07-8D2C-98BD39B1D7E4}"/>
    <cellStyle name="Migliaia 45 2 2 2 2 2" xfId="39785" xr:uid="{2EC8EB29-4B25-40EC-810A-7D18C6883EBC}"/>
    <cellStyle name="Migliaia 45 2 2 2 2 3" xfId="45087" xr:uid="{62A9A0E0-F95E-4C11-8044-76672D8ACBD7}"/>
    <cellStyle name="Migliaia 45 2 2 2 3" xfId="18479" xr:uid="{D23C11FD-FFD6-487A-8447-F461D0D2D640}"/>
    <cellStyle name="Migliaia 45 2 2 2 4" xfId="20714" xr:uid="{7A00DDB7-19C9-4E92-9506-89198520033E}"/>
    <cellStyle name="Migliaia 45 2 2 2 4 2" xfId="42436" xr:uid="{59DA8315-34EB-4C6F-9820-CB79BA1FCAD0}"/>
    <cellStyle name="Migliaia 45 2 2 2 5" xfId="16619" xr:uid="{43E534D8-ABD6-4DE5-A6C5-DF3908E19937}"/>
    <cellStyle name="Migliaia 45 2 2 2 6" xfId="8715" xr:uid="{EF2B23CC-CC8E-4EF0-A50C-07C1A3D4A53F}"/>
    <cellStyle name="Migliaia 45 2 2 3" xfId="6641" xr:uid="{910B35A0-D794-4DF7-8ADE-42D25A6AE7E8}"/>
    <cellStyle name="Migliaia 45 2 2 3 2" xfId="35396" xr:uid="{98FA80E6-38D6-4AB2-B88E-1FDFFF03DDC4}"/>
    <cellStyle name="Migliaia 45 2 2 3 2 2" xfId="40556" xr:uid="{1B0F17BB-C4BF-47E1-91AD-F22C4AE9D07C}"/>
    <cellStyle name="Migliaia 45 2 2 3 2 3" xfId="45858" xr:uid="{C33653E0-A198-4B26-AEB2-AAD2371A792B}"/>
    <cellStyle name="Migliaia 45 2 2 3 3" xfId="37905" xr:uid="{7DB8AA02-5D1D-416B-B31E-47524DB46140}"/>
    <cellStyle name="Migliaia 45 2 2 3 4" xfId="43207" xr:uid="{04408EC0-DC71-432A-977E-58673072D0C8}"/>
    <cellStyle name="Migliaia 45 2 2 3 5" xfId="11629" xr:uid="{B61F0270-85CD-4C9A-A3A7-CAE377BD8FCC}"/>
    <cellStyle name="Migliaia 45 2 2 4" xfId="3730" xr:uid="{86429CD3-D532-47BF-B58E-E1C62B77B5CE}"/>
    <cellStyle name="Migliaia 45 2 2 4 2" xfId="21563" xr:uid="{E80CC313-B42B-4DEF-A0BB-8C9626B0142B}"/>
    <cellStyle name="Migliaia 45 2 2 4 3" xfId="47856" xr:uid="{08A37D9B-427E-417E-8F97-E65295640573}"/>
    <cellStyle name="Migliaia 45 2 2 4 4" xfId="50578" xr:uid="{5F3CEE38-1047-4955-BAC3-0BC65C5E3FD6}"/>
    <cellStyle name="Migliaia 45 2 2 4 5" xfId="53594" xr:uid="{299F0FEB-EEEC-4C8A-AF17-8D3695741770}"/>
    <cellStyle name="Migliaia 45 2 2 4 6" xfId="10928" xr:uid="{D91CB6CC-8C0C-467E-982F-CD83E08EE83B}"/>
    <cellStyle name="Migliaia 45 2 2 5" xfId="20713" xr:uid="{372433FE-1BAE-409E-AE18-9CB7E91810B0}"/>
    <cellStyle name="Migliaia 45 2 2 6" xfId="25112" xr:uid="{91092F69-25A9-4BDD-B645-DB957F0195D3}"/>
    <cellStyle name="Migliaia 45 2 2 7" xfId="7525" xr:uid="{AB3D5AD9-7298-4743-A651-29E8010E0643}"/>
    <cellStyle name="Migliaia 45 2 3" xfId="3731" xr:uid="{6A8FC345-B4E5-4724-B61F-ED1BC940140B}"/>
    <cellStyle name="Migliaia 45 2 3 2" xfId="5457" xr:uid="{7EEE3B49-ED0F-4137-904D-DA37DA464E60}"/>
    <cellStyle name="Migliaia 45 2 3 2 2" xfId="35397" xr:uid="{DB83C961-55B1-4152-AFD7-B0693B459539}"/>
    <cellStyle name="Migliaia 45 2 3 2 2 2" xfId="40557" xr:uid="{CA2672BA-36B3-4D10-8F81-B168D3A05E2B}"/>
    <cellStyle name="Migliaia 45 2 3 2 2 3" xfId="45859" xr:uid="{E6037EFC-5D93-4FBE-8126-616711CF5749}"/>
    <cellStyle name="Migliaia 45 2 3 2 3" xfId="37906" xr:uid="{344B88A5-15F7-4FD5-B378-5DC133731939}"/>
    <cellStyle name="Migliaia 45 2 3 2 4" xfId="43208" xr:uid="{DED0BF62-CF63-4B76-9BEC-92273C0B4EAA}"/>
    <cellStyle name="Migliaia 45 2 3 2 5" xfId="14297" xr:uid="{A48DB99A-5974-4621-8025-7D35F10D9C22}"/>
    <cellStyle name="Migliaia 45 2 3 3" xfId="6642" xr:uid="{22B73B88-3A39-4166-B7EB-FF9993985D73}"/>
    <cellStyle name="Migliaia 45 2 3 3 2" xfId="39786" xr:uid="{F98E0055-2E94-40D7-9E12-22399950BEF8}"/>
    <cellStyle name="Migliaia 45 2 3 3 3" xfId="45088" xr:uid="{89F31F87-77F9-48FA-AC82-B9AFAAE91333}"/>
    <cellStyle name="Migliaia 45 2 3 3 4" xfId="34220" xr:uid="{C3953363-4B42-49AC-A46F-DBFC4F8CF9A3}"/>
    <cellStyle name="Migliaia 45 2 3 3 5" xfId="20715" xr:uid="{9ED77180-2063-4F70-8267-0AB42E3C3E04}"/>
    <cellStyle name="Migliaia 45 2 3 4" xfId="37177" xr:uid="{6C3D5455-FA1B-455D-B39E-FC9C63BDC34C}"/>
    <cellStyle name="Migliaia 45 2 3 5" xfId="42437" xr:uid="{95CD7692-3A11-49FE-8780-62CEDA5EBED6}"/>
    <cellStyle name="Migliaia 45 2 3 6" xfId="16620" xr:uid="{755C988A-DA55-4EA4-AC3A-FC30D7B1AED4}"/>
    <cellStyle name="Migliaia 45 2 3 7" xfId="8359" xr:uid="{23EC7A05-E422-4D04-AC8D-F49C18F70514}"/>
    <cellStyle name="Migliaia 45 2 4" xfId="5455" xr:uid="{C2416A9B-8DB7-4782-9264-1681D1062B36}"/>
    <cellStyle name="Migliaia 45 2 4 2" xfId="14002" xr:uid="{F72DC0DB-E00C-4137-A977-2CC298DBC4E0}"/>
    <cellStyle name="Migliaia 45 2 4 2 2" xfId="39787" xr:uid="{F17479EC-E972-4135-AB51-B78719B9EBE2}"/>
    <cellStyle name="Migliaia 45 2 4 2 3" xfId="45089" xr:uid="{5B526D6B-B386-462C-BF59-62AB28567290}"/>
    <cellStyle name="Migliaia 45 2 4 3" xfId="18024" xr:uid="{B80F02A4-CD4A-4880-9BB2-42F55D00CF46}"/>
    <cellStyle name="Migliaia 45 2 4 4" xfId="20716" xr:uid="{9E59E0E0-CB64-4BB7-95BA-7787BD5ACF2A}"/>
    <cellStyle name="Migliaia 45 2 4 4 2" xfId="42438" xr:uid="{DDF35E80-F8D0-4FFE-9E60-9E457B4A741E}"/>
    <cellStyle name="Migliaia 45 2 4 5" xfId="16621" xr:uid="{D56B3BBD-9F30-431C-8FC9-24EEE02AD483}"/>
    <cellStyle name="Migliaia 45 2 4 6" xfId="7979" xr:uid="{A8371B9A-3648-407F-81D2-F7272A200F30}"/>
    <cellStyle name="Migliaia 45 2 5" xfId="6640" xr:uid="{D59A5B6D-17E7-4CD8-96BA-08E86CFD4FEE}"/>
    <cellStyle name="Migliaia 45 2 5 2" xfId="34222" xr:uid="{7D597830-64E4-4DCD-9C6B-10428804D113}"/>
    <cellStyle name="Migliaia 45 2 5 2 2" xfId="39788" xr:uid="{90DE4638-FAC2-4D3C-8807-534666921BAE}"/>
    <cellStyle name="Migliaia 45 2 5 2 3" xfId="45090" xr:uid="{C886D7F1-DAD6-469C-85FB-CDB7955D6EA7}"/>
    <cellStyle name="Migliaia 45 2 5 3" xfId="37179" xr:uid="{7283F7B7-1CD5-417A-8A65-C9B57C9DF177}"/>
    <cellStyle name="Migliaia 45 2 5 4" xfId="42439" xr:uid="{4C804A67-818E-4BCF-9722-346B2723230F}"/>
    <cellStyle name="Migliaia 45 2 5 5" xfId="13142" xr:uid="{91F989F4-F70F-4920-90B5-12B984558B3A}"/>
    <cellStyle name="Migliaia 45 2 6" xfId="3729" xr:uid="{27D1F830-6362-4398-BF56-F877B072F498}"/>
    <cellStyle name="Migliaia 45 2 6 2" xfId="34223" xr:uid="{2950634D-A99B-45E9-AA5C-8C1640F1BCF7}"/>
    <cellStyle name="Migliaia 45 2 6 2 2" xfId="39789" xr:uid="{6DBE2081-7069-4A33-BD04-104C986563AE}"/>
    <cellStyle name="Migliaia 45 2 6 2 3" xfId="45091" xr:uid="{8885DC2E-F1BA-4B3A-9A73-EC48BD2AADF0}"/>
    <cellStyle name="Migliaia 45 2 6 3" xfId="37180" xr:uid="{EEB8E7D0-087A-4BE7-8F95-FAAA9E91D300}"/>
    <cellStyle name="Migliaia 45 2 6 4" xfId="42440" xr:uid="{BA4E6575-0DBC-4A4A-8F73-7856DF3B46F0}"/>
    <cellStyle name="Migliaia 45 2 6 5" xfId="25114" xr:uid="{0599041C-4D9D-4C50-8398-1397B34DF8CC}"/>
    <cellStyle name="Migliaia 45 2 6 6" xfId="20712" xr:uid="{5F54EC99-A227-4EC2-9153-67E74155D96B}"/>
    <cellStyle name="Migliaia 45 2 7" xfId="25111" xr:uid="{A60F0CAF-4A1C-4A7B-A197-92914179D0AA}"/>
    <cellStyle name="Migliaia 45 2 8" xfId="7160" xr:uid="{A47486D4-8A5C-40F7-B192-109EC2AE0F71}"/>
    <cellStyle name="Migliaia 45 3" xfId="459" xr:uid="{00000000-0005-0000-0000-000021040000}"/>
    <cellStyle name="Migliaia 45 3 10" xfId="25115" xr:uid="{7C0BD1EA-64B8-4D15-A2C7-0803045A551D}"/>
    <cellStyle name="Migliaia 45 3 11" xfId="16622" xr:uid="{95FCEDDF-65B1-4E32-B8CF-930214F119E8}"/>
    <cellStyle name="Migliaia 45 3 12" xfId="7161" xr:uid="{B6929698-D8AA-4E31-8174-8B2F93B464F2}"/>
    <cellStyle name="Migliaia 45 3 2" xfId="460" xr:uid="{00000000-0005-0000-0000-000022040000}"/>
    <cellStyle name="Migliaia 45 3 2 2" xfId="1852" xr:uid="{00000000-0005-0000-0000-000023040000}"/>
    <cellStyle name="Migliaia 45 3 2 2 2" xfId="5460" xr:uid="{BE2C701F-5550-42E7-B73F-C491CBAA30AE}"/>
    <cellStyle name="Migliaia 45 3 2 2 2 2" xfId="18480" xr:uid="{50502FD0-F02F-4405-B28C-F2EA65B580B7}"/>
    <cellStyle name="Migliaia 45 3 2 2 2 2 2" xfId="21880" xr:uid="{E7974282-DD09-4E10-ACED-533771A24D40}"/>
    <cellStyle name="Migliaia 45 3 2 2 2 2 2 2" xfId="39790" xr:uid="{028789F2-62E8-4102-BB87-8CD8065DF1C2}"/>
    <cellStyle name="Migliaia 45 3 2 2 2 2 3" xfId="45092" xr:uid="{00B05A83-BC02-4DA8-8A64-5797A565CD74}"/>
    <cellStyle name="Migliaia 45 3 2 2 2 2 4" xfId="34224" xr:uid="{1B9F9302-C23B-4CA7-89FB-1B0B5F5794CB}"/>
    <cellStyle name="Migliaia 45 3 2 2 2 3" xfId="37181" xr:uid="{B5580A1D-41BA-487B-B66B-9BAC594C33C8}"/>
    <cellStyle name="Migliaia 45 3 2 2 2 4" xfId="42441" xr:uid="{EA5866DB-5ED2-47D6-81B7-E359CB35044C}"/>
    <cellStyle name="Migliaia 45 3 2 2 2 5" xfId="47085" xr:uid="{AFCC765B-D9C4-4A22-95E6-99DB935D410D}"/>
    <cellStyle name="Migliaia 45 3 2 2 2 6" xfId="50908" xr:uid="{5840C98F-597B-408E-83DC-0CED955E6BBA}"/>
    <cellStyle name="Migliaia 45 3 2 2 2 7" xfId="53924" xr:uid="{438F0080-E747-4DE3-9DBF-3D1ED0583B7E}"/>
    <cellStyle name="Migliaia 45 3 2 2 2 8" xfId="17678" xr:uid="{4AF6FA34-60D9-4D5F-AE1F-AED4743662FA}"/>
    <cellStyle name="Migliaia 45 3 2 2 2 9" xfId="12043" xr:uid="{D41A1B06-E962-4377-AA48-9E56F6C09381}"/>
    <cellStyle name="Migliaia 45 3 2 2 3" xfId="6645" xr:uid="{B8EA651F-A8BC-400B-AC3D-30C5207B9EEE}"/>
    <cellStyle name="Migliaia 45 3 2 2 3 2" xfId="11570" xr:uid="{99250ABB-B485-4342-A92B-9CC83921D700}"/>
    <cellStyle name="Migliaia 45 3 2 2 4" xfId="3734" xr:uid="{747CD7D9-9F0A-48CA-AC5D-23795C1AFE49}"/>
    <cellStyle name="Migliaia 45 3 2 2 4 2" xfId="21564" xr:uid="{BE4D146A-BC87-48F9-A978-74357400179D}"/>
    <cellStyle name="Migliaia 45 3 2 2 4 3" xfId="47959" xr:uid="{E47726BC-9637-49A3-9409-DDEB510CA5B5}"/>
    <cellStyle name="Migliaia 45 3 2 2 4 4" xfId="50579" xr:uid="{67C6772C-C730-4136-84E9-4D5F04954D48}"/>
    <cellStyle name="Migliaia 45 3 2 2 4 5" xfId="53595" xr:uid="{70F96E7E-ECB9-43FF-AAA3-39CB23008A12}"/>
    <cellStyle name="Migliaia 45 3 2 2 4 6" xfId="10929" xr:uid="{EBD16809-388D-4585-8C05-46CA0DA7B7FA}"/>
    <cellStyle name="Migliaia 45 3 2 2 5" xfId="20719" xr:uid="{14DF95D7-10B4-462C-9C9E-2DB4B83098EE}"/>
    <cellStyle name="Migliaia 45 3 2 2 6" xfId="25117" xr:uid="{8760939D-FF77-49E2-86D2-1F7CCFFEF491}"/>
    <cellStyle name="Migliaia 45 3 2 2 7" xfId="8717" xr:uid="{1FADDA78-CAA7-4754-8BED-8CBFBF06C14E}"/>
    <cellStyle name="Migliaia 45 3 2 3" xfId="5459" xr:uid="{A766F0A4-BECE-447A-A59E-ABD5E4B7942A}"/>
    <cellStyle name="Migliaia 45 3 2 3 2" xfId="12403" xr:uid="{94DADAEF-9723-4A98-A861-BCFB9AD43910}"/>
    <cellStyle name="Migliaia 45 3 2 3 2 2" xfId="39791" xr:uid="{FA147434-5B72-4BD0-89A1-58F609398B76}"/>
    <cellStyle name="Migliaia 45 3 2 3 2 3" xfId="45093" xr:uid="{FFEF7BCA-FB70-4436-9006-0014F4D5C954}"/>
    <cellStyle name="Migliaia 45 3 2 3 2 4" xfId="34225" xr:uid="{F9C59EBA-182A-4BEB-82D0-6A18C7A08A4E}"/>
    <cellStyle name="Migliaia 45 3 2 3 3" xfId="12044" xr:uid="{637A2C40-8AA5-40F0-A5F4-1FD7EC1195B7}"/>
    <cellStyle name="Migliaia 45 3 2 3 4" xfId="20720" xr:uid="{EB863725-0092-4CE2-BDA3-EAE48C86AD09}"/>
    <cellStyle name="Migliaia 45 3 2 3 4 2" xfId="42442" xr:uid="{34EFACB2-2B7A-4669-8ACC-4E5B0203A8DE}"/>
    <cellStyle name="Migliaia 45 3 2 3 5" xfId="16623" xr:uid="{2AF31D6F-8EAB-46D1-8DF1-EF25C708B5A2}"/>
    <cellStyle name="Migliaia 45 3 2 3 6" xfId="7981" xr:uid="{9C77BEA7-1656-44A9-986B-25E35B46D707}"/>
    <cellStyle name="Migliaia 45 3 2 4" xfId="6644" xr:uid="{DFCC49E6-783B-4FF8-94DA-29C6F0094B2B}"/>
    <cellStyle name="Migliaia 45 3 2 4 2" xfId="18096" xr:uid="{675D3225-EF35-401B-9F48-D86E72037866}"/>
    <cellStyle name="Migliaia 45 3 2 4 2 2" xfId="39792" xr:uid="{677C5FE3-997D-48C8-8B56-A2B8EE49A411}"/>
    <cellStyle name="Migliaia 45 3 2 4 2 3" xfId="45094" xr:uid="{C16550D2-DAB3-489F-BA4F-4DE651C09DB4}"/>
    <cellStyle name="Migliaia 45 3 2 4 3" xfId="37183" xr:uid="{956DE352-2D6E-459B-A501-B6D8DAF064E0}"/>
    <cellStyle name="Migliaia 45 3 2 4 4" xfId="42443" xr:uid="{12C6C9A5-772A-4944-BDE8-E5491FC6BA8E}"/>
    <cellStyle name="Migliaia 45 3 2 4 5" xfId="17214" xr:uid="{95540FE3-DC7A-4073-9CBB-8FDFE37C8063}"/>
    <cellStyle name="Migliaia 45 3 2 4 6" xfId="11392" xr:uid="{A6ED6001-FEDE-43A0-85A6-A38BAE5F3940}"/>
    <cellStyle name="Migliaia 45 3 2 5" xfId="3733" xr:uid="{8F2C7B16-3A2E-4CC8-8E0A-D1F03CEB7E30}"/>
    <cellStyle name="Migliaia 45 3 2 5 2" xfId="34226" xr:uid="{BD865915-67B4-47A1-87E7-EED370C70361}"/>
    <cellStyle name="Migliaia 45 3 2 5 2 2" xfId="39793" xr:uid="{CD5EC84E-199E-4237-8FFC-5A60B422338B}"/>
    <cellStyle name="Migliaia 45 3 2 5 2 3" xfId="45095" xr:uid="{A982714C-0330-403C-B971-403E24E534F0}"/>
    <cellStyle name="Migliaia 45 3 2 5 3" xfId="37184" xr:uid="{FA8B1FD2-938D-4606-BADE-6E55ADCC80E8}"/>
    <cellStyle name="Migliaia 45 3 2 5 4" xfId="42444" xr:uid="{45479597-B476-4503-B950-14BD13F2AD06}"/>
    <cellStyle name="Migliaia 45 3 2 5 5" xfId="17309" xr:uid="{D5431EA5-6D96-4EB3-B89A-A2187CAC599E}"/>
    <cellStyle name="Migliaia 45 3 2 6" xfId="20718" xr:uid="{2C07C621-B629-4150-AF21-FB2F1ACD43CE}"/>
    <cellStyle name="Migliaia 45 3 2 6 2" xfId="34227" xr:uid="{4D50E917-6BB8-46AC-8FC6-1E1767D0958D}"/>
    <cellStyle name="Migliaia 45 3 2 6 2 2" xfId="39794" xr:uid="{88EC071B-3313-418B-BE4F-A728D1361C9A}"/>
    <cellStyle name="Migliaia 45 3 2 6 2 3" xfId="45096" xr:uid="{732E0E18-D6F6-40E1-B676-E08CF5128C0C}"/>
    <cellStyle name="Migliaia 45 3 2 6 3" xfId="37185" xr:uid="{BDFE6CF7-57E0-4ED8-9010-8EE3DC639FBC}"/>
    <cellStyle name="Migliaia 45 3 2 6 4" xfId="42445" xr:uid="{8C94AA93-7FA7-4EA3-90DA-89C926B27823}"/>
    <cellStyle name="Migliaia 45 3 2 6 5" xfId="25120" xr:uid="{C844152D-5A23-4521-BDDE-FF9D22C735F4}"/>
    <cellStyle name="Migliaia 45 3 2 7" xfId="25116" xr:uid="{C9E3B218-F3BC-4C2B-857B-104E0A6045F7}"/>
    <cellStyle name="Migliaia 45 3 2 8" xfId="7527" xr:uid="{EE6DA81A-8722-4504-B4AB-886D949F2706}"/>
    <cellStyle name="Migliaia 45 3 3" xfId="3735" xr:uid="{87AB3AED-A4E9-4E5B-B820-C06F19DC3C20}"/>
    <cellStyle name="Migliaia 45 3 3 10" xfId="7526" xr:uid="{C3A8D475-EC34-4C9A-8B72-A2F8F46E13EB}"/>
    <cellStyle name="Migliaia 45 3 3 2" xfId="5461" xr:uid="{BE2787CE-5D37-4F48-BF6E-6A3F2FA3B8C7}"/>
    <cellStyle name="Migliaia 45 3 3 2 2" xfId="9960" xr:uid="{370D1BA4-91A5-49EE-806E-06C82B7F49B5}"/>
    <cellStyle name="Migliaia 45 3 3 2 2 2" xfId="39796" xr:uid="{1E36631D-7A8D-4653-812E-693E70877CAD}"/>
    <cellStyle name="Migliaia 45 3 3 2 2 3" xfId="45098" xr:uid="{25004DCE-2130-4765-83B3-BA223757ED12}"/>
    <cellStyle name="Migliaia 45 3 3 2 3" xfId="18240" xr:uid="{1B2A1D8D-357F-4397-B690-58A23B753C91}"/>
    <cellStyle name="Migliaia 45 3 3 2 4" xfId="20722" xr:uid="{527F6B9E-CD44-4F50-AFBE-D0FD321A6701}"/>
    <cellStyle name="Migliaia 45 3 3 2 4 2" xfId="42447" xr:uid="{C8DB6842-5EB0-4F33-9CE4-296140E5E289}"/>
    <cellStyle name="Migliaia 45 3 3 2 5" xfId="16625" xr:uid="{AFBD6098-2DB4-454C-BC24-F520093E31C1}"/>
    <cellStyle name="Migliaia 45 3 3 2 6" xfId="8716" xr:uid="{43DDEFDC-EDB1-4DB6-ADFF-845AA479F2E9}"/>
    <cellStyle name="Migliaia 45 3 3 3" xfId="6646" xr:uid="{B02DDF3B-00CC-4AC4-89C8-881B11D9C2EA}"/>
    <cellStyle name="Migliaia 45 3 3 3 2" xfId="34230" xr:uid="{D506240B-4182-40C1-8D60-521C3B7EC536}"/>
    <cellStyle name="Migliaia 45 3 3 3 2 2" xfId="39797" xr:uid="{B48FF1CA-423F-45F9-8979-3EDE3EC7FF6C}"/>
    <cellStyle name="Migliaia 45 3 3 3 2 3" xfId="45099" xr:uid="{1CD7F514-5C69-4396-853A-71B23A622061}"/>
    <cellStyle name="Migliaia 45 3 3 3 3" xfId="37188" xr:uid="{4036BA9C-1D3C-4499-B72A-F96EDC35D993}"/>
    <cellStyle name="Migliaia 45 3 3 3 4" xfId="42448" xr:uid="{62EDE648-8CD7-45D9-9FA3-75158CC442CF}"/>
    <cellStyle name="Migliaia 45 3 3 3 5" xfId="9723" xr:uid="{29EE7561-AEF8-451B-95A0-1F0EC79D1108}"/>
    <cellStyle name="Migliaia 45 3 3 4" xfId="20721" xr:uid="{220CEF73-65B9-4926-8433-BB17EE2A5DB1}"/>
    <cellStyle name="Migliaia 45 3 3 4 2" xfId="34231" xr:uid="{1C0FC007-6358-4FF9-8E5A-C8912B1A44C5}"/>
    <cellStyle name="Migliaia 45 3 3 4 2 2" xfId="39798" xr:uid="{E4E761C2-3D7B-42EE-9619-1108B806A28D}"/>
    <cellStyle name="Migliaia 45 3 3 4 2 3" xfId="45100" xr:uid="{A1793CD0-3EBD-46D7-9C1D-9B37CB2E3FCE}"/>
    <cellStyle name="Migliaia 45 3 3 4 3" xfId="37189" xr:uid="{B3AC9461-F74D-427B-8E48-2A75F2AA96D7}"/>
    <cellStyle name="Migliaia 45 3 3 4 4" xfId="42449" xr:uid="{183D56B0-14C8-4D39-A038-61C7C6611B72}"/>
    <cellStyle name="Migliaia 45 3 3 4 5" xfId="25121" xr:uid="{D22ECC61-323D-47A7-A26F-E590DCCF7322}"/>
    <cellStyle name="Migliaia 45 3 3 5" xfId="25122" xr:uid="{17AC6C59-B62D-4519-8327-C06EE0BE1AC6}"/>
    <cellStyle name="Migliaia 45 3 3 5 2" xfId="34232" xr:uid="{2CCC7965-98D0-41E0-B759-8111F0475038}"/>
    <cellStyle name="Migliaia 45 3 3 5 2 2" xfId="39799" xr:uid="{CE40BB23-3F9A-4922-93DA-B306D0F01005}"/>
    <cellStyle name="Migliaia 45 3 3 5 2 3" xfId="45101" xr:uid="{595A97F4-BA19-4AA8-A0A5-D4ADB0DEFD89}"/>
    <cellStyle name="Migliaia 45 3 3 5 3" xfId="37190" xr:uid="{C227CAF4-532A-4744-ABED-62E20761185B}"/>
    <cellStyle name="Migliaia 45 3 3 5 4" xfId="42450" xr:uid="{B2E646E1-D116-47DB-BD33-EA91D1180400}"/>
    <cellStyle name="Migliaia 45 3 3 6" xfId="34228" xr:uid="{1CCA2A4A-EAF0-4D14-AC40-893D980DDF98}"/>
    <cellStyle name="Migliaia 45 3 3 6 2" xfId="39795" xr:uid="{CB95168F-B420-4781-87C1-8BD5EEF128AB}"/>
    <cellStyle name="Migliaia 45 3 3 6 3" xfId="45097" xr:uid="{88AF4CE3-0680-4A76-BCC9-D3816B7ADDCE}"/>
    <cellStyle name="Migliaia 45 3 3 7" xfId="37186" xr:uid="{A4D690D1-66E7-43CE-A794-787AEF26B2AF}"/>
    <cellStyle name="Migliaia 45 3 3 8" xfId="42446" xr:uid="{A5AFAEE1-1654-4AF9-BEB4-B0A11B2C3DF6}"/>
    <cellStyle name="Migliaia 45 3 3 9" xfId="16624" xr:uid="{93F7703D-87DE-401D-ADCA-D9167170E828}"/>
    <cellStyle name="Migliaia 45 3 4" xfId="3736" xr:uid="{C0D1102E-0BD9-4CE7-9214-A63F183C73DD}"/>
    <cellStyle name="Migliaia 45 3 4 2" xfId="5462" xr:uid="{67491AEB-0A8E-4CAC-B321-FE81104E4818}"/>
    <cellStyle name="Migliaia 45 3 4 2 2" xfId="14462" xr:uid="{07A70A63-9CE1-450C-8482-542396D692F5}"/>
    <cellStyle name="Migliaia 45 3 4 2 3" xfId="18579" xr:uid="{CF2D1954-54F6-44E8-AAB6-167232A8FF1D}"/>
    <cellStyle name="Migliaia 45 3 4 2 4" xfId="20724" xr:uid="{3A8C5123-E8B6-4252-A10E-E3C67BE00FBE}"/>
    <cellStyle name="Migliaia 45 3 4 2 5" xfId="32435" xr:uid="{E6B9A436-5E31-4599-96A1-B80B28E4F37C}"/>
    <cellStyle name="Migliaia 45 3 4 2 6" xfId="16627" xr:uid="{F7469200-191A-4AE0-8B5A-A933F4974C66}"/>
    <cellStyle name="Migliaia 45 3 4 2 7" xfId="8885" xr:uid="{9B504185-4EF7-4547-B561-75B7BF979D58}"/>
    <cellStyle name="Migliaia 45 3 4 3" xfId="6647" xr:uid="{FF84C7C2-1871-447F-82B4-CADC2FF2D9CC}"/>
    <cellStyle name="Migliaia 45 3 4 3 2" xfId="35398" xr:uid="{4A0546EB-8DD4-42BA-9BD4-025677F7515A}"/>
    <cellStyle name="Migliaia 45 3 4 3 2 2" xfId="40558" xr:uid="{54C191E3-AF16-402E-8619-F0BCBA036867}"/>
    <cellStyle name="Migliaia 45 3 4 3 2 3" xfId="45860" xr:uid="{3ECA2AC2-3135-490F-A75D-FEBCE9D0A33B}"/>
    <cellStyle name="Migliaia 45 3 4 3 3" xfId="37907" xr:uid="{4E846CE6-8551-4E18-8AC9-2AC339803851}"/>
    <cellStyle name="Migliaia 45 3 4 3 4" xfId="43209" xr:uid="{2DC1DA25-6AD2-497C-BA2D-07ACD26AEF08}"/>
    <cellStyle name="Migliaia 45 3 4 3 5" xfId="13710" xr:uid="{09FD28DC-2A05-4EB2-9007-2807D9B8CF32}"/>
    <cellStyle name="Migliaia 45 3 4 4" xfId="20723" xr:uid="{80A2AD85-1A95-483F-8BB9-636672214D05}"/>
    <cellStyle name="Migliaia 45 3 4 4 2" xfId="39800" xr:uid="{8FDBE668-837D-4B0F-9219-2D7CCE3BA6E6}"/>
    <cellStyle name="Migliaia 45 3 4 4 3" xfId="45102" xr:uid="{C9074BF0-46E8-42B3-BB2F-D94CE449842A}"/>
    <cellStyle name="Migliaia 45 3 4 4 4" xfId="34233" xr:uid="{9403D04B-7108-4AC9-8221-C04F370F2AC1}"/>
    <cellStyle name="Migliaia 45 3 4 5" xfId="37191" xr:uid="{9FE0DB7D-7594-4E54-9C21-FC0FBF926DFD}"/>
    <cellStyle name="Migliaia 45 3 4 6" xfId="42451" xr:uid="{087AC798-F38D-45FA-8E04-3431665DB04D}"/>
    <cellStyle name="Migliaia 45 3 4 7" xfId="16626" xr:uid="{C6DBFE85-BCB9-44D8-B2FA-157526ACC819}"/>
    <cellStyle name="Migliaia 45 3 4 8" xfId="7695" xr:uid="{7740A718-6D75-4A15-9265-FB71B1F6901F}"/>
    <cellStyle name="Migliaia 45 3 5" xfId="3737" xr:uid="{8DCC063F-A2FC-4C0B-A9EE-9A42D165D1A7}"/>
    <cellStyle name="Migliaia 45 3 5 2" xfId="5463" xr:uid="{2E9A93E2-1CD2-4A38-B17B-4D42818A8DF9}"/>
    <cellStyle name="Migliaia 45 3 5 2 2" xfId="35399" xr:uid="{11E4E4C9-39D4-497F-B04A-2647AA65E566}"/>
    <cellStyle name="Migliaia 45 3 5 2 2 2" xfId="40559" xr:uid="{F13970E0-54DF-4A5F-9912-DFF877B5E2D7}"/>
    <cellStyle name="Migliaia 45 3 5 2 2 3" xfId="45861" xr:uid="{13481850-DACC-4F8B-9D4B-38E86BA86B65}"/>
    <cellStyle name="Migliaia 45 3 5 2 3" xfId="37908" xr:uid="{6EAE9652-58B3-4EE7-BDD1-F3055BAD608A}"/>
    <cellStyle name="Migliaia 45 3 5 2 4" xfId="43210" xr:uid="{E5405B0B-297D-455F-A6A1-4B5ED33759F3}"/>
    <cellStyle name="Migliaia 45 3 5 2 5" xfId="14298" xr:uid="{A696BB32-C558-4A0D-B1D2-B7A781A64A2E}"/>
    <cellStyle name="Migliaia 45 3 5 3" xfId="6648" xr:uid="{986F262D-8A60-48A5-8FF9-35A6173712D1}"/>
    <cellStyle name="Migliaia 45 3 5 3 2" xfId="39801" xr:uid="{E04CEBE5-0BDD-443A-BB74-69B29B11981E}"/>
    <cellStyle name="Migliaia 45 3 5 3 3" xfId="45103" xr:uid="{EB04BDEE-3328-4D86-AD5F-FAB64598D4EA}"/>
    <cellStyle name="Migliaia 45 3 5 3 4" xfId="34234" xr:uid="{15F6D9FB-542C-4785-980C-D1231BA9CB67}"/>
    <cellStyle name="Migliaia 45 3 5 3 5" xfId="20725" xr:uid="{44337DCD-1872-4B5B-BAEC-45400155B04B}"/>
    <cellStyle name="Migliaia 45 3 5 4" xfId="37192" xr:uid="{E5A441FC-180A-4FBA-8183-6B85F1C9B150}"/>
    <cellStyle name="Migliaia 45 3 5 5" xfId="42452" xr:uid="{90EDA9A5-7FCC-4AA3-ACAC-4C89340A100C}"/>
    <cellStyle name="Migliaia 45 3 5 6" xfId="16628" xr:uid="{C92159C3-D759-4B42-9BFE-8B50A7D11C69}"/>
    <cellStyle name="Migliaia 45 3 5 7" xfId="8360" xr:uid="{D0FCD5A2-C945-4F85-973B-5E1C55D46A3E}"/>
    <cellStyle name="Migliaia 45 3 6" xfId="5458" xr:uid="{E17BC920-A66D-4798-8763-18F7574402A1}"/>
    <cellStyle name="Migliaia 45 3 6 2" xfId="14003" xr:uid="{6021065D-7D9C-4620-B2B2-582AA8C28810}"/>
    <cellStyle name="Migliaia 45 3 6 2 2" xfId="39802" xr:uid="{45ECA847-875F-4918-8D91-1453B6BFB5C9}"/>
    <cellStyle name="Migliaia 45 3 6 2 3" xfId="45104" xr:uid="{ADDD94E0-456C-4678-8EBE-7B30525D8431}"/>
    <cellStyle name="Migliaia 45 3 6 3" xfId="18291" xr:uid="{D3BC4769-B187-4CB5-9EED-486164EA856C}"/>
    <cellStyle name="Migliaia 45 3 6 4" xfId="20726" xr:uid="{06739DEE-2482-4D2A-BC3C-683344AC9DE5}"/>
    <cellStyle name="Migliaia 45 3 6 4 2" xfId="42453" xr:uid="{E5D380B8-45FD-4477-9096-01FB562C3CF6}"/>
    <cellStyle name="Migliaia 45 3 6 5" xfId="16629" xr:uid="{F2200DE4-4047-4F5D-BAC7-C993A4F3D046}"/>
    <cellStyle name="Migliaia 45 3 6 6" xfId="7980" xr:uid="{2CE726F2-1110-4472-A5B8-252F9686163B}"/>
    <cellStyle name="Migliaia 45 3 7" xfId="6643" xr:uid="{EDCFE344-C2AD-4359-8EA1-DD7858ED757D}"/>
    <cellStyle name="Migliaia 45 3 7 2" xfId="34236" xr:uid="{A97D94E5-3560-459B-B368-199F0881643A}"/>
    <cellStyle name="Migliaia 45 3 7 2 2" xfId="39803" xr:uid="{A7AFB845-FC90-4BF2-A723-B0568AFA8175}"/>
    <cellStyle name="Migliaia 45 3 7 2 3" xfId="45105" xr:uid="{01109F6C-6B6F-456F-BE98-91665EDC0A8B}"/>
    <cellStyle name="Migliaia 45 3 7 3" xfId="37194" xr:uid="{3051F8B2-CAE1-43BC-B2B5-9425BE32336B}"/>
    <cellStyle name="Migliaia 45 3 7 4" xfId="42454" xr:uid="{9E062EB0-D5E1-438C-8C5E-FF225FDE2DCD}"/>
    <cellStyle name="Migliaia 45 3 7 5" xfId="11518" xr:uid="{44AED69B-5CA7-43C5-A9B1-0FC4A5649A0B}"/>
    <cellStyle name="Migliaia 45 3 8" xfId="3732" xr:uid="{3ABBACF6-F343-4BE6-8D60-6B581AED1DA7}"/>
    <cellStyle name="Migliaia 45 3 8 2" xfId="34237" xr:uid="{86D220F4-7689-4FA7-A447-718831632FAD}"/>
    <cellStyle name="Migliaia 45 3 8 2 2" xfId="39804" xr:uid="{365BF8C8-1C69-4413-B005-CE7EEFDAF94B}"/>
    <cellStyle name="Migliaia 45 3 8 2 3" xfId="45106" xr:uid="{D9981C0E-260B-4F1D-8D0E-EFEB5E6374B7}"/>
    <cellStyle name="Migliaia 45 3 8 3" xfId="37195" xr:uid="{A7A6D12F-876C-4AA3-B2CD-4C3371EDAE9C}"/>
    <cellStyle name="Migliaia 45 3 8 4" xfId="42455" xr:uid="{6CFB2E0F-2522-40F7-9BCD-95347DAFF07B}"/>
    <cellStyle name="Migliaia 45 3 8 5" xfId="25126" xr:uid="{2C9CF865-45F8-440C-AAD7-648039249D3C}"/>
    <cellStyle name="Migliaia 45 3 8 6" xfId="17310" xr:uid="{2BB9AE42-8220-47A9-81E7-BD455D6E6052}"/>
    <cellStyle name="Migliaia 45 3 9" xfId="20717" xr:uid="{2EC4ADD8-6F2B-43DB-A984-951F5636CA73}"/>
    <cellStyle name="Migliaia 45 4" xfId="1853" xr:uid="{00000000-0005-0000-0000-000024040000}"/>
    <cellStyle name="Migliaia 45 4 2" xfId="1854" xr:uid="{00000000-0005-0000-0000-000025040000}"/>
    <cellStyle name="Migliaia 45 4 2 2" xfId="5465" xr:uid="{A19FA925-73A8-4C77-836B-9ECD9943A7E9}"/>
    <cellStyle name="Migliaia 45 4 2 2 2" xfId="34238" xr:uid="{9922C7FC-36B1-4D7E-A50C-0947E45CB67B}"/>
    <cellStyle name="Migliaia 45 4 2 2 2 2" xfId="39805" xr:uid="{AFDCE943-1BC6-46C0-B42A-B9A3749F3492}"/>
    <cellStyle name="Migliaia 45 4 2 2 2 3" xfId="45107" xr:uid="{0DA012CE-2746-4FAD-BC5C-23CB05251E07}"/>
    <cellStyle name="Migliaia 45 4 2 2 3" xfId="37196" xr:uid="{070DC943-9F9A-4906-AFA0-08AF4244ADC8}"/>
    <cellStyle name="Migliaia 45 4 2 2 4" xfId="42456" xr:uid="{7C2FC211-A0D4-409C-A400-FB9DC28B4129}"/>
    <cellStyle name="Migliaia 45 4 2 2 5" xfId="9186" xr:uid="{669179BA-AF99-435C-8924-715750F91B39}"/>
    <cellStyle name="Migliaia 45 4 2 3" xfId="3739" xr:uid="{3A0F199E-214D-483B-A13E-5237C9BF53AD}"/>
    <cellStyle name="Migliaia 45 4 2 3 2" xfId="34239" xr:uid="{9055B643-DDD6-411C-9D6E-2FF2229BA8E1}"/>
    <cellStyle name="Migliaia 45 4 2 3 2 2" xfId="39806" xr:uid="{3CE6E19F-842E-4249-852C-F128CBE2874D}"/>
    <cellStyle name="Migliaia 45 4 2 3 2 3" xfId="45108" xr:uid="{ADF72078-63DD-4DAA-941E-C7636BBAA870}"/>
    <cellStyle name="Migliaia 45 4 2 3 3" xfId="37197" xr:uid="{992D6750-50EA-4AD8-93D6-D21841F6609A}"/>
    <cellStyle name="Migliaia 45 4 2 3 4" xfId="42457" xr:uid="{A01751A2-6151-4A56-ACC8-EA23323C69EA}"/>
    <cellStyle name="Migliaia 45 4 2 3 5" xfId="12045" xr:uid="{646792A6-1453-44AB-9C82-50DDA7853468}"/>
    <cellStyle name="Migliaia 45 4 2 4" xfId="11394" xr:uid="{A756B019-A0F4-4F8A-A66C-8A6D0128027B}"/>
    <cellStyle name="Migliaia 45 4 2 5" xfId="10931" xr:uid="{9FA1084A-63EB-4A27-8C5A-35978753A358}"/>
    <cellStyle name="Migliaia 45 4 2 5 2" xfId="21566" xr:uid="{B5EE4CB3-B6B7-4D2E-B6CF-6CAB1009B4D6}"/>
    <cellStyle name="Migliaia 45 4 2 5 3" xfId="47119" xr:uid="{5B32A75B-CB38-4213-8531-7743659AAC1A}"/>
    <cellStyle name="Migliaia 45 4 2 5 4" xfId="50581" xr:uid="{30397D28-E6C3-442F-B85B-6C46EDD8D4FA}"/>
    <cellStyle name="Migliaia 45 4 2 5 5" xfId="53597" xr:uid="{3C4C63A2-AEDA-4A2A-99AA-5E46066E204D}"/>
    <cellStyle name="Migliaia 45 4 2 6" xfId="20728" xr:uid="{EFD4A683-1A47-4DCA-924B-63C131CA62E9}"/>
    <cellStyle name="Migliaia 45 4 2 7" xfId="25128" xr:uid="{C2A6E085-ED68-4457-9295-796D23894D75}"/>
    <cellStyle name="Migliaia 45 4 2 8" xfId="8718" xr:uid="{C4ED253F-9DDB-48CC-B7A0-492B5755B51D}"/>
    <cellStyle name="Migliaia 45 4 3" xfId="5464" xr:uid="{A6D791CB-7226-4EBC-9337-25A7E4AE20FE}"/>
    <cellStyle name="Migliaia 45 4 3 2" xfId="18241" xr:uid="{3CBE9B00-3265-46C0-9475-430FF9AAE1DF}"/>
    <cellStyle name="Migliaia 45 4 3 2 2" xfId="39807" xr:uid="{609C0E27-9C4F-4905-B3B3-8B131F5D1096}"/>
    <cellStyle name="Migliaia 45 4 3 2 3" xfId="45109" xr:uid="{F1DA4B02-0C8C-4188-BCAA-19BB46A070A2}"/>
    <cellStyle name="Migliaia 45 4 3 3" xfId="37198" xr:uid="{DD954A36-78C4-46E3-A32D-128D76A8401D}"/>
    <cellStyle name="Migliaia 45 4 3 4" xfId="42458" xr:uid="{3B3535F4-CC5B-4CEA-AB05-82A1C28D9295}"/>
    <cellStyle name="Migliaia 45 4 3 5" xfId="17308" xr:uid="{F0FD3884-949A-45BF-9CEB-D4FDE51C7FBD}"/>
    <cellStyle name="Migliaia 45 4 3 6" xfId="9187" xr:uid="{ADFE7A5D-F744-4120-8F20-53C973EB86C7}"/>
    <cellStyle name="Migliaia 45 4 4" xfId="6649" xr:uid="{F803B11A-A649-49DF-8393-D44AC82BF769}"/>
    <cellStyle name="Migliaia 45 4 4 2" xfId="34240" xr:uid="{B1E8774A-8EDD-4C14-A527-C2B2E983DF4A}"/>
    <cellStyle name="Migliaia 45 4 4 2 2" xfId="39808" xr:uid="{B67CD498-5783-48F6-A753-748800C542FC}"/>
    <cellStyle name="Migliaia 45 4 4 2 3" xfId="45110" xr:uid="{54278422-80AD-4B1F-9DA1-A6A202DC4B90}"/>
    <cellStyle name="Migliaia 45 4 4 3" xfId="37199" xr:uid="{F5EAC6FA-E683-41C6-89E3-1EE509B22936}"/>
    <cellStyle name="Migliaia 45 4 4 4" xfId="42459" xr:uid="{1772222B-4FAC-4805-B8EA-251E70231A57}"/>
    <cellStyle name="Migliaia 45 4 4 5" xfId="12046" xr:uid="{6C191470-67FD-4144-AA34-18C0810297BF}"/>
    <cellStyle name="Migliaia 45 4 5" xfId="3738" xr:uid="{977BDE80-8F24-404B-BC20-4854FC8F22FB}"/>
    <cellStyle name="Migliaia 45 4 5 2" xfId="34241" xr:uid="{D3BC4D75-318C-4B47-8D38-4C77150DC94B}"/>
    <cellStyle name="Migliaia 45 4 5 2 2" xfId="39809" xr:uid="{C62BB664-E7FA-49A6-A0EA-9D91E498C456}"/>
    <cellStyle name="Migliaia 45 4 5 2 3" xfId="45111" xr:uid="{F26903B0-0DAA-4351-83CF-1D9BC9CEAB4D}"/>
    <cellStyle name="Migliaia 45 4 5 3" xfId="37200" xr:uid="{AB75E32A-8AC9-43F1-B469-C0AFE4A660BE}"/>
    <cellStyle name="Migliaia 45 4 5 4" xfId="42460" xr:uid="{59F773AD-54AB-44F3-BD10-6216BA6D2FB8}"/>
    <cellStyle name="Migliaia 45 4 5 5" xfId="11393" xr:uid="{EA5B949C-3AFF-4F09-B27A-8FB1B35AAFFE}"/>
    <cellStyle name="Migliaia 45 4 6" xfId="10930" xr:uid="{ECA5175E-36B6-469E-B17D-FBB033370444}"/>
    <cellStyle name="Migliaia 45 4 6 2" xfId="21565" xr:uid="{D20ABC73-D830-4437-AC44-631680AD2184}"/>
    <cellStyle name="Migliaia 45 4 6 2 2" xfId="39810" xr:uid="{FD0B24B5-8AE3-493F-9B8C-93617BFE75E7}"/>
    <cellStyle name="Migliaia 45 4 6 2 3" xfId="45112" xr:uid="{5C799CFC-070E-4B70-A0A0-92422B158E36}"/>
    <cellStyle name="Migliaia 45 4 6 2 4" xfId="34242" xr:uid="{99C975A1-E9BB-4A70-87A8-006285057A53}"/>
    <cellStyle name="Migliaia 45 4 6 3" xfId="37201" xr:uid="{510D5132-5DE4-4743-A6DE-97443A6D33D0}"/>
    <cellStyle name="Migliaia 45 4 6 4" xfId="42461" xr:uid="{52879D29-F391-489F-A7FA-7C16B656544E}"/>
    <cellStyle name="Migliaia 45 4 6 5" xfId="25132" xr:uid="{72C93969-0471-44E8-B5AC-3944390DA003}"/>
    <cellStyle name="Migliaia 45 4 6 6" xfId="48477" xr:uid="{6C2D15E5-D4C5-4280-AD9F-D0545A5DA43A}"/>
    <cellStyle name="Migliaia 45 4 6 7" xfId="50580" xr:uid="{EDCE24FC-706F-4315-A314-170E78913FD7}"/>
    <cellStyle name="Migliaia 45 4 6 8" xfId="53596" xr:uid="{D7812963-357A-498D-9087-0ECE2E8AF4CA}"/>
    <cellStyle name="Migliaia 45 4 7" xfId="20727" xr:uid="{0635AA40-7DAD-4F32-822C-B1DAA33EEE99}"/>
    <cellStyle name="Migliaia 45 4 7 2" xfId="34243" xr:uid="{5328FDA5-1675-48CE-8ADC-8EBB027A44E9}"/>
    <cellStyle name="Migliaia 45 4 7 2 2" xfId="39811" xr:uid="{7B21CE7C-5F89-4FAA-9B36-773A0163F7A4}"/>
    <cellStyle name="Migliaia 45 4 7 2 3" xfId="45113" xr:uid="{1C456E24-2C0C-4E72-853B-8FD601F4CEDE}"/>
    <cellStyle name="Migliaia 45 4 7 3" xfId="37202" xr:uid="{DE330603-0993-4703-989B-63CE8F3919DA}"/>
    <cellStyle name="Migliaia 45 4 7 4" xfId="42462" xr:uid="{8B923D09-89D6-475A-B54F-5BD4BB1B621A}"/>
    <cellStyle name="Migliaia 45 4 7 5" xfId="25133" xr:uid="{363242D6-9524-4CB7-92A4-38AC4E3D8358}"/>
    <cellStyle name="Migliaia 45 4 8" xfId="25127" xr:uid="{ECE7054D-1CB0-469D-AC04-81DF1D769DEF}"/>
    <cellStyle name="Migliaia 45 4 9" xfId="7528" xr:uid="{93293FDD-7888-4174-9720-D4F524FED94B}"/>
    <cellStyle name="Migliaia 45 5" xfId="1855" xr:uid="{00000000-0005-0000-0000-000026040000}"/>
    <cellStyle name="Migliaia 45 5 2" xfId="5466" xr:uid="{9406E960-03A3-4D04-BAF5-C29F5A07AE7F}"/>
    <cellStyle name="Migliaia 45 5 2 2" xfId="18481" xr:uid="{50E4E1C1-4CB0-43C8-ADB6-919873A76FCB}"/>
    <cellStyle name="Migliaia 45 5 2 2 2" xfId="39812" xr:uid="{0F99C936-2C0F-4978-946F-0DB3578C7985}"/>
    <cellStyle name="Migliaia 45 5 2 2 3" xfId="45114" xr:uid="{D49C5E82-C161-4B7E-83DA-9D0744A2BAD4}"/>
    <cellStyle name="Migliaia 45 5 2 3" xfId="20730" xr:uid="{9BA2E7B1-B9F9-4938-A45B-34264E2D1D1D}"/>
    <cellStyle name="Migliaia 45 5 2 3 2" xfId="37203" xr:uid="{EFFEF3FE-C4C2-4B9E-A1DC-59B514EF4F57}"/>
    <cellStyle name="Migliaia 45 5 2 4" xfId="42463" xr:uid="{F15990F6-C78B-4177-B5E4-D83D675A9726}"/>
    <cellStyle name="Migliaia 45 5 2 5" xfId="16630" xr:uid="{8EB14286-09B5-4DE8-8A54-4B15C3B8B27F}"/>
    <cellStyle name="Migliaia 45 5 2 6" xfId="8719" xr:uid="{834C45BD-6A96-45F3-A8BA-527D1761C02D}"/>
    <cellStyle name="Migliaia 45 5 3" xfId="6650" xr:uid="{7CFB10BC-54DA-4BB7-BD88-0033A14A8EAB}"/>
    <cellStyle name="Migliaia 45 5 3 2" xfId="34244" xr:uid="{CFE3165E-0241-45C1-A5A0-D6B67282F87D}"/>
    <cellStyle name="Migliaia 45 5 3 2 2" xfId="39813" xr:uid="{AAE948AB-8A77-45EB-B542-1439AB30A713}"/>
    <cellStyle name="Migliaia 45 5 3 2 3" xfId="45115" xr:uid="{496374FD-5DC1-44EA-8539-BD3724727451}"/>
    <cellStyle name="Migliaia 45 5 3 3" xfId="37204" xr:uid="{EE4E39DE-01E9-4374-A57F-573E254A4735}"/>
    <cellStyle name="Migliaia 45 5 3 4" xfId="42464" xr:uid="{37311EBA-0138-49BD-98B7-B8B92DF70D2D}"/>
    <cellStyle name="Migliaia 45 5 3 5" xfId="11395" xr:uid="{E8EEC1EF-9DAE-4726-AA3A-5FF97A5F21E5}"/>
    <cellStyle name="Migliaia 45 5 4" xfId="3740" xr:uid="{4329E875-D24C-488F-BFF9-C28865C5A93F}"/>
    <cellStyle name="Migliaia 45 5 4 2" xfId="21567" xr:uid="{C2CF2829-467E-4826-ACEC-837C6514E10D}"/>
    <cellStyle name="Migliaia 45 5 4 2 2" xfId="39814" xr:uid="{1371714C-D032-4DFF-90FF-0ED9FEC34B63}"/>
    <cellStyle name="Migliaia 45 5 4 2 3" xfId="45116" xr:uid="{BEF4DB5F-9B42-4860-99B5-2482EFA271B6}"/>
    <cellStyle name="Migliaia 45 5 4 2 4" xfId="34245" xr:uid="{2A57DE87-AE46-47B3-BA01-DF8726E7BE3B}"/>
    <cellStyle name="Migliaia 45 5 4 3" xfId="37205" xr:uid="{6493A185-B332-423E-8E72-460D3B010AFF}"/>
    <cellStyle name="Migliaia 45 5 4 4" xfId="42465" xr:uid="{CD8991CD-564C-4A59-802C-62C28FBB77F8}"/>
    <cellStyle name="Migliaia 45 5 4 5" xfId="25135" xr:uid="{04EA2A00-7D43-4B7D-B1FB-FCDA67692C44}"/>
    <cellStyle name="Migliaia 45 5 4 6" xfId="47426" xr:uid="{17CD3F9F-8559-4D71-9764-383A65703F1D}"/>
    <cellStyle name="Migliaia 45 5 4 7" xfId="50582" xr:uid="{B7E6DFFC-67A0-4058-80DE-9C108D91C191}"/>
    <cellStyle name="Migliaia 45 5 4 8" xfId="53598" xr:uid="{C3E462EA-DEAC-4D73-A496-BE3A813FEB9C}"/>
    <cellStyle name="Migliaia 45 5 4 9" xfId="10932" xr:uid="{70263C65-D144-4BEB-8DC6-F8FE7BAAB7F9}"/>
    <cellStyle name="Migliaia 45 5 5" xfId="20729" xr:uid="{C8EEC835-BE01-4C6B-AE47-1584369023B6}"/>
    <cellStyle name="Migliaia 45 5 5 2" xfId="34246" xr:uid="{F21CF628-A94C-4CFA-9872-C8BB9ADAEA1D}"/>
    <cellStyle name="Migliaia 45 5 5 2 2" xfId="39815" xr:uid="{AC9CDFB8-B764-4500-BD48-4561685604C2}"/>
    <cellStyle name="Migliaia 45 5 5 2 3" xfId="45117" xr:uid="{2D7953B6-ACC5-4050-B594-6CAD8E3B7B5F}"/>
    <cellStyle name="Migliaia 45 5 5 3" xfId="37206" xr:uid="{79B47CCE-6835-4BC0-9FBC-18ADB5DE7C15}"/>
    <cellStyle name="Migliaia 45 5 5 4" xfId="42466" xr:uid="{8E76CBCD-5662-416B-8574-3EE0D9591602}"/>
    <cellStyle name="Migliaia 45 5 5 5" xfId="25136" xr:uid="{92EE93E7-E03E-49D0-8A4B-D56F4B652F1F}"/>
    <cellStyle name="Migliaia 45 5 6" xfId="25137" xr:uid="{EDC7E65F-B3B8-49AB-9D2E-9EB11FCC61D2}"/>
    <cellStyle name="Migliaia 45 5 6 2" xfId="34247" xr:uid="{6B45AA86-7B35-4D43-B6FE-B1CD2D60387F}"/>
    <cellStyle name="Migliaia 45 5 6 2 2" xfId="39816" xr:uid="{1C402B77-F0C9-4CA0-B3F0-3B1B05D21735}"/>
    <cellStyle name="Migliaia 45 5 6 2 3" xfId="45118" xr:uid="{B34B63AE-5CC1-4D3E-AF28-2AB045BBF2DE}"/>
    <cellStyle name="Migliaia 45 5 6 3" xfId="37207" xr:uid="{B39B5CA9-482B-49CA-BC2A-63BF47354EC6}"/>
    <cellStyle name="Migliaia 45 5 6 4" xfId="42467" xr:uid="{7F76569F-49BE-439B-87F0-E3D11D101BF5}"/>
    <cellStyle name="Migliaia 45 5 7" xfId="25134" xr:uid="{921C0C15-B184-4209-A8AB-5B3BF9784498}"/>
    <cellStyle name="Migliaia 45 5 8" xfId="7529" xr:uid="{BE3AAF14-0C64-4D07-8B97-F8E5C99E81BC}"/>
    <cellStyle name="Migliaia 45 6" xfId="3741" xr:uid="{450938BB-9F5A-4E2C-A7C4-7181921BC508}"/>
    <cellStyle name="Migliaia 45 6 2" xfId="5467" xr:uid="{33C47DBF-1611-418E-A7A9-A0BDE21937DA}"/>
    <cellStyle name="Migliaia 45 6 2 2" xfId="9959" xr:uid="{D822049D-E6D0-4EAB-A722-E1BFF588ACB1}"/>
    <cellStyle name="Migliaia 45 6 2 3" xfId="18641" xr:uid="{413D7C8C-EAE4-4F33-BD32-148612B00CC7}"/>
    <cellStyle name="Migliaia 45 6 2 4" xfId="20732" xr:uid="{DEBD9671-ED7B-44CA-AF66-B5EB3B3BD741}"/>
    <cellStyle name="Migliaia 45 6 2 5" xfId="32438" xr:uid="{A396503A-1DD5-4D9E-8C5A-AD3D7149C9C1}"/>
    <cellStyle name="Migliaia 45 6 2 6" xfId="16632" xr:uid="{DED9508C-767B-4E65-B9E4-97024DEABEAE}"/>
    <cellStyle name="Migliaia 45 6 2 7" xfId="8714" xr:uid="{A3418D3A-7E5F-4377-A69A-D0C304366509}"/>
    <cellStyle name="Migliaia 45 6 3" xfId="6651" xr:uid="{55D62B0F-254E-4D2F-8B17-9C019BAA0D82}"/>
    <cellStyle name="Migliaia 45 6 3 2" xfId="35400" xr:uid="{380F3D45-719E-46F9-B14D-B1C7DE389E6D}"/>
    <cellStyle name="Migliaia 45 6 3 2 2" xfId="40560" xr:uid="{6952155B-678D-4BCF-86B7-21D492550AD3}"/>
    <cellStyle name="Migliaia 45 6 3 2 3" xfId="45862" xr:uid="{4ED6700F-A62E-4500-AA0B-8258F8FD946E}"/>
    <cellStyle name="Migliaia 45 6 3 3" xfId="37909" xr:uid="{50C467DB-85D0-4AC3-9F44-1809DBA69D71}"/>
    <cellStyle name="Migliaia 45 6 3 4" xfId="43211" xr:uid="{ED909338-FCBD-4953-BDDA-56EEAFE6E11B}"/>
    <cellStyle name="Migliaia 45 6 3 5" xfId="9722" xr:uid="{54D76FFD-D5E0-42EF-97C4-803BE89CF5A5}"/>
    <cellStyle name="Migliaia 45 6 4" xfId="20731" xr:uid="{E1238E69-932A-447F-BC7B-261DC591BBBF}"/>
    <cellStyle name="Migliaia 45 6 4 2" xfId="39817" xr:uid="{BF2A76B4-01D0-48D5-B0B1-6EE2CF655FBA}"/>
    <cellStyle name="Migliaia 45 6 4 3" xfId="45119" xr:uid="{15144446-C8D9-4918-B63E-9378D7646A25}"/>
    <cellStyle name="Migliaia 45 6 4 4" xfId="34248" xr:uid="{DED34DD1-D5DB-42A4-9B45-5B51485A3094}"/>
    <cellStyle name="Migliaia 45 6 5" xfId="37208" xr:uid="{A5283D05-30AE-4F24-9668-8E7B35840A82}"/>
    <cellStyle name="Migliaia 45 6 6" xfId="42468" xr:uid="{3ADD8D98-7D2D-4A82-818C-8AAF24F1CC99}"/>
    <cellStyle name="Migliaia 45 6 7" xfId="16631" xr:uid="{410C6538-E39D-4768-A063-3526F935C4C7}"/>
    <cellStyle name="Migliaia 45 6 8" xfId="7524" xr:uid="{787BBD76-BB1C-49AD-82F8-10DF6278732D}"/>
    <cellStyle name="Migliaia 45 7" xfId="3742" xr:uid="{9F506B05-3B13-4232-84CB-B1337D50D4BA}"/>
    <cellStyle name="Migliaia 45 7 2" xfId="5468" xr:uid="{066C1883-C6B9-4211-A12B-AC88EAF1B14F}"/>
    <cellStyle name="Migliaia 45 7 2 2" xfId="35401" xr:uid="{2895F71B-240F-4BFC-83B9-9CA6A5244A30}"/>
    <cellStyle name="Migliaia 45 7 2 2 2" xfId="40561" xr:uid="{AAAD7A7E-7ECE-4546-8863-6BAC7DDBD138}"/>
    <cellStyle name="Migliaia 45 7 2 2 3" xfId="45863" xr:uid="{EA49D6D3-BB28-4FAC-BEBA-654E26F28B7B}"/>
    <cellStyle name="Migliaia 45 7 2 3" xfId="37910" xr:uid="{E66BE94B-B34D-49A2-AEA8-22E1C29C0A11}"/>
    <cellStyle name="Migliaia 45 7 2 4" xfId="43212" xr:uid="{422E6E9E-C920-4608-AA44-EDA5DBC5A30A}"/>
    <cellStyle name="Migliaia 45 7 2 5" xfId="14296" xr:uid="{0F5B7DEC-0532-47A7-8858-11CE5FAAB7E6}"/>
    <cellStyle name="Migliaia 45 7 3" xfId="6652" xr:uid="{04A80393-4B6E-431C-A69F-FD25D45DD4AF}"/>
    <cellStyle name="Migliaia 45 7 3 2" xfId="39818" xr:uid="{73D1A1E2-8812-4E3F-97A4-5E71CC543887}"/>
    <cellStyle name="Migliaia 45 7 3 3" xfId="45120" xr:uid="{13DD975C-4907-466D-8EEE-528B35D0190D}"/>
    <cellStyle name="Migliaia 45 7 3 4" xfId="34249" xr:uid="{CD8F0C9D-B5C6-4E15-BE15-B428A942B9D1}"/>
    <cellStyle name="Migliaia 45 7 3 5" xfId="20733" xr:uid="{C2F73DE9-BAA1-4424-92EF-5DFDAA4D5780}"/>
    <cellStyle name="Migliaia 45 7 4" xfId="37209" xr:uid="{76B86065-2013-4311-BA65-F2997133EA54}"/>
    <cellStyle name="Migliaia 45 7 5" xfId="42469" xr:uid="{DF598FEF-360E-4B84-A3EB-8A05B35C5BF1}"/>
    <cellStyle name="Migliaia 45 7 6" xfId="16633" xr:uid="{E1D5C459-E3AA-45E4-8662-33C9EEE4AED6}"/>
    <cellStyle name="Migliaia 45 7 7" xfId="8358" xr:uid="{33972E4E-9565-4650-A39B-2307618139FB}"/>
    <cellStyle name="Migliaia 45 8" xfId="3743" xr:uid="{605F0FA4-7C77-4BF0-A639-D7734D66A3CB}"/>
    <cellStyle name="Migliaia 45 8 2" xfId="5469" xr:uid="{5D8CA892-ABDC-4A6A-82AB-B149F5226BD6}"/>
    <cellStyle name="Migliaia 45 8 2 2" xfId="35402" xr:uid="{E7D60BF3-5F5D-462F-97D9-3606552393E3}"/>
    <cellStyle name="Migliaia 45 8 2 2 2" xfId="40562" xr:uid="{C832DB11-88EE-4D21-9F28-B6DD68D61F93}"/>
    <cellStyle name="Migliaia 45 8 2 2 3" xfId="45864" xr:uid="{CD5F2D9C-F42F-4D3D-91C5-0DBE2D934FA6}"/>
    <cellStyle name="Migliaia 45 8 2 3" xfId="37911" xr:uid="{01547B9E-2FF5-42AA-B0BC-7DEB2A6B08B6}"/>
    <cellStyle name="Migliaia 45 8 2 4" xfId="43213" xr:uid="{2061C742-B892-4ACE-9114-ACC059EE9CBE}"/>
    <cellStyle name="Migliaia 45 8 2 5" xfId="14001" xr:uid="{8B4386B0-CE47-42B1-8FD9-87780B7D7046}"/>
    <cellStyle name="Migliaia 45 8 3" xfId="6653" xr:uid="{04731D4E-7C5B-4C35-90D9-0701F6FEF57B}"/>
    <cellStyle name="Migliaia 45 8 3 2" xfId="39819" xr:uid="{48D57B12-FD9F-465D-A688-AFBC45747175}"/>
    <cellStyle name="Migliaia 45 8 3 3" xfId="45121" xr:uid="{E2CEEB3E-97AB-4CF9-8E55-60F25CC60296}"/>
    <cellStyle name="Migliaia 45 8 3 4" xfId="34250" xr:uid="{43D72B16-29DA-401B-9E87-63055D4D7DEC}"/>
    <cellStyle name="Migliaia 45 8 3 5" xfId="20734" xr:uid="{A9F4723D-91F6-4CD6-89AB-17439135B9BF}"/>
    <cellStyle name="Migliaia 45 8 4" xfId="37210" xr:uid="{B0580AFE-069B-4960-AA9A-C8D5BC79A4F9}"/>
    <cellStyle name="Migliaia 45 8 5" xfId="42470" xr:uid="{9A342F7E-BE68-413B-827E-D65C4A3226FA}"/>
    <cellStyle name="Migliaia 45 8 6" xfId="16634" xr:uid="{58A6C0BD-C257-4FAB-9AB4-50E2A01FB3EA}"/>
    <cellStyle name="Migliaia 45 8 7" xfId="7978" xr:uid="{58D19ABD-B5D5-4B93-A007-200A33FD1707}"/>
    <cellStyle name="Migliaia 45 9" xfId="5454" xr:uid="{719EF2D7-D3E8-457B-8ABB-7535F1BCD2FD}"/>
    <cellStyle name="Migliaia 45 9 2" xfId="34251" xr:uid="{6EEF1C9B-D359-48A2-A5D9-3EDDD7515A24}"/>
    <cellStyle name="Migliaia 45 9 2 2" xfId="39820" xr:uid="{99A8F06E-A386-438E-9A7A-8FF25C101121}"/>
    <cellStyle name="Migliaia 45 9 2 3" xfId="45122" xr:uid="{D14A444B-5BE6-44D6-AC05-E791A353E333}"/>
    <cellStyle name="Migliaia 45 9 3" xfId="37211" xr:uid="{9DA7A5B6-A119-4627-8A63-A12DF613513A}"/>
    <cellStyle name="Migliaia 45 9 4" xfId="42471" xr:uid="{16E3CB42-5C08-4B90-B993-C0211F107416}"/>
    <cellStyle name="Migliaia 45 9 5" xfId="17213" xr:uid="{D679D634-CD93-4F90-ABC6-A32C0B4997F5}"/>
    <cellStyle name="Migliaia 46" xfId="461" xr:uid="{00000000-0005-0000-0000-000027040000}"/>
    <cellStyle name="Migliaia 46 10" xfId="6654" xr:uid="{391522CE-0ACD-4306-AEAE-3609E2D6424A}"/>
    <cellStyle name="Migliaia 46 10 2" xfId="39821" xr:uid="{89A775B0-C599-47D2-A5F2-73072D0A6406}"/>
    <cellStyle name="Migliaia 46 10 3" xfId="45123" xr:uid="{F7EDDF2E-05A6-4425-ADFC-975BC5C4ADB2}"/>
    <cellStyle name="Migliaia 46 10 4" xfId="34252" xr:uid="{87C1FD44-D276-40CF-A5EF-187247ADF280}"/>
    <cellStyle name="Migliaia 46 10 5" xfId="20735" xr:uid="{DDB0E91A-1AC8-405B-8DCB-6E4DCB938684}"/>
    <cellStyle name="Migliaia 46 11" xfId="3744" xr:uid="{5848253A-7386-41FE-A382-6ECDE73DEA24}"/>
    <cellStyle name="Migliaia 46 11 2" xfId="37212" xr:uid="{78028635-0E4E-4F3B-BECD-4DE40A182062}"/>
    <cellStyle name="Migliaia 46 12" xfId="42472" xr:uid="{A8A27DE4-D2A3-4412-8BEC-E288F7A81F82}"/>
    <cellStyle name="Migliaia 46 13" xfId="7162" xr:uid="{5903FFD7-22B2-4E07-83E7-393EDD4953C9}"/>
    <cellStyle name="Migliaia 46 2" xfId="462" xr:uid="{00000000-0005-0000-0000-000028040000}"/>
    <cellStyle name="Migliaia 46 2 2" xfId="1856" xr:uid="{00000000-0005-0000-0000-000029040000}"/>
    <cellStyle name="Migliaia 46 2 2 2" xfId="5472" xr:uid="{65774CC7-9EF2-4C9F-B057-C0DFF1C58B0F}"/>
    <cellStyle name="Migliaia 46 2 2 2 2" xfId="14403" xr:uid="{72214872-DF8C-4D00-95B6-994ACFACFA55}"/>
    <cellStyle name="Migliaia 46 2 2 2 2 2" xfId="39822" xr:uid="{62A2EB27-EEF2-4885-8518-7C7B31AC2524}"/>
    <cellStyle name="Migliaia 46 2 2 2 2 3" xfId="45124" xr:uid="{8205D10D-99DF-4A51-A765-88582C64FC54}"/>
    <cellStyle name="Migliaia 46 2 2 2 3" xfId="18482" xr:uid="{780A5981-39A8-45E2-8186-19B689D3FE76}"/>
    <cellStyle name="Migliaia 46 2 2 2 4" xfId="20738" xr:uid="{2D19F1F5-6348-4FBF-AEC5-5310EA3090BE}"/>
    <cellStyle name="Migliaia 46 2 2 2 4 2" xfId="42473" xr:uid="{EBC291D7-EFEC-42FB-A2BA-EDB7057256B0}"/>
    <cellStyle name="Migliaia 46 2 2 2 5" xfId="16635" xr:uid="{1046D646-2D26-4550-B55C-DD718AB772B1}"/>
    <cellStyle name="Migliaia 46 2 2 2 6" xfId="8721" xr:uid="{BEA41339-7F19-479A-BB8B-AC4820C00045}"/>
    <cellStyle name="Migliaia 46 2 2 3" xfId="6656" xr:uid="{F4720053-1D51-4B19-874E-4191BF2ACA33}"/>
    <cellStyle name="Migliaia 46 2 2 3 2" xfId="35403" xr:uid="{D8F1F4DF-043B-418B-995E-338FD8C8B500}"/>
    <cellStyle name="Migliaia 46 2 2 3 2 2" xfId="40563" xr:uid="{F5374F7A-AB97-4434-BCF6-45AE5649D202}"/>
    <cellStyle name="Migliaia 46 2 2 3 2 3" xfId="45865" xr:uid="{509B071E-7349-4614-BFF7-48CC0EB099A8}"/>
    <cellStyle name="Migliaia 46 2 2 3 3" xfId="37912" xr:uid="{FEBE7420-65F1-43C7-B0CA-73838E26B8AC}"/>
    <cellStyle name="Migliaia 46 2 2 3 4" xfId="43214" xr:uid="{1E65A623-1847-41B3-AA9B-970B5397D9D8}"/>
    <cellStyle name="Migliaia 46 2 2 3 5" xfId="11630" xr:uid="{4B03E32B-07B7-40AF-94DF-7A9971254E7E}"/>
    <cellStyle name="Migliaia 46 2 2 4" xfId="3746" xr:uid="{8E595C51-E99F-416C-B8F0-B8B2371E07C6}"/>
    <cellStyle name="Migliaia 46 2 2 4 2" xfId="21568" xr:uid="{481015BA-182A-4FF4-ACD9-D11C058BA0DE}"/>
    <cellStyle name="Migliaia 46 2 2 4 3" xfId="47120" xr:uid="{9A46B6FD-89B7-473B-A323-4534C9C438DD}"/>
    <cellStyle name="Migliaia 46 2 2 4 4" xfId="50583" xr:uid="{EFB06574-B328-438D-AF93-76C8A06A1AC4}"/>
    <cellStyle name="Migliaia 46 2 2 4 5" xfId="53599" xr:uid="{B5FBFE10-3C34-4956-8F9E-60D01186BD87}"/>
    <cellStyle name="Migliaia 46 2 2 4 6" xfId="10933" xr:uid="{3C401081-0D3C-4443-B6A4-C2B4222E7EDF}"/>
    <cellStyle name="Migliaia 46 2 2 5" xfId="20737" xr:uid="{63F9FA3B-8056-4E95-8020-DB1A83FD5310}"/>
    <cellStyle name="Migliaia 46 2 2 6" xfId="25140" xr:uid="{32236567-56C8-4718-977C-1A70D2080EF7}"/>
    <cellStyle name="Migliaia 46 2 2 7" xfId="7531" xr:uid="{57B5C3C8-FF66-48BF-86FD-F22A0E641E1C}"/>
    <cellStyle name="Migliaia 46 2 3" xfId="3747" xr:uid="{2FF833E5-177F-4732-AAB1-0F674947457F}"/>
    <cellStyle name="Migliaia 46 2 3 2" xfId="5473" xr:uid="{9D94B1AE-DCD4-4B8A-A324-60D8270ACCCD}"/>
    <cellStyle name="Migliaia 46 2 3 2 2" xfId="35404" xr:uid="{E38DE8D5-1A22-4467-BDB6-EC41C7687FD5}"/>
    <cellStyle name="Migliaia 46 2 3 2 2 2" xfId="40564" xr:uid="{FE862C1D-49B9-4938-8B7A-BF5670B36076}"/>
    <cellStyle name="Migliaia 46 2 3 2 2 3" xfId="45866" xr:uid="{64D8E1E6-BD0B-454B-AC61-2B2B268C531D}"/>
    <cellStyle name="Migliaia 46 2 3 2 3" xfId="37913" xr:uid="{1408C725-385B-43BF-BE5D-0704AC1F34D8}"/>
    <cellStyle name="Migliaia 46 2 3 2 4" xfId="43215" xr:uid="{C93F110A-49EB-43E3-B143-296BC9EA6542}"/>
    <cellStyle name="Migliaia 46 2 3 2 5" xfId="14300" xr:uid="{8AA7DE8D-E12B-4DC7-880B-2E27A34B4485}"/>
    <cellStyle name="Migliaia 46 2 3 3" xfId="6657" xr:uid="{70877106-0C80-4F5E-B2D0-0E9591468102}"/>
    <cellStyle name="Migliaia 46 2 3 3 2" xfId="39823" xr:uid="{56851DD1-41E9-42DC-BE85-8CD9C41A1EF4}"/>
    <cellStyle name="Migliaia 46 2 3 3 3" xfId="45125" xr:uid="{2CD99399-0CB1-4A32-9DF1-F8480E2C6AEB}"/>
    <cellStyle name="Migliaia 46 2 3 3 4" xfId="34253" xr:uid="{71464DEE-C378-40FC-B62D-EE9D87784AD4}"/>
    <cellStyle name="Migliaia 46 2 3 3 5" xfId="20739" xr:uid="{AFBA7D24-4334-4052-A475-DEB177FE504B}"/>
    <cellStyle name="Migliaia 46 2 3 4" xfId="37213" xr:uid="{2BB84C6E-CE97-4E85-9DEE-9EFF62367AFD}"/>
    <cellStyle name="Migliaia 46 2 3 5" xfId="42474" xr:uid="{22C0C35C-23E9-483A-910D-B02386062461}"/>
    <cellStyle name="Migliaia 46 2 3 6" xfId="16636" xr:uid="{CEEFB32C-8437-4065-98D3-D96CC891549D}"/>
    <cellStyle name="Migliaia 46 2 3 7" xfId="8362" xr:uid="{5B558C6E-A637-49E2-A2F7-51387C147232}"/>
    <cellStyle name="Migliaia 46 2 4" xfId="5471" xr:uid="{C43B14DB-CC7B-4866-A8C8-3343755BF1DC}"/>
    <cellStyle name="Migliaia 46 2 4 2" xfId="14005" xr:uid="{84591C2D-4574-4819-9CB6-50F24F9BA087}"/>
    <cellStyle name="Migliaia 46 2 4 2 2" xfId="39824" xr:uid="{1C419466-E4E0-4E8C-9EF8-36CF0049E10B}"/>
    <cellStyle name="Migliaia 46 2 4 2 3" xfId="45126" xr:uid="{09703170-7BA6-4739-A2FE-55FBE261B26A}"/>
    <cellStyle name="Migliaia 46 2 4 3" xfId="18607" xr:uid="{B1E0B324-E638-4C14-98A9-AFD23DA284FF}"/>
    <cellStyle name="Migliaia 46 2 4 4" xfId="20740" xr:uid="{A20D167D-9FE8-44E5-B602-A64402EF43AD}"/>
    <cellStyle name="Migliaia 46 2 4 4 2" xfId="42475" xr:uid="{11E23A95-C9DC-405F-A35D-2F40AE0DA8FE}"/>
    <cellStyle name="Migliaia 46 2 4 5" xfId="16637" xr:uid="{EDABA50B-8058-4705-999C-3BD37CD01804}"/>
    <cellStyle name="Migliaia 46 2 4 6" xfId="7983" xr:uid="{CE462B0F-17DC-4007-B9AA-11F1562FBA93}"/>
    <cellStyle name="Migliaia 46 2 5" xfId="6655" xr:uid="{9FF78595-24EE-435E-BADA-9083442DB8C9}"/>
    <cellStyle name="Migliaia 46 2 5 2" xfId="34254" xr:uid="{25D32D34-4D2B-4A1A-834B-638D87D33821}"/>
    <cellStyle name="Migliaia 46 2 5 2 2" xfId="39825" xr:uid="{BE2CB0DE-44E3-40EC-9BF6-6B7C297DCF03}"/>
    <cellStyle name="Migliaia 46 2 5 2 3" xfId="45127" xr:uid="{3B1525A7-B306-4874-9029-F3957F9023A5}"/>
    <cellStyle name="Migliaia 46 2 5 3" xfId="37215" xr:uid="{4B89A0BA-852E-4DD9-8860-8C16C9B86A62}"/>
    <cellStyle name="Migliaia 46 2 5 4" xfId="42476" xr:uid="{BCBCC785-E17A-433C-9162-E792109321BF}"/>
    <cellStyle name="Migliaia 46 2 5 5" xfId="13143" xr:uid="{41E047D3-4F2D-4CCA-9FAF-3CB5F840EB3C}"/>
    <cellStyle name="Migliaia 46 2 6" xfId="3745" xr:uid="{D40B4495-0E33-4118-A6BB-EC0019ADEB1A}"/>
    <cellStyle name="Migliaia 46 2 6 2" xfId="34255" xr:uid="{22F95DA9-9990-4347-A450-F867C637CC40}"/>
    <cellStyle name="Migliaia 46 2 6 2 2" xfId="39826" xr:uid="{5A27A16F-EA9D-498C-98D3-1CC02CEF9429}"/>
    <cellStyle name="Migliaia 46 2 6 2 3" xfId="45128" xr:uid="{E0B44F92-FCBF-453F-A45C-437A6A71EF5C}"/>
    <cellStyle name="Migliaia 46 2 6 3" xfId="37216" xr:uid="{5ED8203E-728B-429F-8D72-05CED495F975}"/>
    <cellStyle name="Migliaia 46 2 6 4" xfId="42477" xr:uid="{15FD1443-1220-4DCC-8E6B-171DEE5CB9E2}"/>
    <cellStyle name="Migliaia 46 2 6 5" xfId="25141" xr:uid="{78B1D546-FE2A-429B-975C-0312E69CA189}"/>
    <cellStyle name="Migliaia 46 2 6 6" xfId="20736" xr:uid="{6E07B773-842F-4578-8BA1-FD631806CDB3}"/>
    <cellStyle name="Migliaia 46 2 7" xfId="25139" xr:uid="{32F970A4-562B-4678-9BE2-18DC106C885D}"/>
    <cellStyle name="Migliaia 46 2 8" xfId="7163" xr:uid="{38C67086-1CEB-4B05-AA65-6786604A83E3}"/>
    <cellStyle name="Migliaia 46 3" xfId="463" xr:uid="{00000000-0005-0000-0000-00002A040000}"/>
    <cellStyle name="Migliaia 46 3 10" xfId="25142" xr:uid="{8C505DFB-B596-4543-904C-6051816C03D6}"/>
    <cellStyle name="Migliaia 46 3 11" xfId="16638" xr:uid="{567D3072-F03E-4438-8AB8-77C016AE6557}"/>
    <cellStyle name="Migliaia 46 3 12" xfId="7164" xr:uid="{87A15F8D-E9F3-4B04-B313-D504399B21F1}"/>
    <cellStyle name="Migliaia 46 3 2" xfId="464" xr:uid="{00000000-0005-0000-0000-00002B040000}"/>
    <cellStyle name="Migliaia 46 3 2 2" xfId="1857" xr:uid="{00000000-0005-0000-0000-00002C040000}"/>
    <cellStyle name="Migliaia 46 3 2 2 2" xfId="5476" xr:uid="{53C39A1D-DE4C-42F5-9625-18EDD8F92182}"/>
    <cellStyle name="Migliaia 46 3 2 2 2 2" xfId="18483" xr:uid="{291AF77A-BC19-4E29-A00A-F9ACCFD587A7}"/>
    <cellStyle name="Migliaia 46 3 2 2 2 2 2" xfId="21881" xr:uid="{AB5D534C-51D7-4E7C-98E5-7AF620499264}"/>
    <cellStyle name="Migliaia 46 3 2 2 2 2 2 2" xfId="39827" xr:uid="{A3655E92-EA3A-4ACA-924C-600FAEB4DA4B}"/>
    <cellStyle name="Migliaia 46 3 2 2 2 2 3" xfId="45129" xr:uid="{58CC6756-E784-44B4-A08A-320E32521F5F}"/>
    <cellStyle name="Migliaia 46 3 2 2 2 2 4" xfId="34256" xr:uid="{27DECB42-E636-4C60-BCB7-CEFFCB301BF0}"/>
    <cellStyle name="Migliaia 46 3 2 2 2 3" xfId="37217" xr:uid="{8667230F-5F88-48FE-9D77-22754B106F74}"/>
    <cellStyle name="Migliaia 46 3 2 2 2 4" xfId="42478" xr:uid="{E0F58D24-18DB-4B76-8539-BD841455E009}"/>
    <cellStyle name="Migliaia 46 3 2 2 2 5" xfId="24489" xr:uid="{0E2E7347-C485-4F33-B7BF-73F50A9F230A}"/>
    <cellStyle name="Migliaia 46 3 2 2 2 6" xfId="50909" xr:uid="{20A3BCF3-C025-4B47-BFBD-C2B6676BB9F9}"/>
    <cellStyle name="Migliaia 46 3 2 2 2 7" xfId="53925" xr:uid="{5565C536-3E59-40D9-B255-8D4A90723FE4}"/>
    <cellStyle name="Migliaia 46 3 2 2 2 8" xfId="17679" xr:uid="{A5803C8C-8E58-4F8A-BC88-C850A4123F6C}"/>
    <cellStyle name="Migliaia 46 3 2 2 2 9" xfId="12047" xr:uid="{09B988F6-B200-4F2E-82E2-59D3549F0367}"/>
    <cellStyle name="Migliaia 46 3 2 2 3" xfId="6660" xr:uid="{462E83BA-0363-4214-8938-0FA27B056877}"/>
    <cellStyle name="Migliaia 46 3 2 2 3 2" xfId="11571" xr:uid="{2CBEEB92-D63D-42B0-B022-8CC9E33B4235}"/>
    <cellStyle name="Migliaia 46 3 2 2 4" xfId="3750" xr:uid="{9B940950-B9A1-4442-A2C0-3D1AC51C7988}"/>
    <cellStyle name="Migliaia 46 3 2 2 4 2" xfId="21569" xr:uid="{4264836C-CB11-4579-8087-CCB3C41EE6C8}"/>
    <cellStyle name="Migliaia 46 3 2 2 4 3" xfId="24240" xr:uid="{CB83C2EC-C663-48DC-A078-988DF3895E81}"/>
    <cellStyle name="Migliaia 46 3 2 2 4 4" xfId="50584" xr:uid="{D07063D9-1209-42B2-805F-0F8758A60FB6}"/>
    <cellStyle name="Migliaia 46 3 2 2 4 5" xfId="53600" xr:uid="{B1126C60-6F56-4044-A73E-9F5F1E3917E1}"/>
    <cellStyle name="Migliaia 46 3 2 2 4 6" xfId="10934" xr:uid="{19E24EC8-0E98-480F-AF98-F23A047190B6}"/>
    <cellStyle name="Migliaia 46 3 2 2 5" xfId="20743" xr:uid="{565FD44E-81DA-4E87-BF86-BE1D3EB9FC1F}"/>
    <cellStyle name="Migliaia 46 3 2 2 6" xfId="25144" xr:uid="{008D097B-FCD0-4169-87C1-5AFD01E04994}"/>
    <cellStyle name="Migliaia 46 3 2 2 7" xfId="8723" xr:uid="{0BD16203-3403-40D3-AB62-D2E993B85C42}"/>
    <cellStyle name="Migliaia 46 3 2 3" xfId="5475" xr:uid="{4E7388B4-F95E-4AC6-8D8D-E2FBB2ABBB91}"/>
    <cellStyle name="Migliaia 46 3 2 3 2" xfId="12170" xr:uid="{8249BF9E-6789-4B3E-8FE3-409531EE4AE3}"/>
    <cellStyle name="Migliaia 46 3 2 3 2 2" xfId="39828" xr:uid="{260671C8-3C9E-4C88-B210-CB6572B27173}"/>
    <cellStyle name="Migliaia 46 3 2 3 2 3" xfId="45130" xr:uid="{1C694A1E-53DD-4B06-9D37-5D02B3E98B22}"/>
    <cellStyle name="Migliaia 46 3 2 3 2 4" xfId="34257" xr:uid="{3E0D57D2-FE2E-46FF-9968-67458BD51AF7}"/>
    <cellStyle name="Migliaia 46 3 2 3 3" xfId="12048" xr:uid="{0483D667-54C4-476D-8072-E65A1AC31306}"/>
    <cellStyle name="Migliaia 46 3 2 3 4" xfId="20744" xr:uid="{493ABC4E-891D-45C3-9470-16447EA1F684}"/>
    <cellStyle name="Migliaia 46 3 2 3 4 2" xfId="42479" xr:uid="{C463947D-E2CA-4841-B9C0-86F252391B31}"/>
    <cellStyle name="Migliaia 46 3 2 3 5" xfId="16639" xr:uid="{62D7C965-5498-4F4D-A5B3-BF6625B76C9D}"/>
    <cellStyle name="Migliaia 46 3 2 3 6" xfId="7985" xr:uid="{BE9C52A0-794B-4F49-BF2B-FA599A66C460}"/>
    <cellStyle name="Migliaia 46 3 2 4" xfId="6659" xr:uid="{B2B3B897-7254-4567-8261-FEE1FFDCBAF3}"/>
    <cellStyle name="Migliaia 46 3 2 4 2" xfId="18097" xr:uid="{63E557C0-7AF5-478A-BBAB-6BAA79A4686E}"/>
    <cellStyle name="Migliaia 46 3 2 4 2 2" xfId="39829" xr:uid="{836E47B3-EA77-444B-8B13-3EBB22EF88A9}"/>
    <cellStyle name="Migliaia 46 3 2 4 2 3" xfId="45131" xr:uid="{9CBBFFE3-F719-4432-90C2-FA6784340CFA}"/>
    <cellStyle name="Migliaia 46 3 2 4 3" xfId="37218" xr:uid="{D52B548A-F9F7-4681-B4C2-33B9FDE0F58C}"/>
    <cellStyle name="Migliaia 46 3 2 4 4" xfId="42480" xr:uid="{52E4482D-8D1E-471B-825C-97E4A7280DF7}"/>
    <cellStyle name="Migliaia 46 3 2 4 5" xfId="17216" xr:uid="{7D001DCF-E028-4E6F-9EE4-15DE3891A7E7}"/>
    <cellStyle name="Migliaia 46 3 2 4 6" xfId="11396" xr:uid="{5D954A4A-0196-42C7-9C62-F0977551DEA0}"/>
    <cellStyle name="Migliaia 46 3 2 5" xfId="3749" xr:uid="{4F36FF56-3621-495C-A151-C50598CC00E7}"/>
    <cellStyle name="Migliaia 46 3 2 5 2" xfId="34258" xr:uid="{D375DFE4-2B79-49A0-A798-1DEBD2B5C208}"/>
    <cellStyle name="Migliaia 46 3 2 5 2 2" xfId="39830" xr:uid="{E8F31DA4-84FA-482F-B9F9-FB56105038E1}"/>
    <cellStyle name="Migliaia 46 3 2 5 2 3" xfId="45132" xr:uid="{D12B770A-25A5-429D-92B8-657C36959916}"/>
    <cellStyle name="Migliaia 46 3 2 5 3" xfId="37219" xr:uid="{66A205DC-FE16-48CF-A5C1-B3092934BE46}"/>
    <cellStyle name="Migliaia 46 3 2 5 4" xfId="42481" xr:uid="{3845D922-E422-40F7-97C8-3C9EB63EE64C}"/>
    <cellStyle name="Migliaia 46 3 2 5 5" xfId="17306" xr:uid="{DEC600DD-FC86-4F4C-8B32-C380F3316238}"/>
    <cellStyle name="Migliaia 46 3 2 6" xfId="20742" xr:uid="{79DB43BA-8273-4144-BB66-D8B04468E5DD}"/>
    <cellStyle name="Migliaia 46 3 2 6 2" xfId="34259" xr:uid="{9DA2990E-9808-4C02-8730-73099DC5FB9A}"/>
    <cellStyle name="Migliaia 46 3 2 6 2 2" xfId="39831" xr:uid="{978F9AE3-F325-493C-92C0-CF2BB9A0C9A0}"/>
    <cellStyle name="Migliaia 46 3 2 6 2 3" xfId="45133" xr:uid="{0895DB03-CBC8-448A-A803-379A3DEC0535}"/>
    <cellStyle name="Migliaia 46 3 2 6 3" xfId="37220" xr:uid="{8A19D509-0CB6-4AB6-824A-7293E271D300}"/>
    <cellStyle name="Migliaia 46 3 2 6 4" xfId="42482" xr:uid="{140FD21B-D8C6-4BD3-8403-B6E7B75BB047}"/>
    <cellStyle name="Migliaia 46 3 2 6 5" xfId="25145" xr:uid="{2EC2B624-9B7B-458F-9F3E-0B125B8BFA67}"/>
    <cellStyle name="Migliaia 46 3 2 7" xfId="25143" xr:uid="{4297F773-8663-4D05-84F2-564E3989A00A}"/>
    <cellStyle name="Migliaia 46 3 2 8" xfId="7533" xr:uid="{DCC633F1-9B6C-48CB-AE1A-E8D535BCE642}"/>
    <cellStyle name="Migliaia 46 3 3" xfId="3751" xr:uid="{0ECE847B-586F-4868-B327-6DD573066B0D}"/>
    <cellStyle name="Migliaia 46 3 3 10" xfId="7532" xr:uid="{BFB30BBA-AC6B-4605-95FA-C9839E0AA212}"/>
    <cellStyle name="Migliaia 46 3 3 2" xfId="5477" xr:uid="{F90AC99B-D04D-4982-AA39-6B65C31669C5}"/>
    <cellStyle name="Migliaia 46 3 3 2 2" xfId="9962" xr:uid="{FF86E377-B2A7-4671-BEA5-B50374CE07F1}"/>
    <cellStyle name="Migliaia 46 3 3 2 2 2" xfId="39833" xr:uid="{AF26A725-16DD-434A-BB89-4DA5C1677285}"/>
    <cellStyle name="Migliaia 46 3 3 2 2 3" xfId="45135" xr:uid="{A991418B-7876-4345-B919-F283E54D7267}"/>
    <cellStyle name="Migliaia 46 3 3 2 3" xfId="18242" xr:uid="{2D6C3D78-9153-4EF2-8832-578DFF95D014}"/>
    <cellStyle name="Migliaia 46 3 3 2 4" xfId="20746" xr:uid="{22AC1B1A-CD1E-419F-8014-F9E381926B6A}"/>
    <cellStyle name="Migliaia 46 3 3 2 4 2" xfId="42484" xr:uid="{C4404672-D65A-462E-9B69-535DFDE4268F}"/>
    <cellStyle name="Migliaia 46 3 3 2 5" xfId="16641" xr:uid="{116E79E9-D651-46CD-8BEF-0FA46DE2E925}"/>
    <cellStyle name="Migliaia 46 3 3 2 6" xfId="8722" xr:uid="{1393B9A3-F1C7-4697-8ED9-03915A6BD377}"/>
    <cellStyle name="Migliaia 46 3 3 3" xfId="6661" xr:uid="{8A330E73-8DD2-4390-93D7-FA2701227ED1}"/>
    <cellStyle name="Migliaia 46 3 3 3 2" xfId="34261" xr:uid="{36FCE927-5D4D-4F6E-8715-A1CE2DD5DC3E}"/>
    <cellStyle name="Migliaia 46 3 3 3 2 2" xfId="39834" xr:uid="{BD978327-DEB0-4F89-9478-18541BDE031A}"/>
    <cellStyle name="Migliaia 46 3 3 3 2 3" xfId="45136" xr:uid="{4263C511-4DE9-4C35-AC2D-105AD3075F09}"/>
    <cellStyle name="Migliaia 46 3 3 3 3" xfId="37222" xr:uid="{9C344B60-C497-4E93-9207-71662A3D656F}"/>
    <cellStyle name="Migliaia 46 3 3 3 4" xfId="42485" xr:uid="{C78643DE-54D2-427B-AE54-FCBDD5FE3BB9}"/>
    <cellStyle name="Migliaia 46 3 3 3 5" xfId="9725" xr:uid="{31348892-9D61-417B-9D5F-71ADD78B8B7C}"/>
    <cellStyle name="Migliaia 46 3 3 4" xfId="20745" xr:uid="{C79B5DF7-30F6-4FB7-9E3F-F609AF93AB3A}"/>
    <cellStyle name="Migliaia 46 3 3 4 2" xfId="34262" xr:uid="{D509CED4-FCDE-49DB-9900-3148AB33BBE7}"/>
    <cellStyle name="Migliaia 46 3 3 4 2 2" xfId="39835" xr:uid="{D4BF6B67-136F-43EC-B677-21B7BE6079A5}"/>
    <cellStyle name="Migliaia 46 3 3 4 2 3" xfId="45137" xr:uid="{B4DA6074-28E6-4BD8-ABDE-C87D38993064}"/>
    <cellStyle name="Migliaia 46 3 3 4 3" xfId="37223" xr:uid="{AD603A8B-5221-4ED2-B666-956FCF241F20}"/>
    <cellStyle name="Migliaia 46 3 3 4 4" xfId="42486" xr:uid="{DC885DDE-8B2A-463B-AC71-40665974020E}"/>
    <cellStyle name="Migliaia 46 3 3 4 5" xfId="25146" xr:uid="{7B5EB095-17FE-4165-AAA6-60C3D1445999}"/>
    <cellStyle name="Migliaia 46 3 3 5" xfId="25147" xr:uid="{5275B099-EE02-4177-BD71-3EFB05EB6076}"/>
    <cellStyle name="Migliaia 46 3 3 5 2" xfId="34263" xr:uid="{5492A7CA-A3DF-4ECB-99A5-73C8B023B92B}"/>
    <cellStyle name="Migliaia 46 3 3 5 2 2" xfId="39836" xr:uid="{75EB9314-3887-4CB9-AE4E-F3927AF94762}"/>
    <cellStyle name="Migliaia 46 3 3 5 2 3" xfId="45138" xr:uid="{69A9099C-A2EC-441F-8908-9CA552CA6699}"/>
    <cellStyle name="Migliaia 46 3 3 5 3" xfId="37224" xr:uid="{CF0E302B-AC7E-4B9A-868E-25201F39DC5F}"/>
    <cellStyle name="Migliaia 46 3 3 5 4" xfId="42487" xr:uid="{866E928E-4CDB-4958-8A23-D6E9A38F0264}"/>
    <cellStyle name="Migliaia 46 3 3 6" xfId="34260" xr:uid="{07BE22AF-526E-4045-907E-39493D0115FD}"/>
    <cellStyle name="Migliaia 46 3 3 6 2" xfId="39832" xr:uid="{9E0D82C6-9F83-4BF0-959F-76A73A9B810B}"/>
    <cellStyle name="Migliaia 46 3 3 6 3" xfId="45134" xr:uid="{7F403CBD-DEEC-4326-8193-D6FEF72B1BD6}"/>
    <cellStyle name="Migliaia 46 3 3 7" xfId="37221" xr:uid="{B203DE2A-DF74-4D4A-A327-1B5BA25547CC}"/>
    <cellStyle name="Migliaia 46 3 3 8" xfId="42483" xr:uid="{423F5DAF-D1F1-4288-A710-7C07936189DF}"/>
    <cellStyle name="Migliaia 46 3 3 9" xfId="16640" xr:uid="{43C4C240-AE1B-4CF5-8C1A-51084B824037}"/>
    <cellStyle name="Migliaia 46 3 4" xfId="3752" xr:uid="{0F8DE620-6C6F-4062-977E-41F319C49A36}"/>
    <cellStyle name="Migliaia 46 3 4 2" xfId="5478" xr:uid="{8206242C-0D65-4891-BC60-8A03F510F333}"/>
    <cellStyle name="Migliaia 46 3 4 2 2" xfId="14463" xr:uid="{F2B80D22-FC79-443E-9989-ACD1C52119F5}"/>
    <cellStyle name="Migliaia 46 3 4 2 3" xfId="18047" xr:uid="{7F18AC64-64C6-449A-BE40-33D16C079A09}"/>
    <cellStyle name="Migliaia 46 3 4 2 4" xfId="20748" xr:uid="{F77CB776-957B-4757-9FA5-BD386D53DEF4}"/>
    <cellStyle name="Migliaia 46 3 4 2 5" xfId="32440" xr:uid="{6A639CC2-83A1-4FE6-8398-CA0E728BE2B9}"/>
    <cellStyle name="Migliaia 46 3 4 2 6" xfId="16643" xr:uid="{86292850-7936-415E-AF71-AF5FC0B5A108}"/>
    <cellStyle name="Migliaia 46 3 4 2 7" xfId="8886" xr:uid="{D578884C-25F3-472A-AB34-3265450A6D56}"/>
    <cellStyle name="Migliaia 46 3 4 3" xfId="6662" xr:uid="{350087F6-2FAC-4028-9028-E3C833BE3CB6}"/>
    <cellStyle name="Migliaia 46 3 4 3 2" xfId="35405" xr:uid="{8E560535-6AFF-47C6-96A2-D1553E365CC3}"/>
    <cellStyle name="Migliaia 46 3 4 3 2 2" xfId="40565" xr:uid="{C7FF7C6E-6EA6-483B-A5BE-2C62CA19F942}"/>
    <cellStyle name="Migliaia 46 3 4 3 2 3" xfId="45867" xr:uid="{707C9BE1-0197-426B-AEEE-036A5A69D4BE}"/>
    <cellStyle name="Migliaia 46 3 4 3 3" xfId="37914" xr:uid="{C2C10D93-B7DE-4327-A304-8A507097B792}"/>
    <cellStyle name="Migliaia 46 3 4 3 4" xfId="43216" xr:uid="{D71D576A-2352-4B37-8791-A658FDEE0BC5}"/>
    <cellStyle name="Migliaia 46 3 4 3 5" xfId="13711" xr:uid="{AB1DAF6D-BC57-497A-9119-1A6DF9A0D012}"/>
    <cellStyle name="Migliaia 46 3 4 4" xfId="20747" xr:uid="{D8969F87-58DC-44B4-90E5-4553D8D7E8BC}"/>
    <cellStyle name="Migliaia 46 3 4 4 2" xfId="39837" xr:uid="{0AE8AD8B-23F8-423B-9B7B-A3B1083E75F6}"/>
    <cellStyle name="Migliaia 46 3 4 4 3" xfId="45139" xr:uid="{6CB9E858-FE06-4F96-9239-3CCCBB0E09BE}"/>
    <cellStyle name="Migliaia 46 3 4 4 4" xfId="34264" xr:uid="{4DBE1E2D-1570-4329-879A-8CEE18BBEC8B}"/>
    <cellStyle name="Migliaia 46 3 4 5" xfId="37225" xr:uid="{3B658666-2F13-47FF-A496-C6B75000ECD2}"/>
    <cellStyle name="Migliaia 46 3 4 6" xfId="42488" xr:uid="{9E6DAB67-A7AD-44BF-AE30-7018E96EC373}"/>
    <cellStyle name="Migliaia 46 3 4 7" xfId="16642" xr:uid="{FB2FFD9A-461D-4111-B12D-F3E9F784979B}"/>
    <cellStyle name="Migliaia 46 3 4 8" xfId="7696" xr:uid="{EF75146A-E40A-4297-8F90-7B43CBCBAD89}"/>
    <cellStyle name="Migliaia 46 3 5" xfId="3753" xr:uid="{96EF8DCE-EBA0-4540-A29C-075BA3A6B594}"/>
    <cellStyle name="Migliaia 46 3 5 2" xfId="5479" xr:uid="{142E5445-07C7-4A47-8072-7A021AC9AA93}"/>
    <cellStyle name="Migliaia 46 3 5 2 2" xfId="35406" xr:uid="{801E2A33-1C1A-4B4C-B3F0-E10DAC037C30}"/>
    <cellStyle name="Migliaia 46 3 5 2 2 2" xfId="40566" xr:uid="{8DCF7864-2731-4A23-8A82-8518D14FFF6C}"/>
    <cellStyle name="Migliaia 46 3 5 2 2 3" xfId="45868" xr:uid="{1DB6E03E-ED4E-4868-A041-43B7ABCC3B00}"/>
    <cellStyle name="Migliaia 46 3 5 2 3" xfId="37915" xr:uid="{B2E4EEDD-5C5D-46F2-A8EC-9421BA8354A1}"/>
    <cellStyle name="Migliaia 46 3 5 2 4" xfId="43217" xr:uid="{1F84CB10-9C67-45E0-847D-45F61D002882}"/>
    <cellStyle name="Migliaia 46 3 5 2 5" xfId="14301" xr:uid="{AAEB9E7D-5353-458A-A9D0-56EF91BE3FDA}"/>
    <cellStyle name="Migliaia 46 3 5 3" xfId="6663" xr:uid="{E97B99D4-CFEF-455D-B549-94A713F7A832}"/>
    <cellStyle name="Migliaia 46 3 5 3 2" xfId="39838" xr:uid="{D3100E9E-51F9-43C9-8CE7-DCD08FF132E3}"/>
    <cellStyle name="Migliaia 46 3 5 3 3" xfId="45140" xr:uid="{80E3E301-FA38-4846-BD91-7DA143BED360}"/>
    <cellStyle name="Migliaia 46 3 5 3 4" xfId="34265" xr:uid="{1B06AC8E-0C63-4781-BB77-571F92EB9149}"/>
    <cellStyle name="Migliaia 46 3 5 3 5" xfId="20749" xr:uid="{6F4DEE75-B74E-41C5-8A0E-EA2E57D7B5EE}"/>
    <cellStyle name="Migliaia 46 3 5 4" xfId="37226" xr:uid="{CFDB4FE6-A32A-45C4-A015-8E0D7F16A81F}"/>
    <cellStyle name="Migliaia 46 3 5 5" xfId="42489" xr:uid="{2C6AF2DA-CC54-4293-A005-B2C454111974}"/>
    <cellStyle name="Migliaia 46 3 5 6" xfId="16644" xr:uid="{13E8C87D-C988-4A11-8C3D-D6FC9F549D99}"/>
    <cellStyle name="Migliaia 46 3 5 7" xfId="8363" xr:uid="{4A745A9B-DDA1-40AF-9FC8-0DA504B5C26D}"/>
    <cellStyle name="Migliaia 46 3 6" xfId="5474" xr:uid="{791EB1AA-901B-4755-A300-2AA74D7CE06C}"/>
    <cellStyle name="Migliaia 46 3 6 2" xfId="14006" xr:uid="{316936FF-441A-4963-95A5-8A127F7A3734}"/>
    <cellStyle name="Migliaia 46 3 6 2 2" xfId="39839" xr:uid="{E5D21603-D262-4942-816C-BB0AB8397437}"/>
    <cellStyle name="Migliaia 46 3 6 2 3" xfId="45141" xr:uid="{DF49DEC7-2F98-4BCE-9307-361EEDE27045}"/>
    <cellStyle name="Migliaia 46 3 6 3" xfId="18143" xr:uid="{AD750B1E-B0B2-40D1-B21C-8DCBBFF408C2}"/>
    <cellStyle name="Migliaia 46 3 6 4" xfId="20750" xr:uid="{0D4ACB03-7676-4127-B8F8-D895670CC45F}"/>
    <cellStyle name="Migliaia 46 3 6 4 2" xfId="42490" xr:uid="{C0591369-13D8-4CC3-A35B-1807684C57EA}"/>
    <cellStyle name="Migliaia 46 3 6 5" xfId="16645" xr:uid="{F218D61A-631F-482C-9523-0701B355C9E7}"/>
    <cellStyle name="Migliaia 46 3 6 6" xfId="7984" xr:uid="{3FD3313F-2394-4D0A-9AF1-DFAB78A2C64D}"/>
    <cellStyle name="Migliaia 46 3 7" xfId="6658" xr:uid="{7BCFB411-9239-44B8-AD44-E74FF61584A3}"/>
    <cellStyle name="Migliaia 46 3 7 2" xfId="34266" xr:uid="{8D23C66D-F6B8-4C42-B342-456E3DAE0242}"/>
    <cellStyle name="Migliaia 46 3 7 2 2" xfId="39840" xr:uid="{BE99A6C0-3483-4FE0-AA66-1F871185CEEA}"/>
    <cellStyle name="Migliaia 46 3 7 2 3" xfId="45142" xr:uid="{E5A6F1A2-D339-4543-979A-4C1A26ECBE56}"/>
    <cellStyle name="Migliaia 46 3 7 3" xfId="37227" xr:uid="{8D7C06AB-6DE4-44A4-9151-7408B26F6D2F}"/>
    <cellStyle name="Migliaia 46 3 7 4" xfId="42491" xr:uid="{9475610D-5C4E-4854-A7C0-CADA719418EC}"/>
    <cellStyle name="Migliaia 46 3 7 5" xfId="12248" xr:uid="{4B4AF906-C59A-4E26-AADC-95811D5980F5}"/>
    <cellStyle name="Migliaia 46 3 8" xfId="3748" xr:uid="{7AF1ED60-1AF0-46F3-A238-E22CB4B93686}"/>
    <cellStyle name="Migliaia 46 3 8 2" xfId="34267" xr:uid="{924A7540-99E4-4468-8D26-421B49CB7BEC}"/>
    <cellStyle name="Migliaia 46 3 8 2 2" xfId="39841" xr:uid="{BB4BF53C-73A7-4EA9-9CC9-A55C30695BE4}"/>
    <cellStyle name="Migliaia 46 3 8 2 3" xfId="45143" xr:uid="{BE840805-BD3E-4FB4-967B-D349B52A4713}"/>
    <cellStyle name="Migliaia 46 3 8 3" xfId="37228" xr:uid="{9EE4AE36-9D21-476A-86AC-7C5ACB31750F}"/>
    <cellStyle name="Migliaia 46 3 8 4" xfId="42492" xr:uid="{DFD80FE6-7AFC-44DB-B669-2A6FD6CE2FE9}"/>
    <cellStyle name="Migliaia 46 3 8 5" xfId="25148" xr:uid="{22F17F04-C591-4327-ABC2-FD82A1FAEE8D}"/>
    <cellStyle name="Migliaia 46 3 8 6" xfId="17307" xr:uid="{21498629-CC6A-4382-A719-33CC21EEC0CE}"/>
    <cellStyle name="Migliaia 46 3 9" xfId="20741" xr:uid="{CF35EF3C-01C9-409B-9C4B-99ABDBD0796C}"/>
    <cellStyle name="Migliaia 46 4" xfId="1858" xr:uid="{00000000-0005-0000-0000-00002D040000}"/>
    <cellStyle name="Migliaia 46 4 2" xfId="1859" xr:uid="{00000000-0005-0000-0000-00002E040000}"/>
    <cellStyle name="Migliaia 46 4 2 2" xfId="5481" xr:uid="{8EE5C577-EE62-4743-9615-ACAC84407180}"/>
    <cellStyle name="Migliaia 46 4 2 2 2" xfId="34268" xr:uid="{4E1E0A8B-E58D-4391-B776-45DDFCE99E91}"/>
    <cellStyle name="Migliaia 46 4 2 2 2 2" xfId="39842" xr:uid="{F76C486C-BAB0-4816-B0F6-5D13EDD63AF3}"/>
    <cellStyle name="Migliaia 46 4 2 2 2 3" xfId="45144" xr:uid="{7F1B81A3-A4FB-4E7A-B307-16F29E7B5FAB}"/>
    <cellStyle name="Migliaia 46 4 2 2 3" xfId="37229" xr:uid="{CFD9DE00-1ABA-4CAF-97D6-7318E3D18AB0}"/>
    <cellStyle name="Migliaia 46 4 2 2 4" xfId="42493" xr:uid="{F355B6A7-53D9-4C57-8F15-3B8808FCC84A}"/>
    <cellStyle name="Migliaia 46 4 2 2 5" xfId="9188" xr:uid="{A7582FF8-057B-435C-8451-2219A00E4D8D}"/>
    <cellStyle name="Migliaia 46 4 2 3" xfId="3755" xr:uid="{7DFFFB86-9FD2-49D6-8218-34A4FF769132}"/>
    <cellStyle name="Migliaia 46 4 2 3 2" xfId="34269" xr:uid="{C1E7341C-2962-40C0-8FF0-092DCB837259}"/>
    <cellStyle name="Migliaia 46 4 2 3 2 2" xfId="39843" xr:uid="{51CAEE99-CEB3-4DD8-ADB4-7B7D687CEBA3}"/>
    <cellStyle name="Migliaia 46 4 2 3 2 3" xfId="45145" xr:uid="{E0E3FE48-E048-45F2-8D6B-63D3499E53C5}"/>
    <cellStyle name="Migliaia 46 4 2 3 3" xfId="37230" xr:uid="{30CBB57A-1752-447A-BEFF-50922180A6AA}"/>
    <cellStyle name="Migliaia 46 4 2 3 4" xfId="42494" xr:uid="{B5C8EF9F-73FC-4E28-BC8A-8E000C0F4738}"/>
    <cellStyle name="Migliaia 46 4 2 3 5" xfId="12049" xr:uid="{2CDE1213-E5EA-4D91-ABD4-8CE61935FED7}"/>
    <cellStyle name="Migliaia 46 4 2 4" xfId="11398" xr:uid="{C1DC0481-6A64-42DB-B641-ECF728AC468A}"/>
    <cellStyle name="Migliaia 46 4 2 5" xfId="10936" xr:uid="{6DD5FBFA-1077-4142-BA85-C1FD32916431}"/>
    <cellStyle name="Migliaia 46 4 2 5 2" xfId="21571" xr:uid="{BA1F5722-5EE4-4373-B050-E043BA6B1CFA}"/>
    <cellStyle name="Migliaia 46 4 2 5 3" xfId="47310" xr:uid="{3416746A-652F-4D4D-8B30-3BA2F63B0A69}"/>
    <cellStyle name="Migliaia 46 4 2 5 4" xfId="50586" xr:uid="{B9F8B641-262D-4BF0-98F6-2D51F378C89C}"/>
    <cellStyle name="Migliaia 46 4 2 5 5" xfId="53602" xr:uid="{7D40FD53-4C08-4B0E-8DC2-AB24D0AB2F9C}"/>
    <cellStyle name="Migliaia 46 4 2 6" xfId="20752" xr:uid="{F2E49407-6D76-4300-AC5F-0258E8243C8F}"/>
    <cellStyle name="Migliaia 46 4 2 7" xfId="25150" xr:uid="{C491E25F-00AE-4382-B151-FB8DCB885C54}"/>
    <cellStyle name="Migliaia 46 4 2 8" xfId="8724" xr:uid="{92E852B0-B8F5-4859-B46F-D652592EE3B9}"/>
    <cellStyle name="Migliaia 46 4 3" xfId="5480" xr:uid="{80163026-F19E-4685-8285-E88D17E548D9}"/>
    <cellStyle name="Migliaia 46 4 3 2" xfId="18243" xr:uid="{788812CE-3E87-47C5-B13E-CBCCF4F83280}"/>
    <cellStyle name="Migliaia 46 4 3 2 2" xfId="39844" xr:uid="{3FBB2D95-B8B2-4681-A0A8-B45418E7A80C}"/>
    <cellStyle name="Migliaia 46 4 3 2 3" xfId="45146" xr:uid="{8E8B7554-02BD-42A4-AF99-DAACD478AE50}"/>
    <cellStyle name="Migliaia 46 4 3 3" xfId="37231" xr:uid="{A46E9FA3-3ACA-4B5B-803F-1DC99EAA5A1B}"/>
    <cellStyle name="Migliaia 46 4 3 4" xfId="42495" xr:uid="{B0FEBC88-AC81-448A-9B4C-9FFB0BA247A4}"/>
    <cellStyle name="Migliaia 46 4 3 5" xfId="17305" xr:uid="{9762606E-B860-41E1-BC4C-84C96329FA4E}"/>
    <cellStyle name="Migliaia 46 4 3 6" xfId="9189" xr:uid="{AB0BA984-0651-432B-A289-544D83E8E5FC}"/>
    <cellStyle name="Migliaia 46 4 4" xfId="6664" xr:uid="{DD892B3B-1930-4DA2-9FCF-6C45F366021C}"/>
    <cellStyle name="Migliaia 46 4 4 2" xfId="34270" xr:uid="{B6B82E84-D0FC-441F-9018-37167A8CAF4E}"/>
    <cellStyle name="Migliaia 46 4 4 2 2" xfId="39845" xr:uid="{1E847A80-D441-41F8-931F-C2D5C8CA3099}"/>
    <cellStyle name="Migliaia 46 4 4 2 3" xfId="45147" xr:uid="{A6EFC519-9878-4579-819E-FB49CEB774BC}"/>
    <cellStyle name="Migliaia 46 4 4 3" xfId="37232" xr:uid="{9C9EA2B8-B95F-41F2-B8A6-EEFD4CDEDE1B}"/>
    <cellStyle name="Migliaia 46 4 4 4" xfId="42496" xr:uid="{002E3897-7F46-42D5-91A7-B2F6AD4121C9}"/>
    <cellStyle name="Migliaia 46 4 4 5" xfId="12050" xr:uid="{4B53916D-40ED-4468-8110-28C7E573280E}"/>
    <cellStyle name="Migliaia 46 4 5" xfId="3754" xr:uid="{21D75C22-4D3D-460C-8760-F59B699F5A4B}"/>
    <cellStyle name="Migliaia 46 4 5 2" xfId="34271" xr:uid="{DBD64D81-9136-48A6-B885-D91563E885CF}"/>
    <cellStyle name="Migliaia 46 4 5 2 2" xfId="39846" xr:uid="{618D7159-B307-4DE5-A9EB-80BFDC31095C}"/>
    <cellStyle name="Migliaia 46 4 5 2 3" xfId="45148" xr:uid="{1B5110C7-FED1-4CC3-819C-70B98AAD96ED}"/>
    <cellStyle name="Migliaia 46 4 5 3" xfId="37233" xr:uid="{22EFE003-144B-4B02-BCC7-AA86B2CA6152}"/>
    <cellStyle name="Migliaia 46 4 5 4" xfId="42497" xr:uid="{96811363-F9BC-4309-AC90-E16472071013}"/>
    <cellStyle name="Migliaia 46 4 5 5" xfId="11397" xr:uid="{5F6939AB-771A-455C-9B1B-EA59F9373482}"/>
    <cellStyle name="Migliaia 46 4 6" xfId="10935" xr:uid="{E0625DD4-B6BE-4460-B757-333F5F6CBFA2}"/>
    <cellStyle name="Migliaia 46 4 6 2" xfId="21570" xr:uid="{AF570ED4-CDE6-4FE9-A60A-4051BA107993}"/>
    <cellStyle name="Migliaia 46 4 6 2 2" xfId="39847" xr:uid="{49133F8A-EC2E-41F2-A07F-47885D48183B}"/>
    <cellStyle name="Migliaia 46 4 6 2 3" xfId="45149" xr:uid="{24D038BE-6A06-40B1-8A8E-E24F927D2B17}"/>
    <cellStyle name="Migliaia 46 4 6 2 4" xfId="34272" xr:uid="{3F52F045-6809-4A97-8430-A4D5CFFEA950}"/>
    <cellStyle name="Migliaia 46 4 6 3" xfId="37234" xr:uid="{785D8B59-6F26-49E6-81FA-BF7F4AC25BD1}"/>
    <cellStyle name="Migliaia 46 4 6 4" xfId="42498" xr:uid="{64B385A4-BAED-4278-8781-2FDE56CB1DAF}"/>
    <cellStyle name="Migliaia 46 4 6 5" xfId="25151" xr:uid="{AC217BEF-B8A5-4F7F-B1EF-782128C323BA}"/>
    <cellStyle name="Migliaia 46 4 6 6" xfId="47427" xr:uid="{1F4301F0-752A-4D97-806D-5238A496DB7D}"/>
    <cellStyle name="Migliaia 46 4 6 7" xfId="50585" xr:uid="{B2C1D74B-76C1-4783-8C27-74EDDCEAD175}"/>
    <cellStyle name="Migliaia 46 4 6 8" xfId="53601" xr:uid="{3B7F9402-6E0A-4158-BFD6-3949F9A17D1F}"/>
    <cellStyle name="Migliaia 46 4 7" xfId="20751" xr:uid="{40F36421-FF64-4A3F-99A6-D90B7EB2363B}"/>
    <cellStyle name="Migliaia 46 4 7 2" xfId="34273" xr:uid="{67AD894B-7EC7-4EC0-8A7A-E99D2CF15118}"/>
    <cellStyle name="Migliaia 46 4 7 2 2" xfId="39848" xr:uid="{27914DBA-EBB5-4362-8BAB-5C37014BF385}"/>
    <cellStyle name="Migliaia 46 4 7 2 3" xfId="45150" xr:uid="{3B00FC05-90ED-4D99-B478-96E19EE6FEAA}"/>
    <cellStyle name="Migliaia 46 4 7 3" xfId="37235" xr:uid="{EB166857-FC0A-444E-9080-34279478D67A}"/>
    <cellStyle name="Migliaia 46 4 7 4" xfId="42499" xr:uid="{BA3AD520-E55C-4ADF-A657-22445C514F15}"/>
    <cellStyle name="Migliaia 46 4 7 5" xfId="25152" xr:uid="{8C535E9A-77BE-4ECE-BF4A-0499ADC7A6C4}"/>
    <cellStyle name="Migliaia 46 4 8" xfId="25149" xr:uid="{FD7B0012-0401-4708-9A2D-2DCA1F5B4CF9}"/>
    <cellStyle name="Migliaia 46 4 9" xfId="7534" xr:uid="{C6399183-FEE4-4182-BAA6-2F3BECE6BAAA}"/>
    <cellStyle name="Migliaia 46 5" xfId="1860" xr:uid="{00000000-0005-0000-0000-00002F040000}"/>
    <cellStyle name="Migliaia 46 5 2" xfId="5482" xr:uid="{59338C53-D48E-457B-B9C3-C5DC44F3310B}"/>
    <cellStyle name="Migliaia 46 5 2 2" xfId="18484" xr:uid="{E8CA00F7-879B-4F53-B05F-1677C76D0DC4}"/>
    <cellStyle name="Migliaia 46 5 2 2 2" xfId="39849" xr:uid="{19B72BFA-0BA6-404D-B33D-CE6234FAF7D5}"/>
    <cellStyle name="Migliaia 46 5 2 2 3" xfId="45151" xr:uid="{527460D6-73F0-4AC7-A347-D4990DBB91C0}"/>
    <cellStyle name="Migliaia 46 5 2 3" xfId="20754" xr:uid="{29BC4323-F4DA-40B9-88D0-40EF046D43EF}"/>
    <cellStyle name="Migliaia 46 5 2 3 2" xfId="37236" xr:uid="{D8E4CE0E-8272-42E8-AD0C-B63AF3261CAF}"/>
    <cellStyle name="Migliaia 46 5 2 4" xfId="42500" xr:uid="{2694F40B-09DA-4F4B-96F5-1DF8374529D2}"/>
    <cellStyle name="Migliaia 46 5 2 5" xfId="16646" xr:uid="{954F5968-8D79-41F8-BFFE-1ED007BF2858}"/>
    <cellStyle name="Migliaia 46 5 2 6" xfId="8725" xr:uid="{78A7551B-8C95-49EE-B95E-01C87CB247F6}"/>
    <cellStyle name="Migliaia 46 5 3" xfId="6665" xr:uid="{DA403AF9-9141-4A89-B56A-92414CFE7274}"/>
    <cellStyle name="Migliaia 46 5 3 2" xfId="34274" xr:uid="{2F3EC246-BCAE-4A7D-BC25-99520B06A03E}"/>
    <cellStyle name="Migliaia 46 5 3 2 2" xfId="39850" xr:uid="{549DFA70-F5CB-4AB5-AFE1-7AD08D566660}"/>
    <cellStyle name="Migliaia 46 5 3 2 3" xfId="45152" xr:uid="{119DEFF2-C599-468D-A32F-C0635FDFBBA3}"/>
    <cellStyle name="Migliaia 46 5 3 3" xfId="37237" xr:uid="{BA90ACD1-E479-4253-A071-59501BC51BB6}"/>
    <cellStyle name="Migliaia 46 5 3 4" xfId="42501" xr:uid="{8715A3CC-9310-49A7-ACE5-27FA312C89CE}"/>
    <cellStyle name="Migliaia 46 5 3 5" xfId="11399" xr:uid="{E660679F-7E4A-47F0-90B6-3884C9DDB17B}"/>
    <cellStyle name="Migliaia 46 5 4" xfId="3756" xr:uid="{C7A418DF-17FC-4179-BF40-776395AB3D11}"/>
    <cellStyle name="Migliaia 46 5 4 2" xfId="21572" xr:uid="{CC9DADE3-2683-4DF6-B663-2367E1CC6DD0}"/>
    <cellStyle name="Migliaia 46 5 4 2 2" xfId="39851" xr:uid="{B360582F-B539-4719-BBFC-A33A85467706}"/>
    <cellStyle name="Migliaia 46 5 4 2 3" xfId="45153" xr:uid="{42FAD991-6672-488E-9BD4-6F216288FB24}"/>
    <cellStyle name="Migliaia 46 5 4 2 4" xfId="34275" xr:uid="{C1880878-7F5B-4208-AFA8-DDDD0219F1A1}"/>
    <cellStyle name="Migliaia 46 5 4 3" xfId="37238" xr:uid="{DCA5BAE4-D0A1-4EF9-BD6E-F631315CF414}"/>
    <cellStyle name="Migliaia 46 5 4 4" xfId="42502" xr:uid="{30EE2E70-3C5B-46C7-9D1D-D61038332661}"/>
    <cellStyle name="Migliaia 46 5 4 5" xfId="25154" xr:uid="{30DBA3F3-AA0D-44FA-AFF7-E0A6510A8EBF}"/>
    <cellStyle name="Migliaia 46 5 4 6" xfId="46260" xr:uid="{A4C25B83-26AB-445F-90E1-D72E09FE0E7F}"/>
    <cellStyle name="Migliaia 46 5 4 7" xfId="50587" xr:uid="{0697CABF-A99A-44BD-9986-C43AA96E681D}"/>
    <cellStyle name="Migliaia 46 5 4 8" xfId="53603" xr:uid="{FD674446-56F1-4BF6-86D8-EEEAE271F08C}"/>
    <cellStyle name="Migliaia 46 5 4 9" xfId="10937" xr:uid="{D38BB2C6-706E-49B8-BE0E-FEB79E6822B0}"/>
    <cellStyle name="Migliaia 46 5 5" xfId="20753" xr:uid="{A3FB3B2E-5889-4A82-88B0-1F666300E87D}"/>
    <cellStyle name="Migliaia 46 5 5 2" xfId="34276" xr:uid="{59DE34D0-0332-4B79-A8E3-C2FE8DA8F28E}"/>
    <cellStyle name="Migliaia 46 5 5 2 2" xfId="39852" xr:uid="{235E6BB8-703E-4953-9A7C-EDD3024E0CE6}"/>
    <cellStyle name="Migliaia 46 5 5 2 3" xfId="45154" xr:uid="{3559690E-B7B8-4220-8E57-80F14ED738AF}"/>
    <cellStyle name="Migliaia 46 5 5 3" xfId="37239" xr:uid="{A918EA5D-479D-44A7-B42B-A7301BFD0FA9}"/>
    <cellStyle name="Migliaia 46 5 5 4" xfId="42503" xr:uid="{8C894095-8164-4F28-9E72-9D81B8480D1D}"/>
    <cellStyle name="Migliaia 46 5 5 5" xfId="25155" xr:uid="{FF552209-3998-47E3-B109-FEE85968FECE}"/>
    <cellStyle name="Migliaia 46 5 6" xfId="25156" xr:uid="{FD38D098-E8EE-4DFA-A91F-CB42264D1DC6}"/>
    <cellStyle name="Migliaia 46 5 6 2" xfId="34277" xr:uid="{DD3F8A60-9754-4EF6-9DC2-26E389BBEC2A}"/>
    <cellStyle name="Migliaia 46 5 6 2 2" xfId="39853" xr:uid="{7EBCC056-6C73-4884-B8FF-2BA0DF76628F}"/>
    <cellStyle name="Migliaia 46 5 6 2 3" xfId="45155" xr:uid="{1B8247D6-C38A-443C-BA77-EDCD241B50A6}"/>
    <cellStyle name="Migliaia 46 5 6 3" xfId="37240" xr:uid="{7ABFF4B3-CA57-41C4-A8B9-9F640E25FD2F}"/>
    <cellStyle name="Migliaia 46 5 6 4" xfId="42504" xr:uid="{81FD7248-0338-4C50-9A9A-4D770F672E5E}"/>
    <cellStyle name="Migliaia 46 5 7" xfId="25153" xr:uid="{0294ADE2-1227-4332-AC94-7550C8622EC0}"/>
    <cellStyle name="Migliaia 46 5 8" xfId="7535" xr:uid="{395C751D-9921-4122-879F-CEADFB5255D1}"/>
    <cellStyle name="Migliaia 46 6" xfId="3757" xr:uid="{C7EB0CDC-7E81-4458-87BA-F2890ECBD7C0}"/>
    <cellStyle name="Migliaia 46 6 2" xfId="5483" xr:uid="{709C9577-B994-42ED-B7F3-08AA34E5BC19}"/>
    <cellStyle name="Migliaia 46 6 2 2" xfId="9961" xr:uid="{1F2B35AB-3795-4E74-906D-61C565D267B4}"/>
    <cellStyle name="Migliaia 46 6 2 3" xfId="18640" xr:uid="{E01BD415-341C-408E-8064-3662671FC776}"/>
    <cellStyle name="Migliaia 46 6 2 4" xfId="20756" xr:uid="{EF18E96B-C0B5-48B6-9B26-42F7DC554B6F}"/>
    <cellStyle name="Migliaia 46 6 2 5" xfId="32441" xr:uid="{827704D9-3A15-49BB-BABF-B3182B78841B}"/>
    <cellStyle name="Migliaia 46 6 2 6" xfId="16648" xr:uid="{236767C9-AB73-496A-A1BF-8357B30A6084}"/>
    <cellStyle name="Migliaia 46 6 2 7" xfId="8720" xr:uid="{59D57109-857F-454F-9264-1D0071DDBE25}"/>
    <cellStyle name="Migliaia 46 6 3" xfId="6666" xr:uid="{ED4F6FE0-6C02-4CF3-90EA-0F6E0EF41885}"/>
    <cellStyle name="Migliaia 46 6 3 2" xfId="35407" xr:uid="{48B8CCFC-D7DF-401C-AD4E-C260829400E9}"/>
    <cellStyle name="Migliaia 46 6 3 2 2" xfId="40567" xr:uid="{9D2525A8-2D6D-481E-8692-E81ECE39DD17}"/>
    <cellStyle name="Migliaia 46 6 3 2 3" xfId="45869" xr:uid="{3F4600AE-F898-4C92-8423-59878228F6D7}"/>
    <cellStyle name="Migliaia 46 6 3 3" xfId="37916" xr:uid="{27AB7022-A6E5-45DD-8317-1EE88737B21B}"/>
    <cellStyle name="Migliaia 46 6 3 4" xfId="43218" xr:uid="{B68A4CD7-11EB-4896-956D-D9DE176C1A55}"/>
    <cellStyle name="Migliaia 46 6 3 5" xfId="9724" xr:uid="{74D8D098-FEE6-43AE-9BF4-FF2C0FF8AB14}"/>
    <cellStyle name="Migliaia 46 6 4" xfId="20755" xr:uid="{ACF3C187-BED3-4D51-B5D5-8D444571B95F}"/>
    <cellStyle name="Migliaia 46 6 4 2" xfId="39854" xr:uid="{DD459F02-7C0A-402C-A495-402C1E06A9C8}"/>
    <cellStyle name="Migliaia 46 6 4 3" xfId="45156" xr:uid="{87AD234F-57BD-40FA-8343-56C0F63B1379}"/>
    <cellStyle name="Migliaia 46 6 4 4" xfId="34278" xr:uid="{0278D5CC-8FC0-43F6-B472-D5AC5D7FEAE5}"/>
    <cellStyle name="Migliaia 46 6 5" xfId="37241" xr:uid="{5D18C243-7FC6-4527-B471-95B067997D10}"/>
    <cellStyle name="Migliaia 46 6 6" xfId="42505" xr:uid="{79D5237E-3706-4B54-8147-26AAF11C6412}"/>
    <cellStyle name="Migliaia 46 6 7" xfId="16647" xr:uid="{5BC2763D-7483-4EC2-A89C-51743015FF3F}"/>
    <cellStyle name="Migliaia 46 6 8" xfId="7530" xr:uid="{EBFEC8B9-6571-455B-859E-A89DC6C609EB}"/>
    <cellStyle name="Migliaia 46 7" xfId="3758" xr:uid="{ED74A01A-CB09-41E1-A89C-E75A48F8B810}"/>
    <cellStyle name="Migliaia 46 7 2" xfId="5484" xr:uid="{20B75C15-BCA0-423B-9D2D-637D9587551D}"/>
    <cellStyle name="Migliaia 46 7 2 2" xfId="35408" xr:uid="{5F1628F2-152D-43DE-A092-AC2C3C5F7212}"/>
    <cellStyle name="Migliaia 46 7 2 2 2" xfId="40568" xr:uid="{41E8E01C-4E15-4E02-A09E-1AF769E15B05}"/>
    <cellStyle name="Migliaia 46 7 2 2 3" xfId="45870" xr:uid="{6CEB436F-E06A-4D15-B31D-C754075646D0}"/>
    <cellStyle name="Migliaia 46 7 2 3" xfId="37917" xr:uid="{380B0764-D2CD-4509-B1E1-D03AA7761B32}"/>
    <cellStyle name="Migliaia 46 7 2 4" xfId="43219" xr:uid="{BF06D51E-70DC-4CA4-B5D2-A0010E1F4B71}"/>
    <cellStyle name="Migliaia 46 7 2 5" xfId="14299" xr:uid="{5979E2FF-279D-4ABC-891F-ACCB72A1DB36}"/>
    <cellStyle name="Migliaia 46 7 3" xfId="6667" xr:uid="{CDEAFA78-86A6-4034-8C33-82ABFC96A806}"/>
    <cellStyle name="Migliaia 46 7 3 2" xfId="39855" xr:uid="{4269250F-91C2-4A95-85D7-6D5BDA9B6F39}"/>
    <cellStyle name="Migliaia 46 7 3 3" xfId="45157" xr:uid="{0696E9E8-5B22-467A-8486-6A9887254126}"/>
    <cellStyle name="Migliaia 46 7 3 4" xfId="34279" xr:uid="{524004A6-C62B-4A7A-AAB6-69E63161B4DC}"/>
    <cellStyle name="Migliaia 46 7 3 5" xfId="20757" xr:uid="{039B9ECF-4DBB-47A1-8BE8-AA6747B17DB1}"/>
    <cellStyle name="Migliaia 46 7 4" xfId="37242" xr:uid="{6362FE89-3989-4972-A2D7-FCFAFA1EB8AA}"/>
    <cellStyle name="Migliaia 46 7 5" xfId="42506" xr:uid="{AEFFE9E8-E8AF-42B1-B9CE-536C7E611F34}"/>
    <cellStyle name="Migliaia 46 7 6" xfId="16649" xr:uid="{AA314AED-6B78-4252-B89D-30370803292B}"/>
    <cellStyle name="Migliaia 46 7 7" xfId="8361" xr:uid="{EA8D4DCD-2FCD-41CA-BD6E-110EB0B628A4}"/>
    <cellStyle name="Migliaia 46 8" xfId="3759" xr:uid="{5BF3515C-FA1A-4236-91D3-5547CA86AF7A}"/>
    <cellStyle name="Migliaia 46 8 2" xfId="5485" xr:uid="{407376C9-4ED2-413C-92F2-C534AC9748E5}"/>
    <cellStyle name="Migliaia 46 8 2 2" xfId="35409" xr:uid="{B2DB2B43-D906-4FC7-8294-ADBBCFD3171D}"/>
    <cellStyle name="Migliaia 46 8 2 2 2" xfId="40569" xr:uid="{0193B82E-5C1A-40BB-877C-2246B34E7C22}"/>
    <cellStyle name="Migliaia 46 8 2 2 3" xfId="45871" xr:uid="{4A63D364-721D-4A8D-A86F-E43376A4EFED}"/>
    <cellStyle name="Migliaia 46 8 2 3" xfId="37918" xr:uid="{DA947AEF-CE8F-41E3-AE2B-9FEB87E7BFF9}"/>
    <cellStyle name="Migliaia 46 8 2 4" xfId="43220" xr:uid="{9B2BDE60-1CCE-4559-B1AB-54BB39B073C4}"/>
    <cellStyle name="Migliaia 46 8 2 5" xfId="14004" xr:uid="{9AB3B737-5671-4C24-A26E-E1625AEE500B}"/>
    <cellStyle name="Migliaia 46 8 3" xfId="6668" xr:uid="{87B3C641-C4DC-4C6C-87F3-A705526F1A55}"/>
    <cellStyle name="Migliaia 46 8 3 2" xfId="39856" xr:uid="{640FF09B-B3C1-42DB-8739-3BD764FC7D05}"/>
    <cellStyle name="Migliaia 46 8 3 3" xfId="45158" xr:uid="{5FDED6FC-4AA0-492B-83FD-D6FA3E405FD7}"/>
    <cellStyle name="Migliaia 46 8 3 4" xfId="34280" xr:uid="{DFE76762-72B0-4F38-A749-62DF7C03E6EA}"/>
    <cellStyle name="Migliaia 46 8 3 5" xfId="20758" xr:uid="{A298DB5A-7375-465E-BA4C-D249F13B2086}"/>
    <cellStyle name="Migliaia 46 8 4" xfId="37243" xr:uid="{55784EA6-78F1-4D64-BB5A-BA7B86D30B9E}"/>
    <cellStyle name="Migliaia 46 8 5" xfId="42507" xr:uid="{8F5897CC-C990-4B7C-9AAA-D17DD07D0E52}"/>
    <cellStyle name="Migliaia 46 8 6" xfId="16650" xr:uid="{54EB37E9-FDCC-436B-A284-E7AFEF3EA574}"/>
    <cellStyle name="Migliaia 46 8 7" xfId="7982" xr:uid="{AEB58526-D24F-4DBC-9890-7529A6DFE925}"/>
    <cellStyle name="Migliaia 46 9" xfId="5470" xr:uid="{1DF514BA-51C7-4BB3-9BCC-D90476BF9D38}"/>
    <cellStyle name="Migliaia 46 9 2" xfId="34281" xr:uid="{AD8D2C6E-E218-4E4D-A1EB-CCE7C5072EA6}"/>
    <cellStyle name="Migliaia 46 9 2 2" xfId="39857" xr:uid="{6410B75C-B84C-44BC-B26B-664A1E052896}"/>
    <cellStyle name="Migliaia 46 9 2 3" xfId="45159" xr:uid="{1C3779F0-EB8B-42DE-B74D-5ED6F3D7F352}"/>
    <cellStyle name="Migliaia 46 9 3" xfId="37244" xr:uid="{8E0EB2AB-BF79-4F3F-AFF9-130FD55A2088}"/>
    <cellStyle name="Migliaia 46 9 4" xfId="42508" xr:uid="{755DDED4-4CD3-440F-B742-D756626BEC0A}"/>
    <cellStyle name="Migliaia 46 9 5" xfId="17215" xr:uid="{4583C464-3551-42BA-9173-91D82C49AB6A}"/>
    <cellStyle name="Migliaia 47" xfId="465" xr:uid="{00000000-0005-0000-0000-000030040000}"/>
    <cellStyle name="Migliaia 47 10" xfId="6669" xr:uid="{58B66077-9DE4-4615-8A05-88F40868DFA6}"/>
    <cellStyle name="Migliaia 47 10 2" xfId="39858" xr:uid="{51E7F5DB-3F10-459D-A1C8-365BB86F70E7}"/>
    <cellStyle name="Migliaia 47 10 3" xfId="45160" xr:uid="{A8DDBE16-93BB-477C-8ED4-0175F96084AB}"/>
    <cellStyle name="Migliaia 47 10 4" xfId="34282" xr:uid="{5580C26A-C636-4D2E-9C7E-BBC96A91C404}"/>
    <cellStyle name="Migliaia 47 10 5" xfId="20759" xr:uid="{8FF02B87-D020-4B8B-9ADE-45D0E7D6FC0D}"/>
    <cellStyle name="Migliaia 47 11" xfId="3760" xr:uid="{30D4AB59-2E0C-4BD0-845B-896614282AC1}"/>
    <cellStyle name="Migliaia 47 11 2" xfId="37245" xr:uid="{602A5055-D0BE-476B-97D4-35F24F30258B}"/>
    <cellStyle name="Migliaia 47 12" xfId="42509" xr:uid="{AB6FA7D1-A3DF-4E56-9314-CA25C3D30F44}"/>
    <cellStyle name="Migliaia 47 13" xfId="7165" xr:uid="{AC5E1B96-ECB5-4302-AA74-780DD5ECF69E}"/>
    <cellStyle name="Migliaia 47 2" xfId="466" xr:uid="{00000000-0005-0000-0000-000031040000}"/>
    <cellStyle name="Migliaia 47 2 2" xfId="1861" xr:uid="{00000000-0005-0000-0000-000032040000}"/>
    <cellStyle name="Migliaia 47 2 2 2" xfId="5488" xr:uid="{F5D4E436-81DE-4984-8C33-44D2F5D5B7CF}"/>
    <cellStyle name="Migliaia 47 2 2 2 2" xfId="14404" xr:uid="{6142B4D7-85BE-4481-A99B-B1061E15952E}"/>
    <cellStyle name="Migliaia 47 2 2 2 2 2" xfId="39859" xr:uid="{0FC8357E-76CB-4C25-BE15-CAC46D25CE30}"/>
    <cellStyle name="Migliaia 47 2 2 2 2 3" xfId="45161" xr:uid="{47A78FA1-0302-415A-8EE5-75FAECEC3928}"/>
    <cellStyle name="Migliaia 47 2 2 2 3" xfId="18485" xr:uid="{434AD15B-14C9-412F-A333-A16475E681B4}"/>
    <cellStyle name="Migliaia 47 2 2 2 4" xfId="20762" xr:uid="{6FCCBBB8-DA9D-44EC-A5E7-89F73FF09F78}"/>
    <cellStyle name="Migliaia 47 2 2 2 4 2" xfId="42510" xr:uid="{390775AA-D824-48E9-B201-287EDB29860E}"/>
    <cellStyle name="Migliaia 47 2 2 2 5" xfId="16651" xr:uid="{E9663506-DCF1-4417-BE54-F7CDA3F66927}"/>
    <cellStyle name="Migliaia 47 2 2 2 6" xfId="8727" xr:uid="{A8DE60AA-F427-4930-972C-4083BDF202CC}"/>
    <cellStyle name="Migliaia 47 2 2 3" xfId="6671" xr:uid="{E007C20A-A4FD-4785-B414-CFCD199C7B8F}"/>
    <cellStyle name="Migliaia 47 2 2 3 2" xfId="35410" xr:uid="{011DB7B5-F66C-4D07-8EDC-DA36550D085C}"/>
    <cellStyle name="Migliaia 47 2 2 3 2 2" xfId="40570" xr:uid="{EFA84E2F-712C-4E00-ABD4-56F6FCBABA1E}"/>
    <cellStyle name="Migliaia 47 2 2 3 2 3" xfId="45872" xr:uid="{F6CC6A80-C285-4E18-A3DD-8A598819CB8D}"/>
    <cellStyle name="Migliaia 47 2 2 3 3" xfId="37919" xr:uid="{6F6B54C3-BFC1-4D68-AADD-03AE43709777}"/>
    <cellStyle name="Migliaia 47 2 2 3 4" xfId="43221" xr:uid="{D3504D7F-33B5-43DD-9EDA-85DE683767D6}"/>
    <cellStyle name="Migliaia 47 2 2 3 5" xfId="11631" xr:uid="{8839CAE9-A517-4904-A670-22F1510D4DFB}"/>
    <cellStyle name="Migliaia 47 2 2 4" xfId="3762" xr:uid="{6A4DA001-497B-4567-95EE-9EE8B2F1E73A}"/>
    <cellStyle name="Migliaia 47 2 2 4 2" xfId="21573" xr:uid="{5A75D05C-C193-4175-AAF5-31C809227508}"/>
    <cellStyle name="Migliaia 47 2 2 4 3" xfId="47904" xr:uid="{2F28772F-7970-4E18-82B8-1F5B469F8559}"/>
    <cellStyle name="Migliaia 47 2 2 4 4" xfId="50588" xr:uid="{3B5F8D1D-0DD9-4B77-B7E5-C9AAA7AF5A85}"/>
    <cellStyle name="Migliaia 47 2 2 4 5" xfId="53604" xr:uid="{20FBBB76-BB1C-42F8-9454-15CFD15681A6}"/>
    <cellStyle name="Migliaia 47 2 2 4 6" xfId="10938" xr:uid="{86B14F87-F0E5-487D-92B3-25C72C066038}"/>
    <cellStyle name="Migliaia 47 2 2 5" xfId="20761" xr:uid="{601AB84D-8BEE-483F-A21C-05C7950F01D9}"/>
    <cellStyle name="Migliaia 47 2 2 6" xfId="25158" xr:uid="{34D4EC2D-2FFE-463C-8EB6-D568D3C9D0A8}"/>
    <cellStyle name="Migliaia 47 2 2 7" xfId="7537" xr:uid="{0E856AE8-A8FA-4F22-B5E8-2857BBAA249B}"/>
    <cellStyle name="Migliaia 47 2 3" xfId="3763" xr:uid="{8EC71CED-A63F-453C-83FF-A7FDAC949A3E}"/>
    <cellStyle name="Migliaia 47 2 3 2" xfId="5489" xr:uid="{F62E0981-0B94-4DEF-A2AC-7464D851E043}"/>
    <cellStyle name="Migliaia 47 2 3 2 2" xfId="35411" xr:uid="{AB6D45B2-F0BF-4763-BC2D-1C62BA4AA59A}"/>
    <cellStyle name="Migliaia 47 2 3 2 2 2" xfId="40571" xr:uid="{05C75B21-64A9-4D47-8AA5-ACB20D8B65A7}"/>
    <cellStyle name="Migliaia 47 2 3 2 2 3" xfId="45873" xr:uid="{C598D2AF-4954-424A-A449-B621E0D3E0CF}"/>
    <cellStyle name="Migliaia 47 2 3 2 3" xfId="37920" xr:uid="{6772EA97-3909-4FEB-A594-838C9BF98CE9}"/>
    <cellStyle name="Migliaia 47 2 3 2 4" xfId="43222" xr:uid="{F7727180-FD67-410B-BF99-894FAA478183}"/>
    <cellStyle name="Migliaia 47 2 3 2 5" xfId="14303" xr:uid="{5F699C29-A1EE-44C6-9A18-AA1C0FD7E4D4}"/>
    <cellStyle name="Migliaia 47 2 3 3" xfId="6672" xr:uid="{3251134C-5FD7-4504-B782-8AB3957D207D}"/>
    <cellStyle name="Migliaia 47 2 3 3 2" xfId="39860" xr:uid="{453ADDCA-C92A-4249-95AE-184778F9F114}"/>
    <cellStyle name="Migliaia 47 2 3 3 3" xfId="45162" xr:uid="{22599909-C5CC-4144-B1BB-ABAD25454FEF}"/>
    <cellStyle name="Migliaia 47 2 3 3 4" xfId="34283" xr:uid="{6B17FF00-BD58-451C-933E-29ED5EF317DB}"/>
    <cellStyle name="Migliaia 47 2 3 3 5" xfId="20763" xr:uid="{91ED2D15-9211-4B30-9F88-D4BC44936EFD}"/>
    <cellStyle name="Migliaia 47 2 3 4" xfId="37246" xr:uid="{92E930DE-A76F-48D8-B8F7-8D63DB860DA2}"/>
    <cellStyle name="Migliaia 47 2 3 5" xfId="42511" xr:uid="{B8CFE0A3-2CB7-40FC-B597-132AB69DFB25}"/>
    <cellStyle name="Migliaia 47 2 3 6" xfId="16652" xr:uid="{34506406-7D51-4ACE-84F1-ECED2636B20A}"/>
    <cellStyle name="Migliaia 47 2 3 7" xfId="8365" xr:uid="{5D2039A7-F463-4FFF-B71F-85101202B48B}"/>
    <cellStyle name="Migliaia 47 2 4" xfId="5487" xr:uid="{9A483735-BE3F-41D2-89FE-BFEE098C3787}"/>
    <cellStyle name="Migliaia 47 2 4 2" xfId="14008" xr:uid="{4EA7AE78-F146-43DA-87B3-F1D44CBA627B}"/>
    <cellStyle name="Migliaia 47 2 4 2 2" xfId="39861" xr:uid="{97C359DF-916C-403A-A5E0-AE6AE1678C93}"/>
    <cellStyle name="Migliaia 47 2 4 2 3" xfId="45163" xr:uid="{93AF5596-080D-4294-8FC4-EFD57C9AA511}"/>
    <cellStyle name="Migliaia 47 2 4 3" xfId="18697" xr:uid="{DB4F0684-6453-46A3-B5B0-19FE758B2E55}"/>
    <cellStyle name="Migliaia 47 2 4 4" xfId="20764" xr:uid="{7D48CAAA-EE2A-4B71-B7BE-74D814299C8D}"/>
    <cellStyle name="Migliaia 47 2 4 4 2" xfId="42512" xr:uid="{818553DD-6566-4947-9C8B-DB98CE755081}"/>
    <cellStyle name="Migliaia 47 2 4 5" xfId="16653" xr:uid="{F13AB95F-C28B-4F76-83C8-215F87ED0176}"/>
    <cellStyle name="Migliaia 47 2 4 6" xfId="7987" xr:uid="{552376A4-F09E-43E1-AE4D-3D5430112559}"/>
    <cellStyle name="Migliaia 47 2 5" xfId="6670" xr:uid="{67FB58E4-996B-4C2F-8B1B-29FFED53830F}"/>
    <cellStyle name="Migliaia 47 2 5 2" xfId="34285" xr:uid="{942789D6-E523-4C3F-8034-AE50579AD94D}"/>
    <cellStyle name="Migliaia 47 2 5 2 2" xfId="39862" xr:uid="{B36BD3A4-3ADC-435C-B545-B00FB73741D4}"/>
    <cellStyle name="Migliaia 47 2 5 2 3" xfId="45164" xr:uid="{A05919B9-C81B-492B-B3C1-FE915E7C2DDD}"/>
    <cellStyle name="Migliaia 47 2 5 3" xfId="37247" xr:uid="{4594CAB5-DA24-408B-BA92-3A6049A9E9F6}"/>
    <cellStyle name="Migliaia 47 2 5 4" xfId="42513" xr:uid="{C1D260C0-EC01-4A37-9F88-2A3C4574E708}"/>
    <cellStyle name="Migliaia 47 2 5 5" xfId="13144" xr:uid="{5A9F3F0E-C538-4FEC-93B0-DEFBB258383A}"/>
    <cellStyle name="Migliaia 47 2 6" xfId="3761" xr:uid="{E70DB612-ECDB-48D8-9547-5B659033AB11}"/>
    <cellStyle name="Migliaia 47 2 6 2" xfId="34286" xr:uid="{94FD381C-9396-4BAE-9A4E-599E6AB3C6F5}"/>
    <cellStyle name="Migliaia 47 2 6 2 2" xfId="39863" xr:uid="{97D7DDF5-C614-48F7-A0E3-44341B5957B8}"/>
    <cellStyle name="Migliaia 47 2 6 2 3" xfId="45165" xr:uid="{3B0B99FB-A3B8-4167-BE75-3CB3953FC7E3}"/>
    <cellStyle name="Migliaia 47 2 6 3" xfId="37248" xr:uid="{404811EF-CDE6-4F4F-8B1D-B4B095B05B8B}"/>
    <cellStyle name="Migliaia 47 2 6 4" xfId="42514" xr:uid="{03A77F18-290F-4657-BC4E-1EF2AFBAD374}"/>
    <cellStyle name="Migliaia 47 2 6 5" xfId="25160" xr:uid="{4D74BE74-FFB8-4A1C-A80A-ABD3EA784CB8}"/>
    <cellStyle name="Migliaia 47 2 6 6" xfId="20760" xr:uid="{38F59E28-4FF2-457A-BFE7-7C4192FEC312}"/>
    <cellStyle name="Migliaia 47 2 7" xfId="25157" xr:uid="{2258533B-CD2B-423C-94E0-A187DAFD9404}"/>
    <cellStyle name="Migliaia 47 2 8" xfId="7166" xr:uid="{A91C51FF-2429-4C81-AE3C-F1AD531AA9C8}"/>
    <cellStyle name="Migliaia 47 3" xfId="467" xr:uid="{00000000-0005-0000-0000-000033040000}"/>
    <cellStyle name="Migliaia 47 3 10" xfId="25161" xr:uid="{86EBABEF-0264-4F73-A663-C458E79BA2F6}"/>
    <cellStyle name="Migliaia 47 3 11" xfId="16654" xr:uid="{DDB50030-9857-4680-A7FB-B8CAAFDD302F}"/>
    <cellStyle name="Migliaia 47 3 12" xfId="7167" xr:uid="{034EE52F-8D10-4BD4-B3CC-052F54656821}"/>
    <cellStyle name="Migliaia 47 3 2" xfId="468" xr:uid="{00000000-0005-0000-0000-000034040000}"/>
    <cellStyle name="Migliaia 47 3 2 2" xfId="1862" xr:uid="{00000000-0005-0000-0000-000035040000}"/>
    <cellStyle name="Migliaia 47 3 2 2 2" xfId="5492" xr:uid="{D97BA747-D864-41C6-9A12-C0317C2B2ED2}"/>
    <cellStyle name="Migliaia 47 3 2 2 2 2" xfId="18486" xr:uid="{B94587E5-53D0-481B-A131-6F2266C35E62}"/>
    <cellStyle name="Migliaia 47 3 2 2 2 2 2" xfId="21882" xr:uid="{DF3672D3-4C4A-420F-AE8F-D658DDF45E41}"/>
    <cellStyle name="Migliaia 47 3 2 2 2 2 2 2" xfId="39864" xr:uid="{B123DF8E-19D2-40D3-A0DD-A7A0802F6B8E}"/>
    <cellStyle name="Migliaia 47 3 2 2 2 2 3" xfId="45166" xr:uid="{2D6C8048-6EC5-4434-9853-8510F1AF8FAA}"/>
    <cellStyle name="Migliaia 47 3 2 2 2 2 4" xfId="34287" xr:uid="{378A444D-33EC-4BA0-93C9-6D9513C1D4D8}"/>
    <cellStyle name="Migliaia 47 3 2 2 2 3" xfId="37249" xr:uid="{00BF4221-0CE3-41D5-96E5-8B834006AE1D}"/>
    <cellStyle name="Migliaia 47 3 2 2 2 4" xfId="42515" xr:uid="{D75576E4-4273-4FB1-A0AF-7B350EA77ACF}"/>
    <cellStyle name="Migliaia 47 3 2 2 2 5" xfId="25113" xr:uid="{6B3127EB-B190-4990-9BFB-D30EC8C54965}"/>
    <cellStyle name="Migliaia 47 3 2 2 2 6" xfId="50910" xr:uid="{6B655601-FC96-455C-91DB-3B7C455C632F}"/>
    <cellStyle name="Migliaia 47 3 2 2 2 7" xfId="53926" xr:uid="{9E9644D2-917C-421D-AA51-C2E9E36E0240}"/>
    <cellStyle name="Migliaia 47 3 2 2 2 8" xfId="17680" xr:uid="{37D79C8D-C231-4474-9CF4-80F7D114C888}"/>
    <cellStyle name="Migliaia 47 3 2 2 2 9" xfId="12051" xr:uid="{67B72CB5-A15E-4225-A0FF-7AECC3A0C144}"/>
    <cellStyle name="Migliaia 47 3 2 2 3" xfId="6675" xr:uid="{6AA901BF-7931-428C-BC04-8FF206E9E720}"/>
    <cellStyle name="Migliaia 47 3 2 2 3 2" xfId="11141" xr:uid="{353CECCE-0FCF-4EC6-B91C-7308D9069A2A}"/>
    <cellStyle name="Migliaia 47 3 2 2 4" xfId="3766" xr:uid="{80C05CA8-F4FF-40E6-83AF-4B0FDAF5919F}"/>
    <cellStyle name="Migliaia 47 3 2 2 4 2" xfId="21574" xr:uid="{77AF271E-01A5-4262-98B2-D9E6E7D51215}"/>
    <cellStyle name="Migliaia 47 3 2 2 4 3" xfId="25349" xr:uid="{428F9E32-1E00-48E4-B329-D85873593EBD}"/>
    <cellStyle name="Migliaia 47 3 2 2 4 4" xfId="50589" xr:uid="{A441CC85-1DA0-416D-962F-1715CAF39D26}"/>
    <cellStyle name="Migliaia 47 3 2 2 4 5" xfId="53605" xr:uid="{36D407E6-54DA-46EF-AB07-6213340F3255}"/>
    <cellStyle name="Migliaia 47 3 2 2 4 6" xfId="10939" xr:uid="{25E0EAB5-1DAD-4434-9ADA-1010F7FB3B13}"/>
    <cellStyle name="Migliaia 47 3 2 2 5" xfId="20767" xr:uid="{F1A8499A-7E2D-41A2-BB22-ACEB8857AF87}"/>
    <cellStyle name="Migliaia 47 3 2 2 6" xfId="25163" xr:uid="{6B491CA1-CB39-4016-8D31-3E756D79A3E6}"/>
    <cellStyle name="Migliaia 47 3 2 2 7" xfId="8729" xr:uid="{930344C8-A30F-44FB-AB2F-8CECE3C06F61}"/>
    <cellStyle name="Migliaia 47 3 2 3" xfId="5491" xr:uid="{0F95BC40-D8CB-4E74-95F3-077FB8C3D444}"/>
    <cellStyle name="Migliaia 47 3 2 3 2" xfId="12402" xr:uid="{25537D91-0525-409C-AEC5-FF27A046D5E1}"/>
    <cellStyle name="Migliaia 47 3 2 3 2 2" xfId="39865" xr:uid="{8C2B3F2A-A780-4742-835E-2970083C2270}"/>
    <cellStyle name="Migliaia 47 3 2 3 2 3" xfId="45167" xr:uid="{139838F6-524B-4897-A8AB-88C559369A4D}"/>
    <cellStyle name="Migliaia 47 3 2 3 2 4" xfId="34288" xr:uid="{697C2133-5755-4DF8-9313-9C8A80FEDD9D}"/>
    <cellStyle name="Migliaia 47 3 2 3 3" xfId="12052" xr:uid="{AB9BF880-C414-4C66-87B8-AA410ADBCD9B}"/>
    <cellStyle name="Migliaia 47 3 2 3 4" xfId="20768" xr:uid="{0932AF06-0580-45E7-BFBB-4DE8C9DC8B88}"/>
    <cellStyle name="Migliaia 47 3 2 3 4 2" xfId="42516" xr:uid="{26334DB4-7E59-4618-A0B0-BC9DAF10D55C}"/>
    <cellStyle name="Migliaia 47 3 2 3 5" xfId="16655" xr:uid="{20B36C75-1C15-445B-A3C7-097F1D9390FD}"/>
    <cellStyle name="Migliaia 47 3 2 3 6" xfId="7989" xr:uid="{21E34490-9A14-46E0-8E5E-DDBD2BD7F4D9}"/>
    <cellStyle name="Migliaia 47 3 2 4" xfId="6674" xr:uid="{0A14D3A0-B26E-43E3-93E6-4EBD80449D44}"/>
    <cellStyle name="Migliaia 47 3 2 4 2" xfId="18098" xr:uid="{9B734395-9AF5-401B-9A9A-C5DC8D2AC4F8}"/>
    <cellStyle name="Migliaia 47 3 2 4 2 2" xfId="39866" xr:uid="{39AADF45-315F-4A71-958D-F8655400D757}"/>
    <cellStyle name="Migliaia 47 3 2 4 2 3" xfId="45168" xr:uid="{D3AF07F6-9374-4502-8A18-E057A34FD642}"/>
    <cellStyle name="Migliaia 47 3 2 4 3" xfId="37250" xr:uid="{F505F607-9D0B-4F7C-8B3F-F1BEAC56A95B}"/>
    <cellStyle name="Migliaia 47 3 2 4 4" xfId="42517" xr:uid="{EDCEDEFE-E580-471A-A694-C019998F32AE}"/>
    <cellStyle name="Migliaia 47 3 2 4 5" xfId="17218" xr:uid="{320C3DB3-7B49-4B93-B757-4031CCE8D0A0}"/>
    <cellStyle name="Migliaia 47 3 2 4 6" xfId="11400" xr:uid="{B457EAC7-F25B-4C77-A182-2C8F711E261E}"/>
    <cellStyle name="Migliaia 47 3 2 5" xfId="3765" xr:uid="{1A7309DA-6A1B-4F7F-8B67-8B35A65810EF}"/>
    <cellStyle name="Migliaia 47 3 2 5 2" xfId="34289" xr:uid="{22C38159-95A1-41E8-8D77-A1B5A85D2BA8}"/>
    <cellStyle name="Migliaia 47 3 2 5 2 2" xfId="39867" xr:uid="{C50C136F-87CB-4C02-A821-BD0CC2C6B52A}"/>
    <cellStyle name="Migliaia 47 3 2 5 2 3" xfId="45169" xr:uid="{4D6BBB46-38D9-4A2C-B71C-DC4333F2B088}"/>
    <cellStyle name="Migliaia 47 3 2 5 3" xfId="37251" xr:uid="{1D0F04D8-CC29-4E0A-9E1A-66FF5BD667A3}"/>
    <cellStyle name="Migliaia 47 3 2 5 4" xfId="42518" xr:uid="{52D243F1-67EF-4430-8959-54CA0CCFC149}"/>
    <cellStyle name="Migliaia 47 3 2 5 5" xfId="17303" xr:uid="{A0566FC9-F770-47FE-B567-E12CCFB3D479}"/>
    <cellStyle name="Migliaia 47 3 2 6" xfId="20766" xr:uid="{D68548A8-5CE6-4066-A37B-8BEE0331E8F8}"/>
    <cellStyle name="Migliaia 47 3 2 6 2" xfId="34290" xr:uid="{5EAE3E20-B17A-46C6-8C55-C7682E53A14F}"/>
    <cellStyle name="Migliaia 47 3 2 6 2 2" xfId="39868" xr:uid="{8B5AE849-D749-44DD-9A67-2769821167B9}"/>
    <cellStyle name="Migliaia 47 3 2 6 2 3" xfId="45170" xr:uid="{82D29505-3657-4EB5-AF13-0B442F029670}"/>
    <cellStyle name="Migliaia 47 3 2 6 3" xfId="37252" xr:uid="{5A1E7661-1C73-47D1-9E7E-3B3C6CA6CBB4}"/>
    <cellStyle name="Migliaia 47 3 2 6 4" xfId="42519" xr:uid="{24CF22EF-B30C-48D2-844B-A2769235EF88}"/>
    <cellStyle name="Migliaia 47 3 2 6 5" xfId="25165" xr:uid="{27FA2C89-E83E-4CB3-86C2-6471B18B21E2}"/>
    <cellStyle name="Migliaia 47 3 2 7" xfId="25162" xr:uid="{74FF6A7C-F812-43B6-AE2F-CF14922E3906}"/>
    <cellStyle name="Migliaia 47 3 2 8" xfId="7539" xr:uid="{1490735C-549A-43B7-B293-C9108ECD897C}"/>
    <cellStyle name="Migliaia 47 3 3" xfId="3767" xr:uid="{F7D5CB41-EAC1-4919-A03A-2F0918E86579}"/>
    <cellStyle name="Migliaia 47 3 3 10" xfId="7538" xr:uid="{2099C720-C1F2-4B97-82A8-3B07F240255A}"/>
    <cellStyle name="Migliaia 47 3 3 2" xfId="5493" xr:uid="{C72CD9F1-027F-47C9-ACF3-556ED879D09B}"/>
    <cellStyle name="Migliaia 47 3 3 2 2" xfId="9964" xr:uid="{7EAD3058-244B-4E95-B12D-5185B6EDD603}"/>
    <cellStyle name="Migliaia 47 3 3 2 2 2" xfId="39870" xr:uid="{DFF2E03E-68FA-4B7C-B4FD-8A9054E4C5DC}"/>
    <cellStyle name="Migliaia 47 3 3 2 2 3" xfId="45172" xr:uid="{1AA3501A-2445-4319-932D-7D8F5639D8E0}"/>
    <cellStyle name="Migliaia 47 3 3 2 3" xfId="18244" xr:uid="{D432E71C-8AD4-45CB-ADB1-8352828642CD}"/>
    <cellStyle name="Migliaia 47 3 3 2 4" xfId="20770" xr:uid="{F5C118C5-900A-4FE7-92DB-853E4821DCE7}"/>
    <cellStyle name="Migliaia 47 3 3 2 4 2" xfId="42521" xr:uid="{8A870803-CB49-40E0-B239-34EC61D60DCE}"/>
    <cellStyle name="Migliaia 47 3 3 2 5" xfId="16657" xr:uid="{72471BDB-997F-4604-A647-781A84291E90}"/>
    <cellStyle name="Migliaia 47 3 3 2 6" xfId="8728" xr:uid="{B2B4B00B-30FB-47F8-9F96-7FDA5B22294D}"/>
    <cellStyle name="Migliaia 47 3 3 3" xfId="6676" xr:uid="{0EA9DBD3-D086-40B4-AA09-5E3D43286F9B}"/>
    <cellStyle name="Migliaia 47 3 3 3 2" xfId="34292" xr:uid="{CA429718-0262-4E5A-9014-D7C9E0357771}"/>
    <cellStyle name="Migliaia 47 3 3 3 2 2" xfId="39871" xr:uid="{F8FC02A1-7886-42D9-8A60-FD09DA79147D}"/>
    <cellStyle name="Migliaia 47 3 3 3 2 3" xfId="45173" xr:uid="{00C7F549-5BF7-4D5E-93CE-B98AC9906933}"/>
    <cellStyle name="Migliaia 47 3 3 3 3" xfId="37255" xr:uid="{F3BAE4E8-F7BC-4FC5-B3FF-3A67541809F2}"/>
    <cellStyle name="Migliaia 47 3 3 3 4" xfId="42522" xr:uid="{D3F85A8E-EEC5-446E-A02C-AD7BA0CE87F8}"/>
    <cellStyle name="Migliaia 47 3 3 3 5" xfId="9727" xr:uid="{7A828BBC-67AD-4A5A-95E4-DF475242BF8C}"/>
    <cellStyle name="Migliaia 47 3 3 4" xfId="20769" xr:uid="{F7D691DE-DCFD-44ED-82FE-F65A87215F7B}"/>
    <cellStyle name="Migliaia 47 3 3 4 2" xfId="34293" xr:uid="{0AF4D0E0-291F-45CF-B503-8FCF72CA7EED}"/>
    <cellStyle name="Migliaia 47 3 3 4 2 2" xfId="39872" xr:uid="{88995DEB-BF69-4F78-8298-6140AFB29558}"/>
    <cellStyle name="Migliaia 47 3 3 4 2 3" xfId="45174" xr:uid="{E859A849-D9C0-43F8-AB20-FAC39E01DFC3}"/>
    <cellStyle name="Migliaia 47 3 3 4 3" xfId="37256" xr:uid="{203BFED0-6365-4B54-B32F-B59AB0C48801}"/>
    <cellStyle name="Migliaia 47 3 3 4 4" xfId="42523" xr:uid="{DB56FA77-C201-4425-B4E4-8E4D94E0FB6F}"/>
    <cellStyle name="Migliaia 47 3 3 4 5" xfId="25166" xr:uid="{21B4DF81-1201-45D9-BA32-16298FA1C95B}"/>
    <cellStyle name="Migliaia 47 3 3 5" xfId="25167" xr:uid="{3855A2C1-0AFB-4279-8A2C-70D6F4D6D37C}"/>
    <cellStyle name="Migliaia 47 3 3 5 2" xfId="34294" xr:uid="{66EDB81E-EB93-404B-8367-648C5CB6C172}"/>
    <cellStyle name="Migliaia 47 3 3 5 2 2" xfId="39873" xr:uid="{C54CBAC4-5792-41C8-A72F-DAB31EEBABDE}"/>
    <cellStyle name="Migliaia 47 3 3 5 2 3" xfId="45175" xr:uid="{869497F4-AA4F-4A45-ACDB-9EF08239E6F8}"/>
    <cellStyle name="Migliaia 47 3 3 5 3" xfId="37257" xr:uid="{C0AA95A1-47C6-4435-9A3E-EBA1D3B3F467}"/>
    <cellStyle name="Migliaia 47 3 3 5 4" xfId="42524" xr:uid="{1324C8F1-06E5-4E96-BED5-3A1C066A01D5}"/>
    <cellStyle name="Migliaia 47 3 3 6" xfId="34291" xr:uid="{0E6AC50C-0415-457F-B99F-E9E81BE43326}"/>
    <cellStyle name="Migliaia 47 3 3 6 2" xfId="39869" xr:uid="{6F5A3A88-A2DE-496C-9282-1E757623B1DF}"/>
    <cellStyle name="Migliaia 47 3 3 6 3" xfId="45171" xr:uid="{6CB28241-90AB-4304-A624-8E057D560421}"/>
    <cellStyle name="Migliaia 47 3 3 7" xfId="37253" xr:uid="{84490E46-780F-4313-8AE9-27AD2C3D6F13}"/>
    <cellStyle name="Migliaia 47 3 3 8" xfId="42520" xr:uid="{07D7A513-2175-4012-B2A6-27690B96DD41}"/>
    <cellStyle name="Migliaia 47 3 3 9" xfId="16656" xr:uid="{3286F16D-F8B0-413D-BD26-0CE1521B1BC7}"/>
    <cellStyle name="Migliaia 47 3 4" xfId="3768" xr:uid="{54DE5148-DC8B-4FE0-ACD6-26A88986EC46}"/>
    <cellStyle name="Migliaia 47 3 4 2" xfId="5494" xr:uid="{AC022AD0-71F0-428F-ABDA-6C5F6E96AE7F}"/>
    <cellStyle name="Migliaia 47 3 4 2 2" xfId="14464" xr:uid="{01F72089-D19B-49C5-B1D8-09EB0E2866E2}"/>
    <cellStyle name="Migliaia 47 3 4 2 3" xfId="18157" xr:uid="{BBE2763D-3521-4955-BB4A-6DF39290D038}"/>
    <cellStyle name="Migliaia 47 3 4 2 4" xfId="20772" xr:uid="{2F9D3861-4C37-4B8B-8BD5-A977BF932505}"/>
    <cellStyle name="Migliaia 47 3 4 2 5" xfId="32443" xr:uid="{75DA4484-E8F4-4EEB-A259-7F1ED819D664}"/>
    <cellStyle name="Migliaia 47 3 4 2 6" xfId="16659" xr:uid="{C06D5D2C-22EA-454C-8FD4-8D41B4ACF6B4}"/>
    <cellStyle name="Migliaia 47 3 4 2 7" xfId="8887" xr:uid="{C8F4A317-BD8E-43AE-87E5-957237F38437}"/>
    <cellStyle name="Migliaia 47 3 4 3" xfId="6677" xr:uid="{1BAD6652-6290-4D20-8DE9-43C90B311574}"/>
    <cellStyle name="Migliaia 47 3 4 3 2" xfId="35412" xr:uid="{BF39891E-3BB4-4989-B7A9-8C226E6D4251}"/>
    <cellStyle name="Migliaia 47 3 4 3 2 2" xfId="40572" xr:uid="{06AD624B-D51F-4D8B-921F-B5A468CF7AF1}"/>
    <cellStyle name="Migliaia 47 3 4 3 2 3" xfId="45874" xr:uid="{CF45F20F-4CB6-4458-8012-C2748FEE8F86}"/>
    <cellStyle name="Migliaia 47 3 4 3 3" xfId="37921" xr:uid="{24E1592E-AF58-458C-A243-CB1AFF6B1A41}"/>
    <cellStyle name="Migliaia 47 3 4 3 4" xfId="43223" xr:uid="{3E4CA121-2D08-4E26-96C7-56BDEBC5A7FE}"/>
    <cellStyle name="Migliaia 47 3 4 3 5" xfId="13712" xr:uid="{F2DDE577-73FB-45F2-857A-7FD18452C492}"/>
    <cellStyle name="Migliaia 47 3 4 4" xfId="20771" xr:uid="{5B49CDDD-8B8E-4A5A-9F3D-D267AE7B98B0}"/>
    <cellStyle name="Migliaia 47 3 4 4 2" xfId="39874" xr:uid="{E08A2EEC-D89A-4A80-BEF6-DB7966541553}"/>
    <cellStyle name="Migliaia 47 3 4 4 3" xfId="45176" xr:uid="{9D6982AA-5055-4BE1-991B-69D73D51B459}"/>
    <cellStyle name="Migliaia 47 3 4 4 4" xfId="34295" xr:uid="{BB441A6B-D698-4030-9D3D-BCF813101349}"/>
    <cellStyle name="Migliaia 47 3 4 5" xfId="37258" xr:uid="{05B9126A-DE53-43D3-9CB8-C78DCE38F0B0}"/>
    <cellStyle name="Migliaia 47 3 4 6" xfId="42525" xr:uid="{6226ADFC-EB50-48F3-93D7-68054C75C14D}"/>
    <cellStyle name="Migliaia 47 3 4 7" xfId="16658" xr:uid="{DEAC3563-EFDB-487A-818E-E639182071AC}"/>
    <cellStyle name="Migliaia 47 3 4 8" xfId="7697" xr:uid="{0E8E13FD-D560-4FD9-A204-F3AF8875C89F}"/>
    <cellStyle name="Migliaia 47 3 5" xfId="3769" xr:uid="{C595156D-C7D3-4253-9746-1D984E684331}"/>
    <cellStyle name="Migliaia 47 3 5 2" xfId="5495" xr:uid="{2C230855-C095-427A-A035-64D971060BE7}"/>
    <cellStyle name="Migliaia 47 3 5 2 2" xfId="35413" xr:uid="{6E95DE45-AF58-4BAD-AD5E-F365AD11EB56}"/>
    <cellStyle name="Migliaia 47 3 5 2 2 2" xfId="40573" xr:uid="{9F7C6865-021D-48EF-9559-C99A563E41A9}"/>
    <cellStyle name="Migliaia 47 3 5 2 2 3" xfId="45875" xr:uid="{3D570F39-A4FC-40A7-B4BF-635A47A7F54D}"/>
    <cellStyle name="Migliaia 47 3 5 2 3" xfId="37922" xr:uid="{643BEEFE-AF8A-4948-8743-BA8C7FEF7237}"/>
    <cellStyle name="Migliaia 47 3 5 2 4" xfId="43224" xr:uid="{748ABF92-4D71-4D52-9124-383670F84F4E}"/>
    <cellStyle name="Migliaia 47 3 5 2 5" xfId="14304" xr:uid="{76007187-6888-4C1D-A47D-E059021D1B3E}"/>
    <cellStyle name="Migliaia 47 3 5 3" xfId="6678" xr:uid="{35923231-D47C-4F65-A646-DD4E3BFDC13E}"/>
    <cellStyle name="Migliaia 47 3 5 3 2" xfId="39875" xr:uid="{261F15D1-48FD-4DA5-9C12-826B6617EAA0}"/>
    <cellStyle name="Migliaia 47 3 5 3 3" xfId="45177" xr:uid="{85FC0F5F-CA6C-4283-84FA-C8D3C6EE4AEF}"/>
    <cellStyle name="Migliaia 47 3 5 3 4" xfId="34296" xr:uid="{D3AF8B83-8FEB-4D9E-829E-587BA1FCC23E}"/>
    <cellStyle name="Migliaia 47 3 5 3 5" xfId="20773" xr:uid="{E968300E-9995-4439-BA5B-537E40F625AA}"/>
    <cellStyle name="Migliaia 47 3 5 4" xfId="37259" xr:uid="{AB15B2B9-BCA3-4978-8A25-D8D318B44957}"/>
    <cellStyle name="Migliaia 47 3 5 5" xfId="42526" xr:uid="{E1999B78-BB36-48B7-8CDA-814C1B842DDD}"/>
    <cellStyle name="Migliaia 47 3 5 6" xfId="16660" xr:uid="{69DEFB94-98DD-45DC-8CEF-12FC57B8B9DB}"/>
    <cellStyle name="Migliaia 47 3 5 7" xfId="8366" xr:uid="{EFFE0D21-ACA8-49B7-BDB3-BD7811059902}"/>
    <cellStyle name="Migliaia 47 3 6" xfId="5490" xr:uid="{27034741-B3A1-45F6-A9C8-18A29448D514}"/>
    <cellStyle name="Migliaia 47 3 6 2" xfId="14009" xr:uid="{CE020B0C-3875-4F2E-BD65-FF0629181634}"/>
    <cellStyle name="Migliaia 47 3 6 2 2" xfId="39876" xr:uid="{93B1A6BE-AF8D-4E43-AB74-7DE0584C177C}"/>
    <cellStyle name="Migliaia 47 3 6 2 3" xfId="45178" xr:uid="{01E1005C-D923-4FB7-8473-42DB5869B262}"/>
    <cellStyle name="Migliaia 47 3 6 3" xfId="18025" xr:uid="{167A2682-B37B-474C-A88B-735D4999D381}"/>
    <cellStyle name="Migliaia 47 3 6 4" xfId="20774" xr:uid="{B7D09F72-B729-4FC1-ABB2-3BF009E0C95C}"/>
    <cellStyle name="Migliaia 47 3 6 4 2" xfId="42527" xr:uid="{141A75E9-D0D3-4662-B9E4-AB3E79F3996A}"/>
    <cellStyle name="Migliaia 47 3 6 5" xfId="16661" xr:uid="{73FECE0F-E042-4858-92FE-77E3254561AA}"/>
    <cellStyle name="Migliaia 47 3 6 6" xfId="7988" xr:uid="{C001EA63-07C5-4B35-B8B3-33A40DBFE192}"/>
    <cellStyle name="Migliaia 47 3 7" xfId="6673" xr:uid="{591A807B-902C-469B-80E2-EA9A262943D1}"/>
    <cellStyle name="Migliaia 47 3 7 2" xfId="34297" xr:uid="{DA0C67E4-E2BF-4F7D-9A47-BF9E1AB7E09E}"/>
    <cellStyle name="Migliaia 47 3 7 2 2" xfId="39877" xr:uid="{AE7A60BB-8FC8-4AB4-8756-1BE09C7C00A7}"/>
    <cellStyle name="Migliaia 47 3 7 2 3" xfId="45179" xr:uid="{475F1490-9EA0-4314-815C-D64D609E2095}"/>
    <cellStyle name="Migliaia 47 3 7 3" xfId="37260" xr:uid="{897EF9A8-D173-4D5D-BACE-B072049728AF}"/>
    <cellStyle name="Migliaia 47 3 7 4" xfId="42528" xr:uid="{5AE83559-DA27-4E2A-A4AD-64DB9A56FF66}"/>
    <cellStyle name="Migliaia 47 3 7 5" xfId="11163" xr:uid="{254A6E2A-5B4C-469F-A90A-C596D979EE37}"/>
    <cellStyle name="Migliaia 47 3 8" xfId="3764" xr:uid="{9ED0196E-2303-4849-8493-4EA214F8D607}"/>
    <cellStyle name="Migliaia 47 3 8 2" xfId="34298" xr:uid="{A3AE379B-28C2-470A-83D7-F19C6E7422AE}"/>
    <cellStyle name="Migliaia 47 3 8 2 2" xfId="39878" xr:uid="{947B5054-DF51-42CC-8378-8FB1B66E7719}"/>
    <cellStyle name="Migliaia 47 3 8 2 3" xfId="45180" xr:uid="{BA2FDFA8-CB0A-49CD-B0D2-A44B0ED81476}"/>
    <cellStyle name="Migliaia 47 3 8 3" xfId="37261" xr:uid="{2CFC5381-3894-4E68-87CD-04EED3E95CA5}"/>
    <cellStyle name="Migliaia 47 3 8 4" xfId="42529" xr:uid="{3F7E12C7-6E7C-4037-B30F-13C06253531D}"/>
    <cellStyle name="Migliaia 47 3 8 5" xfId="25171" xr:uid="{2FEC1AF3-C23E-4B0B-8C69-DD8D8653B229}"/>
    <cellStyle name="Migliaia 47 3 8 6" xfId="17304" xr:uid="{DB7519D3-2E1A-4644-93E4-D847BDCF3C74}"/>
    <cellStyle name="Migliaia 47 3 9" xfId="20765" xr:uid="{D36CCA53-0C57-45BA-99B1-700ED795179E}"/>
    <cellStyle name="Migliaia 47 4" xfId="1863" xr:uid="{00000000-0005-0000-0000-000036040000}"/>
    <cellStyle name="Migliaia 47 4 2" xfId="1864" xr:uid="{00000000-0005-0000-0000-000037040000}"/>
    <cellStyle name="Migliaia 47 4 2 2" xfId="5497" xr:uid="{40EB5BB5-5E11-49C1-9341-C1E88426028B}"/>
    <cellStyle name="Migliaia 47 4 2 2 2" xfId="34299" xr:uid="{321BD443-416A-4445-B3CC-B766CC3E820C}"/>
    <cellStyle name="Migliaia 47 4 2 2 2 2" xfId="39879" xr:uid="{ECEEAFA2-E694-4B6A-940F-46A9FAA2E7CC}"/>
    <cellStyle name="Migliaia 47 4 2 2 2 3" xfId="45181" xr:uid="{A4EA0352-B9B7-44EF-8A2A-E0AD49D1DC71}"/>
    <cellStyle name="Migliaia 47 4 2 2 3" xfId="37262" xr:uid="{96B38762-EA6C-4FB7-9616-D377F7742FEA}"/>
    <cellStyle name="Migliaia 47 4 2 2 4" xfId="42530" xr:uid="{7A9FFB6F-4A6C-4BB7-BDE2-BE44E38358AB}"/>
    <cellStyle name="Migliaia 47 4 2 2 5" xfId="9190" xr:uid="{A48789BF-12F6-4919-AE73-2A1DB09D1818}"/>
    <cellStyle name="Migliaia 47 4 2 3" xfId="3771" xr:uid="{F86FDFCB-22D4-4228-A273-4AFE1278E143}"/>
    <cellStyle name="Migliaia 47 4 2 3 2" xfId="34300" xr:uid="{EAA93607-6399-41E5-BAE6-250367890D56}"/>
    <cellStyle name="Migliaia 47 4 2 3 2 2" xfId="39880" xr:uid="{DDAC986D-595F-437C-B153-BC33CB324B6D}"/>
    <cellStyle name="Migliaia 47 4 2 3 2 3" xfId="45182" xr:uid="{3D7215FE-E9B6-4CC0-BE99-6304D15E86BA}"/>
    <cellStyle name="Migliaia 47 4 2 3 3" xfId="37263" xr:uid="{6AFC6221-8272-4FDF-AF1F-9729FA33F078}"/>
    <cellStyle name="Migliaia 47 4 2 3 4" xfId="42531" xr:uid="{676D4BF2-C1CB-4E6A-A79A-0CD7AB9C08B2}"/>
    <cellStyle name="Migliaia 47 4 2 3 5" xfId="12053" xr:uid="{13516A8A-7B14-4783-919A-664850E6526C}"/>
    <cellStyle name="Migliaia 47 4 2 4" xfId="11402" xr:uid="{4E080F5F-3275-4E4F-8C97-1A9A37FEFC65}"/>
    <cellStyle name="Migliaia 47 4 2 5" xfId="10941" xr:uid="{5C97EB3B-4B17-41D3-9EB2-2135AFD8E554}"/>
    <cellStyle name="Migliaia 47 4 2 5 2" xfId="21576" xr:uid="{8F52D687-3D20-4C95-9243-AC6A7C870227}"/>
    <cellStyle name="Migliaia 47 4 2 5 3" xfId="32553" xr:uid="{F62F8DE9-7FC1-49EE-AE30-F09E20DAAE6F}"/>
    <cellStyle name="Migliaia 47 4 2 5 4" xfId="50591" xr:uid="{82EB0BB9-D147-435E-84FE-AFB445AB156F}"/>
    <cellStyle name="Migliaia 47 4 2 5 5" xfId="53607" xr:uid="{9229DC2A-C980-4162-A769-8F7B5E347453}"/>
    <cellStyle name="Migliaia 47 4 2 6" xfId="20776" xr:uid="{430678B8-3924-486C-8A00-62953608AC26}"/>
    <cellStyle name="Migliaia 47 4 2 7" xfId="25173" xr:uid="{B33221D5-C724-4212-A5A9-0E6A7BB3E3C3}"/>
    <cellStyle name="Migliaia 47 4 2 8" xfId="8730" xr:uid="{0BA10670-1363-493B-BD1C-AB85C86201E0}"/>
    <cellStyle name="Migliaia 47 4 3" xfId="5496" xr:uid="{FE84EDD8-556C-42B4-AABE-549869E9BAF6}"/>
    <cellStyle name="Migliaia 47 4 3 2" xfId="18245" xr:uid="{D6D39A4C-A9AC-4A17-8FA5-D0B32FEF9E47}"/>
    <cellStyle name="Migliaia 47 4 3 2 2" xfId="39881" xr:uid="{7541AF84-1476-49B5-9A00-56C0EAADB4EF}"/>
    <cellStyle name="Migliaia 47 4 3 2 3" xfId="45183" xr:uid="{99906653-CBFA-4EBC-AEDF-247532EAE92B}"/>
    <cellStyle name="Migliaia 47 4 3 3" xfId="37264" xr:uid="{C3817691-E42F-46FA-BCA8-EC22EB07B7BE}"/>
    <cellStyle name="Migliaia 47 4 3 4" xfId="42532" xr:uid="{2B97FD93-38FE-4589-B408-C8659C205CFE}"/>
    <cellStyle name="Migliaia 47 4 3 5" xfId="17302" xr:uid="{C2343E41-94BC-4997-8469-6BE9E6448D98}"/>
    <cellStyle name="Migliaia 47 4 3 6" xfId="9191" xr:uid="{6A4848EA-E3EA-40E2-BDAA-408710A9683E}"/>
    <cellStyle name="Migliaia 47 4 4" xfId="6679" xr:uid="{E7E8BE65-91E8-4E9C-8A64-6E84047B4220}"/>
    <cellStyle name="Migliaia 47 4 4 2" xfId="34301" xr:uid="{F00CCB8E-EFE4-485B-9786-B1EA51C80EC8}"/>
    <cellStyle name="Migliaia 47 4 4 2 2" xfId="39882" xr:uid="{64B4E10B-DE6E-459F-B8FE-B725F636A150}"/>
    <cellStyle name="Migliaia 47 4 4 2 3" xfId="45184" xr:uid="{46476A36-3D8E-4206-871F-269BF831535D}"/>
    <cellStyle name="Migliaia 47 4 4 3" xfId="37265" xr:uid="{DFB10F49-421C-4FE4-BD04-3A1D3C2FBD55}"/>
    <cellStyle name="Migliaia 47 4 4 4" xfId="42533" xr:uid="{385AEC5C-F8E6-4A08-A129-06638BE4306D}"/>
    <cellStyle name="Migliaia 47 4 4 5" xfId="12054" xr:uid="{E0FFC106-45FB-45B0-901B-404C5593CCBB}"/>
    <cellStyle name="Migliaia 47 4 5" xfId="3770" xr:uid="{F9FCEB1A-986E-4E83-835C-C19127D1077C}"/>
    <cellStyle name="Migliaia 47 4 5 2" xfId="34302" xr:uid="{8934BF95-58F3-439B-8399-E72EA57973E9}"/>
    <cellStyle name="Migliaia 47 4 5 2 2" xfId="39883" xr:uid="{F6B54338-B4CA-4495-89AC-3D50E216FFFE}"/>
    <cellStyle name="Migliaia 47 4 5 2 3" xfId="45185" xr:uid="{88C6E741-0D9F-4679-A2BB-3FCBA76BAE40}"/>
    <cellStyle name="Migliaia 47 4 5 3" xfId="37266" xr:uid="{CF44C9E1-8D31-447A-9EDF-CA54F5299BD2}"/>
    <cellStyle name="Migliaia 47 4 5 4" xfId="42534" xr:uid="{14FB4E05-FA8C-406A-84E7-2189948E61F4}"/>
    <cellStyle name="Migliaia 47 4 5 5" xfId="11401" xr:uid="{D2AC3E75-CB28-43A0-8150-4F331B3248A6}"/>
    <cellStyle name="Migliaia 47 4 6" xfId="10940" xr:uid="{43059E03-F228-42FD-A9FF-EDAB42BFEA98}"/>
    <cellStyle name="Migliaia 47 4 6 2" xfId="21575" xr:uid="{9BAE11F5-7C60-4DE0-B74E-DB602BA25AB0}"/>
    <cellStyle name="Migliaia 47 4 6 2 2" xfId="39884" xr:uid="{94CD6D63-FF19-4DC9-88B3-6757FFEB92AB}"/>
    <cellStyle name="Migliaia 47 4 6 2 3" xfId="45186" xr:uid="{167F5E53-2EEF-4BB6-B315-143B6DC3D7C3}"/>
    <cellStyle name="Migliaia 47 4 6 2 4" xfId="34303" xr:uid="{45970FDF-118E-4F5F-8245-3D02AB415C9E}"/>
    <cellStyle name="Migliaia 47 4 6 3" xfId="37267" xr:uid="{9D52B6B7-B8E6-413D-80B3-A4B9EA0133D2}"/>
    <cellStyle name="Migliaia 47 4 6 4" xfId="42535" xr:uid="{BA8E12E7-7A30-49F3-8647-E05AE62B0382}"/>
    <cellStyle name="Migliaia 47 4 6 5" xfId="25175" xr:uid="{DDAA58D1-6748-450E-9C5E-71AC8E415F49}"/>
    <cellStyle name="Migliaia 47 4 6 6" xfId="47209" xr:uid="{43F33F8B-82EC-4C3F-86E5-45485626CB39}"/>
    <cellStyle name="Migliaia 47 4 6 7" xfId="50590" xr:uid="{24D96710-579D-4661-876B-F940D92799D5}"/>
    <cellStyle name="Migliaia 47 4 6 8" xfId="53606" xr:uid="{F1907221-4F8C-4188-B04D-6A83049B0E47}"/>
    <cellStyle name="Migliaia 47 4 7" xfId="20775" xr:uid="{4616FDF0-D782-40FF-A5E8-D1C66BA71669}"/>
    <cellStyle name="Migliaia 47 4 7 2" xfId="34304" xr:uid="{A087E3AA-FDA1-4EA6-B5C0-660287B4685E}"/>
    <cellStyle name="Migliaia 47 4 7 2 2" xfId="39885" xr:uid="{671790B1-3947-4227-B19B-1F603F32E20F}"/>
    <cellStyle name="Migliaia 47 4 7 2 3" xfId="45187" xr:uid="{88188C6F-E99A-43E7-96C6-E5A5EC2BC9E4}"/>
    <cellStyle name="Migliaia 47 4 7 3" xfId="37268" xr:uid="{56AD5EC4-36C9-4E1C-B176-AF830DE32562}"/>
    <cellStyle name="Migliaia 47 4 7 4" xfId="42536" xr:uid="{9E7E177E-E8F4-4F5C-9FF8-E29EEA43A97A}"/>
    <cellStyle name="Migliaia 47 4 7 5" xfId="25176" xr:uid="{12F6CE44-6CD7-46BF-985F-67F1971FDEE7}"/>
    <cellStyle name="Migliaia 47 4 8" xfId="25172" xr:uid="{D2B142D3-3938-4E33-9FF4-B46043C009D8}"/>
    <cellStyle name="Migliaia 47 4 9" xfId="7540" xr:uid="{7E827C17-BC48-4F00-B021-4FE8A4FC4284}"/>
    <cellStyle name="Migliaia 47 5" xfId="1865" xr:uid="{00000000-0005-0000-0000-000038040000}"/>
    <cellStyle name="Migliaia 47 5 2" xfId="5498" xr:uid="{86B3F866-57F0-48F9-9415-1BB773E959A2}"/>
    <cellStyle name="Migliaia 47 5 2 2" xfId="18487" xr:uid="{59D2F3F2-36CB-4129-A6EE-F0F6705A92BC}"/>
    <cellStyle name="Migliaia 47 5 2 2 2" xfId="39886" xr:uid="{CF54274E-EDFC-4AF8-A992-BD3640DD425C}"/>
    <cellStyle name="Migliaia 47 5 2 2 3" xfId="45188" xr:uid="{02EDE3AB-2AFD-4F51-AA0A-54168F2039E2}"/>
    <cellStyle name="Migliaia 47 5 2 3" xfId="20778" xr:uid="{1ABF89EE-1A7F-45AD-8547-70D4ABF0BB45}"/>
    <cellStyle name="Migliaia 47 5 2 3 2" xfId="37269" xr:uid="{758377C9-09E3-4084-9A9A-5C6202C90F8E}"/>
    <cellStyle name="Migliaia 47 5 2 4" xfId="42537" xr:uid="{331F2717-0913-460E-92F6-D27E3E50AD55}"/>
    <cellStyle name="Migliaia 47 5 2 5" xfId="16662" xr:uid="{8C3BE350-9382-410B-B8E2-BD3C4ED1ABE9}"/>
    <cellStyle name="Migliaia 47 5 2 6" xfId="8731" xr:uid="{5FE614E9-92E4-445D-9D91-CB26BED698DC}"/>
    <cellStyle name="Migliaia 47 5 3" xfId="6680" xr:uid="{56F67C40-C458-4314-8602-2B88CD1860E9}"/>
    <cellStyle name="Migliaia 47 5 3 2" xfId="34305" xr:uid="{EA43E082-69C8-4F23-8B7B-637714CE4750}"/>
    <cellStyle name="Migliaia 47 5 3 2 2" xfId="39887" xr:uid="{00B0DA99-CB9E-4861-AE69-BDB4F2BFEFD2}"/>
    <cellStyle name="Migliaia 47 5 3 2 3" xfId="45189" xr:uid="{0C47D06F-4950-4B04-8219-2BB46FE2034E}"/>
    <cellStyle name="Migliaia 47 5 3 3" xfId="37270" xr:uid="{3EF8FBE0-EBFE-4905-974E-901E35C67FBC}"/>
    <cellStyle name="Migliaia 47 5 3 4" xfId="42538" xr:uid="{B12EFDA5-1456-4BF4-86F2-CA52577DC878}"/>
    <cellStyle name="Migliaia 47 5 3 5" xfId="11403" xr:uid="{4364C444-C7A6-4BD9-A6E2-33A88BA3A637}"/>
    <cellStyle name="Migliaia 47 5 4" xfId="3772" xr:uid="{EBD8CF46-CA09-4524-8FCF-CF63257C73A5}"/>
    <cellStyle name="Migliaia 47 5 4 2" xfId="21577" xr:uid="{2AE5CB77-C7EA-4E12-97AC-1123B35B834B}"/>
    <cellStyle name="Migliaia 47 5 4 2 2" xfId="39888" xr:uid="{100E6193-5BB1-4CCD-BF86-83DF0F6C823F}"/>
    <cellStyle name="Migliaia 47 5 4 2 3" xfId="45190" xr:uid="{207D17CA-B093-4A2F-9EF2-72622D47E5F6}"/>
    <cellStyle name="Migliaia 47 5 4 2 4" xfId="34306" xr:uid="{C75B337F-C82F-4473-93DD-601BDC4E634F}"/>
    <cellStyle name="Migliaia 47 5 4 3" xfId="37271" xr:uid="{A61B6B37-8D15-4FF3-AEA8-F37C933CF1EF}"/>
    <cellStyle name="Migliaia 47 5 4 4" xfId="42539" xr:uid="{82580673-AD6E-4CFF-8A2A-C473FE9D3D8D}"/>
    <cellStyle name="Migliaia 47 5 4 5" xfId="25178" xr:uid="{4B767563-C2BC-4BC3-9143-8F033BDB72C4}"/>
    <cellStyle name="Migliaia 47 5 4 6" xfId="47737" xr:uid="{9C41322F-AE9B-4FB1-8D44-85B711C3AECD}"/>
    <cellStyle name="Migliaia 47 5 4 7" xfId="50592" xr:uid="{D55843E9-3C4B-4D6C-825A-AED52732D35E}"/>
    <cellStyle name="Migliaia 47 5 4 8" xfId="53608" xr:uid="{C0D66378-E7C7-479E-9A92-C7ABB8C252CD}"/>
    <cellStyle name="Migliaia 47 5 4 9" xfId="10942" xr:uid="{10CFED4F-62EE-4880-BFB5-6CAFC949EA8E}"/>
    <cellStyle name="Migliaia 47 5 5" xfId="20777" xr:uid="{8227A77A-7AD5-4723-8D6D-C8A90F6B24E2}"/>
    <cellStyle name="Migliaia 47 5 5 2" xfId="34307" xr:uid="{7315FDD3-FE55-4F1D-A9CE-C7FAA0D15254}"/>
    <cellStyle name="Migliaia 47 5 5 2 2" xfId="39889" xr:uid="{C8BFBA6A-A8D7-4C4F-9927-DA7A036F37F9}"/>
    <cellStyle name="Migliaia 47 5 5 2 3" xfId="45191" xr:uid="{1B4960A9-F45B-4725-8984-76171523E32D}"/>
    <cellStyle name="Migliaia 47 5 5 3" xfId="37272" xr:uid="{1182978B-928C-4D22-A1D8-470D146EB666}"/>
    <cellStyle name="Migliaia 47 5 5 4" xfId="42540" xr:uid="{62531CC6-8D42-410F-B0E0-18531944B9E1}"/>
    <cellStyle name="Migliaia 47 5 5 5" xfId="25179" xr:uid="{57E02871-A959-4410-9F3E-889D5B668263}"/>
    <cellStyle name="Migliaia 47 5 6" xfId="25180" xr:uid="{78EE03AA-A6A4-4E3B-B5EA-FC1C6B6DB158}"/>
    <cellStyle name="Migliaia 47 5 6 2" xfId="34308" xr:uid="{6F666A42-85F3-40E7-AAF3-BBA1A19330C6}"/>
    <cellStyle name="Migliaia 47 5 6 2 2" xfId="39890" xr:uid="{ABB9EB56-9E65-44C1-9B67-AA0D59031097}"/>
    <cellStyle name="Migliaia 47 5 6 2 3" xfId="45192" xr:uid="{E357B4D5-6335-4164-B3D6-38FCAB282288}"/>
    <cellStyle name="Migliaia 47 5 6 3" xfId="37273" xr:uid="{624139EA-C295-4DA2-A89D-4E97E35EBF22}"/>
    <cellStyle name="Migliaia 47 5 6 4" xfId="42541" xr:uid="{795A4C96-086B-4DEF-89EB-E781A2E2CC36}"/>
    <cellStyle name="Migliaia 47 5 7" xfId="25177" xr:uid="{D26D3EB8-69C9-4146-B321-4A667E159B17}"/>
    <cellStyle name="Migliaia 47 5 8" xfId="7541" xr:uid="{FA7C2F83-FDA8-4B1B-A827-E3D238371F9A}"/>
    <cellStyle name="Migliaia 47 6" xfId="3773" xr:uid="{CDE3A044-E971-42C6-8D1A-07950CFB2EB2}"/>
    <cellStyle name="Migliaia 47 6 2" xfId="5499" xr:uid="{F400D2B8-F47C-4AB2-8FDC-7DABD42BFC71}"/>
    <cellStyle name="Migliaia 47 6 2 2" xfId="9963" xr:uid="{9D1CA0E8-F7D1-454F-BF78-469D824252A7}"/>
    <cellStyle name="Migliaia 47 6 2 3" xfId="18639" xr:uid="{D86548C1-0A91-4FAA-A8CD-F2D2D405CDE9}"/>
    <cellStyle name="Migliaia 47 6 2 4" xfId="20780" xr:uid="{ED84726D-0CBA-4C1F-A527-0C1BC533A2DB}"/>
    <cellStyle name="Migliaia 47 6 2 5" xfId="32445" xr:uid="{592FFEE5-BD12-4066-8F4F-01487BC938E4}"/>
    <cellStyle name="Migliaia 47 6 2 6" xfId="16664" xr:uid="{7696FC80-0402-4C3D-8E7A-FF453AF3444D}"/>
    <cellStyle name="Migliaia 47 6 2 7" xfId="8726" xr:uid="{9A0A6848-9991-4287-8B12-F015DFAB7739}"/>
    <cellStyle name="Migliaia 47 6 3" xfId="6681" xr:uid="{EC0021BD-192E-46FE-A9A3-1141A3CE7481}"/>
    <cellStyle name="Migliaia 47 6 3 2" xfId="35414" xr:uid="{B7B71E11-2DD0-450B-A5BF-3D55796950F3}"/>
    <cellStyle name="Migliaia 47 6 3 2 2" xfId="40574" xr:uid="{FF20BB84-2E60-42F2-8542-0A76D4EB8527}"/>
    <cellStyle name="Migliaia 47 6 3 2 3" xfId="45876" xr:uid="{728BFE40-9E0F-42D1-9D55-0A30879D7C26}"/>
    <cellStyle name="Migliaia 47 6 3 3" xfId="37923" xr:uid="{5840C7D0-87D0-4967-8700-93757C891569}"/>
    <cellStyle name="Migliaia 47 6 3 4" xfId="43225" xr:uid="{D143AABD-CA19-4F23-9CD7-5A4B78DDA1D9}"/>
    <cellStyle name="Migliaia 47 6 3 5" xfId="9726" xr:uid="{90164652-F29F-453F-81C0-5B9DCDB426BA}"/>
    <cellStyle name="Migliaia 47 6 4" xfId="20779" xr:uid="{3BD70A28-606D-4D4D-AF8B-5BB007553B83}"/>
    <cellStyle name="Migliaia 47 6 4 2" xfId="39891" xr:uid="{F3785E33-845C-46A8-8D42-2B2F0DA3FF8C}"/>
    <cellStyle name="Migliaia 47 6 4 3" xfId="45193" xr:uid="{92BB3B90-7FE9-4578-ABCB-C9D4A71C02A0}"/>
    <cellStyle name="Migliaia 47 6 4 4" xfId="34309" xr:uid="{07414CA7-5AC4-4FD8-831E-6A4B19178FBF}"/>
    <cellStyle name="Migliaia 47 6 5" xfId="37274" xr:uid="{35F37371-CF47-4DD9-B429-73C8F68AC1CE}"/>
    <cellStyle name="Migliaia 47 6 6" xfId="42542" xr:uid="{3B37100A-D174-4206-93FE-926B3C8AF1BC}"/>
    <cellStyle name="Migliaia 47 6 7" xfId="16663" xr:uid="{7DF49897-3F9B-4076-84B5-83D9EE6A269A}"/>
    <cellStyle name="Migliaia 47 6 8" xfId="7536" xr:uid="{2DAAA1AB-EE8A-4821-BDA5-1E5F20961114}"/>
    <cellStyle name="Migliaia 47 7" xfId="3774" xr:uid="{C7AA7706-B7C6-4C07-9B06-8E7E7687E563}"/>
    <cellStyle name="Migliaia 47 7 2" xfId="5500" xr:uid="{13CEC47B-BA4E-48F9-BB66-B74A36124A94}"/>
    <cellStyle name="Migliaia 47 7 2 2" xfId="35415" xr:uid="{EC4C61D0-3FC3-4C6A-A3CE-8E0088A89C72}"/>
    <cellStyle name="Migliaia 47 7 2 2 2" xfId="40575" xr:uid="{0C2A1DAD-825D-4DA7-A5FD-EAA5C6188E74}"/>
    <cellStyle name="Migliaia 47 7 2 2 3" xfId="45877" xr:uid="{9CB01EAC-A3AA-4D78-A46B-388D1A52372F}"/>
    <cellStyle name="Migliaia 47 7 2 3" xfId="37924" xr:uid="{2F1599AB-9FE8-4010-B695-D0D1C90E4917}"/>
    <cellStyle name="Migliaia 47 7 2 4" xfId="43226" xr:uid="{1477BB95-EC99-4900-BA53-1F49569CD794}"/>
    <cellStyle name="Migliaia 47 7 2 5" xfId="14302" xr:uid="{17A18AEB-4099-454D-9221-DDFD68E631AB}"/>
    <cellStyle name="Migliaia 47 7 3" xfId="6682" xr:uid="{40D4BAE2-4E95-4EB8-9D1E-7B92E5A019F4}"/>
    <cellStyle name="Migliaia 47 7 3 2" xfId="39892" xr:uid="{AC41E8DF-CFA0-4AB9-BB93-1182A9BF0FC5}"/>
    <cellStyle name="Migliaia 47 7 3 3" xfId="45194" xr:uid="{E703F0D0-8088-4F10-BA47-864AFB5A2FAE}"/>
    <cellStyle name="Migliaia 47 7 3 4" xfId="34310" xr:uid="{10353415-06DB-4385-B0D1-CC1B5A37DDB1}"/>
    <cellStyle name="Migliaia 47 7 3 5" xfId="20781" xr:uid="{087F3623-F37C-4AD5-9A63-66C044283945}"/>
    <cellStyle name="Migliaia 47 7 4" xfId="37275" xr:uid="{6FC80417-5590-42A3-A999-4C2A545133F7}"/>
    <cellStyle name="Migliaia 47 7 5" xfId="42543" xr:uid="{129A6DA8-76F9-4C59-A3D8-273ACA19720C}"/>
    <cellStyle name="Migliaia 47 7 6" xfId="16665" xr:uid="{7CB74436-6501-4947-8333-FA0F0FAB89FD}"/>
    <cellStyle name="Migliaia 47 7 7" xfId="8364" xr:uid="{DF1C7B4B-F237-45FB-810B-0D39E0A9133C}"/>
    <cellStyle name="Migliaia 47 8" xfId="3775" xr:uid="{20A380C3-7557-4424-BBD7-E92C1A0DB05F}"/>
    <cellStyle name="Migliaia 47 8 2" xfId="5501" xr:uid="{7F8D32F9-8891-4C85-BD71-A5A12F9C5C85}"/>
    <cellStyle name="Migliaia 47 8 2 2" xfId="35416" xr:uid="{D3400A62-1112-43E9-A3DE-8FDF07051C23}"/>
    <cellStyle name="Migliaia 47 8 2 2 2" xfId="40576" xr:uid="{AA972A2C-6F08-461F-B7EA-F3E02AC52146}"/>
    <cellStyle name="Migliaia 47 8 2 2 3" xfId="45878" xr:uid="{B1C7E997-02BA-4A0F-986E-2ED40AA78322}"/>
    <cellStyle name="Migliaia 47 8 2 3" xfId="37925" xr:uid="{1395AF42-F734-4E91-9FB5-03553DEAEBE9}"/>
    <cellStyle name="Migliaia 47 8 2 4" xfId="43227" xr:uid="{1BC47B1E-5ED4-4B27-AEC3-9E1C6B2D8A5B}"/>
    <cellStyle name="Migliaia 47 8 2 5" xfId="14007" xr:uid="{A0117D08-C797-45F5-91D1-4A6F8F9093D4}"/>
    <cellStyle name="Migliaia 47 8 3" xfId="6683" xr:uid="{DA3599F0-5027-4D8D-9DA6-4F90B5F6B702}"/>
    <cellStyle name="Migliaia 47 8 3 2" xfId="39893" xr:uid="{D8F62528-1756-45A1-8685-536E5D516420}"/>
    <cellStyle name="Migliaia 47 8 3 3" xfId="45195" xr:uid="{75289C44-4E3B-4C66-BDB6-40BBDDF16037}"/>
    <cellStyle name="Migliaia 47 8 3 4" xfId="34311" xr:uid="{9F9B9402-BFBA-4857-B5F9-50649EB10F25}"/>
    <cellStyle name="Migliaia 47 8 3 5" xfId="20782" xr:uid="{DD9EFA82-B360-420C-A338-9BBED71BBC72}"/>
    <cellStyle name="Migliaia 47 8 4" xfId="37276" xr:uid="{0A28D8B8-3F8E-4041-A919-369A6D3867AD}"/>
    <cellStyle name="Migliaia 47 8 5" xfId="42544" xr:uid="{D75A7EDA-84E5-438A-B904-180C6B16BC03}"/>
    <cellStyle name="Migliaia 47 8 6" xfId="16666" xr:uid="{BB79D7FD-D58B-4A29-B3D6-FC7C4113E3F0}"/>
    <cellStyle name="Migliaia 47 8 7" xfId="7986" xr:uid="{C9C6A09E-0C2C-4357-AE41-481088D8B7D6}"/>
    <cellStyle name="Migliaia 47 9" xfId="5486" xr:uid="{57D67CFF-0252-4A5F-A505-D0751A14898B}"/>
    <cellStyle name="Migliaia 47 9 2" xfId="34312" xr:uid="{9D681870-1127-4431-87AD-3B873D64408F}"/>
    <cellStyle name="Migliaia 47 9 2 2" xfId="39894" xr:uid="{2C0D8306-21E2-4EB0-B41A-CAE78B5FC550}"/>
    <cellStyle name="Migliaia 47 9 2 3" xfId="45196" xr:uid="{0768250D-6548-4A89-B97B-DC6C5E85C775}"/>
    <cellStyle name="Migliaia 47 9 3" xfId="37277" xr:uid="{BCD2F151-A845-4802-A396-30304C4EF8BB}"/>
    <cellStyle name="Migliaia 47 9 4" xfId="42545" xr:uid="{785EF9D5-89E2-4638-8563-38FC7DA245E4}"/>
    <cellStyle name="Migliaia 47 9 5" xfId="17217" xr:uid="{681B3650-A6EE-4F22-8494-870E93A3D940}"/>
    <cellStyle name="Migliaia 48" xfId="469" xr:uid="{00000000-0005-0000-0000-000039040000}"/>
    <cellStyle name="Migliaia 48 10" xfId="6684" xr:uid="{3D47937B-DB6C-4AC4-ADF6-63CAEF2DB7F1}"/>
    <cellStyle name="Migliaia 48 10 2" xfId="39895" xr:uid="{71A8DC60-A678-4483-8416-F53F749A5868}"/>
    <cellStyle name="Migliaia 48 10 3" xfId="45197" xr:uid="{5B9D4E74-A503-4283-9274-672D64689E0E}"/>
    <cellStyle name="Migliaia 48 10 4" xfId="34313" xr:uid="{6332E180-C799-49C8-93E4-E91050893A4F}"/>
    <cellStyle name="Migliaia 48 10 5" xfId="20783" xr:uid="{E8FC5488-56D2-407D-B9F6-89AA2340509C}"/>
    <cellStyle name="Migliaia 48 11" xfId="3776" xr:uid="{7DEA1472-11A5-44F9-AB88-6330FB2FE8D6}"/>
    <cellStyle name="Migliaia 48 11 2" xfId="37278" xr:uid="{AABD7D6E-3C3C-440B-97A1-2DDB9B1CC6A8}"/>
    <cellStyle name="Migliaia 48 12" xfId="42546" xr:uid="{29E9E20D-2C51-41FC-A98B-0B747865654A}"/>
    <cellStyle name="Migliaia 48 13" xfId="7168" xr:uid="{511DBFB1-128D-493E-88C7-742167E02EE3}"/>
    <cellStyle name="Migliaia 48 2" xfId="470" xr:uid="{00000000-0005-0000-0000-00003A040000}"/>
    <cellStyle name="Migliaia 48 2 2" xfId="1866" xr:uid="{00000000-0005-0000-0000-00003B040000}"/>
    <cellStyle name="Migliaia 48 2 2 2" xfId="5504" xr:uid="{6389DF05-C1F1-4A24-8A92-26C60F8D97CA}"/>
    <cellStyle name="Migliaia 48 2 2 2 2" xfId="14405" xr:uid="{FFE3E2EA-67AB-4F47-AF2F-A5FFFDF51922}"/>
    <cellStyle name="Migliaia 48 2 2 2 2 2" xfId="39896" xr:uid="{FFB0ADE5-17E7-4241-BC03-CD1EE7B66962}"/>
    <cellStyle name="Migliaia 48 2 2 2 2 3" xfId="45198" xr:uid="{7C106805-BFDA-447F-AF5F-4A333FF41F02}"/>
    <cellStyle name="Migliaia 48 2 2 2 3" xfId="18488" xr:uid="{2E324FD4-BCAE-4801-8262-DA513B0999EE}"/>
    <cellStyle name="Migliaia 48 2 2 2 4" xfId="20786" xr:uid="{E75F2792-84CF-46F4-AFBC-E536A9BD6D04}"/>
    <cellStyle name="Migliaia 48 2 2 2 4 2" xfId="42547" xr:uid="{C5F67810-ACEF-415E-8606-47865B7F6E84}"/>
    <cellStyle name="Migliaia 48 2 2 2 5" xfId="16667" xr:uid="{8CABD6C0-99C8-44CD-9F33-1559F60136FB}"/>
    <cellStyle name="Migliaia 48 2 2 2 6" xfId="8733" xr:uid="{8433486C-2D72-47B0-8A03-D37B40D77ECD}"/>
    <cellStyle name="Migliaia 48 2 2 3" xfId="6686" xr:uid="{1B73C074-83AA-422B-A239-B68041C08319}"/>
    <cellStyle name="Migliaia 48 2 2 3 2" xfId="35417" xr:uid="{B574AF1C-0533-4E3E-ADE0-240947924408}"/>
    <cellStyle name="Migliaia 48 2 2 3 2 2" xfId="40577" xr:uid="{872BE6E3-FB1B-427B-A601-98AB766E3473}"/>
    <cellStyle name="Migliaia 48 2 2 3 2 3" xfId="45879" xr:uid="{2FECBEC7-FE14-4038-86E2-6B539CF36D67}"/>
    <cellStyle name="Migliaia 48 2 2 3 3" xfId="37926" xr:uid="{A7D75EB5-6978-42C0-9AC5-DB6780DCEFB1}"/>
    <cellStyle name="Migliaia 48 2 2 3 4" xfId="43228" xr:uid="{604BB730-8AF9-4332-BC8F-4ACBDCB00B0E}"/>
    <cellStyle name="Migliaia 48 2 2 3 5" xfId="11632" xr:uid="{BC77FAEB-B172-4C10-A5E1-2522EA398BE9}"/>
    <cellStyle name="Migliaia 48 2 2 4" xfId="3778" xr:uid="{8A4CCAC0-0234-4289-9063-52FAA553EA87}"/>
    <cellStyle name="Migliaia 48 2 2 4 2" xfId="21578" xr:uid="{0719EF64-4425-41CF-8B43-7AFFF7FE7546}"/>
    <cellStyle name="Migliaia 48 2 2 4 3" xfId="48432" xr:uid="{01404B25-73BE-4254-928B-96478CA17F00}"/>
    <cellStyle name="Migliaia 48 2 2 4 4" xfId="50593" xr:uid="{A95067B8-835D-45AE-977E-7DFF12B840C6}"/>
    <cellStyle name="Migliaia 48 2 2 4 5" xfId="53609" xr:uid="{436282F3-73CA-45E3-9E8E-D90A3FCA8D35}"/>
    <cellStyle name="Migliaia 48 2 2 4 6" xfId="10943" xr:uid="{7E8FB35A-DFA1-470C-BFE6-DF2C44DBDD6A}"/>
    <cellStyle name="Migliaia 48 2 2 5" xfId="20785" xr:uid="{4742E514-C0B0-4C0A-B06B-7BBF74005212}"/>
    <cellStyle name="Migliaia 48 2 2 6" xfId="25187" xr:uid="{9552922C-5052-45D5-ACCD-1845E92A2A6E}"/>
    <cellStyle name="Migliaia 48 2 2 7" xfId="7543" xr:uid="{2B7FA726-340C-4BCA-B5CA-2A7B6273EDA8}"/>
    <cellStyle name="Migliaia 48 2 3" xfId="3779" xr:uid="{8ECAB38A-695B-4371-9215-6C326D33AF86}"/>
    <cellStyle name="Migliaia 48 2 3 2" xfId="5505" xr:uid="{BA9D5057-023E-4B8F-A2EB-2C343CF56E11}"/>
    <cellStyle name="Migliaia 48 2 3 2 2" xfId="35418" xr:uid="{277C38CA-B840-4D3A-A252-DE14348E6F80}"/>
    <cellStyle name="Migliaia 48 2 3 2 2 2" xfId="40578" xr:uid="{03343EEA-EE2A-4635-BB94-B2F4D79478AE}"/>
    <cellStyle name="Migliaia 48 2 3 2 2 3" xfId="45880" xr:uid="{3B689167-FEF5-463C-9308-4C626784112B}"/>
    <cellStyle name="Migliaia 48 2 3 2 3" xfId="37927" xr:uid="{70933116-8B4D-44E9-BE84-8F8CEBC98763}"/>
    <cellStyle name="Migliaia 48 2 3 2 4" xfId="43229" xr:uid="{CB737483-9D3C-40E5-9FCC-A39D70B4B237}"/>
    <cellStyle name="Migliaia 48 2 3 2 5" xfId="14306" xr:uid="{FE080E35-CD86-4D6B-BA58-7E34E868C666}"/>
    <cellStyle name="Migliaia 48 2 3 3" xfId="6687" xr:uid="{78BB7882-912F-4C9D-9563-DB64300C24F6}"/>
    <cellStyle name="Migliaia 48 2 3 3 2" xfId="39897" xr:uid="{BA340F37-AF87-40EE-A8A9-9CCFE2F0280D}"/>
    <cellStyle name="Migliaia 48 2 3 3 3" xfId="45199" xr:uid="{EEDA2C6D-7EB8-4E7E-8812-FB71E9F2CA1B}"/>
    <cellStyle name="Migliaia 48 2 3 3 4" xfId="34315" xr:uid="{9EB2FD98-0C59-4490-ABB3-12808F80E096}"/>
    <cellStyle name="Migliaia 48 2 3 3 5" xfId="20787" xr:uid="{0CC3DF0D-C426-43A7-9063-2B1B81A43FF8}"/>
    <cellStyle name="Migliaia 48 2 3 4" xfId="37280" xr:uid="{642A6966-1CCB-41C5-94FA-D89F32B034A8}"/>
    <cellStyle name="Migliaia 48 2 3 5" xfId="42548" xr:uid="{BFC69EB1-5F36-41DC-BA24-C8DD98E490F8}"/>
    <cellStyle name="Migliaia 48 2 3 6" xfId="16668" xr:uid="{CD26F154-3AEE-4FAD-A9DE-6ED3423E1C80}"/>
    <cellStyle name="Migliaia 48 2 3 7" xfId="8368" xr:uid="{7060236D-7CAC-4357-B18F-49642F5DFCC0}"/>
    <cellStyle name="Migliaia 48 2 4" xfId="5503" xr:uid="{643AE65E-EC19-4928-AA9D-32E5AA3C1274}"/>
    <cellStyle name="Migliaia 48 2 4 2" xfId="14011" xr:uid="{3B828AE0-063E-43B1-AD7E-E873522F4FFD}"/>
    <cellStyle name="Migliaia 48 2 4 2 2" xfId="39898" xr:uid="{1269C178-C7FD-4D4E-B0C8-3C5A5103D2FF}"/>
    <cellStyle name="Migliaia 48 2 4 2 3" xfId="45200" xr:uid="{E9B56106-79AA-41AB-8609-E41E68FC2929}"/>
    <cellStyle name="Migliaia 48 2 4 3" xfId="18696" xr:uid="{FF69DBD1-9CE1-46AC-8A0D-46326B883C3A}"/>
    <cellStyle name="Migliaia 48 2 4 4" xfId="20788" xr:uid="{E447062E-A0FA-4CCD-BA86-E7E44CB0B438}"/>
    <cellStyle name="Migliaia 48 2 4 4 2" xfId="42549" xr:uid="{897134C2-1BBC-406B-BD43-396150AAE3EC}"/>
    <cellStyle name="Migliaia 48 2 4 5" xfId="16669" xr:uid="{C39EC201-DE2F-4AD6-88E6-09458216FA63}"/>
    <cellStyle name="Migliaia 48 2 4 6" xfId="7991" xr:uid="{EEBFC40C-3E0F-404F-8B85-3A694FE4FF58}"/>
    <cellStyle name="Migliaia 48 2 5" xfId="6685" xr:uid="{DA6EF1CF-B13B-4420-9C74-34694DEDEDB6}"/>
    <cellStyle name="Migliaia 48 2 5 2" xfId="34316" xr:uid="{FD7706BD-F86D-440D-BCD4-C5E45E570B30}"/>
    <cellStyle name="Migliaia 48 2 5 2 2" xfId="39899" xr:uid="{294BD096-831A-40A0-AA7C-0F99B6E590B8}"/>
    <cellStyle name="Migliaia 48 2 5 2 3" xfId="45201" xr:uid="{2F3615CA-4DA4-4C60-BF2F-384FAA552AFF}"/>
    <cellStyle name="Migliaia 48 2 5 3" xfId="37281" xr:uid="{28726015-86E5-4EB5-A505-4C3CCB0CE7E6}"/>
    <cellStyle name="Migliaia 48 2 5 4" xfId="42550" xr:uid="{6D86E9C2-3A0A-486D-9B86-B8A9357CD41E}"/>
    <cellStyle name="Migliaia 48 2 5 5" xfId="13145" xr:uid="{69CECA01-0F72-421B-BFC0-AA85C792C6D8}"/>
    <cellStyle name="Migliaia 48 2 6" xfId="3777" xr:uid="{00EF5211-487E-4A7D-B71D-62B98ED4D1D0}"/>
    <cellStyle name="Migliaia 48 2 6 2" xfId="34317" xr:uid="{499E3DC3-3FE2-4CB4-85A7-E624B3C9021E}"/>
    <cellStyle name="Migliaia 48 2 6 2 2" xfId="39900" xr:uid="{6600DF1C-7D39-4FA8-8B5C-4B8247BF94D8}"/>
    <cellStyle name="Migliaia 48 2 6 2 3" xfId="45202" xr:uid="{CD920690-B4E3-412F-A2F3-A2CFCB9A4329}"/>
    <cellStyle name="Migliaia 48 2 6 3" xfId="37282" xr:uid="{62982527-E09C-4F5D-860B-39DD33F928F4}"/>
    <cellStyle name="Migliaia 48 2 6 4" xfId="42551" xr:uid="{FD675EF6-C570-4315-9F12-89439A3D73A8}"/>
    <cellStyle name="Migliaia 48 2 6 5" xfId="25189" xr:uid="{2BAA33F9-3707-485B-9948-4C9E1DEC371E}"/>
    <cellStyle name="Migliaia 48 2 6 6" xfId="20784" xr:uid="{0C83BD0D-2B53-462D-AC1E-F725EE23E9C1}"/>
    <cellStyle name="Migliaia 48 2 7" xfId="25186" xr:uid="{9A755F64-F5D0-4EA9-B6CA-2F3469117E67}"/>
    <cellStyle name="Migliaia 48 2 8" xfId="7169" xr:uid="{01F9929A-044C-4775-BD7C-16606CA89933}"/>
    <cellStyle name="Migliaia 48 3" xfId="471" xr:uid="{00000000-0005-0000-0000-00003C040000}"/>
    <cellStyle name="Migliaia 48 3 10" xfId="25190" xr:uid="{5E0E0345-9F4A-4BE3-91B0-BDD154688338}"/>
    <cellStyle name="Migliaia 48 3 11" xfId="16670" xr:uid="{CDF0C226-BF04-4097-B1E6-8A02C29E0B61}"/>
    <cellStyle name="Migliaia 48 3 12" xfId="7170" xr:uid="{D9D2E1A3-6172-4540-8D20-9943FCDF0556}"/>
    <cellStyle name="Migliaia 48 3 2" xfId="472" xr:uid="{00000000-0005-0000-0000-00003D040000}"/>
    <cellStyle name="Migliaia 48 3 2 2" xfId="1867" xr:uid="{00000000-0005-0000-0000-00003E040000}"/>
    <cellStyle name="Migliaia 48 3 2 2 2" xfId="5508" xr:uid="{AC7ED50C-0128-4CA4-89E0-F70F4FD41733}"/>
    <cellStyle name="Migliaia 48 3 2 2 2 2" xfId="18489" xr:uid="{0E5CD169-6D0E-41DC-80E4-EB38EEE88461}"/>
    <cellStyle name="Migliaia 48 3 2 2 2 2 2" xfId="21883" xr:uid="{0D069C24-EE1D-4AF7-8BA4-FF6F42322153}"/>
    <cellStyle name="Migliaia 48 3 2 2 2 2 2 2" xfId="39901" xr:uid="{76584A69-7A6C-410A-8BDA-DAE9D5FDAE40}"/>
    <cellStyle name="Migliaia 48 3 2 2 2 2 3" xfId="45203" xr:uid="{E4BF8832-8DE9-4B96-8D40-1E375C975F3C}"/>
    <cellStyle name="Migliaia 48 3 2 2 2 2 4" xfId="34318" xr:uid="{7FB4D5FC-AA7D-4C45-A64A-BB423C0D2927}"/>
    <cellStyle name="Migliaia 48 3 2 2 2 3" xfId="37283" xr:uid="{583A3562-DDC9-4199-8B6D-C08C1601A3C5}"/>
    <cellStyle name="Migliaia 48 3 2 2 2 4" xfId="42552" xr:uid="{C349A94A-C3D0-4756-B8A2-C6AFDD104DBA}"/>
    <cellStyle name="Migliaia 48 3 2 2 2 5" xfId="48578" xr:uid="{7E1E7E45-E117-4EDC-BCC3-DB2289B5DD25}"/>
    <cellStyle name="Migliaia 48 3 2 2 2 6" xfId="50911" xr:uid="{9F4A93F7-D939-46DE-A224-B9B94672153F}"/>
    <cellStyle name="Migliaia 48 3 2 2 2 7" xfId="53927" xr:uid="{9D9E544E-B177-4D6A-B6A6-48DF847C7E26}"/>
    <cellStyle name="Migliaia 48 3 2 2 2 8" xfId="17681" xr:uid="{3FF10A45-A951-4DD8-A4B3-3FAF13C35538}"/>
    <cellStyle name="Migliaia 48 3 2 2 2 9" xfId="12055" xr:uid="{5E4FBE32-05B4-4D07-B182-27D2B23EF3B8}"/>
    <cellStyle name="Migliaia 48 3 2 2 3" xfId="6690" xr:uid="{DC76F674-9FC7-4B44-A8F0-EC3B3B69E631}"/>
    <cellStyle name="Migliaia 48 3 2 2 3 2" xfId="11178" xr:uid="{D92C78ED-84F7-4002-A5A4-DCC4188DEC44}"/>
    <cellStyle name="Migliaia 48 3 2 2 4" xfId="3782" xr:uid="{2F07C70B-EA86-474D-AC16-D8DEF1E3E3B9}"/>
    <cellStyle name="Migliaia 48 3 2 2 4 2" xfId="21579" xr:uid="{61BDC72F-A0AA-459F-8E36-61CE6181858C}"/>
    <cellStyle name="Migliaia 48 3 2 2 4 3" xfId="48530" xr:uid="{60814731-617F-48DF-B2A7-0DCDA7042140}"/>
    <cellStyle name="Migliaia 48 3 2 2 4 4" xfId="50594" xr:uid="{9A0E4ABB-DE2E-4A07-9A3E-B5BE372FAF6C}"/>
    <cellStyle name="Migliaia 48 3 2 2 4 5" xfId="53610" xr:uid="{D46DBC5F-B176-4565-9EF3-1B633BBC35F5}"/>
    <cellStyle name="Migliaia 48 3 2 2 4 6" xfId="10944" xr:uid="{F0102A04-5665-40B3-A5F5-C05956DA3AA6}"/>
    <cellStyle name="Migliaia 48 3 2 2 5" xfId="20791" xr:uid="{BA13CE46-532A-4DBE-AF90-3AA304E18AF1}"/>
    <cellStyle name="Migliaia 48 3 2 2 6" xfId="25192" xr:uid="{18873292-8E9B-452A-829B-321EC01D2481}"/>
    <cellStyle name="Migliaia 48 3 2 2 7" xfId="8735" xr:uid="{246B3C80-3672-424C-B21D-123277BBD91D}"/>
    <cellStyle name="Migliaia 48 3 2 3" xfId="5507" xr:uid="{DB6A0758-D8D0-4739-B8FF-73BC2C69B6A3}"/>
    <cellStyle name="Migliaia 48 3 2 3 2" xfId="11107" xr:uid="{236C2EDF-AA38-41B3-9DE7-455A9A659949}"/>
    <cellStyle name="Migliaia 48 3 2 3 2 2" xfId="39902" xr:uid="{01AA14B7-F6A7-482D-8E21-FE7080AD579B}"/>
    <cellStyle name="Migliaia 48 3 2 3 2 3" xfId="45204" xr:uid="{7D88B59A-9708-43B5-9182-E08437E45BE1}"/>
    <cellStyle name="Migliaia 48 3 2 3 2 4" xfId="34319" xr:uid="{632A7D35-1DA0-4C98-9D29-D96B30611A7C}"/>
    <cellStyle name="Migliaia 48 3 2 3 3" xfId="12056" xr:uid="{3C3F4E35-ACF8-4551-ABCD-D313E2581384}"/>
    <cellStyle name="Migliaia 48 3 2 3 4" xfId="20792" xr:uid="{C6D2A29F-90C3-4591-8097-FCAE9D48B32A}"/>
    <cellStyle name="Migliaia 48 3 2 3 4 2" xfId="42553" xr:uid="{DD6F8419-522F-45FE-BD1A-E3BA4F414EA3}"/>
    <cellStyle name="Migliaia 48 3 2 3 5" xfId="16671" xr:uid="{98795B0B-89D1-4698-9D48-F4A20D316C4D}"/>
    <cellStyle name="Migliaia 48 3 2 3 6" xfId="7993" xr:uid="{EB5362FD-38CC-48FA-A197-7E191016E187}"/>
    <cellStyle name="Migliaia 48 3 2 4" xfId="6689" xr:uid="{450F15B9-738A-4853-9C42-3284AD0A0193}"/>
    <cellStyle name="Migliaia 48 3 2 4 2" xfId="18099" xr:uid="{B81FF524-C3EE-4856-8218-AF62481C2599}"/>
    <cellStyle name="Migliaia 48 3 2 4 2 2" xfId="39903" xr:uid="{6C602E76-B239-4CE6-B838-B1FA2F9AE16D}"/>
    <cellStyle name="Migliaia 48 3 2 4 2 3" xfId="45205" xr:uid="{492EFB8E-343B-43A4-B083-96F8824570F0}"/>
    <cellStyle name="Migliaia 48 3 2 4 3" xfId="37284" xr:uid="{CA7B2C91-7795-4C4D-B12A-D63FDF6B6EB9}"/>
    <cellStyle name="Migliaia 48 3 2 4 4" xfId="42554" xr:uid="{124C4903-977B-4D91-88D7-5080F2F70CFB}"/>
    <cellStyle name="Migliaia 48 3 2 4 5" xfId="17220" xr:uid="{EDE0BACA-B299-471A-AED9-296FCFA073A7}"/>
    <cellStyle name="Migliaia 48 3 2 4 6" xfId="11404" xr:uid="{070EB49D-9A58-40C2-A185-B362F92B7AAD}"/>
    <cellStyle name="Migliaia 48 3 2 5" xfId="3781" xr:uid="{4AA643C6-73FD-4601-BAAF-AB97EA0EE2EE}"/>
    <cellStyle name="Migliaia 48 3 2 5 2" xfId="34320" xr:uid="{CE72EF21-9871-4809-B155-029D4EFA4666}"/>
    <cellStyle name="Migliaia 48 3 2 5 2 2" xfId="39904" xr:uid="{A9645318-0FA7-46CA-97AD-09652CBCEC93}"/>
    <cellStyle name="Migliaia 48 3 2 5 2 3" xfId="45206" xr:uid="{F3D47164-E324-4710-AEDD-8FC717DA8EEB}"/>
    <cellStyle name="Migliaia 48 3 2 5 3" xfId="37285" xr:uid="{C2454A70-BD40-4E33-AD4C-74BC5DDC46F3}"/>
    <cellStyle name="Migliaia 48 3 2 5 4" xfId="42555" xr:uid="{CEECAE3E-401E-4B69-A7AC-2D847D572176}"/>
    <cellStyle name="Migliaia 48 3 2 5 5" xfId="17300" xr:uid="{6CB01F70-1EB9-4755-BEA2-0D6D1A522888}"/>
    <cellStyle name="Migliaia 48 3 2 6" xfId="20790" xr:uid="{FA323745-B210-414A-B862-E3F295FCEF5A}"/>
    <cellStyle name="Migliaia 48 3 2 6 2" xfId="34321" xr:uid="{2EADC999-6AA6-44C3-AD8E-F82A45B4DFC2}"/>
    <cellStyle name="Migliaia 48 3 2 6 2 2" xfId="39905" xr:uid="{D8C1D67C-507B-4FDD-A21B-0C99F7D0880A}"/>
    <cellStyle name="Migliaia 48 3 2 6 2 3" xfId="45207" xr:uid="{E9575110-854D-4A62-9B32-DA004112001D}"/>
    <cellStyle name="Migliaia 48 3 2 6 3" xfId="37286" xr:uid="{42FE3723-E83E-45DB-9BB2-355C86FF82EF}"/>
    <cellStyle name="Migliaia 48 3 2 6 4" xfId="42556" xr:uid="{72F41237-6630-465F-8916-75DAE0CA22F2}"/>
    <cellStyle name="Migliaia 48 3 2 6 5" xfId="25193" xr:uid="{610CDB42-42D9-4135-AA02-82D30DEDFD1F}"/>
    <cellStyle name="Migliaia 48 3 2 7" xfId="25191" xr:uid="{24596585-9359-43EA-A305-191CB990CF6B}"/>
    <cellStyle name="Migliaia 48 3 2 8" xfId="7545" xr:uid="{AA3011A2-974A-4F6F-BEFB-F5FCADDEE849}"/>
    <cellStyle name="Migliaia 48 3 3" xfId="3783" xr:uid="{C74081EA-1D19-46DC-B806-49767859E545}"/>
    <cellStyle name="Migliaia 48 3 3 10" xfId="7544" xr:uid="{BC9920B4-7A72-4FD7-BDEC-9B8E1FBE7118}"/>
    <cellStyle name="Migliaia 48 3 3 2" xfId="5509" xr:uid="{39CFEEF8-C86C-4A81-B443-88762A4AE44B}"/>
    <cellStyle name="Migliaia 48 3 3 2 2" xfId="9966" xr:uid="{75D8A674-C99B-4032-B4BD-339D98FB097D}"/>
    <cellStyle name="Migliaia 48 3 3 2 2 2" xfId="39907" xr:uid="{FABD7A2A-49CC-4CD1-9C3C-9CA82F637BA8}"/>
    <cellStyle name="Migliaia 48 3 3 2 2 3" xfId="45209" xr:uid="{35F16C11-451F-4A9D-9DCA-29933614DD47}"/>
    <cellStyle name="Migliaia 48 3 3 2 3" xfId="18246" xr:uid="{FF3A1DAA-0FEE-4AFA-AE0E-425E28F01EAA}"/>
    <cellStyle name="Migliaia 48 3 3 2 4" xfId="20794" xr:uid="{3B696FF1-518F-4211-ABB1-1D19F8AF3CA2}"/>
    <cellStyle name="Migliaia 48 3 3 2 4 2" xfId="42558" xr:uid="{8C0DBB3B-39D0-4712-887C-228062204B5D}"/>
    <cellStyle name="Migliaia 48 3 3 2 5" xfId="16673" xr:uid="{C706ECD3-296D-4646-A776-B50058FFF1D7}"/>
    <cellStyle name="Migliaia 48 3 3 2 6" xfId="8734" xr:uid="{69AD834F-EA76-4277-99B1-719C49595F90}"/>
    <cellStyle name="Migliaia 48 3 3 3" xfId="6691" xr:uid="{AF1AD14A-AE50-4630-A229-9F0F396F30D8}"/>
    <cellStyle name="Migliaia 48 3 3 3 2" xfId="34323" xr:uid="{44E05175-F8E4-4BC5-A63B-8D0547A06642}"/>
    <cellStyle name="Migliaia 48 3 3 3 2 2" xfId="39908" xr:uid="{617CE376-0C72-43F2-8E83-FCB976D2A1E2}"/>
    <cellStyle name="Migliaia 48 3 3 3 2 3" xfId="45210" xr:uid="{0E1D64CE-92F7-4552-BCCE-595EFE4314E7}"/>
    <cellStyle name="Migliaia 48 3 3 3 3" xfId="37288" xr:uid="{31722E77-AFBD-437A-AD0E-DB6176AC7542}"/>
    <cellStyle name="Migliaia 48 3 3 3 4" xfId="42559" xr:uid="{1FC18113-7F4B-4535-AB0B-1770C5E30F92}"/>
    <cellStyle name="Migliaia 48 3 3 3 5" xfId="9729" xr:uid="{161DF7C3-8068-4DBA-B18E-6CF1BAE5BC9A}"/>
    <cellStyle name="Migliaia 48 3 3 4" xfId="20793" xr:uid="{3A6EB377-C45F-41BC-9F4B-756241C061DD}"/>
    <cellStyle name="Migliaia 48 3 3 4 2" xfId="34324" xr:uid="{2CE57851-2DBE-4075-B490-A8942B28FAD9}"/>
    <cellStyle name="Migliaia 48 3 3 4 2 2" xfId="39909" xr:uid="{FE971DB6-015D-44E9-82F6-1D60DCF9EF74}"/>
    <cellStyle name="Migliaia 48 3 3 4 2 3" xfId="45211" xr:uid="{A217FF19-D124-4056-8E1A-9FB382DA6323}"/>
    <cellStyle name="Migliaia 48 3 3 4 3" xfId="37289" xr:uid="{B2F6E3F0-7224-4825-A855-09769B5D25B3}"/>
    <cellStyle name="Migliaia 48 3 3 4 4" xfId="42560" xr:uid="{1B42A339-08DF-4045-B2E8-51D184500510}"/>
    <cellStyle name="Migliaia 48 3 3 4 5" xfId="25194" xr:uid="{FA85DD8E-A5F6-4555-BB92-6201508A6D2A}"/>
    <cellStyle name="Migliaia 48 3 3 5" xfId="25195" xr:uid="{FF0B154D-775A-414F-9037-B220C2EB6A19}"/>
    <cellStyle name="Migliaia 48 3 3 5 2" xfId="34325" xr:uid="{72B9530E-1771-4635-9A9E-537FE14D912E}"/>
    <cellStyle name="Migliaia 48 3 3 5 2 2" xfId="39910" xr:uid="{4A9C3008-B846-4827-A3A4-D28E56E25A88}"/>
    <cellStyle name="Migliaia 48 3 3 5 2 3" xfId="45212" xr:uid="{C47B872F-039E-4651-B96E-9E902300C914}"/>
    <cellStyle name="Migliaia 48 3 3 5 3" xfId="37290" xr:uid="{125D2236-E651-4D1D-9B54-CD5F899ACA5B}"/>
    <cellStyle name="Migliaia 48 3 3 5 4" xfId="42561" xr:uid="{8F7CC100-7A4E-4E83-905C-6D7268411E30}"/>
    <cellStyle name="Migliaia 48 3 3 6" xfId="34322" xr:uid="{760DE741-BA78-4245-9767-61475F3852F9}"/>
    <cellStyle name="Migliaia 48 3 3 6 2" xfId="39906" xr:uid="{8289D6F9-B2B3-4815-AC71-7F78274CCC79}"/>
    <cellStyle name="Migliaia 48 3 3 6 3" xfId="45208" xr:uid="{514D9855-B6E4-47EE-A755-07ACD6E8A4FF}"/>
    <cellStyle name="Migliaia 48 3 3 7" xfId="37287" xr:uid="{174A627A-6AF6-4531-971A-D0EACB340E36}"/>
    <cellStyle name="Migliaia 48 3 3 8" xfId="42557" xr:uid="{B447DE2D-62B7-4D4D-8D5B-48B7D538217C}"/>
    <cellStyle name="Migliaia 48 3 3 9" xfId="16672" xr:uid="{F40A4708-5635-4D8B-8BDC-320F887468EC}"/>
    <cellStyle name="Migliaia 48 3 4" xfId="3784" xr:uid="{4847FAC4-0631-46AF-ADCD-401C2B28AF6D}"/>
    <cellStyle name="Migliaia 48 3 4 2" xfId="5510" xr:uid="{A8F58F4C-594A-463E-B524-886752F71768}"/>
    <cellStyle name="Migliaia 48 3 4 2 2" xfId="14465" xr:uid="{15CF7C00-4393-4155-802E-34BD2D0499DF}"/>
    <cellStyle name="Migliaia 48 3 4 2 3" xfId="18134" xr:uid="{2F74B57A-FA8A-4026-97CE-53ADC679C103}"/>
    <cellStyle name="Migliaia 48 3 4 2 4" xfId="20796" xr:uid="{CED4C17A-2861-45F5-B826-3E727586295B}"/>
    <cellStyle name="Migliaia 48 3 4 2 5" xfId="32449" xr:uid="{2DA9706A-E65C-4B60-AA88-D0354EC4B77F}"/>
    <cellStyle name="Migliaia 48 3 4 2 6" xfId="16675" xr:uid="{B8269B55-A731-43CE-8B19-07F81E4400AF}"/>
    <cellStyle name="Migliaia 48 3 4 2 7" xfId="8888" xr:uid="{D0C9FE1E-EC44-48BE-A3A9-1F100B4D67E4}"/>
    <cellStyle name="Migliaia 48 3 4 3" xfId="6692" xr:uid="{3087FD74-8AE7-4B3E-8131-DA762FF0E701}"/>
    <cellStyle name="Migliaia 48 3 4 3 2" xfId="35419" xr:uid="{DCD84910-8505-41DA-A8A9-4680E7C79A1B}"/>
    <cellStyle name="Migliaia 48 3 4 3 2 2" xfId="40579" xr:uid="{088FFA95-4A40-43CB-9F33-7C021CA8E1E0}"/>
    <cellStyle name="Migliaia 48 3 4 3 2 3" xfId="45881" xr:uid="{BDA89DE6-C0ED-41B2-9A0C-C3C1689107D6}"/>
    <cellStyle name="Migliaia 48 3 4 3 3" xfId="37928" xr:uid="{CBD58126-B816-45FA-B67F-DBAB66AB68D4}"/>
    <cellStyle name="Migliaia 48 3 4 3 4" xfId="43230" xr:uid="{33F9F1FD-F6F4-46E9-B51F-A9988D0B0ECE}"/>
    <cellStyle name="Migliaia 48 3 4 3 5" xfId="13713" xr:uid="{49E7CC5E-F5F3-459C-B268-89696A7E488F}"/>
    <cellStyle name="Migliaia 48 3 4 4" xfId="20795" xr:uid="{D358C62C-3AC8-4173-9E06-C05F76B781A0}"/>
    <cellStyle name="Migliaia 48 3 4 4 2" xfId="39911" xr:uid="{F212BCA0-90DE-4BD7-9375-16CFEAF425C5}"/>
    <cellStyle name="Migliaia 48 3 4 4 3" xfId="45213" xr:uid="{8A0EFED3-1177-4CA7-863C-1D89F7F1E601}"/>
    <cellStyle name="Migliaia 48 3 4 4 4" xfId="34326" xr:uid="{C0156715-244F-4692-A189-CC612B59E023}"/>
    <cellStyle name="Migliaia 48 3 4 5" xfId="37291" xr:uid="{0552153D-6C99-49CE-8676-4DF871CC59AD}"/>
    <cellStyle name="Migliaia 48 3 4 6" xfId="42562" xr:uid="{BD7E8D36-F717-4BC5-9E1C-8B1DAB1F80F7}"/>
    <cellStyle name="Migliaia 48 3 4 7" xfId="16674" xr:uid="{754A7BA8-F37B-4C68-A198-FEBCC8543644}"/>
    <cellStyle name="Migliaia 48 3 4 8" xfId="7698" xr:uid="{BBAAA4F5-8D61-4CCC-8757-252E12E403E3}"/>
    <cellStyle name="Migliaia 48 3 5" xfId="3785" xr:uid="{68DF3283-8196-4DE0-A23E-0163C178D0FF}"/>
    <cellStyle name="Migliaia 48 3 5 2" xfId="5511" xr:uid="{D15ECDD6-20D1-4F4E-BE84-5B3A9629EA01}"/>
    <cellStyle name="Migliaia 48 3 5 2 2" xfId="35420" xr:uid="{ADA58CE5-825D-466F-9E99-216E85119776}"/>
    <cellStyle name="Migliaia 48 3 5 2 2 2" xfId="40580" xr:uid="{BA3E57FE-77D7-4104-9F91-F3F55F3657DC}"/>
    <cellStyle name="Migliaia 48 3 5 2 2 3" xfId="45882" xr:uid="{8571430C-BEDA-4534-8BB5-31B41B061E37}"/>
    <cellStyle name="Migliaia 48 3 5 2 3" xfId="37929" xr:uid="{8A25C452-69B3-4ED3-B314-95F36A624513}"/>
    <cellStyle name="Migliaia 48 3 5 2 4" xfId="43231" xr:uid="{B967788C-4760-4A3F-8A95-98CC997FC1AB}"/>
    <cellStyle name="Migliaia 48 3 5 2 5" xfId="14307" xr:uid="{8C9FA3BC-0920-430D-9078-4A8653461C0E}"/>
    <cellStyle name="Migliaia 48 3 5 3" xfId="6693" xr:uid="{372D6505-49C2-43C8-8F6B-0E0B786D6CE9}"/>
    <cellStyle name="Migliaia 48 3 5 3 2" xfId="39912" xr:uid="{8D3DAE34-8B16-4FCF-A5B2-D42567E8A342}"/>
    <cellStyle name="Migliaia 48 3 5 3 3" xfId="45214" xr:uid="{CECA242D-7532-434E-9644-5E8103178A00}"/>
    <cellStyle name="Migliaia 48 3 5 3 4" xfId="34327" xr:uid="{978D9292-7FF5-49DB-8822-5E15A0C83357}"/>
    <cellStyle name="Migliaia 48 3 5 3 5" xfId="20797" xr:uid="{A18A5677-CC86-417D-B758-370FB0581260}"/>
    <cellStyle name="Migliaia 48 3 5 4" xfId="37292" xr:uid="{1BE62ADA-8AA2-46AC-80EB-C1AD34BCA2F3}"/>
    <cellStyle name="Migliaia 48 3 5 5" xfId="42563" xr:uid="{14207CC5-1021-410C-AFCD-908DB7BAC271}"/>
    <cellStyle name="Migliaia 48 3 5 6" xfId="16676" xr:uid="{64D614CD-78E4-4225-A0A8-08ABA3FC0E2E}"/>
    <cellStyle name="Migliaia 48 3 5 7" xfId="8369" xr:uid="{2F603D21-7D0B-49EB-BCDB-AA79803E3F9F}"/>
    <cellStyle name="Migliaia 48 3 6" xfId="5506" xr:uid="{AEA81241-B79B-4D67-ACB4-BE74D8BBD72C}"/>
    <cellStyle name="Migliaia 48 3 6 2" xfId="14012" xr:uid="{8AB5A21C-2E1C-4147-901D-D0C8B03325AA}"/>
    <cellStyle name="Migliaia 48 3 6 2 2" xfId="39913" xr:uid="{E0386945-B96D-4882-AADD-C14EB4ACBB44}"/>
    <cellStyle name="Migliaia 48 3 6 2 3" xfId="45215" xr:uid="{8DCE9D0C-BA85-4744-9AE0-0CEA7CD97A96}"/>
    <cellStyle name="Migliaia 48 3 6 3" xfId="18606" xr:uid="{FFB9AA45-7CB3-4B3B-A02A-9E6D7EAE5C3A}"/>
    <cellStyle name="Migliaia 48 3 6 4" xfId="20798" xr:uid="{DD8941A8-DBDF-4083-A027-15250E57762B}"/>
    <cellStyle name="Migliaia 48 3 6 4 2" xfId="42564" xr:uid="{F1620333-B4E6-4F6A-B4A7-9262125A3F1F}"/>
    <cellStyle name="Migliaia 48 3 6 5" xfId="16677" xr:uid="{174314A3-133D-4420-9C73-66616405A0D7}"/>
    <cellStyle name="Migliaia 48 3 6 6" xfId="7992" xr:uid="{C624E57A-CFBB-420C-B8A5-9E6F6B70718B}"/>
    <cellStyle name="Migliaia 48 3 7" xfId="6688" xr:uid="{65A0DD9E-D934-48B0-9E79-7D59EBB52E88}"/>
    <cellStyle name="Migliaia 48 3 7 2" xfId="34328" xr:uid="{D2F1C04C-6214-4A2F-92E2-FFA2F99E95D1}"/>
    <cellStyle name="Migliaia 48 3 7 2 2" xfId="39914" xr:uid="{2ECD03DA-9F45-48BB-8BDB-91CE539FD6AE}"/>
    <cellStyle name="Migliaia 48 3 7 2 3" xfId="45216" xr:uid="{27BFBBC3-F9CD-4062-A0F8-4E5007461437}"/>
    <cellStyle name="Migliaia 48 3 7 3" xfId="37293" xr:uid="{02AC31D0-84EA-4AC0-A0A1-2171F015FECA}"/>
    <cellStyle name="Migliaia 48 3 7 4" xfId="42565" xr:uid="{EBF20BE5-26F0-439A-92C1-FD4C9731B123}"/>
    <cellStyle name="Migliaia 48 3 7 5" xfId="11169" xr:uid="{6F9AB829-C8E6-43A8-BB50-765A8DE0AAD7}"/>
    <cellStyle name="Migliaia 48 3 8" xfId="3780" xr:uid="{54C99EC7-1A21-41CB-B9D2-4922FEB3971F}"/>
    <cellStyle name="Migliaia 48 3 8 2" xfId="34329" xr:uid="{C1183BBB-61E6-4E6F-98C3-F927A98DC901}"/>
    <cellStyle name="Migliaia 48 3 8 2 2" xfId="39915" xr:uid="{08DADE00-D8CB-48C8-8634-6C87CDD8D097}"/>
    <cellStyle name="Migliaia 48 3 8 2 3" xfId="45217" xr:uid="{AC0E0425-A958-43D8-BA94-0A1A96C683E7}"/>
    <cellStyle name="Migliaia 48 3 8 3" xfId="37294" xr:uid="{2C11E3DF-4065-4643-9A31-D17FD24892F9}"/>
    <cellStyle name="Migliaia 48 3 8 4" xfId="42566" xr:uid="{B39EB8BF-6C15-4E04-818D-02BDD3826800}"/>
    <cellStyle name="Migliaia 48 3 8 5" xfId="25196" xr:uid="{D16B441E-F3C5-44E3-AA30-600105453BA3}"/>
    <cellStyle name="Migliaia 48 3 8 6" xfId="17301" xr:uid="{1FEA1972-C098-4A72-8EBB-7B009AE684C1}"/>
    <cellStyle name="Migliaia 48 3 9" xfId="20789" xr:uid="{741130FB-F7BE-4D60-AEFF-0832C5A2F5A0}"/>
    <cellStyle name="Migliaia 48 4" xfId="1868" xr:uid="{00000000-0005-0000-0000-00003F040000}"/>
    <cellStyle name="Migliaia 48 4 2" xfId="1869" xr:uid="{00000000-0005-0000-0000-000040040000}"/>
    <cellStyle name="Migliaia 48 4 2 2" xfId="5513" xr:uid="{AEB9DAD4-3907-46EA-B673-E6C58C2C56CC}"/>
    <cellStyle name="Migliaia 48 4 2 2 2" xfId="34330" xr:uid="{9FA21B63-0641-40A7-A385-F50E1E40CD0F}"/>
    <cellStyle name="Migliaia 48 4 2 2 2 2" xfId="39916" xr:uid="{C6836BE7-19D6-46DC-A707-01D90CCE95DE}"/>
    <cellStyle name="Migliaia 48 4 2 2 2 3" xfId="45218" xr:uid="{9A4F4AFB-6F1B-4BAD-BE39-38E3251732F8}"/>
    <cellStyle name="Migliaia 48 4 2 2 3" xfId="37295" xr:uid="{3E0E5EEF-27CB-4529-85AC-C70A9292491B}"/>
    <cellStyle name="Migliaia 48 4 2 2 4" xfId="42567" xr:uid="{E030154A-678D-4854-92B0-74D164970EB2}"/>
    <cellStyle name="Migliaia 48 4 2 2 5" xfId="9192" xr:uid="{C1726DDD-E37D-488A-8CA9-A7FC90BB46FB}"/>
    <cellStyle name="Migliaia 48 4 2 3" xfId="3787" xr:uid="{21864041-358F-4787-A0D0-CEBF4A88267F}"/>
    <cellStyle name="Migliaia 48 4 2 3 2" xfId="34331" xr:uid="{0F995EC9-B509-4191-A7CF-1099806DC8D2}"/>
    <cellStyle name="Migliaia 48 4 2 3 2 2" xfId="39917" xr:uid="{510F5DD4-783B-4608-BA2F-B585389DC1B3}"/>
    <cellStyle name="Migliaia 48 4 2 3 2 3" xfId="45219" xr:uid="{D55659E3-89A0-4490-A2E6-26B45C1624DE}"/>
    <cellStyle name="Migliaia 48 4 2 3 3" xfId="37296" xr:uid="{BC9221A4-05CD-4741-812C-ABFCB7C695A4}"/>
    <cellStyle name="Migliaia 48 4 2 3 4" xfId="42568" xr:uid="{AB6C5D17-89D0-4B5C-9154-93F9C8A0B7A4}"/>
    <cellStyle name="Migliaia 48 4 2 3 5" xfId="12057" xr:uid="{94E9441E-BFFE-4804-AB86-9EA839B1D236}"/>
    <cellStyle name="Migliaia 48 4 2 4" xfId="11406" xr:uid="{DABAD712-615A-478A-908E-1FDC8702B9DC}"/>
    <cellStyle name="Migliaia 48 4 2 5" xfId="10946" xr:uid="{AA314360-7A50-4110-9DD4-BB8654E57D74}"/>
    <cellStyle name="Migliaia 48 4 2 5 2" xfId="21581" xr:uid="{2DFAB021-3423-48F8-A65E-8CFB867D8FAE}"/>
    <cellStyle name="Migliaia 48 4 2 5 3" xfId="48478" xr:uid="{AC573756-DD3B-4DB6-A1A0-2A5882091D8E}"/>
    <cellStyle name="Migliaia 48 4 2 5 4" xfId="50596" xr:uid="{AE0815AC-7C14-4B64-95B1-89C26C86610C}"/>
    <cellStyle name="Migliaia 48 4 2 5 5" xfId="53612" xr:uid="{DEFCF27B-EB8E-4F48-AF54-91A38C1F6AAC}"/>
    <cellStyle name="Migliaia 48 4 2 6" xfId="20800" xr:uid="{3C02D39B-92BE-4D8F-9C43-0B8866AAFF5F}"/>
    <cellStyle name="Migliaia 48 4 2 7" xfId="25198" xr:uid="{CEC4ED92-5708-41CB-A0FE-0248EE974CD6}"/>
    <cellStyle name="Migliaia 48 4 2 8" xfId="8736" xr:uid="{EF92C7AD-40F8-4993-AF6E-1B87417E2C22}"/>
    <cellStyle name="Migliaia 48 4 3" xfId="5512" xr:uid="{D0DE0E64-6928-447B-BFF8-913E4CB69654}"/>
    <cellStyle name="Migliaia 48 4 3 2" xfId="18247" xr:uid="{7AEB2BF4-181B-4FE4-ABB0-F12DA7BC54F9}"/>
    <cellStyle name="Migliaia 48 4 3 2 2" xfId="39918" xr:uid="{0DC6FF48-6CDE-460C-B53D-C04CF9BD2C99}"/>
    <cellStyle name="Migliaia 48 4 3 2 3" xfId="45220" xr:uid="{1A7FDF82-EF67-4C5A-8604-7B038736E579}"/>
    <cellStyle name="Migliaia 48 4 3 3" xfId="37297" xr:uid="{FA76F945-D140-4F1D-97D2-1502F6D31D71}"/>
    <cellStyle name="Migliaia 48 4 3 4" xfId="42569" xr:uid="{61F3998D-9B5A-48A2-AF52-6A60B0B4FCB3}"/>
    <cellStyle name="Migliaia 48 4 3 5" xfId="17299" xr:uid="{625BCA23-9CE5-456D-9365-EE6BB41AB917}"/>
    <cellStyle name="Migliaia 48 4 3 6" xfId="9193" xr:uid="{687DA09B-6FDE-4F62-BF0B-763B3D21E260}"/>
    <cellStyle name="Migliaia 48 4 4" xfId="6694" xr:uid="{D7A7A348-6AA8-4B1C-985B-206A2DDBF0E5}"/>
    <cellStyle name="Migliaia 48 4 4 2" xfId="34332" xr:uid="{05FCB37E-25F3-4ED3-A46D-BF4D12B7EF9C}"/>
    <cellStyle name="Migliaia 48 4 4 2 2" xfId="39919" xr:uid="{6AE4CFE8-765F-43A4-863B-B528AA1C804F}"/>
    <cellStyle name="Migliaia 48 4 4 2 3" xfId="45221" xr:uid="{87D0BD30-662F-4137-9838-A322223AFF66}"/>
    <cellStyle name="Migliaia 48 4 4 3" xfId="37298" xr:uid="{CA6D168C-4BC8-4CF3-92CA-D7B714D6DD85}"/>
    <cellStyle name="Migliaia 48 4 4 4" xfId="42570" xr:uid="{B36135AA-3725-46EE-BA2A-A6AF820A309C}"/>
    <cellStyle name="Migliaia 48 4 4 5" xfId="12058" xr:uid="{95C5183D-FA0A-411A-AE4E-0EA761C00494}"/>
    <cellStyle name="Migliaia 48 4 5" xfId="3786" xr:uid="{DCB3BB2B-D570-4C4D-9C7D-404AEB09421F}"/>
    <cellStyle name="Migliaia 48 4 5 2" xfId="34333" xr:uid="{F317DB74-3092-4A13-8FCD-1B4754C2DD40}"/>
    <cellStyle name="Migliaia 48 4 5 2 2" xfId="39920" xr:uid="{5B6534C1-4748-449C-B6C1-9C07EA1F984F}"/>
    <cellStyle name="Migliaia 48 4 5 2 3" xfId="45222" xr:uid="{0DC51601-BF63-4BD5-8780-5B5A85C77282}"/>
    <cellStyle name="Migliaia 48 4 5 3" xfId="37299" xr:uid="{E55487DD-57A7-4BC1-B363-878011C8F213}"/>
    <cellStyle name="Migliaia 48 4 5 4" xfId="42571" xr:uid="{B86A2225-5525-4DF9-BAB3-D519C11ADA09}"/>
    <cellStyle name="Migliaia 48 4 5 5" xfId="11405" xr:uid="{DEC180DF-A449-4328-B8C0-9F88E10714CA}"/>
    <cellStyle name="Migliaia 48 4 6" xfId="10945" xr:uid="{D8037709-78B7-46DF-A685-88FC4F1D5044}"/>
    <cellStyle name="Migliaia 48 4 6 2" xfId="21580" xr:uid="{F4792857-B0D1-4641-9C42-D2F87CEBADF0}"/>
    <cellStyle name="Migliaia 48 4 6 2 2" xfId="39921" xr:uid="{EC20A3CB-36CE-4081-8B10-F07D2289254B}"/>
    <cellStyle name="Migliaia 48 4 6 2 3" xfId="45223" xr:uid="{5C90095C-69F9-4617-BE2A-E1F07A629115}"/>
    <cellStyle name="Migliaia 48 4 6 2 4" xfId="34334" xr:uid="{FF24ECAC-7BAF-4377-AAEC-8EC60AFAE592}"/>
    <cellStyle name="Migliaia 48 4 6 3" xfId="37300" xr:uid="{E584B651-4AE2-4382-8B99-87FE4652915A}"/>
    <cellStyle name="Migliaia 48 4 6 4" xfId="42572" xr:uid="{4A5EE25B-0A4A-466A-A3BD-0773DBB886B4}"/>
    <cellStyle name="Migliaia 48 4 6 5" xfId="25199" xr:uid="{353D44A7-803F-4C5C-8D0A-845AE63C33A4}"/>
    <cellStyle name="Migliaia 48 4 6 6" xfId="47087" xr:uid="{1E41E4AC-6CEB-43F6-BFC2-C9FA10D68137}"/>
    <cellStyle name="Migliaia 48 4 6 7" xfId="50595" xr:uid="{DD321EE7-6858-404B-9B40-22666293B95A}"/>
    <cellStyle name="Migliaia 48 4 6 8" xfId="53611" xr:uid="{EB6FDC66-73F3-4794-948F-D52D983DFBE9}"/>
    <cellStyle name="Migliaia 48 4 7" xfId="20799" xr:uid="{31D0549D-4E16-4A01-93D5-15D548E7F235}"/>
    <cellStyle name="Migliaia 48 4 7 2" xfId="34335" xr:uid="{65043A76-4FE1-4F4B-84A1-4A5C844F56EA}"/>
    <cellStyle name="Migliaia 48 4 7 2 2" xfId="39922" xr:uid="{507B0798-0322-437F-BF4A-C16722BBAF22}"/>
    <cellStyle name="Migliaia 48 4 7 2 3" xfId="45224" xr:uid="{4AE6FC8E-C9F1-4E97-8D31-5976758A14C6}"/>
    <cellStyle name="Migliaia 48 4 7 3" xfId="37301" xr:uid="{28A0EF39-6C7E-4A2E-9C5D-6747B92F0A4D}"/>
    <cellStyle name="Migliaia 48 4 7 4" xfId="42573" xr:uid="{9A85AE3B-F616-495A-8792-03BF61FF9490}"/>
    <cellStyle name="Migliaia 48 4 7 5" xfId="25200" xr:uid="{8F24C04A-1255-446D-8925-CDFC862F9C9C}"/>
    <cellStyle name="Migliaia 48 4 8" xfId="25197" xr:uid="{34D4006E-EEE9-4EFC-8EF3-9A04F73AFB04}"/>
    <cellStyle name="Migliaia 48 4 9" xfId="7546" xr:uid="{09CD6FC3-4AAB-4E94-8373-376163F166CE}"/>
    <cellStyle name="Migliaia 48 5" xfId="1870" xr:uid="{00000000-0005-0000-0000-000041040000}"/>
    <cellStyle name="Migliaia 48 5 2" xfId="5514" xr:uid="{87CCBA65-76AE-4546-A10E-067202ABDBCD}"/>
    <cellStyle name="Migliaia 48 5 2 2" xfId="18490" xr:uid="{FE6C9DBE-C4DE-407B-B011-E0F839E767B8}"/>
    <cellStyle name="Migliaia 48 5 2 2 2" xfId="39923" xr:uid="{CFD1D766-A687-4370-B6EF-8E2B51943C0F}"/>
    <cellStyle name="Migliaia 48 5 2 2 3" xfId="45225" xr:uid="{E484F37B-1DDB-4C9E-A941-CD96F7D16B36}"/>
    <cellStyle name="Migliaia 48 5 2 3" xfId="20802" xr:uid="{984A8E86-AF09-4981-9A9F-5CAD17CE70FE}"/>
    <cellStyle name="Migliaia 48 5 2 3 2" xfId="37302" xr:uid="{418B0B65-2F2F-4DA3-9094-669EA7FAC1FE}"/>
    <cellStyle name="Migliaia 48 5 2 4" xfId="42574" xr:uid="{8D947594-45FA-4D9B-9228-859B7B4A4926}"/>
    <cellStyle name="Migliaia 48 5 2 5" xfId="16678" xr:uid="{8122314A-1FA9-45F6-BA3C-94DCC0F43432}"/>
    <cellStyle name="Migliaia 48 5 2 6" xfId="8737" xr:uid="{8DDD49AE-6052-4370-B575-8D7FEA0D1B6B}"/>
    <cellStyle name="Migliaia 48 5 3" xfId="6695" xr:uid="{35ED1B91-CC29-48E0-B959-5DCE55C6E8D4}"/>
    <cellStyle name="Migliaia 48 5 3 2" xfId="34336" xr:uid="{89BAA414-31B2-4E2B-9EA5-099FC398E862}"/>
    <cellStyle name="Migliaia 48 5 3 2 2" xfId="39924" xr:uid="{457939C9-9F36-44C6-A899-3F728B5C7E23}"/>
    <cellStyle name="Migliaia 48 5 3 2 3" xfId="45226" xr:uid="{5CC64CE9-5B84-41F5-B01B-E6474C394B40}"/>
    <cellStyle name="Migliaia 48 5 3 3" xfId="37303" xr:uid="{C667D726-5E5E-4260-9F85-AC34A1D66525}"/>
    <cellStyle name="Migliaia 48 5 3 4" xfId="42575" xr:uid="{15F2FB6D-1895-45AD-8061-37A648FD19A3}"/>
    <cellStyle name="Migliaia 48 5 3 5" xfId="11407" xr:uid="{77646003-CEC8-4F2B-935D-11B3C73D62CB}"/>
    <cellStyle name="Migliaia 48 5 4" xfId="3788" xr:uid="{E7E88798-A9FA-4AB5-BBE1-D8E55D93FAF6}"/>
    <cellStyle name="Migliaia 48 5 4 2" xfId="21582" xr:uid="{FA47319C-17BC-4B0E-9286-5CE3F17D5546}"/>
    <cellStyle name="Migliaia 48 5 4 2 2" xfId="39925" xr:uid="{6C72F2A1-7C6B-4AE2-AD21-1E09494807F3}"/>
    <cellStyle name="Migliaia 48 5 4 2 3" xfId="45227" xr:uid="{8A270DFF-B57F-4801-B304-B7DA132270D6}"/>
    <cellStyle name="Migliaia 48 5 4 2 4" xfId="34337" xr:uid="{3C75A034-9FB2-4488-91BC-AFEAEBF72294}"/>
    <cellStyle name="Migliaia 48 5 4 3" xfId="37304" xr:uid="{473D6342-6714-4A06-A638-91A2C03FB130}"/>
    <cellStyle name="Migliaia 48 5 4 4" xfId="42576" xr:uid="{67634ED4-1E08-49FB-9CA0-F6E676B84A2C}"/>
    <cellStyle name="Migliaia 48 5 4 5" xfId="25202" xr:uid="{0A52C892-79B4-4362-8D61-F7E3120E2226}"/>
    <cellStyle name="Migliaia 48 5 4 6" xfId="46991" xr:uid="{5830593E-994E-4AB2-85F6-AB0B405E5A42}"/>
    <cellStyle name="Migliaia 48 5 4 7" xfId="50597" xr:uid="{79828EE0-3F68-4630-B81C-B79DBEC945D0}"/>
    <cellStyle name="Migliaia 48 5 4 8" xfId="53613" xr:uid="{4464BB53-B1C8-40F3-B099-513A0BDD4831}"/>
    <cellStyle name="Migliaia 48 5 4 9" xfId="10947" xr:uid="{5FFAEDB9-2918-42D5-8A78-9BDF83394ACC}"/>
    <cellStyle name="Migliaia 48 5 5" xfId="20801" xr:uid="{8E1DB324-CCD3-4D01-9E03-E3E4BD2DFE88}"/>
    <cellStyle name="Migliaia 48 5 5 2" xfId="34338" xr:uid="{E40BEA21-ADBE-4670-B13D-B9F2A8E12116}"/>
    <cellStyle name="Migliaia 48 5 5 2 2" xfId="39926" xr:uid="{E1DF89A7-3BED-4774-9CB1-3582C751108B}"/>
    <cellStyle name="Migliaia 48 5 5 2 3" xfId="45228" xr:uid="{2C811034-501D-4A52-A380-9E978CD2902A}"/>
    <cellStyle name="Migliaia 48 5 5 3" xfId="37305" xr:uid="{37B83766-B5C1-4576-B0B3-3F4A9FCB130C}"/>
    <cellStyle name="Migliaia 48 5 5 4" xfId="42577" xr:uid="{4F716E40-D8C2-43F4-AA5C-460B77A72E85}"/>
    <cellStyle name="Migliaia 48 5 5 5" xfId="25203" xr:uid="{697BA2ED-E7A2-4E49-B3DA-83A43B67BF03}"/>
    <cellStyle name="Migliaia 48 5 6" xfId="25204" xr:uid="{14F92297-64A0-4DAC-84C7-30A9167E1020}"/>
    <cellStyle name="Migliaia 48 5 6 2" xfId="34339" xr:uid="{C802D5B7-D1B4-41DA-9622-1DCD37D98C8D}"/>
    <cellStyle name="Migliaia 48 5 6 2 2" xfId="39927" xr:uid="{5AFB58E2-0401-4DD2-A2FA-5AC7343940A3}"/>
    <cellStyle name="Migliaia 48 5 6 2 3" xfId="45229" xr:uid="{A8044929-E903-4568-A09C-D2FFB406CDB0}"/>
    <cellStyle name="Migliaia 48 5 6 3" xfId="37306" xr:uid="{2DA40D9B-0632-4050-8E3C-E28A129BCE51}"/>
    <cellStyle name="Migliaia 48 5 6 4" xfId="42578" xr:uid="{8E963313-8F05-4C74-ADF5-6CFD6A5E4586}"/>
    <cellStyle name="Migliaia 48 5 7" xfId="25201" xr:uid="{96D660CF-4EA6-45E5-8010-651986390126}"/>
    <cellStyle name="Migliaia 48 5 8" xfId="7547" xr:uid="{2679216B-6EE0-497B-AABA-331889F04E2E}"/>
    <cellStyle name="Migliaia 48 6" xfId="3789" xr:uid="{A50335F4-9147-45BE-AFF9-EFB3F1D643B8}"/>
    <cellStyle name="Migliaia 48 6 2" xfId="5515" xr:uid="{953A9F1D-C700-457D-8ED2-D6588F439E22}"/>
    <cellStyle name="Migliaia 48 6 2 2" xfId="9965" xr:uid="{5902E5FB-8E6D-4BA7-8E3A-82C7B8B23B9E}"/>
    <cellStyle name="Migliaia 48 6 2 3" xfId="18638" xr:uid="{8CB9CB36-34BE-4BD4-9AD7-CA6BA18144C9}"/>
    <cellStyle name="Migliaia 48 6 2 4" xfId="20804" xr:uid="{8179E165-825B-4FFA-BABC-842C9919E723}"/>
    <cellStyle name="Migliaia 48 6 2 5" xfId="32450" xr:uid="{829E2618-D3AC-4CFC-AA0D-81662B035F80}"/>
    <cellStyle name="Migliaia 48 6 2 6" xfId="16680" xr:uid="{CDA72F4F-2D5C-408F-981A-AF5F9A20C74C}"/>
    <cellStyle name="Migliaia 48 6 2 7" xfId="8732" xr:uid="{BC18908C-CA04-44EB-AAC6-1BF934FD785E}"/>
    <cellStyle name="Migliaia 48 6 3" xfId="6696" xr:uid="{1A306D7D-4DE1-4F4C-AB24-98A481D733E4}"/>
    <cellStyle name="Migliaia 48 6 3 2" xfId="35421" xr:uid="{F34598B2-AC15-44FE-895C-C5A69AA1DDD9}"/>
    <cellStyle name="Migliaia 48 6 3 2 2" xfId="40581" xr:uid="{4AF51E5A-6EF0-44A0-8298-C7160D1521DE}"/>
    <cellStyle name="Migliaia 48 6 3 2 3" xfId="45883" xr:uid="{32478DB7-F2D8-41D8-A6F9-C35DAAD9932E}"/>
    <cellStyle name="Migliaia 48 6 3 3" xfId="37930" xr:uid="{042A621F-EB58-4C86-BB67-919E051825B2}"/>
    <cellStyle name="Migliaia 48 6 3 4" xfId="43232" xr:uid="{EDA5885C-57F9-4CA8-B771-2C590264978F}"/>
    <cellStyle name="Migliaia 48 6 3 5" xfId="9728" xr:uid="{6BA8E892-7A2E-4065-89F7-F6349A359A30}"/>
    <cellStyle name="Migliaia 48 6 4" xfId="20803" xr:uid="{51BEAC6B-6F5B-4903-8416-B0F26FC636EA}"/>
    <cellStyle name="Migliaia 48 6 4 2" xfId="39928" xr:uid="{0B205A92-25D7-4FD6-BB74-0B38CE706A09}"/>
    <cellStyle name="Migliaia 48 6 4 3" xfId="45230" xr:uid="{C9AFF8C4-2FDC-439E-AF6E-8311FAE07FFA}"/>
    <cellStyle name="Migliaia 48 6 4 4" xfId="34340" xr:uid="{738E1DBF-1178-47C4-BF95-2C77AF9DABAB}"/>
    <cellStyle name="Migliaia 48 6 5" xfId="37307" xr:uid="{2F4D7584-1C26-46ED-9201-7B9DD37038CA}"/>
    <cellStyle name="Migliaia 48 6 6" xfId="42579" xr:uid="{650D3992-5F49-4F8D-B8CF-64978D997860}"/>
    <cellStyle name="Migliaia 48 6 7" xfId="16679" xr:uid="{2D2E5DC2-F4D4-4C13-82BD-885323F2A504}"/>
    <cellStyle name="Migliaia 48 6 8" xfId="7542" xr:uid="{518A33E8-497D-4A42-8CB5-F80CCA1195B4}"/>
    <cellStyle name="Migliaia 48 7" xfId="3790" xr:uid="{2FABA8D4-0C29-44AF-948E-607CD9ADA7C4}"/>
    <cellStyle name="Migliaia 48 7 2" xfId="5516" xr:uid="{25700625-F857-42BC-B736-C3433CD70E9F}"/>
    <cellStyle name="Migliaia 48 7 2 2" xfId="35422" xr:uid="{7B9AE0B4-E022-40ED-A76D-6BEC05259EFF}"/>
    <cellStyle name="Migliaia 48 7 2 2 2" xfId="40582" xr:uid="{A28229E8-1C80-4A9B-88BB-2DFE2A590EAC}"/>
    <cellStyle name="Migliaia 48 7 2 2 3" xfId="45884" xr:uid="{B5CD82C6-BFC0-4EFA-8791-4FDB979955AE}"/>
    <cellStyle name="Migliaia 48 7 2 3" xfId="37931" xr:uid="{CB44EB5A-93E5-4DBE-9B7B-337948ECF353}"/>
    <cellStyle name="Migliaia 48 7 2 4" xfId="43233" xr:uid="{35D04FA2-4637-43D9-B999-C9DF294011B0}"/>
    <cellStyle name="Migliaia 48 7 2 5" xfId="14305" xr:uid="{B3209797-5C04-4FFD-B2D6-9937265017BE}"/>
    <cellStyle name="Migliaia 48 7 3" xfId="6697" xr:uid="{DF904197-D8D6-46AB-8E80-438444B0B648}"/>
    <cellStyle name="Migliaia 48 7 3 2" xfId="39929" xr:uid="{E2286941-6F57-4486-BECA-61591A5E41A9}"/>
    <cellStyle name="Migliaia 48 7 3 3" xfId="45231" xr:uid="{B095B818-F74C-478D-8608-016A92803D89}"/>
    <cellStyle name="Migliaia 48 7 3 4" xfId="34341" xr:uid="{B301E0A7-B10E-42E8-B582-34C464310260}"/>
    <cellStyle name="Migliaia 48 7 3 5" xfId="20805" xr:uid="{97DF1A7A-61DD-4B31-8243-76A05A38A913}"/>
    <cellStyle name="Migliaia 48 7 4" xfId="37308" xr:uid="{F4F3DA02-7E58-40B9-9D14-28BFFD86536C}"/>
    <cellStyle name="Migliaia 48 7 5" xfId="42580" xr:uid="{AC4FB797-996D-4E0C-B09C-CE55C130BB24}"/>
    <cellStyle name="Migliaia 48 7 6" xfId="16681" xr:uid="{3C6ABF8F-9035-4CED-BBE4-4C00ACA878E1}"/>
    <cellStyle name="Migliaia 48 7 7" xfId="8367" xr:uid="{B39F5FE5-EE57-4EB6-9463-E3FAD5A50636}"/>
    <cellStyle name="Migliaia 48 8" xfId="3791" xr:uid="{D5117569-CCF8-4353-9502-AE4FB3C8EBEB}"/>
    <cellStyle name="Migliaia 48 8 2" xfId="5517" xr:uid="{28E51732-AC1C-42BE-9A44-1D5376DAF197}"/>
    <cellStyle name="Migliaia 48 8 2 2" xfId="35423" xr:uid="{7D53F495-C939-457C-8FA7-C30228BCC7BA}"/>
    <cellStyle name="Migliaia 48 8 2 2 2" xfId="40583" xr:uid="{0738E404-47AC-4C16-8C19-9E011150459E}"/>
    <cellStyle name="Migliaia 48 8 2 2 3" xfId="45885" xr:uid="{827E6BCD-8758-4B84-8FC2-A2A70CCCF908}"/>
    <cellStyle name="Migliaia 48 8 2 3" xfId="37932" xr:uid="{59DC1FAD-43E7-4FB4-AAA7-D0A34F22FB33}"/>
    <cellStyle name="Migliaia 48 8 2 4" xfId="43234" xr:uid="{517C7EDC-0B76-4B8B-9D94-17D6CCDDA8C9}"/>
    <cellStyle name="Migliaia 48 8 2 5" xfId="14010" xr:uid="{0E0A4C2D-D56D-4014-BDD2-0CA092B81347}"/>
    <cellStyle name="Migliaia 48 8 3" xfId="6698" xr:uid="{274E9AED-2EAD-42DC-8377-05BA7B016936}"/>
    <cellStyle name="Migliaia 48 8 3 2" xfId="39930" xr:uid="{E22AB9DE-1F58-459B-9CD3-1645AE9E3921}"/>
    <cellStyle name="Migliaia 48 8 3 3" xfId="45232" xr:uid="{55990ED8-5442-4FDA-AD62-509821ED6463}"/>
    <cellStyle name="Migliaia 48 8 3 4" xfId="34342" xr:uid="{843DE820-2338-442C-91DF-6957F19C60B7}"/>
    <cellStyle name="Migliaia 48 8 3 5" xfId="20806" xr:uid="{8920A2D3-43C9-4338-ADCA-1D966A5BC8B4}"/>
    <cellStyle name="Migliaia 48 8 4" xfId="37309" xr:uid="{C3EFB1B0-64E0-436B-9BA6-410323162245}"/>
    <cellStyle name="Migliaia 48 8 5" xfId="42581" xr:uid="{4CDF8C7E-58A9-4C53-8B53-4729D5CE3FFA}"/>
    <cellStyle name="Migliaia 48 8 6" xfId="16682" xr:uid="{6DE8C44C-BFCE-4278-A4AF-0ACCEFB05D5A}"/>
    <cellStyle name="Migliaia 48 8 7" xfId="7990" xr:uid="{C56933F6-53F3-4010-A0B8-A14E96EDB6D3}"/>
    <cellStyle name="Migliaia 48 9" xfId="5502" xr:uid="{48022C8E-27DE-4119-B6ED-6ADBA780E501}"/>
    <cellStyle name="Migliaia 48 9 2" xfId="34343" xr:uid="{E02FBCC4-CE81-45FA-95B0-31032EF87B52}"/>
    <cellStyle name="Migliaia 48 9 2 2" xfId="39931" xr:uid="{C8E5407E-BC02-41BE-AAA5-AB5ACF2EDB0B}"/>
    <cellStyle name="Migliaia 48 9 2 3" xfId="45233" xr:uid="{CBB42CE2-446A-4781-BFA6-684A5C544396}"/>
    <cellStyle name="Migliaia 48 9 3" xfId="37310" xr:uid="{589DE146-7DEB-4835-8C98-88F43B34B18F}"/>
    <cellStyle name="Migliaia 48 9 4" xfId="42582" xr:uid="{8DA75E30-F091-4970-BA4F-9E4C2AC32892}"/>
    <cellStyle name="Migliaia 48 9 5" xfId="17219" xr:uid="{08517867-E1F6-48CD-BC99-C8BA76B19ECB}"/>
    <cellStyle name="Migliaia 49" xfId="473" xr:uid="{00000000-0005-0000-0000-000042040000}"/>
    <cellStyle name="Migliaia 49 10" xfId="6699" xr:uid="{BB4905F9-BC9C-410C-9D22-59AC415F1409}"/>
    <cellStyle name="Migliaia 49 10 2" xfId="39932" xr:uid="{0621F250-F530-4177-B6B8-E80421BDB9E4}"/>
    <cellStyle name="Migliaia 49 10 3" xfId="45234" xr:uid="{A9C9270A-FD5B-41E4-B5EB-CBF726EF84B2}"/>
    <cellStyle name="Migliaia 49 10 4" xfId="34344" xr:uid="{48E11784-BF21-4B1A-A023-FCF22CE2D25D}"/>
    <cellStyle name="Migliaia 49 10 5" xfId="20807" xr:uid="{6525FF28-5FB0-43E3-AB03-A5B90212AFDC}"/>
    <cellStyle name="Migliaia 49 11" xfId="3792" xr:uid="{455D6FC7-1B5F-45F9-B4D2-66FCB40951BE}"/>
    <cellStyle name="Migliaia 49 11 2" xfId="37311" xr:uid="{FD581562-EB0A-45B5-91BE-061E845BF07A}"/>
    <cellStyle name="Migliaia 49 12" xfId="42583" xr:uid="{97F98A30-6192-407E-A48B-488D1BDBDE9E}"/>
    <cellStyle name="Migliaia 49 13" xfId="7171" xr:uid="{67FA0B97-282D-430B-9DE7-E3D9E605FDE6}"/>
    <cellStyle name="Migliaia 49 2" xfId="474" xr:uid="{00000000-0005-0000-0000-000043040000}"/>
    <cellStyle name="Migliaia 49 2 2" xfId="1871" xr:uid="{00000000-0005-0000-0000-000044040000}"/>
    <cellStyle name="Migliaia 49 2 2 2" xfId="5520" xr:uid="{A9AFC466-633B-4806-8ADA-7AAB19C8CACA}"/>
    <cellStyle name="Migliaia 49 2 2 2 2" xfId="14406" xr:uid="{5FFE0A0F-47A0-4F20-99BF-89818ADB8F2C}"/>
    <cellStyle name="Migliaia 49 2 2 2 2 2" xfId="39933" xr:uid="{D26043B3-D55B-4732-B393-F3A7B6A15D67}"/>
    <cellStyle name="Migliaia 49 2 2 2 2 3" xfId="45235" xr:uid="{EB0F07A9-F33F-4E3B-A7AB-572B4248C285}"/>
    <cellStyle name="Migliaia 49 2 2 2 3" xfId="18491" xr:uid="{E7535B19-F6DF-4A97-927D-0A40BC30A678}"/>
    <cellStyle name="Migliaia 49 2 2 2 4" xfId="20810" xr:uid="{24A1883F-EA05-4437-A49A-B6B513930CFD}"/>
    <cellStyle name="Migliaia 49 2 2 2 4 2" xfId="42584" xr:uid="{1137D73D-A6A0-41F8-97C1-B9F42B60DD34}"/>
    <cellStyle name="Migliaia 49 2 2 2 5" xfId="16683" xr:uid="{27767F62-8B22-44DC-B590-F8DA58B2080F}"/>
    <cellStyle name="Migliaia 49 2 2 2 6" xfId="8739" xr:uid="{CA972C93-BE13-4103-BF27-4211B921A5AE}"/>
    <cellStyle name="Migliaia 49 2 2 3" xfId="6701" xr:uid="{CC5D1ECA-727E-42D7-A867-9408DDFD9C67}"/>
    <cellStyle name="Migliaia 49 2 2 3 2" xfId="35424" xr:uid="{8FB962F2-9740-4DEB-9D37-B7D774E2174E}"/>
    <cellStyle name="Migliaia 49 2 2 3 2 2" xfId="40584" xr:uid="{287F4258-C656-48EB-931C-07A1022E7652}"/>
    <cellStyle name="Migliaia 49 2 2 3 2 3" xfId="45886" xr:uid="{1834C121-FB65-4EDA-8E39-8AF9C9761B0D}"/>
    <cellStyle name="Migliaia 49 2 2 3 3" xfId="37933" xr:uid="{E5E60E3A-15C7-4135-A681-6098873A4658}"/>
    <cellStyle name="Migliaia 49 2 2 3 4" xfId="43235" xr:uid="{37CB6F0B-8622-44B4-9964-5C5DCBD86489}"/>
    <cellStyle name="Migliaia 49 2 2 3 5" xfId="11633" xr:uid="{4882BD90-D3DA-4C67-BF22-A8FADA6D9F12}"/>
    <cellStyle name="Migliaia 49 2 2 4" xfId="3794" xr:uid="{073E5CFD-8CB3-4413-ADA5-F0F20FCDE3CD}"/>
    <cellStyle name="Migliaia 49 2 2 4 2" xfId="21583" xr:uid="{240283D5-16CD-45E2-A3D8-68C0985A8962}"/>
    <cellStyle name="Migliaia 49 2 2 4 3" xfId="47801" xr:uid="{5BC7CE32-B981-4ACA-932D-EF06B38A3D79}"/>
    <cellStyle name="Migliaia 49 2 2 4 4" xfId="50598" xr:uid="{3480238A-F0FF-4273-9DF8-C8374F5F88F4}"/>
    <cellStyle name="Migliaia 49 2 2 4 5" xfId="53614" xr:uid="{34DBF262-AE73-42EC-A879-504B94A02C00}"/>
    <cellStyle name="Migliaia 49 2 2 4 6" xfId="10948" xr:uid="{77E05BD6-0239-4C45-AA12-ECC47C7FFEA4}"/>
    <cellStyle name="Migliaia 49 2 2 5" xfId="20809" xr:uid="{E4BD5745-3C46-49A7-B4E1-8584B63C7AC6}"/>
    <cellStyle name="Migliaia 49 2 2 6" xfId="25206" xr:uid="{E79509F3-957F-4BFA-8FAC-ABBF8B209639}"/>
    <cellStyle name="Migliaia 49 2 2 7" xfId="7549" xr:uid="{7ABFE8B6-FB5B-44C3-8518-AA64A214224D}"/>
    <cellStyle name="Migliaia 49 2 3" xfId="3795" xr:uid="{82AA7E3A-8E9D-46B5-9D1D-DB8659C23E61}"/>
    <cellStyle name="Migliaia 49 2 3 2" xfId="5521" xr:uid="{6D41C37A-57FD-4D54-AF99-BFE61157C205}"/>
    <cellStyle name="Migliaia 49 2 3 2 2" xfId="35425" xr:uid="{94CDB2C6-35A8-42E1-AA7C-A6FA7C5757B1}"/>
    <cellStyle name="Migliaia 49 2 3 2 2 2" xfId="40585" xr:uid="{53A0B90E-42C1-46D8-BD3D-56457CFE2385}"/>
    <cellStyle name="Migliaia 49 2 3 2 2 3" xfId="45887" xr:uid="{B68AAC2A-9BED-44E8-9D7A-23FD9FCB0705}"/>
    <cellStyle name="Migliaia 49 2 3 2 3" xfId="37934" xr:uid="{C5BF0CDD-5E88-43B2-895A-F7A0CA882333}"/>
    <cellStyle name="Migliaia 49 2 3 2 4" xfId="43236" xr:uid="{276F4742-5644-42B3-B9CC-F27758E75E69}"/>
    <cellStyle name="Migliaia 49 2 3 2 5" xfId="14309" xr:uid="{534603D9-12D0-4694-985A-2517BC717B9E}"/>
    <cellStyle name="Migliaia 49 2 3 3" xfId="6702" xr:uid="{F57C6B5F-5728-44A0-A22F-54EBF1F7EB8B}"/>
    <cellStyle name="Migliaia 49 2 3 3 2" xfId="39934" xr:uid="{3D725425-F601-4C29-8641-557A10CF50CF}"/>
    <cellStyle name="Migliaia 49 2 3 3 3" xfId="45236" xr:uid="{6491468F-040F-4228-A8EF-9F7AAE747D35}"/>
    <cellStyle name="Migliaia 49 2 3 3 4" xfId="34345" xr:uid="{B7A6640F-DF8A-47E8-9577-6ACC205F9214}"/>
    <cellStyle name="Migliaia 49 2 3 3 5" xfId="20811" xr:uid="{0FF6E212-201A-4A64-8EB3-9F9195EC4304}"/>
    <cellStyle name="Migliaia 49 2 3 4" xfId="37312" xr:uid="{7D95DFF8-EF89-4FDA-8ABF-74CBFA621AD9}"/>
    <cellStyle name="Migliaia 49 2 3 5" xfId="42585" xr:uid="{44BF79CC-AD5C-447F-B283-E78BA83F614B}"/>
    <cellStyle name="Migliaia 49 2 3 6" xfId="16684" xr:uid="{C6613F8D-027E-4E07-9ED1-486C41D9060D}"/>
    <cellStyle name="Migliaia 49 2 3 7" xfId="8371" xr:uid="{AAF06480-BCC2-4385-89F1-DC4552341367}"/>
    <cellStyle name="Migliaia 49 2 4" xfId="5519" xr:uid="{2A9D3D26-29CF-431E-84C9-6DC5DE80668B}"/>
    <cellStyle name="Migliaia 49 2 4 2" xfId="14014" xr:uid="{11B02B8A-7909-4F31-8764-D8B525B4EA92}"/>
    <cellStyle name="Migliaia 49 2 4 2 2" xfId="39935" xr:uid="{4CE4CD9B-1730-42CC-BF84-FE8D107A1E2F}"/>
    <cellStyle name="Migliaia 49 2 4 2 3" xfId="45237" xr:uid="{116E821D-4B62-4369-AB8F-5E006A7C4989}"/>
    <cellStyle name="Migliaia 49 2 4 3" xfId="18695" xr:uid="{A3D42CD5-794E-412F-95BB-538A61E0F986}"/>
    <cellStyle name="Migliaia 49 2 4 4" xfId="20812" xr:uid="{B0047BD2-DEF7-46AE-87B4-2BA0204F017D}"/>
    <cellStyle name="Migliaia 49 2 4 4 2" xfId="42586" xr:uid="{C7DED7FD-57CE-4F16-869A-92CE703ABB7B}"/>
    <cellStyle name="Migliaia 49 2 4 5" xfId="16685" xr:uid="{848EF817-E317-4DE4-8407-44486095934F}"/>
    <cellStyle name="Migliaia 49 2 4 6" xfId="7995" xr:uid="{59FB8A52-0DE1-4CF2-8467-85B04A5EC6BF}"/>
    <cellStyle name="Migliaia 49 2 5" xfId="6700" xr:uid="{DFAC791D-D784-4752-A78A-6620C3EC0010}"/>
    <cellStyle name="Migliaia 49 2 5 2" xfId="34346" xr:uid="{F73FB6CC-6AB4-4934-8AFF-70630DD4F79F}"/>
    <cellStyle name="Migliaia 49 2 5 2 2" xfId="39936" xr:uid="{6B02BCC2-BA3B-488B-B6AD-0A72FC594ECF}"/>
    <cellStyle name="Migliaia 49 2 5 2 3" xfId="45238" xr:uid="{0003B17C-375A-4355-8EDA-65FD993C515E}"/>
    <cellStyle name="Migliaia 49 2 5 3" xfId="37313" xr:uid="{B8FA12B3-53A1-497A-8734-BE17AAF2E003}"/>
    <cellStyle name="Migliaia 49 2 5 4" xfId="42587" xr:uid="{72AD90E8-102F-429D-981A-6B82C691FBD6}"/>
    <cellStyle name="Migliaia 49 2 5 5" xfId="13146" xr:uid="{CB8F51D8-162E-4A44-892C-36C604D362DA}"/>
    <cellStyle name="Migliaia 49 2 6" xfId="3793" xr:uid="{86284552-B9FE-4B43-9A77-42E376C094CB}"/>
    <cellStyle name="Migliaia 49 2 6 2" xfId="34347" xr:uid="{1DDA1424-E9E1-439F-B150-A1E5BACF80BB}"/>
    <cellStyle name="Migliaia 49 2 6 2 2" xfId="39937" xr:uid="{9FB5E43F-6B9F-4D95-81B1-47BD038F6931}"/>
    <cellStyle name="Migliaia 49 2 6 2 3" xfId="45239" xr:uid="{0F330055-7CC5-4783-9C92-826391E29700}"/>
    <cellStyle name="Migliaia 49 2 6 3" xfId="37314" xr:uid="{0AB7936C-7BDC-4B1F-A7B7-9620DD404218}"/>
    <cellStyle name="Migliaia 49 2 6 4" xfId="42588" xr:uid="{A51E9C99-A374-4BAE-B227-ED962C3435A9}"/>
    <cellStyle name="Migliaia 49 2 6 5" xfId="25207" xr:uid="{E96D8C58-1241-49E4-87F6-498AFC0A82CE}"/>
    <cellStyle name="Migliaia 49 2 6 6" xfId="20808" xr:uid="{E561E1DD-3253-4E2E-90A2-579B67227D35}"/>
    <cellStyle name="Migliaia 49 2 7" xfId="25205" xr:uid="{66AA3F06-4221-440B-AAC3-7B49A016A5E4}"/>
    <cellStyle name="Migliaia 49 2 8" xfId="7172" xr:uid="{1EAA41B5-392F-432A-8E1B-B12EA44048F9}"/>
    <cellStyle name="Migliaia 49 3" xfId="475" xr:uid="{00000000-0005-0000-0000-000045040000}"/>
    <cellStyle name="Migliaia 49 3 10" xfId="25208" xr:uid="{20119A23-0B6E-4848-B263-E7CEEF0E2CD9}"/>
    <cellStyle name="Migliaia 49 3 11" xfId="16686" xr:uid="{3F66DD9F-34C6-439B-BD4F-49A6039DC382}"/>
    <cellStyle name="Migliaia 49 3 12" xfId="7173" xr:uid="{68A86F74-9F9C-4232-A238-3219225B99E3}"/>
    <cellStyle name="Migliaia 49 3 2" xfId="476" xr:uid="{00000000-0005-0000-0000-000046040000}"/>
    <cellStyle name="Migliaia 49 3 2 2" xfId="1872" xr:uid="{00000000-0005-0000-0000-000047040000}"/>
    <cellStyle name="Migliaia 49 3 2 2 2" xfId="5524" xr:uid="{53758397-6EC9-40C8-AB81-22EF54A51014}"/>
    <cellStyle name="Migliaia 49 3 2 2 2 2" xfId="18492" xr:uid="{BC0D6987-12E3-4966-83F1-947650E061D9}"/>
    <cellStyle name="Migliaia 49 3 2 2 2 2 2" xfId="21884" xr:uid="{4AA219F3-DB57-4018-927A-8BE9B7A6D924}"/>
    <cellStyle name="Migliaia 49 3 2 2 2 2 2 2" xfId="39938" xr:uid="{6E5AFCC5-2EE1-4C6F-8D84-B43EDE9F2B0E}"/>
    <cellStyle name="Migliaia 49 3 2 2 2 2 3" xfId="45240" xr:uid="{FCE6B103-F0C6-4432-BDAB-4469CCB6AA52}"/>
    <cellStyle name="Migliaia 49 3 2 2 2 2 4" xfId="34348" xr:uid="{D800878D-EDD0-44AC-BD91-52F02A27B0EA}"/>
    <cellStyle name="Migliaia 49 3 2 2 2 3" xfId="37315" xr:uid="{93D92006-0C79-4D2A-B028-8F0CB37A08C2}"/>
    <cellStyle name="Migliaia 49 3 2 2 2 4" xfId="42589" xr:uid="{0D7EC5E7-81BB-4C31-A3B9-E53A810AD757}"/>
    <cellStyle name="Migliaia 49 3 2 2 2 5" xfId="46751" xr:uid="{B2004F73-BDB9-41A3-9864-EF08F6881422}"/>
    <cellStyle name="Migliaia 49 3 2 2 2 6" xfId="50912" xr:uid="{540A96C4-BDFD-4057-96A5-04EC92C885C4}"/>
    <cellStyle name="Migliaia 49 3 2 2 2 7" xfId="53928" xr:uid="{65335514-11EF-48E9-AEA9-B7EF51356F02}"/>
    <cellStyle name="Migliaia 49 3 2 2 2 8" xfId="17682" xr:uid="{6D3711BE-27C7-4BE9-99FB-97F5CDC55420}"/>
    <cellStyle name="Migliaia 49 3 2 2 2 9" xfId="12059" xr:uid="{5328D1E9-091C-4E50-89E0-E62147049CDF}"/>
    <cellStyle name="Migliaia 49 3 2 2 3" xfId="6705" xr:uid="{2B7C1CB5-9EFC-4DDD-8BDB-E5B2D61DF1C3}"/>
    <cellStyle name="Migliaia 49 3 2 2 3 2" xfId="11572" xr:uid="{5B9809BA-0F73-4CBD-8ED8-A692D3444048}"/>
    <cellStyle name="Migliaia 49 3 2 2 4" xfId="3798" xr:uid="{65F40D06-C0BC-4F9F-AF0F-158B383FA004}"/>
    <cellStyle name="Migliaia 49 3 2 2 4 2" xfId="21584" xr:uid="{50E2E2E2-DD45-495A-BAFC-650569464C89}"/>
    <cellStyle name="Migliaia 49 3 2 2 4 3" xfId="46650" xr:uid="{D2150957-75D5-4656-9704-AD1B21D361BD}"/>
    <cellStyle name="Migliaia 49 3 2 2 4 4" xfId="50599" xr:uid="{3F6F96C4-A82A-497B-BACE-458739CE5870}"/>
    <cellStyle name="Migliaia 49 3 2 2 4 5" xfId="53615" xr:uid="{4206B53A-8208-4A9C-B4C3-63E5B8A11467}"/>
    <cellStyle name="Migliaia 49 3 2 2 4 6" xfId="10949" xr:uid="{164C4FD7-8B2A-4918-9361-7CDC6F5F4555}"/>
    <cellStyle name="Migliaia 49 3 2 2 5" xfId="20815" xr:uid="{4D9D48AF-7865-4A01-882A-BFF4F182598B}"/>
    <cellStyle name="Migliaia 49 3 2 2 6" xfId="25210" xr:uid="{9C165F4F-862B-414B-A805-DB41CCC88B4A}"/>
    <cellStyle name="Migliaia 49 3 2 2 7" xfId="8741" xr:uid="{F5809C33-32FB-49D5-9EFA-3C00A9028457}"/>
    <cellStyle name="Migliaia 49 3 2 3" xfId="5523" xr:uid="{364E6C59-73C5-43F2-AB88-9ABC33D57793}"/>
    <cellStyle name="Migliaia 49 3 2 3 2" xfId="12222" xr:uid="{215E15C7-5FD3-4BF1-B6ED-39429237C4D8}"/>
    <cellStyle name="Migliaia 49 3 2 3 2 2" xfId="39939" xr:uid="{A7A42A46-8541-40DE-9B24-B8067D32D615}"/>
    <cellStyle name="Migliaia 49 3 2 3 2 3" xfId="45241" xr:uid="{3174B2EE-08E4-4913-B962-41FA992B183B}"/>
    <cellStyle name="Migliaia 49 3 2 3 2 4" xfId="34349" xr:uid="{7B21E41E-ABDC-413C-BD13-EA09DFD525F6}"/>
    <cellStyle name="Migliaia 49 3 2 3 3" xfId="12060" xr:uid="{00310B22-A3D8-4CB4-8F10-F36DD72EBB56}"/>
    <cellStyle name="Migliaia 49 3 2 3 4" xfId="20816" xr:uid="{02F073D6-72E9-4233-8CE4-F30677264E9A}"/>
    <cellStyle name="Migliaia 49 3 2 3 4 2" xfId="42590" xr:uid="{B6ED6742-C5F2-448D-A052-E16C9E874DF8}"/>
    <cellStyle name="Migliaia 49 3 2 3 5" xfId="16687" xr:uid="{0F95F282-F1CD-443A-9239-7781030A6993}"/>
    <cellStyle name="Migliaia 49 3 2 3 6" xfId="7997" xr:uid="{11E7E425-1F40-4E5B-8D0E-925CF3C51DF1}"/>
    <cellStyle name="Migliaia 49 3 2 4" xfId="6704" xr:uid="{32382014-9CC0-49BF-86D7-0DAA61B06E25}"/>
    <cellStyle name="Migliaia 49 3 2 4 2" xfId="18100" xr:uid="{DA5E8925-1463-4E51-A163-F0B3EFC7B972}"/>
    <cellStyle name="Migliaia 49 3 2 4 2 2" xfId="39940" xr:uid="{F50D2ACF-E580-445C-80CB-61CE60906F86}"/>
    <cellStyle name="Migliaia 49 3 2 4 2 3" xfId="45242" xr:uid="{7907890E-F7A6-493B-9F87-A538E10174D2}"/>
    <cellStyle name="Migliaia 49 3 2 4 3" xfId="37316" xr:uid="{B9FD3CED-5F9D-477D-BD9F-1C93B6B84D65}"/>
    <cellStyle name="Migliaia 49 3 2 4 4" xfId="42591" xr:uid="{188CE17C-1A0F-48BA-9B59-9759671BF30D}"/>
    <cellStyle name="Migliaia 49 3 2 4 5" xfId="17222" xr:uid="{9A2CD6B7-E13E-4B1C-A01F-B37D0430A2CD}"/>
    <cellStyle name="Migliaia 49 3 2 4 6" xfId="11408" xr:uid="{ADB06FE1-DA7D-400D-8B2B-5CF559706643}"/>
    <cellStyle name="Migliaia 49 3 2 5" xfId="3797" xr:uid="{AD7C1244-45FB-49F7-A444-523100B82F2F}"/>
    <cellStyle name="Migliaia 49 3 2 5 2" xfId="34350" xr:uid="{77C078D3-E1B7-4A78-B295-202B28E1F883}"/>
    <cellStyle name="Migliaia 49 3 2 5 2 2" xfId="39941" xr:uid="{B27B7400-2AE4-4CE0-9921-4970FD263194}"/>
    <cellStyle name="Migliaia 49 3 2 5 2 3" xfId="45243" xr:uid="{0B820653-ACB7-44C3-9534-9A9B2A9997DB}"/>
    <cellStyle name="Migliaia 49 3 2 5 3" xfId="37317" xr:uid="{5004F6E1-7308-4EBC-A3DF-587B00B68DC0}"/>
    <cellStyle name="Migliaia 49 3 2 5 4" xfId="42592" xr:uid="{8F615E9B-DC6B-4BA4-89A4-BB76B7107903}"/>
    <cellStyle name="Migliaia 49 3 2 5 5" xfId="17297" xr:uid="{D69A9E37-CDDA-4A0D-B2A1-6D4548BA0CD1}"/>
    <cellStyle name="Migliaia 49 3 2 6" xfId="20814" xr:uid="{58606D3D-1928-46B3-BF5B-1176985FAD54}"/>
    <cellStyle name="Migliaia 49 3 2 6 2" xfId="34351" xr:uid="{9E519003-6420-4A24-8E07-99EFF5856060}"/>
    <cellStyle name="Migliaia 49 3 2 6 2 2" xfId="39942" xr:uid="{A577D995-6F6A-48F3-8371-ACA33A0FDF67}"/>
    <cellStyle name="Migliaia 49 3 2 6 2 3" xfId="45244" xr:uid="{3803E024-9D9F-4F2E-902A-55A6D2FBE4C0}"/>
    <cellStyle name="Migliaia 49 3 2 6 3" xfId="37318" xr:uid="{035A40D2-BD29-454F-9D39-F3AEA768D736}"/>
    <cellStyle name="Migliaia 49 3 2 6 4" xfId="42593" xr:uid="{17B8F123-D435-4190-B9A8-E69A4DC54A1B}"/>
    <cellStyle name="Migliaia 49 3 2 6 5" xfId="25211" xr:uid="{6820A460-4C99-4884-8793-E2C26EAB537D}"/>
    <cellStyle name="Migliaia 49 3 2 7" xfId="25209" xr:uid="{A3D49C2A-1898-4BEF-9456-716AB7BF15FF}"/>
    <cellStyle name="Migliaia 49 3 2 8" xfId="7551" xr:uid="{D75EF8EC-2C14-4038-BED7-33A040CD4625}"/>
    <cellStyle name="Migliaia 49 3 3" xfId="3799" xr:uid="{7AF4B83D-4624-45C3-8BC8-E5A5F5607F71}"/>
    <cellStyle name="Migliaia 49 3 3 10" xfId="7550" xr:uid="{E434C3CD-09A2-48DE-BA41-9700DAB01D06}"/>
    <cellStyle name="Migliaia 49 3 3 2" xfId="5525" xr:uid="{65782560-CC9E-4D0A-B4F9-E2F178134124}"/>
    <cellStyle name="Migliaia 49 3 3 2 2" xfId="9968" xr:uid="{B9993EA6-A6AF-45D1-A4AB-2D5727E121F7}"/>
    <cellStyle name="Migliaia 49 3 3 2 2 2" xfId="39944" xr:uid="{EC4389C2-7D9A-44F6-9538-D2CED40D6F40}"/>
    <cellStyle name="Migliaia 49 3 3 2 2 3" xfId="45246" xr:uid="{BADFFB08-1291-41F0-93E2-B9A0A5B3F824}"/>
    <cellStyle name="Migliaia 49 3 3 2 3" xfId="18248" xr:uid="{1BB47877-DBF7-4D0B-B1F4-E112C6E03620}"/>
    <cellStyle name="Migliaia 49 3 3 2 4" xfId="20818" xr:uid="{0FDB4BF1-1D0C-4D2E-9FD3-D97D05988DE6}"/>
    <cellStyle name="Migliaia 49 3 3 2 4 2" xfId="42595" xr:uid="{593737AD-2396-45CB-82A6-AEEBB1D65E51}"/>
    <cellStyle name="Migliaia 49 3 3 2 5" xfId="16689" xr:uid="{91F1598F-1554-406A-8AD4-318ACEE6E07C}"/>
    <cellStyle name="Migliaia 49 3 3 2 6" xfId="8740" xr:uid="{F48D2F51-8AEC-4BC1-BFF6-581E0935F821}"/>
    <cellStyle name="Migliaia 49 3 3 3" xfId="6706" xr:uid="{51C20236-45A2-4441-9922-39746BBFB2D1}"/>
    <cellStyle name="Migliaia 49 3 3 3 2" xfId="34353" xr:uid="{E82905CD-BECB-44F5-8EBD-905737A20926}"/>
    <cellStyle name="Migliaia 49 3 3 3 2 2" xfId="39945" xr:uid="{580C2FAB-D69E-4398-B60E-96783ECD8D5A}"/>
    <cellStyle name="Migliaia 49 3 3 3 2 3" xfId="45247" xr:uid="{C3F5C5DC-67C1-452A-AFC5-3CD668948828}"/>
    <cellStyle name="Migliaia 49 3 3 3 3" xfId="37320" xr:uid="{B1D4F15A-D2EE-4EB0-8570-DF814508F824}"/>
    <cellStyle name="Migliaia 49 3 3 3 4" xfId="42596" xr:uid="{8713D2E3-EB4D-47AA-A69D-E2806EC5B196}"/>
    <cellStyle name="Migliaia 49 3 3 3 5" xfId="9731" xr:uid="{2B7B4338-5D25-4F20-BDCA-14BE3F47FA88}"/>
    <cellStyle name="Migliaia 49 3 3 4" xfId="20817" xr:uid="{5F88DA5D-6742-4D45-90ED-1F1C2B269AA9}"/>
    <cellStyle name="Migliaia 49 3 3 4 2" xfId="34354" xr:uid="{0A583ED5-5EA2-46D8-A1A7-27FDED12A712}"/>
    <cellStyle name="Migliaia 49 3 3 4 2 2" xfId="39946" xr:uid="{278707B6-B462-4013-9C60-DFB98C79EDEC}"/>
    <cellStyle name="Migliaia 49 3 3 4 2 3" xfId="45248" xr:uid="{0D1EE59E-8905-417E-8B49-E922F05EF942}"/>
    <cellStyle name="Migliaia 49 3 3 4 3" xfId="37321" xr:uid="{F516277F-2304-423D-B0C9-0695507F0080}"/>
    <cellStyle name="Migliaia 49 3 3 4 4" xfId="42597" xr:uid="{CBFFDDDD-178E-41A8-B9D0-F16272BB443A}"/>
    <cellStyle name="Migliaia 49 3 3 4 5" xfId="25212" xr:uid="{51367531-7F03-4B8F-8730-DD526EA7A310}"/>
    <cellStyle name="Migliaia 49 3 3 5" xfId="25213" xr:uid="{3E4258BE-B8A5-4B7A-8BF3-FA3AE5AFBC0B}"/>
    <cellStyle name="Migliaia 49 3 3 5 2" xfId="34355" xr:uid="{A3139647-B060-4E59-8287-18A6459CDE76}"/>
    <cellStyle name="Migliaia 49 3 3 5 2 2" xfId="39947" xr:uid="{F5ADCA0A-DEE3-4910-B2BE-E80B21F09A69}"/>
    <cellStyle name="Migliaia 49 3 3 5 2 3" xfId="45249" xr:uid="{9D4AB652-C01D-4BA4-8D4D-180C28897160}"/>
    <cellStyle name="Migliaia 49 3 3 5 3" xfId="37322" xr:uid="{DE622A37-91B4-4BB9-B7DA-2117DA56C824}"/>
    <cellStyle name="Migliaia 49 3 3 5 4" xfId="42598" xr:uid="{0BB6EEBD-4158-4F41-ACD8-D8455C2F9B09}"/>
    <cellStyle name="Migliaia 49 3 3 6" xfId="34352" xr:uid="{80C79BD6-9F1D-4720-B4B2-8AB0C84A2EEC}"/>
    <cellStyle name="Migliaia 49 3 3 6 2" xfId="39943" xr:uid="{46540B2E-5D98-4B24-833D-CC3298148A6B}"/>
    <cellStyle name="Migliaia 49 3 3 6 3" xfId="45245" xr:uid="{B89EFCDD-4981-4EF6-BFE1-496106F18DE6}"/>
    <cellStyle name="Migliaia 49 3 3 7" xfId="37319" xr:uid="{230379F9-7E4E-4FAD-AE9E-4D3A7A037B1C}"/>
    <cellStyle name="Migliaia 49 3 3 8" xfId="42594" xr:uid="{D7566574-E86E-4C35-B28C-1741458B3CC8}"/>
    <cellStyle name="Migliaia 49 3 3 9" xfId="16688" xr:uid="{B1DB312A-FB3E-4F58-A22C-0FD1FA782C9C}"/>
    <cellStyle name="Migliaia 49 3 4" xfId="3800" xr:uid="{2419BAEE-6AA4-4408-8921-F67F4F8BC873}"/>
    <cellStyle name="Migliaia 49 3 4 2" xfId="5526" xr:uid="{FD40C6F9-764D-428D-AE27-32D22A2295DC}"/>
    <cellStyle name="Migliaia 49 3 4 2 2" xfId="14466" xr:uid="{3D976F6C-644F-402D-9973-2BCE14A219FF}"/>
    <cellStyle name="Migliaia 49 3 4 2 3" xfId="18577" xr:uid="{83B2C32E-F09F-400E-A3B4-EE696A60DBD9}"/>
    <cellStyle name="Migliaia 49 3 4 2 4" xfId="20820" xr:uid="{A3E72D26-05EF-4DAD-9A17-4A41D194B5BD}"/>
    <cellStyle name="Migliaia 49 3 4 2 5" xfId="32451" xr:uid="{A7E6AA0E-C3FD-4116-843D-69ECA64D2CB0}"/>
    <cellStyle name="Migliaia 49 3 4 2 6" xfId="16691" xr:uid="{BD67D7EA-E358-445E-86A2-9BBE9A26627E}"/>
    <cellStyle name="Migliaia 49 3 4 2 7" xfId="8889" xr:uid="{78CCE7EF-4B8B-4339-A3E2-72B4C60A47F9}"/>
    <cellStyle name="Migliaia 49 3 4 3" xfId="6707" xr:uid="{B2628B23-C69E-4C31-A457-D4E0049F509D}"/>
    <cellStyle name="Migliaia 49 3 4 3 2" xfId="35426" xr:uid="{8BD6942F-2A5A-4A7C-853C-EC633D161891}"/>
    <cellStyle name="Migliaia 49 3 4 3 2 2" xfId="40586" xr:uid="{4EB59ABE-3CF2-403A-9239-54E561B0CE6C}"/>
    <cellStyle name="Migliaia 49 3 4 3 2 3" xfId="45888" xr:uid="{F794DB72-0711-45FF-A285-56AF1BCC2795}"/>
    <cellStyle name="Migliaia 49 3 4 3 3" xfId="37935" xr:uid="{B9E2AB07-EC5E-4D8D-906D-17433B77968F}"/>
    <cellStyle name="Migliaia 49 3 4 3 4" xfId="43237" xr:uid="{90358C09-53C7-4F99-8977-0C0D1FE4E042}"/>
    <cellStyle name="Migliaia 49 3 4 3 5" xfId="13714" xr:uid="{121D5C05-A5D9-4CB8-9F65-C6F1BB8568B1}"/>
    <cellStyle name="Migliaia 49 3 4 4" xfId="20819" xr:uid="{B764DCDB-1FBF-4E0B-B54B-96B63C456ED6}"/>
    <cellStyle name="Migliaia 49 3 4 4 2" xfId="39948" xr:uid="{513E1883-6268-422F-BB2C-E33A42A25E8A}"/>
    <cellStyle name="Migliaia 49 3 4 4 3" xfId="45250" xr:uid="{F0381070-81CA-4A19-8280-4CFEDE65FA97}"/>
    <cellStyle name="Migliaia 49 3 4 4 4" xfId="34356" xr:uid="{DD395AFC-A83D-40B1-8E6D-670A0428A671}"/>
    <cellStyle name="Migliaia 49 3 4 5" xfId="37323" xr:uid="{A9206D91-E698-481F-8695-FC9F063C288A}"/>
    <cellStyle name="Migliaia 49 3 4 6" xfId="42599" xr:uid="{1EE727FD-FE68-42A4-B91C-BDA40B03A533}"/>
    <cellStyle name="Migliaia 49 3 4 7" xfId="16690" xr:uid="{37AE9535-25BC-4BFC-915A-9A2B35AA2BC8}"/>
    <cellStyle name="Migliaia 49 3 4 8" xfId="7699" xr:uid="{1C0800BF-C456-42C3-A6A8-C84B132937B4}"/>
    <cellStyle name="Migliaia 49 3 5" xfId="3801" xr:uid="{F10C7564-55D1-4C39-80E8-F25E2C4297C0}"/>
    <cellStyle name="Migliaia 49 3 5 2" xfId="5527" xr:uid="{272B0ACC-07E9-4FD7-B12E-BF70C17BA4FD}"/>
    <cellStyle name="Migliaia 49 3 5 2 2" xfId="35427" xr:uid="{965BE2A1-0C92-49F4-A284-8EF42238B561}"/>
    <cellStyle name="Migliaia 49 3 5 2 2 2" xfId="40587" xr:uid="{292C4D1D-D3C5-4F87-9EFA-57A05C66D011}"/>
    <cellStyle name="Migliaia 49 3 5 2 2 3" xfId="45889" xr:uid="{037C7ABB-B567-450B-B6B6-DE66EB280A28}"/>
    <cellStyle name="Migliaia 49 3 5 2 3" xfId="37936" xr:uid="{5549A7AF-9568-4A91-BAAF-3B4442320A6F}"/>
    <cellStyle name="Migliaia 49 3 5 2 4" xfId="43238" xr:uid="{21E64167-F671-48C7-B1B8-73710E53C765}"/>
    <cellStyle name="Migliaia 49 3 5 2 5" xfId="14310" xr:uid="{E6A06C6F-2E77-4A61-9A41-343B6E98EC28}"/>
    <cellStyle name="Migliaia 49 3 5 3" xfId="6708" xr:uid="{E225E5D1-0F5B-44E5-A872-01E2777A0BC3}"/>
    <cellStyle name="Migliaia 49 3 5 3 2" xfId="39949" xr:uid="{BA269DD7-03BD-481B-9EB8-9402437524CB}"/>
    <cellStyle name="Migliaia 49 3 5 3 3" xfId="45251" xr:uid="{31FED7B3-A2A2-4F49-8013-901D47780E3E}"/>
    <cellStyle name="Migliaia 49 3 5 3 4" xfId="34357" xr:uid="{CE753C4C-26C3-4CFD-8F7B-BB96154BA32A}"/>
    <cellStyle name="Migliaia 49 3 5 3 5" xfId="20821" xr:uid="{650824E1-FCAD-4B3F-9152-465F01B1D7C1}"/>
    <cellStyle name="Migliaia 49 3 5 4" xfId="37324" xr:uid="{BBF97F13-DF01-4FE1-B47F-1EB04B0B9A87}"/>
    <cellStyle name="Migliaia 49 3 5 5" xfId="42600" xr:uid="{662D909C-5CDD-4BCA-94B7-1D0964807E40}"/>
    <cellStyle name="Migliaia 49 3 5 6" xfId="16692" xr:uid="{C948BE45-E410-498E-A550-CC6E72958DB1}"/>
    <cellStyle name="Migliaia 49 3 5 7" xfId="8372" xr:uid="{3903FDEE-7A1A-4702-BD24-200A1EE7DAA4}"/>
    <cellStyle name="Migliaia 49 3 6" xfId="5522" xr:uid="{C48D5032-6783-4B8B-9597-5B4E97349912}"/>
    <cellStyle name="Migliaia 49 3 6 2" xfId="14015" xr:uid="{7F998BD3-DDD1-4868-8FDE-722BA2B1B79D}"/>
    <cellStyle name="Migliaia 49 3 6 2 2" xfId="39950" xr:uid="{65B1C6FD-8275-46DB-8E91-919FBDD3F670}"/>
    <cellStyle name="Migliaia 49 3 6 2 3" xfId="45252" xr:uid="{B59422B4-406E-44D7-852F-FA4085D2604E}"/>
    <cellStyle name="Migliaia 49 3 6 3" xfId="18605" xr:uid="{F1198EB4-7AA5-4B15-9018-3A031E58EDF9}"/>
    <cellStyle name="Migliaia 49 3 6 4" xfId="20822" xr:uid="{21BDD228-B052-4AB2-BA01-0FE309B55CE1}"/>
    <cellStyle name="Migliaia 49 3 6 4 2" xfId="42601" xr:uid="{6D9E445D-ECC4-44B1-93B8-35664B97FFA5}"/>
    <cellStyle name="Migliaia 49 3 6 5" xfId="16693" xr:uid="{C49FCF6F-6106-431D-9250-F9C26A9E075E}"/>
    <cellStyle name="Migliaia 49 3 6 6" xfId="7996" xr:uid="{CE15FFF0-DAD6-4701-85E1-48F3F6658222}"/>
    <cellStyle name="Migliaia 49 3 7" xfId="6703" xr:uid="{7973CA98-CB3B-467E-A87E-692BAB0588FC}"/>
    <cellStyle name="Migliaia 49 3 7 2" xfId="34358" xr:uid="{4245ED38-A26D-49C7-BFEB-C70A9A3C8EF0}"/>
    <cellStyle name="Migliaia 49 3 7 2 2" xfId="39951" xr:uid="{6B276974-CDE1-4566-82F8-DB72487718E2}"/>
    <cellStyle name="Migliaia 49 3 7 2 3" xfId="45253" xr:uid="{12BB941A-7DF4-44B6-B4E1-E4F496272883}"/>
    <cellStyle name="Migliaia 49 3 7 3" xfId="37325" xr:uid="{57406720-F5B9-43DA-991D-6E36CA2C18B9}"/>
    <cellStyle name="Migliaia 49 3 7 4" xfId="42602" xr:uid="{794844A6-9233-4609-856C-9E9B04A94FB0}"/>
    <cellStyle name="Migliaia 49 3 7 5" xfId="12285" xr:uid="{9DCF7D2B-5234-42E5-8165-B5FBB7A89B15}"/>
    <cellStyle name="Migliaia 49 3 8" xfId="3796" xr:uid="{2F000C90-CEB5-4F4B-8E44-567F74616F2F}"/>
    <cellStyle name="Migliaia 49 3 8 2" xfId="34359" xr:uid="{0AB7F2D8-D62F-4319-8A68-B47E6546AFBE}"/>
    <cellStyle name="Migliaia 49 3 8 2 2" xfId="39952" xr:uid="{4A0ABF8E-8B58-4B6F-B357-9620288166FA}"/>
    <cellStyle name="Migliaia 49 3 8 2 3" xfId="45254" xr:uid="{A9C0FF43-42E0-41F4-A406-DE5C0EB2F7C5}"/>
    <cellStyle name="Migliaia 49 3 8 3" xfId="37326" xr:uid="{06147FD2-EB57-431D-A249-7640588F1FBA}"/>
    <cellStyle name="Migliaia 49 3 8 4" xfId="42603" xr:uid="{FB65CE88-E5CA-4D0F-80A6-B8CFE4A1BF49}"/>
    <cellStyle name="Migliaia 49 3 8 5" xfId="25214" xr:uid="{6B8D4FBB-4639-4CCB-8C79-A16D75276F68}"/>
    <cellStyle name="Migliaia 49 3 8 6" xfId="17298" xr:uid="{183262DC-1CE5-4C3A-BFE9-F299A903F083}"/>
    <cellStyle name="Migliaia 49 3 9" xfId="20813" xr:uid="{CD4063EF-66F4-4E3E-81E4-D595B3144D3C}"/>
    <cellStyle name="Migliaia 49 4" xfId="1873" xr:uid="{00000000-0005-0000-0000-000048040000}"/>
    <cellStyle name="Migliaia 49 4 2" xfId="1874" xr:uid="{00000000-0005-0000-0000-000049040000}"/>
    <cellStyle name="Migliaia 49 4 2 2" xfId="5529" xr:uid="{F9996BD8-A53B-4290-93E2-927AE598AE0C}"/>
    <cellStyle name="Migliaia 49 4 2 2 2" xfId="34360" xr:uid="{A82EC071-646C-4DD7-8DD0-C8583207167E}"/>
    <cellStyle name="Migliaia 49 4 2 2 2 2" xfId="39953" xr:uid="{3C7D765C-6DF6-487E-91C1-051C85DECC4F}"/>
    <cellStyle name="Migliaia 49 4 2 2 2 3" xfId="45255" xr:uid="{8769744B-748F-45E8-8CC9-E70EF950F22E}"/>
    <cellStyle name="Migliaia 49 4 2 2 3" xfId="37327" xr:uid="{32C56CE8-E0C8-46EE-A884-54A1975053BE}"/>
    <cellStyle name="Migliaia 49 4 2 2 4" xfId="42604" xr:uid="{41773E7F-5F2F-4905-8E6B-9667436EAAB5}"/>
    <cellStyle name="Migliaia 49 4 2 2 5" xfId="9194" xr:uid="{4789B4E1-0375-484C-A244-CA06A6A24A92}"/>
    <cellStyle name="Migliaia 49 4 2 3" xfId="3803" xr:uid="{FFDF6696-8266-4CE5-9FC3-8E64F86A77A6}"/>
    <cellStyle name="Migliaia 49 4 2 3 2" xfId="34361" xr:uid="{AB13785A-F0CE-4605-AA1E-9903E8C32106}"/>
    <cellStyle name="Migliaia 49 4 2 3 2 2" xfId="39954" xr:uid="{D4046969-2EEF-4AB1-89D9-608AD0B1C023}"/>
    <cellStyle name="Migliaia 49 4 2 3 2 3" xfId="45256" xr:uid="{6BD10AFE-CEEB-420C-AE18-46458DD0D4D0}"/>
    <cellStyle name="Migliaia 49 4 2 3 3" xfId="37328" xr:uid="{E0FB99FB-7F3D-48A6-BCFC-13957ADD2B77}"/>
    <cellStyle name="Migliaia 49 4 2 3 4" xfId="42605" xr:uid="{142C026E-0AD9-49F0-BF0B-DCFE3FBC3C41}"/>
    <cellStyle name="Migliaia 49 4 2 3 5" xfId="12061" xr:uid="{ADD75B58-70E2-4B66-86D2-CFF8B1E375EA}"/>
    <cellStyle name="Migliaia 49 4 2 4" xfId="11410" xr:uid="{E6C16E55-1F6E-46F4-A757-77E028B42C6B}"/>
    <cellStyle name="Migliaia 49 4 2 5" xfId="10951" xr:uid="{8C7E385A-C053-4B3E-BAFC-1E0B8AAF4B1A}"/>
    <cellStyle name="Migliaia 49 4 2 5 2" xfId="21586" xr:uid="{D5C971B9-01D0-4E88-B733-ABB40705A00B}"/>
    <cellStyle name="Migliaia 49 4 2 5 3" xfId="47561" xr:uid="{DE8F904F-BF21-4E1B-B7D1-F8713A552960}"/>
    <cellStyle name="Migliaia 49 4 2 5 4" xfId="50601" xr:uid="{25A295F8-3DB7-458B-BF58-A91C6FF26234}"/>
    <cellStyle name="Migliaia 49 4 2 5 5" xfId="53617" xr:uid="{1DB6146F-BB68-462E-9DC2-166EDD1092E3}"/>
    <cellStyle name="Migliaia 49 4 2 6" xfId="20824" xr:uid="{CFBCD37E-79AC-46BD-A530-20213A99D3E1}"/>
    <cellStyle name="Migliaia 49 4 2 7" xfId="25216" xr:uid="{BE3304DA-C243-4C14-AC67-64D2EE81AC2B}"/>
    <cellStyle name="Migliaia 49 4 2 8" xfId="8742" xr:uid="{70B779AA-FF92-463A-8645-2322357F237C}"/>
    <cellStyle name="Migliaia 49 4 3" xfId="5528" xr:uid="{B10BF2AF-AA1A-4DA4-8E4D-8D3686E3DCE0}"/>
    <cellStyle name="Migliaia 49 4 3 2" xfId="18249" xr:uid="{67052E38-F889-4AA7-A54D-242F86FCAEE0}"/>
    <cellStyle name="Migliaia 49 4 3 2 2" xfId="39955" xr:uid="{2DED0EF3-E3DB-44E1-BADB-061FC1E5355C}"/>
    <cellStyle name="Migliaia 49 4 3 2 3" xfId="45257" xr:uid="{AB7622A6-3627-47D4-8082-4624038C73AE}"/>
    <cellStyle name="Migliaia 49 4 3 3" xfId="37329" xr:uid="{4BF95C18-A83F-49A4-8E4C-EB1324AF34CC}"/>
    <cellStyle name="Migliaia 49 4 3 4" xfId="42606" xr:uid="{040D5019-6CAD-4A88-9C8D-FE36B48A67F2}"/>
    <cellStyle name="Migliaia 49 4 3 5" xfId="17296" xr:uid="{6EB644B1-C360-401D-BD39-C9F4A1524908}"/>
    <cellStyle name="Migliaia 49 4 3 6" xfId="9195" xr:uid="{7CFE715D-9971-4D03-BE0C-0539B4F69153}"/>
    <cellStyle name="Migliaia 49 4 4" xfId="6709" xr:uid="{3D5412EF-D26C-4138-952C-1400769C8EA8}"/>
    <cellStyle name="Migliaia 49 4 4 2" xfId="34362" xr:uid="{1B2209B3-0969-4C71-B711-E2ED6787C110}"/>
    <cellStyle name="Migliaia 49 4 4 2 2" xfId="39956" xr:uid="{A28EC7C7-ED98-42B4-8078-F315A91D6786}"/>
    <cellStyle name="Migliaia 49 4 4 2 3" xfId="45258" xr:uid="{10A6F7D1-BFAB-4B01-85AC-F659A2DC6179}"/>
    <cellStyle name="Migliaia 49 4 4 3" xfId="37330" xr:uid="{07FFB0FB-9E79-4F17-98F6-F63250F1B974}"/>
    <cellStyle name="Migliaia 49 4 4 4" xfId="42607" xr:uid="{2421AC7F-7CD7-4082-8A99-2E6094209766}"/>
    <cellStyle name="Migliaia 49 4 4 5" xfId="12062" xr:uid="{B4E1E724-31E3-4DFB-8109-292877A954D5}"/>
    <cellStyle name="Migliaia 49 4 5" xfId="3802" xr:uid="{B0141B7E-E089-433A-A74E-041688EC4FC1}"/>
    <cellStyle name="Migliaia 49 4 5 2" xfId="34363" xr:uid="{2E740C68-4CC0-4593-9F0C-D023601F4F82}"/>
    <cellStyle name="Migliaia 49 4 5 2 2" xfId="39957" xr:uid="{4570C411-3D1F-485B-B5C4-6EA95E5650FF}"/>
    <cellStyle name="Migliaia 49 4 5 2 3" xfId="45259" xr:uid="{532B47B2-8C70-4C38-AE24-E93DCFD9A60A}"/>
    <cellStyle name="Migliaia 49 4 5 3" xfId="37331" xr:uid="{9294CCD0-C0AD-4771-AE2C-093DF22C80AF}"/>
    <cellStyle name="Migliaia 49 4 5 4" xfId="42608" xr:uid="{BE49DFFF-0F19-456B-ABBF-6691C96B98C5}"/>
    <cellStyle name="Migliaia 49 4 5 5" xfId="11409" xr:uid="{3E8654E1-AD78-4885-BBB9-A387A9C02C86}"/>
    <cellStyle name="Migliaia 49 4 6" xfId="10950" xr:uid="{4F963629-5286-4516-9A23-973659940D95}"/>
    <cellStyle name="Migliaia 49 4 6 2" xfId="21585" xr:uid="{0356BA29-0DE7-4BCC-8527-AD58133D8523}"/>
    <cellStyle name="Migliaia 49 4 6 2 2" xfId="39958" xr:uid="{B2E72253-D9DC-4692-8CAF-E42C9438EB10}"/>
    <cellStyle name="Migliaia 49 4 6 2 3" xfId="45260" xr:uid="{40154F22-BC45-4F70-9903-A5B0AABC14A2}"/>
    <cellStyle name="Migliaia 49 4 6 2 4" xfId="34364" xr:uid="{BE8578C9-B48A-4460-8CF4-E73F25E77223}"/>
    <cellStyle name="Migliaia 49 4 6 3" xfId="37332" xr:uid="{0D1DB539-DE88-492E-85EE-AC418C688B37}"/>
    <cellStyle name="Migliaia 49 4 6 4" xfId="42609" xr:uid="{FBC34268-5C7E-4511-8D8A-56F11CA9748D}"/>
    <cellStyle name="Migliaia 49 4 6 5" xfId="25217" xr:uid="{E84F4399-3262-4B22-8722-CF7155CBD52A}"/>
    <cellStyle name="Migliaia 49 4 6 6" xfId="48316" xr:uid="{BF658470-5496-4899-8290-2B436710BDA4}"/>
    <cellStyle name="Migliaia 49 4 6 7" xfId="50600" xr:uid="{13EAD483-E066-44AB-8C75-6B98922EBAF9}"/>
    <cellStyle name="Migliaia 49 4 6 8" xfId="53616" xr:uid="{591F9972-4181-4D62-8DAA-ECC105C93B52}"/>
    <cellStyle name="Migliaia 49 4 7" xfId="20823" xr:uid="{AE69C6C0-4E01-4647-9711-C5978E1633C0}"/>
    <cellStyle name="Migliaia 49 4 7 2" xfId="34365" xr:uid="{5B9E7730-3364-4394-9F5F-741E1545B30A}"/>
    <cellStyle name="Migliaia 49 4 7 2 2" xfId="39959" xr:uid="{D6124AC5-8664-47E2-8528-D80557A739C0}"/>
    <cellStyle name="Migliaia 49 4 7 2 3" xfId="45261" xr:uid="{AF485867-A230-4B29-ACCE-C0A60437CA94}"/>
    <cellStyle name="Migliaia 49 4 7 3" xfId="37333" xr:uid="{6C40A20C-A324-4154-A97D-16F52978E24A}"/>
    <cellStyle name="Migliaia 49 4 7 4" xfId="42610" xr:uid="{8A8358C4-010D-41F9-850D-34EBD7A0E084}"/>
    <cellStyle name="Migliaia 49 4 7 5" xfId="25218" xr:uid="{431E5C9C-B661-4066-B45F-709C2FE033FC}"/>
    <cellStyle name="Migliaia 49 4 8" xfId="25215" xr:uid="{825858C3-7C39-4D9A-94A3-3BF3637E449F}"/>
    <cellStyle name="Migliaia 49 4 9" xfId="7552" xr:uid="{9A4DF914-F8B7-4DD3-8642-DB9C048B78EA}"/>
    <cellStyle name="Migliaia 49 5" xfId="1875" xr:uid="{00000000-0005-0000-0000-00004A040000}"/>
    <cellStyle name="Migliaia 49 5 2" xfId="5530" xr:uid="{B6CB7350-2973-4FB9-97CE-9B28427B98FC}"/>
    <cellStyle name="Migliaia 49 5 2 2" xfId="18493" xr:uid="{F8EE2B24-4B81-4C07-919A-E291C58F364A}"/>
    <cellStyle name="Migliaia 49 5 2 2 2" xfId="39960" xr:uid="{F40A9B29-A160-45AD-992E-EEE05DB6804F}"/>
    <cellStyle name="Migliaia 49 5 2 2 3" xfId="45262" xr:uid="{66DF4524-4FB7-4776-A6CA-6CDD5F34F775}"/>
    <cellStyle name="Migliaia 49 5 2 3" xfId="20826" xr:uid="{4238E2EE-18E1-4E9E-9FA4-64E76BF42621}"/>
    <cellStyle name="Migliaia 49 5 2 3 2" xfId="37334" xr:uid="{4925C123-1726-4E0D-94CC-05C90B8E26C8}"/>
    <cellStyle name="Migliaia 49 5 2 4" xfId="42611" xr:uid="{10518E4E-5449-4F8E-90C0-CB8AC8C4602A}"/>
    <cellStyle name="Migliaia 49 5 2 5" xfId="16694" xr:uid="{AD14315D-8CF3-40C2-93D9-6577F50630EC}"/>
    <cellStyle name="Migliaia 49 5 2 6" xfId="8743" xr:uid="{46FDFBF2-302B-4E47-BA7A-AB38AA800D0B}"/>
    <cellStyle name="Migliaia 49 5 3" xfId="6710" xr:uid="{F3A212A5-079C-4642-8B6B-EFD2F3CF4D01}"/>
    <cellStyle name="Migliaia 49 5 3 2" xfId="34366" xr:uid="{92631D94-8052-4F72-B314-D3F460342BC4}"/>
    <cellStyle name="Migliaia 49 5 3 2 2" xfId="39961" xr:uid="{F56B7FC8-9063-40B1-8637-1C594797EEBF}"/>
    <cellStyle name="Migliaia 49 5 3 2 3" xfId="45263" xr:uid="{5A5A76D7-3646-4BA3-A62A-DAB5B61D7D6D}"/>
    <cellStyle name="Migliaia 49 5 3 3" xfId="37335" xr:uid="{90B35019-6D72-436D-8403-0184320ECD99}"/>
    <cellStyle name="Migliaia 49 5 3 4" xfId="42612" xr:uid="{1C1CFEA0-E2F4-4BFC-B6F4-AFA9C2AB34A8}"/>
    <cellStyle name="Migliaia 49 5 3 5" xfId="11411" xr:uid="{5A1A483E-49AA-4D0C-87C1-CDF98B855F9B}"/>
    <cellStyle name="Migliaia 49 5 4" xfId="3804" xr:uid="{A6C57765-AC11-4650-96E8-5A6A76385E51}"/>
    <cellStyle name="Migliaia 49 5 4 2" xfId="21587" xr:uid="{F2EB6C35-56B9-4573-A9AB-EA26E8C61798}"/>
    <cellStyle name="Migliaia 49 5 4 2 2" xfId="39962" xr:uid="{21D3BD32-169B-487C-BD98-6DE5EB1F46F0}"/>
    <cellStyle name="Migliaia 49 5 4 2 3" xfId="45264" xr:uid="{E40538B2-D374-4BF9-B142-2C1A051CFE72}"/>
    <cellStyle name="Migliaia 49 5 4 2 4" xfId="34367" xr:uid="{700E10D4-17C0-4E5B-BCC7-4D6F6C083248}"/>
    <cellStyle name="Migliaia 49 5 4 3" xfId="37336" xr:uid="{703DBE2B-1090-423D-BDDA-497991CDD6EA}"/>
    <cellStyle name="Migliaia 49 5 4 4" xfId="42613" xr:uid="{4402E863-4167-4513-8D00-9D5D9B148875}"/>
    <cellStyle name="Migliaia 49 5 4 5" xfId="25220" xr:uid="{6E8BC534-1680-4E7C-9A72-33D71403A823}"/>
    <cellStyle name="Migliaia 49 5 4 6" xfId="47659" xr:uid="{D27BC162-F949-4E50-B749-E6DC6F286B52}"/>
    <cellStyle name="Migliaia 49 5 4 7" xfId="50602" xr:uid="{E131B8B3-28C7-4CEB-8DCA-39AA330CAD33}"/>
    <cellStyle name="Migliaia 49 5 4 8" xfId="53618" xr:uid="{1330B9FA-A4BF-4828-B78C-1C9D92B35380}"/>
    <cellStyle name="Migliaia 49 5 4 9" xfId="10952" xr:uid="{7E05C852-7A10-4D72-8E95-8DFD4442A55B}"/>
    <cellStyle name="Migliaia 49 5 5" xfId="20825" xr:uid="{144F44E1-D763-40AA-933D-F0435EC12039}"/>
    <cellStyle name="Migliaia 49 5 5 2" xfId="34368" xr:uid="{7A38394B-77AF-4D24-971C-D1D9635F3C4B}"/>
    <cellStyle name="Migliaia 49 5 5 2 2" xfId="39963" xr:uid="{4BD508F5-32FC-4F26-AA57-69AF12CDAD99}"/>
    <cellStyle name="Migliaia 49 5 5 2 3" xfId="45265" xr:uid="{083F83FD-8C8E-424E-8A5A-796F10585421}"/>
    <cellStyle name="Migliaia 49 5 5 3" xfId="37337" xr:uid="{251FE6C4-3C86-4E35-AE2B-BE59B560F4B5}"/>
    <cellStyle name="Migliaia 49 5 5 4" xfId="42614" xr:uid="{53CE3AB8-91EF-441B-AA7E-A4A3657C1923}"/>
    <cellStyle name="Migliaia 49 5 5 5" xfId="25221" xr:uid="{38D9BB12-9928-40D5-BD68-33D8BF5A64F6}"/>
    <cellStyle name="Migliaia 49 5 6" xfId="25222" xr:uid="{4F0ECC35-1D39-497C-A581-E909202C97B3}"/>
    <cellStyle name="Migliaia 49 5 6 2" xfId="34369" xr:uid="{9C61613B-9225-48DA-B75E-EC6C389175A5}"/>
    <cellStyle name="Migliaia 49 5 6 2 2" xfId="39964" xr:uid="{7EDBA784-9C38-4B4A-9AFF-F75D791D3EFB}"/>
    <cellStyle name="Migliaia 49 5 6 2 3" xfId="45266" xr:uid="{22D5F2FE-A5A4-41B0-B9D9-D0B4A43343C1}"/>
    <cellStyle name="Migliaia 49 5 6 3" xfId="37338" xr:uid="{440887DA-4D95-4848-B7CA-F94D867C0B9D}"/>
    <cellStyle name="Migliaia 49 5 6 4" xfId="42615" xr:uid="{F42C0B24-CFAE-44D5-987F-73DC2CCC6DC1}"/>
    <cellStyle name="Migliaia 49 5 7" xfId="25219" xr:uid="{74C7B017-FAEC-498B-9793-B01E06E434B9}"/>
    <cellStyle name="Migliaia 49 5 8" xfId="7553" xr:uid="{48E6E08A-1C74-4545-8B78-8301DB44A1F6}"/>
    <cellStyle name="Migliaia 49 6" xfId="3805" xr:uid="{B9BB8B28-43C5-42BD-BEF7-9E02554CA7D5}"/>
    <cellStyle name="Migliaia 49 6 2" xfId="5531" xr:uid="{4EE0CC1A-957A-4392-9115-1B6FFA41EA5D}"/>
    <cellStyle name="Migliaia 49 6 2 2" xfId="9967" xr:uid="{84B1643E-FD6E-4B9B-AC03-70CBC6E91426}"/>
    <cellStyle name="Migliaia 49 6 2 3" xfId="18637" xr:uid="{5609E90B-0CEF-4610-9E6C-C2B47F8C8749}"/>
    <cellStyle name="Migliaia 49 6 2 4" xfId="20828" xr:uid="{624FA6EF-C158-4329-B350-4884AFA2A106}"/>
    <cellStyle name="Migliaia 49 6 2 5" xfId="32452" xr:uid="{7D0CCCE9-FC0E-49E2-9447-46E16FF566CE}"/>
    <cellStyle name="Migliaia 49 6 2 6" xfId="16696" xr:uid="{1F39030E-145A-4BC5-8964-BCD3C9AA1462}"/>
    <cellStyle name="Migliaia 49 6 2 7" xfId="8738" xr:uid="{D254C046-6078-4658-AA72-9523BE2EBD36}"/>
    <cellStyle name="Migliaia 49 6 3" xfId="6711" xr:uid="{DAE40A19-7B96-4B23-9981-5DC2BAC010A2}"/>
    <cellStyle name="Migliaia 49 6 3 2" xfId="35428" xr:uid="{A64481C8-EB01-4988-8729-8B10E449DC46}"/>
    <cellStyle name="Migliaia 49 6 3 2 2" xfId="40588" xr:uid="{D5F9A19A-6E2E-4FC2-8F6C-4A492E8CB089}"/>
    <cellStyle name="Migliaia 49 6 3 2 3" xfId="45890" xr:uid="{46986C50-B832-4461-9624-6626AF7F4A79}"/>
    <cellStyle name="Migliaia 49 6 3 3" xfId="37937" xr:uid="{C57BC79A-8B8C-48CE-9079-8D703281764B}"/>
    <cellStyle name="Migliaia 49 6 3 4" xfId="43239" xr:uid="{AAE49C26-3804-41AE-ADA9-B24BCD9720BF}"/>
    <cellStyle name="Migliaia 49 6 3 5" xfId="9730" xr:uid="{C4A10B8C-8B9B-474D-B7DD-80EAD7DCAF8A}"/>
    <cellStyle name="Migliaia 49 6 4" xfId="20827" xr:uid="{74989444-9FCE-4857-B3CA-25D749CC0B0D}"/>
    <cellStyle name="Migliaia 49 6 4 2" xfId="39965" xr:uid="{337FCE58-2174-469D-95E2-C605992C1FD3}"/>
    <cellStyle name="Migliaia 49 6 4 3" xfId="45267" xr:uid="{009CACF6-3A79-4F48-9F23-32C58BE5586A}"/>
    <cellStyle name="Migliaia 49 6 4 4" xfId="34370" xr:uid="{6B3F6C6E-57D3-47D9-8023-596C792B7989}"/>
    <cellStyle name="Migliaia 49 6 5" xfId="37339" xr:uid="{A8981C4D-3E11-490F-80CB-83A8FA75AD48}"/>
    <cellStyle name="Migliaia 49 6 6" xfId="42616" xr:uid="{2788790B-3BA0-4FEB-BB33-7F70C0ADE368}"/>
    <cellStyle name="Migliaia 49 6 7" xfId="16695" xr:uid="{FA5FC75C-826D-46C9-B0D1-92DCE8567FBF}"/>
    <cellStyle name="Migliaia 49 6 8" xfId="7548" xr:uid="{750EE6F5-3A97-421C-A2B1-F046E9D136CF}"/>
    <cellStyle name="Migliaia 49 7" xfId="3806" xr:uid="{4468C6DB-D02F-4EC8-B05F-A095D13287AB}"/>
    <cellStyle name="Migliaia 49 7 2" xfId="5532" xr:uid="{8AA45AA5-A8ED-4DD6-A8F9-D8A947B656CB}"/>
    <cellStyle name="Migliaia 49 7 2 2" xfId="35429" xr:uid="{8EB57E97-85D5-42E5-82F6-0E78291AC33D}"/>
    <cellStyle name="Migliaia 49 7 2 2 2" xfId="40589" xr:uid="{A6F7A93C-C2D1-45D4-A28E-C41528C5B1F2}"/>
    <cellStyle name="Migliaia 49 7 2 2 3" xfId="45891" xr:uid="{3C99B8DD-599F-4E28-A2A3-E0D3EE6E851A}"/>
    <cellStyle name="Migliaia 49 7 2 3" xfId="37938" xr:uid="{A4265A6B-488A-4900-BF35-FD0AE81D5335}"/>
    <cellStyle name="Migliaia 49 7 2 4" xfId="43240" xr:uid="{886566B4-2D00-46A3-8FE8-3E926B94FF1C}"/>
    <cellStyle name="Migliaia 49 7 2 5" xfId="14308" xr:uid="{33C08B17-AA2B-4D86-9630-AAA3B1F75B16}"/>
    <cellStyle name="Migliaia 49 7 3" xfId="6712" xr:uid="{74DD8914-0605-4D98-A487-594388E11F9F}"/>
    <cellStyle name="Migliaia 49 7 3 2" xfId="39966" xr:uid="{378871E8-9A15-4087-B5AD-1E53C157588C}"/>
    <cellStyle name="Migliaia 49 7 3 3" xfId="45268" xr:uid="{C900FEEC-E26D-4910-BFA2-AD91ECD2439E}"/>
    <cellStyle name="Migliaia 49 7 3 4" xfId="34371" xr:uid="{70411F6D-CFD2-4202-A884-43B254CF78D9}"/>
    <cellStyle name="Migliaia 49 7 3 5" xfId="20829" xr:uid="{5E926F79-CA1B-4184-8820-95AC22FB152E}"/>
    <cellStyle name="Migliaia 49 7 4" xfId="37340" xr:uid="{158EB44F-789F-4096-B71C-8913C390B5BB}"/>
    <cellStyle name="Migliaia 49 7 5" xfId="42617" xr:uid="{12742B14-966E-4A11-886E-A9C87C0B7582}"/>
    <cellStyle name="Migliaia 49 7 6" xfId="16697" xr:uid="{0E663EB8-5507-4C19-918F-77B598843C21}"/>
    <cellStyle name="Migliaia 49 7 7" xfId="8370" xr:uid="{7EC6756B-B4EC-4EEC-9DB9-D8412077D59C}"/>
    <cellStyle name="Migliaia 49 8" xfId="3807" xr:uid="{15EE6375-2F2F-421D-AD09-C145716C4224}"/>
    <cellStyle name="Migliaia 49 8 2" xfId="5533" xr:uid="{F593E36D-F2A4-4812-B195-6A107445F818}"/>
    <cellStyle name="Migliaia 49 8 2 2" xfId="35430" xr:uid="{B4A634ED-FD30-4A96-8FF1-91AA855F6811}"/>
    <cellStyle name="Migliaia 49 8 2 2 2" xfId="40590" xr:uid="{72FF7194-9342-45B7-89A6-7B126CF6B55B}"/>
    <cellStyle name="Migliaia 49 8 2 2 3" xfId="45892" xr:uid="{32E98AAE-DF13-4955-95AD-530C7FA6FAA4}"/>
    <cellStyle name="Migliaia 49 8 2 3" xfId="37939" xr:uid="{B5DA0B8A-1F12-47A1-A598-D88E87294732}"/>
    <cellStyle name="Migliaia 49 8 2 4" xfId="43241" xr:uid="{16A02600-EE1F-47B8-8E61-6775A04623A4}"/>
    <cellStyle name="Migliaia 49 8 2 5" xfId="14013" xr:uid="{339582FA-1751-4B8F-B4D1-142AAFBB8770}"/>
    <cellStyle name="Migliaia 49 8 3" xfId="6713" xr:uid="{A5782382-01E0-4985-879F-9D32FD4005F7}"/>
    <cellStyle name="Migliaia 49 8 3 2" xfId="39967" xr:uid="{C3286191-499A-4913-98D4-B6574264BD68}"/>
    <cellStyle name="Migliaia 49 8 3 3" xfId="45269" xr:uid="{441055F7-F106-4A94-9593-41E27FA8986C}"/>
    <cellStyle name="Migliaia 49 8 3 4" xfId="34372" xr:uid="{364CCEAD-D0E8-4BFA-9AE0-ED1D60CB4779}"/>
    <cellStyle name="Migliaia 49 8 3 5" xfId="20830" xr:uid="{A655277A-3015-4A37-B6DD-36E539D09C0B}"/>
    <cellStyle name="Migliaia 49 8 4" xfId="37341" xr:uid="{6D81E529-9FE6-40BB-A170-98A53FC18A9F}"/>
    <cellStyle name="Migliaia 49 8 5" xfId="42618" xr:uid="{CE011F40-3754-485E-88BD-2705F7974573}"/>
    <cellStyle name="Migliaia 49 8 6" xfId="16698" xr:uid="{FEB10960-7A0D-4C37-9245-C8D6B53AEEEE}"/>
    <cellStyle name="Migliaia 49 8 7" xfId="7994" xr:uid="{7DE35DC5-24DC-4A73-AFFE-20AAF7FB1F99}"/>
    <cellStyle name="Migliaia 49 9" xfId="5518" xr:uid="{D3569D0B-9FB4-4FF5-9949-3F597449754D}"/>
    <cellStyle name="Migliaia 49 9 2" xfId="34373" xr:uid="{0226F961-2D8D-4132-8095-072E35F84EF0}"/>
    <cellStyle name="Migliaia 49 9 2 2" xfId="39968" xr:uid="{683D286B-5143-4E73-B009-716DA4F060CC}"/>
    <cellStyle name="Migliaia 49 9 2 3" xfId="45270" xr:uid="{7F3D9293-D491-4156-88E6-66AF52A2DFA4}"/>
    <cellStyle name="Migliaia 49 9 3" xfId="37342" xr:uid="{262C0256-C600-45DC-9C06-535C6EDA99E0}"/>
    <cellStyle name="Migliaia 49 9 4" xfId="42619" xr:uid="{2FAA6383-0C1B-450A-906B-7D1EF6D329EB}"/>
    <cellStyle name="Migliaia 49 9 5" xfId="17221" xr:uid="{C58A0DAE-1F5E-4AC7-82A4-59FF43457DEE}"/>
    <cellStyle name="Migliaia 5" xfId="477" xr:uid="{00000000-0005-0000-0000-00004B040000}"/>
    <cellStyle name="Migliaia 5 10" xfId="6714" xr:uid="{AD76C527-5B80-44C2-BDBE-5491B84CC103}"/>
    <cellStyle name="Migliaia 5 10 2" xfId="39969" xr:uid="{6D431D0A-2707-4D14-A3C2-581B90F4F13D}"/>
    <cellStyle name="Migliaia 5 10 3" xfId="45271" xr:uid="{B393370F-E238-4861-B3C0-49C94B0110A6}"/>
    <cellStyle name="Migliaia 5 10 4" xfId="34374" xr:uid="{6A31253D-4923-463C-8D9B-58248B2446E0}"/>
    <cellStyle name="Migliaia 5 10 5" xfId="20831" xr:uid="{90A35A41-66C1-4567-ADC4-A331D1108646}"/>
    <cellStyle name="Migliaia 5 11" xfId="3808" xr:uid="{924B5315-42D7-4D27-B17E-B9EA06A9402D}"/>
    <cellStyle name="Migliaia 5 11 2" xfId="37343" xr:uid="{4DF9F833-5CE7-45CF-895E-F0066636F81D}"/>
    <cellStyle name="Migliaia 5 12" xfId="42620" xr:uid="{ABB96B24-9A86-46FB-8983-90EA037ACA69}"/>
    <cellStyle name="Migliaia 5 13" xfId="7174" xr:uid="{5542979C-B66B-4FF6-A815-40DBE50433F7}"/>
    <cellStyle name="Migliaia 5 2" xfId="478" xr:uid="{00000000-0005-0000-0000-00004C040000}"/>
    <cellStyle name="Migliaia 5 2 2" xfId="1876" xr:uid="{00000000-0005-0000-0000-00004D040000}"/>
    <cellStyle name="Migliaia 5 2 2 2" xfId="5536" xr:uid="{4E97F7C5-F444-4F14-9BCE-B34A6DA47276}"/>
    <cellStyle name="Migliaia 5 2 2 2 2" xfId="14407" xr:uid="{0F7E492A-57CE-4D2A-B73F-AE565D809AC4}"/>
    <cellStyle name="Migliaia 5 2 2 2 2 2" xfId="39970" xr:uid="{A7EF3CD3-D77E-4C5D-B43B-FE3D7B53D6A8}"/>
    <cellStyle name="Migliaia 5 2 2 2 2 3" xfId="45272" xr:uid="{07DF6311-3973-4093-98DA-A56D2C602D23}"/>
    <cellStyle name="Migliaia 5 2 2 2 3" xfId="18494" xr:uid="{F11986A8-E86B-4799-8FA1-1A04EA52BEBE}"/>
    <cellStyle name="Migliaia 5 2 2 2 4" xfId="20834" xr:uid="{3788D300-5D23-4BF8-BF81-9252F4E84B22}"/>
    <cellStyle name="Migliaia 5 2 2 2 4 2" xfId="42621" xr:uid="{BD81DD65-2A51-4153-ACFE-8EC700AD69EE}"/>
    <cellStyle name="Migliaia 5 2 2 2 5" xfId="16699" xr:uid="{CEF93F96-3D33-496D-B14D-CF976BCB2A3D}"/>
    <cellStyle name="Migliaia 5 2 2 2 6" xfId="8745" xr:uid="{FC42CAC9-86CC-400B-B7F3-209B5D7A4D62}"/>
    <cellStyle name="Migliaia 5 2 2 3" xfId="6716" xr:uid="{7DAE6998-7C0B-408C-B682-F2CF68CF32F2}"/>
    <cellStyle name="Migliaia 5 2 2 3 2" xfId="35431" xr:uid="{ED75E14E-7248-4CB7-8E7F-6BDCE31E2668}"/>
    <cellStyle name="Migliaia 5 2 2 3 2 2" xfId="40591" xr:uid="{5F5A3940-70A7-4861-853E-648B149626B3}"/>
    <cellStyle name="Migliaia 5 2 2 3 2 3" xfId="45893" xr:uid="{59534CE2-3C96-43D4-8320-DBF6B0E823E7}"/>
    <cellStyle name="Migliaia 5 2 2 3 3" xfId="37940" xr:uid="{8923F737-E6AC-4049-9C1D-82E00EF31FE2}"/>
    <cellStyle name="Migliaia 5 2 2 3 4" xfId="43242" xr:uid="{2866AF06-7AB2-476A-BC14-E096B2B1E9EA}"/>
    <cellStyle name="Migliaia 5 2 2 3 5" xfId="11634" xr:uid="{71E3D1B2-BB78-44EE-AFF6-D562785B5BC7}"/>
    <cellStyle name="Migliaia 5 2 2 4" xfId="3810" xr:uid="{6FDE6C22-9DCC-432E-A8A6-DC85EF377E28}"/>
    <cellStyle name="Migliaia 5 2 2 4 2" xfId="21588" xr:uid="{0AB4F50C-06E4-490E-9412-BF935112CFA9}"/>
    <cellStyle name="Migliaia 5 2 2 4 3" xfId="47422" xr:uid="{F6BB5EEE-E539-4D38-8373-9D0141D08695}"/>
    <cellStyle name="Migliaia 5 2 2 4 4" xfId="50603" xr:uid="{153F8CC1-39AF-4D1D-8BB2-5B0D19EBCD4E}"/>
    <cellStyle name="Migliaia 5 2 2 4 5" xfId="53619" xr:uid="{F6E7133C-C904-453B-8552-0293F9844907}"/>
    <cellStyle name="Migliaia 5 2 2 4 6" xfId="10953" xr:uid="{2F7D58F3-7341-4515-AB2E-DCA68DEB3B34}"/>
    <cellStyle name="Migliaia 5 2 2 5" xfId="20833" xr:uid="{46557730-3EE5-40A8-85C0-8B54F0D746B7}"/>
    <cellStyle name="Migliaia 5 2 2 6" xfId="25224" xr:uid="{E068FBBE-9AA1-41CC-AFB4-4B094B212555}"/>
    <cellStyle name="Migliaia 5 2 2 7" xfId="7555" xr:uid="{70C9B004-795A-4980-9AD4-D9B97FA4C2F2}"/>
    <cellStyle name="Migliaia 5 2 3" xfId="3811" xr:uid="{43E0B9DF-A9D3-4004-9992-B3196A6235F3}"/>
    <cellStyle name="Migliaia 5 2 3 2" xfId="5537" xr:uid="{B8164968-F388-4E2C-9992-F9D8CA4716A1}"/>
    <cellStyle name="Migliaia 5 2 3 2 2" xfId="35432" xr:uid="{D9113759-6BA7-44D5-8D6F-DB343413B588}"/>
    <cellStyle name="Migliaia 5 2 3 2 2 2" xfId="40592" xr:uid="{5A74B0B1-75E6-4C21-B195-5A82C9E04D73}"/>
    <cellStyle name="Migliaia 5 2 3 2 2 3" xfId="45894" xr:uid="{397006BF-3395-41B3-9D12-BCAB2D5C1A1D}"/>
    <cellStyle name="Migliaia 5 2 3 2 3" xfId="37941" xr:uid="{879C7591-E9EB-48F2-ADDE-850D16858541}"/>
    <cellStyle name="Migliaia 5 2 3 2 4" xfId="43243" xr:uid="{8EE4DB11-3B91-43D0-AC27-A24B2DD05AE4}"/>
    <cellStyle name="Migliaia 5 2 3 2 5" xfId="14312" xr:uid="{84A7E241-18E2-431B-93FF-768F113BDA39}"/>
    <cellStyle name="Migliaia 5 2 3 3" xfId="6717" xr:uid="{477FA175-A307-4D31-A839-E2818BBCD462}"/>
    <cellStyle name="Migliaia 5 2 3 3 2" xfId="39971" xr:uid="{CED6FCBA-870C-40DE-98AC-98204DFE22FC}"/>
    <cellStyle name="Migliaia 5 2 3 3 3" xfId="45273" xr:uid="{1A0BA50C-FD08-49D2-AA6F-64F36828A922}"/>
    <cellStyle name="Migliaia 5 2 3 3 4" xfId="34375" xr:uid="{5F88D68D-302C-4102-8F9B-0884E6B06C1C}"/>
    <cellStyle name="Migliaia 5 2 3 3 5" xfId="20835" xr:uid="{DC4A81C7-AF12-426D-A1E5-96A2C4335761}"/>
    <cellStyle name="Migliaia 5 2 3 4" xfId="37344" xr:uid="{CCF0DCA3-EC86-4A61-91F2-9DE1ADA9A723}"/>
    <cellStyle name="Migliaia 5 2 3 5" xfId="42622" xr:uid="{38798073-4355-4D6D-B4EA-3685BF98642E}"/>
    <cellStyle name="Migliaia 5 2 3 6" xfId="16700" xr:uid="{886A7120-99A6-4226-89C7-462D9FC48CF9}"/>
    <cellStyle name="Migliaia 5 2 3 7" xfId="8374" xr:uid="{DEB4A818-CAE0-4E06-8DF5-4CF63BAE9473}"/>
    <cellStyle name="Migliaia 5 2 4" xfId="5535" xr:uid="{13C3A97E-146A-4D56-8169-AA12BA64623E}"/>
    <cellStyle name="Migliaia 5 2 4 2" xfId="14017" xr:uid="{4D576873-E408-464B-B70B-5B8EA932BFA2}"/>
    <cellStyle name="Migliaia 5 2 4 2 2" xfId="39972" xr:uid="{388054B0-94C5-4816-B568-B24C6F937A37}"/>
    <cellStyle name="Migliaia 5 2 4 2 3" xfId="45274" xr:uid="{EB2E59FC-2D0F-40FE-A842-6731DF727F27}"/>
    <cellStyle name="Migliaia 5 2 4 3" xfId="18694" xr:uid="{3684B295-F1C2-4FA6-AAB4-53E8DC52E348}"/>
    <cellStyle name="Migliaia 5 2 4 4" xfId="20836" xr:uid="{116E082C-CDCF-4645-8BA5-42ADC1016748}"/>
    <cellStyle name="Migliaia 5 2 4 4 2" xfId="42623" xr:uid="{207BAA72-77D9-4201-86B6-44D049DCD82A}"/>
    <cellStyle name="Migliaia 5 2 4 5" xfId="16701" xr:uid="{C99CC78C-BA4E-439C-99D9-EAEDD0608C60}"/>
    <cellStyle name="Migliaia 5 2 4 6" xfId="7999" xr:uid="{349C2A82-5950-4D81-BFA9-818C850E92A0}"/>
    <cellStyle name="Migliaia 5 2 5" xfId="6715" xr:uid="{42BA3A54-2731-47E2-A3E6-AA8C47E35474}"/>
    <cellStyle name="Migliaia 5 2 5 2" xfId="34376" xr:uid="{7BD49FB9-E01A-4582-BEB2-33B41C4F1F90}"/>
    <cellStyle name="Migliaia 5 2 5 2 2" xfId="39973" xr:uid="{89735AB6-6151-4EDF-B70B-88158D6C8FA1}"/>
    <cellStyle name="Migliaia 5 2 5 2 3" xfId="45275" xr:uid="{097FA977-3F0A-4341-8DFD-2E2BC35CAFC1}"/>
    <cellStyle name="Migliaia 5 2 5 3" xfId="37345" xr:uid="{F319D1A6-896C-4506-810D-86E496F5B0D0}"/>
    <cellStyle name="Migliaia 5 2 5 4" xfId="42624" xr:uid="{B8B6243A-361F-430B-A4C6-F8182F6E398C}"/>
    <cellStyle name="Migliaia 5 2 5 5" xfId="13147" xr:uid="{54EFDD34-4FFB-4DE7-B357-90BD383061BE}"/>
    <cellStyle name="Migliaia 5 2 6" xfId="3809" xr:uid="{FB04150B-0427-440A-9E74-3ADCAA9301F2}"/>
    <cellStyle name="Migliaia 5 2 6 2" xfId="34377" xr:uid="{1615F987-28E4-460B-9F26-CD7F991B878E}"/>
    <cellStyle name="Migliaia 5 2 6 2 2" xfId="39974" xr:uid="{8B5D6C45-FC73-4A20-A709-9D2CB1EFEB14}"/>
    <cellStyle name="Migliaia 5 2 6 2 3" xfId="45276" xr:uid="{7F1B6CF0-DFD4-40CB-BB5C-CDD94A0E5D22}"/>
    <cellStyle name="Migliaia 5 2 6 3" xfId="37346" xr:uid="{02448FD7-3D59-416F-8D94-231754969DEB}"/>
    <cellStyle name="Migliaia 5 2 6 4" xfId="42625" xr:uid="{98F6EC0A-E7AA-452F-8163-E64565BEA9D0}"/>
    <cellStyle name="Migliaia 5 2 6 5" xfId="25225" xr:uid="{81F8F3B2-3EC3-4767-B4A5-993243A41884}"/>
    <cellStyle name="Migliaia 5 2 6 6" xfId="20832" xr:uid="{A0E492A2-6BF3-435F-AC60-B1123249B2AB}"/>
    <cellStyle name="Migliaia 5 2 7" xfId="25223" xr:uid="{E8D4D1F6-A9C1-4471-9905-B664E9A89C80}"/>
    <cellStyle name="Migliaia 5 2 8" xfId="7175" xr:uid="{B4A8F99C-1D21-4C23-8001-FBB2F25ED3FF}"/>
    <cellStyle name="Migliaia 5 3" xfId="479" xr:uid="{00000000-0005-0000-0000-00004E040000}"/>
    <cellStyle name="Migliaia 5 3 10" xfId="25226" xr:uid="{AFDD52B9-1282-4A50-BBF4-2221FCB95ECF}"/>
    <cellStyle name="Migliaia 5 3 11" xfId="16702" xr:uid="{07E78668-7CF0-433B-B5DE-7693E04DED91}"/>
    <cellStyle name="Migliaia 5 3 12" xfId="7176" xr:uid="{0DC1A3DF-75C0-4B62-BF61-BDBD1319D113}"/>
    <cellStyle name="Migliaia 5 3 2" xfId="480" xr:uid="{00000000-0005-0000-0000-00004F040000}"/>
    <cellStyle name="Migliaia 5 3 2 2" xfId="1877" xr:uid="{00000000-0005-0000-0000-000050040000}"/>
    <cellStyle name="Migliaia 5 3 2 2 2" xfId="5540" xr:uid="{E18F2D7E-A3AB-4817-9DDE-AB43A7E66C96}"/>
    <cellStyle name="Migliaia 5 3 2 2 2 2" xfId="18495" xr:uid="{2C6E57C5-EA6F-4021-AE43-A10885EE89DA}"/>
    <cellStyle name="Migliaia 5 3 2 2 2 2 2" xfId="21885" xr:uid="{8D0FD38C-21BE-4139-829F-1409C8E18014}"/>
    <cellStyle name="Migliaia 5 3 2 2 2 2 2 2" xfId="39975" xr:uid="{FA226767-3C7E-4076-882C-F706CDA95312}"/>
    <cellStyle name="Migliaia 5 3 2 2 2 2 3" xfId="45277" xr:uid="{DB17B2DF-F37E-43F5-AC89-633379F9020D}"/>
    <cellStyle name="Migliaia 5 3 2 2 2 2 4" xfId="34378" xr:uid="{A097FB4C-3E60-49AD-A0AC-E32B74522D2F}"/>
    <cellStyle name="Migliaia 5 3 2 2 2 3" xfId="37347" xr:uid="{DC20CB6B-12DC-45CF-893F-F1F8737D351D}"/>
    <cellStyle name="Migliaia 5 3 2 2 2 4" xfId="42626" xr:uid="{CD0BF98E-DA0E-43E9-A4F9-BCD7384AD12E}"/>
    <cellStyle name="Migliaia 5 3 2 2 2 5" xfId="37176" xr:uid="{AA939278-141F-497A-994C-95C522A2FC51}"/>
    <cellStyle name="Migliaia 5 3 2 2 2 6" xfId="50913" xr:uid="{FE55B360-4EE2-4DD6-B262-47D56156D8EE}"/>
    <cellStyle name="Migliaia 5 3 2 2 2 7" xfId="53929" xr:uid="{BA541F78-2E44-45C8-9368-C793BCC2B331}"/>
    <cellStyle name="Migliaia 5 3 2 2 2 8" xfId="17683" xr:uid="{C1717170-6254-4953-84AB-EB554EC5AE81}"/>
    <cellStyle name="Migliaia 5 3 2 2 2 9" xfId="12063" xr:uid="{9F840DBA-42ED-48FF-954A-4AA683588B6F}"/>
    <cellStyle name="Migliaia 5 3 2 2 3" xfId="6720" xr:uid="{D644B5D6-12A5-499A-96C0-9609CECB7DFE}"/>
    <cellStyle name="Migliaia 5 3 2 2 3 2" xfId="11573" xr:uid="{28E90548-33FA-438F-A92D-16AFB3002093}"/>
    <cellStyle name="Migliaia 5 3 2 2 4" xfId="3814" xr:uid="{8674B428-DF2D-4E98-AB27-52A9F087ED95}"/>
    <cellStyle name="Migliaia 5 3 2 2 4 2" xfId="21589" xr:uid="{5B9C5761-F184-441C-825D-0675D0508D03}"/>
    <cellStyle name="Migliaia 5 3 2 2 4 3" xfId="37279" xr:uid="{FBB8C965-F23B-4315-958A-F7B68F79E837}"/>
    <cellStyle name="Migliaia 5 3 2 2 4 4" xfId="50604" xr:uid="{5EAE280C-E575-4A0F-A365-A0B34C4EE200}"/>
    <cellStyle name="Migliaia 5 3 2 2 4 5" xfId="53620" xr:uid="{A96247EB-6E5D-4BAF-B492-452DC341C3F1}"/>
    <cellStyle name="Migliaia 5 3 2 2 4 6" xfId="10954" xr:uid="{E22E41D2-C224-4066-AC34-772BCC2D0466}"/>
    <cellStyle name="Migliaia 5 3 2 2 5" xfId="20839" xr:uid="{E5FD0E3C-1FF9-4239-9CE2-647ED13A1AF9}"/>
    <cellStyle name="Migliaia 5 3 2 2 6" xfId="25228" xr:uid="{26CA53EC-FEFF-4B41-84D8-73AB0F682556}"/>
    <cellStyle name="Migliaia 5 3 2 2 7" xfId="8747" xr:uid="{766F9CD5-43B0-4839-90D8-4C246AF2259E}"/>
    <cellStyle name="Migliaia 5 3 2 3" xfId="5539" xr:uid="{E405FDFE-4BAD-4A22-B470-6A60EB205CA7}"/>
    <cellStyle name="Migliaia 5 3 2 3 2" xfId="11659" xr:uid="{C20B43D3-036E-42B2-830E-FA3C2217D35B}"/>
    <cellStyle name="Migliaia 5 3 2 3 2 2" xfId="39976" xr:uid="{A0A54590-D91A-4DE2-94C6-B493AA598CCC}"/>
    <cellStyle name="Migliaia 5 3 2 3 2 3" xfId="45278" xr:uid="{0BD3DF8D-CAC2-4046-8DE8-40F3EC113234}"/>
    <cellStyle name="Migliaia 5 3 2 3 2 4" xfId="34379" xr:uid="{D5074D0A-0D18-4DAD-9C78-CB1729D7C3EB}"/>
    <cellStyle name="Migliaia 5 3 2 3 3" xfId="12064" xr:uid="{E901DB05-7518-4930-8431-A946706F5C21}"/>
    <cellStyle name="Migliaia 5 3 2 3 4" xfId="20840" xr:uid="{236AEC3A-7ED0-4D0D-8BEF-AF9267FFE10F}"/>
    <cellStyle name="Migliaia 5 3 2 3 4 2" xfId="42627" xr:uid="{E4C6EC45-EA71-46A4-98BE-3E172E4B8CC2}"/>
    <cellStyle name="Migliaia 5 3 2 3 5" xfId="16703" xr:uid="{40B81D6E-F0C3-42F7-8BF5-6BDFDF3BC084}"/>
    <cellStyle name="Migliaia 5 3 2 3 6" xfId="8001" xr:uid="{E3DFFBE5-3996-46DD-8804-196A31FCA031}"/>
    <cellStyle name="Migliaia 5 3 2 4" xfId="6719" xr:uid="{6F839173-E108-484A-B421-E1833EBC154B}"/>
    <cellStyle name="Migliaia 5 3 2 4 2" xfId="18101" xr:uid="{6BB4160A-2259-4C5B-8D7F-41D9C7C8F302}"/>
    <cellStyle name="Migliaia 5 3 2 4 2 2" xfId="39977" xr:uid="{D35ABC43-D0C6-4AAF-9EF3-4CFA7B949B48}"/>
    <cellStyle name="Migliaia 5 3 2 4 2 3" xfId="45279" xr:uid="{BEE65CB1-61F6-4AE3-B84A-C2D2EB97103A}"/>
    <cellStyle name="Migliaia 5 3 2 4 3" xfId="37348" xr:uid="{5D1F0EA9-F26D-4F74-A58A-971DB4156890}"/>
    <cellStyle name="Migliaia 5 3 2 4 4" xfId="42628" xr:uid="{B3733FE5-9A9E-4873-9D0E-AB74C109672B}"/>
    <cellStyle name="Migliaia 5 3 2 4 5" xfId="17224" xr:uid="{B74EE711-0C86-4C13-8F9C-DD8AB7DA52CB}"/>
    <cellStyle name="Migliaia 5 3 2 4 6" xfId="11412" xr:uid="{76893237-5221-4CB1-97E5-A4A86EFEBB02}"/>
    <cellStyle name="Migliaia 5 3 2 5" xfId="3813" xr:uid="{FC0D35F5-FB78-4338-8C42-628CF3F20AB3}"/>
    <cellStyle name="Migliaia 5 3 2 5 2" xfId="34380" xr:uid="{645C5C25-0028-4FFE-948F-AF1254B1CC21}"/>
    <cellStyle name="Migliaia 5 3 2 5 2 2" xfId="39978" xr:uid="{4E1E3595-1F58-4998-8880-A1B39165050F}"/>
    <cellStyle name="Migliaia 5 3 2 5 2 3" xfId="45280" xr:uid="{A6C0AFD2-8FB8-4F96-BFFA-6A8EB8D0829B}"/>
    <cellStyle name="Migliaia 5 3 2 5 3" xfId="37349" xr:uid="{AA6B67EC-541D-41E7-AA27-C13995633ADD}"/>
    <cellStyle name="Migliaia 5 3 2 5 4" xfId="42629" xr:uid="{915A7D28-62ED-476C-A593-6C0A02F88E6D}"/>
    <cellStyle name="Migliaia 5 3 2 5 5" xfId="17294" xr:uid="{E266EEFA-9868-4C0C-AFC4-4736E58AD185}"/>
    <cellStyle name="Migliaia 5 3 2 6" xfId="20838" xr:uid="{4E612781-3151-4351-BD73-A119A77E79EA}"/>
    <cellStyle name="Migliaia 5 3 2 6 2" xfId="34381" xr:uid="{E6848BC5-3BB7-4356-A126-A793F03732E5}"/>
    <cellStyle name="Migliaia 5 3 2 6 2 2" xfId="39979" xr:uid="{EEFCF862-732E-4AD7-984E-44BEA92B2C50}"/>
    <cellStyle name="Migliaia 5 3 2 6 2 3" xfId="45281" xr:uid="{2C1725EB-B282-4947-A5E3-4C483E86FF7C}"/>
    <cellStyle name="Migliaia 5 3 2 6 3" xfId="37350" xr:uid="{A729CC55-41F2-4E22-B131-7E8343237E99}"/>
    <cellStyle name="Migliaia 5 3 2 6 4" xfId="42630" xr:uid="{829A85CC-1364-4B8A-9047-AEE11F52310D}"/>
    <cellStyle name="Migliaia 5 3 2 6 5" xfId="25229" xr:uid="{2A4A2867-C3F4-4465-8DD3-B60157A4325E}"/>
    <cellStyle name="Migliaia 5 3 2 7" xfId="25227" xr:uid="{F2005047-4DC0-45F8-9C65-EDEA5564D07C}"/>
    <cellStyle name="Migliaia 5 3 2 8" xfId="7557" xr:uid="{A970B618-52DF-4ABD-9D7B-9713D51323B1}"/>
    <cellStyle name="Migliaia 5 3 3" xfId="3815" xr:uid="{A9FDEA38-5F1E-48CB-8E30-67560893E707}"/>
    <cellStyle name="Migliaia 5 3 3 10" xfId="7556" xr:uid="{35C9B468-E6ED-4F34-B129-8A5A97BC0160}"/>
    <cellStyle name="Migliaia 5 3 3 2" xfId="5541" xr:uid="{8F0CE5DE-B6FF-4335-B0B8-66728B524739}"/>
    <cellStyle name="Migliaia 5 3 3 2 2" xfId="9970" xr:uid="{C763AF1A-3A99-4FA5-A700-0133BCE4FAEB}"/>
    <cellStyle name="Migliaia 5 3 3 2 2 2" xfId="39981" xr:uid="{10337CE8-63D4-4ACD-A9D3-5D8F62CC6D63}"/>
    <cellStyle name="Migliaia 5 3 3 2 2 3" xfId="45283" xr:uid="{DBF6AA5D-7054-4452-BC7D-9C1A52D4B485}"/>
    <cellStyle name="Migliaia 5 3 3 2 3" xfId="18250" xr:uid="{6011E2BB-6E28-4680-B133-DD378131F11E}"/>
    <cellStyle name="Migliaia 5 3 3 2 4" xfId="20842" xr:uid="{8EDE2DEA-F092-4D85-B7D2-3C7B9604E9DE}"/>
    <cellStyle name="Migliaia 5 3 3 2 4 2" xfId="42632" xr:uid="{1698D657-F994-4912-A637-BF604150CEFD}"/>
    <cellStyle name="Migliaia 5 3 3 2 5" xfId="16705" xr:uid="{35866AF7-686A-4E4A-AE6A-EC3594D15259}"/>
    <cellStyle name="Migliaia 5 3 3 2 6" xfId="8746" xr:uid="{A042BA7A-D873-4BEF-A336-A675E4391ABA}"/>
    <cellStyle name="Migliaia 5 3 3 3" xfId="6721" xr:uid="{6A95519A-173B-4A08-8225-AE2E136C0D06}"/>
    <cellStyle name="Migliaia 5 3 3 3 2" xfId="34383" xr:uid="{380A34E1-AD02-4248-B7C2-25B7A5275075}"/>
    <cellStyle name="Migliaia 5 3 3 3 2 2" xfId="39982" xr:uid="{1B899A12-5921-4B6E-AD72-BB337C779620}"/>
    <cellStyle name="Migliaia 5 3 3 3 2 3" xfId="45284" xr:uid="{A0079ADC-38A1-430C-BE57-4D838F5A1DE6}"/>
    <cellStyle name="Migliaia 5 3 3 3 3" xfId="37352" xr:uid="{1202E9F8-FFF8-40C4-97A3-AA5D490FC548}"/>
    <cellStyle name="Migliaia 5 3 3 3 4" xfId="42633" xr:uid="{40924B42-B8CF-424E-A4F5-6FC00ECD7C7E}"/>
    <cellStyle name="Migliaia 5 3 3 3 5" xfId="9733" xr:uid="{0055499E-7635-4A68-9EDB-7A5CC8880053}"/>
    <cellStyle name="Migliaia 5 3 3 4" xfId="20841" xr:uid="{E15FD984-2884-460A-8E1A-8C50909E3EAE}"/>
    <cellStyle name="Migliaia 5 3 3 4 2" xfId="34384" xr:uid="{DCA0A4B7-4BFB-41EC-B904-0931825EE319}"/>
    <cellStyle name="Migliaia 5 3 3 4 2 2" xfId="39983" xr:uid="{9DC7C347-13E8-407E-B3FD-6AC07C01B6D9}"/>
    <cellStyle name="Migliaia 5 3 3 4 2 3" xfId="45285" xr:uid="{7C5A9593-F8B2-450A-AE7B-81858C9005CB}"/>
    <cellStyle name="Migliaia 5 3 3 4 3" xfId="37353" xr:uid="{68F84BA1-C9A5-40C6-AE99-9049969C418C}"/>
    <cellStyle name="Migliaia 5 3 3 4 4" xfId="42634" xr:uid="{FE4C4054-E7F7-4466-97D4-127AAF2918F1}"/>
    <cellStyle name="Migliaia 5 3 3 4 5" xfId="25230" xr:uid="{11F0C8EE-A2B4-4503-86D1-EA4B865727C4}"/>
    <cellStyle name="Migliaia 5 3 3 5" xfId="25231" xr:uid="{2EF01E62-51D5-4D37-B529-D2CE3C05A540}"/>
    <cellStyle name="Migliaia 5 3 3 5 2" xfId="34385" xr:uid="{AD17F659-88AF-4807-95AF-7AF7D35230FA}"/>
    <cellStyle name="Migliaia 5 3 3 5 2 2" xfId="39984" xr:uid="{5DD769AD-1AF2-4815-9506-D501FC53DD35}"/>
    <cellStyle name="Migliaia 5 3 3 5 2 3" xfId="45286" xr:uid="{FF83A8A9-47AA-480B-961F-C3E119F77A18}"/>
    <cellStyle name="Migliaia 5 3 3 5 3" xfId="37354" xr:uid="{7C4B29C4-9B0A-4D19-808D-FA4BBB684ED6}"/>
    <cellStyle name="Migliaia 5 3 3 5 4" xfId="42635" xr:uid="{2B751C55-B07C-40AB-9182-06B0ECFE9EF4}"/>
    <cellStyle name="Migliaia 5 3 3 6" xfId="34382" xr:uid="{B968364D-572F-4A6A-9D88-984B1B9B53A9}"/>
    <cellStyle name="Migliaia 5 3 3 6 2" xfId="39980" xr:uid="{E8D453A7-57F6-4889-8B24-08EF77F36F37}"/>
    <cellStyle name="Migliaia 5 3 3 6 3" xfId="45282" xr:uid="{F6197027-5316-42C6-9122-FDFE410A5E10}"/>
    <cellStyle name="Migliaia 5 3 3 7" xfId="37351" xr:uid="{64833410-4957-476E-936E-E529AE8FD3DC}"/>
    <cellStyle name="Migliaia 5 3 3 8" xfId="42631" xr:uid="{801D8C58-F537-47D1-80C0-80029A85EBCB}"/>
    <cellStyle name="Migliaia 5 3 3 9" xfId="16704" xr:uid="{E3DE884D-AFA9-4DF3-9CF8-A60572FD1AEC}"/>
    <cellStyle name="Migliaia 5 3 4" xfId="3816" xr:uid="{93244E45-3500-4C7A-A1AA-A88B4B364CBB}"/>
    <cellStyle name="Migliaia 5 3 4 2" xfId="5542" xr:uid="{4554231B-24DA-42FA-9CE7-0BA3CE539CD8}"/>
    <cellStyle name="Migliaia 5 3 4 2 2" xfId="14467" xr:uid="{D3FB3AD3-7AC0-424A-9286-1FF360A6E695}"/>
    <cellStyle name="Migliaia 5 3 4 2 3" xfId="18578" xr:uid="{E912D3BB-54C5-4E31-B76F-FEC44E9E333B}"/>
    <cellStyle name="Migliaia 5 3 4 2 4" xfId="20844" xr:uid="{043DA093-2D35-42E7-BD82-CADEDDF6CF5E}"/>
    <cellStyle name="Migliaia 5 3 4 2 5" xfId="32453" xr:uid="{9EEED1F4-3105-4F34-8780-19AF91ADECD2}"/>
    <cellStyle name="Migliaia 5 3 4 2 6" xfId="16707" xr:uid="{83D21728-0AC6-4AF9-88E6-3A1853E4600B}"/>
    <cellStyle name="Migliaia 5 3 4 2 7" xfId="8890" xr:uid="{A8DBF91B-FFC0-478D-ABDF-E90AC23A4540}"/>
    <cellStyle name="Migliaia 5 3 4 3" xfId="6722" xr:uid="{A909F13F-5F56-46DF-9EE4-58FC9D6497AF}"/>
    <cellStyle name="Migliaia 5 3 4 3 2" xfId="35433" xr:uid="{D2002148-F157-4A03-8269-9816E64B4478}"/>
    <cellStyle name="Migliaia 5 3 4 3 2 2" xfId="40593" xr:uid="{32A8A377-2294-4E42-930F-407AFC842B85}"/>
    <cellStyle name="Migliaia 5 3 4 3 2 3" xfId="45895" xr:uid="{C7F60DC3-1C49-402B-B93B-CDE7E56F8278}"/>
    <cellStyle name="Migliaia 5 3 4 3 3" xfId="37942" xr:uid="{B3725BA8-682B-4B56-AA52-354A03B910C0}"/>
    <cellStyle name="Migliaia 5 3 4 3 4" xfId="43244" xr:uid="{D317B7F6-3ECD-482C-B024-86CEA1912DB7}"/>
    <cellStyle name="Migliaia 5 3 4 3 5" xfId="13715" xr:uid="{437C1773-3BC7-4BF0-ADA4-AB27BB9641ED}"/>
    <cellStyle name="Migliaia 5 3 4 4" xfId="20843" xr:uid="{AA9EDCB8-C0B7-46FD-8B30-D919B4F33EF0}"/>
    <cellStyle name="Migliaia 5 3 4 4 2" xfId="39985" xr:uid="{ED6BADD6-A72C-47B5-ABB6-7F52EF44D147}"/>
    <cellStyle name="Migliaia 5 3 4 4 3" xfId="45287" xr:uid="{D7DC664E-4D4D-4C53-BE78-D2E2058F0BC5}"/>
    <cellStyle name="Migliaia 5 3 4 4 4" xfId="34386" xr:uid="{D8C328CD-3143-46AE-8623-C9A559CC95A0}"/>
    <cellStyle name="Migliaia 5 3 4 5" xfId="37355" xr:uid="{C4A04745-8DFA-4BC2-837E-6DCCBFB227D8}"/>
    <cellStyle name="Migliaia 5 3 4 6" xfId="42636" xr:uid="{414455FC-3236-4795-84F0-05AE75B7F3E0}"/>
    <cellStyle name="Migliaia 5 3 4 7" xfId="16706" xr:uid="{F45A944F-1D3D-4F9B-BA06-71BD3AC753DD}"/>
    <cellStyle name="Migliaia 5 3 4 8" xfId="7700" xr:uid="{2A60E96F-82E5-4D4D-9CB3-E8EE7B3D91C1}"/>
    <cellStyle name="Migliaia 5 3 5" xfId="3817" xr:uid="{E1B9C5C9-706F-4AB4-93DD-6EBF8D7F9DBF}"/>
    <cellStyle name="Migliaia 5 3 5 2" xfId="5543" xr:uid="{8781A64A-5D57-48B3-8371-3A6873440D32}"/>
    <cellStyle name="Migliaia 5 3 5 2 2" xfId="35434" xr:uid="{9A0B664D-6AB2-415E-8D31-E01B223B9CD8}"/>
    <cellStyle name="Migliaia 5 3 5 2 2 2" xfId="40594" xr:uid="{867563CE-D6A1-40D7-ACE0-ABCEEBBC420E}"/>
    <cellStyle name="Migliaia 5 3 5 2 2 3" xfId="45896" xr:uid="{968B0DD7-F93D-4EAE-AE9F-ADB7FBC9B99B}"/>
    <cellStyle name="Migliaia 5 3 5 2 3" xfId="37943" xr:uid="{7B34CAF9-6792-44CE-BE5B-0F4334A16B85}"/>
    <cellStyle name="Migliaia 5 3 5 2 4" xfId="43245" xr:uid="{DF45E102-1577-420A-AA63-1572CEF2C929}"/>
    <cellStyle name="Migliaia 5 3 5 2 5" xfId="14313" xr:uid="{01219714-8FD0-4A7E-BFF8-8EA09E01EC0D}"/>
    <cellStyle name="Migliaia 5 3 5 3" xfId="6723" xr:uid="{C78D0715-5A68-4C8E-98F0-10A95C27698E}"/>
    <cellStyle name="Migliaia 5 3 5 3 2" xfId="39986" xr:uid="{85721612-344E-4741-9842-6C486268AB25}"/>
    <cellStyle name="Migliaia 5 3 5 3 3" xfId="45288" xr:uid="{4743FB08-313F-4BB2-91DC-7EF295812E98}"/>
    <cellStyle name="Migliaia 5 3 5 3 4" xfId="34387" xr:uid="{1379D653-B1B3-4ACF-9F5D-FF8AC9253026}"/>
    <cellStyle name="Migliaia 5 3 5 3 5" xfId="20845" xr:uid="{BD537CF5-5D9D-4D22-BA27-C4CCCAFA8ACE}"/>
    <cellStyle name="Migliaia 5 3 5 4" xfId="37356" xr:uid="{86C36E48-33D1-4533-BAF4-CCA0F33BFF9B}"/>
    <cellStyle name="Migliaia 5 3 5 5" xfId="42637" xr:uid="{D51A9E7C-EFCD-4DEA-AE3D-9BB44BC4F626}"/>
    <cellStyle name="Migliaia 5 3 5 6" xfId="16708" xr:uid="{BE2F908F-10F1-458F-A4CE-9EEFA0C79316}"/>
    <cellStyle name="Migliaia 5 3 5 7" xfId="8375" xr:uid="{899F3870-9944-4651-8312-B3806558CFB1}"/>
    <cellStyle name="Migliaia 5 3 6" xfId="5538" xr:uid="{702EAA1D-238A-4614-8CDF-00AFA46C4C2E}"/>
    <cellStyle name="Migliaia 5 3 6 2" xfId="14018" xr:uid="{3FBD0180-4633-488D-8896-2919E82DA646}"/>
    <cellStyle name="Migliaia 5 3 6 2 2" xfId="39987" xr:uid="{34E649B3-80EF-4DB1-9571-184C91E75F85}"/>
    <cellStyle name="Migliaia 5 3 6 2 3" xfId="45289" xr:uid="{EEFD76F9-E741-4925-AD03-5CFCD2349D79}"/>
    <cellStyle name="Migliaia 5 3 6 3" xfId="18693" xr:uid="{09E92D59-17CC-437C-A0D9-C13DD4006C5E}"/>
    <cellStyle name="Migliaia 5 3 6 4" xfId="20846" xr:uid="{121EDB3E-F92B-4A4F-82BC-FDCBCD9DC946}"/>
    <cellStyle name="Migliaia 5 3 6 4 2" xfId="42638" xr:uid="{A3DE28F3-D213-47A6-B2A8-8308427B88BA}"/>
    <cellStyle name="Migliaia 5 3 6 5" xfId="16709" xr:uid="{54B94E31-6852-4F68-9134-721B941464E3}"/>
    <cellStyle name="Migliaia 5 3 6 6" xfId="8000" xr:uid="{47BC419A-391F-417E-AC51-CBAB1232C07D}"/>
    <cellStyle name="Migliaia 5 3 7" xfId="6718" xr:uid="{7504247B-5B92-4CCB-AE5E-075C4006CEDE}"/>
    <cellStyle name="Migliaia 5 3 7 2" xfId="34388" xr:uid="{11E470B6-87AD-42D8-A3FE-03BC5E65F590}"/>
    <cellStyle name="Migliaia 5 3 7 2 2" xfId="39988" xr:uid="{4695E8D0-76A3-4FD7-970F-F088FAD80CFF}"/>
    <cellStyle name="Migliaia 5 3 7 2 3" xfId="45290" xr:uid="{D082A99D-C64D-4080-BA5D-B55470BCF423}"/>
    <cellStyle name="Migliaia 5 3 7 3" xfId="37357" xr:uid="{1DD1373E-2C0C-47E7-BB56-795A91FB2CE8}"/>
    <cellStyle name="Migliaia 5 3 7 4" xfId="42639" xr:uid="{11C4A42D-83AD-4C15-9B45-4185FA3568D9}"/>
    <cellStyle name="Migliaia 5 3 7 5" xfId="12249" xr:uid="{A8EDA127-8CA2-434D-9087-BFF7AF8F9353}"/>
    <cellStyle name="Migliaia 5 3 8" xfId="3812" xr:uid="{023F59AE-9885-4B4C-9EFD-1579A61659BF}"/>
    <cellStyle name="Migliaia 5 3 8 2" xfId="34389" xr:uid="{4AD50FE4-ED5A-46C3-B810-C9B3832ACBAB}"/>
    <cellStyle name="Migliaia 5 3 8 2 2" xfId="39989" xr:uid="{335B1855-99AF-40E1-A301-097ED62C104C}"/>
    <cellStyle name="Migliaia 5 3 8 2 3" xfId="45291" xr:uid="{E58316D1-D936-4B2F-92F8-C34D73A14B20}"/>
    <cellStyle name="Migliaia 5 3 8 3" xfId="37358" xr:uid="{CCF79119-3237-4F80-B480-D6C501C3C54A}"/>
    <cellStyle name="Migliaia 5 3 8 4" xfId="42640" xr:uid="{F890EA81-BD02-4126-8660-CCE493D89064}"/>
    <cellStyle name="Migliaia 5 3 8 5" xfId="25232" xr:uid="{E6902332-AC9E-4B7F-9809-CD3D32CC20DE}"/>
    <cellStyle name="Migliaia 5 3 8 6" xfId="17295" xr:uid="{7DD6E700-AA44-47B9-B625-D1A30133A946}"/>
    <cellStyle name="Migliaia 5 3 9" xfId="20837" xr:uid="{56651DDE-B982-42A0-B50C-888E8B4C99C0}"/>
    <cellStyle name="Migliaia 5 4" xfId="1878" xr:uid="{00000000-0005-0000-0000-000051040000}"/>
    <cellStyle name="Migliaia 5 4 2" xfId="1879" xr:uid="{00000000-0005-0000-0000-000052040000}"/>
    <cellStyle name="Migliaia 5 4 2 2" xfId="5545" xr:uid="{0167749C-44DC-4E9D-A530-BD9B865A70E1}"/>
    <cellStyle name="Migliaia 5 4 2 2 2" xfId="34390" xr:uid="{4D302760-FAFF-4975-A015-F8D4055AFAC8}"/>
    <cellStyle name="Migliaia 5 4 2 2 2 2" xfId="39990" xr:uid="{73ACB4F5-1D02-4714-B15C-76DDF157F83B}"/>
    <cellStyle name="Migliaia 5 4 2 2 2 3" xfId="45292" xr:uid="{A20D45B2-FFBE-449D-AEAC-635782A144D0}"/>
    <cellStyle name="Migliaia 5 4 2 2 3" xfId="37359" xr:uid="{98861604-BEB3-4FEA-80E1-9583264BA7D6}"/>
    <cellStyle name="Migliaia 5 4 2 2 4" xfId="42641" xr:uid="{6D5D52FA-2B06-4846-977D-7C8DC029A18C}"/>
    <cellStyle name="Migliaia 5 4 2 2 5" xfId="9196" xr:uid="{E03837E7-87C5-48D2-BC18-79174DE5280F}"/>
    <cellStyle name="Migliaia 5 4 2 3" xfId="3819" xr:uid="{2055642A-EE01-41F6-9ACF-9B57EA4C314C}"/>
    <cellStyle name="Migliaia 5 4 2 3 2" xfId="34391" xr:uid="{CB05F654-947C-4607-9412-B11B0E8B1AB2}"/>
    <cellStyle name="Migliaia 5 4 2 3 2 2" xfId="39991" xr:uid="{AED8BF23-23FC-4DCF-A813-BF632186213C}"/>
    <cellStyle name="Migliaia 5 4 2 3 2 3" xfId="45293" xr:uid="{66D2348D-42BC-436F-B4F5-4D7E22DC2FC4}"/>
    <cellStyle name="Migliaia 5 4 2 3 3" xfId="37360" xr:uid="{E853A31F-8D5A-4569-91A8-BF7481B59E60}"/>
    <cellStyle name="Migliaia 5 4 2 3 4" xfId="42642" xr:uid="{81CC9E79-B683-47F6-870F-DCB4B3E46CB8}"/>
    <cellStyle name="Migliaia 5 4 2 3 5" xfId="12065" xr:uid="{864F6DF3-D955-42E9-9850-B49DBAF53682}"/>
    <cellStyle name="Migliaia 5 4 2 4" xfId="11414" xr:uid="{97DA3E19-551F-4A1C-9171-203C1E0789DF}"/>
    <cellStyle name="Migliaia 5 4 2 5" xfId="10956" xr:uid="{CDDA48D2-6472-42F8-B096-3E8CBCC7875D}"/>
    <cellStyle name="Migliaia 5 4 2 5 2" xfId="21591" xr:uid="{101BA41A-6A52-48BE-A6BD-6CB3EA228F31}"/>
    <cellStyle name="Migliaia 5 4 2 5 3" xfId="46705" xr:uid="{B0F5DDD7-7C38-46A0-9A14-81DB0E3B865B}"/>
    <cellStyle name="Migliaia 5 4 2 5 4" xfId="50606" xr:uid="{259D383B-F8D2-477D-BCA3-27A51D360C40}"/>
    <cellStyle name="Migliaia 5 4 2 5 5" xfId="53622" xr:uid="{3B7A5051-1C5F-4277-A663-039CB56CBD42}"/>
    <cellStyle name="Migliaia 5 4 2 6" xfId="20848" xr:uid="{CB1749F2-EDAF-44D2-B005-00BEBF0E29E8}"/>
    <cellStyle name="Migliaia 5 4 2 7" xfId="25234" xr:uid="{192B4A80-B1D1-45B9-AF84-C6E3BF99B53C}"/>
    <cellStyle name="Migliaia 5 4 2 8" xfId="8748" xr:uid="{415E45E2-1779-48E5-A6AC-BCE1A9163AA0}"/>
    <cellStyle name="Migliaia 5 4 3" xfId="5544" xr:uid="{28873FEF-A138-476C-8494-7DB887C20B08}"/>
    <cellStyle name="Migliaia 5 4 3 2" xfId="18251" xr:uid="{040DFB7A-A652-4E5A-BAB1-881B48515041}"/>
    <cellStyle name="Migliaia 5 4 3 2 2" xfId="39992" xr:uid="{CBE34F32-3406-4D99-91B7-1A29C34ACFD4}"/>
    <cellStyle name="Migliaia 5 4 3 2 3" xfId="45294" xr:uid="{CFB8CD0B-2A26-48AB-8D1F-44BA13EFED68}"/>
    <cellStyle name="Migliaia 5 4 3 3" xfId="37361" xr:uid="{1EAD98AF-55A6-4189-BC34-5CC3819261C8}"/>
    <cellStyle name="Migliaia 5 4 3 4" xfId="42643" xr:uid="{84FAC2D1-08BD-4EF2-8954-B9DBECF15423}"/>
    <cellStyle name="Migliaia 5 4 3 5" xfId="17293" xr:uid="{7AF3824B-F760-4877-A00F-E0F91D91A531}"/>
    <cellStyle name="Migliaia 5 4 3 6" xfId="9197" xr:uid="{511EC98D-B990-48D2-938D-A5475237BEE7}"/>
    <cellStyle name="Migliaia 5 4 4" xfId="6724" xr:uid="{0530E6AF-86F4-4AB3-ADE1-8ABC895C8FE0}"/>
    <cellStyle name="Migliaia 5 4 4 2" xfId="34392" xr:uid="{B8B70A72-E42D-4D46-B47D-AE8BA0FF2CA8}"/>
    <cellStyle name="Migliaia 5 4 4 2 2" xfId="39993" xr:uid="{3CCF1475-8427-4D6F-A658-01A14B385CB5}"/>
    <cellStyle name="Migliaia 5 4 4 2 3" xfId="45295" xr:uid="{479E1E45-DBC3-423A-8461-B7FE84EC3DBE}"/>
    <cellStyle name="Migliaia 5 4 4 3" xfId="37362" xr:uid="{516F19B9-AF0C-4C02-B423-E1C11BCF3FAE}"/>
    <cellStyle name="Migliaia 5 4 4 4" xfId="42644" xr:uid="{B6B88C94-508B-4F55-8E0D-6C5E02484426}"/>
    <cellStyle name="Migliaia 5 4 4 5" xfId="12066" xr:uid="{C9C389FE-AB70-4624-9947-98159CFE757C}"/>
    <cellStyle name="Migliaia 5 4 5" xfId="3818" xr:uid="{DE259583-13F6-4785-B48D-3749074649A2}"/>
    <cellStyle name="Migliaia 5 4 5 2" xfId="34393" xr:uid="{B37F7491-3643-4B88-B4EA-DDE6880545A1}"/>
    <cellStyle name="Migliaia 5 4 5 2 2" xfId="39994" xr:uid="{69B88B55-D856-42DB-979A-BE382312031F}"/>
    <cellStyle name="Migliaia 5 4 5 2 3" xfId="45296" xr:uid="{C9D7E25B-2E3E-44D2-8F9A-1356C7F6AAC2}"/>
    <cellStyle name="Migliaia 5 4 5 3" xfId="37363" xr:uid="{C6E72AB7-3AD6-42B9-82BF-CB2634F7D8A7}"/>
    <cellStyle name="Migliaia 5 4 5 4" xfId="42645" xr:uid="{59492B96-DBAA-4776-A429-2D07D4160274}"/>
    <cellStyle name="Migliaia 5 4 5 5" xfId="11413" xr:uid="{D98686CD-B6B3-4F07-92D1-E57798FEF481}"/>
    <cellStyle name="Migliaia 5 4 6" xfId="10955" xr:uid="{5CEC437A-4D0E-4CC2-BAAE-A17F4B37CE77}"/>
    <cellStyle name="Migliaia 5 4 6 2" xfId="21590" xr:uid="{9FB3D63B-626E-487C-B309-EDA766E52E97}"/>
    <cellStyle name="Migliaia 5 4 6 2 2" xfId="39995" xr:uid="{45DE9CD7-26E3-49B9-B6F6-5CC430D7DB8A}"/>
    <cellStyle name="Migliaia 5 4 6 2 3" xfId="45297" xr:uid="{3DCABF03-E813-4461-983E-7CAB4203B59D}"/>
    <cellStyle name="Migliaia 5 4 6 2 4" xfId="34394" xr:uid="{3ED083B2-B7F0-45C3-9523-26D9FF818969}"/>
    <cellStyle name="Migliaia 5 4 6 3" xfId="37364" xr:uid="{5DDD3DA0-0F8D-43AC-A633-7E55D1036086}"/>
    <cellStyle name="Migliaia 5 4 6 4" xfId="42646" xr:uid="{E60B1573-BA96-429D-BDEC-F2B24EC012FB}"/>
    <cellStyle name="Migliaia 5 4 6 5" xfId="25235" xr:uid="{FB428DBF-AF6B-4170-AA24-AD88BF27E55B}"/>
    <cellStyle name="Migliaia 5 4 6 6" xfId="32341" xr:uid="{2D7A637A-5137-48AA-8F76-76546A14EC87}"/>
    <cellStyle name="Migliaia 5 4 6 7" xfId="50605" xr:uid="{2331F716-C5FE-4B94-A7B9-BB7624BD7385}"/>
    <cellStyle name="Migliaia 5 4 6 8" xfId="53621" xr:uid="{F9186532-A44D-4461-B71A-E5D9F6C07FCA}"/>
    <cellStyle name="Migliaia 5 4 7" xfId="20847" xr:uid="{C90433A2-AD75-43C1-9DFC-6DE0280CC508}"/>
    <cellStyle name="Migliaia 5 4 7 2" xfId="34395" xr:uid="{399B778F-673A-4A62-BAB9-6A1DA02F3EC7}"/>
    <cellStyle name="Migliaia 5 4 7 2 2" xfId="39996" xr:uid="{6F823FB7-9BFF-45C7-B99B-CFF611AC5C7A}"/>
    <cellStyle name="Migliaia 5 4 7 2 3" xfId="45298" xr:uid="{438486FA-B574-43AA-9165-C9E79CAE8A37}"/>
    <cellStyle name="Migliaia 5 4 7 3" xfId="37365" xr:uid="{3A2A5118-D885-4AD0-B542-E49FB7EE2C3C}"/>
    <cellStyle name="Migliaia 5 4 7 4" xfId="42647" xr:uid="{E2064950-280A-43D3-899A-CD1A1DCACA0B}"/>
    <cellStyle name="Migliaia 5 4 7 5" xfId="25236" xr:uid="{34B8FEB9-71C7-4697-AB8D-3AFFBC02AA04}"/>
    <cellStyle name="Migliaia 5 4 8" xfId="25233" xr:uid="{D140ED66-ED85-4FA9-B3B8-2C505A38B038}"/>
    <cellStyle name="Migliaia 5 4 9" xfId="7558" xr:uid="{02627831-237D-4427-B0E9-353A77BFE80C}"/>
    <cellStyle name="Migliaia 5 5" xfId="1880" xr:uid="{00000000-0005-0000-0000-000053040000}"/>
    <cellStyle name="Migliaia 5 5 2" xfId="5546" xr:uid="{A3C92435-0753-4229-86D3-D003802E8B94}"/>
    <cellStyle name="Migliaia 5 5 2 2" xfId="18496" xr:uid="{7DC56B8E-1375-4107-AB26-AA95686C4E9C}"/>
    <cellStyle name="Migliaia 5 5 2 2 2" xfId="39997" xr:uid="{40DB36E5-59CB-481C-80BC-29A34A8CDD79}"/>
    <cellStyle name="Migliaia 5 5 2 2 3" xfId="45299" xr:uid="{887290FC-D176-4475-8898-66D6CE70DD98}"/>
    <cellStyle name="Migliaia 5 5 2 3" xfId="20850" xr:uid="{C7BE6731-3A2E-48A0-A2CE-715DFF59FB54}"/>
    <cellStyle name="Migliaia 5 5 2 3 2" xfId="37366" xr:uid="{58C49BFB-1916-427C-B1D2-8B74C54881A6}"/>
    <cellStyle name="Migliaia 5 5 2 4" xfId="42648" xr:uid="{2CEEC880-595A-446B-AE64-003FDF103D0F}"/>
    <cellStyle name="Migliaia 5 5 2 5" xfId="16710" xr:uid="{3F2F71AF-D59C-4264-BE8E-0A1429AF50B7}"/>
    <cellStyle name="Migliaia 5 5 2 6" xfId="8749" xr:uid="{21E394A2-28B8-4537-BB17-D35CFDCA8030}"/>
    <cellStyle name="Migliaia 5 5 3" xfId="6725" xr:uid="{73ED6986-017D-4A07-9812-B2DBF10FE10F}"/>
    <cellStyle name="Migliaia 5 5 3 2" xfId="34396" xr:uid="{D9D9C407-7291-4655-ABE1-FC2D2AC3A6C0}"/>
    <cellStyle name="Migliaia 5 5 3 2 2" xfId="39998" xr:uid="{625358CA-DCA0-4A25-8548-ACE6C4D6DF34}"/>
    <cellStyle name="Migliaia 5 5 3 2 3" xfId="45300" xr:uid="{2A888EFC-7A14-4555-BAF0-222CC6C89F2B}"/>
    <cellStyle name="Migliaia 5 5 3 3" xfId="37367" xr:uid="{16370075-90DB-4DE7-BA5D-3DEEDDF04984}"/>
    <cellStyle name="Migliaia 5 5 3 4" xfId="42649" xr:uid="{DC06D464-1485-45EA-B5BC-ABAE3784D97E}"/>
    <cellStyle name="Migliaia 5 5 3 5" xfId="11415" xr:uid="{84CF682F-5905-4C00-97E1-D29E04278DE8}"/>
    <cellStyle name="Migliaia 5 5 4" xfId="3820" xr:uid="{AD3C3143-4292-4071-8393-832E4CA01768}"/>
    <cellStyle name="Migliaia 5 5 4 2" xfId="21592" xr:uid="{80F2279E-38AC-47B5-B930-7780C3749E73}"/>
    <cellStyle name="Migliaia 5 5 4 2 2" xfId="39999" xr:uid="{DFEFE25E-FEF3-4159-8744-E60C5545B472}"/>
    <cellStyle name="Migliaia 5 5 4 2 3" xfId="45301" xr:uid="{6D66741F-4578-4E6C-B321-94D5B55F2D86}"/>
    <cellStyle name="Migliaia 5 5 4 2 4" xfId="34397" xr:uid="{8084E36D-EF1C-461E-8A78-2700AED9B154}"/>
    <cellStyle name="Migliaia 5 5 4 3" xfId="37368" xr:uid="{6F6F64D1-7F27-44E8-9E7C-7253FF5130D7}"/>
    <cellStyle name="Migliaia 5 5 4 4" xfId="42650" xr:uid="{17A66FB8-588B-4EA2-B87F-5E2910787F84}"/>
    <cellStyle name="Migliaia 5 5 4 5" xfId="25238" xr:uid="{12FB3F15-9601-4A27-BCFE-08B70BDFB7BE}"/>
    <cellStyle name="Migliaia 5 5 4 6" xfId="24720" xr:uid="{C6E927F1-55B6-44AA-944A-0D2FD49EEEE7}"/>
    <cellStyle name="Migliaia 5 5 4 7" xfId="50607" xr:uid="{16803708-6338-4CB0-B287-26DC05916DA2}"/>
    <cellStyle name="Migliaia 5 5 4 8" xfId="53623" xr:uid="{104EEF92-DEE2-4293-8152-3DD2399DD20B}"/>
    <cellStyle name="Migliaia 5 5 4 9" xfId="10957" xr:uid="{9723EBAD-DF7F-490E-937D-72FB026EEDE0}"/>
    <cellStyle name="Migliaia 5 5 5" xfId="20849" xr:uid="{F4DD48A7-8F75-4FE5-962E-60B49FB44C4C}"/>
    <cellStyle name="Migliaia 5 5 5 2" xfId="34398" xr:uid="{0824283E-8527-4431-8754-BB56D5A41B78}"/>
    <cellStyle name="Migliaia 5 5 5 2 2" xfId="40000" xr:uid="{9866A127-D811-4A52-B783-1F679667820F}"/>
    <cellStyle name="Migliaia 5 5 5 2 3" xfId="45302" xr:uid="{E9CB339F-0D5C-44F6-BBC0-9378CF097445}"/>
    <cellStyle name="Migliaia 5 5 5 3" xfId="37369" xr:uid="{D24E9E4C-2103-4148-9D51-656D6263F0BF}"/>
    <cellStyle name="Migliaia 5 5 5 4" xfId="42651" xr:uid="{5E3E9EDD-2A24-403F-8495-6FC693DFC137}"/>
    <cellStyle name="Migliaia 5 5 5 5" xfId="25239" xr:uid="{C9505F00-100E-42E0-BB8C-F985FC23DCEB}"/>
    <cellStyle name="Migliaia 5 5 6" xfId="25240" xr:uid="{0B608196-142E-4F4C-90CB-6CB25B083754}"/>
    <cellStyle name="Migliaia 5 5 6 2" xfId="34399" xr:uid="{EC29A917-7A5F-4DF2-A5D3-DD2CC8AF3085}"/>
    <cellStyle name="Migliaia 5 5 6 2 2" xfId="40001" xr:uid="{0AADB28E-9A13-40D6-B970-3C36C74DABE0}"/>
    <cellStyle name="Migliaia 5 5 6 2 3" xfId="45303" xr:uid="{59F74441-DBDF-4860-B35E-6F189E57704E}"/>
    <cellStyle name="Migliaia 5 5 6 3" xfId="37370" xr:uid="{AACED6E4-F6DA-45B7-B4C7-77FB6E7800EC}"/>
    <cellStyle name="Migliaia 5 5 6 4" xfId="42652" xr:uid="{94BD8A15-0EAA-4907-9712-C6A5B3B2649D}"/>
    <cellStyle name="Migliaia 5 5 7" xfId="25237" xr:uid="{8F3470F1-020A-47B6-8CA4-619BF1B6565F}"/>
    <cellStyle name="Migliaia 5 5 8" xfId="7559" xr:uid="{3A1BFA5F-F976-46BD-943B-CC3C7BAAB7B7}"/>
    <cellStyle name="Migliaia 5 6" xfId="3821" xr:uid="{CE1128FF-0D85-442E-9973-298B89165B4A}"/>
    <cellStyle name="Migliaia 5 6 2" xfId="5547" xr:uid="{81AC2B4E-3750-4111-B38B-86D77C12DFB3}"/>
    <cellStyle name="Migliaia 5 6 2 2" xfId="9969" xr:uid="{5AA4D4C8-8C6A-4E05-B243-BA7A6546B66B}"/>
    <cellStyle name="Migliaia 5 6 2 3" xfId="18636" xr:uid="{259D02E7-4BAA-42EF-A7D5-1E2D1D952133}"/>
    <cellStyle name="Migliaia 5 6 2 4" xfId="20852" xr:uid="{B04FBF2D-F2B0-48E8-AF95-52B24425EFC3}"/>
    <cellStyle name="Migliaia 5 6 2 5" xfId="32454" xr:uid="{A1B5C696-3AF5-4508-A11E-70F0313BA00A}"/>
    <cellStyle name="Migliaia 5 6 2 6" xfId="16712" xr:uid="{459166F9-E681-4F4C-9A08-9210031F53CB}"/>
    <cellStyle name="Migliaia 5 6 2 7" xfId="8744" xr:uid="{56F4F906-B522-459F-80B3-0CCA5D65F1DA}"/>
    <cellStyle name="Migliaia 5 6 3" xfId="6726" xr:uid="{99C53AF2-D058-4BA6-94FE-4145134FB039}"/>
    <cellStyle name="Migliaia 5 6 3 2" xfId="35435" xr:uid="{6E0EDDAA-3FEA-49F0-B448-6DA3DD9E645B}"/>
    <cellStyle name="Migliaia 5 6 3 2 2" xfId="40595" xr:uid="{3280987E-8AEF-4384-8A02-DC1A6E4D4B0E}"/>
    <cellStyle name="Migliaia 5 6 3 2 3" xfId="45897" xr:uid="{8A714A0F-D449-467D-8D99-EF5EA7D633AF}"/>
    <cellStyle name="Migliaia 5 6 3 3" xfId="37944" xr:uid="{A3619829-F755-43B8-B64A-CD2BF42C7000}"/>
    <cellStyle name="Migliaia 5 6 3 4" xfId="43246" xr:uid="{F68173D9-0E4F-4595-8091-16DC09DC9EC9}"/>
    <cellStyle name="Migliaia 5 6 3 5" xfId="9732" xr:uid="{96DF2FF4-4AB9-4B07-9941-37D25839CEE4}"/>
    <cellStyle name="Migliaia 5 6 4" xfId="20851" xr:uid="{B63AD8F5-1D3E-456D-8D69-F40C7B748F6A}"/>
    <cellStyle name="Migliaia 5 6 4 2" xfId="40002" xr:uid="{45E28E8D-C37A-438A-B3DD-D6074104A209}"/>
    <cellStyle name="Migliaia 5 6 4 3" xfId="45304" xr:uid="{B5B42F05-D118-4B80-9821-1681D37EB0FE}"/>
    <cellStyle name="Migliaia 5 6 4 4" xfId="34400" xr:uid="{9F2296D6-75F5-40D3-B8FE-D6CB252319B9}"/>
    <cellStyle name="Migliaia 5 6 5" xfId="37371" xr:uid="{C0ABD0AC-5293-4897-8B23-BACE357E5B89}"/>
    <cellStyle name="Migliaia 5 6 6" xfId="42653" xr:uid="{5D86956E-C24F-4599-A451-689C150228FE}"/>
    <cellStyle name="Migliaia 5 6 7" xfId="16711" xr:uid="{96939378-E89E-4B18-BD36-22032515F21D}"/>
    <cellStyle name="Migliaia 5 6 8" xfId="7554" xr:uid="{324D7363-9171-48C0-9E7E-AA26A3F0696E}"/>
    <cellStyle name="Migliaia 5 7" xfId="3822" xr:uid="{7961EA66-A6B4-405A-B106-2843D4B1AD3F}"/>
    <cellStyle name="Migliaia 5 7 2" xfId="5548" xr:uid="{5691E667-E1E9-4312-9C77-50F4CAE58B42}"/>
    <cellStyle name="Migliaia 5 7 2 2" xfId="35436" xr:uid="{503ACAA0-7FDD-4494-89FD-4BB359BFD361}"/>
    <cellStyle name="Migliaia 5 7 2 2 2" xfId="40596" xr:uid="{D2F14187-EDD0-4083-8029-DF5A7A6926A3}"/>
    <cellStyle name="Migliaia 5 7 2 2 3" xfId="45898" xr:uid="{D1C1A21F-B03B-4F91-B0FB-C033529DD6F7}"/>
    <cellStyle name="Migliaia 5 7 2 3" xfId="37945" xr:uid="{1AE235EA-B501-47AB-853F-86FBFA750E5D}"/>
    <cellStyle name="Migliaia 5 7 2 4" xfId="43247" xr:uid="{9D7E0107-5F24-4321-853F-3BA50DBDCDB6}"/>
    <cellStyle name="Migliaia 5 7 2 5" xfId="14311" xr:uid="{CCC8C58A-81AF-4BA8-BF41-A04F1E8EEDEC}"/>
    <cellStyle name="Migliaia 5 7 3" xfId="6727" xr:uid="{129E5703-D28C-4465-A944-AEBF33E8C04D}"/>
    <cellStyle name="Migliaia 5 7 3 2" xfId="40003" xr:uid="{3095C999-8E97-44F9-85B3-5478BA02BE3C}"/>
    <cellStyle name="Migliaia 5 7 3 3" xfId="45305" xr:uid="{95C45DFD-5C5E-47C0-A088-272BEAFBF1EB}"/>
    <cellStyle name="Migliaia 5 7 3 4" xfId="34401" xr:uid="{A63E9FC5-C363-4D82-9138-62C77B5CAF88}"/>
    <cellStyle name="Migliaia 5 7 3 5" xfId="20853" xr:uid="{4BC26CAF-E727-410C-8B2A-B1BBF811DF29}"/>
    <cellStyle name="Migliaia 5 7 4" xfId="37372" xr:uid="{9AD99234-96BA-47C0-A737-5E9A6E329681}"/>
    <cellStyle name="Migliaia 5 7 5" xfId="42654" xr:uid="{D48BE7D7-AD80-429F-96B8-E344C15E53FB}"/>
    <cellStyle name="Migliaia 5 7 6" xfId="16713" xr:uid="{63844465-9BF4-4F3D-B7A5-49C3D61FDF28}"/>
    <cellStyle name="Migliaia 5 7 7" xfId="8373" xr:uid="{7B710853-8D52-43E6-938C-1B2D174BF63B}"/>
    <cellStyle name="Migliaia 5 8" xfId="3823" xr:uid="{D0A3D77F-4B84-4DB4-AA41-9B697CA2AE02}"/>
    <cellStyle name="Migliaia 5 8 2" xfId="5549" xr:uid="{62E944AA-BF42-482D-AE25-7B56A058083A}"/>
    <cellStyle name="Migliaia 5 8 2 2" xfId="35437" xr:uid="{5BFF006F-53CD-493A-A0F5-36D356D6D0D9}"/>
    <cellStyle name="Migliaia 5 8 2 2 2" xfId="40597" xr:uid="{FAFA651A-3B41-472E-A4B7-3959D7FC37B4}"/>
    <cellStyle name="Migliaia 5 8 2 2 3" xfId="45899" xr:uid="{1909C446-5678-4007-8E81-D4AF1057E25D}"/>
    <cellStyle name="Migliaia 5 8 2 3" xfId="37946" xr:uid="{19D8B3AC-75AD-44C5-8AAF-F89D3AF78B58}"/>
    <cellStyle name="Migliaia 5 8 2 4" xfId="43248" xr:uid="{55FC7461-8E95-4414-B378-92B3EB37CE80}"/>
    <cellStyle name="Migliaia 5 8 2 5" xfId="14016" xr:uid="{EBF96282-B9C0-48A6-B9AD-924314456721}"/>
    <cellStyle name="Migliaia 5 8 3" xfId="6728" xr:uid="{EE294F82-CD30-4E58-B51B-7CCD2E6991F4}"/>
    <cellStyle name="Migliaia 5 8 3 2" xfId="40004" xr:uid="{EC915E49-99B8-46F2-A89E-08C4CD7774BC}"/>
    <cellStyle name="Migliaia 5 8 3 3" xfId="45306" xr:uid="{9F33AE13-AB85-4DFE-91BF-66DC410A7F1C}"/>
    <cellStyle name="Migliaia 5 8 3 4" xfId="34402" xr:uid="{AC785B4A-4358-4CC4-B942-CBA2CAE64B1C}"/>
    <cellStyle name="Migliaia 5 8 3 5" xfId="20854" xr:uid="{EA35FEE5-76CA-4486-8C03-EB55071DB776}"/>
    <cellStyle name="Migliaia 5 8 4" xfId="37373" xr:uid="{1E3F65BD-5F85-40A4-AE85-9F55F1E1D403}"/>
    <cellStyle name="Migliaia 5 8 5" xfId="42655" xr:uid="{F071FA07-2AC3-457A-A583-0A7AAA54B866}"/>
    <cellStyle name="Migliaia 5 8 6" xfId="16714" xr:uid="{B4C9966D-226D-4A5D-9B8C-04CA19B8B4C4}"/>
    <cellStyle name="Migliaia 5 8 7" xfId="7998" xr:uid="{A21C0FCE-9160-48F8-9462-EAAC5AD6BA13}"/>
    <cellStyle name="Migliaia 5 9" xfId="5534" xr:uid="{12662844-185E-4B71-B45E-27291F21D528}"/>
    <cellStyle name="Migliaia 5 9 2" xfId="34403" xr:uid="{528F1F59-C13D-4A82-96C8-73120A137573}"/>
    <cellStyle name="Migliaia 5 9 2 2" xfId="40005" xr:uid="{32039327-E66E-4A6D-BA77-75E89415D71B}"/>
    <cellStyle name="Migliaia 5 9 2 3" xfId="45307" xr:uid="{A0606472-F143-4A5C-B852-042338BAC561}"/>
    <cellStyle name="Migliaia 5 9 3" xfId="37374" xr:uid="{664EE7C0-6DBC-422B-A3E7-880782847963}"/>
    <cellStyle name="Migliaia 5 9 4" xfId="42656" xr:uid="{C5950AEB-7F98-43D4-963D-692BCD665326}"/>
    <cellStyle name="Migliaia 5 9 5" xfId="17223" xr:uid="{ABE4999F-39F0-487B-9F05-FA5EF0F7A444}"/>
    <cellStyle name="Migliaia 50" xfId="481" xr:uid="{00000000-0005-0000-0000-000054040000}"/>
    <cellStyle name="Migliaia 50 10" xfId="6729" xr:uid="{052FC603-D84D-4F4D-BE55-B5DD14B44695}"/>
    <cellStyle name="Migliaia 50 10 2" xfId="40006" xr:uid="{8DE0F05C-FC88-415D-89F7-98D79F06AE3D}"/>
    <cellStyle name="Migliaia 50 10 3" xfId="45308" xr:uid="{DC010A7E-E8C1-4529-AC3D-926F9800C5B9}"/>
    <cellStyle name="Migliaia 50 10 4" xfId="34404" xr:uid="{AAA5F5D7-C4DA-447E-ACE1-695B40BEFDF1}"/>
    <cellStyle name="Migliaia 50 10 5" xfId="20855" xr:uid="{C56F879A-8CFF-4511-991B-6312F17F1254}"/>
    <cellStyle name="Migliaia 50 11" xfId="3824" xr:uid="{9194D318-F10F-4F49-BABD-EB9451D83A6C}"/>
    <cellStyle name="Migliaia 50 11 2" xfId="37375" xr:uid="{4B57BE20-A10E-44B4-9F6D-05EAC78EB5E6}"/>
    <cellStyle name="Migliaia 50 12" xfId="42657" xr:uid="{38752330-E883-489E-8911-4EE3C37A02F3}"/>
    <cellStyle name="Migliaia 50 13" xfId="7177" xr:uid="{846E15DE-CD52-4814-9188-01275CA1ADCE}"/>
    <cellStyle name="Migliaia 50 2" xfId="482" xr:uid="{00000000-0005-0000-0000-000055040000}"/>
    <cellStyle name="Migliaia 50 2 2" xfId="1881" xr:uid="{00000000-0005-0000-0000-000056040000}"/>
    <cellStyle name="Migliaia 50 2 2 2" xfId="5552" xr:uid="{B83964E4-AD91-47C3-A227-E66AA3CB4163}"/>
    <cellStyle name="Migliaia 50 2 2 2 2" xfId="14408" xr:uid="{990E9C72-8FB2-4415-9C3A-55456FA7E9A1}"/>
    <cellStyle name="Migliaia 50 2 2 2 2 2" xfId="40007" xr:uid="{B8C214E9-AA2C-4B0D-B903-1DDF2ECCEA14}"/>
    <cellStyle name="Migliaia 50 2 2 2 2 3" xfId="45309" xr:uid="{0D2061AC-C3AB-4B03-B93C-4F8DC5C080B9}"/>
    <cellStyle name="Migliaia 50 2 2 2 3" xfId="18497" xr:uid="{7D82A9E7-A0BC-4035-8702-4E25AE330730}"/>
    <cellStyle name="Migliaia 50 2 2 2 4" xfId="20858" xr:uid="{349E0C03-4FC1-44E5-B234-C0EF29A73F54}"/>
    <cellStyle name="Migliaia 50 2 2 2 4 2" xfId="42658" xr:uid="{CFCE3053-2FFD-4746-8DF2-46611AE05C2F}"/>
    <cellStyle name="Migliaia 50 2 2 2 5" xfId="16715" xr:uid="{C3EA8A6D-C6B9-43D7-951F-BA700F4E7C69}"/>
    <cellStyle name="Migliaia 50 2 2 2 6" xfId="8751" xr:uid="{4C46C00E-9759-457B-928D-544FDFE1F92D}"/>
    <cellStyle name="Migliaia 50 2 2 3" xfId="6731" xr:uid="{21659E38-682F-4D1A-9EEE-0E257D2179BF}"/>
    <cellStyle name="Migliaia 50 2 2 3 2" xfId="35438" xr:uid="{F778906A-7820-4991-91AE-D9199633A315}"/>
    <cellStyle name="Migliaia 50 2 2 3 2 2" xfId="40598" xr:uid="{D921909B-7B61-4348-BA98-604117D2CB56}"/>
    <cellStyle name="Migliaia 50 2 2 3 2 3" xfId="45900" xr:uid="{4E1CF54A-1D56-4C23-A9B7-95B8E54B8E34}"/>
    <cellStyle name="Migliaia 50 2 2 3 3" xfId="37947" xr:uid="{5A28089C-C52E-4FF2-98ED-85F189A0BC5B}"/>
    <cellStyle name="Migliaia 50 2 2 3 4" xfId="43249" xr:uid="{2DF63C92-570E-45D0-92C1-BA943ED5DCD5}"/>
    <cellStyle name="Migliaia 50 2 2 3 5" xfId="11635" xr:uid="{36FA4622-82E3-4B94-A9A9-8104F5B4D3C2}"/>
    <cellStyle name="Migliaia 50 2 2 4" xfId="3826" xr:uid="{AC041363-C6D6-4287-8909-82CF016A2150}"/>
    <cellStyle name="Migliaia 50 2 2 4 2" xfId="21593" xr:uid="{70E8AB08-A926-4F58-98A0-12E3EBEC026C}"/>
    <cellStyle name="Migliaia 50 2 2 4 3" xfId="47605" xr:uid="{FFDBA0B5-CF03-4213-81FB-AA7878F3BCB0}"/>
    <cellStyle name="Migliaia 50 2 2 4 4" xfId="50608" xr:uid="{93370C5A-5443-4F2D-8A81-8A682DECFA2E}"/>
    <cellStyle name="Migliaia 50 2 2 4 5" xfId="53624" xr:uid="{11862F70-9AD3-4545-B637-8B2BCD50FB26}"/>
    <cellStyle name="Migliaia 50 2 2 4 6" xfId="10958" xr:uid="{B1F77770-B5B9-47FE-A9BD-649967423EB9}"/>
    <cellStyle name="Migliaia 50 2 2 5" xfId="20857" xr:uid="{DB0F6EF0-197C-487E-9530-22E400CA014B}"/>
    <cellStyle name="Migliaia 50 2 2 6" xfId="25242" xr:uid="{2ABC4743-3C39-4B05-9081-9E05F8B8F7EC}"/>
    <cellStyle name="Migliaia 50 2 2 7" xfId="7561" xr:uid="{A32AB292-30EA-44B8-B0C1-4C7E29432C0A}"/>
    <cellStyle name="Migliaia 50 2 3" xfId="3827" xr:uid="{02174822-0FCF-479A-B155-C55555097B84}"/>
    <cellStyle name="Migliaia 50 2 3 2" xfId="5553" xr:uid="{78A044AF-D18F-4777-A6D3-95AA7EF59786}"/>
    <cellStyle name="Migliaia 50 2 3 2 2" xfId="35439" xr:uid="{C2A17D68-FC05-40A9-B550-FD895F5B3AFD}"/>
    <cellStyle name="Migliaia 50 2 3 2 2 2" xfId="40599" xr:uid="{24AA418D-8301-4700-AE61-BD76E5EBA054}"/>
    <cellStyle name="Migliaia 50 2 3 2 2 3" xfId="45901" xr:uid="{681B12E2-538D-4A01-BB83-C86A10BA3C44}"/>
    <cellStyle name="Migliaia 50 2 3 2 3" xfId="37948" xr:uid="{F7F51AC0-2BDD-4253-8E17-B125679DE720}"/>
    <cellStyle name="Migliaia 50 2 3 2 4" xfId="43250" xr:uid="{BBD18F84-078E-48DA-8715-E478B11E5227}"/>
    <cellStyle name="Migliaia 50 2 3 2 5" xfId="14315" xr:uid="{937CF1EC-4811-4B40-8840-9ECEB9529305}"/>
    <cellStyle name="Migliaia 50 2 3 3" xfId="6732" xr:uid="{8B83B2CE-6689-4747-8B42-969BB066F1F8}"/>
    <cellStyle name="Migliaia 50 2 3 3 2" xfId="40008" xr:uid="{ACBCFE2E-E7D7-48DD-85AC-2E7342F75B57}"/>
    <cellStyle name="Migliaia 50 2 3 3 3" xfId="45310" xr:uid="{A0092A32-3ACF-45AF-B22E-CD6B87B178D4}"/>
    <cellStyle name="Migliaia 50 2 3 3 4" xfId="34405" xr:uid="{7055C6B1-0BC3-48C1-9190-234CBE000DF0}"/>
    <cellStyle name="Migliaia 50 2 3 3 5" xfId="20859" xr:uid="{C7EE88AA-1448-4EFE-8DB1-AFD09EFB27FD}"/>
    <cellStyle name="Migliaia 50 2 3 4" xfId="37376" xr:uid="{91C6C635-3E23-4971-9B57-40680279760E}"/>
    <cellStyle name="Migliaia 50 2 3 5" xfId="42659" xr:uid="{A2964E7F-74A3-4B46-A10B-36079B5B6030}"/>
    <cellStyle name="Migliaia 50 2 3 6" xfId="16716" xr:uid="{86B4763C-295C-40E9-9005-037EFADCD760}"/>
    <cellStyle name="Migliaia 50 2 3 7" xfId="8377" xr:uid="{DD630E3C-E427-494D-8A3F-2E1A9C9FD693}"/>
    <cellStyle name="Migliaia 50 2 4" xfId="5551" xr:uid="{F2C26353-A5B3-447F-945E-395C4FB3BF14}"/>
    <cellStyle name="Migliaia 50 2 4 2" xfId="14020" xr:uid="{B9389293-AE01-4F00-BED3-EE8C7B2199F1}"/>
    <cellStyle name="Migliaia 50 2 4 2 2" xfId="40009" xr:uid="{098DACEC-4993-4D08-9333-3FDE4198C15F}"/>
    <cellStyle name="Migliaia 50 2 4 2 3" xfId="45311" xr:uid="{6FC3A7DE-6CB4-4C0F-9717-72126EFE8FBD}"/>
    <cellStyle name="Migliaia 50 2 4 3" xfId="18692" xr:uid="{EA4916CB-8DD0-4042-8BA6-2DC033F6C66F}"/>
    <cellStyle name="Migliaia 50 2 4 4" xfId="20860" xr:uid="{2080AB20-54AA-43E6-A582-5C4F6386FF2C}"/>
    <cellStyle name="Migliaia 50 2 4 4 2" xfId="42660" xr:uid="{43641815-1FC0-4F30-B8D3-A60016A1D9D1}"/>
    <cellStyle name="Migliaia 50 2 4 5" xfId="16717" xr:uid="{971C4747-BEAA-43DD-B650-E70BE07CC025}"/>
    <cellStyle name="Migliaia 50 2 4 6" xfId="8003" xr:uid="{6600C3EF-5850-45BD-91A0-A6C877F5CEE8}"/>
    <cellStyle name="Migliaia 50 2 5" xfId="6730" xr:uid="{2F450306-4C8D-4EA9-9E55-98CD6E7D5AC1}"/>
    <cellStyle name="Migliaia 50 2 5 2" xfId="34406" xr:uid="{33B620DB-FC65-4C35-BE6C-64694E2E24C3}"/>
    <cellStyle name="Migliaia 50 2 5 2 2" xfId="40010" xr:uid="{9BF78AF5-D6A4-402D-AFAA-42841807DC05}"/>
    <cellStyle name="Migliaia 50 2 5 2 3" xfId="45312" xr:uid="{A9EE93D9-45BC-4C0E-BA1E-186E93A25EAD}"/>
    <cellStyle name="Migliaia 50 2 5 3" xfId="37377" xr:uid="{32D02DBF-7DCB-4211-8BBD-13EBEB602260}"/>
    <cellStyle name="Migliaia 50 2 5 4" xfId="42661" xr:uid="{4DB940D1-3721-4EBA-AB7C-E93761001662}"/>
    <cellStyle name="Migliaia 50 2 5 5" xfId="13148" xr:uid="{749C0734-B8BC-4804-B0EF-FCF07E422E16}"/>
    <cellStyle name="Migliaia 50 2 6" xfId="3825" xr:uid="{0786225E-232F-42B6-93C1-8F1439FE2E8B}"/>
    <cellStyle name="Migliaia 50 2 6 2" xfId="34407" xr:uid="{71C8A3B7-D653-4225-A623-309B9A53D6D5}"/>
    <cellStyle name="Migliaia 50 2 6 2 2" xfId="40011" xr:uid="{A2A75A44-CDF1-4E1A-B851-AA1787469570}"/>
    <cellStyle name="Migliaia 50 2 6 2 3" xfId="45313" xr:uid="{6F4AE9F9-2744-4B27-9765-9B1474A83757}"/>
    <cellStyle name="Migliaia 50 2 6 3" xfId="37378" xr:uid="{019C5821-737F-45AD-957E-C7674B9D73F1}"/>
    <cellStyle name="Migliaia 50 2 6 4" xfId="42662" xr:uid="{72BA8E35-2F36-4F2F-A039-F899BCFCE2DF}"/>
    <cellStyle name="Migliaia 50 2 6 5" xfId="25243" xr:uid="{62D775BF-9F3D-480C-953D-A1CD4CF9D9A6}"/>
    <cellStyle name="Migliaia 50 2 6 6" xfId="20856" xr:uid="{10B85188-0580-4286-A669-50D13537899A}"/>
    <cellStyle name="Migliaia 50 2 7" xfId="25241" xr:uid="{0DAC3987-D2A5-4940-8B98-63485FDB2126}"/>
    <cellStyle name="Migliaia 50 2 8" xfId="7178" xr:uid="{FEEC5733-DE57-4B73-A53B-652E87F9F18D}"/>
    <cellStyle name="Migliaia 50 3" xfId="483" xr:uid="{00000000-0005-0000-0000-000057040000}"/>
    <cellStyle name="Migliaia 50 3 10" xfId="25244" xr:uid="{7AA51D1C-9110-4321-8140-1C682DD59042}"/>
    <cellStyle name="Migliaia 50 3 11" xfId="16718" xr:uid="{612F560F-BCFE-476B-BC20-A5483AD310A4}"/>
    <cellStyle name="Migliaia 50 3 12" xfId="7179" xr:uid="{F27AC40C-F8A5-4B86-93E6-914F9CD6E667}"/>
    <cellStyle name="Migliaia 50 3 2" xfId="484" xr:uid="{00000000-0005-0000-0000-000058040000}"/>
    <cellStyle name="Migliaia 50 3 2 2" xfId="1882" xr:uid="{00000000-0005-0000-0000-000059040000}"/>
    <cellStyle name="Migliaia 50 3 2 2 2" xfId="5556" xr:uid="{0A4540D2-E20A-4B29-A1DB-F1542F602C60}"/>
    <cellStyle name="Migliaia 50 3 2 2 2 2" xfId="18498" xr:uid="{840E4419-61DD-4240-BE3E-4C7E96F00038}"/>
    <cellStyle name="Migliaia 50 3 2 2 2 2 2" xfId="21886" xr:uid="{1752DB52-310E-402E-A1CA-7458A90AB0D9}"/>
    <cellStyle name="Migliaia 50 3 2 2 2 2 2 2" xfId="40012" xr:uid="{CEE7B235-A0D0-43DF-AE64-E711B1D62C04}"/>
    <cellStyle name="Migliaia 50 3 2 2 2 2 3" xfId="45314" xr:uid="{06055586-85F1-4BE2-8C66-6F8BA61A86D0}"/>
    <cellStyle name="Migliaia 50 3 2 2 2 2 4" xfId="34408" xr:uid="{E62CC96A-D6A6-4A45-AAA9-54B206D99692}"/>
    <cellStyle name="Migliaia 50 3 2 2 2 3" xfId="37379" xr:uid="{CDF31619-8594-4976-934A-E4B3F19C9C23}"/>
    <cellStyle name="Migliaia 50 3 2 2 2 4" xfId="42663" xr:uid="{632F9474-DFD6-4B71-BB92-0D2A78B18F52}"/>
    <cellStyle name="Migliaia 50 3 2 2 2 5" xfId="48291" xr:uid="{87ABC971-A3A5-4D73-BBAC-67154D739A5C}"/>
    <cellStyle name="Migliaia 50 3 2 2 2 6" xfId="50914" xr:uid="{E1AFEF5E-0E3D-462E-8127-388D13D4DD50}"/>
    <cellStyle name="Migliaia 50 3 2 2 2 7" xfId="53930" xr:uid="{A26696EB-59C0-4921-8C69-036D4FB6BB45}"/>
    <cellStyle name="Migliaia 50 3 2 2 2 8" xfId="17684" xr:uid="{C3A61839-DEED-4DCF-A222-8B36911F9E15}"/>
    <cellStyle name="Migliaia 50 3 2 2 2 9" xfId="12067" xr:uid="{50C95D4D-FB44-451F-83CE-9F8811616788}"/>
    <cellStyle name="Migliaia 50 3 2 2 3" xfId="6735" xr:uid="{8ABF46CF-7632-4D0D-9971-1D223D1A690C}"/>
    <cellStyle name="Migliaia 50 3 2 2 3 2" xfId="12319" xr:uid="{9C4E5B12-C09F-4D2A-ABCF-4C82F610CC0F}"/>
    <cellStyle name="Migliaia 50 3 2 2 4" xfId="3830" xr:uid="{6784C0D1-43B7-47C0-B8D5-6AD9D843F429}"/>
    <cellStyle name="Migliaia 50 3 2 2 4 2" xfId="21594" xr:uid="{1D3A4B34-4627-458E-81EE-1CD887F0B3FB}"/>
    <cellStyle name="Migliaia 50 3 2 2 4 3" xfId="46992" xr:uid="{BFDDCC21-7103-42A1-B137-411798789BF0}"/>
    <cellStyle name="Migliaia 50 3 2 2 4 4" xfId="50609" xr:uid="{10C11D24-8593-41EF-A857-4EDBA35B5C0A}"/>
    <cellStyle name="Migliaia 50 3 2 2 4 5" xfId="53625" xr:uid="{C7FE0DE7-C5B4-4365-8689-A29CDC1495D1}"/>
    <cellStyle name="Migliaia 50 3 2 2 4 6" xfId="10959" xr:uid="{D57D4D1F-7D7C-4C32-BEE8-E9DC09A7C3D7}"/>
    <cellStyle name="Migliaia 50 3 2 2 5" xfId="20863" xr:uid="{69AA2A1E-7491-47CA-BB0F-F105E08082B6}"/>
    <cellStyle name="Migliaia 50 3 2 2 6" xfId="25246" xr:uid="{AB0FFE76-531A-4989-BD74-3CDD3FF7340D}"/>
    <cellStyle name="Migliaia 50 3 2 2 7" xfId="8753" xr:uid="{5E235178-F0B7-4117-8C62-302DD0FD8545}"/>
    <cellStyle name="Migliaia 50 3 2 3" xfId="5555" xr:uid="{051B4B79-92B7-448B-974A-27AD6318645F}"/>
    <cellStyle name="Migliaia 50 3 2 3 2" xfId="12221" xr:uid="{D29904D8-17EA-43B8-8798-375CFDFAC526}"/>
    <cellStyle name="Migliaia 50 3 2 3 2 2" xfId="40013" xr:uid="{B4338932-F5BD-4A56-A24D-A03880123DA4}"/>
    <cellStyle name="Migliaia 50 3 2 3 2 3" xfId="45315" xr:uid="{0940D85A-F6A2-4EBA-98B5-007B37817BB4}"/>
    <cellStyle name="Migliaia 50 3 2 3 2 4" xfId="34409" xr:uid="{9EBDA1E5-7773-4FFC-A6AC-987EDE732B2B}"/>
    <cellStyle name="Migliaia 50 3 2 3 3" xfId="12068" xr:uid="{05477171-2F1A-4407-A473-27C8B37176E8}"/>
    <cellStyle name="Migliaia 50 3 2 3 4" xfId="20864" xr:uid="{14FC43B2-4821-457E-BCE0-1D4E51A05B97}"/>
    <cellStyle name="Migliaia 50 3 2 3 4 2" xfId="42664" xr:uid="{FF0E40A8-4A6D-4DDB-8B5A-03E420EEC340}"/>
    <cellStyle name="Migliaia 50 3 2 3 5" xfId="16719" xr:uid="{58FA6253-16B3-47D3-8984-A3C635D9E567}"/>
    <cellStyle name="Migliaia 50 3 2 3 6" xfId="8005" xr:uid="{B19E753F-6622-4DE2-99A8-3CEEE07DFA4C}"/>
    <cellStyle name="Migliaia 50 3 2 4" xfId="6734" xr:uid="{4E6208E2-3F4D-4BE5-9F5F-29FCA93B8E56}"/>
    <cellStyle name="Migliaia 50 3 2 4 2" xfId="18102" xr:uid="{96A37241-5595-4533-8304-A777FF754BAE}"/>
    <cellStyle name="Migliaia 50 3 2 4 2 2" xfId="40014" xr:uid="{A4B57781-A432-4868-BC71-3D6CB06AA5A6}"/>
    <cellStyle name="Migliaia 50 3 2 4 2 3" xfId="45316" xr:uid="{57D66660-F40A-4FA3-8ECB-86314128C0BB}"/>
    <cellStyle name="Migliaia 50 3 2 4 3" xfId="37380" xr:uid="{2CC7C0A6-7B63-4CD9-B450-D7956B0C8242}"/>
    <cellStyle name="Migliaia 50 3 2 4 4" xfId="42665" xr:uid="{1CD562FD-B31E-4CB5-9F85-97BEF0555ED2}"/>
    <cellStyle name="Migliaia 50 3 2 4 5" xfId="17226" xr:uid="{70BAF5D7-D580-4A27-94D8-EBB5D7B056D2}"/>
    <cellStyle name="Migliaia 50 3 2 4 6" xfId="11417" xr:uid="{B26E8D09-6FA7-4A4F-B1EA-DAF85342CCDF}"/>
    <cellStyle name="Migliaia 50 3 2 5" xfId="3829" xr:uid="{CA51B2F2-2E1B-4253-BB52-F1E5AEE21BE5}"/>
    <cellStyle name="Migliaia 50 3 2 5 2" xfId="34410" xr:uid="{55314B21-1385-4800-AD67-1136331BBF10}"/>
    <cellStyle name="Migliaia 50 3 2 5 2 2" xfId="40015" xr:uid="{00302D75-E1A6-4435-8DF3-B96EEB91B0C9}"/>
    <cellStyle name="Migliaia 50 3 2 5 2 3" xfId="45317" xr:uid="{A0B0AF3D-3A17-44B7-8439-F8CB10E634BB}"/>
    <cellStyle name="Migliaia 50 3 2 5 3" xfId="37381" xr:uid="{90D966B7-A0E7-4FBA-86E7-B73ABCCC0409}"/>
    <cellStyle name="Migliaia 50 3 2 5 4" xfId="42666" xr:uid="{5D6079B2-2C76-4944-9541-C9A1C67CA9FF}"/>
    <cellStyle name="Migliaia 50 3 2 5 5" xfId="17291" xr:uid="{6AC89117-4104-4EDF-82D0-91015E6303DF}"/>
    <cellStyle name="Migliaia 50 3 2 6" xfId="20862" xr:uid="{0B4622A0-9E12-4D56-B893-66ABBDD9F26E}"/>
    <cellStyle name="Migliaia 50 3 2 6 2" xfId="34411" xr:uid="{1E6D3447-9CAC-44B9-BB04-C4E0C8BA494D}"/>
    <cellStyle name="Migliaia 50 3 2 6 2 2" xfId="40016" xr:uid="{DB906F23-E691-47BE-91B4-D9A6BCAD994D}"/>
    <cellStyle name="Migliaia 50 3 2 6 2 3" xfId="45318" xr:uid="{5DB878DB-6AF8-48BA-AED2-66DD5F9EC787}"/>
    <cellStyle name="Migliaia 50 3 2 6 3" xfId="37382" xr:uid="{C1C094DB-F9C8-4846-A0A6-1D603486252E}"/>
    <cellStyle name="Migliaia 50 3 2 6 4" xfId="42667" xr:uid="{35A6ECD5-A129-487B-BBED-3A24DBEDC891}"/>
    <cellStyle name="Migliaia 50 3 2 6 5" xfId="25247" xr:uid="{B23E410D-DFDD-4C5D-BEBB-28FAB7274651}"/>
    <cellStyle name="Migliaia 50 3 2 7" xfId="25245" xr:uid="{1A67AD63-67FB-4A9A-8CA5-B3B709945D31}"/>
    <cellStyle name="Migliaia 50 3 2 8" xfId="7563" xr:uid="{13F5E939-742E-4D6B-B59D-FBF84046C4C3}"/>
    <cellStyle name="Migliaia 50 3 3" xfId="3831" xr:uid="{4C8B61BA-D09D-42D3-9679-536B38FB3434}"/>
    <cellStyle name="Migliaia 50 3 3 10" xfId="7562" xr:uid="{B019C4F3-6B18-433D-8AD5-693D751890E5}"/>
    <cellStyle name="Migliaia 50 3 3 2" xfId="5557" xr:uid="{76CD6033-7917-4A32-ABB4-D12E3F0AF4CA}"/>
    <cellStyle name="Migliaia 50 3 3 2 2" xfId="9972" xr:uid="{430591B0-366C-4478-90BC-242273ABE5E4}"/>
    <cellStyle name="Migliaia 50 3 3 2 2 2" xfId="40018" xr:uid="{1E0E97BA-388F-4CF8-A548-7732F12565AB}"/>
    <cellStyle name="Migliaia 50 3 3 2 2 3" xfId="45320" xr:uid="{09D8314F-D226-4350-B067-59D40E230666}"/>
    <cellStyle name="Migliaia 50 3 3 2 3" xfId="18252" xr:uid="{B63BE917-6EF8-4C00-9023-058E79242754}"/>
    <cellStyle name="Migliaia 50 3 3 2 4" xfId="20866" xr:uid="{FD909920-C930-4215-8A59-468EB8C565B7}"/>
    <cellStyle name="Migliaia 50 3 3 2 4 2" xfId="42669" xr:uid="{0BF57F68-978B-41EB-A9A0-A5B7F3436FA6}"/>
    <cellStyle name="Migliaia 50 3 3 2 5" xfId="16721" xr:uid="{8776DA89-2444-498E-BCE3-8D23ECADFEFC}"/>
    <cellStyle name="Migliaia 50 3 3 2 6" xfId="8752" xr:uid="{6257F485-8A62-4863-9A7B-708D6FC28F5D}"/>
    <cellStyle name="Migliaia 50 3 3 3" xfId="6736" xr:uid="{16AAEDFD-5899-48D1-BF2C-C3F8A611EBC4}"/>
    <cellStyle name="Migliaia 50 3 3 3 2" xfId="34413" xr:uid="{F3FBAFFF-F662-4451-941D-E6197BE85BB8}"/>
    <cellStyle name="Migliaia 50 3 3 3 2 2" xfId="40019" xr:uid="{36BE54BF-7579-4D99-A3F3-2CDCC865A8EF}"/>
    <cellStyle name="Migliaia 50 3 3 3 2 3" xfId="45321" xr:uid="{9BAD1555-6976-4000-87D3-B2D9E9DA749F}"/>
    <cellStyle name="Migliaia 50 3 3 3 3" xfId="37384" xr:uid="{7C4F557D-C23A-4989-A777-1A62EED44073}"/>
    <cellStyle name="Migliaia 50 3 3 3 4" xfId="42670" xr:uid="{B6F3C448-4CCE-4271-814B-D71850BF5C9A}"/>
    <cellStyle name="Migliaia 50 3 3 3 5" xfId="9735" xr:uid="{F08D21F5-9E72-4A73-933B-54D1FEF8E350}"/>
    <cellStyle name="Migliaia 50 3 3 4" xfId="20865" xr:uid="{3FC1D1F2-655B-4646-A6F1-7259CE2D636A}"/>
    <cellStyle name="Migliaia 50 3 3 4 2" xfId="34414" xr:uid="{456C6DFE-87E7-49FD-8530-1A5F929E4E01}"/>
    <cellStyle name="Migliaia 50 3 3 4 2 2" xfId="40020" xr:uid="{7243BC1B-0D18-44A7-A28A-FD83A537DCF7}"/>
    <cellStyle name="Migliaia 50 3 3 4 2 3" xfId="45322" xr:uid="{699FD857-4108-4AC4-8A6B-895013D7E73F}"/>
    <cellStyle name="Migliaia 50 3 3 4 3" xfId="37385" xr:uid="{0BEE1EE5-A8BE-4445-82D4-096A5B64E600}"/>
    <cellStyle name="Migliaia 50 3 3 4 4" xfId="42671" xr:uid="{59DBD5CB-39D5-4FF5-BFE9-B1DCC06DF8C9}"/>
    <cellStyle name="Migliaia 50 3 3 4 5" xfId="25248" xr:uid="{49E76E14-8436-4544-93F7-6E9187031119}"/>
    <cellStyle name="Migliaia 50 3 3 5" xfId="25249" xr:uid="{8A134E60-C11F-4BC7-8F2D-52FD5DE22191}"/>
    <cellStyle name="Migliaia 50 3 3 5 2" xfId="34415" xr:uid="{9C0CD4E1-5509-4888-ACEE-600C2C37D2A0}"/>
    <cellStyle name="Migliaia 50 3 3 5 2 2" xfId="40021" xr:uid="{9B2FA0C0-7222-40DA-8206-5CA87BDECC76}"/>
    <cellStyle name="Migliaia 50 3 3 5 2 3" xfId="45323" xr:uid="{41C13B79-F570-4BA5-BB90-68C10D187572}"/>
    <cellStyle name="Migliaia 50 3 3 5 3" xfId="37386" xr:uid="{9D29E668-EE1E-48A2-B3F1-C5492D8956B0}"/>
    <cellStyle name="Migliaia 50 3 3 5 4" xfId="42672" xr:uid="{C36549E9-4C99-4E67-8D89-6378270E4508}"/>
    <cellStyle name="Migliaia 50 3 3 6" xfId="34412" xr:uid="{DA66CC26-9C5F-4963-87BC-218F158E1775}"/>
    <cellStyle name="Migliaia 50 3 3 6 2" xfId="40017" xr:uid="{0EB87DCC-183C-43AD-83C7-092311CBE083}"/>
    <cellStyle name="Migliaia 50 3 3 6 3" xfId="45319" xr:uid="{B938DC2B-A419-4226-84E9-86CF2D27D2DE}"/>
    <cellStyle name="Migliaia 50 3 3 7" xfId="37383" xr:uid="{FFD6927A-31AC-498C-B150-D1DEA1FE2D3B}"/>
    <cellStyle name="Migliaia 50 3 3 8" xfId="42668" xr:uid="{16BE99D8-886D-4458-BE36-4D80B636213E}"/>
    <cellStyle name="Migliaia 50 3 3 9" xfId="16720" xr:uid="{36A218DC-5623-41E1-B6E2-D73086C9F4BD}"/>
    <cellStyle name="Migliaia 50 3 4" xfId="3832" xr:uid="{61630A4C-D7F4-4D6D-AC7E-AF5000F1BD89}"/>
    <cellStyle name="Migliaia 50 3 4 2" xfId="5558" xr:uid="{6DF363F7-F0A6-4676-A7B2-757510CAED98}"/>
    <cellStyle name="Migliaia 50 3 4 2 2" xfId="14468" xr:uid="{D483DFF9-8A86-46C8-AB10-D70C325880E9}"/>
    <cellStyle name="Migliaia 50 3 4 2 3" xfId="18035" xr:uid="{9923B95D-69D8-4CB1-BB2A-042708FD75B5}"/>
    <cellStyle name="Migliaia 50 3 4 2 4" xfId="20868" xr:uid="{929C209F-92F5-4091-98AC-3DCE5EE10147}"/>
    <cellStyle name="Migliaia 50 3 4 2 5" xfId="32455" xr:uid="{024253E1-BB1C-4C86-914C-7F56CF760490}"/>
    <cellStyle name="Migliaia 50 3 4 2 6" xfId="16723" xr:uid="{285AF51F-8B77-4D93-B81D-893EEAB05865}"/>
    <cellStyle name="Migliaia 50 3 4 2 7" xfId="8891" xr:uid="{B782A703-25BF-4B47-8CDB-15620DC8B5DC}"/>
    <cellStyle name="Migliaia 50 3 4 3" xfId="6737" xr:uid="{432D1E88-4C6B-4ADB-B6B1-C8BABA3DBF19}"/>
    <cellStyle name="Migliaia 50 3 4 3 2" xfId="35440" xr:uid="{D1163DA4-7B27-45FA-B09F-05E670737B6F}"/>
    <cellStyle name="Migliaia 50 3 4 3 2 2" xfId="40600" xr:uid="{98E41D11-D753-4B05-9E90-9A9F5D1EAE0A}"/>
    <cellStyle name="Migliaia 50 3 4 3 2 3" xfId="45902" xr:uid="{6CB12196-6785-4519-AE7F-D61A167883B3}"/>
    <cellStyle name="Migliaia 50 3 4 3 3" xfId="37949" xr:uid="{2F957922-1569-498F-A92B-0798F61CEF23}"/>
    <cellStyle name="Migliaia 50 3 4 3 4" xfId="43251" xr:uid="{09138BC2-F774-46ED-AAFF-01983763E8E4}"/>
    <cellStyle name="Migliaia 50 3 4 3 5" xfId="13716" xr:uid="{063A9384-1343-40A3-8943-7BB95A07B9DE}"/>
    <cellStyle name="Migliaia 50 3 4 4" xfId="20867" xr:uid="{8A04E806-D706-40AF-8F10-B3E6E5923EAB}"/>
    <cellStyle name="Migliaia 50 3 4 4 2" xfId="40022" xr:uid="{957A5024-BCF2-466C-A4F7-B61A25A399EC}"/>
    <cellStyle name="Migliaia 50 3 4 4 3" xfId="45324" xr:uid="{43472862-9445-42C8-B2A7-40B15B571A36}"/>
    <cellStyle name="Migliaia 50 3 4 4 4" xfId="34416" xr:uid="{1630074B-9A9A-4515-A87E-A21D9A3185F4}"/>
    <cellStyle name="Migliaia 50 3 4 5" xfId="37387" xr:uid="{E67747CF-3A7A-4D7E-82E8-5750F6F9503E}"/>
    <cellStyle name="Migliaia 50 3 4 6" xfId="42673" xr:uid="{888133BF-0F0A-465F-AD19-88FD4858951F}"/>
    <cellStyle name="Migliaia 50 3 4 7" xfId="16722" xr:uid="{A4E8537C-F587-48AC-AC52-CA099E3BE0CE}"/>
    <cellStyle name="Migliaia 50 3 4 8" xfId="7701" xr:uid="{46FBBD16-8F53-4BA8-AE0C-FF0FB12BC25A}"/>
    <cellStyle name="Migliaia 50 3 5" xfId="3833" xr:uid="{53F95984-E938-4B29-B1BB-A0351A3403EC}"/>
    <cellStyle name="Migliaia 50 3 5 2" xfId="5559" xr:uid="{5E29E62A-A1BF-4A0A-BDFD-18F65BFA4552}"/>
    <cellStyle name="Migliaia 50 3 5 2 2" xfId="35441" xr:uid="{CAE9C389-EF08-4DBA-A93E-CF35059F16F7}"/>
    <cellStyle name="Migliaia 50 3 5 2 2 2" xfId="40601" xr:uid="{1A318973-DB6B-46C4-BEF8-62F6F3940B04}"/>
    <cellStyle name="Migliaia 50 3 5 2 2 3" xfId="45903" xr:uid="{FD0801F0-AD95-4F45-B252-CE7B435010C8}"/>
    <cellStyle name="Migliaia 50 3 5 2 3" xfId="37950" xr:uid="{8A49365B-600A-4CA0-9DEC-0C0EE7729318}"/>
    <cellStyle name="Migliaia 50 3 5 2 4" xfId="43252" xr:uid="{FD9226D6-8C1E-4118-B4C6-26096A33F5E5}"/>
    <cellStyle name="Migliaia 50 3 5 2 5" xfId="14316" xr:uid="{13FD90CA-32CD-45FC-9F78-71F7BCAA8AC8}"/>
    <cellStyle name="Migliaia 50 3 5 3" xfId="6738" xr:uid="{6E33159D-382B-47EE-9213-7FD76751C414}"/>
    <cellStyle name="Migliaia 50 3 5 3 2" xfId="40023" xr:uid="{33A34D20-8FD0-4469-9FCE-62631B854991}"/>
    <cellStyle name="Migliaia 50 3 5 3 3" xfId="45325" xr:uid="{BF2BD010-5BAF-4FA6-A923-0FA86B1E065E}"/>
    <cellStyle name="Migliaia 50 3 5 3 4" xfId="34417" xr:uid="{A95494CA-182B-438C-8A98-C4A87B92026A}"/>
    <cellStyle name="Migliaia 50 3 5 3 5" xfId="20869" xr:uid="{C2782E65-7958-4B05-B9EA-85B9F97843C9}"/>
    <cellStyle name="Migliaia 50 3 5 4" xfId="37388" xr:uid="{0A403AB0-DE8C-4B18-A7D9-34767045164C}"/>
    <cellStyle name="Migliaia 50 3 5 5" xfId="42674" xr:uid="{B652030B-B8B8-4DB0-BB96-537DC8177240}"/>
    <cellStyle name="Migliaia 50 3 5 6" xfId="16724" xr:uid="{0FD06F96-9205-4E05-AF75-23951DF26866}"/>
    <cellStyle name="Migliaia 50 3 5 7" xfId="8378" xr:uid="{DD4DD320-35CD-476F-B377-3E5557521C3D}"/>
    <cellStyle name="Migliaia 50 3 6" xfId="5554" xr:uid="{A382329F-F97D-49FC-8327-772E5B22ED8C}"/>
    <cellStyle name="Migliaia 50 3 6 2" xfId="14021" xr:uid="{F6CACADC-DBB0-4F09-B834-B9A2BAC110FF}"/>
    <cellStyle name="Migliaia 50 3 6 2 2" xfId="40024" xr:uid="{947B546E-D04E-4273-876C-64CCC357B9C5}"/>
    <cellStyle name="Migliaia 50 3 6 2 3" xfId="45326" xr:uid="{6496153B-10D6-4AE6-B85B-6826111D049B}"/>
    <cellStyle name="Migliaia 50 3 6 3" xfId="18691" xr:uid="{5B5A8ED7-1EEA-48CD-A790-A809E305CABA}"/>
    <cellStyle name="Migliaia 50 3 6 4" xfId="20870" xr:uid="{3D062D95-DC7B-4E58-9B6F-7F6BB3E49277}"/>
    <cellStyle name="Migliaia 50 3 6 4 2" xfId="42675" xr:uid="{0973CBE6-395A-4011-931E-FD67CF23D32F}"/>
    <cellStyle name="Migliaia 50 3 6 5" xfId="16725" xr:uid="{49E7B17F-7938-46A1-B875-FDEFD9C62D84}"/>
    <cellStyle name="Migliaia 50 3 6 6" xfId="8004" xr:uid="{6702DDE9-7E84-4287-91E0-649EA573514A}"/>
    <cellStyle name="Migliaia 50 3 7" xfId="6733" xr:uid="{62BD617F-CDE4-42C2-982B-57BE0EB632B4}"/>
    <cellStyle name="Migliaia 50 3 7 2" xfId="34418" xr:uid="{C3E8B5D1-6D50-4E3C-B2AD-73A9465E8D2D}"/>
    <cellStyle name="Migliaia 50 3 7 2 2" xfId="40025" xr:uid="{EC6094E0-8B2B-4C6D-AF37-C7FC15EFFBF8}"/>
    <cellStyle name="Migliaia 50 3 7 2 3" xfId="45327" xr:uid="{A8EC0085-F99B-439F-B133-8D3B39B8EFCD}"/>
    <cellStyle name="Migliaia 50 3 7 3" xfId="37389" xr:uid="{3771AF21-F5DB-4305-B8B8-DE0E2D7895B5}"/>
    <cellStyle name="Migliaia 50 3 7 4" xfId="42676" xr:uid="{17967532-4222-47CE-8344-9409967AE6B3}"/>
    <cellStyle name="Migliaia 50 3 7 5" xfId="11217" xr:uid="{EF5D6F80-CD72-4D5E-A98B-F887CCD69912}"/>
    <cellStyle name="Migliaia 50 3 8" xfId="3828" xr:uid="{171A1F20-4986-4F0F-89D7-ED14B0C5F035}"/>
    <cellStyle name="Migliaia 50 3 8 2" xfId="34419" xr:uid="{C6637934-A3C8-49DD-BE25-861DA2C81E71}"/>
    <cellStyle name="Migliaia 50 3 8 2 2" xfId="40026" xr:uid="{B9B6A5E4-C4F3-45A9-B1E8-D410534AD88B}"/>
    <cellStyle name="Migliaia 50 3 8 2 3" xfId="45328" xr:uid="{B554AC55-111A-47CA-AF48-D48ABC3DE62F}"/>
    <cellStyle name="Migliaia 50 3 8 3" xfId="37390" xr:uid="{E66D1E3D-8642-4166-8A4D-F87AC49AD70F}"/>
    <cellStyle name="Migliaia 50 3 8 4" xfId="42677" xr:uid="{911DF65D-AE62-4151-B726-7B610F6C681E}"/>
    <cellStyle name="Migliaia 50 3 8 5" xfId="25250" xr:uid="{762A0DC1-1DD2-4484-8869-DE6B6D399777}"/>
    <cellStyle name="Migliaia 50 3 8 6" xfId="17292" xr:uid="{A788A283-BECB-42CA-BB02-CECB8465A29A}"/>
    <cellStyle name="Migliaia 50 3 9" xfId="20861" xr:uid="{CF490FAF-4BCD-497E-BA06-94C5D23759FE}"/>
    <cellStyle name="Migliaia 50 4" xfId="1883" xr:uid="{00000000-0005-0000-0000-00005A040000}"/>
    <cellStyle name="Migliaia 50 4 2" xfId="1884" xr:uid="{00000000-0005-0000-0000-00005B040000}"/>
    <cellStyle name="Migliaia 50 4 2 2" xfId="5561" xr:uid="{0F6E3954-129E-48FB-8B7B-2A818B143147}"/>
    <cellStyle name="Migliaia 50 4 2 2 2" xfId="34420" xr:uid="{AFB64BA1-E2E3-461D-B970-9667DDDFB18D}"/>
    <cellStyle name="Migliaia 50 4 2 2 2 2" xfId="40027" xr:uid="{1EA62ADC-63DD-489E-BBFC-D1D831D5E574}"/>
    <cellStyle name="Migliaia 50 4 2 2 2 3" xfId="45329" xr:uid="{F63EBBB9-FCCF-4E3F-B917-DC9D53B3EF41}"/>
    <cellStyle name="Migliaia 50 4 2 2 3" xfId="37391" xr:uid="{EC7B84A3-F791-46A3-9314-E3BE5B80CF2B}"/>
    <cellStyle name="Migliaia 50 4 2 2 4" xfId="42678" xr:uid="{B5E90EBF-9CA3-4889-8B4B-46C07A41B1CE}"/>
    <cellStyle name="Migliaia 50 4 2 2 5" xfId="9198" xr:uid="{7BEA8429-9AA1-4B1C-9037-1F043577A156}"/>
    <cellStyle name="Migliaia 50 4 2 3" xfId="3835" xr:uid="{9B14D4BA-0C34-4CC9-BBCD-3D4DD522230C}"/>
    <cellStyle name="Migliaia 50 4 2 3 2" xfId="34421" xr:uid="{B3EDCFC7-AB42-4DF0-A096-805C65946814}"/>
    <cellStyle name="Migliaia 50 4 2 3 2 2" xfId="40028" xr:uid="{FE68063E-8AA2-4FE2-9A05-A4BF0223E7B4}"/>
    <cellStyle name="Migliaia 50 4 2 3 2 3" xfId="45330" xr:uid="{2B3742F0-AAD4-4CD7-A030-C8229328BF6F}"/>
    <cellStyle name="Migliaia 50 4 2 3 3" xfId="37392" xr:uid="{84FDFEC1-9506-448E-9B0B-2FA0A48D85FD}"/>
    <cellStyle name="Migliaia 50 4 2 3 4" xfId="42679" xr:uid="{2EE19DB6-F342-4B4B-8458-62C83B9F4763}"/>
    <cellStyle name="Migliaia 50 4 2 3 5" xfId="12069" xr:uid="{7DD22326-E203-4BBD-BB2E-848BC19B5307}"/>
    <cellStyle name="Migliaia 50 4 2 4" xfId="11419" xr:uid="{38556269-D6D9-4F03-B0F6-6585830EB8C4}"/>
    <cellStyle name="Migliaia 50 4 2 5" xfId="10961" xr:uid="{1B6E731C-12F8-495A-B57B-D2F7198823DF}"/>
    <cellStyle name="Migliaia 50 4 2 5 2" xfId="21596" xr:uid="{2C1DE2A8-7821-4292-89A9-4B12A0A1560F}"/>
    <cellStyle name="Migliaia 50 4 2 5 3" xfId="32552" xr:uid="{9995B144-55B5-48F0-B2FF-BBF4AC8C0F6F}"/>
    <cellStyle name="Migliaia 50 4 2 5 4" xfId="50611" xr:uid="{F1F094E6-7392-41F2-961A-5D10D0DF8737}"/>
    <cellStyle name="Migliaia 50 4 2 5 5" xfId="53627" xr:uid="{8442B180-41E4-48B8-B626-BABA407D35F6}"/>
    <cellStyle name="Migliaia 50 4 2 6" xfId="20872" xr:uid="{3DCC104B-BC23-4AB6-8DB7-91CFA94B6F00}"/>
    <cellStyle name="Migliaia 50 4 2 7" xfId="25252" xr:uid="{BFED9F1F-A020-4892-87EA-ED6151D3835E}"/>
    <cellStyle name="Migliaia 50 4 2 8" xfId="8754" xr:uid="{1EC3AACB-4610-49DF-AB5D-AC1C87391055}"/>
    <cellStyle name="Migliaia 50 4 3" xfId="5560" xr:uid="{C4AD7F81-7CA9-41B1-93BF-C5AD3BE44A35}"/>
    <cellStyle name="Migliaia 50 4 3 2" xfId="18253" xr:uid="{F1A54598-A539-4132-BAC4-BC4D5DCE6310}"/>
    <cellStyle name="Migliaia 50 4 3 2 2" xfId="40029" xr:uid="{AF659390-F0C7-4D1B-955D-E9EABE5347F1}"/>
    <cellStyle name="Migliaia 50 4 3 2 3" xfId="45331" xr:uid="{8BCC61F0-25C5-46B0-84FD-4B9E4EBD3DFB}"/>
    <cellStyle name="Migliaia 50 4 3 3" xfId="37393" xr:uid="{4D5EC592-5569-481F-A4B1-84D6EFB4C7EF}"/>
    <cellStyle name="Migliaia 50 4 3 4" xfId="42680" xr:uid="{5280886C-B230-43E4-8CA2-0151577C463C}"/>
    <cellStyle name="Migliaia 50 4 3 5" xfId="17290" xr:uid="{A6AAD607-C51F-4A4C-9388-2D247701AA03}"/>
    <cellStyle name="Migliaia 50 4 3 6" xfId="9199" xr:uid="{5D170BFE-06C4-4D50-ADBE-719B76C97852}"/>
    <cellStyle name="Migliaia 50 4 4" xfId="6739" xr:uid="{C0B22001-1E00-4F3B-B4F5-9E832502C432}"/>
    <cellStyle name="Migliaia 50 4 4 2" xfId="34422" xr:uid="{A8EF4161-11D3-4B84-AE48-8EEA94616F7D}"/>
    <cellStyle name="Migliaia 50 4 4 2 2" xfId="40030" xr:uid="{F89E9FC1-6D02-4E2A-A9DF-1B8F180577AD}"/>
    <cellStyle name="Migliaia 50 4 4 2 3" xfId="45332" xr:uid="{C404073A-514E-425D-93C7-17871B79ED56}"/>
    <cellStyle name="Migliaia 50 4 4 3" xfId="37394" xr:uid="{9662D92C-E105-4F81-A086-DD2108C43979}"/>
    <cellStyle name="Migliaia 50 4 4 4" xfId="42681" xr:uid="{091C22E1-CBD9-427B-8BD3-C703BD7023BF}"/>
    <cellStyle name="Migliaia 50 4 4 5" xfId="12070" xr:uid="{FBD360F7-1C71-4799-90E8-9992CEF4D643}"/>
    <cellStyle name="Migliaia 50 4 5" xfId="3834" xr:uid="{BBCE4333-9F34-4C47-8868-73E9F07581E4}"/>
    <cellStyle name="Migliaia 50 4 5 2" xfId="34423" xr:uid="{6B3FBD43-71D2-4158-8696-D101D7FA346E}"/>
    <cellStyle name="Migliaia 50 4 5 2 2" xfId="40031" xr:uid="{D8CF23E1-841B-4D6E-B65A-5BCFA95DA772}"/>
    <cellStyle name="Migliaia 50 4 5 2 3" xfId="45333" xr:uid="{DE83266F-482B-46B9-971C-FE3097FF3B46}"/>
    <cellStyle name="Migliaia 50 4 5 3" xfId="37395" xr:uid="{28435843-DA22-4970-91C4-0D6AF0C4B112}"/>
    <cellStyle name="Migliaia 50 4 5 4" xfId="42682" xr:uid="{5D4F1B5D-171F-4F8A-A248-9C301478053C}"/>
    <cellStyle name="Migliaia 50 4 5 5" xfId="11418" xr:uid="{6A374242-B3AF-46C2-A721-7F172D23EB5B}"/>
    <cellStyle name="Migliaia 50 4 6" xfId="10960" xr:uid="{BFD2D1D8-366B-417D-8D01-F90EB62DF495}"/>
    <cellStyle name="Migliaia 50 4 6 2" xfId="21595" xr:uid="{5ABF18D8-0A58-4AA6-8A59-1F20C8C7B68C}"/>
    <cellStyle name="Migliaia 50 4 6 2 2" xfId="40032" xr:uid="{731A747E-F619-49CD-8273-5D1963A75726}"/>
    <cellStyle name="Migliaia 50 4 6 2 3" xfId="45334" xr:uid="{F98026B0-C535-4EEA-8CF8-A95C2C38C3C1}"/>
    <cellStyle name="Migliaia 50 4 6 2 4" xfId="34424" xr:uid="{E1F20F50-416E-4CD9-8F90-BCE773B2212A}"/>
    <cellStyle name="Migliaia 50 4 6 3" xfId="37396" xr:uid="{F740C9C2-C9A8-4C7D-A275-EE2CE8791895}"/>
    <cellStyle name="Migliaia 50 4 6 4" xfId="42683" xr:uid="{0BA92DCF-9620-4E55-BF85-10B85F0AE712}"/>
    <cellStyle name="Migliaia 50 4 6 5" xfId="25253" xr:uid="{CFF56FAF-C9A8-4D3C-872C-1A1F42AC859A}"/>
    <cellStyle name="Migliaia 50 4 6 6" xfId="48379" xr:uid="{AE5F4688-CADB-496D-860C-7ED05A6F4452}"/>
    <cellStyle name="Migliaia 50 4 6 7" xfId="50610" xr:uid="{CBDB5A90-4CCE-4147-892F-4C351B847F93}"/>
    <cellStyle name="Migliaia 50 4 6 8" xfId="53626" xr:uid="{C685FDA2-65CF-41B2-8E05-78A46BF1EEE0}"/>
    <cellStyle name="Migliaia 50 4 7" xfId="20871" xr:uid="{1A2E3136-7D70-4A85-914B-896A2F92C02E}"/>
    <cellStyle name="Migliaia 50 4 7 2" xfId="34425" xr:uid="{EB0A8083-15B9-4DD8-B3CF-F21D1D3C6712}"/>
    <cellStyle name="Migliaia 50 4 7 2 2" xfId="40033" xr:uid="{1B591B1E-ED03-441B-B0B2-D39D7CB70951}"/>
    <cellStyle name="Migliaia 50 4 7 2 3" xfId="45335" xr:uid="{CFADBEA1-AC29-44DC-91B4-35F1B38C0458}"/>
    <cellStyle name="Migliaia 50 4 7 3" xfId="37397" xr:uid="{8E4436CB-A91E-42D7-A0E9-A9C8B6B213BE}"/>
    <cellStyle name="Migliaia 50 4 7 4" xfId="42684" xr:uid="{78168EE4-E40F-485A-8FC7-B5E84855C1AF}"/>
    <cellStyle name="Migliaia 50 4 7 5" xfId="25254" xr:uid="{0BDBBD68-E11A-4137-AAF4-1A2BF79A6075}"/>
    <cellStyle name="Migliaia 50 4 8" xfId="25251" xr:uid="{324C1786-9104-4590-B34B-0484F500892B}"/>
    <cellStyle name="Migliaia 50 4 9" xfId="7564" xr:uid="{49F1EA18-217B-4C73-8A0A-619A3014CB05}"/>
    <cellStyle name="Migliaia 50 5" xfId="1885" xr:uid="{00000000-0005-0000-0000-00005C040000}"/>
    <cellStyle name="Migliaia 50 5 2" xfId="5562" xr:uid="{9CE24454-31A6-4FA8-9C79-DEBD9FE6E401}"/>
    <cellStyle name="Migliaia 50 5 2 2" xfId="18499" xr:uid="{CC3A4395-69CB-4902-9256-1D13687D0B18}"/>
    <cellStyle name="Migliaia 50 5 2 2 2" xfId="40034" xr:uid="{D1854D54-B5F0-4E61-A410-C614022AE187}"/>
    <cellStyle name="Migliaia 50 5 2 2 3" xfId="45336" xr:uid="{55D88310-B6B2-4FA7-9CDC-E9CCD7EBC499}"/>
    <cellStyle name="Migliaia 50 5 2 3" xfId="20874" xr:uid="{32C3E295-32BA-4498-8788-799F5C3A558C}"/>
    <cellStyle name="Migliaia 50 5 2 3 2" xfId="37398" xr:uid="{F5FADE19-4C6E-4D3C-A538-191012BB7749}"/>
    <cellStyle name="Migliaia 50 5 2 4" xfId="42685" xr:uid="{0F444594-6669-4D98-BD03-DA62F084ADE6}"/>
    <cellStyle name="Migliaia 50 5 2 5" xfId="16726" xr:uid="{9A72C99E-FC3D-4D5D-A697-69FFE790F6FB}"/>
    <cellStyle name="Migliaia 50 5 2 6" xfId="8755" xr:uid="{9E50D41C-7671-4D65-89C2-1E7FB8DF943E}"/>
    <cellStyle name="Migliaia 50 5 3" xfId="6740" xr:uid="{D6DDAC44-3120-4FA6-8DCA-9EEBC15692D7}"/>
    <cellStyle name="Migliaia 50 5 3 2" xfId="34426" xr:uid="{CE233141-A51F-46BD-A867-A6FB07CFCA1A}"/>
    <cellStyle name="Migliaia 50 5 3 2 2" xfId="40035" xr:uid="{B8AE8195-5ABF-46FC-9772-F483890169F9}"/>
    <cellStyle name="Migliaia 50 5 3 2 3" xfId="45337" xr:uid="{7786A742-C8C9-4F90-9AAE-ECBCDA64692C}"/>
    <cellStyle name="Migliaia 50 5 3 3" xfId="37399" xr:uid="{4A90F83E-B88C-4A7A-9F7C-C07C50B84FA2}"/>
    <cellStyle name="Migliaia 50 5 3 4" xfId="42686" xr:uid="{5096A808-7149-469E-B262-651C0CAD5B50}"/>
    <cellStyle name="Migliaia 50 5 3 5" xfId="11420" xr:uid="{DD8AFE02-E369-4858-82B6-B0BCEA10D89B}"/>
    <cellStyle name="Migliaia 50 5 4" xfId="3836" xr:uid="{C7B93756-9009-454D-8D86-9D6E1C5E426D}"/>
    <cellStyle name="Migliaia 50 5 4 2" xfId="21597" xr:uid="{394008A0-8A76-45CE-8C55-1F739521531C}"/>
    <cellStyle name="Migliaia 50 5 4 2 2" xfId="40036" xr:uid="{98DC2976-DE9A-4505-9B3B-DE329D042D83}"/>
    <cellStyle name="Migliaia 50 5 4 2 3" xfId="45338" xr:uid="{060F05BD-0A19-4534-98EC-A02407435C45}"/>
    <cellStyle name="Migliaia 50 5 4 2 4" xfId="34427" xr:uid="{DFF677F9-B492-48D0-BB07-CCECD8F9DED9}"/>
    <cellStyle name="Migliaia 50 5 4 3" xfId="37400" xr:uid="{457E10BB-DAFF-46FA-B405-9D44326E3B08}"/>
    <cellStyle name="Migliaia 50 5 4 4" xfId="42687" xr:uid="{FD1D2184-E995-4D24-8915-785C2E3197E0}"/>
    <cellStyle name="Migliaia 50 5 4 5" xfId="25256" xr:uid="{040A6CC9-35ED-4E18-B00D-A3C45BAB5D27}"/>
    <cellStyle name="Migliaia 50 5 4 6" xfId="47448" xr:uid="{41AF6218-C8CE-47A5-AFCC-78D0BF869490}"/>
    <cellStyle name="Migliaia 50 5 4 7" xfId="50612" xr:uid="{8A166FFB-BFAE-4E3F-9A4E-1835F924CEA7}"/>
    <cellStyle name="Migliaia 50 5 4 8" xfId="53628" xr:uid="{A92E14EE-67DA-49D1-BA6A-DC5D1EBA9FEF}"/>
    <cellStyle name="Migliaia 50 5 4 9" xfId="10962" xr:uid="{0598AA28-2D61-4F78-BD45-03F7961EE94E}"/>
    <cellStyle name="Migliaia 50 5 5" xfId="20873" xr:uid="{80994DF5-3556-4AE2-AD3D-A0BE0578F085}"/>
    <cellStyle name="Migliaia 50 5 5 2" xfId="34428" xr:uid="{3FC35BAC-1D20-4CE9-B91A-FEBC5D272CC1}"/>
    <cellStyle name="Migliaia 50 5 5 2 2" xfId="40037" xr:uid="{75FC6697-D41D-458C-A83A-3873603B6613}"/>
    <cellStyle name="Migliaia 50 5 5 2 3" xfId="45339" xr:uid="{1C09D3A0-5D73-41EC-A0E7-C4D59847E2C6}"/>
    <cellStyle name="Migliaia 50 5 5 3" xfId="37401" xr:uid="{8E5EE701-AF06-4784-9653-4F5CD911F8EA}"/>
    <cellStyle name="Migliaia 50 5 5 4" xfId="42688" xr:uid="{B59C962F-273D-4B3B-B529-95AA5B779EFE}"/>
    <cellStyle name="Migliaia 50 5 5 5" xfId="25257" xr:uid="{00ED1456-3A4C-48A6-AA56-993067DC03CF}"/>
    <cellStyle name="Migliaia 50 5 6" xfId="25258" xr:uid="{F7CF910E-40A5-4F4A-98D3-86D86B60D843}"/>
    <cellStyle name="Migliaia 50 5 6 2" xfId="34429" xr:uid="{8068F662-D734-4AE7-9B08-00531F20E4F1}"/>
    <cellStyle name="Migliaia 50 5 6 2 2" xfId="40038" xr:uid="{56AE709A-5D1E-424B-9187-6E55E0CB8517}"/>
    <cellStyle name="Migliaia 50 5 6 2 3" xfId="45340" xr:uid="{A9EDBAB6-6F36-44E0-9F91-24B83EAB9863}"/>
    <cellStyle name="Migliaia 50 5 6 3" xfId="37402" xr:uid="{DBBF02B1-8472-49BF-9A6F-C91FA3DF6CF0}"/>
    <cellStyle name="Migliaia 50 5 6 4" xfId="42689" xr:uid="{879C00AC-11B6-48EA-9B37-CEAEBF9A04D6}"/>
    <cellStyle name="Migliaia 50 5 7" xfId="25255" xr:uid="{5B073FA8-83BA-4EAD-A393-D83C7CD38698}"/>
    <cellStyle name="Migliaia 50 5 8" xfId="7565" xr:uid="{3EBED094-B62C-42F4-BA30-900EB80E2804}"/>
    <cellStyle name="Migliaia 50 6" xfId="3837" xr:uid="{A371CFB9-2028-437F-B4EA-9C7804A49ED6}"/>
    <cellStyle name="Migliaia 50 6 2" xfId="5563" xr:uid="{20BA3BFE-3478-41C1-BD2B-2EB4B64F64F5}"/>
    <cellStyle name="Migliaia 50 6 2 2" xfId="9971" xr:uid="{86513CED-F266-489D-A8FC-D54147ECC04A}"/>
    <cellStyle name="Migliaia 50 6 2 3" xfId="18635" xr:uid="{9C3FAEAB-D0F2-42E5-AF5F-0052470305B5}"/>
    <cellStyle name="Migliaia 50 6 2 4" xfId="20876" xr:uid="{4F8DA746-4109-41E0-928C-DD96C10CDC74}"/>
    <cellStyle name="Migliaia 50 6 2 5" xfId="32456" xr:uid="{596E16D8-9107-4BE6-B4C8-FB2E79FEC034}"/>
    <cellStyle name="Migliaia 50 6 2 6" xfId="16728" xr:uid="{DF129FDB-6A08-4C0D-8058-2BCCC01F1D13}"/>
    <cellStyle name="Migliaia 50 6 2 7" xfId="8750" xr:uid="{BA6BE6C2-FD11-475B-968C-5A33AEDF0AE7}"/>
    <cellStyle name="Migliaia 50 6 3" xfId="6741" xr:uid="{821DA7F8-1DB0-439C-8CE9-6A0DC2D46436}"/>
    <cellStyle name="Migliaia 50 6 3 2" xfId="35442" xr:uid="{092DB4FC-3F60-47F4-806F-B1FEFFD2CF03}"/>
    <cellStyle name="Migliaia 50 6 3 2 2" xfId="40602" xr:uid="{7843EA1D-4B51-4023-B148-8D60751E7F5F}"/>
    <cellStyle name="Migliaia 50 6 3 2 3" xfId="45904" xr:uid="{14B61ECD-E6F2-45D3-8906-BCF01F6FBA00}"/>
    <cellStyle name="Migliaia 50 6 3 3" xfId="37951" xr:uid="{2C733FBC-C985-4054-AD21-7ADAE1517F6E}"/>
    <cellStyle name="Migliaia 50 6 3 4" xfId="43253" xr:uid="{C145806D-A57A-49F5-B546-9ADA63CF1736}"/>
    <cellStyle name="Migliaia 50 6 3 5" xfId="9734" xr:uid="{DEC5C49D-3B1D-4ADE-A162-DBA153813ACB}"/>
    <cellStyle name="Migliaia 50 6 4" xfId="20875" xr:uid="{92E347F4-9726-42B7-8DC3-95E4A372C4D2}"/>
    <cellStyle name="Migliaia 50 6 4 2" xfId="40039" xr:uid="{789DC33B-DBD1-4955-8FA6-11F9BB443358}"/>
    <cellStyle name="Migliaia 50 6 4 3" xfId="45341" xr:uid="{F300C7CD-C809-4FD8-B7C3-803C9C32B992}"/>
    <cellStyle name="Migliaia 50 6 4 4" xfId="34430" xr:uid="{1B26F56B-E7D8-4112-83F0-C9C2E5CC61E4}"/>
    <cellStyle name="Migliaia 50 6 5" xfId="37403" xr:uid="{A6FC72C6-A384-4B73-B3A2-817E99FE8C2B}"/>
    <cellStyle name="Migliaia 50 6 6" xfId="42690" xr:uid="{E90E7432-8D99-4CAC-A2BA-2A9DBF7F715E}"/>
    <cellStyle name="Migliaia 50 6 7" xfId="16727" xr:uid="{F3523076-0081-4C61-8D3A-3C2202B86910}"/>
    <cellStyle name="Migliaia 50 6 8" xfId="7560" xr:uid="{1A22BF61-C624-4E2A-B68E-607E1955695A}"/>
    <cellStyle name="Migliaia 50 7" xfId="3838" xr:uid="{80CD9E38-1608-4D63-AF43-9629E0C03EEE}"/>
    <cellStyle name="Migliaia 50 7 2" xfId="5564" xr:uid="{4BECC92C-1125-4FF3-BAAB-7520683DCD9B}"/>
    <cellStyle name="Migliaia 50 7 2 2" xfId="35443" xr:uid="{85FBE9B1-C588-4CAD-BE74-47E1FE63A112}"/>
    <cellStyle name="Migliaia 50 7 2 2 2" xfId="40603" xr:uid="{040FBA71-1142-4435-84AD-D932979A0E7A}"/>
    <cellStyle name="Migliaia 50 7 2 2 3" xfId="45905" xr:uid="{4E1664F7-EA90-456E-A00D-62F5A9AE59AC}"/>
    <cellStyle name="Migliaia 50 7 2 3" xfId="37952" xr:uid="{D3E52A8A-1829-4C0D-BA3D-D6F328254057}"/>
    <cellStyle name="Migliaia 50 7 2 4" xfId="43254" xr:uid="{D5EB6A54-C3AF-4428-ACBC-3A147F3A4236}"/>
    <cellStyle name="Migliaia 50 7 2 5" xfId="14314" xr:uid="{26BF982B-45E3-4550-8371-C1CF37CF99F5}"/>
    <cellStyle name="Migliaia 50 7 3" xfId="6742" xr:uid="{2DDFB624-42A8-4612-BD61-45F774755535}"/>
    <cellStyle name="Migliaia 50 7 3 2" xfId="40040" xr:uid="{9BC92768-F193-4406-83BA-1B11B004233F}"/>
    <cellStyle name="Migliaia 50 7 3 3" xfId="45342" xr:uid="{96DEDF34-AE49-4037-98AA-E484F1205FA3}"/>
    <cellStyle name="Migliaia 50 7 3 4" xfId="34431" xr:uid="{F1E26382-12D2-4A48-BAD2-53C3A7BC8763}"/>
    <cellStyle name="Migliaia 50 7 3 5" xfId="20877" xr:uid="{0DB37FDE-EC78-4056-8099-DC247568E64F}"/>
    <cellStyle name="Migliaia 50 7 4" xfId="37404" xr:uid="{F1761FFD-6F0F-4C08-BE8E-C36565B3C3E5}"/>
    <cellStyle name="Migliaia 50 7 5" xfId="42691" xr:uid="{5C301C0C-6FC0-4222-8698-53D792AAEE20}"/>
    <cellStyle name="Migliaia 50 7 6" xfId="16729" xr:uid="{7D04BC87-F80E-4943-9614-73442EC1D748}"/>
    <cellStyle name="Migliaia 50 7 7" xfId="8376" xr:uid="{293E46F2-B24F-4CE6-B6CB-6BD281501D9B}"/>
    <cellStyle name="Migliaia 50 8" xfId="3839" xr:uid="{33E97BBD-C1BF-45AD-89BB-CB5D003145DC}"/>
    <cellStyle name="Migliaia 50 8 2" xfId="5565" xr:uid="{F2200D22-0E42-4820-8404-E386BE09584B}"/>
    <cellStyle name="Migliaia 50 8 2 2" xfId="35444" xr:uid="{8668F01C-123B-4F40-B43F-E739EC5A4411}"/>
    <cellStyle name="Migliaia 50 8 2 2 2" xfId="40604" xr:uid="{7A4EC703-E9D1-4EF6-B77A-5716F607993F}"/>
    <cellStyle name="Migliaia 50 8 2 2 3" xfId="45906" xr:uid="{246DA7D4-D053-469C-A593-3D32D35A0924}"/>
    <cellStyle name="Migliaia 50 8 2 3" xfId="37953" xr:uid="{2FF763D6-7FED-40D9-A511-7BF1286EC985}"/>
    <cellStyle name="Migliaia 50 8 2 4" xfId="43255" xr:uid="{5C34F352-BBAE-4C46-99D9-A3CAC92F05EA}"/>
    <cellStyle name="Migliaia 50 8 2 5" xfId="14019" xr:uid="{DF9DF165-9D41-48A7-A921-CFDA00F1E0FB}"/>
    <cellStyle name="Migliaia 50 8 3" xfId="6743" xr:uid="{E4ED31A0-E29E-4DE4-9054-37DE1F282765}"/>
    <cellStyle name="Migliaia 50 8 3 2" xfId="40041" xr:uid="{EE27D4FB-EE34-4789-9885-79A49AA62861}"/>
    <cellStyle name="Migliaia 50 8 3 3" xfId="45343" xr:uid="{DA4A3227-8AE7-45B5-809B-0487118BC58E}"/>
    <cellStyle name="Migliaia 50 8 3 4" xfId="34432" xr:uid="{3250E0C0-C9F4-4043-9200-622CCF7B7A6D}"/>
    <cellStyle name="Migliaia 50 8 3 5" xfId="20878" xr:uid="{08751F4B-27AA-4B66-A3E2-E9D39F34B4D1}"/>
    <cellStyle name="Migliaia 50 8 4" xfId="37405" xr:uid="{EA7C8A04-8464-4404-B673-B89B708EFE49}"/>
    <cellStyle name="Migliaia 50 8 5" xfId="42692" xr:uid="{11D6B600-8008-49D4-BE9A-AD5ECF209B45}"/>
    <cellStyle name="Migliaia 50 8 6" xfId="16730" xr:uid="{A6CF562F-178B-48C0-AD4D-A7640726E606}"/>
    <cellStyle name="Migliaia 50 8 7" xfId="8002" xr:uid="{9B5A864A-D266-4652-AFE1-CF9F219B80FA}"/>
    <cellStyle name="Migliaia 50 9" xfId="5550" xr:uid="{DBDDFA74-FB76-4FFA-A808-B56318FDC025}"/>
    <cellStyle name="Migliaia 50 9 2" xfId="34433" xr:uid="{0587CA73-C33F-43EF-A5FF-50A33FB88CE3}"/>
    <cellStyle name="Migliaia 50 9 2 2" xfId="40042" xr:uid="{7B506BBB-C23D-400C-B139-EC41E1BE69D5}"/>
    <cellStyle name="Migliaia 50 9 2 3" xfId="45344" xr:uid="{D9C8AA83-9B16-453B-9830-4869D75B5D93}"/>
    <cellStyle name="Migliaia 50 9 3" xfId="37406" xr:uid="{990C7E2E-53A8-4EC9-9DF2-257F244A4FFD}"/>
    <cellStyle name="Migliaia 50 9 4" xfId="42693" xr:uid="{85F0C84F-56E4-4899-A194-52F712655D98}"/>
    <cellStyle name="Migliaia 50 9 5" xfId="17225" xr:uid="{06A9AC49-1E56-4BEA-96B9-B05E22E57BB0}"/>
    <cellStyle name="Migliaia 51" xfId="485" xr:uid="{00000000-0005-0000-0000-00005D040000}"/>
    <cellStyle name="Migliaia 51 10" xfId="6744" xr:uid="{AACC4D75-CF7A-4BE3-A08B-DACE5A0D9604}"/>
    <cellStyle name="Migliaia 51 10 2" xfId="40043" xr:uid="{1EF780A5-F325-4A7E-AE97-FA0769C6D1F3}"/>
    <cellStyle name="Migliaia 51 10 3" xfId="45345" xr:uid="{6AD7590D-42D9-452E-96A6-58261B2D778A}"/>
    <cellStyle name="Migliaia 51 10 4" xfId="34434" xr:uid="{59050920-9216-4691-8CDC-AFF6481CAE91}"/>
    <cellStyle name="Migliaia 51 10 5" xfId="20879" xr:uid="{254E9BDB-9B00-4985-A5FC-60EEB03DC101}"/>
    <cellStyle name="Migliaia 51 11" xfId="3840" xr:uid="{618DEF42-A21C-46FC-A76E-9C41CAE26608}"/>
    <cellStyle name="Migliaia 51 11 2" xfId="37407" xr:uid="{3722AAC4-DAA7-4000-8FC8-0BF67B3DED44}"/>
    <cellStyle name="Migliaia 51 12" xfId="42694" xr:uid="{82ACA318-E8D4-4E6A-8A33-F3C5571BE058}"/>
    <cellStyle name="Migliaia 51 13" xfId="7180" xr:uid="{22C88A87-D20D-4C82-BE78-94808A0EFA79}"/>
    <cellStyle name="Migliaia 51 2" xfId="486" xr:uid="{00000000-0005-0000-0000-00005E040000}"/>
    <cellStyle name="Migliaia 51 2 2" xfId="1886" xr:uid="{00000000-0005-0000-0000-00005F040000}"/>
    <cellStyle name="Migliaia 51 2 2 2" xfId="5568" xr:uid="{65A01FB0-C034-4D03-ADF2-21145A5E0CF0}"/>
    <cellStyle name="Migliaia 51 2 2 2 2" xfId="14409" xr:uid="{69DB1BDD-BEB0-4744-AD0A-23CA87385493}"/>
    <cellStyle name="Migliaia 51 2 2 2 2 2" xfId="40044" xr:uid="{24689146-7358-4F92-911C-834AA2BD0885}"/>
    <cellStyle name="Migliaia 51 2 2 2 2 3" xfId="45346" xr:uid="{0FC407F0-ED00-47D1-AC6D-F4717C35D7CD}"/>
    <cellStyle name="Migliaia 51 2 2 2 3" xfId="18500" xr:uid="{C92E5990-62E8-49A4-849C-438E87FC724B}"/>
    <cellStyle name="Migliaia 51 2 2 2 4" xfId="20882" xr:uid="{0B7D5AD5-0359-49AF-B2AB-5941ECFA51AD}"/>
    <cellStyle name="Migliaia 51 2 2 2 4 2" xfId="42695" xr:uid="{CFAB48F8-48C4-4684-A947-46031C345DA6}"/>
    <cellStyle name="Migliaia 51 2 2 2 5" xfId="16731" xr:uid="{86205CAD-5BA1-42A1-A48A-BA9174A0A2A4}"/>
    <cellStyle name="Migliaia 51 2 2 2 6" xfId="8757" xr:uid="{07D13B81-A7F2-4C84-AFA9-1F037EB96902}"/>
    <cellStyle name="Migliaia 51 2 2 3" xfId="6746" xr:uid="{5139F08B-47AA-4BAE-B41F-1DE4436E5FA6}"/>
    <cellStyle name="Migliaia 51 2 2 3 2" xfId="35445" xr:uid="{5FD6A422-0C61-4116-B809-0862DF381233}"/>
    <cellStyle name="Migliaia 51 2 2 3 2 2" xfId="40605" xr:uid="{9520FD4E-C6E0-4EB9-B6FB-4F9440EB7C01}"/>
    <cellStyle name="Migliaia 51 2 2 3 2 3" xfId="45907" xr:uid="{C6C66F1C-7072-4746-84AB-41729478D2AB}"/>
    <cellStyle name="Migliaia 51 2 2 3 3" xfId="37954" xr:uid="{B052A76E-4EE0-4B59-B081-ADA3227A8C76}"/>
    <cellStyle name="Migliaia 51 2 2 3 4" xfId="43256" xr:uid="{D42D326E-1E48-4896-ACF8-37ABF7A96474}"/>
    <cellStyle name="Migliaia 51 2 2 3 5" xfId="11636" xr:uid="{C53200DC-5476-48A6-B023-53C690DBFAA6}"/>
    <cellStyle name="Migliaia 51 2 2 4" xfId="3842" xr:uid="{4C940DD2-A32A-4052-A1A9-0B7253505CA9}"/>
    <cellStyle name="Migliaia 51 2 2 4 2" xfId="21598" xr:uid="{FB192CAF-31AB-4948-B955-62F01114D52F}"/>
    <cellStyle name="Migliaia 51 2 2 4 3" xfId="48140" xr:uid="{76C23F74-E6C9-4345-B9D8-FD1E53E88889}"/>
    <cellStyle name="Migliaia 51 2 2 4 4" xfId="50613" xr:uid="{E8DAFA30-80CE-4BC0-9BE2-4F34B16D270D}"/>
    <cellStyle name="Migliaia 51 2 2 4 5" xfId="53629" xr:uid="{FCE007CF-03F8-454F-BCC1-9CFF4108ED6B}"/>
    <cellStyle name="Migliaia 51 2 2 4 6" xfId="10963" xr:uid="{AD68A98C-7AF1-41D2-B3ED-E66ECF59A477}"/>
    <cellStyle name="Migliaia 51 2 2 5" xfId="20881" xr:uid="{0D2232D7-97D7-4756-82EC-6710A0349DB8}"/>
    <cellStyle name="Migliaia 51 2 2 6" xfId="25260" xr:uid="{57CB82AB-C1E5-4662-AF6C-627240B38E1C}"/>
    <cellStyle name="Migliaia 51 2 2 7" xfId="7567" xr:uid="{A5B15680-4B9D-4258-B4D3-BA9E24EE479D}"/>
    <cellStyle name="Migliaia 51 2 3" xfId="3843" xr:uid="{AAC52EA7-8BB9-440D-8EDA-BFF1B24C4178}"/>
    <cellStyle name="Migliaia 51 2 3 2" xfId="5569" xr:uid="{4411E18C-E0C7-4640-A93E-348004503912}"/>
    <cellStyle name="Migliaia 51 2 3 2 2" xfId="35446" xr:uid="{82D1C8E7-73D3-461C-851D-2A19E7A3DA2C}"/>
    <cellStyle name="Migliaia 51 2 3 2 2 2" xfId="40606" xr:uid="{6588AA90-3916-4E56-8934-EDD88A61ED83}"/>
    <cellStyle name="Migliaia 51 2 3 2 2 3" xfId="45908" xr:uid="{40694EDC-04B3-4F5E-AD9C-DA28D3DB9EF1}"/>
    <cellStyle name="Migliaia 51 2 3 2 3" xfId="37955" xr:uid="{BC0E9C44-C373-4A67-9B20-9755D6EFADE3}"/>
    <cellStyle name="Migliaia 51 2 3 2 4" xfId="43257" xr:uid="{9548DA8F-F331-46FB-A3AD-D5D314468D0F}"/>
    <cellStyle name="Migliaia 51 2 3 2 5" xfId="14318" xr:uid="{B640F0F4-1AA8-4F42-BBE2-818BEE8B28E9}"/>
    <cellStyle name="Migliaia 51 2 3 3" xfId="6747" xr:uid="{AD2512A3-CBC3-4EB8-B80F-1B1F365D37AD}"/>
    <cellStyle name="Migliaia 51 2 3 3 2" xfId="40045" xr:uid="{BC3B61EC-4871-4779-9A49-9AAE4654823F}"/>
    <cellStyle name="Migliaia 51 2 3 3 3" xfId="45347" xr:uid="{563BF86E-D805-4135-B57E-C6EC182278A7}"/>
    <cellStyle name="Migliaia 51 2 3 3 4" xfId="34435" xr:uid="{B1FFA2BB-342A-435B-89CE-A42827132B34}"/>
    <cellStyle name="Migliaia 51 2 3 3 5" xfId="20883" xr:uid="{B568ED2E-6263-4A8A-B0C3-0153C53CB3BD}"/>
    <cellStyle name="Migliaia 51 2 3 4" xfId="37408" xr:uid="{161FAD11-D0B7-4F96-A86B-2E3BA7B4191D}"/>
    <cellStyle name="Migliaia 51 2 3 5" xfId="42696" xr:uid="{BDFD5DB0-0AAE-4537-9FAB-BBCE411547A8}"/>
    <cellStyle name="Migliaia 51 2 3 6" xfId="16732" xr:uid="{C43B715A-610E-4C3B-8EBA-3FB2ACA46602}"/>
    <cellStyle name="Migliaia 51 2 3 7" xfId="8380" xr:uid="{20A2D898-9504-4A01-88A1-694A3D7EB60F}"/>
    <cellStyle name="Migliaia 51 2 4" xfId="5567" xr:uid="{B72E00B5-6BEA-423C-9227-B50B9B1E3B60}"/>
    <cellStyle name="Migliaia 51 2 4 2" xfId="14023" xr:uid="{455C510C-93AA-4419-86DA-9080F34A509C}"/>
    <cellStyle name="Migliaia 51 2 4 2 2" xfId="40046" xr:uid="{59423B34-4491-4AEB-A716-23BEFD2D0820}"/>
    <cellStyle name="Migliaia 51 2 4 2 3" xfId="45348" xr:uid="{F29A2ADB-BB82-4906-AD60-20733309B431}"/>
    <cellStyle name="Migliaia 51 2 4 3" xfId="18154" xr:uid="{DE9F55B6-A3D5-4AC9-B5B0-AB611EB16DC5}"/>
    <cellStyle name="Migliaia 51 2 4 4" xfId="20884" xr:uid="{42A4B7E8-57E8-4692-9155-356D86C33605}"/>
    <cellStyle name="Migliaia 51 2 4 4 2" xfId="42697" xr:uid="{A01CE82E-BA96-4564-B5A8-F5C4F97EBFFE}"/>
    <cellStyle name="Migliaia 51 2 4 5" xfId="16733" xr:uid="{3FA41C99-A7F2-4A54-B64A-62ABA58DBFBA}"/>
    <cellStyle name="Migliaia 51 2 4 6" xfId="8007" xr:uid="{5B222FFC-F39D-42E7-9496-82D46C6F0357}"/>
    <cellStyle name="Migliaia 51 2 5" xfId="6745" xr:uid="{5832C5BB-A2D4-40C7-A2E6-1A664E518E31}"/>
    <cellStyle name="Migliaia 51 2 5 2" xfId="34436" xr:uid="{35468F6C-6746-4AE4-BAEB-69A905956468}"/>
    <cellStyle name="Migliaia 51 2 5 2 2" xfId="40047" xr:uid="{E4BC34E5-B83F-41B0-8989-57CBAA19CFF9}"/>
    <cellStyle name="Migliaia 51 2 5 2 3" xfId="45349" xr:uid="{9D4BD845-1A6C-48AC-8149-4CED7A628C92}"/>
    <cellStyle name="Migliaia 51 2 5 3" xfId="37409" xr:uid="{F1054420-687B-41DE-B5ED-163218E98361}"/>
    <cellStyle name="Migliaia 51 2 5 4" xfId="42698" xr:uid="{5ED2A68B-88B8-4DA2-B789-F85EE736D844}"/>
    <cellStyle name="Migliaia 51 2 5 5" xfId="13149" xr:uid="{91F5B867-F141-4C4A-90E0-3985F2CDF0F9}"/>
    <cellStyle name="Migliaia 51 2 6" xfId="3841" xr:uid="{A475D162-7F50-45B2-B159-C5966420D600}"/>
    <cellStyle name="Migliaia 51 2 6 2" xfId="34437" xr:uid="{F474D48A-9787-4F03-A598-75FF96E481D3}"/>
    <cellStyle name="Migliaia 51 2 6 2 2" xfId="40048" xr:uid="{07AA8A4C-AB5C-4C77-8FC3-3F84A4D002A2}"/>
    <cellStyle name="Migliaia 51 2 6 2 3" xfId="45350" xr:uid="{6DA26545-4F20-4403-824D-1EEB95FEBE3E}"/>
    <cellStyle name="Migliaia 51 2 6 3" xfId="37410" xr:uid="{EF878B43-946F-4544-8F7A-B21588240A0B}"/>
    <cellStyle name="Migliaia 51 2 6 4" xfId="42699" xr:uid="{362532A7-264B-4478-AD55-C38954B17F04}"/>
    <cellStyle name="Migliaia 51 2 6 5" xfId="25261" xr:uid="{3BEC76DE-485C-4DCE-81EF-364D22794B3A}"/>
    <cellStyle name="Migliaia 51 2 6 6" xfId="20880" xr:uid="{4A78F5FF-6746-49A8-851A-3B0C11F717BC}"/>
    <cellStyle name="Migliaia 51 2 7" xfId="25259" xr:uid="{1C3519EC-B9B7-4063-9644-1673E3F32B7F}"/>
    <cellStyle name="Migliaia 51 2 8" xfId="7181" xr:uid="{B940C770-D136-4054-A129-E4AE430D5FDD}"/>
    <cellStyle name="Migliaia 51 3" xfId="487" xr:uid="{00000000-0005-0000-0000-000060040000}"/>
    <cellStyle name="Migliaia 51 3 10" xfId="25262" xr:uid="{EEDC3129-394C-4C8F-B82A-72A3AE915476}"/>
    <cellStyle name="Migliaia 51 3 11" xfId="16734" xr:uid="{C7418672-13A8-45E4-8EBC-C554E7C276F1}"/>
    <cellStyle name="Migliaia 51 3 12" xfId="7182" xr:uid="{1CA8BB4B-4493-4B2C-9F78-E0AC57562393}"/>
    <cellStyle name="Migliaia 51 3 2" xfId="488" xr:uid="{00000000-0005-0000-0000-000061040000}"/>
    <cellStyle name="Migliaia 51 3 2 2" xfId="1887" xr:uid="{00000000-0005-0000-0000-000062040000}"/>
    <cellStyle name="Migliaia 51 3 2 2 2" xfId="5572" xr:uid="{C9D4FC38-94E1-4E0F-8E01-E7394383E78D}"/>
    <cellStyle name="Migliaia 51 3 2 2 2 2" xfId="18501" xr:uid="{3E99B817-AC86-4930-A33E-5F45D1DAEF8A}"/>
    <cellStyle name="Migliaia 51 3 2 2 2 2 2" xfId="21887" xr:uid="{07EECA38-15F0-42F5-9016-01AD1E9271A4}"/>
    <cellStyle name="Migliaia 51 3 2 2 2 2 2 2" xfId="40049" xr:uid="{691522FC-F8E2-4A87-B71A-2903820C3B50}"/>
    <cellStyle name="Migliaia 51 3 2 2 2 2 3" xfId="45351" xr:uid="{95EC84FB-9C65-4A4A-9303-5B59EAC1891E}"/>
    <cellStyle name="Migliaia 51 3 2 2 2 2 4" xfId="34438" xr:uid="{A3C2E95D-3F04-48D2-9AC9-C6B0986799AD}"/>
    <cellStyle name="Migliaia 51 3 2 2 2 3" xfId="37411" xr:uid="{5A480581-D15C-42A0-BB25-63FB7FC3E03D}"/>
    <cellStyle name="Migliaia 51 3 2 2 2 4" xfId="42700" xr:uid="{9493302E-068F-4EE4-988A-996ECB3F1342}"/>
    <cellStyle name="Migliaia 51 3 2 2 2 5" xfId="46752" xr:uid="{F9E0791B-5C38-414B-8D10-2099A5D33426}"/>
    <cellStyle name="Migliaia 51 3 2 2 2 6" xfId="50915" xr:uid="{5BD0DD3F-D77B-4267-8A41-1E7B746D5685}"/>
    <cellStyle name="Migliaia 51 3 2 2 2 7" xfId="53931" xr:uid="{D7BFE94D-E09B-46D5-B733-6A2E025F8AB2}"/>
    <cellStyle name="Migliaia 51 3 2 2 2 8" xfId="17686" xr:uid="{4E3DE057-91F8-4A3C-9B55-67844EF58F36}"/>
    <cellStyle name="Migliaia 51 3 2 2 2 9" xfId="12071" xr:uid="{E6ED9A02-7B18-47E9-BC15-F76043316D65}"/>
    <cellStyle name="Migliaia 51 3 2 2 3" xfId="6750" xr:uid="{ABFC92A4-0C1C-4C8E-AE41-1EE37D87AF60}"/>
    <cellStyle name="Migliaia 51 3 2 2 3 2" xfId="12204" xr:uid="{D618D4D8-5F86-4200-8D1B-C7BC6BDF6AF1}"/>
    <cellStyle name="Migliaia 51 3 2 2 4" xfId="3846" xr:uid="{E0D450B9-DAF9-49E0-9A5E-93CCC4970CF0}"/>
    <cellStyle name="Migliaia 51 3 2 2 4 2" xfId="21599" xr:uid="{F5C0F943-C8B6-4B16-8BA7-7DAA736B8708}"/>
    <cellStyle name="Migliaia 51 3 2 2 4 3" xfId="48239" xr:uid="{F4951285-5602-4204-B5B2-6CF73A029478}"/>
    <cellStyle name="Migliaia 51 3 2 2 4 4" xfId="50614" xr:uid="{F4F450B9-7554-40CA-9468-5691F68A44B5}"/>
    <cellStyle name="Migliaia 51 3 2 2 4 5" xfId="53630" xr:uid="{53740DCB-A24E-4F67-8FCB-59D328F70C2B}"/>
    <cellStyle name="Migliaia 51 3 2 2 4 6" xfId="10964" xr:uid="{156D548C-2EAC-45D8-8F46-AAAFCA1ACFA9}"/>
    <cellStyle name="Migliaia 51 3 2 2 5" xfId="20887" xr:uid="{1B51F9F3-AD78-4CCD-B5E0-14BB69863916}"/>
    <cellStyle name="Migliaia 51 3 2 2 6" xfId="25264" xr:uid="{C1028061-A3B7-4CAD-A14E-BD1488644DDD}"/>
    <cellStyle name="Migliaia 51 3 2 2 7" xfId="8759" xr:uid="{3FA7D0EF-22A8-4199-BAA9-15ED7719BE3B}"/>
    <cellStyle name="Migliaia 51 3 2 3" xfId="5571" xr:uid="{5468F957-723F-49C9-8B21-5319CD9B3813}"/>
    <cellStyle name="Migliaia 51 3 2 3 2" xfId="12401" xr:uid="{6EA0C870-FA82-412A-B451-94755D43CEE5}"/>
    <cellStyle name="Migliaia 51 3 2 3 2 2" xfId="40050" xr:uid="{8EC45305-4E62-4DA5-BE68-2A68C662AED6}"/>
    <cellStyle name="Migliaia 51 3 2 3 2 3" xfId="45352" xr:uid="{48F39C2A-9DBD-4775-AD4B-D82173C24CB0}"/>
    <cellStyle name="Migliaia 51 3 2 3 2 4" xfId="34439" xr:uid="{BECE0C31-A4E9-4E85-AA26-00E24E7E98CB}"/>
    <cellStyle name="Migliaia 51 3 2 3 3" xfId="12072" xr:uid="{E112498B-D88D-42B1-9CA1-A245B91011B3}"/>
    <cellStyle name="Migliaia 51 3 2 3 4" xfId="20888" xr:uid="{B56A6D99-F1CB-48E4-A83E-825B3B1CD1BC}"/>
    <cellStyle name="Migliaia 51 3 2 3 4 2" xfId="42701" xr:uid="{3CAF63F1-E192-43E1-93C7-D83703C51BF9}"/>
    <cellStyle name="Migliaia 51 3 2 3 5" xfId="16735" xr:uid="{DC632837-F083-4A43-B8FD-E9A933A4D795}"/>
    <cellStyle name="Migliaia 51 3 2 3 6" xfId="8009" xr:uid="{14FA5821-2A7B-4C9C-853C-A454634513C2}"/>
    <cellStyle name="Migliaia 51 3 2 4" xfId="6749" xr:uid="{3FB4E0F9-19D5-422A-9F28-9D61ED2A5680}"/>
    <cellStyle name="Migliaia 51 3 2 4 2" xfId="18103" xr:uid="{59C9D4C9-4E15-4388-B880-A3F1932698B1}"/>
    <cellStyle name="Migliaia 51 3 2 4 2 2" xfId="40051" xr:uid="{62435F1B-A157-4E42-A30D-3465B43E33F7}"/>
    <cellStyle name="Migliaia 51 3 2 4 2 3" xfId="45353" xr:uid="{DB873B2E-24D7-4EA9-BC34-89AE62F12236}"/>
    <cellStyle name="Migliaia 51 3 2 4 3" xfId="37412" xr:uid="{2C2F662F-39E1-4656-822A-1FCAC7416398}"/>
    <cellStyle name="Migliaia 51 3 2 4 4" xfId="42702" xr:uid="{9B0EA5E5-A488-4D1D-B4FC-660C343ABBBA}"/>
    <cellStyle name="Migliaia 51 3 2 4 5" xfId="17228" xr:uid="{D261A442-C004-465D-9A9A-3906D00C815B}"/>
    <cellStyle name="Migliaia 51 3 2 4 6" xfId="11422" xr:uid="{222EF433-29F1-46AA-A4E6-5BFEC88396E0}"/>
    <cellStyle name="Migliaia 51 3 2 5" xfId="3845" xr:uid="{6AF79E83-0B69-48F2-877E-233B9CB08D66}"/>
    <cellStyle name="Migliaia 51 3 2 5 2" xfId="34440" xr:uid="{8DC49DEC-3616-4F1E-8996-53CF8BB16A77}"/>
    <cellStyle name="Migliaia 51 3 2 5 2 2" xfId="40052" xr:uid="{4D2C19A3-ED0F-44F0-84DD-65EA297E1766}"/>
    <cellStyle name="Migliaia 51 3 2 5 2 3" xfId="45354" xr:uid="{30F437CE-63B1-4C38-8018-57AA45A7C6B6}"/>
    <cellStyle name="Migliaia 51 3 2 5 3" xfId="37413" xr:uid="{6390DD11-07E1-40C2-8E59-213DDFA3F7CC}"/>
    <cellStyle name="Migliaia 51 3 2 5 4" xfId="42703" xr:uid="{5342C061-CB2F-4705-AB25-7CBE9E6D0BFC}"/>
    <cellStyle name="Migliaia 51 3 2 5 5" xfId="17288" xr:uid="{2DAD68B4-FF1E-46FF-BF9C-EE31B74B01F1}"/>
    <cellStyle name="Migliaia 51 3 2 6" xfId="20886" xr:uid="{B6A128D0-F5AB-480C-A135-A8877C69E2AB}"/>
    <cellStyle name="Migliaia 51 3 2 6 2" xfId="34441" xr:uid="{1B393B5B-C029-47DB-846F-22A1A7DD7193}"/>
    <cellStyle name="Migliaia 51 3 2 6 2 2" xfId="40053" xr:uid="{8DCC4DF8-B170-4953-B39E-832DE9A4DC9D}"/>
    <cellStyle name="Migliaia 51 3 2 6 2 3" xfId="45355" xr:uid="{373DF620-FC77-4F31-A7C6-A9F69580C115}"/>
    <cellStyle name="Migliaia 51 3 2 6 3" xfId="37414" xr:uid="{19E4A576-8ACE-4648-B821-9E0ACE5CC882}"/>
    <cellStyle name="Migliaia 51 3 2 6 4" xfId="42704" xr:uid="{098BFA88-A937-43F0-ABE8-04380B89604C}"/>
    <cellStyle name="Migliaia 51 3 2 6 5" xfId="25265" xr:uid="{ADCBB565-B2F5-41B5-99B2-14B2E2E8BA03}"/>
    <cellStyle name="Migliaia 51 3 2 7" xfId="25263" xr:uid="{83C7EA8C-5152-4D07-86CA-129101B42445}"/>
    <cellStyle name="Migliaia 51 3 2 8" xfId="7569" xr:uid="{AA2332FD-4B25-4183-B416-B72D80CD07C6}"/>
    <cellStyle name="Migliaia 51 3 3" xfId="3847" xr:uid="{F95EDA76-92EB-45F1-95CF-B369510ED1A3}"/>
    <cellStyle name="Migliaia 51 3 3 10" xfId="7568" xr:uid="{FEDA4A63-A000-4F2D-B71D-6C54F953F1B5}"/>
    <cellStyle name="Migliaia 51 3 3 2" xfId="5573" xr:uid="{8832C0C3-B99F-4792-90F1-44F323CACD69}"/>
    <cellStyle name="Migliaia 51 3 3 2 2" xfId="9974" xr:uid="{2806FCCC-5917-4DB9-8D93-A94D6FB7F492}"/>
    <cellStyle name="Migliaia 51 3 3 2 2 2" xfId="40055" xr:uid="{75EF6C1E-3B8E-4825-857B-A57FDCAA50F3}"/>
    <cellStyle name="Migliaia 51 3 3 2 2 3" xfId="45357" xr:uid="{7A2D9311-7E6A-4A29-B672-01D79EC7F38A}"/>
    <cellStyle name="Migliaia 51 3 3 2 3" xfId="18254" xr:uid="{CC3B53B7-EBA5-4F3A-83ED-FEFB4249AA7F}"/>
    <cellStyle name="Migliaia 51 3 3 2 4" xfId="20890" xr:uid="{4388B202-5B12-450D-92A6-82786117DA0D}"/>
    <cellStyle name="Migliaia 51 3 3 2 4 2" xfId="42706" xr:uid="{5CF73747-6EA1-42FE-B336-547019361A38}"/>
    <cellStyle name="Migliaia 51 3 3 2 5" xfId="16737" xr:uid="{7127C657-A3AC-4ADB-A12F-213FB6AA4390}"/>
    <cellStyle name="Migliaia 51 3 3 2 6" xfId="8758" xr:uid="{E41BB661-E489-4C3C-A8AB-05B5BC821226}"/>
    <cellStyle name="Migliaia 51 3 3 3" xfId="6751" xr:uid="{A24C6DE4-2606-4764-8B70-6D906A498FD6}"/>
    <cellStyle name="Migliaia 51 3 3 3 2" xfId="34443" xr:uid="{BB22CD5B-0574-4FFF-8DA0-C3C8091BC89F}"/>
    <cellStyle name="Migliaia 51 3 3 3 2 2" xfId="40056" xr:uid="{0872971B-C691-4D3F-9E6C-F3A182842416}"/>
    <cellStyle name="Migliaia 51 3 3 3 2 3" xfId="45358" xr:uid="{5291D30E-DF86-4B4F-978A-B43D84906B9B}"/>
    <cellStyle name="Migliaia 51 3 3 3 3" xfId="37416" xr:uid="{AA7C3D4B-2C8A-436C-9C63-04BEBAF5656E}"/>
    <cellStyle name="Migliaia 51 3 3 3 4" xfId="42707" xr:uid="{C80D93B2-0560-4DF3-9A9D-8433A9377A62}"/>
    <cellStyle name="Migliaia 51 3 3 3 5" xfId="9737" xr:uid="{A3F0E2AE-F6B2-45BC-8023-FF45B8DE96B9}"/>
    <cellStyle name="Migliaia 51 3 3 4" xfId="20889" xr:uid="{7C7DC3F9-D14E-4780-8261-D7CCC83475A2}"/>
    <cellStyle name="Migliaia 51 3 3 4 2" xfId="34444" xr:uid="{DC0F437F-B127-4A13-B38B-01E23E16EEE9}"/>
    <cellStyle name="Migliaia 51 3 3 4 2 2" xfId="40057" xr:uid="{E1FB3E29-4772-421A-869C-A66EB53077D4}"/>
    <cellStyle name="Migliaia 51 3 3 4 2 3" xfId="45359" xr:uid="{00C20CDF-A8CC-4342-9F22-0F6A97BED62C}"/>
    <cellStyle name="Migliaia 51 3 3 4 3" xfId="37417" xr:uid="{8A62CD0C-BF1E-46FD-AFA0-A61AF66E42B7}"/>
    <cellStyle name="Migliaia 51 3 3 4 4" xfId="42708" xr:uid="{799CAB45-19A0-4631-A6D6-96969EC872B9}"/>
    <cellStyle name="Migliaia 51 3 3 4 5" xfId="25266" xr:uid="{E1F87FDA-262B-4162-87AF-B87E2846CE37}"/>
    <cellStyle name="Migliaia 51 3 3 5" xfId="25267" xr:uid="{2321537E-8128-4A92-8C4F-CA5534354602}"/>
    <cellStyle name="Migliaia 51 3 3 5 2" xfId="34445" xr:uid="{2D35A12A-E098-46BE-9D01-E2F6F02E9F6A}"/>
    <cellStyle name="Migliaia 51 3 3 5 2 2" xfId="40058" xr:uid="{B5C77B17-6536-4037-A439-1E7A29BDDB6C}"/>
    <cellStyle name="Migliaia 51 3 3 5 2 3" xfId="45360" xr:uid="{B80CA341-72AA-40AE-A36D-6ECDABB8057D}"/>
    <cellStyle name="Migliaia 51 3 3 5 3" xfId="37418" xr:uid="{2CFEB244-04F3-4D28-93E7-3EEA2690FC1B}"/>
    <cellStyle name="Migliaia 51 3 3 5 4" xfId="42709" xr:uid="{EC8C7066-0E7E-4BEF-B060-1369FFF0E3E7}"/>
    <cellStyle name="Migliaia 51 3 3 6" xfId="34442" xr:uid="{815078C5-8494-4CE1-A0A6-E82E13681697}"/>
    <cellStyle name="Migliaia 51 3 3 6 2" xfId="40054" xr:uid="{4DC94106-94AA-4C5D-BC1D-4DDD23E9E8FE}"/>
    <cellStyle name="Migliaia 51 3 3 6 3" xfId="45356" xr:uid="{AB9FDC4F-6BC1-421F-BB29-FAA1408D3604}"/>
    <cellStyle name="Migliaia 51 3 3 7" xfId="37415" xr:uid="{890B3C1B-6821-46E6-BD71-9CD792F64667}"/>
    <cellStyle name="Migliaia 51 3 3 8" xfId="42705" xr:uid="{3B7D3152-B04A-4078-8AB9-D2A833D6DEA0}"/>
    <cellStyle name="Migliaia 51 3 3 9" xfId="16736" xr:uid="{D8DAB506-0BB9-43DD-8C94-4E367C28D26A}"/>
    <cellStyle name="Migliaia 51 3 4" xfId="3848" xr:uid="{EE0B44F8-EB5A-44B9-A26F-5F0B1B85E61A}"/>
    <cellStyle name="Migliaia 51 3 4 2" xfId="5574" xr:uid="{35A4ACEE-D015-4CB5-B468-D5B5696FFDCF}"/>
    <cellStyle name="Migliaia 51 3 4 2 2" xfId="14469" xr:uid="{F0D5F85F-5814-4DAA-BE57-89F034534F4A}"/>
    <cellStyle name="Migliaia 51 3 4 2 3" xfId="18046" xr:uid="{B3FAACBC-D301-4D03-91B8-6094C24090C8}"/>
    <cellStyle name="Migliaia 51 3 4 2 4" xfId="20892" xr:uid="{A9F91AB3-DCAA-4D61-A227-9464C5E08BA6}"/>
    <cellStyle name="Migliaia 51 3 4 2 5" xfId="32457" xr:uid="{B86287A1-A96A-48C8-87A9-C685566E5C8D}"/>
    <cellStyle name="Migliaia 51 3 4 2 6" xfId="16739" xr:uid="{D9E93EFD-E2C5-4FD4-A1A8-0B15B7D4BA34}"/>
    <cellStyle name="Migliaia 51 3 4 2 7" xfId="8892" xr:uid="{A3595935-2301-4528-BF91-993FC143F85E}"/>
    <cellStyle name="Migliaia 51 3 4 3" xfId="6752" xr:uid="{53D5B2D1-6A78-4314-A5DC-BE623023CB11}"/>
    <cellStyle name="Migliaia 51 3 4 3 2" xfId="35447" xr:uid="{2C873F54-9E66-482A-90B2-B66833DB3B10}"/>
    <cellStyle name="Migliaia 51 3 4 3 2 2" xfId="40607" xr:uid="{1B5BEAFE-E855-4507-A4CE-DA70E98D0D7F}"/>
    <cellStyle name="Migliaia 51 3 4 3 2 3" xfId="45909" xr:uid="{7F456736-133C-4648-BAAD-94803E170A81}"/>
    <cellStyle name="Migliaia 51 3 4 3 3" xfId="37956" xr:uid="{9B805263-5059-4695-8392-F83FDD15D95B}"/>
    <cellStyle name="Migliaia 51 3 4 3 4" xfId="43258" xr:uid="{0DDBB22E-9066-4D42-B960-CCCE0EF85B9B}"/>
    <cellStyle name="Migliaia 51 3 4 3 5" xfId="13717" xr:uid="{B8D8ECE5-894E-4091-BAA2-4BF1E3D9C940}"/>
    <cellStyle name="Migliaia 51 3 4 4" xfId="20891" xr:uid="{17C72E51-720D-4100-A989-772D1472D77C}"/>
    <cellStyle name="Migliaia 51 3 4 4 2" xfId="40059" xr:uid="{86E460EE-8E3D-499C-90DA-2283A03FCDD1}"/>
    <cellStyle name="Migliaia 51 3 4 4 3" xfId="45361" xr:uid="{4F73B98F-9B47-436A-80FA-E1A27649B8E7}"/>
    <cellStyle name="Migliaia 51 3 4 4 4" xfId="34446" xr:uid="{1C70B74F-C1E9-4CA9-A4CB-B98EC4866501}"/>
    <cellStyle name="Migliaia 51 3 4 5" xfId="37419" xr:uid="{E7B85C02-FF11-4474-8F39-814B5B2E6C1E}"/>
    <cellStyle name="Migliaia 51 3 4 6" xfId="42710" xr:uid="{8B6554D2-D404-45EB-827A-E5629DEE1417}"/>
    <cellStyle name="Migliaia 51 3 4 7" xfId="16738" xr:uid="{6D2861F1-9150-499F-9BB2-5723DB569E7D}"/>
    <cellStyle name="Migliaia 51 3 4 8" xfId="7702" xr:uid="{55222F6A-454B-4E36-AC8D-09260AA81642}"/>
    <cellStyle name="Migliaia 51 3 5" xfId="3849" xr:uid="{5ADA7F42-8A78-40BE-9AF7-D55388D481CE}"/>
    <cellStyle name="Migliaia 51 3 5 2" xfId="5575" xr:uid="{8E840EBA-D277-4909-9E47-C263F89822F2}"/>
    <cellStyle name="Migliaia 51 3 5 2 2" xfId="35448" xr:uid="{332A61DA-DEE0-46E3-B891-D08670C9BECE}"/>
    <cellStyle name="Migliaia 51 3 5 2 2 2" xfId="40608" xr:uid="{9C2A628E-B51C-44A0-89BC-6747A0877996}"/>
    <cellStyle name="Migliaia 51 3 5 2 2 3" xfId="45910" xr:uid="{686646C1-274B-44CE-A289-5BB6838A6CBF}"/>
    <cellStyle name="Migliaia 51 3 5 2 3" xfId="37957" xr:uid="{B9F42A48-97F2-4E36-87CB-1FE40C6ED432}"/>
    <cellStyle name="Migliaia 51 3 5 2 4" xfId="43259" xr:uid="{4065EE2D-7034-4438-9F08-C8045EFF23B9}"/>
    <cellStyle name="Migliaia 51 3 5 2 5" xfId="14319" xr:uid="{32D17BE1-DFE4-4E63-9D07-329DC420C1EF}"/>
    <cellStyle name="Migliaia 51 3 5 3" xfId="6753" xr:uid="{D1B0A480-40D4-46B1-B85D-4A6267E8401E}"/>
    <cellStyle name="Migliaia 51 3 5 3 2" xfId="40060" xr:uid="{3D27DEDF-EF41-49AD-8E4D-1AFD09EA1EE7}"/>
    <cellStyle name="Migliaia 51 3 5 3 3" xfId="45362" xr:uid="{37F70042-DF34-4EEC-89A6-DD1C2C6AC18A}"/>
    <cellStyle name="Migliaia 51 3 5 3 4" xfId="34447" xr:uid="{9CB4D862-8FE4-4CAF-8284-147B7887FCE3}"/>
    <cellStyle name="Migliaia 51 3 5 3 5" xfId="20893" xr:uid="{D44E1B07-1C0C-40CC-A6AD-19656488944C}"/>
    <cellStyle name="Migliaia 51 3 5 4" xfId="37420" xr:uid="{AD6CB6F0-81CE-41F4-ACB0-658075D97DB4}"/>
    <cellStyle name="Migliaia 51 3 5 5" xfId="42711" xr:uid="{CB216156-A5C3-4C7D-B031-B4EB39AE8A58}"/>
    <cellStyle name="Migliaia 51 3 5 6" xfId="16740" xr:uid="{43B103A6-8101-449E-A24D-DCDF11A5F2EA}"/>
    <cellStyle name="Migliaia 51 3 5 7" xfId="8381" xr:uid="{4B1A62C7-1498-4C4C-BBC9-00F570470006}"/>
    <cellStyle name="Migliaia 51 3 6" xfId="5570" xr:uid="{625C77C9-166B-497C-B063-E8F85BB936DC}"/>
    <cellStyle name="Migliaia 51 3 6 2" xfId="14024" xr:uid="{E81096C7-E17B-4C22-ACB8-283C27741704}"/>
    <cellStyle name="Migliaia 51 3 6 2 2" xfId="40061" xr:uid="{3ADC097F-D49F-4A2A-8158-5537DA3C192B}"/>
    <cellStyle name="Migliaia 51 3 6 2 3" xfId="45363" xr:uid="{38ACA782-8A97-42B1-A856-C0E681F00D9D}"/>
    <cellStyle name="Migliaia 51 3 6 3" xfId="18690" xr:uid="{68C06613-F26B-40B2-9275-96531CF461BD}"/>
    <cellStyle name="Migliaia 51 3 6 4" xfId="20894" xr:uid="{C2E2EA3E-AB1B-4C13-BAC7-89C9627B00E2}"/>
    <cellStyle name="Migliaia 51 3 6 4 2" xfId="42712" xr:uid="{5A6CAD93-B5DA-4690-BEE1-816C5BD58412}"/>
    <cellStyle name="Migliaia 51 3 6 5" xfId="16741" xr:uid="{1427EA86-6BE4-40D6-AA55-3EBFCA655BD5}"/>
    <cellStyle name="Migliaia 51 3 6 6" xfId="8008" xr:uid="{A8645A47-4767-4A59-9933-B1C8E83BD337}"/>
    <cellStyle name="Migliaia 51 3 7" xfId="6748" xr:uid="{393AFC89-CFB9-4C48-A486-C73E49E36684}"/>
    <cellStyle name="Migliaia 51 3 7 2" xfId="34448" xr:uid="{D1F0EE13-0DD6-444F-A898-13593E0F92B9}"/>
    <cellStyle name="Migliaia 51 3 7 2 2" xfId="40062" xr:uid="{B54A7294-BE4F-418C-862D-A039DE8D22C2}"/>
    <cellStyle name="Migliaia 51 3 7 2 3" xfId="45364" xr:uid="{F5AE59BD-A879-4975-9974-516F67887B80}"/>
    <cellStyle name="Migliaia 51 3 7 3" xfId="37421" xr:uid="{9D3B119E-8388-44C0-84A6-5F3E84737A44}"/>
    <cellStyle name="Migliaia 51 3 7 4" xfId="42713" xr:uid="{B1310912-1607-49B3-8470-D125C7033BB1}"/>
    <cellStyle name="Migliaia 51 3 7 5" xfId="11128" xr:uid="{CB04B241-FF8C-471B-91CB-52AF0A69CF6A}"/>
    <cellStyle name="Migliaia 51 3 8" xfId="3844" xr:uid="{1C60F52E-5FBF-4613-94A9-48448D399308}"/>
    <cellStyle name="Migliaia 51 3 8 2" xfId="34449" xr:uid="{CD1BCB7F-8DA7-4B9D-A73B-B8B4BCC5F37A}"/>
    <cellStyle name="Migliaia 51 3 8 2 2" xfId="40063" xr:uid="{6D8B5CF2-FF35-44E1-838E-345ACC3B8BE7}"/>
    <cellStyle name="Migliaia 51 3 8 2 3" xfId="45365" xr:uid="{4D9203A5-06D9-4999-9A09-A8324FEF2DBE}"/>
    <cellStyle name="Migliaia 51 3 8 3" xfId="37422" xr:uid="{15AFDBC7-DD08-42C4-ABC1-690A06AC296F}"/>
    <cellStyle name="Migliaia 51 3 8 4" xfId="42714" xr:uid="{14485DC0-32CA-4335-8B14-1E18C4AB6F81}"/>
    <cellStyle name="Migliaia 51 3 8 5" xfId="25268" xr:uid="{975B8F5C-7EAA-4D6D-8DDC-AEC69B412F9C}"/>
    <cellStyle name="Migliaia 51 3 8 6" xfId="17289" xr:uid="{D0964318-79F3-477E-84E8-0E6203B22C14}"/>
    <cellStyle name="Migliaia 51 3 9" xfId="20885" xr:uid="{92D0026A-58AB-4B80-A32A-0231F1703454}"/>
    <cellStyle name="Migliaia 51 4" xfId="1888" xr:uid="{00000000-0005-0000-0000-000063040000}"/>
    <cellStyle name="Migliaia 51 4 2" xfId="1889" xr:uid="{00000000-0005-0000-0000-000064040000}"/>
    <cellStyle name="Migliaia 51 4 2 2" xfId="5577" xr:uid="{75FA0004-DE90-407B-93B6-2F250AF634BD}"/>
    <cellStyle name="Migliaia 51 4 2 2 2" xfId="34450" xr:uid="{B8BDB6AD-F367-429C-BE99-54BD290F619C}"/>
    <cellStyle name="Migliaia 51 4 2 2 2 2" xfId="40064" xr:uid="{0B3E15DF-CCB0-453D-A563-D51C67D7245F}"/>
    <cellStyle name="Migliaia 51 4 2 2 2 3" xfId="45366" xr:uid="{F356C5FC-5FC1-4662-BDDC-9C136C3BF7A9}"/>
    <cellStyle name="Migliaia 51 4 2 2 3" xfId="37423" xr:uid="{B4746189-D759-45D4-824B-C27C5990C982}"/>
    <cellStyle name="Migliaia 51 4 2 2 4" xfId="42715" xr:uid="{8FC4D0F8-5B41-437F-96B8-7B10CF76B467}"/>
    <cellStyle name="Migliaia 51 4 2 2 5" xfId="9200" xr:uid="{115C23CA-3C5F-47A5-B159-3ACC7A9BFCDB}"/>
    <cellStyle name="Migliaia 51 4 2 3" xfId="3851" xr:uid="{8C651A77-98CE-488E-A6D9-8D4AF767DA35}"/>
    <cellStyle name="Migliaia 51 4 2 3 2" xfId="34451" xr:uid="{5635B184-E56D-4CA0-895D-DBB8F5E5F112}"/>
    <cellStyle name="Migliaia 51 4 2 3 2 2" xfId="40065" xr:uid="{D315C9BC-01F7-454F-9337-515FDD35E565}"/>
    <cellStyle name="Migliaia 51 4 2 3 2 3" xfId="45367" xr:uid="{18944AA0-CCBB-4049-8828-0265A0E58F60}"/>
    <cellStyle name="Migliaia 51 4 2 3 3" xfId="37424" xr:uid="{F01280DB-55AE-44F0-9E61-26073D75C68C}"/>
    <cellStyle name="Migliaia 51 4 2 3 4" xfId="42716" xr:uid="{1C2BA31E-50E7-469B-8E66-319525C29D04}"/>
    <cellStyle name="Migliaia 51 4 2 3 5" xfId="12073" xr:uid="{17E120F5-094C-4557-A12A-C18214B97E40}"/>
    <cellStyle name="Migliaia 51 4 2 4" xfId="11424" xr:uid="{12163FAA-EE00-40BC-9622-AAF588F2AC82}"/>
    <cellStyle name="Migliaia 51 4 2 5" xfId="10966" xr:uid="{D0032F20-B0DD-463F-A1C5-70A72536977F}"/>
    <cellStyle name="Migliaia 51 4 2 5 2" xfId="21601" xr:uid="{2A14B30D-2971-469E-819A-AA848A14E8FD}"/>
    <cellStyle name="Migliaia 51 4 2 5 3" xfId="46261" xr:uid="{3B5038CE-ECC3-408F-B443-036F5CA02075}"/>
    <cellStyle name="Migliaia 51 4 2 5 4" xfId="50616" xr:uid="{A0528E47-4775-454A-9CCB-6B3C89781E03}"/>
    <cellStyle name="Migliaia 51 4 2 5 5" xfId="53632" xr:uid="{9AD12CCB-F4FA-4A9D-88A7-99FFD49E30B5}"/>
    <cellStyle name="Migliaia 51 4 2 6" xfId="20896" xr:uid="{3A07A07D-330C-4E95-8FB3-843EED434E74}"/>
    <cellStyle name="Migliaia 51 4 2 7" xfId="25270" xr:uid="{39DBA420-2028-4330-8949-DAA2B02867FE}"/>
    <cellStyle name="Migliaia 51 4 2 8" xfId="8760" xr:uid="{15C170DE-2F8F-4649-BC6B-A3AB6E14F272}"/>
    <cellStyle name="Migliaia 51 4 3" xfId="5576" xr:uid="{AC0D6A30-F049-43FB-8C5C-60674D8A342A}"/>
    <cellStyle name="Migliaia 51 4 3 2" xfId="18255" xr:uid="{5E8E0270-9DB0-460C-B895-0FE105B92A42}"/>
    <cellStyle name="Migliaia 51 4 3 2 2" xfId="40066" xr:uid="{DC3A2861-FA35-475B-BCDE-613305061311}"/>
    <cellStyle name="Migliaia 51 4 3 2 3" xfId="45368" xr:uid="{FB98ED08-6512-4DEC-8299-CDEDE76ECE03}"/>
    <cellStyle name="Migliaia 51 4 3 3" xfId="37425" xr:uid="{835F1C73-13EF-464B-B2B8-AC28F07FB4DF}"/>
    <cellStyle name="Migliaia 51 4 3 4" xfId="42717" xr:uid="{3906885B-674B-4E1C-BCA0-09B90CFCEDB4}"/>
    <cellStyle name="Migliaia 51 4 3 5" xfId="17287" xr:uid="{51B83CF4-6C4B-44B7-9181-C7F6405C3216}"/>
    <cellStyle name="Migliaia 51 4 3 6" xfId="9201" xr:uid="{FB431797-EDC1-4B86-92CA-41EBAE6EC05E}"/>
    <cellStyle name="Migliaia 51 4 4" xfId="6754" xr:uid="{8627033C-CEA5-4BE9-8875-4B6C1A37899A}"/>
    <cellStyle name="Migliaia 51 4 4 2" xfId="34452" xr:uid="{1461472C-A835-49FB-9D9F-7458888E96A9}"/>
    <cellStyle name="Migliaia 51 4 4 2 2" xfId="40067" xr:uid="{9220C2AC-A756-4721-AA30-3E7F466EAF86}"/>
    <cellStyle name="Migliaia 51 4 4 2 3" xfId="45369" xr:uid="{18EA6514-5159-45AD-892D-56E7D243B076}"/>
    <cellStyle name="Migliaia 51 4 4 3" xfId="37426" xr:uid="{CA5CE187-BA68-4935-B207-5F5C2246AE8F}"/>
    <cellStyle name="Migliaia 51 4 4 4" xfId="42718" xr:uid="{2F3C1089-2551-4D7B-9732-65C0B3875245}"/>
    <cellStyle name="Migliaia 51 4 4 5" xfId="12074" xr:uid="{7B81C56B-1710-4454-BCE5-FFCC196B1EEB}"/>
    <cellStyle name="Migliaia 51 4 5" xfId="3850" xr:uid="{F8755A77-E664-4A3A-91F3-384017DD3BBA}"/>
    <cellStyle name="Migliaia 51 4 5 2" xfId="34453" xr:uid="{BD49CE2A-E4F1-4D64-AB11-6B7F762C6C67}"/>
    <cellStyle name="Migliaia 51 4 5 2 2" xfId="40068" xr:uid="{3295057F-1103-4F97-A54C-3616155E8586}"/>
    <cellStyle name="Migliaia 51 4 5 2 3" xfId="45370" xr:uid="{FA8EE575-1876-4684-9DA5-2A9953F89C31}"/>
    <cellStyle name="Migliaia 51 4 5 3" xfId="37427" xr:uid="{6944435E-A98A-4101-BDE6-438F21292A5A}"/>
    <cellStyle name="Migliaia 51 4 5 4" xfId="42719" xr:uid="{E6ABB800-ADD4-4C1F-AD48-B68211DF89B4}"/>
    <cellStyle name="Migliaia 51 4 5 5" xfId="11423" xr:uid="{146CD7D9-D4AD-4EAE-8461-43FED7F4A71E}"/>
    <cellStyle name="Migliaia 51 4 6" xfId="10965" xr:uid="{BDA2B445-5E3A-4A93-8D34-E027A38DEBBC}"/>
    <cellStyle name="Migliaia 51 4 6 2" xfId="21600" xr:uid="{A583FBCC-2079-4C75-B8B2-4AEAA9BA8198}"/>
    <cellStyle name="Migliaia 51 4 6 2 2" xfId="40069" xr:uid="{37309D4F-589F-40D3-8336-612D8C8DCABB}"/>
    <cellStyle name="Migliaia 51 4 6 2 3" xfId="45371" xr:uid="{A7EE51B7-AAE4-4C65-8133-1301C1D311F3}"/>
    <cellStyle name="Migliaia 51 4 6 2 4" xfId="34454" xr:uid="{CB61338F-8D8F-4A7F-A9E6-36F1E419A793}"/>
    <cellStyle name="Migliaia 51 4 6 3" xfId="37428" xr:uid="{56CBA54C-894D-493C-BDD9-EC63D34BD5AC}"/>
    <cellStyle name="Migliaia 51 4 6 4" xfId="42720" xr:uid="{BBECB8EF-D25F-4099-8673-0D81272181C4}"/>
    <cellStyle name="Migliaia 51 4 6 5" xfId="25271" xr:uid="{7B5513FC-E8E5-4A26-9298-365CC5F22DEE}"/>
    <cellStyle name="Migliaia 51 4 6 6" xfId="23992" xr:uid="{76FF9638-25B9-4B4D-A77F-A556F83180C2}"/>
    <cellStyle name="Migliaia 51 4 6 7" xfId="50615" xr:uid="{D864E286-94F6-4BCE-AA43-7AB87D6B9F30}"/>
    <cellStyle name="Migliaia 51 4 6 8" xfId="53631" xr:uid="{27FE056F-CAB2-49F6-B331-4CAB1E73D360}"/>
    <cellStyle name="Migliaia 51 4 7" xfId="20895" xr:uid="{BB66D15A-2065-472A-9FB7-7B0B006CF08E}"/>
    <cellStyle name="Migliaia 51 4 7 2" xfId="34455" xr:uid="{AD9BFAF1-D590-4902-B092-6F8D66197D5E}"/>
    <cellStyle name="Migliaia 51 4 7 2 2" xfId="40070" xr:uid="{2408A1D4-F658-412C-917F-8181DC58C39A}"/>
    <cellStyle name="Migliaia 51 4 7 2 3" xfId="45372" xr:uid="{B960DD17-D2D8-4592-8CCF-40278948E7C0}"/>
    <cellStyle name="Migliaia 51 4 7 3" xfId="37429" xr:uid="{04C7728D-488B-468D-82E6-B456E7C229D3}"/>
    <cellStyle name="Migliaia 51 4 7 4" xfId="42721" xr:uid="{AC204B21-3BF4-49E9-8485-04B16B489C01}"/>
    <cellStyle name="Migliaia 51 4 7 5" xfId="25272" xr:uid="{A63762C1-E0FD-49AF-BEC2-AFD6E6CC0304}"/>
    <cellStyle name="Migliaia 51 4 8" xfId="25269" xr:uid="{D23B320B-0316-4F7A-A956-D77460EDF12B}"/>
    <cellStyle name="Migliaia 51 4 9" xfId="7570" xr:uid="{447B5022-8019-409A-99C4-088164EF8368}"/>
    <cellStyle name="Migliaia 51 5" xfId="1890" xr:uid="{00000000-0005-0000-0000-000065040000}"/>
    <cellStyle name="Migliaia 51 5 2" xfId="5578" xr:uid="{1EAF9CB0-5795-4A4C-AD74-6A03A80E7E52}"/>
    <cellStyle name="Migliaia 51 5 2 2" xfId="18502" xr:uid="{AF1BF1C5-A10E-44DD-9DBC-65519C55E9F0}"/>
    <cellStyle name="Migliaia 51 5 2 2 2" xfId="40071" xr:uid="{27FB7BBD-549D-42BA-98AD-12D503C036D1}"/>
    <cellStyle name="Migliaia 51 5 2 2 3" xfId="45373" xr:uid="{C0BBD35B-EA73-4401-AF0D-E034EE4289B6}"/>
    <cellStyle name="Migliaia 51 5 2 3" xfId="20898" xr:uid="{EE905997-9338-45B5-A672-1C79F837666D}"/>
    <cellStyle name="Migliaia 51 5 2 3 2" xfId="37430" xr:uid="{6A88741F-7009-4E9C-BE84-EE5C431344E9}"/>
    <cellStyle name="Migliaia 51 5 2 4" xfId="42722" xr:uid="{DE6980F6-6205-42A3-854B-C1B3DB43E021}"/>
    <cellStyle name="Migliaia 51 5 2 5" xfId="16742" xr:uid="{38C9ABBD-69F8-48E6-BDAB-A98797A333CF}"/>
    <cellStyle name="Migliaia 51 5 2 6" xfId="8761" xr:uid="{CE1345BA-5E1F-4BFA-980A-6852A741C8E8}"/>
    <cellStyle name="Migliaia 51 5 3" xfId="6755" xr:uid="{4F366AE7-23DC-4EC1-A0B8-35CBDDF39021}"/>
    <cellStyle name="Migliaia 51 5 3 2" xfId="34456" xr:uid="{96A89A2C-9DD5-438C-86FE-41422063ED37}"/>
    <cellStyle name="Migliaia 51 5 3 2 2" xfId="40072" xr:uid="{91A6618C-6CFB-42F2-8F51-064A31D6406C}"/>
    <cellStyle name="Migliaia 51 5 3 2 3" xfId="45374" xr:uid="{509F17CF-2FD6-4D35-BE19-D12CCF34851A}"/>
    <cellStyle name="Migliaia 51 5 3 3" xfId="37431" xr:uid="{4AFD9C1F-C422-4D45-85B6-1EA5753109C4}"/>
    <cellStyle name="Migliaia 51 5 3 4" xfId="42723" xr:uid="{84DC89C2-9C9F-427E-AB8A-6003C4814ADE}"/>
    <cellStyle name="Migliaia 51 5 3 5" xfId="11425" xr:uid="{26F70FDD-DE7E-490E-B53D-ECEE89891C85}"/>
    <cellStyle name="Migliaia 51 5 4" xfId="3852" xr:uid="{F3CED710-64AB-43B8-AB4E-32D7E1BE0406}"/>
    <cellStyle name="Migliaia 51 5 4 2" xfId="21602" xr:uid="{435F0E4D-A72F-4343-B4A7-60CA68E40C01}"/>
    <cellStyle name="Migliaia 51 5 4 2 2" xfId="40073" xr:uid="{45FC7206-41B6-45D3-8A04-E3DDC90BDB0C}"/>
    <cellStyle name="Migliaia 51 5 4 2 3" xfId="45375" xr:uid="{894916C3-424C-4E11-9288-183A26173FED}"/>
    <cellStyle name="Migliaia 51 5 4 2 4" xfId="34457" xr:uid="{0B20D239-B686-417E-9031-E210A5041545}"/>
    <cellStyle name="Migliaia 51 5 4 3" xfId="37432" xr:uid="{765EFE4B-9E90-47C3-B428-783D145C2120}"/>
    <cellStyle name="Migliaia 51 5 4 4" xfId="42724" xr:uid="{5B7799AD-1042-4D02-AED2-B0234E4F966A}"/>
    <cellStyle name="Migliaia 51 5 4 5" xfId="25274" xr:uid="{3C52EA0E-5B2F-4372-8734-262FDB20584E}"/>
    <cellStyle name="Migliaia 51 5 4 6" xfId="34314" xr:uid="{EEDEFE40-1148-4612-8F57-7ED97F474E9D}"/>
    <cellStyle name="Migliaia 51 5 4 7" xfId="50617" xr:uid="{A4782DA7-B60C-4641-8B51-B51D6ACBE882}"/>
    <cellStyle name="Migliaia 51 5 4 8" xfId="53633" xr:uid="{49A5FD92-33E5-4506-9A1E-0DE3DB391C66}"/>
    <cellStyle name="Migliaia 51 5 4 9" xfId="10967" xr:uid="{B6B68598-9E36-449A-8DFC-BF458DF52D63}"/>
    <cellStyle name="Migliaia 51 5 5" xfId="20897" xr:uid="{0D725F8B-3C83-4A95-8548-C57B40F7910C}"/>
    <cellStyle name="Migliaia 51 5 5 2" xfId="34458" xr:uid="{75068530-2C74-45FD-BD90-472A56656A37}"/>
    <cellStyle name="Migliaia 51 5 5 2 2" xfId="40074" xr:uid="{A5753DB2-FBC8-4B70-B311-87FE2DD02F02}"/>
    <cellStyle name="Migliaia 51 5 5 2 3" xfId="45376" xr:uid="{D0B9DA37-399D-4B98-9B23-33AAE46A620F}"/>
    <cellStyle name="Migliaia 51 5 5 3" xfId="37433" xr:uid="{C480CE0D-3CBD-46A9-BD02-E9EE41E268E4}"/>
    <cellStyle name="Migliaia 51 5 5 4" xfId="42725" xr:uid="{61A9CB4C-5F53-4CBD-B61D-C6A11A735EC0}"/>
    <cellStyle name="Migliaia 51 5 5 5" xfId="25275" xr:uid="{CBA37AB2-8529-4D7A-BBC4-B051B28BC462}"/>
    <cellStyle name="Migliaia 51 5 6" xfId="25276" xr:uid="{972A74D9-6197-47C8-BE9A-604416B56509}"/>
    <cellStyle name="Migliaia 51 5 6 2" xfId="34459" xr:uid="{DE692C07-42F5-4A58-B8CB-ABB68A8B810F}"/>
    <cellStyle name="Migliaia 51 5 6 2 2" xfId="40075" xr:uid="{DEF83C61-458C-4B77-8026-56C019D1DD05}"/>
    <cellStyle name="Migliaia 51 5 6 2 3" xfId="45377" xr:uid="{E048E1AF-1ACD-4B75-8E77-E9455E21282A}"/>
    <cellStyle name="Migliaia 51 5 6 3" xfId="37434" xr:uid="{DB93C7D6-5F5C-42F1-B33B-18D8B2DDF919}"/>
    <cellStyle name="Migliaia 51 5 6 4" xfId="42726" xr:uid="{FFB6F940-A6B1-4DD3-8D74-20F1B37D9748}"/>
    <cellStyle name="Migliaia 51 5 7" xfId="25273" xr:uid="{93A2C678-6D40-49DC-81C1-051E7BFA7DAA}"/>
    <cellStyle name="Migliaia 51 5 8" xfId="7571" xr:uid="{DC48D016-8AC3-40DE-86CA-D978441A6F3F}"/>
    <cellStyle name="Migliaia 51 6" xfId="3853" xr:uid="{1E301903-4C53-4992-902D-1F017D8456EA}"/>
    <cellStyle name="Migliaia 51 6 2" xfId="5579" xr:uid="{DBD49CC6-48A0-43EA-9527-003717943D06}"/>
    <cellStyle name="Migliaia 51 6 2 2" xfId="9973" xr:uid="{A668CB6B-AD53-43C8-A02E-BB53BCC83127}"/>
    <cellStyle name="Migliaia 51 6 2 3" xfId="18634" xr:uid="{6552C497-8975-441E-88B4-EBFBE3DF0EE3}"/>
    <cellStyle name="Migliaia 51 6 2 4" xfId="20900" xr:uid="{445F8FCC-98E2-4291-8CC8-8B0AB4E27033}"/>
    <cellStyle name="Migliaia 51 6 2 5" xfId="32458" xr:uid="{A3CB650B-1227-4936-9D6C-037EA749FA7E}"/>
    <cellStyle name="Migliaia 51 6 2 6" xfId="16744" xr:uid="{70296184-38B1-4340-99A3-F47CF39BDC85}"/>
    <cellStyle name="Migliaia 51 6 2 7" xfId="8756" xr:uid="{62D9F80B-5182-4B44-8D45-2439700B8864}"/>
    <cellStyle name="Migliaia 51 6 3" xfId="6756" xr:uid="{C5903F44-3F9D-4364-BA79-928A1B73295E}"/>
    <cellStyle name="Migliaia 51 6 3 2" xfId="35449" xr:uid="{3DAFF199-5E40-43B7-AD99-279D31AAD946}"/>
    <cellStyle name="Migliaia 51 6 3 2 2" xfId="40609" xr:uid="{72014B06-7D89-4ECA-BA01-DD740AF99F04}"/>
    <cellStyle name="Migliaia 51 6 3 2 3" xfId="45911" xr:uid="{4CD8D439-B14F-457E-852E-3DBEC526EF06}"/>
    <cellStyle name="Migliaia 51 6 3 3" xfId="37958" xr:uid="{4A44B2E4-1B69-48EE-809B-6CC633846791}"/>
    <cellStyle name="Migliaia 51 6 3 4" xfId="43260" xr:uid="{6B9FD06C-3103-41D3-807C-DDA34D324E63}"/>
    <cellStyle name="Migliaia 51 6 3 5" xfId="9736" xr:uid="{97E2CB9A-108B-4A21-823B-392E69943B4E}"/>
    <cellStyle name="Migliaia 51 6 4" xfId="20899" xr:uid="{79C60B0D-F6DB-431D-B0C3-2625CDB5A185}"/>
    <cellStyle name="Migliaia 51 6 4 2" xfId="40076" xr:uid="{AE29A181-CF47-4F1D-9FF9-878F7483324D}"/>
    <cellStyle name="Migliaia 51 6 4 3" xfId="45378" xr:uid="{4BAF136A-AC08-4C8E-BD93-6546803A4E5D}"/>
    <cellStyle name="Migliaia 51 6 4 4" xfId="34460" xr:uid="{4C8CE7FC-219A-4DD7-B650-ADF50E455EA4}"/>
    <cellStyle name="Migliaia 51 6 5" xfId="37435" xr:uid="{0E1CF819-93DD-44BC-9CEF-FF59024F3752}"/>
    <cellStyle name="Migliaia 51 6 6" xfId="42727" xr:uid="{E4CC239F-01D3-4456-B4EB-41F2DB695E50}"/>
    <cellStyle name="Migliaia 51 6 7" xfId="16743" xr:uid="{3E7707AA-8923-4493-93DE-6AD3966E9E13}"/>
    <cellStyle name="Migliaia 51 6 8" xfId="7566" xr:uid="{44F9C4C3-80E0-4990-BC67-F12F2AE0ABF8}"/>
    <cellStyle name="Migliaia 51 7" xfId="3854" xr:uid="{520D5A07-1EFC-479D-A533-1AC2ED4B7D25}"/>
    <cellStyle name="Migliaia 51 7 2" xfId="5580" xr:uid="{C4D596D4-D510-4FD7-814C-BA6103B678ED}"/>
    <cellStyle name="Migliaia 51 7 2 2" xfId="35450" xr:uid="{CE50D21F-62E4-47B2-A7D0-A3AEEB81A99D}"/>
    <cellStyle name="Migliaia 51 7 2 2 2" xfId="40610" xr:uid="{CFEB15EF-DAE1-4D9F-B532-7232826BAE8C}"/>
    <cellStyle name="Migliaia 51 7 2 2 3" xfId="45912" xr:uid="{6CE6D76C-43A7-4303-9161-3B6E32845B71}"/>
    <cellStyle name="Migliaia 51 7 2 3" xfId="37959" xr:uid="{E3378A33-5101-4718-B058-ED1ADCD73A37}"/>
    <cellStyle name="Migliaia 51 7 2 4" xfId="43261" xr:uid="{EFFCA04E-BC73-44C8-BD16-26ABF55A975E}"/>
    <cellStyle name="Migliaia 51 7 2 5" xfId="14317" xr:uid="{59590874-3B62-4609-89FC-7A15B5C15AEF}"/>
    <cellStyle name="Migliaia 51 7 3" xfId="6757" xr:uid="{7B4EE3F6-4C65-4210-8D52-D1EB6F83B1CC}"/>
    <cellStyle name="Migliaia 51 7 3 2" xfId="40077" xr:uid="{298F0AEE-763F-4F70-B816-96DB48B35173}"/>
    <cellStyle name="Migliaia 51 7 3 3" xfId="45379" xr:uid="{A86EABF6-AFAD-4068-BD74-10377AC77296}"/>
    <cellStyle name="Migliaia 51 7 3 4" xfId="34461" xr:uid="{E6F60063-F98F-4A23-BF27-1FD9A2A15F32}"/>
    <cellStyle name="Migliaia 51 7 3 5" xfId="20901" xr:uid="{B376339B-FC0D-4D0F-A3F6-6A2C186AD59B}"/>
    <cellStyle name="Migliaia 51 7 4" xfId="37436" xr:uid="{896F5C82-F841-43ED-BEE0-3E44AAA931B5}"/>
    <cellStyle name="Migliaia 51 7 5" xfId="42728" xr:uid="{A817FFFD-54D0-4857-9C2E-CFA659E7A115}"/>
    <cellStyle name="Migliaia 51 7 6" xfId="16745" xr:uid="{39699297-716A-4DA1-A78F-0B5A2D4E415C}"/>
    <cellStyle name="Migliaia 51 7 7" xfId="8379" xr:uid="{FFF12317-D66F-4A0E-ABE0-3FAFE01217D6}"/>
    <cellStyle name="Migliaia 51 8" xfId="3855" xr:uid="{C31A8808-7EAB-4B89-9D5F-2BF47CE2C33E}"/>
    <cellStyle name="Migliaia 51 8 2" xfId="5581" xr:uid="{9381D578-0D5D-4059-9F47-B5136990127D}"/>
    <cellStyle name="Migliaia 51 8 2 2" xfId="35451" xr:uid="{ECA07493-038C-4694-B788-E3F2C05F32D1}"/>
    <cellStyle name="Migliaia 51 8 2 2 2" xfId="40611" xr:uid="{60CFB20D-FA29-4086-8E46-C2B7D342D671}"/>
    <cellStyle name="Migliaia 51 8 2 2 3" xfId="45913" xr:uid="{B4598F00-DB1B-4564-9B0D-5C675066BD0B}"/>
    <cellStyle name="Migliaia 51 8 2 3" xfId="37960" xr:uid="{09AE2394-9E09-470D-87EB-16F731B38D3E}"/>
    <cellStyle name="Migliaia 51 8 2 4" xfId="43262" xr:uid="{9C7EC12E-6E80-4D2B-9055-6692B2B93283}"/>
    <cellStyle name="Migliaia 51 8 2 5" xfId="14022" xr:uid="{E6E5BE84-2AFF-422B-81E2-EF699E9A534A}"/>
    <cellStyle name="Migliaia 51 8 3" xfId="6758" xr:uid="{0BBBB5C8-EE7A-4F1F-B5D7-39DD60FB227B}"/>
    <cellStyle name="Migliaia 51 8 3 2" xfId="40078" xr:uid="{B976829B-048D-4452-A04A-D7D0D726345E}"/>
    <cellStyle name="Migliaia 51 8 3 3" xfId="45380" xr:uid="{690EF684-151D-4240-8970-62789606D30D}"/>
    <cellStyle name="Migliaia 51 8 3 4" xfId="34462" xr:uid="{45BD5A13-B984-4BF0-B9ED-560E27648103}"/>
    <cellStyle name="Migliaia 51 8 3 5" xfId="20902" xr:uid="{B547F4BD-00DD-4B86-B02F-FBE6C9B5096E}"/>
    <cellStyle name="Migliaia 51 8 4" xfId="37437" xr:uid="{712719B4-2D76-4192-9A72-B505BA1FFA65}"/>
    <cellStyle name="Migliaia 51 8 5" xfId="42729" xr:uid="{333A5DDA-E53D-433A-96E6-3F60E37BFD42}"/>
    <cellStyle name="Migliaia 51 8 6" xfId="16746" xr:uid="{9593E764-AE0B-4045-8D77-62904582825D}"/>
    <cellStyle name="Migliaia 51 8 7" xfId="8006" xr:uid="{915AD889-95F9-438E-84B1-0D75F8098DD0}"/>
    <cellStyle name="Migliaia 51 9" xfId="5566" xr:uid="{AF09C562-BEDB-48C3-9A46-E255101142D0}"/>
    <cellStyle name="Migliaia 51 9 2" xfId="34463" xr:uid="{1EB28A87-226C-4AC5-937B-0C32E6938BDD}"/>
    <cellStyle name="Migliaia 51 9 2 2" xfId="40079" xr:uid="{3F8C161B-17A3-458E-9A30-EDD83324BB79}"/>
    <cellStyle name="Migliaia 51 9 2 3" xfId="45381" xr:uid="{A9B1F215-F24D-413B-805F-5E2B4F64C649}"/>
    <cellStyle name="Migliaia 51 9 3" xfId="37438" xr:uid="{CC3A0B9B-7A63-490B-9F4C-0C81344731A4}"/>
    <cellStyle name="Migliaia 51 9 4" xfId="42730" xr:uid="{40725B83-BF1F-4590-B669-D8B21C007494}"/>
    <cellStyle name="Migliaia 51 9 5" xfId="17227" xr:uid="{DF85ABE7-65EB-42DE-9959-5449372F97F5}"/>
    <cellStyle name="Migliaia 52" xfId="489" xr:uid="{00000000-0005-0000-0000-000066040000}"/>
    <cellStyle name="Migliaia 52 10" xfId="6759" xr:uid="{4F8F202B-9165-4708-81AA-0BA46E17474D}"/>
    <cellStyle name="Migliaia 52 10 2" xfId="40080" xr:uid="{DD4B7682-D5EC-43B2-B129-69B03C9B9109}"/>
    <cellStyle name="Migliaia 52 10 3" xfId="45382" xr:uid="{49395E3C-8600-4E25-8926-E497233A6ADD}"/>
    <cellStyle name="Migliaia 52 10 4" xfId="34464" xr:uid="{92E02E5B-FB72-4A4E-83BD-6A7DC539F6BB}"/>
    <cellStyle name="Migliaia 52 10 5" xfId="20903" xr:uid="{2792D51C-877F-4E42-A2DD-C945C098A090}"/>
    <cellStyle name="Migliaia 52 11" xfId="3856" xr:uid="{4A3D0EA7-7816-471C-8713-4FB2392E468B}"/>
    <cellStyle name="Migliaia 52 11 2" xfId="37439" xr:uid="{08BAFBFF-2833-4033-8A75-8730DB7DBF57}"/>
    <cellStyle name="Migliaia 52 12" xfId="42731" xr:uid="{E83667D6-595A-4736-96ED-3ED690F61147}"/>
    <cellStyle name="Migliaia 52 13" xfId="7183" xr:uid="{59C19A5D-07D0-4A08-8742-EA95DBDD92AA}"/>
    <cellStyle name="Migliaia 52 2" xfId="490" xr:uid="{00000000-0005-0000-0000-000067040000}"/>
    <cellStyle name="Migliaia 52 2 2" xfId="1891" xr:uid="{00000000-0005-0000-0000-000068040000}"/>
    <cellStyle name="Migliaia 52 2 2 2" xfId="5584" xr:uid="{496893FF-52B0-4DD3-AF8D-FA52BCEF7B15}"/>
    <cellStyle name="Migliaia 52 2 2 2 2" xfId="14410" xr:uid="{FE482378-F50A-462A-A176-3DEC1AA9ABAB}"/>
    <cellStyle name="Migliaia 52 2 2 2 2 2" xfId="40081" xr:uid="{48BDEB37-2C0D-4A1A-BC7B-FDE68D801F1B}"/>
    <cellStyle name="Migliaia 52 2 2 2 2 3" xfId="45383" xr:uid="{4D084817-4C36-4F57-94C3-3CAAE92A99E5}"/>
    <cellStyle name="Migliaia 52 2 2 2 3" xfId="18503" xr:uid="{63555CFA-3387-40A0-8686-F65E2762107E}"/>
    <cellStyle name="Migliaia 52 2 2 2 4" xfId="20906" xr:uid="{FDE724FE-B3A7-40F3-979C-847EF4C38E09}"/>
    <cellStyle name="Migliaia 52 2 2 2 4 2" xfId="42732" xr:uid="{7B24CB9A-35A9-4C17-AF95-35601A473A39}"/>
    <cellStyle name="Migliaia 52 2 2 2 5" xfId="16747" xr:uid="{8825A2E2-EE96-41A9-BB9F-D977FFB8AE63}"/>
    <cellStyle name="Migliaia 52 2 2 2 6" xfId="8763" xr:uid="{1906F9EC-D617-4D60-9AC0-880F0F9E3FFA}"/>
    <cellStyle name="Migliaia 52 2 2 3" xfId="6761" xr:uid="{357F043A-58EB-4BD6-A784-71A66B55E9A5}"/>
    <cellStyle name="Migliaia 52 2 2 3 2" xfId="35452" xr:uid="{705485B1-24A4-4847-B4C4-8B60B4B97C19}"/>
    <cellStyle name="Migliaia 52 2 2 3 2 2" xfId="40612" xr:uid="{0B0DE430-4AD5-4754-9C49-1C6337185B5B}"/>
    <cellStyle name="Migliaia 52 2 2 3 2 3" xfId="45914" xr:uid="{F913362D-A837-4862-8537-D315CEA012CA}"/>
    <cellStyle name="Migliaia 52 2 2 3 3" xfId="37961" xr:uid="{D6832986-719F-4C69-AD3F-3B6FC9FC7A59}"/>
    <cellStyle name="Migliaia 52 2 2 3 4" xfId="43263" xr:uid="{91E9CE30-D1D6-4A38-8C82-CE05A95D40A4}"/>
    <cellStyle name="Migliaia 52 2 2 3 5" xfId="11637" xr:uid="{D0249C56-2494-4849-A255-066B30027D4E}"/>
    <cellStyle name="Migliaia 52 2 2 4" xfId="3858" xr:uid="{0A121CDE-6712-404B-A7CF-7CD3DC628249}"/>
    <cellStyle name="Migliaia 52 2 2 4 2" xfId="21603" xr:uid="{28BD8EF6-EC68-4670-B951-91FE368BC019}"/>
    <cellStyle name="Migliaia 52 2 2 4 3" xfId="47219" xr:uid="{4B85C1C2-D076-4F98-B8AA-3D0E850D57FF}"/>
    <cellStyle name="Migliaia 52 2 2 4 4" xfId="50618" xr:uid="{CC11CA3F-59D2-4C66-8CC4-B9DDFCED5819}"/>
    <cellStyle name="Migliaia 52 2 2 4 5" xfId="53634" xr:uid="{408C3D6D-D17F-4895-BF6B-CCED69286145}"/>
    <cellStyle name="Migliaia 52 2 2 4 6" xfId="10968" xr:uid="{A648E520-B959-4852-B32C-75BB76FAD26F}"/>
    <cellStyle name="Migliaia 52 2 2 5" xfId="20905" xr:uid="{365AA7A5-6CDD-407B-810E-0C730FD80191}"/>
    <cellStyle name="Migliaia 52 2 2 6" xfId="25278" xr:uid="{A8BBED11-1B5E-48EC-91EB-0E6F5A9AC12B}"/>
    <cellStyle name="Migliaia 52 2 2 7" xfId="7573" xr:uid="{382E9D5C-1040-4275-A6D7-780DAA9A9A7A}"/>
    <cellStyle name="Migliaia 52 2 3" xfId="3859" xr:uid="{9E30C25D-FD46-45E8-BE3C-727C55A3E0DC}"/>
    <cellStyle name="Migliaia 52 2 3 2" xfId="5585" xr:uid="{FFA8988A-63A5-480D-A2AB-5CDAED2487C8}"/>
    <cellStyle name="Migliaia 52 2 3 2 2" xfId="35453" xr:uid="{DF793D2A-B3AB-43F9-8EEE-C63D85CCC5BF}"/>
    <cellStyle name="Migliaia 52 2 3 2 2 2" xfId="40613" xr:uid="{BA6C526A-79BF-4A62-B9E1-EE62E0457902}"/>
    <cellStyle name="Migliaia 52 2 3 2 2 3" xfId="45915" xr:uid="{DE3071DB-9917-4D5B-AF9E-D3C945086836}"/>
    <cellStyle name="Migliaia 52 2 3 2 3" xfId="37962" xr:uid="{2983DC93-9363-452B-91BC-B4C68DE93741}"/>
    <cellStyle name="Migliaia 52 2 3 2 4" xfId="43264" xr:uid="{76BDD764-29BA-4664-9590-EB513C092D55}"/>
    <cellStyle name="Migliaia 52 2 3 2 5" xfId="14321" xr:uid="{5B323E89-4B1E-43D9-8B9E-2E0FC824B552}"/>
    <cellStyle name="Migliaia 52 2 3 3" xfId="6762" xr:uid="{29C53278-71B7-4716-8049-33E239F57BCC}"/>
    <cellStyle name="Migliaia 52 2 3 3 2" xfId="40082" xr:uid="{C1150ADD-F4E8-45DB-B44F-5042B40A9D8D}"/>
    <cellStyle name="Migliaia 52 2 3 3 3" xfId="45384" xr:uid="{1E8901B6-9EEB-49B4-9633-38E8BD1E6B9D}"/>
    <cellStyle name="Migliaia 52 2 3 3 4" xfId="34465" xr:uid="{77FBCE07-54F1-4500-BEDE-B05F4671E553}"/>
    <cellStyle name="Migliaia 52 2 3 3 5" xfId="20907" xr:uid="{3CD2E9FF-3388-47BF-A641-F96BD54030F4}"/>
    <cellStyle name="Migliaia 52 2 3 4" xfId="37440" xr:uid="{AC5C2EA6-832E-475C-85CE-B24B996AB1DD}"/>
    <cellStyle name="Migliaia 52 2 3 5" xfId="42733" xr:uid="{B3281B5A-E62F-443C-8BE7-CD6C05B3181C}"/>
    <cellStyle name="Migliaia 52 2 3 6" xfId="16748" xr:uid="{CD503C6B-D61E-42E1-A939-EDF7C3060738}"/>
    <cellStyle name="Migliaia 52 2 3 7" xfId="8383" xr:uid="{5BACCCB6-7B5D-413E-8D4F-10CEEF56A924}"/>
    <cellStyle name="Migliaia 52 2 4" xfId="5583" xr:uid="{9C7978A9-07A9-4F15-BEC7-964F570630A6}"/>
    <cellStyle name="Migliaia 52 2 4 2" xfId="14026" xr:uid="{9999147E-136E-416B-9F89-C47D5F10001B}"/>
    <cellStyle name="Migliaia 52 2 4 2 2" xfId="40083" xr:uid="{AE2A443A-4499-461D-856C-2C43EEAD3E42}"/>
    <cellStyle name="Migliaia 52 2 4 2 3" xfId="45385" xr:uid="{D8BF0D52-DA60-4B4A-9069-CFFC432376C5}"/>
    <cellStyle name="Migliaia 52 2 4 3" xfId="18689" xr:uid="{D617FBD9-8725-4635-9FA4-3966C5A8858A}"/>
    <cellStyle name="Migliaia 52 2 4 4" xfId="20908" xr:uid="{05BA3906-79F6-4A6E-8804-B0912875805F}"/>
    <cellStyle name="Migliaia 52 2 4 4 2" xfId="42734" xr:uid="{630EFC42-17B1-4541-9E63-46DFC7207FF0}"/>
    <cellStyle name="Migliaia 52 2 4 5" xfId="16749" xr:uid="{6C0E7CAD-B5A6-4DB8-BE97-0F0A588CB9D0}"/>
    <cellStyle name="Migliaia 52 2 4 6" xfId="8011" xr:uid="{61DD02FB-B8A3-4C4B-99CE-C1A5D33E3AB7}"/>
    <cellStyle name="Migliaia 52 2 5" xfId="6760" xr:uid="{34F150B4-839B-47A1-A13F-D074B998E071}"/>
    <cellStyle name="Migliaia 52 2 5 2" xfId="34467" xr:uid="{795A349B-9957-4C10-A66D-CBD112A36A18}"/>
    <cellStyle name="Migliaia 52 2 5 2 2" xfId="40084" xr:uid="{34DC806E-B5AC-412E-A51D-737D94CAB17C}"/>
    <cellStyle name="Migliaia 52 2 5 2 3" xfId="45386" xr:uid="{B311D395-D064-4775-ADCD-F23D21DE10A8}"/>
    <cellStyle name="Migliaia 52 2 5 3" xfId="37442" xr:uid="{9F0E86E8-3354-46C6-A5AB-B072C0802311}"/>
    <cellStyle name="Migliaia 52 2 5 4" xfId="42735" xr:uid="{72A959FE-3071-4284-A8C4-2574FA2D37B0}"/>
    <cellStyle name="Migliaia 52 2 5 5" xfId="13150" xr:uid="{9642D034-219F-40FB-A524-B532E939604B}"/>
    <cellStyle name="Migliaia 52 2 6" xfId="3857" xr:uid="{3A93DF82-25CE-4B62-ABB2-82D59B213E19}"/>
    <cellStyle name="Migliaia 52 2 6 2" xfId="34468" xr:uid="{9315C6F0-6316-4DF4-AD39-94FA044A2A5D}"/>
    <cellStyle name="Migliaia 52 2 6 2 2" xfId="40085" xr:uid="{697205E3-CA6A-4C59-87B0-AF687828C107}"/>
    <cellStyle name="Migliaia 52 2 6 2 3" xfId="45387" xr:uid="{88C5FA42-2BA8-477D-818A-9DED7BEACF71}"/>
    <cellStyle name="Migliaia 52 2 6 3" xfId="37443" xr:uid="{3E73FAAD-B693-44A5-BEB4-CBF67FEF63DE}"/>
    <cellStyle name="Migliaia 52 2 6 4" xfId="42736" xr:uid="{7594106D-2038-4189-8EB3-84320232569B}"/>
    <cellStyle name="Migliaia 52 2 6 5" xfId="25280" xr:uid="{B0218A58-493B-4988-B6DD-63C232D67A0D}"/>
    <cellStyle name="Migliaia 52 2 6 6" xfId="20904" xr:uid="{86057555-6002-40D8-86AA-F3AA8A402EBE}"/>
    <cellStyle name="Migliaia 52 2 7" xfId="25277" xr:uid="{0A1F0CB9-FECB-4F10-BBAC-CCD499A5E787}"/>
    <cellStyle name="Migliaia 52 2 8" xfId="7184" xr:uid="{F0C2C01E-1D52-4239-BD0E-999970269E3D}"/>
    <cellStyle name="Migliaia 52 3" xfId="491" xr:uid="{00000000-0005-0000-0000-000069040000}"/>
    <cellStyle name="Migliaia 52 3 10" xfId="25281" xr:uid="{EF9D84CC-4F42-4C44-97F4-F31311185DBE}"/>
    <cellStyle name="Migliaia 52 3 11" xfId="16750" xr:uid="{06FEDC48-E9CD-4195-8D7B-EC2162BB8238}"/>
    <cellStyle name="Migliaia 52 3 12" xfId="7185" xr:uid="{4B338166-B6EB-4CCD-A29B-DB4A308CFA8F}"/>
    <cellStyle name="Migliaia 52 3 2" xfId="492" xr:uid="{00000000-0005-0000-0000-00006A040000}"/>
    <cellStyle name="Migliaia 52 3 2 2" xfId="1892" xr:uid="{00000000-0005-0000-0000-00006B040000}"/>
    <cellStyle name="Migliaia 52 3 2 2 2" xfId="5588" xr:uid="{E353D501-58C2-4D0F-AE81-27D244064494}"/>
    <cellStyle name="Migliaia 52 3 2 2 2 2" xfId="18504" xr:uid="{75B3E397-CC7A-4861-8B35-D4F0DB345655}"/>
    <cellStyle name="Migliaia 52 3 2 2 2 2 2" xfId="21888" xr:uid="{87E55329-77F3-48F9-87B5-6A0DC09439E0}"/>
    <cellStyle name="Migliaia 52 3 2 2 2 2 2 2" xfId="40086" xr:uid="{1240D396-C1A3-465E-84D3-3A0D56771CC5}"/>
    <cellStyle name="Migliaia 52 3 2 2 2 2 3" xfId="45388" xr:uid="{1923E168-F302-4E8E-835C-2C1031FFD18C}"/>
    <cellStyle name="Migliaia 52 3 2 2 2 2 4" xfId="34469" xr:uid="{B5AE65B3-400E-48E8-9C41-8B864E941352}"/>
    <cellStyle name="Migliaia 52 3 2 2 2 3" xfId="37444" xr:uid="{6DD6BC4B-BE65-45FE-802E-07003F758B44}"/>
    <cellStyle name="Migliaia 52 3 2 2 2 4" xfId="42737" xr:uid="{FED23D97-80BF-44CA-9CF1-2F374312D1BC}"/>
    <cellStyle name="Migliaia 52 3 2 2 2 5" xfId="46302" xr:uid="{6E9CBB5E-D185-4A59-B7E9-AB92EE8F28D0}"/>
    <cellStyle name="Migliaia 52 3 2 2 2 6" xfId="50916" xr:uid="{29C56F5B-18C0-4257-A4B0-40F3DFC9C33F}"/>
    <cellStyle name="Migliaia 52 3 2 2 2 7" xfId="53932" xr:uid="{93FDC060-A69F-4C5B-B8B3-7148864B4B96}"/>
    <cellStyle name="Migliaia 52 3 2 2 2 8" xfId="17687" xr:uid="{9CF6635D-5D40-4A01-A342-35A6804490F5}"/>
    <cellStyle name="Migliaia 52 3 2 2 2 9" xfId="12075" xr:uid="{11B015FF-B089-49FD-927A-61E0275594F5}"/>
    <cellStyle name="Migliaia 52 3 2 2 3" xfId="6765" xr:uid="{4561DE48-8E04-45C2-8DE5-AE858B53D6F1}"/>
    <cellStyle name="Migliaia 52 3 2 2 3 2" xfId="12152" xr:uid="{41BBE2CD-1C8B-45A4-86A1-085AD984A3E2}"/>
    <cellStyle name="Migliaia 52 3 2 2 4" xfId="3862" xr:uid="{041F1779-E0A9-456C-8B6E-57005D93D80C}"/>
    <cellStyle name="Migliaia 52 3 2 2 4 2" xfId="21604" xr:uid="{3BCB6D21-01CD-4E8C-BC4D-CC9125F9D6C3}"/>
    <cellStyle name="Migliaia 52 3 2 2 4 3" xfId="46706" xr:uid="{5C6C41E0-A13F-4C5C-B3E3-94856E874DD3}"/>
    <cellStyle name="Migliaia 52 3 2 2 4 4" xfId="50619" xr:uid="{E0E97EBE-BAD6-468F-969D-586450314143}"/>
    <cellStyle name="Migliaia 52 3 2 2 4 5" xfId="53635" xr:uid="{F2516521-FD12-4D37-BC4C-768C91AD2E78}"/>
    <cellStyle name="Migliaia 52 3 2 2 4 6" xfId="10969" xr:uid="{A2B825C4-F150-480F-8454-FF6225C62F01}"/>
    <cellStyle name="Migliaia 52 3 2 2 5" xfId="20911" xr:uid="{3210B0CB-FD81-43D6-B336-646B624E6F4F}"/>
    <cellStyle name="Migliaia 52 3 2 2 6" xfId="25283" xr:uid="{9915ED60-489B-4948-8E9B-6123827FB7F4}"/>
    <cellStyle name="Migliaia 52 3 2 2 7" xfId="8765" xr:uid="{02131332-E60E-421A-9497-76DDAF149062}"/>
    <cellStyle name="Migliaia 52 3 2 3" xfId="5587" xr:uid="{081C7DD0-E4A1-47A2-B1BD-493DD876A11E}"/>
    <cellStyle name="Migliaia 52 3 2 3 2" xfId="12400" xr:uid="{1E66D971-4A32-4EF0-8B91-994AE0FD98A0}"/>
    <cellStyle name="Migliaia 52 3 2 3 2 2" xfId="40087" xr:uid="{B1989659-25CD-4500-9FDE-C8862DEED4DB}"/>
    <cellStyle name="Migliaia 52 3 2 3 2 3" xfId="45389" xr:uid="{F436AC3C-BFCA-4394-BE58-C9BCFC7D20CD}"/>
    <cellStyle name="Migliaia 52 3 2 3 2 4" xfId="34470" xr:uid="{40572E2B-5C9D-4B10-AA99-9923B9B9CD1F}"/>
    <cellStyle name="Migliaia 52 3 2 3 3" xfId="12076" xr:uid="{FA33AEF2-57D0-4CAC-B8BF-EBCA43A17943}"/>
    <cellStyle name="Migliaia 52 3 2 3 4" xfId="20912" xr:uid="{A7527244-9410-4D61-8BBC-A2D16EF6A3D7}"/>
    <cellStyle name="Migliaia 52 3 2 3 4 2" xfId="42738" xr:uid="{826AFE04-D90A-443E-B933-09A1324B5604}"/>
    <cellStyle name="Migliaia 52 3 2 3 5" xfId="16751" xr:uid="{D7DF1612-1729-417E-BF2D-E21D90D25E3E}"/>
    <cellStyle name="Migliaia 52 3 2 3 6" xfId="8013" xr:uid="{93DBA02D-6307-4E54-A7B3-3BF67E637481}"/>
    <cellStyle name="Migliaia 52 3 2 4" xfId="6764" xr:uid="{A2E23FA7-B29F-4317-ADFB-33E97CBC492D}"/>
    <cellStyle name="Migliaia 52 3 2 4 2" xfId="18104" xr:uid="{1DD14655-90FA-4F87-B433-C9279421DFDB}"/>
    <cellStyle name="Migliaia 52 3 2 4 2 2" xfId="40088" xr:uid="{18985526-E7E6-4595-81F0-13C15604AFA7}"/>
    <cellStyle name="Migliaia 52 3 2 4 2 3" xfId="45390" xr:uid="{09F6A664-1760-4092-BB22-6DA5DC0BA30C}"/>
    <cellStyle name="Migliaia 52 3 2 4 3" xfId="37446" xr:uid="{F6A9C736-2096-4500-8B75-4FA1267D94E8}"/>
    <cellStyle name="Migliaia 52 3 2 4 4" xfId="42739" xr:uid="{D8A98BAF-4E6B-4FED-8265-11081C5D0F80}"/>
    <cellStyle name="Migliaia 52 3 2 4 5" xfId="17230" xr:uid="{3CBB6E76-1181-4FEA-8BB1-65BBB232C396}"/>
    <cellStyle name="Migliaia 52 3 2 4 6" xfId="11427" xr:uid="{DABA883D-92A5-4FD8-8812-F72873607536}"/>
    <cellStyle name="Migliaia 52 3 2 5" xfId="3861" xr:uid="{8B9B85AC-6B53-42A1-82F7-7C6DFB633BC7}"/>
    <cellStyle name="Migliaia 52 3 2 5 2" xfId="34472" xr:uid="{4707BDEF-21C9-404E-8DC7-1A6F00E108B5}"/>
    <cellStyle name="Migliaia 52 3 2 5 2 2" xfId="40089" xr:uid="{4CAC9709-72DB-4C63-BA67-1047AB5E28A2}"/>
    <cellStyle name="Migliaia 52 3 2 5 2 3" xfId="45391" xr:uid="{ECEE4ED4-01E1-489E-B888-01475FD3AFDC}"/>
    <cellStyle name="Migliaia 52 3 2 5 3" xfId="37447" xr:uid="{0B9382E2-0FDD-4A1C-B818-6BB76739EE19}"/>
    <cellStyle name="Migliaia 52 3 2 5 4" xfId="42740" xr:uid="{12FFFBDE-B43D-428D-A4BF-3D4127981026}"/>
    <cellStyle name="Migliaia 52 3 2 5 5" xfId="17285" xr:uid="{29D8ED71-7E74-402E-9AC5-67DE31376B65}"/>
    <cellStyle name="Migliaia 52 3 2 6" xfId="20910" xr:uid="{7FF7EF32-E781-4C81-94E0-B294B6BDB85A}"/>
    <cellStyle name="Migliaia 52 3 2 6 2" xfId="34473" xr:uid="{AEF10072-3198-4C74-A396-CDCB09ADFE14}"/>
    <cellStyle name="Migliaia 52 3 2 6 2 2" xfId="40090" xr:uid="{57EB6AF6-A075-41DB-B66C-7F454A117EED}"/>
    <cellStyle name="Migliaia 52 3 2 6 2 3" xfId="45392" xr:uid="{F3057FF4-BC3C-47DF-8BB0-F37A7E8D8224}"/>
    <cellStyle name="Migliaia 52 3 2 6 3" xfId="37448" xr:uid="{C98157F3-9860-4C35-B059-DEB4B7E41D4E}"/>
    <cellStyle name="Migliaia 52 3 2 6 4" xfId="42741" xr:uid="{E21BA281-62FB-48C3-A46A-AC1E64CE8190}"/>
    <cellStyle name="Migliaia 52 3 2 6 5" xfId="25287" xr:uid="{B2BA8B90-BD59-4676-B997-8FEACF6C32FB}"/>
    <cellStyle name="Migliaia 52 3 2 7" xfId="25282" xr:uid="{16D11D1B-7EE9-4C58-A60F-51A900B41BC1}"/>
    <cellStyle name="Migliaia 52 3 2 8" xfId="7575" xr:uid="{E2D44709-F7AD-4A68-86CB-3134A769D81A}"/>
    <cellStyle name="Migliaia 52 3 3" xfId="3863" xr:uid="{6B2BD9B4-5E99-4599-95CB-CA486B0886D7}"/>
    <cellStyle name="Migliaia 52 3 3 10" xfId="7574" xr:uid="{D49A5C3D-AFBB-45E1-BF8B-C208A23D1148}"/>
    <cellStyle name="Migliaia 52 3 3 2" xfId="5589" xr:uid="{D553F11B-0000-44DC-9547-B349460B67F1}"/>
    <cellStyle name="Migliaia 52 3 3 2 2" xfId="9976" xr:uid="{B10258E5-BE59-4DB6-BE58-5C62C9ACE36B}"/>
    <cellStyle name="Migliaia 52 3 3 2 2 2" xfId="40092" xr:uid="{9D72EA4D-D167-4A70-8E87-0BB0090A8192}"/>
    <cellStyle name="Migliaia 52 3 3 2 2 3" xfId="45394" xr:uid="{6E8567CB-D868-4A0D-972A-7096A0B5D9C2}"/>
    <cellStyle name="Migliaia 52 3 3 2 3" xfId="18256" xr:uid="{31DA658E-AD7E-4219-A239-50F924F03953}"/>
    <cellStyle name="Migliaia 52 3 3 2 4" xfId="20914" xr:uid="{8EC8EC8B-DFD6-47CA-96A0-88AA58C3494D}"/>
    <cellStyle name="Migliaia 52 3 3 2 4 2" xfId="42743" xr:uid="{582A4F2F-0EDA-420C-9676-39F6247BDC5D}"/>
    <cellStyle name="Migliaia 52 3 3 2 5" xfId="16753" xr:uid="{9EF1DE5D-7D6C-4766-A1D4-2D7A5B5A29F7}"/>
    <cellStyle name="Migliaia 52 3 3 2 6" xfId="8764" xr:uid="{4CD271A0-BCEA-44BF-92F5-2BD3342F4DCE}"/>
    <cellStyle name="Migliaia 52 3 3 3" xfId="6766" xr:uid="{1AAAE1AC-8E92-4BBE-B3E3-E069B500621D}"/>
    <cellStyle name="Migliaia 52 3 3 3 2" xfId="34476" xr:uid="{FAA51A20-3780-4CF6-A997-11065E0FB27C}"/>
    <cellStyle name="Migliaia 52 3 3 3 2 2" xfId="40093" xr:uid="{56396A24-1D3B-4078-BEB2-4FA860BB4BB1}"/>
    <cellStyle name="Migliaia 52 3 3 3 2 3" xfId="45395" xr:uid="{D598200E-736E-4F54-AF0D-06AE9BFB243B}"/>
    <cellStyle name="Migliaia 52 3 3 3 3" xfId="37451" xr:uid="{77540F22-E6BF-491A-9D67-A10DAF284CA3}"/>
    <cellStyle name="Migliaia 52 3 3 3 4" xfId="42744" xr:uid="{4AB7C1F1-7A57-4BF9-ACA3-715CA6DADF85}"/>
    <cellStyle name="Migliaia 52 3 3 3 5" xfId="9739" xr:uid="{40D563C8-B31D-4B83-A842-D333CF747133}"/>
    <cellStyle name="Migliaia 52 3 3 4" xfId="20913" xr:uid="{F4ED40FB-F578-468B-A505-9FD47C4D7030}"/>
    <cellStyle name="Migliaia 52 3 3 4 2" xfId="34477" xr:uid="{8CE97C58-B403-49D6-AC15-C37138682C47}"/>
    <cellStyle name="Migliaia 52 3 3 4 2 2" xfId="40094" xr:uid="{E13522CC-D629-47EC-A497-DFDDF52D27E0}"/>
    <cellStyle name="Migliaia 52 3 3 4 2 3" xfId="45396" xr:uid="{AFC9BE03-17F2-4E18-9C67-4CFE1046F0BC}"/>
    <cellStyle name="Migliaia 52 3 3 4 3" xfId="37452" xr:uid="{BBEC9BE2-8092-4F0B-A757-97F893944D4B}"/>
    <cellStyle name="Migliaia 52 3 3 4 4" xfId="42745" xr:uid="{3B6894AA-5BAC-459D-8E59-94AECEC2C3B7}"/>
    <cellStyle name="Migliaia 52 3 3 4 5" xfId="25291" xr:uid="{ACD9EBC4-1911-43AE-A1F8-7AF8B7190D8C}"/>
    <cellStyle name="Migliaia 52 3 3 5" xfId="25292" xr:uid="{DD7084E0-FA48-47D9-93B7-62366E347411}"/>
    <cellStyle name="Migliaia 52 3 3 5 2" xfId="34478" xr:uid="{58E50518-90D2-405D-8AE2-44D6B86E21BD}"/>
    <cellStyle name="Migliaia 52 3 3 5 2 2" xfId="40095" xr:uid="{062669E9-C233-4523-B836-182AEA1FBC66}"/>
    <cellStyle name="Migliaia 52 3 3 5 2 3" xfId="45397" xr:uid="{F5207A50-E446-460F-95AB-2D45BF0D93EC}"/>
    <cellStyle name="Migliaia 52 3 3 5 3" xfId="37453" xr:uid="{B012418D-3C55-430D-B0EE-71D11726708F}"/>
    <cellStyle name="Migliaia 52 3 3 5 4" xfId="42746" xr:uid="{3AC360A5-40A6-4F9A-B9D8-9621152D8A71}"/>
    <cellStyle name="Migliaia 52 3 3 6" xfId="34474" xr:uid="{00EB2C96-EB21-4269-871F-0F37FCAB90D6}"/>
    <cellStyle name="Migliaia 52 3 3 6 2" xfId="40091" xr:uid="{C932BB32-64F0-4F22-AD45-0CF66A9A5A07}"/>
    <cellStyle name="Migliaia 52 3 3 6 3" xfId="45393" xr:uid="{D9C2C59F-35B0-42A5-84D4-72F2009FCC8F}"/>
    <cellStyle name="Migliaia 52 3 3 7" xfId="37449" xr:uid="{42A59037-7A11-4262-AA1F-F9F738ACBDE2}"/>
    <cellStyle name="Migliaia 52 3 3 8" xfId="42742" xr:uid="{23103C57-2ED8-42D9-B2E5-F9DB6005DCCF}"/>
    <cellStyle name="Migliaia 52 3 3 9" xfId="16752" xr:uid="{B2E85D5C-6684-443A-9F5D-EC8877E34AB4}"/>
    <cellStyle name="Migliaia 52 3 4" xfId="3864" xr:uid="{2E8FC73C-531C-4FC1-BBA3-B040D56697A6}"/>
    <cellStyle name="Migliaia 52 3 4 2" xfId="5590" xr:uid="{1C43779B-969B-4779-B238-F1DA6CCDAE8F}"/>
    <cellStyle name="Migliaia 52 3 4 2 2" xfId="14470" xr:uid="{359262AE-EFDE-4C1D-A899-3DA46D36A54F}"/>
    <cellStyle name="Migliaia 52 3 4 2 3" xfId="18575" xr:uid="{A065EA94-A123-40DB-9D90-6AC1024AEF65}"/>
    <cellStyle name="Migliaia 52 3 4 2 4" xfId="20916" xr:uid="{49CE0EA3-A586-4B19-8B8F-2903E8570163}"/>
    <cellStyle name="Migliaia 52 3 4 2 5" xfId="32459" xr:uid="{4B17B102-21EF-4CC3-88F9-90092F400E64}"/>
    <cellStyle name="Migliaia 52 3 4 2 6" xfId="16755" xr:uid="{5C98E542-8A6A-49F1-88EF-AF20F5DBD59A}"/>
    <cellStyle name="Migliaia 52 3 4 2 7" xfId="8893" xr:uid="{F56C1946-368E-479E-9C58-E5A9B1051F5E}"/>
    <cellStyle name="Migliaia 52 3 4 3" xfId="6767" xr:uid="{1506BA68-84DB-49CE-9E0A-EA4D121F0F0A}"/>
    <cellStyle name="Migliaia 52 3 4 3 2" xfId="35454" xr:uid="{66E58E63-CAE8-4B0E-A2C3-6FBAF234D100}"/>
    <cellStyle name="Migliaia 52 3 4 3 2 2" xfId="40614" xr:uid="{B7481B22-BB5A-4CF1-B2EA-152F43E36B71}"/>
    <cellStyle name="Migliaia 52 3 4 3 2 3" xfId="45916" xr:uid="{76A5F88A-D3D8-4D68-9B93-CFBBED55E69C}"/>
    <cellStyle name="Migliaia 52 3 4 3 3" xfId="37963" xr:uid="{00378C28-4EF3-4463-BB74-E58CF6B83A30}"/>
    <cellStyle name="Migliaia 52 3 4 3 4" xfId="43265" xr:uid="{4EFDA222-20E2-4FF9-A777-14B9EE61D6F8}"/>
    <cellStyle name="Migliaia 52 3 4 3 5" xfId="13718" xr:uid="{B4F2CBE0-FB75-4C5D-912A-258C59843444}"/>
    <cellStyle name="Migliaia 52 3 4 4" xfId="20915" xr:uid="{834772EB-12C7-41C9-869A-6BA1B14DA93A}"/>
    <cellStyle name="Migliaia 52 3 4 4 2" xfId="40096" xr:uid="{76E52C94-A2A1-4A4C-94FF-7099E206801D}"/>
    <cellStyle name="Migliaia 52 3 4 4 3" xfId="45398" xr:uid="{8C3D7400-6181-4453-9729-6B3B9041C0AD}"/>
    <cellStyle name="Migliaia 52 3 4 4 4" xfId="34479" xr:uid="{C398FEEF-0AC6-4C16-BDB4-7E7A285184D2}"/>
    <cellStyle name="Migliaia 52 3 4 5" xfId="37454" xr:uid="{E919CBB7-912E-4B27-86F9-CE5225BF0C93}"/>
    <cellStyle name="Migliaia 52 3 4 6" xfId="42747" xr:uid="{B76977ED-185C-448E-832B-A47685613F93}"/>
    <cellStyle name="Migliaia 52 3 4 7" xfId="16754" xr:uid="{7C992133-BE2B-442C-8797-1A35CB1B1BC9}"/>
    <cellStyle name="Migliaia 52 3 4 8" xfId="7703" xr:uid="{993CDA90-4DC4-4D4C-AB2A-D812C3E34F12}"/>
    <cellStyle name="Migliaia 52 3 5" xfId="3865" xr:uid="{DB680883-2EC2-4686-BE19-C23065AADDCE}"/>
    <cellStyle name="Migliaia 52 3 5 2" xfId="5591" xr:uid="{6AE6EE50-DFBA-46EC-A7EE-1A995FA5BCEC}"/>
    <cellStyle name="Migliaia 52 3 5 2 2" xfId="35455" xr:uid="{F06561A0-FB3F-4761-BAC7-29C420EAC14F}"/>
    <cellStyle name="Migliaia 52 3 5 2 2 2" xfId="40615" xr:uid="{7D13AF6A-07B2-41DF-A598-9D52D0218882}"/>
    <cellStyle name="Migliaia 52 3 5 2 2 3" xfId="45917" xr:uid="{52CA3616-410F-4317-9A7C-D961A946A2C1}"/>
    <cellStyle name="Migliaia 52 3 5 2 3" xfId="37964" xr:uid="{CFC09230-FB2E-4795-AB9F-DD6FDC42E01F}"/>
    <cellStyle name="Migliaia 52 3 5 2 4" xfId="43266" xr:uid="{CA4E16B0-AF73-435D-AE3F-6817CF65536C}"/>
    <cellStyle name="Migliaia 52 3 5 2 5" xfId="14322" xr:uid="{F4AA2C6C-2E24-4E60-90E6-094E89CA5038}"/>
    <cellStyle name="Migliaia 52 3 5 3" xfId="6768" xr:uid="{4BD6F40A-F44E-472A-9394-BEF1AAC42170}"/>
    <cellStyle name="Migliaia 52 3 5 3 2" xfId="40097" xr:uid="{82687147-35BC-469B-AF50-0A1911397AE6}"/>
    <cellStyle name="Migliaia 52 3 5 3 3" xfId="45399" xr:uid="{0839D27B-0709-461B-B304-0755DBD22447}"/>
    <cellStyle name="Migliaia 52 3 5 3 4" xfId="34480" xr:uid="{AB3B4CB6-D1A9-4A7E-8B5C-BB43396EE692}"/>
    <cellStyle name="Migliaia 52 3 5 3 5" xfId="20917" xr:uid="{1EA4376B-E2FE-45C1-BBF7-CBA5EBA92AC1}"/>
    <cellStyle name="Migliaia 52 3 5 4" xfId="37455" xr:uid="{402B6E9F-E729-4E25-B143-5D18BA98A5BA}"/>
    <cellStyle name="Migliaia 52 3 5 5" xfId="42748" xr:uid="{51C18E53-5426-47C9-B253-9B89EAB19626}"/>
    <cellStyle name="Migliaia 52 3 5 6" xfId="16756" xr:uid="{9A347C4E-D59B-4437-8BD6-46030688CE14}"/>
    <cellStyle name="Migliaia 52 3 5 7" xfId="8384" xr:uid="{118129B6-D6B4-4F90-B0F8-769259EC554A}"/>
    <cellStyle name="Migliaia 52 3 6" xfId="5586" xr:uid="{ACDC8639-7892-4486-9A58-DF50016D9B40}"/>
    <cellStyle name="Migliaia 52 3 6 2" xfId="14027" xr:uid="{C4D8078A-1E5D-4694-9BC9-F0944E07ADA2}"/>
    <cellStyle name="Migliaia 52 3 6 2 2" xfId="40098" xr:uid="{4D430BEF-73DE-4B94-87E3-0080F267125B}"/>
    <cellStyle name="Migliaia 52 3 6 2 3" xfId="45400" xr:uid="{F8786604-A520-4610-8815-E297B11C4C99}"/>
    <cellStyle name="Migliaia 52 3 6 3" xfId="18604" xr:uid="{31E6EB27-686E-4069-867C-CAFA54E9C57C}"/>
    <cellStyle name="Migliaia 52 3 6 4" xfId="20918" xr:uid="{3830BC25-AF21-47CD-BD88-09BFD0340B78}"/>
    <cellStyle name="Migliaia 52 3 6 4 2" xfId="42749" xr:uid="{F838EACA-1FCF-4BF2-B2CE-D33C12D10BFA}"/>
    <cellStyle name="Migliaia 52 3 6 5" xfId="16757" xr:uid="{20E46270-BB27-4B6B-8ADF-330A41AA6713}"/>
    <cellStyle name="Migliaia 52 3 6 6" xfId="8012" xr:uid="{AAD5AAB0-EF11-4616-9905-A6A25A216097}"/>
    <cellStyle name="Migliaia 52 3 7" xfId="6763" xr:uid="{67C174ED-B3F8-420F-A73F-4702FAE67348}"/>
    <cellStyle name="Migliaia 52 3 7 2" xfId="34482" xr:uid="{A9D58451-BCFC-48E1-9D33-059DF9C101CA}"/>
    <cellStyle name="Migliaia 52 3 7 2 2" xfId="40099" xr:uid="{8E180FC2-2696-4254-83D1-2CDF8900A27F}"/>
    <cellStyle name="Migliaia 52 3 7 2 3" xfId="45401" xr:uid="{8653C0D4-81D6-49D6-9B6F-B3794DFE2BBD}"/>
    <cellStyle name="Migliaia 52 3 7 3" xfId="37457" xr:uid="{7ADD9581-B28F-4264-A9A1-1F7064000C6C}"/>
    <cellStyle name="Migliaia 52 3 7 4" xfId="42750" xr:uid="{4AF8C8E3-00BD-4A9A-80F6-27064B2EE678}"/>
    <cellStyle name="Migliaia 52 3 7 5" xfId="11152" xr:uid="{A62FC08F-4CA8-4B0C-AB89-7EE0B2B5AE80}"/>
    <cellStyle name="Migliaia 52 3 8" xfId="3860" xr:uid="{B2A29D56-E03C-42FA-9B73-33F1C6701030}"/>
    <cellStyle name="Migliaia 52 3 8 2" xfId="34483" xr:uid="{73A7D4FD-6BDB-43C2-897D-DF55EB87C1A6}"/>
    <cellStyle name="Migliaia 52 3 8 2 2" xfId="40100" xr:uid="{7696C3B0-433B-4863-AAC1-4C5748D058BF}"/>
    <cellStyle name="Migliaia 52 3 8 2 3" xfId="45402" xr:uid="{E22C64E8-A3FA-4908-BC77-FDFDEDC90397}"/>
    <cellStyle name="Migliaia 52 3 8 3" xfId="37458" xr:uid="{8B6D9ECF-2B20-4B39-905E-A12C78318ADD}"/>
    <cellStyle name="Migliaia 52 3 8 4" xfId="42751" xr:uid="{0C8C0D2B-0BDB-495D-ACCE-A543A1223B27}"/>
    <cellStyle name="Migliaia 52 3 8 5" xfId="25297" xr:uid="{CDA06C63-31ED-4193-B5C2-1233BC68274D}"/>
    <cellStyle name="Migliaia 52 3 8 6" xfId="17286" xr:uid="{BACAC2DC-4F8E-4A97-892A-94D7635CB4D6}"/>
    <cellStyle name="Migliaia 52 3 9" xfId="20909" xr:uid="{6248A8EA-28D8-405E-A4AE-3F61FFC223FC}"/>
    <cellStyle name="Migliaia 52 4" xfId="1893" xr:uid="{00000000-0005-0000-0000-00006C040000}"/>
    <cellStyle name="Migliaia 52 4 2" xfId="1894" xr:uid="{00000000-0005-0000-0000-00006D040000}"/>
    <cellStyle name="Migliaia 52 4 2 2" xfId="5593" xr:uid="{6C6C9FDF-B115-493C-8708-6F2DB120344D}"/>
    <cellStyle name="Migliaia 52 4 2 2 2" xfId="34484" xr:uid="{DCB69A0E-D8E8-4E1A-BBF9-C8F7A9B8465E}"/>
    <cellStyle name="Migliaia 52 4 2 2 2 2" xfId="40101" xr:uid="{EA907EAE-56FB-4AAE-BD59-23E7FF93EC6A}"/>
    <cellStyle name="Migliaia 52 4 2 2 2 3" xfId="45403" xr:uid="{7D8A0BC3-DB8C-479D-ACBD-8A515C0057F6}"/>
    <cellStyle name="Migliaia 52 4 2 2 3" xfId="37459" xr:uid="{B815DBF7-2808-4EE3-94F3-C0B04095E000}"/>
    <cellStyle name="Migliaia 52 4 2 2 4" xfId="42752" xr:uid="{CC2E43FB-7F91-4FE1-9F9A-C17EF1459670}"/>
    <cellStyle name="Migliaia 52 4 2 2 5" xfId="9202" xr:uid="{7A2ABE97-3F6A-42C7-BC90-6FAD59FD8B1F}"/>
    <cellStyle name="Migliaia 52 4 2 3" xfId="3867" xr:uid="{E74A678A-13CD-4343-9ACA-8FC9ABCE00FF}"/>
    <cellStyle name="Migliaia 52 4 2 3 2" xfId="34485" xr:uid="{2037FF60-C250-4455-8541-98EEDE9A4E96}"/>
    <cellStyle name="Migliaia 52 4 2 3 2 2" xfId="40102" xr:uid="{AAC133C3-EFB9-4255-B55D-434FD2C291D1}"/>
    <cellStyle name="Migliaia 52 4 2 3 2 3" xfId="45404" xr:uid="{51AE35DC-DB25-4DAF-ABBC-394089F560A6}"/>
    <cellStyle name="Migliaia 52 4 2 3 3" xfId="37460" xr:uid="{EF42153C-32EB-45AF-9319-B074D0BF3212}"/>
    <cellStyle name="Migliaia 52 4 2 3 4" xfId="42753" xr:uid="{ECA733F6-186D-4CA0-A8EA-421757425979}"/>
    <cellStyle name="Migliaia 52 4 2 3 5" xfId="12077" xr:uid="{EABA6CD1-EFE0-43D3-A0E3-8FAE74D166B8}"/>
    <cellStyle name="Migliaia 52 4 2 4" xfId="11429" xr:uid="{EF0D5C0E-E5A2-47A0-A66B-13FC302104EE}"/>
    <cellStyle name="Migliaia 52 4 2 5" xfId="10971" xr:uid="{E7AC3F9D-5A14-47D1-8F0B-2244EC3AF680}"/>
    <cellStyle name="Migliaia 52 4 2 5 2" xfId="21606" xr:uid="{926DE819-B191-4980-99DC-A3CE5E2C9761}"/>
    <cellStyle name="Migliaia 52 4 2 5 3" xfId="48182" xr:uid="{57275AE9-3861-44F1-A35B-9FAC9ED5CAFD}"/>
    <cellStyle name="Migliaia 52 4 2 5 4" xfId="50621" xr:uid="{107A9C82-0EB7-4F8C-9A60-F404C53E51FE}"/>
    <cellStyle name="Migliaia 52 4 2 5 5" xfId="53637" xr:uid="{27AFB66D-A9EC-48F7-834E-495C2A858AC4}"/>
    <cellStyle name="Migliaia 52 4 2 6" xfId="20920" xr:uid="{B630B3FD-A18F-4A33-983C-F1585107D214}"/>
    <cellStyle name="Migliaia 52 4 2 7" xfId="25299" xr:uid="{71724C61-E14D-4326-A900-615040556700}"/>
    <cellStyle name="Migliaia 52 4 2 8" xfId="8766" xr:uid="{3760C6AD-12D6-41FF-9F84-A9004D7569E9}"/>
    <cellStyle name="Migliaia 52 4 3" xfId="5592" xr:uid="{64069470-4AF6-4A31-8FD4-9CA09ED15DC0}"/>
    <cellStyle name="Migliaia 52 4 3 2" xfId="18257" xr:uid="{2C8E4C43-24A8-483A-A1F7-3ED2069BA521}"/>
    <cellStyle name="Migliaia 52 4 3 2 2" xfId="40103" xr:uid="{EC1C22DA-5C5B-4CF2-80D0-4DD8D5B70B85}"/>
    <cellStyle name="Migliaia 52 4 3 2 3" xfId="45405" xr:uid="{4C0E371B-2658-4DE7-AAC8-6B5D0F4A5D07}"/>
    <cellStyle name="Migliaia 52 4 3 3" xfId="37461" xr:uid="{59EC9AA6-3325-48A0-B633-5B85621E272E}"/>
    <cellStyle name="Migliaia 52 4 3 4" xfId="42754" xr:uid="{1931A714-385C-4C07-B1F5-CB5E805890CD}"/>
    <cellStyle name="Migliaia 52 4 3 5" xfId="17284" xr:uid="{A22A5A09-5F6F-42B5-905A-1E99BE44B0F0}"/>
    <cellStyle name="Migliaia 52 4 3 6" xfId="9203" xr:uid="{45A2015E-C191-4A93-AA76-E4C61C581186}"/>
    <cellStyle name="Migliaia 52 4 4" xfId="6769" xr:uid="{81E0A9BA-6FA1-4775-8D03-0CA461993283}"/>
    <cellStyle name="Migliaia 52 4 4 2" xfId="34487" xr:uid="{4D47D7F1-85D1-4C7D-8506-F516B7B6D12C}"/>
    <cellStyle name="Migliaia 52 4 4 2 2" xfId="40104" xr:uid="{9D77ED31-7DD0-4669-A9DD-0DC0BE75C4C2}"/>
    <cellStyle name="Migliaia 52 4 4 2 3" xfId="45406" xr:uid="{23325BAF-C197-4647-B357-C9081310E94E}"/>
    <cellStyle name="Migliaia 52 4 4 3" xfId="37462" xr:uid="{5F1D9F91-B5E0-4F3B-82CE-2AA08327F9C9}"/>
    <cellStyle name="Migliaia 52 4 4 4" xfId="42755" xr:uid="{F9C1B8B0-D377-4716-A79B-0BC803671D75}"/>
    <cellStyle name="Migliaia 52 4 4 5" xfId="12078" xr:uid="{8246FDBB-9B8B-46C1-9461-303714066159}"/>
    <cellStyle name="Migliaia 52 4 5" xfId="3866" xr:uid="{0DAE8909-C240-44F2-8D5A-84163F08E9F6}"/>
    <cellStyle name="Migliaia 52 4 5 2" xfId="34488" xr:uid="{3B40439E-846C-46F0-9661-7CC3A9068292}"/>
    <cellStyle name="Migliaia 52 4 5 2 2" xfId="40105" xr:uid="{DBB82B8A-7DA6-4049-9997-63A4E56022DD}"/>
    <cellStyle name="Migliaia 52 4 5 2 3" xfId="45407" xr:uid="{9496EA6F-FA87-4105-876A-9CEC37C3F011}"/>
    <cellStyle name="Migliaia 52 4 5 3" xfId="37463" xr:uid="{4B1971DA-F7C8-41EE-8882-60C5BED0E8B7}"/>
    <cellStyle name="Migliaia 52 4 5 4" xfId="42756" xr:uid="{4489BDF7-A911-46F9-81C2-1B3842C9C36C}"/>
    <cellStyle name="Migliaia 52 4 5 5" xfId="11428" xr:uid="{887B0743-2BFE-476F-8935-45F3BED4F785}"/>
    <cellStyle name="Migliaia 52 4 6" xfId="10970" xr:uid="{0DA4E5D1-385A-4AFA-B10F-0A46E2AC3240}"/>
    <cellStyle name="Migliaia 52 4 6 2" xfId="21605" xr:uid="{8401A9DD-F7D1-4FFF-BBF5-7318FFBF6DCD}"/>
    <cellStyle name="Migliaia 52 4 6 2 2" xfId="40106" xr:uid="{50077E0C-A4D9-44BB-8D4A-465907E5D9AC}"/>
    <cellStyle name="Migliaia 52 4 6 2 3" xfId="45408" xr:uid="{8E9808CF-9B82-4311-B283-71E0B62A1169}"/>
    <cellStyle name="Migliaia 52 4 6 2 4" xfId="34489" xr:uid="{5D3330F6-D5EB-4348-B008-1B544FEF44AF}"/>
    <cellStyle name="Migliaia 52 4 6 3" xfId="37464" xr:uid="{C308A041-9FAB-48A7-BC5E-D57A3C38CE86}"/>
    <cellStyle name="Migliaia 52 4 6 4" xfId="42757" xr:uid="{045D23F3-3C5A-4A9B-9A8F-F71FB0242A55}"/>
    <cellStyle name="Migliaia 52 4 6 5" xfId="25305" xr:uid="{F14357D8-F2BE-4560-A3C2-804A0189E419}"/>
    <cellStyle name="Migliaia 52 4 6 6" xfId="47155" xr:uid="{E8ED9E8F-7BC4-4613-9471-803F9072B62E}"/>
    <cellStyle name="Migliaia 52 4 6 7" xfId="50620" xr:uid="{446B4ABA-6782-43A9-8C13-5323E720EF05}"/>
    <cellStyle name="Migliaia 52 4 6 8" xfId="53636" xr:uid="{B7176474-7F86-46EF-9B61-38C5317678AE}"/>
    <cellStyle name="Migliaia 52 4 7" xfId="20919" xr:uid="{FBD8AB7F-A155-443C-8050-6026BE2C098C}"/>
    <cellStyle name="Migliaia 52 4 7 2" xfId="34490" xr:uid="{66A25C07-2BF1-4962-977E-1897E4F0C1C4}"/>
    <cellStyle name="Migliaia 52 4 7 2 2" xfId="40107" xr:uid="{4ED589DA-C48A-4AB1-B440-64FAC903F83F}"/>
    <cellStyle name="Migliaia 52 4 7 2 3" xfId="45409" xr:uid="{FD03058B-D96C-41E2-85AB-F77E42EF1637}"/>
    <cellStyle name="Migliaia 52 4 7 3" xfId="37465" xr:uid="{86BDB19B-9E84-4327-BEA9-2919A02326C2}"/>
    <cellStyle name="Migliaia 52 4 7 4" xfId="42758" xr:uid="{74E4D4ED-EF29-43A5-AC4C-7E18B5441A84}"/>
    <cellStyle name="Migliaia 52 4 7 5" xfId="25306" xr:uid="{BA6202D3-D733-4267-B23A-141AA9CAF552}"/>
    <cellStyle name="Migliaia 52 4 8" xfId="25298" xr:uid="{D99A7F94-22E9-44A3-9014-706A1A3642DD}"/>
    <cellStyle name="Migliaia 52 4 9" xfId="7576" xr:uid="{94378A50-55E6-4D1E-B878-59F6FA30C9B8}"/>
    <cellStyle name="Migliaia 52 5" xfId="1895" xr:uid="{00000000-0005-0000-0000-00006E040000}"/>
    <cellStyle name="Migliaia 52 5 2" xfId="5594" xr:uid="{AB4021E3-902E-452A-AE4C-E93BF6E94F71}"/>
    <cellStyle name="Migliaia 52 5 2 2" xfId="18505" xr:uid="{0403CB42-7E6E-4845-B725-E14935ACFE6A}"/>
    <cellStyle name="Migliaia 52 5 2 2 2" xfId="40108" xr:uid="{067FB697-8433-49F7-8921-523C04D2669C}"/>
    <cellStyle name="Migliaia 52 5 2 2 3" xfId="45410" xr:uid="{9211C936-B5AC-4825-A3B9-8DDFAF1E7E36}"/>
    <cellStyle name="Migliaia 52 5 2 3" xfId="20922" xr:uid="{081095CD-ED95-4E9C-B637-0371D851B12C}"/>
    <cellStyle name="Migliaia 52 5 2 3 2" xfId="37466" xr:uid="{81EEA23C-4ED4-4AA5-8EF1-6AF414EAB49B}"/>
    <cellStyle name="Migliaia 52 5 2 4" xfId="42759" xr:uid="{65059C37-3C1C-4197-8A09-D38FB7907BED}"/>
    <cellStyle name="Migliaia 52 5 2 5" xfId="16758" xr:uid="{ADF50805-1B6B-441D-B351-02C8DA2EB9BF}"/>
    <cellStyle name="Migliaia 52 5 2 6" xfId="8767" xr:uid="{E602548B-3CE5-4400-BFB6-8C3F4A169840}"/>
    <cellStyle name="Migliaia 52 5 3" xfId="6770" xr:uid="{D943F761-B4C9-4444-97F5-3399F4390E6E}"/>
    <cellStyle name="Migliaia 52 5 3 2" xfId="34492" xr:uid="{8255E299-0375-45A4-90A4-769E3FA90F83}"/>
    <cellStyle name="Migliaia 52 5 3 2 2" xfId="40109" xr:uid="{E0DBD1E8-7A58-4503-BA00-C3B3C5CC3139}"/>
    <cellStyle name="Migliaia 52 5 3 2 3" xfId="45411" xr:uid="{AB3AE8AA-E19D-46B4-B46C-062D6E2D8FC6}"/>
    <cellStyle name="Migliaia 52 5 3 3" xfId="37467" xr:uid="{32AC2BD5-894C-4D4D-8F79-CA5B9AE8EFDA}"/>
    <cellStyle name="Migliaia 52 5 3 4" xfId="42760" xr:uid="{3AD7CCA2-869D-4D3C-A9F8-25834164221D}"/>
    <cellStyle name="Migliaia 52 5 3 5" xfId="11430" xr:uid="{4DE5A99C-D6BD-4339-880F-EDC440B09ED3}"/>
    <cellStyle name="Migliaia 52 5 4" xfId="3868" xr:uid="{65FE5126-4CBF-4510-9CD4-D12C4C8C3A2A}"/>
    <cellStyle name="Migliaia 52 5 4 2" xfId="21607" xr:uid="{F661CFCA-0085-4C94-A129-1392C61D29C9}"/>
    <cellStyle name="Migliaia 52 5 4 2 2" xfId="40110" xr:uid="{FC967B61-E5BF-4B09-9E03-6FB797DB260A}"/>
    <cellStyle name="Migliaia 52 5 4 2 3" xfId="45412" xr:uid="{5EC44E48-31DE-491F-8953-49F4EE39CC76}"/>
    <cellStyle name="Migliaia 52 5 4 2 4" xfId="34493" xr:uid="{E82FDBEA-9622-40E9-990F-ABD63C8F6689}"/>
    <cellStyle name="Migliaia 52 5 4 3" xfId="37468" xr:uid="{E19A0AA2-1F48-41AA-A55B-34531D6FDD79}"/>
    <cellStyle name="Migliaia 52 5 4 4" xfId="42761" xr:uid="{FEA7B719-FBA4-42F0-B3A7-3F9308AE66B1}"/>
    <cellStyle name="Migliaia 52 5 4 5" xfId="25309" xr:uid="{CC3A75B1-91E7-4212-8891-C342DDBEBA99}"/>
    <cellStyle name="Migliaia 52 5 4 6" xfId="47121" xr:uid="{887CAD51-931E-468F-AE3A-FE482B23E946}"/>
    <cellStyle name="Migliaia 52 5 4 7" xfId="50622" xr:uid="{88A26878-8BEC-4B92-A59D-7D6A9685A3A9}"/>
    <cellStyle name="Migliaia 52 5 4 8" xfId="53638" xr:uid="{5BF1A407-2900-42E3-9FEE-73CE38DFDDBE}"/>
    <cellStyle name="Migliaia 52 5 4 9" xfId="10972" xr:uid="{22A8DA6F-F84D-4D31-B948-98403C1F94B7}"/>
    <cellStyle name="Migliaia 52 5 5" xfId="20921" xr:uid="{3172C189-4B3A-4C34-B806-08537166D632}"/>
    <cellStyle name="Migliaia 52 5 5 2" xfId="34494" xr:uid="{621E43E3-EF83-4AEF-B554-7C488D330177}"/>
    <cellStyle name="Migliaia 52 5 5 2 2" xfId="40111" xr:uid="{8466CF7A-4DD1-4A5E-A5DA-FADBD04783BF}"/>
    <cellStyle name="Migliaia 52 5 5 2 3" xfId="45413" xr:uid="{BC791FDC-13B0-4302-B5A4-C373B61D3496}"/>
    <cellStyle name="Migliaia 52 5 5 3" xfId="37469" xr:uid="{71B2856C-BF9F-46CF-85F9-5A80E4EFF92B}"/>
    <cellStyle name="Migliaia 52 5 5 4" xfId="42762" xr:uid="{23FBD2A9-53D4-4495-B52F-9A74FCC91816}"/>
    <cellStyle name="Migliaia 52 5 5 5" xfId="25310" xr:uid="{9634A7E6-E25D-4AF0-B800-D3FC3F5F4396}"/>
    <cellStyle name="Migliaia 52 5 6" xfId="25311" xr:uid="{3DA91E98-CADE-4892-B3F0-3C18614EB2BD}"/>
    <cellStyle name="Migliaia 52 5 6 2" xfId="34495" xr:uid="{F72222A9-64E0-4B6C-8081-6521CE331A10}"/>
    <cellStyle name="Migliaia 52 5 6 2 2" xfId="40112" xr:uid="{511ABE39-0B9A-4412-BD67-E62730881F7F}"/>
    <cellStyle name="Migliaia 52 5 6 2 3" xfId="45414" xr:uid="{93B165D2-FD27-42D3-99EE-090C127315C0}"/>
    <cellStyle name="Migliaia 52 5 6 3" xfId="37470" xr:uid="{619C28D0-8AC0-4651-B96C-BFEAB6CBE9D1}"/>
    <cellStyle name="Migliaia 52 5 6 4" xfId="42763" xr:uid="{8484B464-99B5-4F7E-8EA3-7ECE1E68B267}"/>
    <cellStyle name="Migliaia 52 5 7" xfId="25307" xr:uid="{95D6A30E-13BC-44DF-8C7A-089EB2CFAECD}"/>
    <cellStyle name="Migliaia 52 5 8" xfId="7577" xr:uid="{6CBFB9A1-AEAE-4358-BF2A-94754C47565B}"/>
    <cellStyle name="Migliaia 52 6" xfId="3869" xr:uid="{4D3AF9B1-0040-4E20-94C8-D18B5F0D3743}"/>
    <cellStyle name="Migliaia 52 6 2" xfId="5595" xr:uid="{8A2C2F60-7FB5-4288-8CCB-6835811F5EBB}"/>
    <cellStyle name="Migliaia 52 6 2 2" xfId="9975" xr:uid="{145CB101-03AE-4A42-9376-3CD8BBD5CCE2}"/>
    <cellStyle name="Migliaia 52 6 2 3" xfId="18556" xr:uid="{5C82466E-9F9F-47DD-819A-6205DE74B079}"/>
    <cellStyle name="Migliaia 52 6 2 4" xfId="20924" xr:uid="{A9461552-D429-491B-BF1A-BA46F431F4CC}"/>
    <cellStyle name="Migliaia 52 6 2 5" xfId="32462" xr:uid="{B23D06C0-572F-4E25-8AFF-C6DCAE305520}"/>
    <cellStyle name="Migliaia 52 6 2 6" xfId="16760" xr:uid="{8114613F-D44B-45C3-A8B2-5292FA9B8C75}"/>
    <cellStyle name="Migliaia 52 6 2 7" xfId="8762" xr:uid="{68B0579E-A6D3-4335-90BF-9B4763E2FC71}"/>
    <cellStyle name="Migliaia 52 6 3" xfId="6771" xr:uid="{686B1AA2-4A21-4FCA-9846-5C701B54893D}"/>
    <cellStyle name="Migliaia 52 6 3 2" xfId="35456" xr:uid="{40524F0C-EE41-4931-B90E-6310C274A567}"/>
    <cellStyle name="Migliaia 52 6 3 2 2" xfId="40616" xr:uid="{83FC8110-BCC1-410A-8EBA-58B377D03FC4}"/>
    <cellStyle name="Migliaia 52 6 3 2 3" xfId="45918" xr:uid="{DAE68052-7ED6-4EFF-92EF-B2B27147016E}"/>
    <cellStyle name="Migliaia 52 6 3 3" xfId="37965" xr:uid="{E01BF68C-D07F-4CEF-AC8D-F3C81095A52A}"/>
    <cellStyle name="Migliaia 52 6 3 4" xfId="43267" xr:uid="{7228D3E3-13AD-4846-9758-92EE31FB43A6}"/>
    <cellStyle name="Migliaia 52 6 3 5" xfId="9738" xr:uid="{CD672A70-1889-4858-A657-D06F235D750C}"/>
    <cellStyle name="Migliaia 52 6 4" xfId="20923" xr:uid="{F330EE6C-0F30-4D67-8224-21807F717651}"/>
    <cellStyle name="Migliaia 52 6 4 2" xfId="40113" xr:uid="{7B32C215-9A5F-4104-B80E-1491598DB2E2}"/>
    <cellStyle name="Migliaia 52 6 4 3" xfId="45415" xr:uid="{D9D6555B-61D4-491F-910E-816D32055B1E}"/>
    <cellStyle name="Migliaia 52 6 4 4" xfId="34496" xr:uid="{6F20A766-A1CA-4032-A130-B3B5AC989608}"/>
    <cellStyle name="Migliaia 52 6 5" xfId="37471" xr:uid="{B8C139A2-86F6-4C7C-8327-C9C452C5AF76}"/>
    <cellStyle name="Migliaia 52 6 6" xfId="42764" xr:uid="{DFDEFDEB-B95A-460A-A097-7A64E66EBA8D}"/>
    <cellStyle name="Migliaia 52 6 7" xfId="16759" xr:uid="{1EDF86B1-D418-4C1B-8E5B-B9477CD1B442}"/>
    <cellStyle name="Migliaia 52 6 8" xfId="7572" xr:uid="{C2D17991-9E01-4B6C-9CBF-BA9365257057}"/>
    <cellStyle name="Migliaia 52 7" xfId="3870" xr:uid="{A9376C20-2A9D-48BF-A68E-D3155CE143D7}"/>
    <cellStyle name="Migliaia 52 7 2" xfId="5596" xr:uid="{2D8E491C-E4DA-4296-B25E-E55173329DA6}"/>
    <cellStyle name="Migliaia 52 7 2 2" xfId="35457" xr:uid="{A81E620E-0F1E-4455-88B0-EC2F3AD5437A}"/>
    <cellStyle name="Migliaia 52 7 2 2 2" xfId="40617" xr:uid="{EA2E9628-10EF-4388-9742-D5A1ED30DB82}"/>
    <cellStyle name="Migliaia 52 7 2 2 3" xfId="45919" xr:uid="{9813CB05-798D-4D09-8199-2B43B0DA8855}"/>
    <cellStyle name="Migliaia 52 7 2 3" xfId="37966" xr:uid="{E8CC10F4-DBAB-4DFB-B9A5-3460202F3EDF}"/>
    <cellStyle name="Migliaia 52 7 2 4" xfId="43268" xr:uid="{0939B40D-56C2-4AFC-B0BF-8A89420D625F}"/>
    <cellStyle name="Migliaia 52 7 2 5" xfId="14320" xr:uid="{8DC0C7E4-4EBB-4E48-ABE5-B6C2093B7175}"/>
    <cellStyle name="Migliaia 52 7 3" xfId="6772" xr:uid="{EDE04637-5F84-48CE-A355-DB60D39184ED}"/>
    <cellStyle name="Migliaia 52 7 3 2" xfId="40114" xr:uid="{582DB7F1-2367-48FE-8FED-08C169B1F9F3}"/>
    <cellStyle name="Migliaia 52 7 3 3" xfId="45416" xr:uid="{3014C438-201E-437B-ACB0-2CF79CAA2E32}"/>
    <cellStyle name="Migliaia 52 7 3 4" xfId="34497" xr:uid="{F82E0A89-4761-41B6-80B5-317D6D370357}"/>
    <cellStyle name="Migliaia 52 7 3 5" xfId="20925" xr:uid="{E2BE290D-FC60-4EFD-BC4C-C88F88E974BA}"/>
    <cellStyle name="Migliaia 52 7 4" xfId="37472" xr:uid="{A413E715-D20A-48E3-99EC-5416A5CC0A3C}"/>
    <cellStyle name="Migliaia 52 7 5" xfId="42765" xr:uid="{5B86EAAB-8F11-4994-BB03-EC39D96F488F}"/>
    <cellStyle name="Migliaia 52 7 6" xfId="16761" xr:uid="{8B610CB3-F262-4A16-83D9-EC9FDB982EB1}"/>
    <cellStyle name="Migliaia 52 7 7" xfId="8382" xr:uid="{94CBED37-1FF3-4DCA-8623-59D74F468BBD}"/>
    <cellStyle name="Migliaia 52 8" xfId="3871" xr:uid="{CDF16066-9FBF-400C-9E0C-859C512F7701}"/>
    <cellStyle name="Migliaia 52 8 2" xfId="5597" xr:uid="{BC0CC8ED-5DC5-431E-910D-D4B8094900F4}"/>
    <cellStyle name="Migliaia 52 8 2 2" xfId="35458" xr:uid="{939B3396-5D74-4B35-9EDD-AF661B394BA7}"/>
    <cellStyle name="Migliaia 52 8 2 2 2" xfId="40618" xr:uid="{9386B7D0-5B69-4A71-9EF6-98AFE13E5FC2}"/>
    <cellStyle name="Migliaia 52 8 2 2 3" xfId="45920" xr:uid="{ACC828B2-33CD-42C5-A2FE-F4596E7D1AF9}"/>
    <cellStyle name="Migliaia 52 8 2 3" xfId="37967" xr:uid="{32FED97A-0B8F-4F62-9F54-EE72ABCE122D}"/>
    <cellStyle name="Migliaia 52 8 2 4" xfId="43269" xr:uid="{FCAA7955-C6EE-4C68-BB30-EB72ACEE0F35}"/>
    <cellStyle name="Migliaia 52 8 2 5" xfId="14025" xr:uid="{F6EA8BF4-27CB-4C48-BC11-11FABC9C534A}"/>
    <cellStyle name="Migliaia 52 8 3" xfId="6773" xr:uid="{0B01831D-C060-432E-8770-8AEA844FBDFE}"/>
    <cellStyle name="Migliaia 52 8 3 2" xfId="40115" xr:uid="{CEB5481D-1031-4D8E-9A71-7F0DFFECD6C6}"/>
    <cellStyle name="Migliaia 52 8 3 3" xfId="45417" xr:uid="{29B1CBCE-BF0B-4CA3-B8DD-5D4C8DBBA598}"/>
    <cellStyle name="Migliaia 52 8 3 4" xfId="34498" xr:uid="{6A4252B9-37B7-44F9-BE6A-0AC473525629}"/>
    <cellStyle name="Migliaia 52 8 3 5" xfId="20926" xr:uid="{E00DD43E-2264-4644-B39F-1C761F8BD224}"/>
    <cellStyle name="Migliaia 52 8 4" xfId="37473" xr:uid="{CD15873E-7345-4BCD-8060-B3FEA7E513F6}"/>
    <cellStyle name="Migliaia 52 8 5" xfId="42766" xr:uid="{B9E9B37F-2CC4-4AC0-9E69-DE9F15DF77F7}"/>
    <cellStyle name="Migliaia 52 8 6" xfId="16762" xr:uid="{53009083-FA9E-4864-AB4D-BA63EA22E32A}"/>
    <cellStyle name="Migliaia 52 8 7" xfId="8010" xr:uid="{4195D993-7E3D-4167-BD67-32D14A21BAAE}"/>
    <cellStyle name="Migliaia 52 9" xfId="5582" xr:uid="{A9201CA5-F61B-4D5F-84CF-DA5CDC670C37}"/>
    <cellStyle name="Migliaia 52 9 2" xfId="34499" xr:uid="{DB9009F8-5D1A-4070-BAD9-66B663CD9A04}"/>
    <cellStyle name="Migliaia 52 9 2 2" xfId="40116" xr:uid="{6845DAFF-C406-48DC-A2E2-762B5146AC2B}"/>
    <cellStyle name="Migliaia 52 9 2 3" xfId="45418" xr:uid="{B2C14F51-22B0-4E9E-8C8A-F92844589DB0}"/>
    <cellStyle name="Migliaia 52 9 3" xfId="37474" xr:uid="{036D0835-FA2A-44BC-B37C-8E2A2364923B}"/>
    <cellStyle name="Migliaia 52 9 4" xfId="42767" xr:uid="{6D8EC918-CD1E-48B8-B7E5-67F78A3E5489}"/>
    <cellStyle name="Migliaia 52 9 5" xfId="17229" xr:uid="{42BB29D1-5BF7-451F-9F44-BF57AE98E20F}"/>
    <cellStyle name="Migliaia 53" xfId="493" xr:uid="{00000000-0005-0000-0000-00006F040000}"/>
    <cellStyle name="Migliaia 53 10" xfId="6774" xr:uid="{DAABB730-F358-454D-B24E-C6CA17D60C38}"/>
    <cellStyle name="Migliaia 53 10 2" xfId="40117" xr:uid="{0FE4BD0D-770F-467B-976A-56144C8591F0}"/>
    <cellStyle name="Migliaia 53 10 3" xfId="45419" xr:uid="{ADACED73-6983-4C20-BE5A-286FD5703F8B}"/>
    <cellStyle name="Migliaia 53 10 4" xfId="34500" xr:uid="{0A4A96FC-E6CD-4BA0-9443-8EAB8C76FC08}"/>
    <cellStyle name="Migliaia 53 10 5" xfId="20927" xr:uid="{79ABB330-18EF-4D70-8E67-CD7911E58666}"/>
    <cellStyle name="Migliaia 53 11" xfId="3872" xr:uid="{F577A5FA-201D-4BAD-BE16-3B8538AADD32}"/>
    <cellStyle name="Migliaia 53 11 2" xfId="37475" xr:uid="{4F72C184-67D0-40BB-B8E4-E4C77A1EBCA2}"/>
    <cellStyle name="Migliaia 53 12" xfId="42768" xr:uid="{EEF49269-F9B0-425A-97A1-B04495D00325}"/>
    <cellStyle name="Migliaia 53 13" xfId="7186" xr:uid="{3C832AD8-90DA-4F00-A340-3598D37DDAEC}"/>
    <cellStyle name="Migliaia 53 2" xfId="494" xr:uid="{00000000-0005-0000-0000-000070040000}"/>
    <cellStyle name="Migliaia 53 2 2" xfId="1896" xr:uid="{00000000-0005-0000-0000-000071040000}"/>
    <cellStyle name="Migliaia 53 2 2 2" xfId="5600" xr:uid="{9FCDC712-8F29-4C62-9DB0-A380AFDE55B0}"/>
    <cellStyle name="Migliaia 53 2 2 2 2" xfId="14411" xr:uid="{4B84363E-DFA7-493B-AB26-8F03F7BF09E8}"/>
    <cellStyle name="Migliaia 53 2 2 2 2 2" xfId="40118" xr:uid="{518A7B55-EEEB-4462-B3E8-361D0E5DF805}"/>
    <cellStyle name="Migliaia 53 2 2 2 2 3" xfId="45420" xr:uid="{C8E98B56-FCFF-4D73-8307-A7C3FB9B1D35}"/>
    <cellStyle name="Migliaia 53 2 2 2 3" xfId="18506" xr:uid="{F2D59A02-B7DB-4925-8A4B-C2F60E1C96B7}"/>
    <cellStyle name="Migliaia 53 2 2 2 4" xfId="20930" xr:uid="{EF679286-5D46-4E4D-8C5E-D2ABE6DBF0CB}"/>
    <cellStyle name="Migliaia 53 2 2 2 4 2" xfId="42769" xr:uid="{E673FC0B-4036-447D-80AA-3AC31A02C29C}"/>
    <cellStyle name="Migliaia 53 2 2 2 5" xfId="16763" xr:uid="{B7DE8435-FC2F-48EF-953B-58BEDA7836A8}"/>
    <cellStyle name="Migliaia 53 2 2 2 6" xfId="8769" xr:uid="{4DE672F9-B7EC-4FB7-B4B7-98802F136259}"/>
    <cellStyle name="Migliaia 53 2 2 3" xfId="6776" xr:uid="{C294BC7A-BAAF-4BDD-B838-9C2DA801907C}"/>
    <cellStyle name="Migliaia 53 2 2 3 2" xfId="35459" xr:uid="{19913BAD-259C-408E-BA80-BDC6FFB6C3F1}"/>
    <cellStyle name="Migliaia 53 2 2 3 2 2" xfId="40619" xr:uid="{731DAB54-97CD-47EB-AB01-755D02D228DA}"/>
    <cellStyle name="Migliaia 53 2 2 3 2 3" xfId="45921" xr:uid="{B149FE83-3745-425F-920F-CEEC0E685453}"/>
    <cellStyle name="Migliaia 53 2 2 3 3" xfId="37968" xr:uid="{B1F37DF2-E788-4BB1-AA40-02869DD597A1}"/>
    <cellStyle name="Migliaia 53 2 2 3 4" xfId="43270" xr:uid="{E5CC4404-61D1-469B-8B7C-5DCDB32772FE}"/>
    <cellStyle name="Migliaia 53 2 2 3 5" xfId="11638" xr:uid="{8BFA8DCC-4CF9-4CDF-B89B-9435675C594B}"/>
    <cellStyle name="Migliaia 53 2 2 4" xfId="3874" xr:uid="{42DBEE27-4BB5-48A7-81B7-579439AEA7ED}"/>
    <cellStyle name="Migliaia 53 2 2 4 2" xfId="21608" xr:uid="{24D53240-732F-4603-83AE-12677809F87F}"/>
    <cellStyle name="Migliaia 53 2 2 4 3" xfId="47004" xr:uid="{271A898E-89A1-4224-8A7C-4693DEB035AF}"/>
    <cellStyle name="Migliaia 53 2 2 4 4" xfId="50623" xr:uid="{34E1736C-CBE5-4C5D-AAEB-CBA86FF1CE19}"/>
    <cellStyle name="Migliaia 53 2 2 4 5" xfId="53639" xr:uid="{6AC004E3-E42F-40DB-9B58-560E22C90573}"/>
    <cellStyle name="Migliaia 53 2 2 4 6" xfId="10973" xr:uid="{AA163C25-3F78-48B1-A49C-E35752CAE3DE}"/>
    <cellStyle name="Migliaia 53 2 2 5" xfId="20929" xr:uid="{381C68C2-2C4C-4B63-9EDD-6E736E7303A1}"/>
    <cellStyle name="Migliaia 53 2 2 6" xfId="25313" xr:uid="{80BE1379-98BF-4C89-A1F6-21E7419ACCA3}"/>
    <cellStyle name="Migliaia 53 2 2 7" xfId="7579" xr:uid="{74C177FF-1317-44CE-A7F8-2D02BDADF53B}"/>
    <cellStyle name="Migliaia 53 2 3" xfId="3875" xr:uid="{02500575-C6FA-402E-8599-0AD31427F0FE}"/>
    <cellStyle name="Migliaia 53 2 3 2" xfId="5601" xr:uid="{BE3AF0C6-4A27-4615-BD5A-C9651DD44D92}"/>
    <cellStyle name="Migliaia 53 2 3 2 2" xfId="35460" xr:uid="{0D6646B1-885C-4D57-9CFE-ED342677BBA3}"/>
    <cellStyle name="Migliaia 53 2 3 2 2 2" xfId="40620" xr:uid="{D55A694D-0A79-4B78-9937-EF334BADF10F}"/>
    <cellStyle name="Migliaia 53 2 3 2 2 3" xfId="45922" xr:uid="{B252B674-5242-47DE-BEFF-979F4920A7A8}"/>
    <cellStyle name="Migliaia 53 2 3 2 3" xfId="37969" xr:uid="{474291A0-A7D4-4EE2-A81E-4C99A4D2C97F}"/>
    <cellStyle name="Migliaia 53 2 3 2 4" xfId="43271" xr:uid="{C609BFED-EAC0-4FCC-B313-AF9E95526600}"/>
    <cellStyle name="Migliaia 53 2 3 2 5" xfId="14324" xr:uid="{98FBCA2B-A324-46F9-9BD8-BD7BFB57DFC4}"/>
    <cellStyle name="Migliaia 53 2 3 3" xfId="6777" xr:uid="{B19315B1-1D0B-4601-8142-E9662F818A16}"/>
    <cellStyle name="Migliaia 53 2 3 3 2" xfId="40119" xr:uid="{BC26D025-3792-45EE-8B22-A329010F3DD8}"/>
    <cellStyle name="Migliaia 53 2 3 3 3" xfId="45421" xr:uid="{36591EB2-F826-496F-BD86-0C0367C549D7}"/>
    <cellStyle name="Migliaia 53 2 3 3 4" xfId="34501" xr:uid="{B1B52BD4-92BF-4708-BAD8-7CAD8F191D32}"/>
    <cellStyle name="Migliaia 53 2 3 3 5" xfId="20931" xr:uid="{EA2ABCE7-718F-4701-91ED-5A130692A239}"/>
    <cellStyle name="Migliaia 53 2 3 4" xfId="37476" xr:uid="{2A8A748F-BFB5-4E19-BE63-7C21B611C297}"/>
    <cellStyle name="Migliaia 53 2 3 5" xfId="42770" xr:uid="{440839F4-9CA6-466A-BF89-A03C4D718560}"/>
    <cellStyle name="Migliaia 53 2 3 6" xfId="16764" xr:uid="{6B59ABAB-3BCC-4200-8FD9-D1BA0DF92160}"/>
    <cellStyle name="Migliaia 53 2 3 7" xfId="8386" xr:uid="{F0B9F7CB-4D49-4874-A91B-B11F478AC16E}"/>
    <cellStyle name="Migliaia 53 2 4" xfId="5599" xr:uid="{79285C30-7E19-4A06-879C-5D9E17637B45}"/>
    <cellStyle name="Migliaia 53 2 4 2" xfId="14029" xr:uid="{D9F053E3-E423-4B69-A052-1BEE3DE4A142}"/>
    <cellStyle name="Migliaia 53 2 4 2 2" xfId="40120" xr:uid="{763DB3D6-0320-4134-A312-AB06D4359652}"/>
    <cellStyle name="Migliaia 53 2 4 2 3" xfId="45422" xr:uid="{CFF69C43-3B97-493F-8A31-F896E4F7718F}"/>
    <cellStyle name="Migliaia 53 2 4 3" xfId="18026" xr:uid="{F467BF2D-172C-4D92-9BD0-A11310B03469}"/>
    <cellStyle name="Migliaia 53 2 4 4" xfId="20932" xr:uid="{AAEBE5F2-F774-4914-85DF-D0131E10A05B}"/>
    <cellStyle name="Migliaia 53 2 4 4 2" xfId="42771" xr:uid="{53A2390F-45E7-4A74-B202-487B894E7ED8}"/>
    <cellStyle name="Migliaia 53 2 4 5" xfId="16765" xr:uid="{5FF110A9-E6C5-4B1C-BDD3-E1BD5D88264F}"/>
    <cellStyle name="Migliaia 53 2 4 6" xfId="8015" xr:uid="{CEB0B378-1627-4AA5-AB83-86A4A5B59023}"/>
    <cellStyle name="Migliaia 53 2 5" xfId="6775" xr:uid="{3C67B881-3AA1-4800-8D4B-647D0E92CC67}"/>
    <cellStyle name="Migliaia 53 2 5 2" xfId="34502" xr:uid="{BEA95D4A-F6DC-4AAA-B3E3-887EE52C3FFE}"/>
    <cellStyle name="Migliaia 53 2 5 2 2" xfId="40121" xr:uid="{A04A44C7-D455-4A01-85D7-114A31A21D5D}"/>
    <cellStyle name="Migliaia 53 2 5 2 3" xfId="45423" xr:uid="{74B0AE18-E8AF-4777-927A-8A69595AE826}"/>
    <cellStyle name="Migliaia 53 2 5 3" xfId="37477" xr:uid="{08F27FA0-BAC5-4A2E-B352-9A06C7C3A0B2}"/>
    <cellStyle name="Migliaia 53 2 5 4" xfId="42772" xr:uid="{A2042EF7-471D-4D8E-8C39-CDBF29662775}"/>
    <cellStyle name="Migliaia 53 2 5 5" xfId="13151" xr:uid="{A4CE940D-29F7-4705-89DF-0E7F2CCFCA62}"/>
    <cellStyle name="Migliaia 53 2 6" xfId="3873" xr:uid="{62C1B83E-D9A4-4B18-B4B9-F32F2D39B531}"/>
    <cellStyle name="Migliaia 53 2 6 2" xfId="34503" xr:uid="{748F2B30-EFB8-4895-9346-53D27D6B5EF8}"/>
    <cellStyle name="Migliaia 53 2 6 2 2" xfId="40122" xr:uid="{494F19D6-291D-41E5-AF8B-A68766B866C8}"/>
    <cellStyle name="Migliaia 53 2 6 2 3" xfId="45424" xr:uid="{3B723AF3-36A4-4700-A8BF-9A4C6776E45B}"/>
    <cellStyle name="Migliaia 53 2 6 3" xfId="37478" xr:uid="{9C55549B-15B2-48B6-BB5A-1A80D95B9F79}"/>
    <cellStyle name="Migliaia 53 2 6 4" xfId="42773" xr:uid="{1BFA6BF0-5457-4C86-A27D-8F66C551E7BA}"/>
    <cellStyle name="Migliaia 53 2 6 5" xfId="25314" xr:uid="{C2E9312F-7348-497B-88EA-B4AE4760160C}"/>
    <cellStyle name="Migliaia 53 2 6 6" xfId="20928" xr:uid="{07027D43-78C2-4090-A3FC-B5F00E6B0B42}"/>
    <cellStyle name="Migliaia 53 2 7" xfId="25312" xr:uid="{DCFEBD8A-3B85-44D0-92BD-E236D37FBFFB}"/>
    <cellStyle name="Migliaia 53 2 8" xfId="7187" xr:uid="{8897B37C-5540-4F20-AD41-409DE92A66D5}"/>
    <cellStyle name="Migliaia 53 3" xfId="495" xr:uid="{00000000-0005-0000-0000-000072040000}"/>
    <cellStyle name="Migliaia 53 3 10" xfId="25315" xr:uid="{53FB93DE-5461-4F5F-9725-8417D327EF47}"/>
    <cellStyle name="Migliaia 53 3 11" xfId="16766" xr:uid="{498AA1A2-2E36-4C44-9EBB-CC646B6D1BB1}"/>
    <cellStyle name="Migliaia 53 3 12" xfId="7188" xr:uid="{C35CFB18-A7CD-43B9-BC91-C55E2D686A2F}"/>
    <cellStyle name="Migliaia 53 3 2" xfId="496" xr:uid="{00000000-0005-0000-0000-000073040000}"/>
    <cellStyle name="Migliaia 53 3 2 2" xfId="1897" xr:uid="{00000000-0005-0000-0000-000074040000}"/>
    <cellStyle name="Migliaia 53 3 2 2 2" xfId="5604" xr:uid="{75C72B14-29FD-4EDC-A5AA-21C320D99EBB}"/>
    <cellStyle name="Migliaia 53 3 2 2 2 2" xfId="18507" xr:uid="{F32E3ADC-01C7-4C06-B5C3-C7282D315A35}"/>
    <cellStyle name="Migliaia 53 3 2 2 2 2 2" xfId="21889" xr:uid="{CB7FA5FB-8923-4C8C-8045-AEB1633033EB}"/>
    <cellStyle name="Migliaia 53 3 2 2 2 2 2 2" xfId="40123" xr:uid="{36F3380F-A258-4AD4-9CD9-82D3D636942B}"/>
    <cellStyle name="Migliaia 53 3 2 2 2 2 3" xfId="45425" xr:uid="{00D4B525-07B0-4A1C-A768-D140136B80BF}"/>
    <cellStyle name="Migliaia 53 3 2 2 2 2 4" xfId="34504" xr:uid="{96C55D7F-D47D-43DD-8259-5432A5A00E22}"/>
    <cellStyle name="Migliaia 53 3 2 2 2 3" xfId="37479" xr:uid="{25AC9A29-5C55-44FB-825C-A8742AF98251}"/>
    <cellStyle name="Migliaia 53 3 2 2 2 4" xfId="42774" xr:uid="{F44039D4-50BA-4FF6-92E0-0EE747C288BB}"/>
    <cellStyle name="Migliaia 53 3 2 2 2 5" xfId="48333" xr:uid="{9B5E1508-640B-49CF-B5A9-2EC0A361F0A1}"/>
    <cellStyle name="Migliaia 53 3 2 2 2 6" xfId="50917" xr:uid="{54CDBE45-7BD1-44B3-AC8F-CCBB30881DDC}"/>
    <cellStyle name="Migliaia 53 3 2 2 2 7" xfId="53933" xr:uid="{BB624C03-70A5-43D6-9DFA-20DEFD4B08AE}"/>
    <cellStyle name="Migliaia 53 3 2 2 2 8" xfId="17688" xr:uid="{4D7DE55E-2E3C-41C6-A3E0-4DD400534FAB}"/>
    <cellStyle name="Migliaia 53 3 2 2 2 9" xfId="12079" xr:uid="{9AE5FCBC-5EE5-427B-9323-E702CB91F751}"/>
    <cellStyle name="Migliaia 53 3 2 2 3" xfId="6780" xr:uid="{7FA9ABE1-7B77-45A7-BF60-319609DC99D0}"/>
    <cellStyle name="Migliaia 53 3 2 2 3 2" xfId="12153" xr:uid="{52456DBC-E612-4744-93CA-43E3734456CA}"/>
    <cellStyle name="Migliaia 53 3 2 2 4" xfId="3878" xr:uid="{CB917C84-8DF1-469D-924F-DA2073ED0507}"/>
    <cellStyle name="Migliaia 53 3 2 2 4 2" xfId="21609" xr:uid="{982856C9-FE88-4672-BA72-40E991E63578}"/>
    <cellStyle name="Migliaia 53 3 2 2 4 3" xfId="47809" xr:uid="{1C884AAE-1A37-4345-8041-A8A55C8F4993}"/>
    <cellStyle name="Migliaia 53 3 2 2 4 4" xfId="50624" xr:uid="{4771FCB7-6FAE-4C17-85A0-991494530E1B}"/>
    <cellStyle name="Migliaia 53 3 2 2 4 5" xfId="53640" xr:uid="{30CDFEC2-A365-4289-A0BB-73EDC9B761B2}"/>
    <cellStyle name="Migliaia 53 3 2 2 4 6" xfId="10974" xr:uid="{73964F8D-1700-4E95-A04B-CA5EFE923DE9}"/>
    <cellStyle name="Migliaia 53 3 2 2 5" xfId="20935" xr:uid="{08346BCD-7CAA-461B-ADB8-6F9BFA02BF92}"/>
    <cellStyle name="Migliaia 53 3 2 2 6" xfId="25317" xr:uid="{82ABCA99-8CD6-4BAB-99F0-001AD75C295A}"/>
    <cellStyle name="Migliaia 53 3 2 2 7" xfId="8771" xr:uid="{1A93341A-6525-431C-8119-3E3F53C7C5A1}"/>
    <cellStyle name="Migliaia 53 3 2 3" xfId="5603" xr:uid="{85C60C5D-9849-414D-924D-2290AF049499}"/>
    <cellStyle name="Migliaia 53 3 2 3 2" xfId="12399" xr:uid="{196FBDD8-E903-4D1E-A231-90F125C965D7}"/>
    <cellStyle name="Migliaia 53 3 2 3 2 2" xfId="40124" xr:uid="{96934E05-BA6A-4751-A02D-81B67135708D}"/>
    <cellStyle name="Migliaia 53 3 2 3 2 3" xfId="45426" xr:uid="{EA873047-F6EF-4CD7-B63F-F214D14739A5}"/>
    <cellStyle name="Migliaia 53 3 2 3 2 4" xfId="34505" xr:uid="{91C7C2BD-7ADC-4D31-8CBA-18EF2917FAE5}"/>
    <cellStyle name="Migliaia 53 3 2 3 3" xfId="12080" xr:uid="{136BCC7E-2194-44A6-B2F0-669DDA103A74}"/>
    <cellStyle name="Migliaia 53 3 2 3 4" xfId="20936" xr:uid="{E424271F-804E-4130-A9D9-ECCF3858EFF6}"/>
    <cellStyle name="Migliaia 53 3 2 3 4 2" xfId="42775" xr:uid="{1C51F291-9422-46AD-B427-9EB5B0151AE1}"/>
    <cellStyle name="Migliaia 53 3 2 3 5" xfId="16767" xr:uid="{D92CD7E1-1EA4-44C1-8C2F-CFFED851A7A2}"/>
    <cellStyle name="Migliaia 53 3 2 3 6" xfId="8017" xr:uid="{03A1DA71-E6A1-4674-86AB-406D876C69C1}"/>
    <cellStyle name="Migliaia 53 3 2 4" xfId="6779" xr:uid="{7D14AFBB-177D-4DDF-A911-649763AF1ECE}"/>
    <cellStyle name="Migliaia 53 3 2 4 2" xfId="18105" xr:uid="{CFED6966-8774-471F-AB4A-49DCE3FFCFBE}"/>
    <cellStyle name="Migliaia 53 3 2 4 2 2" xfId="40125" xr:uid="{8EFFD414-34A0-40A1-97A5-CD4476B025B1}"/>
    <cellStyle name="Migliaia 53 3 2 4 2 3" xfId="45427" xr:uid="{ED9BC48C-4FE3-4B5F-9FFE-A315762E5FA7}"/>
    <cellStyle name="Migliaia 53 3 2 4 3" xfId="37480" xr:uid="{4B1039F4-66E8-4847-87A1-2CF66F960A85}"/>
    <cellStyle name="Migliaia 53 3 2 4 4" xfId="42776" xr:uid="{1398E508-E79A-43EB-B2CA-303B18F4E2CE}"/>
    <cellStyle name="Migliaia 53 3 2 4 5" xfId="17232" xr:uid="{D50F1EAC-3704-46AC-A6D6-FCFC766FFAB8}"/>
    <cellStyle name="Migliaia 53 3 2 4 6" xfId="11432" xr:uid="{D095B24D-DF0E-4EAE-8CD9-337B774C65F6}"/>
    <cellStyle name="Migliaia 53 3 2 5" xfId="3877" xr:uid="{6775C2D6-273D-4242-8F25-D8BD483F35CC}"/>
    <cellStyle name="Migliaia 53 3 2 5 2" xfId="34506" xr:uid="{C733B251-C549-41DC-A3E0-264322F55042}"/>
    <cellStyle name="Migliaia 53 3 2 5 2 2" xfId="40126" xr:uid="{4D97DDA7-C854-4482-908F-B93F69B5E7EF}"/>
    <cellStyle name="Migliaia 53 3 2 5 2 3" xfId="45428" xr:uid="{09537322-5D15-4568-B17F-E452D616FBEB}"/>
    <cellStyle name="Migliaia 53 3 2 5 3" xfId="37481" xr:uid="{3E64E9C1-A209-4493-A1BD-0E1CA7BC4976}"/>
    <cellStyle name="Migliaia 53 3 2 5 4" xfId="42777" xr:uid="{8AD69CE8-F1A2-4C6A-9EB1-90E2D4F5AC1F}"/>
    <cellStyle name="Migliaia 53 3 2 5 5" xfId="17282" xr:uid="{5CA28D9A-834B-447C-BF8C-D5CEE85425E3}"/>
    <cellStyle name="Migliaia 53 3 2 6" xfId="20934" xr:uid="{093C2B74-1AA7-4DD4-9E06-297107A326CA}"/>
    <cellStyle name="Migliaia 53 3 2 6 2" xfId="34507" xr:uid="{93C4F193-3F5F-4A20-935E-E7B09109579C}"/>
    <cellStyle name="Migliaia 53 3 2 6 2 2" xfId="40127" xr:uid="{F5B29F03-6071-46CD-817E-C60A93C26DAF}"/>
    <cellStyle name="Migliaia 53 3 2 6 2 3" xfId="45429" xr:uid="{C1CB4BDF-6DBD-4049-8DFE-AD237FC7038A}"/>
    <cellStyle name="Migliaia 53 3 2 6 3" xfId="37482" xr:uid="{85FDFC39-B926-4439-AC5F-F874316A693B}"/>
    <cellStyle name="Migliaia 53 3 2 6 4" xfId="42778" xr:uid="{337175A1-61EC-45F0-94F7-4556230F927A}"/>
    <cellStyle name="Migliaia 53 3 2 6 5" xfId="25318" xr:uid="{E8FB1664-C642-49A2-A556-1EA04F7A4955}"/>
    <cellStyle name="Migliaia 53 3 2 7" xfId="25316" xr:uid="{43520FCA-58B4-4857-A079-CB81BE85C858}"/>
    <cellStyle name="Migliaia 53 3 2 8" xfId="7581" xr:uid="{0FBC3842-DD2F-4586-A989-0B48D694D027}"/>
    <cellStyle name="Migliaia 53 3 3" xfId="3879" xr:uid="{B007EE73-7F64-4378-82D1-D8E8338F4576}"/>
    <cellStyle name="Migliaia 53 3 3 10" xfId="7580" xr:uid="{50D69143-C5C7-4044-B501-96EEAA162531}"/>
    <cellStyle name="Migliaia 53 3 3 2" xfId="5605" xr:uid="{81E03943-2F26-4427-9C81-124D02491819}"/>
    <cellStyle name="Migliaia 53 3 3 2 2" xfId="9978" xr:uid="{C6FFA2BC-D3CE-4790-BB8E-78DA81E6CFB9}"/>
    <cellStyle name="Migliaia 53 3 3 2 2 2" xfId="40129" xr:uid="{84A2D34B-8741-4E36-9832-549748154DB9}"/>
    <cellStyle name="Migliaia 53 3 3 2 2 3" xfId="45431" xr:uid="{298C2086-C134-4479-813E-150CE60BF680}"/>
    <cellStyle name="Migliaia 53 3 3 2 3" xfId="18258" xr:uid="{343568EC-1893-41B4-9B17-016180CBA48A}"/>
    <cellStyle name="Migliaia 53 3 3 2 4" xfId="20938" xr:uid="{B0DA4036-4E58-45F0-9771-BFB8C8CBAC22}"/>
    <cellStyle name="Migliaia 53 3 3 2 4 2" xfId="42780" xr:uid="{518F1903-EDE5-48C5-BFE6-7306A6F297FE}"/>
    <cellStyle name="Migliaia 53 3 3 2 5" xfId="16769" xr:uid="{50115D6C-DE98-4243-A5EF-8E33F9044BE0}"/>
    <cellStyle name="Migliaia 53 3 3 2 6" xfId="8770" xr:uid="{40A1985C-3A9A-482E-84A8-3B05BBE9A41C}"/>
    <cellStyle name="Migliaia 53 3 3 3" xfId="6781" xr:uid="{F340A5EC-D3CF-4110-8DC4-288ECD06B4F7}"/>
    <cellStyle name="Migliaia 53 3 3 3 2" xfId="34509" xr:uid="{EA1943DD-D68D-4632-8DE1-BB76389370D9}"/>
    <cellStyle name="Migliaia 53 3 3 3 2 2" xfId="40130" xr:uid="{5EC09AE2-C699-4EAE-8249-0AA0E0B0E2AB}"/>
    <cellStyle name="Migliaia 53 3 3 3 2 3" xfId="45432" xr:uid="{5FA4B8C0-AAFC-4C3C-9BC3-BA21A2A1656B}"/>
    <cellStyle name="Migliaia 53 3 3 3 3" xfId="37484" xr:uid="{1DCB395A-800E-45F8-B8CD-2CC00FA6E939}"/>
    <cellStyle name="Migliaia 53 3 3 3 4" xfId="42781" xr:uid="{29BCCA6C-BD85-46A2-B28D-22ED036E3085}"/>
    <cellStyle name="Migliaia 53 3 3 3 5" xfId="9741" xr:uid="{883153AC-00DD-457E-9477-BC707677C8A5}"/>
    <cellStyle name="Migliaia 53 3 3 4" xfId="20937" xr:uid="{F92BE089-020D-47D7-92A1-014C27675A58}"/>
    <cellStyle name="Migliaia 53 3 3 4 2" xfId="34510" xr:uid="{304EE081-CCB5-409F-B30D-0E8BD6AD368C}"/>
    <cellStyle name="Migliaia 53 3 3 4 2 2" xfId="40131" xr:uid="{017761F3-6E7B-4D0B-9926-C93740345B5D}"/>
    <cellStyle name="Migliaia 53 3 3 4 2 3" xfId="45433" xr:uid="{7D7791B2-7BD3-42B1-8C6C-AAC080A8E04A}"/>
    <cellStyle name="Migliaia 53 3 3 4 3" xfId="37485" xr:uid="{122A7394-2E5E-4177-8381-BEC35B26FB14}"/>
    <cellStyle name="Migliaia 53 3 3 4 4" xfId="42782" xr:uid="{15757778-AD4E-4AE1-94DC-3644BE77831D}"/>
    <cellStyle name="Migliaia 53 3 3 4 5" xfId="25320" xr:uid="{ED582B15-8F76-4578-A5B4-24FEA6030F4A}"/>
    <cellStyle name="Migliaia 53 3 3 5" xfId="25321" xr:uid="{981C8891-F07B-494E-8D39-C621B2AF8EEC}"/>
    <cellStyle name="Migliaia 53 3 3 5 2" xfId="34511" xr:uid="{CCE49F4E-D1EF-40D6-AE1A-CA985917B6CA}"/>
    <cellStyle name="Migliaia 53 3 3 5 2 2" xfId="40132" xr:uid="{E96FC7E6-4A41-4C6F-A975-D8BEE62449FB}"/>
    <cellStyle name="Migliaia 53 3 3 5 2 3" xfId="45434" xr:uid="{BC6C21A0-72A9-47D6-8D18-9A3C7DDB85D1}"/>
    <cellStyle name="Migliaia 53 3 3 5 3" xfId="37486" xr:uid="{19959284-FB0B-44AE-9E4B-13DE374779BF}"/>
    <cellStyle name="Migliaia 53 3 3 5 4" xfId="42783" xr:uid="{E8B03C19-2C1B-463F-9FBB-FAD0C83BF8A9}"/>
    <cellStyle name="Migliaia 53 3 3 6" xfId="34508" xr:uid="{E436513D-9FBD-4F52-B653-42045F39F0C0}"/>
    <cellStyle name="Migliaia 53 3 3 6 2" xfId="40128" xr:uid="{23D6672A-6E6A-4E5E-A7C2-1BA089E01501}"/>
    <cellStyle name="Migliaia 53 3 3 6 3" xfId="45430" xr:uid="{F861D6A5-063F-4E09-A154-58146DE27F28}"/>
    <cellStyle name="Migliaia 53 3 3 7" xfId="37483" xr:uid="{24864F3F-13E7-4CAB-A203-BF3EFB29B697}"/>
    <cellStyle name="Migliaia 53 3 3 8" xfId="42779" xr:uid="{F484C95B-77B3-41D9-BBA0-EDCC48013BCC}"/>
    <cellStyle name="Migliaia 53 3 3 9" xfId="16768" xr:uid="{2725B595-2AD2-405B-A590-525A20A4659F}"/>
    <cellStyle name="Migliaia 53 3 4" xfId="3880" xr:uid="{C5224267-4214-4399-91CF-09B0D892940C}"/>
    <cellStyle name="Migliaia 53 3 4 2" xfId="5606" xr:uid="{04C6FA9A-47A6-4F06-9B3B-063D426021AE}"/>
    <cellStyle name="Migliaia 53 3 4 2 2" xfId="14471" xr:uid="{24EF8A2D-09CE-48D6-9F00-C4653E38BEAC}"/>
    <cellStyle name="Migliaia 53 3 4 2 3" xfId="18576" xr:uid="{7BDBD987-FD8C-4F7D-AD60-8B40C0DEE560}"/>
    <cellStyle name="Migliaia 53 3 4 2 4" xfId="20940" xr:uid="{7E6C2926-B54A-46D1-9966-EA7FA69275AF}"/>
    <cellStyle name="Migliaia 53 3 4 2 5" xfId="32463" xr:uid="{D9862B42-2AF9-456B-A49F-5E7C6127712C}"/>
    <cellStyle name="Migliaia 53 3 4 2 6" xfId="16771" xr:uid="{8FC00584-1638-4E42-939B-72BD8DB19F5B}"/>
    <cellStyle name="Migliaia 53 3 4 2 7" xfId="8894" xr:uid="{3AF61F36-4ED6-44A9-AE74-7D61FC9D5CD6}"/>
    <cellStyle name="Migliaia 53 3 4 3" xfId="6782" xr:uid="{CE780606-F8E7-486D-B8D1-10B836AD182D}"/>
    <cellStyle name="Migliaia 53 3 4 3 2" xfId="35461" xr:uid="{781C5492-853F-4A13-84FF-41DAB63B9E58}"/>
    <cellStyle name="Migliaia 53 3 4 3 2 2" xfId="40621" xr:uid="{B07E9743-0E5B-494D-801C-7BDA93282B6E}"/>
    <cellStyle name="Migliaia 53 3 4 3 2 3" xfId="45923" xr:uid="{B91CD9A0-CBE0-40A8-807E-6284EF66657F}"/>
    <cellStyle name="Migliaia 53 3 4 3 3" xfId="37970" xr:uid="{D925FF8C-9645-4FB8-9B8C-8906C534BE2B}"/>
    <cellStyle name="Migliaia 53 3 4 3 4" xfId="43272" xr:uid="{EC46ABBE-75EE-4F71-A89D-2402B56F91F2}"/>
    <cellStyle name="Migliaia 53 3 4 3 5" xfId="13719" xr:uid="{8472C7C2-6A41-419D-B4ED-8E38CFB4048C}"/>
    <cellStyle name="Migliaia 53 3 4 4" xfId="20939" xr:uid="{12C92993-27A1-416E-8AE9-2FAB2BA3A9C6}"/>
    <cellStyle name="Migliaia 53 3 4 4 2" xfId="40133" xr:uid="{20629B5F-8D27-49D2-8897-08F2BDA2C853}"/>
    <cellStyle name="Migliaia 53 3 4 4 3" xfId="45435" xr:uid="{692A0CB0-CA61-4CBF-9F0D-01F6A93BAE7E}"/>
    <cellStyle name="Migliaia 53 3 4 4 4" xfId="34512" xr:uid="{FA073A32-AE5D-428A-9D4A-F83F3E40C2F9}"/>
    <cellStyle name="Migliaia 53 3 4 5" xfId="37487" xr:uid="{B3D98050-F609-449D-93EA-421D222D25D8}"/>
    <cellStyle name="Migliaia 53 3 4 6" xfId="42784" xr:uid="{EE935C47-A666-4E44-9704-F369883820C3}"/>
    <cellStyle name="Migliaia 53 3 4 7" xfId="16770" xr:uid="{BA3F4118-5E0A-44EE-A895-CDA92307EEFD}"/>
    <cellStyle name="Migliaia 53 3 4 8" xfId="7704" xr:uid="{44340128-4640-40DA-95FE-56B012925E9D}"/>
    <cellStyle name="Migliaia 53 3 5" xfId="3881" xr:uid="{47DD4609-1775-4409-9240-CAE6AD7E56FD}"/>
    <cellStyle name="Migliaia 53 3 5 2" xfId="5607" xr:uid="{38571950-1E44-46D7-AB1D-07A0003FCA8D}"/>
    <cellStyle name="Migliaia 53 3 5 2 2" xfId="35462" xr:uid="{2738E10B-687C-4D9C-B421-F77173FF2560}"/>
    <cellStyle name="Migliaia 53 3 5 2 2 2" xfId="40622" xr:uid="{AD9479AF-7D0D-4808-8AA3-CAF85E1E0DAC}"/>
    <cellStyle name="Migliaia 53 3 5 2 2 3" xfId="45924" xr:uid="{F12B93B3-7B3B-46E7-855A-959F24609C95}"/>
    <cellStyle name="Migliaia 53 3 5 2 3" xfId="37971" xr:uid="{11DC63C9-C219-4ABC-AD76-60CD7435189F}"/>
    <cellStyle name="Migliaia 53 3 5 2 4" xfId="43273" xr:uid="{B78E98AF-1F06-4E6B-BED8-F420762F235F}"/>
    <cellStyle name="Migliaia 53 3 5 2 5" xfId="14325" xr:uid="{A2D465BF-B6EF-4F10-A55E-07DA2803CFB9}"/>
    <cellStyle name="Migliaia 53 3 5 3" xfId="6783" xr:uid="{14CE2A3B-5540-4BC3-B3D9-787823D44F6B}"/>
    <cellStyle name="Migliaia 53 3 5 3 2" xfId="40134" xr:uid="{831580BE-9278-4C90-8957-7DB54E1A1DB6}"/>
    <cellStyle name="Migliaia 53 3 5 3 3" xfId="45436" xr:uid="{D29C4103-4015-4E20-AD43-749BA3911F0B}"/>
    <cellStyle name="Migliaia 53 3 5 3 4" xfId="34513" xr:uid="{95B7B8BB-9BD5-4C7F-9273-04686A7F1114}"/>
    <cellStyle name="Migliaia 53 3 5 3 5" xfId="20941" xr:uid="{BC354B74-929F-4C6D-844D-8A1BFF4A6968}"/>
    <cellStyle name="Migliaia 53 3 5 4" xfId="37488" xr:uid="{8C2C9E5A-991B-4124-9D8B-D0568645C98B}"/>
    <cellStyle name="Migliaia 53 3 5 5" xfId="42785" xr:uid="{EA0C357B-CBD4-4BF3-AC78-53049CF38F44}"/>
    <cellStyle name="Migliaia 53 3 5 6" xfId="16772" xr:uid="{544AEA06-A292-4797-A155-A0679C01DE44}"/>
    <cellStyle name="Migliaia 53 3 5 7" xfId="8387" xr:uid="{B1B95D03-3731-46CC-8E42-0D0AED17AEA0}"/>
    <cellStyle name="Migliaia 53 3 6" xfId="5602" xr:uid="{A952BE88-463A-49B6-9098-9BAD5C9E3C5C}"/>
    <cellStyle name="Migliaia 53 3 6 2" xfId="14030" xr:uid="{A93AE73D-6CF5-46D1-B604-1FC7BD56AD6B}"/>
    <cellStyle name="Migliaia 53 3 6 2 2" xfId="40135" xr:uid="{5AAB9944-D8C9-40B2-B3A1-315D99DEAF9B}"/>
    <cellStyle name="Migliaia 53 3 6 2 3" xfId="45437" xr:uid="{6177C0EC-3371-4A2D-BA4A-39A8D68B9EEA}"/>
    <cellStyle name="Migliaia 53 3 6 3" xfId="18292" xr:uid="{16BD652D-A0D2-4C71-9C4E-97E55D589AF8}"/>
    <cellStyle name="Migliaia 53 3 6 4" xfId="20942" xr:uid="{EC93C129-BB4A-4227-8F45-83CD4BAEBC21}"/>
    <cellStyle name="Migliaia 53 3 6 4 2" xfId="42786" xr:uid="{8A271878-CB73-4FD3-83A9-24DFFA68B488}"/>
    <cellStyle name="Migliaia 53 3 6 5" xfId="16773" xr:uid="{A61DE816-4CD2-4B75-A4D7-550973239EFB}"/>
    <cellStyle name="Migliaia 53 3 6 6" xfId="8016" xr:uid="{921D80D5-9E58-4F7B-86D6-75305B4EB232}"/>
    <cellStyle name="Migliaia 53 3 7" xfId="6778" xr:uid="{A31DDD86-40AC-4241-AF89-473E11805479}"/>
    <cellStyle name="Migliaia 53 3 7 2" xfId="34515" xr:uid="{F91A84FF-F200-4FDB-96B4-47E1A10AAE7F}"/>
    <cellStyle name="Migliaia 53 3 7 2 2" xfId="40136" xr:uid="{3106ED73-0D01-4A34-9EB2-23D971EF8BC5}"/>
    <cellStyle name="Migliaia 53 3 7 2 3" xfId="45438" xr:uid="{99A5FE9D-646E-46B8-9643-177F1B12EB6F}"/>
    <cellStyle name="Migliaia 53 3 7 3" xfId="37490" xr:uid="{CB3E35A5-A45E-41C5-8853-E80595A4126C}"/>
    <cellStyle name="Migliaia 53 3 7 4" xfId="42787" xr:uid="{1391EE95-AA6B-4EC4-902B-12B0A83CAA38}"/>
    <cellStyle name="Migliaia 53 3 7 5" xfId="12440" xr:uid="{665EEAB6-4F49-4A53-8664-14485827453C}"/>
    <cellStyle name="Migliaia 53 3 8" xfId="3876" xr:uid="{AE4B4BFC-96FE-46F7-BE5F-ED640FD1D2D3}"/>
    <cellStyle name="Migliaia 53 3 8 2" xfId="34516" xr:uid="{2537EE4D-B415-4CC6-B2D4-6AC00D260758}"/>
    <cellStyle name="Migliaia 53 3 8 2 2" xfId="40137" xr:uid="{9FD2188D-74DE-47B4-8DAE-4FDDD2B9E6D3}"/>
    <cellStyle name="Migliaia 53 3 8 2 3" xfId="45439" xr:uid="{F7135A16-B512-4665-8E2F-BD5967317FC3}"/>
    <cellStyle name="Migliaia 53 3 8 3" xfId="37491" xr:uid="{27935345-40FD-4DAC-AEC2-2BA0C0187FFC}"/>
    <cellStyle name="Migliaia 53 3 8 4" xfId="42788" xr:uid="{A79F3639-5DE0-4AE9-89EF-22FA59E0A4F5}"/>
    <cellStyle name="Migliaia 53 3 8 5" xfId="25326" xr:uid="{FD028DB7-0946-4E68-9821-602EA6BFCA35}"/>
    <cellStyle name="Migliaia 53 3 8 6" xfId="17283" xr:uid="{A49392BA-E5EC-4E7F-8423-841D2BD3AC3E}"/>
    <cellStyle name="Migliaia 53 3 9" xfId="20933" xr:uid="{A98BDFD2-56DC-4D10-A9EA-4A8E6EAA90C3}"/>
    <cellStyle name="Migliaia 53 4" xfId="1898" xr:uid="{00000000-0005-0000-0000-000075040000}"/>
    <cellStyle name="Migliaia 53 4 2" xfId="1899" xr:uid="{00000000-0005-0000-0000-000076040000}"/>
    <cellStyle name="Migliaia 53 4 2 2" xfId="5609" xr:uid="{CA9FDED3-63DD-401A-BDA2-4B46F6FDB28A}"/>
    <cellStyle name="Migliaia 53 4 2 2 2" xfId="34517" xr:uid="{92E25EF3-9AA3-483D-82FB-DAF631B2FDB1}"/>
    <cellStyle name="Migliaia 53 4 2 2 2 2" xfId="40138" xr:uid="{AD7D05AB-6F08-4879-BFCF-779C6C8E1148}"/>
    <cellStyle name="Migliaia 53 4 2 2 2 3" xfId="45440" xr:uid="{744DA050-BB08-44D8-A9B3-8010CCD5FD4C}"/>
    <cellStyle name="Migliaia 53 4 2 2 3" xfId="37492" xr:uid="{FC644771-DDD5-4156-AFE4-0D0C83BDE282}"/>
    <cellStyle name="Migliaia 53 4 2 2 4" xfId="42789" xr:uid="{CE196D08-9DD6-487F-B9D1-53702CE56B3B}"/>
    <cellStyle name="Migliaia 53 4 2 2 5" xfId="9204" xr:uid="{8452E297-2682-424C-8222-C6DF205B012E}"/>
    <cellStyle name="Migliaia 53 4 2 3" xfId="3883" xr:uid="{06F9AAF4-12C0-4749-8F15-1CFA81ED7146}"/>
    <cellStyle name="Migliaia 53 4 2 3 2" xfId="34518" xr:uid="{D3C2163E-83C0-4917-9716-6516EDE022E8}"/>
    <cellStyle name="Migliaia 53 4 2 3 2 2" xfId="40139" xr:uid="{49677573-3759-4877-8FFD-33D063FCA85B}"/>
    <cellStyle name="Migliaia 53 4 2 3 2 3" xfId="45441" xr:uid="{8C049B84-9E98-4C61-BB65-B3B43B74678C}"/>
    <cellStyle name="Migliaia 53 4 2 3 3" xfId="37493" xr:uid="{3C66C8BE-F20F-4A34-B172-8EACE08A8061}"/>
    <cellStyle name="Migliaia 53 4 2 3 4" xfId="42790" xr:uid="{0667466D-F8D2-4FE9-AA2F-DCE49E661ED2}"/>
    <cellStyle name="Migliaia 53 4 2 3 5" xfId="12081" xr:uid="{1E014C3C-9184-4E6F-9162-ACD1A05F4F58}"/>
    <cellStyle name="Migliaia 53 4 2 4" xfId="11434" xr:uid="{CD8BD1D9-5A4A-4433-8C0D-B048FA3ABCC2}"/>
    <cellStyle name="Migliaia 53 4 2 5" xfId="10976" xr:uid="{A2D67BF1-775F-46A5-B42F-93ADA2E44626}"/>
    <cellStyle name="Migliaia 53 4 2 5 2" xfId="21611" xr:uid="{DF2E7D00-0894-4D65-ACAC-4F041139E01C}"/>
    <cellStyle name="Migliaia 53 4 2 5 3" xfId="47748" xr:uid="{4D189118-744F-4E25-99B5-D08760BAE1B2}"/>
    <cellStyle name="Migliaia 53 4 2 5 4" xfId="50626" xr:uid="{5B502AB1-6922-4837-BA3E-E2B582D27896}"/>
    <cellStyle name="Migliaia 53 4 2 5 5" xfId="53642" xr:uid="{84829E21-CB02-46B8-B52E-09146CDA9C45}"/>
    <cellStyle name="Migliaia 53 4 2 6" xfId="20944" xr:uid="{852AFF3F-351A-4410-8BAE-D4BAEC159966}"/>
    <cellStyle name="Migliaia 53 4 2 7" xfId="25328" xr:uid="{ABCD2E4C-C892-427A-9079-640506C8C109}"/>
    <cellStyle name="Migliaia 53 4 2 8" xfId="8772" xr:uid="{0326788B-B3A1-4D3F-B76A-6644F665F152}"/>
    <cellStyle name="Migliaia 53 4 3" xfId="5608" xr:uid="{92383D3C-A1EB-42E3-850E-B67392493D18}"/>
    <cellStyle name="Migliaia 53 4 3 2" xfId="18259" xr:uid="{0DCA89ED-3BF7-459A-B65A-6BEC738DEC19}"/>
    <cellStyle name="Migliaia 53 4 3 2 2" xfId="40140" xr:uid="{4C3E9180-BCAC-4B05-B247-226481702AFF}"/>
    <cellStyle name="Migliaia 53 4 3 2 3" xfId="45442" xr:uid="{8FB35D23-1852-46A4-B6A6-8F11C714E0E3}"/>
    <cellStyle name="Migliaia 53 4 3 3" xfId="37494" xr:uid="{A7CB69FE-75E5-4FE2-8397-21FBF1303953}"/>
    <cellStyle name="Migliaia 53 4 3 4" xfId="42791" xr:uid="{D3B89598-399A-4096-8D16-9515E8237081}"/>
    <cellStyle name="Migliaia 53 4 3 5" xfId="17281" xr:uid="{A87F829E-31F8-475A-8DA0-A2174AE8F6DD}"/>
    <cellStyle name="Migliaia 53 4 3 6" xfId="9205" xr:uid="{C8FC8BF8-89E5-4434-BA53-D3AE77EA5E6B}"/>
    <cellStyle name="Migliaia 53 4 4" xfId="6784" xr:uid="{CD53CDE4-C9C0-46D6-AC1F-C476952F526A}"/>
    <cellStyle name="Migliaia 53 4 4 2" xfId="34520" xr:uid="{2073E4E3-F6E0-485C-9CA2-46BB25CE9005}"/>
    <cellStyle name="Migliaia 53 4 4 2 2" xfId="40141" xr:uid="{94A998E9-2BE2-4067-A503-A7E5035171A0}"/>
    <cellStyle name="Migliaia 53 4 4 2 3" xfId="45443" xr:uid="{93729489-EBD9-45CB-8A64-61035881AAD2}"/>
    <cellStyle name="Migliaia 53 4 4 3" xfId="37495" xr:uid="{861FF8B7-952A-4439-8D3E-6B20441766D1}"/>
    <cellStyle name="Migliaia 53 4 4 4" xfId="42792" xr:uid="{DE166FE3-5692-4246-8365-17F8B8A936A3}"/>
    <cellStyle name="Migliaia 53 4 4 5" xfId="12082" xr:uid="{B7178DCB-C5CE-4A69-B64A-93B1ABA8F2A4}"/>
    <cellStyle name="Migliaia 53 4 5" xfId="3882" xr:uid="{787DC4BA-F088-4A0C-AC33-159BA68A0B8F}"/>
    <cellStyle name="Migliaia 53 4 5 2" xfId="34521" xr:uid="{E0DB27DE-0C87-4AAE-80C7-F47E428902C9}"/>
    <cellStyle name="Migliaia 53 4 5 2 2" xfId="40142" xr:uid="{20713422-C3CB-47EB-8016-2A97088AF4AE}"/>
    <cellStyle name="Migliaia 53 4 5 2 3" xfId="45444" xr:uid="{D18C890A-4476-4B61-84CE-E320D95BD777}"/>
    <cellStyle name="Migliaia 53 4 5 3" xfId="37496" xr:uid="{693D9FA6-9110-4C87-98BC-3191A1B9A3BD}"/>
    <cellStyle name="Migliaia 53 4 5 4" xfId="42793" xr:uid="{894056D8-7B09-424A-9136-02F47AAF24F6}"/>
    <cellStyle name="Migliaia 53 4 5 5" xfId="11433" xr:uid="{9A532BD3-D99A-4D4C-9E83-2774DF55FA92}"/>
    <cellStyle name="Migliaia 53 4 6" xfId="10975" xr:uid="{35713EC8-B6B0-49F3-AC7B-B66084EEBB16}"/>
    <cellStyle name="Migliaia 53 4 6 2" xfId="21610" xr:uid="{35CB88D7-C88C-420B-85D3-31FD8C468F5B}"/>
    <cellStyle name="Migliaia 53 4 6 2 2" xfId="40143" xr:uid="{6F1DF0F0-FEDB-4E03-9582-2F24FD7BF465}"/>
    <cellStyle name="Migliaia 53 4 6 2 3" xfId="45445" xr:uid="{61EF5E0C-E49B-4BFC-BB0F-24F460479E89}"/>
    <cellStyle name="Migliaia 53 4 6 2 4" xfId="34522" xr:uid="{34A62193-F6C0-41E0-ABD1-09586FD2F21D}"/>
    <cellStyle name="Migliaia 53 4 6 3" xfId="37497" xr:uid="{2F194CBF-F26F-4431-B9F3-E1D39BEE6E5E}"/>
    <cellStyle name="Migliaia 53 4 6 4" xfId="42794" xr:uid="{C81EB210-90EC-458D-A579-32C791D54AF1}"/>
    <cellStyle name="Migliaia 53 4 6 5" xfId="25332" xr:uid="{DD06C696-B068-405D-AC3F-F620F130D977}"/>
    <cellStyle name="Migliaia 53 4 6 6" xfId="46707" xr:uid="{428178AB-7336-4214-9B18-020B4672F105}"/>
    <cellStyle name="Migliaia 53 4 6 7" xfId="50625" xr:uid="{86B4ABFE-8A7F-4ABC-BFF3-4401A05DCFF2}"/>
    <cellStyle name="Migliaia 53 4 6 8" xfId="53641" xr:uid="{6698A1B0-E8B5-4F82-B836-37BFB17525D2}"/>
    <cellStyle name="Migliaia 53 4 7" xfId="20943" xr:uid="{7D8DE2B5-250D-4A1C-B952-363957FFCF49}"/>
    <cellStyle name="Migliaia 53 4 7 2" xfId="34523" xr:uid="{C8C386E7-57F5-498B-BCFB-FB32AF54254E}"/>
    <cellStyle name="Migliaia 53 4 7 2 2" xfId="40144" xr:uid="{1D60949A-C055-4AB4-B873-73C9CFC73008}"/>
    <cellStyle name="Migliaia 53 4 7 2 3" xfId="45446" xr:uid="{2A9830E8-E61D-478D-A180-B5C12B8FDA36}"/>
    <cellStyle name="Migliaia 53 4 7 3" xfId="37498" xr:uid="{F29AFE59-87CB-41CF-8B2E-4407D1604719}"/>
    <cellStyle name="Migliaia 53 4 7 4" xfId="42795" xr:uid="{BBDBB793-D1C9-450B-B7EF-3ED7759A49B8}"/>
    <cellStyle name="Migliaia 53 4 7 5" xfId="25333" xr:uid="{2CC26EFE-FFA1-49AC-8A0B-CBCD7CDD9159}"/>
    <cellStyle name="Migliaia 53 4 8" xfId="25327" xr:uid="{7CF6E369-D682-4BF0-9CA6-9B1154DDFD27}"/>
    <cellStyle name="Migliaia 53 4 9" xfId="7582" xr:uid="{D48FFDC0-6EF9-41DF-BB70-BF47EF4788CD}"/>
    <cellStyle name="Migliaia 53 5" xfId="1900" xr:uid="{00000000-0005-0000-0000-000077040000}"/>
    <cellStyle name="Migliaia 53 5 2" xfId="5610" xr:uid="{5C04D5DE-F19D-4619-B40E-4A384003069C}"/>
    <cellStyle name="Migliaia 53 5 2 2" xfId="18508" xr:uid="{0B2D31D6-922A-44FD-AEC1-4A890C54947C}"/>
    <cellStyle name="Migliaia 53 5 2 2 2" xfId="40145" xr:uid="{9C2E1EFF-2AF3-42E6-BD1E-4A715F22D2A9}"/>
    <cellStyle name="Migliaia 53 5 2 2 3" xfId="45447" xr:uid="{B431A5CF-263B-41C8-9AFB-991432A974D7}"/>
    <cellStyle name="Migliaia 53 5 2 3" xfId="20946" xr:uid="{43FA8968-BC9B-425C-A5AB-91C42BC7BD81}"/>
    <cellStyle name="Migliaia 53 5 2 3 2" xfId="37499" xr:uid="{69A54E4B-DFC8-4E6D-85D5-64DB816AA75D}"/>
    <cellStyle name="Migliaia 53 5 2 4" xfId="42796" xr:uid="{75DD1851-8842-412A-8D8B-539CFB836F1D}"/>
    <cellStyle name="Migliaia 53 5 2 5" xfId="16774" xr:uid="{C3128043-69C6-4CAE-A77C-AD6E3A2BDDB2}"/>
    <cellStyle name="Migliaia 53 5 2 6" xfId="8773" xr:uid="{EF5D1FE2-D90C-4537-B64C-28A4E8897DD0}"/>
    <cellStyle name="Migliaia 53 5 3" xfId="6785" xr:uid="{B23C12AC-6BD8-4385-9DA9-3D97653EE38E}"/>
    <cellStyle name="Migliaia 53 5 3 2" xfId="34524" xr:uid="{3A7376E1-7CC9-4860-AF41-98906D0ED26E}"/>
    <cellStyle name="Migliaia 53 5 3 2 2" xfId="40146" xr:uid="{4307CB9D-7962-4C4C-9BB7-03E80D39494A}"/>
    <cellStyle name="Migliaia 53 5 3 2 3" xfId="45448" xr:uid="{CF7A9C5B-8286-461E-BDF8-CBDF1F979D17}"/>
    <cellStyle name="Migliaia 53 5 3 3" xfId="37500" xr:uid="{BEF9BD5A-FF4E-4A02-B9F3-664B2AD2F428}"/>
    <cellStyle name="Migliaia 53 5 3 4" xfId="42797" xr:uid="{047DE23F-D4E5-483B-A4AD-A919FB72F750}"/>
    <cellStyle name="Migliaia 53 5 3 5" xfId="11435" xr:uid="{E1F9FBD9-D32A-4B07-B45D-A0D9092C8143}"/>
    <cellStyle name="Migliaia 53 5 4" xfId="3884" xr:uid="{47509DBD-3D1D-451E-AE22-136B72219474}"/>
    <cellStyle name="Migliaia 53 5 4 2" xfId="21612" xr:uid="{2D231BA6-83B2-4729-848E-6500BC6B3360}"/>
    <cellStyle name="Migliaia 53 5 4 2 2" xfId="40147" xr:uid="{736420D9-247F-41E4-8DA4-FD3807401CFB}"/>
    <cellStyle name="Migliaia 53 5 4 2 3" xfId="45449" xr:uid="{C83B53EB-DB27-4F82-936C-EDBD7DF46D70}"/>
    <cellStyle name="Migliaia 53 5 4 2 4" xfId="34525" xr:uid="{AC492B97-BD5A-406E-B0E1-7891CFE70A80}"/>
    <cellStyle name="Migliaia 53 5 4 3" xfId="37501" xr:uid="{CF94E49B-CCCB-4A43-A021-E619E22F4BCE}"/>
    <cellStyle name="Migliaia 53 5 4 4" xfId="42798" xr:uid="{FB2B03ED-A520-4100-B414-0E1FB857694C}"/>
    <cellStyle name="Migliaia 53 5 4 5" xfId="25335" xr:uid="{3BBB1780-92B1-4D6A-94B8-399E985A9EB2}"/>
    <cellStyle name="Migliaia 53 5 4 6" xfId="32295" xr:uid="{9CEAD480-9DED-4856-B213-44E83DA5C2C8}"/>
    <cellStyle name="Migliaia 53 5 4 7" xfId="50627" xr:uid="{90A785B0-5189-48ED-8075-482563C1EA39}"/>
    <cellStyle name="Migliaia 53 5 4 8" xfId="53643" xr:uid="{4D3CED3C-15B1-4E9B-9183-83E54375762E}"/>
    <cellStyle name="Migliaia 53 5 4 9" xfId="10977" xr:uid="{77098E9B-AF45-4E4B-A5F9-7384346ACF0A}"/>
    <cellStyle name="Migliaia 53 5 5" xfId="20945" xr:uid="{B4560FD0-0A5D-4AD2-AF83-9E76AA8A20BE}"/>
    <cellStyle name="Migliaia 53 5 5 2" xfId="34526" xr:uid="{506A9F19-888C-4A1F-B8A0-EDD2136C49A8}"/>
    <cellStyle name="Migliaia 53 5 5 2 2" xfId="40148" xr:uid="{A53F8264-3340-4F6F-AEA3-B3455F139D48}"/>
    <cellStyle name="Migliaia 53 5 5 2 3" xfId="45450" xr:uid="{5FD4D54A-A9C3-45B2-AA04-BCAA7D2883A1}"/>
    <cellStyle name="Migliaia 53 5 5 3" xfId="37502" xr:uid="{2D29ABB3-19C3-4799-A381-728C5527E849}"/>
    <cellStyle name="Migliaia 53 5 5 4" xfId="42799" xr:uid="{CCCF70C2-EFC8-422B-8CFD-8F5FD0CBD999}"/>
    <cellStyle name="Migliaia 53 5 5 5" xfId="25336" xr:uid="{10539B39-D599-41A2-AB47-B2773E58875E}"/>
    <cellStyle name="Migliaia 53 5 6" xfId="25337" xr:uid="{DDFBCDB5-C481-4253-B657-EC98E642E381}"/>
    <cellStyle name="Migliaia 53 5 6 2" xfId="34527" xr:uid="{B95F8F93-1C78-449F-A4BA-DE2886348493}"/>
    <cellStyle name="Migliaia 53 5 6 2 2" xfId="40149" xr:uid="{46B99C81-263D-4A7A-90A2-22B0FA92322D}"/>
    <cellStyle name="Migliaia 53 5 6 2 3" xfId="45451" xr:uid="{52A16E63-E678-439A-B082-B7D799F33A9A}"/>
    <cellStyle name="Migliaia 53 5 6 3" xfId="37503" xr:uid="{2F886F04-9F5E-486B-9C8B-41BD3B293C04}"/>
    <cellStyle name="Migliaia 53 5 6 4" xfId="42800" xr:uid="{773CCE7E-639C-4D11-9E9E-D6BED1653E73}"/>
    <cellStyle name="Migliaia 53 5 7" xfId="25334" xr:uid="{95D4D68F-C781-43F2-B574-B343523DCE3F}"/>
    <cellStyle name="Migliaia 53 5 8" xfId="7583" xr:uid="{F0B7EAF4-D21F-4CBD-B983-86A7A86108B8}"/>
    <cellStyle name="Migliaia 53 6" xfId="3885" xr:uid="{5C9FD073-83AB-492E-A719-B8DED83D4A5C}"/>
    <cellStyle name="Migliaia 53 6 2" xfId="5611" xr:uid="{25D4EA56-8B20-4A08-9C39-D329B4D28484}"/>
    <cellStyle name="Migliaia 53 6 2 2" xfId="9977" xr:uid="{9B9C3B4E-F35A-4413-96D7-D368C4107AF7}"/>
    <cellStyle name="Migliaia 53 6 2 3" xfId="18557" xr:uid="{CAD4D88B-F2A3-4043-88A7-D4E576380A8A}"/>
    <cellStyle name="Migliaia 53 6 2 4" xfId="20948" xr:uid="{04898B43-3FA6-417E-8F44-DC08AEAA1093}"/>
    <cellStyle name="Migliaia 53 6 2 5" xfId="32466" xr:uid="{A21812B4-11AA-4A77-A593-405F8985B576}"/>
    <cellStyle name="Migliaia 53 6 2 6" xfId="16776" xr:uid="{57384FB6-6110-4D0D-BD51-F2C9DE5B01C2}"/>
    <cellStyle name="Migliaia 53 6 2 7" xfId="8768" xr:uid="{2F71E5B3-EA54-4DE3-835A-D0AEEA7F589C}"/>
    <cellStyle name="Migliaia 53 6 3" xfId="6786" xr:uid="{52D57E89-6984-43E4-9ADE-342F7AAD18F7}"/>
    <cellStyle name="Migliaia 53 6 3 2" xfId="35463" xr:uid="{C02F07A6-71E1-4E3B-97BD-3717212E98FB}"/>
    <cellStyle name="Migliaia 53 6 3 2 2" xfId="40623" xr:uid="{2E0E75DF-F536-47EF-B5DF-C43640FC5C64}"/>
    <cellStyle name="Migliaia 53 6 3 2 3" xfId="45925" xr:uid="{3DBC9068-17C8-4C82-9A51-BD8EAEFDE320}"/>
    <cellStyle name="Migliaia 53 6 3 3" xfId="37972" xr:uid="{60C85345-7B89-4986-9628-03ACC27C82D0}"/>
    <cellStyle name="Migliaia 53 6 3 4" xfId="43274" xr:uid="{44C94523-9C38-4AE1-BB7E-9AFD3E75FA61}"/>
    <cellStyle name="Migliaia 53 6 3 5" xfId="9740" xr:uid="{20DBDC6D-77D6-4220-BC95-E8E233033869}"/>
    <cellStyle name="Migliaia 53 6 4" xfId="20947" xr:uid="{6DF35B6F-2EE4-4521-8A77-E0716F0ADB74}"/>
    <cellStyle name="Migliaia 53 6 4 2" xfId="40150" xr:uid="{33222EF1-3BA8-4ADF-A93F-02E13002F64F}"/>
    <cellStyle name="Migliaia 53 6 4 3" xfId="45452" xr:uid="{FFAD456D-0CC3-4DF7-B43D-76C57FB11D48}"/>
    <cellStyle name="Migliaia 53 6 4 4" xfId="34528" xr:uid="{35773197-E6DA-4BCE-AB01-F43D920436FB}"/>
    <cellStyle name="Migliaia 53 6 5" xfId="37504" xr:uid="{DF906295-B0A7-4747-8B53-BAAB6EABCB61}"/>
    <cellStyle name="Migliaia 53 6 6" xfId="42801" xr:uid="{F50D1532-17A2-4EBA-9D85-0C8ED2035A07}"/>
    <cellStyle name="Migliaia 53 6 7" xfId="16775" xr:uid="{677D05B8-789C-40B1-848E-B3B92BAB0396}"/>
    <cellStyle name="Migliaia 53 6 8" xfId="7578" xr:uid="{21747055-6B16-4CF9-843B-326906616A6D}"/>
    <cellStyle name="Migliaia 53 7" xfId="3886" xr:uid="{70E68BE1-DC05-4D07-9B9D-3BD84C43AE9B}"/>
    <cellStyle name="Migliaia 53 7 2" xfId="5612" xr:uid="{CF88FE01-EA63-4EEA-A9CB-E3BDCC086337}"/>
    <cellStyle name="Migliaia 53 7 2 2" xfId="35464" xr:uid="{AA093696-A470-4175-9165-7C71D5D4881B}"/>
    <cellStyle name="Migliaia 53 7 2 2 2" xfId="40624" xr:uid="{E03B9E6D-CE2F-4533-BBB2-FE03D5B01947}"/>
    <cellStyle name="Migliaia 53 7 2 2 3" xfId="45926" xr:uid="{D7BCC61C-1E1B-4F18-AA09-6759D0DBC8E1}"/>
    <cellStyle name="Migliaia 53 7 2 3" xfId="37973" xr:uid="{D262FECD-09F0-4CE2-B246-095C8EE78A1D}"/>
    <cellStyle name="Migliaia 53 7 2 4" xfId="43275" xr:uid="{2E80932A-2956-4789-8399-EECC41C57BDE}"/>
    <cellStyle name="Migliaia 53 7 2 5" xfId="14323" xr:uid="{981EB1C1-E609-48D7-9873-996D0D725A6D}"/>
    <cellStyle name="Migliaia 53 7 3" xfId="6787" xr:uid="{48E6106B-95FD-4672-B5EB-0A65BEEC2C19}"/>
    <cellStyle name="Migliaia 53 7 3 2" xfId="40151" xr:uid="{E952B0AF-BE45-48B6-8A9F-81D6CF77801D}"/>
    <cellStyle name="Migliaia 53 7 3 3" xfId="45453" xr:uid="{44A10C0B-F4DB-4F28-BE49-EED9465F1825}"/>
    <cellStyle name="Migliaia 53 7 3 4" xfId="34529" xr:uid="{7B5BDA90-F419-47FC-A9A9-F706875EB3F2}"/>
    <cellStyle name="Migliaia 53 7 3 5" xfId="20949" xr:uid="{1FE41992-CEB4-4DBF-8AF4-380891D0A023}"/>
    <cellStyle name="Migliaia 53 7 4" xfId="37505" xr:uid="{CDE16D51-6C20-410D-9117-C701D331B96F}"/>
    <cellStyle name="Migliaia 53 7 5" xfId="42802" xr:uid="{F4904A8D-1874-42F6-89A9-85C3B9462125}"/>
    <cellStyle name="Migliaia 53 7 6" xfId="16777" xr:uid="{37E20742-BD2D-4CE9-9FD6-3F2D6D9D2E05}"/>
    <cellStyle name="Migliaia 53 7 7" xfId="8385" xr:uid="{22B12744-CFD3-48B4-9CE6-CCB74870FDDE}"/>
    <cellStyle name="Migliaia 53 8" xfId="3887" xr:uid="{0B0BDC8D-2324-43D5-A4D7-2B25317E1EB9}"/>
    <cellStyle name="Migliaia 53 8 2" xfId="5613" xr:uid="{4DD31888-8092-4F16-8E5F-747D536714AE}"/>
    <cellStyle name="Migliaia 53 8 2 2" xfId="35465" xr:uid="{4675654E-79CD-4DA7-818F-F7E9D0EEE863}"/>
    <cellStyle name="Migliaia 53 8 2 2 2" xfId="40625" xr:uid="{BB06DB45-1675-466C-B3D5-3CD503D0FD32}"/>
    <cellStyle name="Migliaia 53 8 2 2 3" xfId="45927" xr:uid="{5571C459-59FB-46A1-BFA6-B45E98BB1CE3}"/>
    <cellStyle name="Migliaia 53 8 2 3" xfId="37974" xr:uid="{A754FD9B-0A7D-4016-8DDB-484A615ED28E}"/>
    <cellStyle name="Migliaia 53 8 2 4" xfId="43276" xr:uid="{1BEA1DA1-04CB-4388-95E4-C41F08628195}"/>
    <cellStyle name="Migliaia 53 8 2 5" xfId="14028" xr:uid="{38DDBB0D-56DC-4AF3-8D3A-4A58C820B6C0}"/>
    <cellStyle name="Migliaia 53 8 3" xfId="6788" xr:uid="{C9535630-BD64-4B75-9277-F76A5D03542D}"/>
    <cellStyle name="Migliaia 53 8 3 2" xfId="40152" xr:uid="{CCC07F45-FE4A-4EC2-9416-A547621DF78F}"/>
    <cellStyle name="Migliaia 53 8 3 3" xfId="45454" xr:uid="{E44D532A-BD88-440C-BF84-C7A030989D1C}"/>
    <cellStyle name="Migliaia 53 8 3 4" xfId="34530" xr:uid="{52D25390-8202-4264-9472-E6C6CFB78B19}"/>
    <cellStyle name="Migliaia 53 8 3 5" xfId="20950" xr:uid="{65B7B4A3-BD0A-4FF0-A195-5CE7C452349D}"/>
    <cellStyle name="Migliaia 53 8 4" xfId="37506" xr:uid="{8BD0CAC5-D91E-403E-9566-BF87A82528BE}"/>
    <cellStyle name="Migliaia 53 8 5" xfId="42803" xr:uid="{CF6A8523-C7EE-42BE-9705-9AD10D3DB77F}"/>
    <cellStyle name="Migliaia 53 8 6" xfId="16778" xr:uid="{8C640410-7DDC-44A3-80C2-B10A2B611F9B}"/>
    <cellStyle name="Migliaia 53 8 7" xfId="8014" xr:uid="{60FFCE6D-A5B9-492E-9BD5-5AF9ADCFF2E9}"/>
    <cellStyle name="Migliaia 53 9" xfId="5598" xr:uid="{05C21FDF-6308-485A-A7EA-B51E0C017029}"/>
    <cellStyle name="Migliaia 53 9 2" xfId="34531" xr:uid="{6D23DF12-77B5-4663-9CBC-AECB74DF0F10}"/>
    <cellStyle name="Migliaia 53 9 2 2" xfId="40153" xr:uid="{149F1371-2E1B-4883-8E38-A72D81FC8D91}"/>
    <cellStyle name="Migliaia 53 9 2 3" xfId="45455" xr:uid="{CB1B0001-3ACD-4806-AFB6-436BFBEDDF71}"/>
    <cellStyle name="Migliaia 53 9 3" xfId="37507" xr:uid="{4BB1D22D-43AF-4BC6-80D4-A06A999C907D}"/>
    <cellStyle name="Migliaia 53 9 4" xfId="42804" xr:uid="{FE2DCBB3-C250-467A-9A94-FB66D29C5D73}"/>
    <cellStyle name="Migliaia 53 9 5" xfId="17231" xr:uid="{80974EAE-6625-4055-8035-72545AA6DCE1}"/>
    <cellStyle name="Migliaia 54" xfId="497" xr:uid="{00000000-0005-0000-0000-000078040000}"/>
    <cellStyle name="Migliaia 54 10" xfId="6789" xr:uid="{29E2D201-844F-419E-8397-878EB832E861}"/>
    <cellStyle name="Migliaia 54 10 2" xfId="40154" xr:uid="{CDA27A1D-5267-49BB-970B-E7274EEF67A1}"/>
    <cellStyle name="Migliaia 54 10 3" xfId="45456" xr:uid="{21D9428A-E5A3-4105-A40E-F037582C610C}"/>
    <cellStyle name="Migliaia 54 10 4" xfId="34532" xr:uid="{8261FD95-051E-4951-AB00-BB569256D7B6}"/>
    <cellStyle name="Migliaia 54 10 5" xfId="20951" xr:uid="{1DBBB4D4-B77D-4072-AB68-96BDA4999FA9}"/>
    <cellStyle name="Migliaia 54 11" xfId="3888" xr:uid="{A406B706-863B-4438-99BF-EC8C477204ED}"/>
    <cellStyle name="Migliaia 54 11 2" xfId="37508" xr:uid="{8E8014E9-EF68-4F23-8694-6657F49F14D7}"/>
    <cellStyle name="Migliaia 54 12" xfId="42805" xr:uid="{3F99CA1C-2B4A-4355-B0C6-86AC9307E104}"/>
    <cellStyle name="Migliaia 54 13" xfId="7189" xr:uid="{B69C79BD-77E8-4826-AAB2-6926CB0401E9}"/>
    <cellStyle name="Migliaia 54 2" xfId="498" xr:uid="{00000000-0005-0000-0000-000079040000}"/>
    <cellStyle name="Migliaia 54 2 2" xfId="1901" xr:uid="{00000000-0005-0000-0000-00007A040000}"/>
    <cellStyle name="Migliaia 54 2 2 2" xfId="5616" xr:uid="{1E2B8EB1-7F5B-4C7E-ACBF-C6D64F2F9CD9}"/>
    <cellStyle name="Migliaia 54 2 2 2 2" xfId="14412" xr:uid="{25D58D7C-0000-4671-956B-78FF1AAEE30D}"/>
    <cellStyle name="Migliaia 54 2 2 2 2 2" xfId="40155" xr:uid="{BBC54067-619C-4FF8-A738-769BC2FF5186}"/>
    <cellStyle name="Migliaia 54 2 2 2 2 3" xfId="45457" xr:uid="{BB890453-E97E-4129-945F-4387ED144A05}"/>
    <cellStyle name="Migliaia 54 2 2 2 3" xfId="18509" xr:uid="{4B8760D3-B257-4E6B-8287-31000BA19524}"/>
    <cellStyle name="Migliaia 54 2 2 2 4" xfId="20954" xr:uid="{051895EB-54FB-4374-9E3B-280530F87E5C}"/>
    <cellStyle name="Migliaia 54 2 2 2 4 2" xfId="42806" xr:uid="{A4B3217A-7D28-4FF7-86A3-BFE2B37334B3}"/>
    <cellStyle name="Migliaia 54 2 2 2 5" xfId="16779" xr:uid="{179C1734-B8B6-4FE2-B918-72E676880A2A}"/>
    <cellStyle name="Migliaia 54 2 2 2 6" xfId="8775" xr:uid="{9A8BDD6D-E6E1-406D-B4C1-D720E7591B93}"/>
    <cellStyle name="Migliaia 54 2 2 3" xfId="6791" xr:uid="{5EE7A8E0-AAD6-43F4-A63A-C8D236DE6C54}"/>
    <cellStyle name="Migliaia 54 2 2 3 2" xfId="35466" xr:uid="{4A8D903D-6C81-46D5-9666-B8BD504A9C98}"/>
    <cellStyle name="Migliaia 54 2 2 3 2 2" xfId="40626" xr:uid="{F6CB9690-3E92-4BC6-A5B4-9E2E1891A3C9}"/>
    <cellStyle name="Migliaia 54 2 2 3 2 3" xfId="45928" xr:uid="{0A649BD1-59E2-4B1F-87A2-1B2A786FB817}"/>
    <cellStyle name="Migliaia 54 2 2 3 3" xfId="37975" xr:uid="{1781FCB6-526B-4073-9F3E-32DBB79FB1FD}"/>
    <cellStyle name="Migliaia 54 2 2 3 4" xfId="43277" xr:uid="{D4C5BC04-813A-4B80-B379-860025A11DD0}"/>
    <cellStyle name="Migliaia 54 2 2 3 5" xfId="11639" xr:uid="{AA347221-9184-4D8F-9C70-A75781A6F887}"/>
    <cellStyle name="Migliaia 54 2 2 4" xfId="3890" xr:uid="{A08667BC-F5EB-4A36-A045-94D93ACFDA11}"/>
    <cellStyle name="Migliaia 54 2 2 4 2" xfId="21613" xr:uid="{5C0B6C84-4893-4EAF-8124-B0E1BF856C93}"/>
    <cellStyle name="Migliaia 54 2 2 4 3" xfId="47428" xr:uid="{04F58C5A-156B-41A2-AE9E-601F6E3DC16D}"/>
    <cellStyle name="Migliaia 54 2 2 4 4" xfId="50628" xr:uid="{CE049798-3960-46A5-B994-C7ECDCC2A43E}"/>
    <cellStyle name="Migliaia 54 2 2 4 5" xfId="53644" xr:uid="{4381C2E6-3FFC-459A-8BE2-62380D49A313}"/>
    <cellStyle name="Migliaia 54 2 2 4 6" xfId="10978" xr:uid="{C06F534E-05A7-4581-AB97-B779680E6336}"/>
    <cellStyle name="Migliaia 54 2 2 5" xfId="20953" xr:uid="{673734F4-1933-4C1D-9C7A-05B72A8A539C}"/>
    <cellStyle name="Migliaia 54 2 2 6" xfId="25339" xr:uid="{FDCE7E4A-492E-4C9F-960F-E6A325964E56}"/>
    <cellStyle name="Migliaia 54 2 2 7" xfId="7585" xr:uid="{4049568C-BFEA-4DDD-BFA0-E4914DEC5B28}"/>
    <cellStyle name="Migliaia 54 2 3" xfId="3891" xr:uid="{0F52A02A-1EB1-4DA5-938E-5EF19D7E75BD}"/>
    <cellStyle name="Migliaia 54 2 3 2" xfId="5617" xr:uid="{1F8DB1B4-5E47-4FED-86D9-C17130741652}"/>
    <cellStyle name="Migliaia 54 2 3 2 2" xfId="35467" xr:uid="{05D69C0F-FBBC-4D55-B489-8FE49B1DDD5E}"/>
    <cellStyle name="Migliaia 54 2 3 2 2 2" xfId="40627" xr:uid="{218C7F36-8B01-410F-90CC-0808652169DD}"/>
    <cellStyle name="Migliaia 54 2 3 2 2 3" xfId="45929" xr:uid="{29F49E20-255F-4E98-A55A-9DA09F4203CC}"/>
    <cellStyle name="Migliaia 54 2 3 2 3" xfId="37976" xr:uid="{4B03DB8B-3AB6-43A5-B71D-648B1B557A82}"/>
    <cellStyle name="Migliaia 54 2 3 2 4" xfId="43278" xr:uid="{1E994805-822A-43E1-A725-8F31D95957AE}"/>
    <cellStyle name="Migliaia 54 2 3 2 5" xfId="14327" xr:uid="{E8D6CA28-B703-49A5-815F-8C74417B77F5}"/>
    <cellStyle name="Migliaia 54 2 3 3" xfId="6792" xr:uid="{322EB5E0-6A70-4508-B49A-111898FFC848}"/>
    <cellStyle name="Migliaia 54 2 3 3 2" xfId="40156" xr:uid="{19C6FBAE-9602-490D-B7BD-D698B22B58DB}"/>
    <cellStyle name="Migliaia 54 2 3 3 3" xfId="45458" xr:uid="{6AFC7455-14E0-4A6C-96A7-45F9E9B825A3}"/>
    <cellStyle name="Migliaia 54 2 3 3 4" xfId="34534" xr:uid="{D5A177BA-1BB4-4F43-97F6-F6DC54A203D1}"/>
    <cellStyle name="Migliaia 54 2 3 3 5" xfId="20955" xr:uid="{6DDBC2BC-F79B-4156-A161-B6FD974C0FF3}"/>
    <cellStyle name="Migliaia 54 2 3 4" xfId="37510" xr:uid="{779B39D9-581A-4431-922B-A15F47B7DA30}"/>
    <cellStyle name="Migliaia 54 2 3 5" xfId="42807" xr:uid="{B1839CFF-3AD6-45EA-8FC0-294D82138EB2}"/>
    <cellStyle name="Migliaia 54 2 3 6" xfId="16780" xr:uid="{17737D49-6660-4873-A8AE-CC629ECE5FB5}"/>
    <cellStyle name="Migliaia 54 2 3 7" xfId="8389" xr:uid="{3042CB81-F617-4350-98B8-C3154D28B06B}"/>
    <cellStyle name="Migliaia 54 2 4" xfId="5615" xr:uid="{021C4E47-12A3-443B-B853-1EA4424E945E}"/>
    <cellStyle name="Migliaia 54 2 4 2" xfId="14032" xr:uid="{E327461E-6FA9-4A6F-9B29-F40DE1191182}"/>
    <cellStyle name="Migliaia 54 2 4 2 2" xfId="40157" xr:uid="{08B1731F-AAA8-4539-9547-E83AB261F69B}"/>
    <cellStyle name="Migliaia 54 2 4 2 3" xfId="45459" xr:uid="{D50AA3A7-6BC2-48AA-82EC-417A14F010C6}"/>
    <cellStyle name="Migliaia 54 2 4 3" xfId="18603" xr:uid="{E76961FA-2A03-4F67-AC69-DB4F567980CB}"/>
    <cellStyle name="Migliaia 54 2 4 4" xfId="20956" xr:uid="{6324F46F-0F9D-4E78-A0D4-FB4901F6098D}"/>
    <cellStyle name="Migliaia 54 2 4 4 2" xfId="42808" xr:uid="{F04B209C-F5E2-4D61-9ECB-E8F80848DC4C}"/>
    <cellStyle name="Migliaia 54 2 4 5" xfId="16781" xr:uid="{BE5A815C-B18C-479C-B966-ADB5B9013674}"/>
    <cellStyle name="Migliaia 54 2 4 6" xfId="8019" xr:uid="{0B344533-9087-4335-B179-7462152F3019}"/>
    <cellStyle name="Migliaia 54 2 5" xfId="6790" xr:uid="{D659F3B8-07E4-4E59-A069-EA3A6564622A}"/>
    <cellStyle name="Migliaia 54 2 5 2" xfId="34535" xr:uid="{1DBC4605-B08B-402D-8095-AA62DC0DFDDF}"/>
    <cellStyle name="Migliaia 54 2 5 2 2" xfId="40158" xr:uid="{6AC812BE-8DDB-48A7-89A7-5214354934EC}"/>
    <cellStyle name="Migliaia 54 2 5 2 3" xfId="45460" xr:uid="{FE200328-7716-47B8-855A-F1AD01FE75B4}"/>
    <cellStyle name="Migliaia 54 2 5 3" xfId="37511" xr:uid="{9B8A3899-0929-4A46-91FF-DDB1B77E4A4E}"/>
    <cellStyle name="Migliaia 54 2 5 4" xfId="42809" xr:uid="{42D493DF-6F9F-4FFE-A8B5-698049C17D85}"/>
    <cellStyle name="Migliaia 54 2 5 5" xfId="13152" xr:uid="{4E8E7274-FF24-45E3-90F6-CE159DA8CDE0}"/>
    <cellStyle name="Migliaia 54 2 6" xfId="3889" xr:uid="{39FA281F-3ED5-41C5-8605-077420AF120F}"/>
    <cellStyle name="Migliaia 54 2 6 2" xfId="34536" xr:uid="{B4C52D17-35B1-405C-A369-DCDD61D43DDC}"/>
    <cellStyle name="Migliaia 54 2 6 2 2" xfId="40159" xr:uid="{F8A0EC7B-B128-4F41-A9B7-1A9DD94555F5}"/>
    <cellStyle name="Migliaia 54 2 6 2 3" xfId="45461" xr:uid="{939B5E94-2D5E-4E59-A169-0E79F8B88322}"/>
    <cellStyle name="Migliaia 54 2 6 3" xfId="37512" xr:uid="{3946FEB3-A0D5-4F13-911B-032876F3DE58}"/>
    <cellStyle name="Migliaia 54 2 6 4" xfId="42810" xr:uid="{9D425E6F-C4D5-4107-B55B-11E67CDAF7D5}"/>
    <cellStyle name="Migliaia 54 2 6 5" xfId="25341" xr:uid="{9AE9F591-5780-4B6F-89DB-CB62EC96F818}"/>
    <cellStyle name="Migliaia 54 2 6 6" xfId="20952" xr:uid="{39545DEF-8C6F-493B-8B65-AEDC0C9D5310}"/>
    <cellStyle name="Migliaia 54 2 7" xfId="25338" xr:uid="{A8F5E1FF-2D61-4530-A535-8291016BF991}"/>
    <cellStyle name="Migliaia 54 2 8" xfId="7190" xr:uid="{CE938A4C-99AD-4E84-B5A5-8E7478D85C65}"/>
    <cellStyle name="Migliaia 54 3" xfId="499" xr:uid="{00000000-0005-0000-0000-00007B040000}"/>
    <cellStyle name="Migliaia 54 3 10" xfId="25342" xr:uid="{3B9FE3BD-B3DB-4C46-A633-224ECC5B8A17}"/>
    <cellStyle name="Migliaia 54 3 11" xfId="16782" xr:uid="{C30BACC1-0678-4712-8211-0B1F4D09BCF7}"/>
    <cellStyle name="Migliaia 54 3 12" xfId="7191" xr:uid="{205241EF-13A3-4E4D-958D-5A7E451C450E}"/>
    <cellStyle name="Migliaia 54 3 2" xfId="500" xr:uid="{00000000-0005-0000-0000-00007C040000}"/>
    <cellStyle name="Migliaia 54 3 2 2" xfId="1902" xr:uid="{00000000-0005-0000-0000-00007D040000}"/>
    <cellStyle name="Migliaia 54 3 2 2 2" xfId="5620" xr:uid="{34487C83-14F3-4C66-95FB-221A974E49F3}"/>
    <cellStyle name="Migliaia 54 3 2 2 2 2" xfId="18510" xr:uid="{354673E0-69BD-4B32-8E7E-15560A7C8958}"/>
    <cellStyle name="Migliaia 54 3 2 2 2 2 2" xfId="21890" xr:uid="{87BA186B-BC3D-40EC-8240-CB47ADC61A3F}"/>
    <cellStyle name="Migliaia 54 3 2 2 2 2 2 2" xfId="40160" xr:uid="{B2DBB543-8E4D-49CD-ABDB-2F44D913EF4B}"/>
    <cellStyle name="Migliaia 54 3 2 2 2 2 3" xfId="45462" xr:uid="{0928A606-67F5-4280-8DAB-45755F1BE11C}"/>
    <cellStyle name="Migliaia 54 3 2 2 2 2 4" xfId="34537" xr:uid="{04756837-DA18-4EDB-A748-6774DA1A90E1}"/>
    <cellStyle name="Migliaia 54 3 2 2 2 3" xfId="37513" xr:uid="{ED4D065A-8EB3-461E-B5DE-950D32D028D6}"/>
    <cellStyle name="Migliaia 54 3 2 2 2 4" xfId="42811" xr:uid="{03EFE10A-5A21-46B3-A78B-03E10B58D5D6}"/>
    <cellStyle name="Migliaia 54 3 2 2 2 5" xfId="47816" xr:uid="{2F5EF880-2561-4C51-ADA4-0B0099C3B58B}"/>
    <cellStyle name="Migliaia 54 3 2 2 2 6" xfId="50918" xr:uid="{D8506F35-0962-43D9-AA82-081F43B63D7F}"/>
    <cellStyle name="Migliaia 54 3 2 2 2 7" xfId="53934" xr:uid="{E18D0C05-4C19-4885-8534-92FAA7EDA8E0}"/>
    <cellStyle name="Migliaia 54 3 2 2 2 8" xfId="17689" xr:uid="{BF1FA7F9-4564-4122-8CE6-68F10F98645D}"/>
    <cellStyle name="Migliaia 54 3 2 2 2 9" xfId="12083" xr:uid="{F1C1C982-111E-4A33-8C51-49AA269A58A7}"/>
    <cellStyle name="Migliaia 54 3 2 2 3" xfId="6795" xr:uid="{72E798C2-34BB-4A7F-AE46-AC32A70D22CA}"/>
    <cellStyle name="Migliaia 54 3 2 2 3 2" xfId="11120" xr:uid="{39200F69-CB58-47A1-A515-96A491E40F69}"/>
    <cellStyle name="Migliaia 54 3 2 2 4" xfId="3894" xr:uid="{AE482941-0D8B-4774-9A58-036662BF809B}"/>
    <cellStyle name="Migliaia 54 3 2 2 4 2" xfId="21614" xr:uid="{21A20B04-F59A-4E89-9422-3014661030EF}"/>
    <cellStyle name="Migliaia 54 3 2 2 4 3" xfId="25188" xr:uid="{DD3BAB02-0DCB-467A-AC2F-88AFBA30B923}"/>
    <cellStyle name="Migliaia 54 3 2 2 4 4" xfId="50629" xr:uid="{8452536E-1FB1-4224-82C9-3770F004F6DD}"/>
    <cellStyle name="Migliaia 54 3 2 2 4 5" xfId="53645" xr:uid="{8F7FC828-DFC2-41AB-8DAC-CC41D1D7CA14}"/>
    <cellStyle name="Migliaia 54 3 2 2 4 6" xfId="10979" xr:uid="{CE9E9804-B31F-4D67-AE08-6F3AC0001C1F}"/>
    <cellStyle name="Migliaia 54 3 2 2 5" xfId="20959" xr:uid="{C0E1F3B2-E727-4DEF-A46C-3A919F7A6E0C}"/>
    <cellStyle name="Migliaia 54 3 2 2 6" xfId="25344" xr:uid="{473EDDDA-5A4F-477A-9D7F-50466F5FFDD1}"/>
    <cellStyle name="Migliaia 54 3 2 2 7" xfId="8777" xr:uid="{F545CAF9-1328-48F2-81E7-AD7CC372F14B}"/>
    <cellStyle name="Migliaia 54 3 2 3" xfId="5619" xr:uid="{6E2759E1-F77C-485A-AD20-ED2CFBB2707B}"/>
    <cellStyle name="Migliaia 54 3 2 3 2" xfId="12398" xr:uid="{5877880F-C41A-421B-90DC-A045020B32FE}"/>
    <cellStyle name="Migliaia 54 3 2 3 2 2" xfId="40161" xr:uid="{988A4C2D-DAA0-46B4-B3BA-E89AD63AB80F}"/>
    <cellStyle name="Migliaia 54 3 2 3 2 3" xfId="45463" xr:uid="{95BBB139-7903-4228-82E1-FFB4ED56C852}"/>
    <cellStyle name="Migliaia 54 3 2 3 2 4" xfId="34538" xr:uid="{FC32F406-C478-4C1A-B285-1E11BFBD4C19}"/>
    <cellStyle name="Migliaia 54 3 2 3 3" xfId="12084" xr:uid="{F6E96692-1FEE-466F-A34B-A0E59E442BB0}"/>
    <cellStyle name="Migliaia 54 3 2 3 4" xfId="20960" xr:uid="{53700C18-8ADD-4E53-885E-0E6FD0AEC43F}"/>
    <cellStyle name="Migliaia 54 3 2 3 4 2" xfId="42812" xr:uid="{6327BE66-89DD-4704-B097-99E3991B8DFD}"/>
    <cellStyle name="Migliaia 54 3 2 3 5" xfId="16783" xr:uid="{A64EBE3B-DF26-4729-B0E5-B261906E8994}"/>
    <cellStyle name="Migliaia 54 3 2 3 6" xfId="8021" xr:uid="{E7D40B61-C7A2-48FE-8A84-95BC31362605}"/>
    <cellStyle name="Migliaia 54 3 2 4" xfId="6794" xr:uid="{06005A2B-294B-442B-BBFC-B031E12CFAE8}"/>
    <cellStyle name="Migliaia 54 3 2 4 2" xfId="18106" xr:uid="{575C602A-DF27-4188-B07A-15AD97406EDE}"/>
    <cellStyle name="Migliaia 54 3 2 4 2 2" xfId="40162" xr:uid="{59BE9163-D1B5-40A0-B240-6310D0471425}"/>
    <cellStyle name="Migliaia 54 3 2 4 2 3" xfId="45464" xr:uid="{B363389D-8D55-4E67-86DB-5DC4B5556EB4}"/>
    <cellStyle name="Migliaia 54 3 2 4 3" xfId="37514" xr:uid="{D5D8AF76-5BB1-4553-A85C-FD6ED863370F}"/>
    <cellStyle name="Migliaia 54 3 2 4 4" xfId="42813" xr:uid="{7A6578F7-9AA9-4B90-9819-77C098A45517}"/>
    <cellStyle name="Migliaia 54 3 2 4 5" xfId="17234" xr:uid="{D3058889-5FCD-440F-94FC-89582B8D8C61}"/>
    <cellStyle name="Migliaia 54 3 2 4 6" xfId="11436" xr:uid="{8609095F-AE18-4717-ADA4-DA0F0F24D140}"/>
    <cellStyle name="Migliaia 54 3 2 5" xfId="3893" xr:uid="{E5F482F6-E013-4D57-8246-19B1B469C6EC}"/>
    <cellStyle name="Migliaia 54 3 2 5 2" xfId="34539" xr:uid="{F568EF24-2935-42AE-8AD5-4742C690D8BC}"/>
    <cellStyle name="Migliaia 54 3 2 5 2 2" xfId="40163" xr:uid="{20B061D9-E00A-4393-945B-E39025873B90}"/>
    <cellStyle name="Migliaia 54 3 2 5 2 3" xfId="45465" xr:uid="{B5470423-0D22-4A43-A51F-F3F981F24420}"/>
    <cellStyle name="Migliaia 54 3 2 5 3" xfId="37515" xr:uid="{28E7FBEE-70DB-46A9-8815-10528A41395F}"/>
    <cellStyle name="Migliaia 54 3 2 5 4" xfId="42814" xr:uid="{4F67823C-7807-43EA-9145-423B53BC1713}"/>
    <cellStyle name="Migliaia 54 3 2 5 5" xfId="17279" xr:uid="{41299EC5-22F8-4E42-98A3-5C0FFCFCC093}"/>
    <cellStyle name="Migliaia 54 3 2 6" xfId="20958" xr:uid="{411E3D0F-2F1A-4C8B-B8CD-D38DE8AE2D32}"/>
    <cellStyle name="Migliaia 54 3 2 6 2" xfId="34540" xr:uid="{2877B620-4BAC-4E0F-82B7-376D44CFD22E}"/>
    <cellStyle name="Migliaia 54 3 2 6 2 2" xfId="40164" xr:uid="{6ABDA12E-EDF7-43D5-9236-35BE67B55F0F}"/>
    <cellStyle name="Migliaia 54 3 2 6 2 3" xfId="45466" xr:uid="{688AB824-58FA-432A-BAEF-B94F4FDDBAA3}"/>
    <cellStyle name="Migliaia 54 3 2 6 3" xfId="37516" xr:uid="{856945A2-2759-4BE9-BE2C-81D0527282CF}"/>
    <cellStyle name="Migliaia 54 3 2 6 4" xfId="42815" xr:uid="{763B5B34-3639-48CD-8570-7CF75D84D814}"/>
    <cellStyle name="Migliaia 54 3 2 6 5" xfId="25345" xr:uid="{EA497115-228B-4FE6-8129-87518C93398C}"/>
    <cellStyle name="Migliaia 54 3 2 7" xfId="25343" xr:uid="{1EE9395D-B0C3-484D-977A-5DBE59322C36}"/>
    <cellStyle name="Migliaia 54 3 2 8" xfId="7587" xr:uid="{81625012-B74C-430E-BFD1-B5DA9C5D666E}"/>
    <cellStyle name="Migliaia 54 3 3" xfId="3895" xr:uid="{E8707CFD-BDCA-439B-8398-0F537546007A}"/>
    <cellStyle name="Migliaia 54 3 3 10" xfId="7586" xr:uid="{0169C52E-5578-4E8B-BD7F-EEEFD0D7DF83}"/>
    <cellStyle name="Migliaia 54 3 3 2" xfId="5621" xr:uid="{20B7B2A1-78A3-4653-B9CF-70A9E97E5AC1}"/>
    <cellStyle name="Migliaia 54 3 3 2 2" xfId="9980" xr:uid="{FCDF6335-4D1F-44D6-AD27-C8E36CE9CF4C}"/>
    <cellStyle name="Migliaia 54 3 3 2 2 2" xfId="40166" xr:uid="{3C03998A-7FA3-40A1-9EF4-B9CBE3EBD319}"/>
    <cellStyle name="Migliaia 54 3 3 2 2 3" xfId="45468" xr:uid="{A81EC7A1-DC63-48F6-B909-DE488069649B}"/>
    <cellStyle name="Migliaia 54 3 3 2 3" xfId="18260" xr:uid="{D647A842-A247-49A1-BAC1-A803FFA10DD2}"/>
    <cellStyle name="Migliaia 54 3 3 2 4" xfId="20962" xr:uid="{3467C5E5-87F1-4C69-8C8E-5B853EC8C828}"/>
    <cellStyle name="Migliaia 54 3 3 2 4 2" xfId="42817" xr:uid="{C8612538-6437-4520-B571-1B229C83325E}"/>
    <cellStyle name="Migliaia 54 3 3 2 5" xfId="16785" xr:uid="{2A228371-63B1-4625-BBC6-6EDD8EE0ABEA}"/>
    <cellStyle name="Migliaia 54 3 3 2 6" xfId="8776" xr:uid="{EEA0486D-AEF1-4D9A-83AD-93CD490E8B4B}"/>
    <cellStyle name="Migliaia 54 3 3 3" xfId="6796" xr:uid="{79B4DB88-845E-4961-A3AF-F5F82A8FDBE4}"/>
    <cellStyle name="Migliaia 54 3 3 3 2" xfId="34543" xr:uid="{60887DD3-B47E-4990-8114-C4DD3B9FB228}"/>
    <cellStyle name="Migliaia 54 3 3 3 2 2" xfId="40167" xr:uid="{CD0F1E86-E54C-4810-867C-A3661E3A922C}"/>
    <cellStyle name="Migliaia 54 3 3 3 2 3" xfId="45469" xr:uid="{F406B137-6001-4677-AACA-8E3AC767D037}"/>
    <cellStyle name="Migliaia 54 3 3 3 3" xfId="37519" xr:uid="{89627C87-68F8-4C7E-98E9-D58C58E426AD}"/>
    <cellStyle name="Migliaia 54 3 3 3 4" xfId="42818" xr:uid="{B2ABECCC-8D27-4D80-B6B1-DD2437BD81FA}"/>
    <cellStyle name="Migliaia 54 3 3 3 5" xfId="9743" xr:uid="{1A25C2A8-EE06-4ECD-94F9-A03FA5352B97}"/>
    <cellStyle name="Migliaia 54 3 3 4" xfId="20961" xr:uid="{8555DB1A-BECC-4976-8CF3-B1ECD63251D8}"/>
    <cellStyle name="Migliaia 54 3 3 4 2" xfId="34544" xr:uid="{D89951CF-1F21-43C8-ADA2-0C743884F651}"/>
    <cellStyle name="Migliaia 54 3 3 4 2 2" xfId="40168" xr:uid="{B85D0FE4-8218-4E8C-9151-7DC3A7BB4D5E}"/>
    <cellStyle name="Migliaia 54 3 3 4 2 3" xfId="45470" xr:uid="{146299BA-B5EC-4856-805B-316F706FE400}"/>
    <cellStyle name="Migliaia 54 3 3 4 3" xfId="37520" xr:uid="{78A975E7-9889-4C32-BAE6-BB1914898898}"/>
    <cellStyle name="Migliaia 54 3 3 4 4" xfId="42819" xr:uid="{ABB1F0FE-F20D-43C2-8457-FAF07CC674BD}"/>
    <cellStyle name="Migliaia 54 3 3 4 5" xfId="25347" xr:uid="{21CA2963-6677-4B16-AE74-4F76BCA50AD6}"/>
    <cellStyle name="Migliaia 54 3 3 5" xfId="25348" xr:uid="{520A35CA-71AF-43D0-A367-94C56596E1F3}"/>
    <cellStyle name="Migliaia 54 3 3 5 2" xfId="34545" xr:uid="{E20626E8-3E7D-435C-9BAE-F313521177AC}"/>
    <cellStyle name="Migliaia 54 3 3 5 2 2" xfId="40169" xr:uid="{ADDC1A90-BC44-4F7F-BBCE-46F456A70FCE}"/>
    <cellStyle name="Migliaia 54 3 3 5 2 3" xfId="45471" xr:uid="{A3C098ED-E527-49C6-916F-32FF1855D690}"/>
    <cellStyle name="Migliaia 54 3 3 5 3" xfId="37521" xr:uid="{77CB0A81-0372-4836-B550-4D540E357F58}"/>
    <cellStyle name="Migliaia 54 3 3 5 4" xfId="42820" xr:uid="{DA7C1E51-B3B5-473E-831B-3759EF3BC59F}"/>
    <cellStyle name="Migliaia 54 3 3 6" xfId="34541" xr:uid="{3531C5CF-8388-49E1-B91A-1F964E1F4C45}"/>
    <cellStyle name="Migliaia 54 3 3 6 2" xfId="40165" xr:uid="{03132AD6-8122-41E5-820C-89B9318A13EC}"/>
    <cellStyle name="Migliaia 54 3 3 6 3" xfId="45467" xr:uid="{0B7F4537-C704-4BAA-B984-45ECDB51B2CC}"/>
    <cellStyle name="Migliaia 54 3 3 7" xfId="37517" xr:uid="{8878E658-28B0-4217-AD12-FD124DCE88EC}"/>
    <cellStyle name="Migliaia 54 3 3 8" xfId="42816" xr:uid="{1FAD045A-9467-4906-A466-0CDD72920ECB}"/>
    <cellStyle name="Migliaia 54 3 3 9" xfId="16784" xr:uid="{255D99FC-F9CC-4716-A512-4C48C70BE550}"/>
    <cellStyle name="Migliaia 54 3 4" xfId="3896" xr:uid="{12333AE5-B3C3-44F7-9A8A-576D7C8A6313}"/>
    <cellStyle name="Migliaia 54 3 4 2" xfId="5622" xr:uid="{70EE280B-D1E8-4127-9069-0F969FA948B9}"/>
    <cellStyle name="Migliaia 54 3 4 2 2" xfId="14472" xr:uid="{7409A618-9559-48B9-AD61-616C815FE3FD}"/>
    <cellStyle name="Migliaia 54 3 4 2 3" xfId="18135" xr:uid="{7C04A69F-81F9-45D9-BB81-8DDDBE386250}"/>
    <cellStyle name="Migliaia 54 3 4 2 4" xfId="20964" xr:uid="{82B1E1A6-57A2-4907-86FE-1934843A5E4F}"/>
    <cellStyle name="Migliaia 54 3 4 2 5" xfId="32468" xr:uid="{ABCCA9D7-47BB-4089-99D9-C6CEB5FA96F9}"/>
    <cellStyle name="Migliaia 54 3 4 2 6" xfId="16787" xr:uid="{4BBBAD11-2DFB-4AE2-B293-D482ED02D501}"/>
    <cellStyle name="Migliaia 54 3 4 2 7" xfId="8895" xr:uid="{D0708DAD-5155-411D-A971-51B04EDAD3E3}"/>
    <cellStyle name="Migliaia 54 3 4 3" xfId="6797" xr:uid="{D07C26F9-0E80-46F3-9B8A-6E9959EB834B}"/>
    <cellStyle name="Migliaia 54 3 4 3 2" xfId="35468" xr:uid="{73F849E2-F4E6-44FA-88F4-FE3DE8794C3F}"/>
    <cellStyle name="Migliaia 54 3 4 3 2 2" xfId="40628" xr:uid="{8E418A6A-1AF7-44B6-9DCD-5A2EA851565A}"/>
    <cellStyle name="Migliaia 54 3 4 3 2 3" xfId="45930" xr:uid="{43FD40BB-FD19-45BF-B25D-1D2902592C8E}"/>
    <cellStyle name="Migliaia 54 3 4 3 3" xfId="37977" xr:uid="{001D3DC5-4170-4439-8D6C-6788C603A40F}"/>
    <cellStyle name="Migliaia 54 3 4 3 4" xfId="43279" xr:uid="{9BFD4DA3-5039-478B-8D61-B490B0691E21}"/>
    <cellStyle name="Migliaia 54 3 4 3 5" xfId="13720" xr:uid="{9E9863B5-0114-4830-9D28-81654B260A34}"/>
    <cellStyle name="Migliaia 54 3 4 4" xfId="20963" xr:uid="{17A734C7-1435-408C-9756-2A715AD530C5}"/>
    <cellStyle name="Migliaia 54 3 4 4 2" xfId="40170" xr:uid="{B2428AD5-3A76-44A3-BB52-4939D639AB0D}"/>
    <cellStyle name="Migliaia 54 3 4 4 3" xfId="45472" xr:uid="{47E094AE-AF3E-4BF5-A32A-48A9E7C2FB24}"/>
    <cellStyle name="Migliaia 54 3 4 4 4" xfId="34546" xr:uid="{7C763507-47F4-40FF-BD83-823DA6B52F3F}"/>
    <cellStyle name="Migliaia 54 3 4 5" xfId="37522" xr:uid="{4E80AB16-239A-46DA-B7B3-4F0145019A5E}"/>
    <cellStyle name="Migliaia 54 3 4 6" xfId="42821" xr:uid="{8323A9D1-960C-432B-9301-9A57D81C5E39}"/>
    <cellStyle name="Migliaia 54 3 4 7" xfId="16786" xr:uid="{684F5757-64A4-4E6A-BC0F-F0A1B0ACD885}"/>
    <cellStyle name="Migliaia 54 3 4 8" xfId="7705" xr:uid="{CC0BCF55-8822-4720-AC99-11EF63ED559D}"/>
    <cellStyle name="Migliaia 54 3 5" xfId="3897" xr:uid="{69D3EF5A-6021-4B69-8184-7F316D4B4A34}"/>
    <cellStyle name="Migliaia 54 3 5 2" xfId="5623" xr:uid="{F543C407-A716-4014-8282-6CE86883F0A6}"/>
    <cellStyle name="Migliaia 54 3 5 2 2" xfId="35469" xr:uid="{BAC2829F-8B59-4F35-A928-AC575D1B380F}"/>
    <cellStyle name="Migliaia 54 3 5 2 2 2" xfId="40629" xr:uid="{B6BE04DE-DA60-4598-A4D3-77FF0C3EA01F}"/>
    <cellStyle name="Migliaia 54 3 5 2 2 3" xfId="45931" xr:uid="{8F33FE26-DD39-472E-B3C0-B358D4C09867}"/>
    <cellStyle name="Migliaia 54 3 5 2 3" xfId="37978" xr:uid="{A7801BC0-80A8-4C93-B845-4E27C61F9C90}"/>
    <cellStyle name="Migliaia 54 3 5 2 4" xfId="43280" xr:uid="{7D6F2F7D-47AB-4DE6-86AC-A0EED24A3CD9}"/>
    <cellStyle name="Migliaia 54 3 5 2 5" xfId="14328" xr:uid="{711ED660-244D-46CF-82EF-2945977F349E}"/>
    <cellStyle name="Migliaia 54 3 5 3" xfId="6798" xr:uid="{43905B95-04D1-4EC2-857F-9FA06B82B7C4}"/>
    <cellStyle name="Migliaia 54 3 5 3 2" xfId="40171" xr:uid="{2F5E6D9E-205A-4F27-8002-6AEDE6E38895}"/>
    <cellStyle name="Migliaia 54 3 5 3 3" xfId="45473" xr:uid="{DB734DFD-9476-4139-9EF3-75EC0EB6285F}"/>
    <cellStyle name="Migliaia 54 3 5 3 4" xfId="34547" xr:uid="{877CB8B4-381E-4B8B-A449-33C6E9F6AE53}"/>
    <cellStyle name="Migliaia 54 3 5 3 5" xfId="20965" xr:uid="{445FCF77-3994-4E12-91E7-962D9D029B15}"/>
    <cellStyle name="Migliaia 54 3 5 4" xfId="37523" xr:uid="{64CAEED4-4B0E-4408-9AF5-20C987F81EB6}"/>
    <cellStyle name="Migliaia 54 3 5 5" xfId="42822" xr:uid="{DE4F8EF6-A05D-46C7-8E0E-2854FA1421E6}"/>
    <cellStyle name="Migliaia 54 3 5 6" xfId="16788" xr:uid="{14CE178E-47ED-4210-9D9B-31A7071D6FEB}"/>
    <cellStyle name="Migliaia 54 3 5 7" xfId="8390" xr:uid="{A76C7CB8-C181-409F-B3A1-F8BBF33C889E}"/>
    <cellStyle name="Migliaia 54 3 6" xfId="5618" xr:uid="{F12F2385-5A2B-47D9-A8BE-358B3553570C}"/>
    <cellStyle name="Migliaia 54 3 6 2" xfId="14033" xr:uid="{182782B4-A9E0-4949-966C-9E5A05D916E7}"/>
    <cellStyle name="Migliaia 54 3 6 2 2" xfId="40172" xr:uid="{B6B95ACE-220A-4F87-BB04-395676049C4C}"/>
    <cellStyle name="Migliaia 54 3 6 2 3" xfId="45474" xr:uid="{C7F87A28-920D-4657-81F1-8931D4DF091C}"/>
    <cellStyle name="Migliaia 54 3 6 3" xfId="18027" xr:uid="{2F509B8D-545A-4522-9BC1-9350E623310C}"/>
    <cellStyle name="Migliaia 54 3 6 4" xfId="20966" xr:uid="{1E9273BE-4D6F-4A0D-B2EB-06A269602D63}"/>
    <cellStyle name="Migliaia 54 3 6 4 2" xfId="42823" xr:uid="{0D47EB97-DE4C-41D0-A48B-0D2048ECD0A6}"/>
    <cellStyle name="Migliaia 54 3 6 5" xfId="16789" xr:uid="{362ED2CB-41F1-496D-98AD-AECC47E9F2FA}"/>
    <cellStyle name="Migliaia 54 3 6 6" xfId="8020" xr:uid="{B540267F-BBC5-4FEA-AF0D-503FEA9AA00E}"/>
    <cellStyle name="Migliaia 54 3 7" xfId="6793" xr:uid="{8358025A-587C-42DA-9297-E767BA20C6E5}"/>
    <cellStyle name="Migliaia 54 3 7 2" xfId="34549" xr:uid="{372ADF58-B000-4917-9F86-143D74CBFDCE}"/>
    <cellStyle name="Migliaia 54 3 7 2 2" xfId="40173" xr:uid="{7C26EE32-92C0-49A5-8CE9-7C37044E1479}"/>
    <cellStyle name="Migliaia 54 3 7 2 3" xfId="45475" xr:uid="{54A72C3B-C4E5-44F4-A8E6-80013A7FE988}"/>
    <cellStyle name="Migliaia 54 3 7 3" xfId="37525" xr:uid="{55D5B9CB-9D60-49F9-B312-D4B09D683E4A}"/>
    <cellStyle name="Migliaia 54 3 7 4" xfId="42824" xr:uid="{A6E2A954-5968-4E5F-8C09-4F439D2C49FC}"/>
    <cellStyle name="Migliaia 54 3 7 5" xfId="11529" xr:uid="{4E2397DF-D8A5-4665-A294-C7592E7A3BB1}"/>
    <cellStyle name="Migliaia 54 3 8" xfId="3892" xr:uid="{EC5ACF4E-8899-4780-8353-9DB72EDA0423}"/>
    <cellStyle name="Migliaia 54 3 8 2" xfId="34550" xr:uid="{6A2992A3-8172-4762-82DD-DB3DE4DDD14F}"/>
    <cellStyle name="Migliaia 54 3 8 2 2" xfId="40174" xr:uid="{F69669AC-5441-4B4E-9F74-8256A73E79A2}"/>
    <cellStyle name="Migliaia 54 3 8 2 3" xfId="45476" xr:uid="{CA397230-35CB-42B6-8345-BEC948805373}"/>
    <cellStyle name="Migliaia 54 3 8 3" xfId="37526" xr:uid="{3BA29F3C-2162-4E13-8CD3-C831029DB250}"/>
    <cellStyle name="Migliaia 54 3 8 4" xfId="42825" xr:uid="{D942AD41-7FF5-47AF-BCBC-0628F58AE57A}"/>
    <cellStyle name="Migliaia 54 3 8 5" xfId="25353" xr:uid="{2D4D9D2F-A189-4912-89E8-5E0CE9112FCD}"/>
    <cellStyle name="Migliaia 54 3 8 6" xfId="17280" xr:uid="{C125BC4A-E9A3-49E6-A533-0BCEFD0E7421}"/>
    <cellStyle name="Migliaia 54 3 9" xfId="20957" xr:uid="{B370E34C-69D8-4FA2-AB95-F692D31875EE}"/>
    <cellStyle name="Migliaia 54 4" xfId="1903" xr:uid="{00000000-0005-0000-0000-00007E040000}"/>
    <cellStyle name="Migliaia 54 4 2" xfId="1904" xr:uid="{00000000-0005-0000-0000-00007F040000}"/>
    <cellStyle name="Migliaia 54 4 2 2" xfId="5625" xr:uid="{2E71CD10-6D64-46BE-BB51-2D719789528C}"/>
    <cellStyle name="Migliaia 54 4 2 2 2" xfId="34551" xr:uid="{67BCA534-929D-461D-99AE-0D94D8D39B3C}"/>
    <cellStyle name="Migliaia 54 4 2 2 2 2" xfId="40175" xr:uid="{A73BB807-EBC1-4A9D-9C70-D0873EE19D1F}"/>
    <cellStyle name="Migliaia 54 4 2 2 2 3" xfId="45477" xr:uid="{EC7EEAD1-881F-46A1-A426-CDAABE080505}"/>
    <cellStyle name="Migliaia 54 4 2 2 3" xfId="37527" xr:uid="{A1DCB07E-BB62-4CAA-9CAC-4E5666C12FB2}"/>
    <cellStyle name="Migliaia 54 4 2 2 4" xfId="42826" xr:uid="{60D728A2-2E2B-483D-8081-48D6F8A0C645}"/>
    <cellStyle name="Migliaia 54 4 2 2 5" xfId="9206" xr:uid="{123E50C7-923C-4062-BDC7-6CCE1ABFEAA7}"/>
    <cellStyle name="Migliaia 54 4 2 3" xfId="3899" xr:uid="{3847DD73-BBF6-44DB-B699-5468F0EA4E68}"/>
    <cellStyle name="Migliaia 54 4 2 3 2" xfId="34552" xr:uid="{4ADC263D-9AB1-42EB-8237-AD3C067CD4CA}"/>
    <cellStyle name="Migliaia 54 4 2 3 2 2" xfId="40176" xr:uid="{BD40E59C-169E-4702-948F-65A5849B6AD7}"/>
    <cellStyle name="Migliaia 54 4 2 3 2 3" xfId="45478" xr:uid="{6B1A0ED2-C560-4858-A20F-F7C426DEC368}"/>
    <cellStyle name="Migliaia 54 4 2 3 3" xfId="37528" xr:uid="{4CEF4D7D-9D67-4C41-97DE-71F461C3DC64}"/>
    <cellStyle name="Migliaia 54 4 2 3 4" xfId="42827" xr:uid="{2643CDF5-833F-47CD-B7E5-2E1F51180386}"/>
    <cellStyle name="Migliaia 54 4 2 3 5" xfId="12085" xr:uid="{DF56E66B-2743-4B86-B5DF-583C5BD339E0}"/>
    <cellStyle name="Migliaia 54 4 2 4" xfId="11438" xr:uid="{FD6B9CFB-859D-46A1-81A9-5964C366F495}"/>
    <cellStyle name="Migliaia 54 4 2 5" xfId="10981" xr:uid="{376D1912-C57A-46E1-A21B-645E50138957}"/>
    <cellStyle name="Migliaia 54 4 2 5 2" xfId="21616" xr:uid="{354E6B65-DB99-47D5-A646-409460C0BA78}"/>
    <cellStyle name="Migliaia 54 4 2 5 3" xfId="32542" xr:uid="{7C87612F-564C-4429-8839-F8662C7A070E}"/>
    <cellStyle name="Migliaia 54 4 2 5 4" xfId="50631" xr:uid="{454C13B0-3BC8-4F89-8733-7DDB481468DE}"/>
    <cellStyle name="Migliaia 54 4 2 5 5" xfId="53647" xr:uid="{F745974F-AA35-45CD-A673-5DB453597478}"/>
    <cellStyle name="Migliaia 54 4 2 6" xfId="20968" xr:uid="{9E547098-0AFF-4104-87C7-2362522254E3}"/>
    <cellStyle name="Migliaia 54 4 2 7" xfId="25355" xr:uid="{30EAD6F2-7D44-46B6-959E-7D73346C6BEC}"/>
    <cellStyle name="Migliaia 54 4 2 8" xfId="8778" xr:uid="{1AED777E-A3D1-4D1D-A584-0FBB6C449091}"/>
    <cellStyle name="Migliaia 54 4 3" xfId="5624" xr:uid="{F7E79B6F-32EA-4B25-9FB0-F38C3C63835E}"/>
    <cellStyle name="Migliaia 54 4 3 2" xfId="18261" xr:uid="{8DFACF91-70AB-4549-BBF4-53985DB21389}"/>
    <cellStyle name="Migliaia 54 4 3 2 2" xfId="40177" xr:uid="{32A8326C-9EA7-4225-AF8B-3EC31DAAB54E}"/>
    <cellStyle name="Migliaia 54 4 3 2 3" xfId="45479" xr:uid="{5B55F596-269A-41EB-B101-4B366111BE1F}"/>
    <cellStyle name="Migliaia 54 4 3 3" xfId="37529" xr:uid="{D44DDD9F-F72E-4AF0-8C5A-AD574044B30D}"/>
    <cellStyle name="Migliaia 54 4 3 4" xfId="42828" xr:uid="{0174AEC9-121F-4CB0-A7C1-377A3A4D5B8E}"/>
    <cellStyle name="Migliaia 54 4 3 5" xfId="17278" xr:uid="{3B61B77C-F351-454D-BD0F-169BCDCA4F95}"/>
    <cellStyle name="Migliaia 54 4 3 6" xfId="9207" xr:uid="{D9764B0E-F972-4F2E-AC93-6329B7151AB7}"/>
    <cellStyle name="Migliaia 54 4 4" xfId="6799" xr:uid="{7AA01473-6AEB-4D1E-A677-156A15E5DB12}"/>
    <cellStyle name="Migliaia 54 4 4 2" xfId="34554" xr:uid="{64CDCB19-146A-45FA-8918-C72765EED734}"/>
    <cellStyle name="Migliaia 54 4 4 2 2" xfId="40178" xr:uid="{4F5B8DB9-A382-4FDA-AC92-06F575EE2090}"/>
    <cellStyle name="Migliaia 54 4 4 2 3" xfId="45480" xr:uid="{F8A6653A-E885-4D1E-8414-AD82111F3723}"/>
    <cellStyle name="Migliaia 54 4 4 3" xfId="37530" xr:uid="{5282271C-A032-4F74-A7DF-135D1EC5B51C}"/>
    <cellStyle name="Migliaia 54 4 4 4" xfId="42829" xr:uid="{A64F5C6F-01FB-4A6C-9D5B-CE5653675017}"/>
    <cellStyle name="Migliaia 54 4 4 5" xfId="12086" xr:uid="{3DCDF75A-9143-4036-AC15-52C8E8616303}"/>
    <cellStyle name="Migliaia 54 4 5" xfId="3898" xr:uid="{51327D9F-F041-4628-AA50-162FDF7A4575}"/>
    <cellStyle name="Migliaia 54 4 5 2" xfId="34555" xr:uid="{D0AF5F20-2CD2-42B4-B4AF-D3A8F9E945E6}"/>
    <cellStyle name="Migliaia 54 4 5 2 2" xfId="40179" xr:uid="{63C6AC68-BC20-40CE-92B3-973ED264B7F9}"/>
    <cellStyle name="Migliaia 54 4 5 2 3" xfId="45481" xr:uid="{24D32A59-05AC-4249-81CA-89A9B37B4981}"/>
    <cellStyle name="Migliaia 54 4 5 3" xfId="37531" xr:uid="{84F2827A-715C-4415-8B72-65A58F48E0A4}"/>
    <cellStyle name="Migliaia 54 4 5 4" xfId="42830" xr:uid="{14F107FE-92DA-455B-AFF5-19AA5E4EDDF9}"/>
    <cellStyle name="Migliaia 54 4 5 5" xfId="11437" xr:uid="{4C4391B9-37A2-4B45-88DF-ABE4765DA3CE}"/>
    <cellStyle name="Migliaia 54 4 6" xfId="10980" xr:uid="{DB0E3480-35AA-460D-8328-5CE982FFB135}"/>
    <cellStyle name="Migliaia 54 4 6 2" xfId="21615" xr:uid="{C69A0D55-3374-4182-9E8D-607850D0A12D}"/>
    <cellStyle name="Migliaia 54 4 6 2 2" xfId="40180" xr:uid="{1F34D83D-6A2C-4EF2-ABD1-B992216E2586}"/>
    <cellStyle name="Migliaia 54 4 6 2 3" xfId="45482" xr:uid="{BD7AEB4D-8888-42F7-9545-71F24DC8DC95}"/>
    <cellStyle name="Migliaia 54 4 6 2 4" xfId="34556" xr:uid="{101D8073-C7F8-4D23-8746-4ED9A08AA5CB}"/>
    <cellStyle name="Migliaia 54 4 6 3" xfId="37532" xr:uid="{9B953B8B-6B74-4F8D-9773-42716B18B6E4}"/>
    <cellStyle name="Migliaia 54 4 6 4" xfId="42831" xr:uid="{4B4058DF-D3BF-43D6-97A9-B67D177FD97A}"/>
    <cellStyle name="Migliaia 54 4 6 5" xfId="25361" xr:uid="{1D3A4235-63F5-4D38-9765-5692D7D5355D}"/>
    <cellStyle name="Migliaia 54 4 6 6" xfId="48386" xr:uid="{F5E2EF45-BF1F-4B1D-AD49-5F6E39EA9370}"/>
    <cellStyle name="Migliaia 54 4 6 7" xfId="50630" xr:uid="{C8ADF6E8-B642-4CB0-8AA9-F2F57E61EE1C}"/>
    <cellStyle name="Migliaia 54 4 6 8" xfId="53646" xr:uid="{AEDDF016-DF1A-4EAF-9FFE-DBABF097BEAE}"/>
    <cellStyle name="Migliaia 54 4 7" xfId="20967" xr:uid="{CE6D1110-75A3-4AA3-9719-CCE1FB764CFB}"/>
    <cellStyle name="Migliaia 54 4 7 2" xfId="34557" xr:uid="{85B20FBF-502B-41C8-AA2D-F9AC6A407FC6}"/>
    <cellStyle name="Migliaia 54 4 7 2 2" xfId="40181" xr:uid="{91D8E87D-7355-41F9-9948-43493F8236CB}"/>
    <cellStyle name="Migliaia 54 4 7 2 3" xfId="45483" xr:uid="{F872814F-E410-4D32-953E-C1095E6AFF81}"/>
    <cellStyle name="Migliaia 54 4 7 3" xfId="37533" xr:uid="{09A9FC50-3C02-41FE-A4C6-4ED69BD0A920}"/>
    <cellStyle name="Migliaia 54 4 7 4" xfId="42832" xr:uid="{F66D6080-4AB1-4AFE-ABE3-564A3E959C73}"/>
    <cellStyle name="Migliaia 54 4 7 5" xfId="25362" xr:uid="{01D1DC2B-6F2E-4F90-8D87-9E71E167A138}"/>
    <cellStyle name="Migliaia 54 4 8" xfId="25354" xr:uid="{BB93B268-C280-4F04-8F6C-CBF048AF736B}"/>
    <cellStyle name="Migliaia 54 4 9" xfId="7588" xr:uid="{E7FE30B2-EC15-4ACE-A033-01310EF4FD5F}"/>
    <cellStyle name="Migliaia 54 5" xfId="1905" xr:uid="{00000000-0005-0000-0000-000080040000}"/>
    <cellStyle name="Migliaia 54 5 2" xfId="5626" xr:uid="{EE75512C-20D5-40AD-933C-15A8343E2B8C}"/>
    <cellStyle name="Migliaia 54 5 2 2" xfId="18511" xr:uid="{072F4990-0DBA-4D1C-B508-4132C81ACDD0}"/>
    <cellStyle name="Migliaia 54 5 2 2 2" xfId="40182" xr:uid="{7F74CD1F-89EE-42E9-88B9-D78DF7A30B36}"/>
    <cellStyle name="Migliaia 54 5 2 2 3" xfId="45484" xr:uid="{6EF00E39-2676-49D9-ABE6-005BD72E706C}"/>
    <cellStyle name="Migliaia 54 5 2 3" xfId="20970" xr:uid="{5B8F579E-EAB2-4AF2-B18C-A79D91CC6371}"/>
    <cellStyle name="Migliaia 54 5 2 3 2" xfId="37534" xr:uid="{F3D2BD7C-880A-4324-B658-36D3561E5C51}"/>
    <cellStyle name="Migliaia 54 5 2 4" xfId="42833" xr:uid="{BDA4483E-2B96-4123-ABA9-2796B79E298A}"/>
    <cellStyle name="Migliaia 54 5 2 5" xfId="16790" xr:uid="{A5AF946C-7BD5-43BA-9991-234C0A4AB1B0}"/>
    <cellStyle name="Migliaia 54 5 2 6" xfId="8779" xr:uid="{C6063716-42BA-45BC-8236-43CF9EA48490}"/>
    <cellStyle name="Migliaia 54 5 3" xfId="6800" xr:uid="{7B453BC3-A201-479E-B5F4-E3DEE4C48847}"/>
    <cellStyle name="Migliaia 54 5 3 2" xfId="34558" xr:uid="{95BDB26E-02B0-4B8F-B4D7-E4C5E48D31E6}"/>
    <cellStyle name="Migliaia 54 5 3 2 2" xfId="40183" xr:uid="{1BCA496D-EBA7-40D4-A5C4-A2381CB92DCB}"/>
    <cellStyle name="Migliaia 54 5 3 2 3" xfId="45485" xr:uid="{2585A476-FBA6-40AC-9553-4467AB85CC66}"/>
    <cellStyle name="Migliaia 54 5 3 3" xfId="37535" xr:uid="{EECC469F-01F4-48A3-99BD-86E44EE231D9}"/>
    <cellStyle name="Migliaia 54 5 3 4" xfId="42834" xr:uid="{80007CBA-C881-4632-AA83-B2DFE5ED614F}"/>
    <cellStyle name="Migliaia 54 5 3 5" xfId="11439" xr:uid="{B901E919-B937-41DE-A1B8-EEC7097A3389}"/>
    <cellStyle name="Migliaia 54 5 4" xfId="3900" xr:uid="{D6BE16EF-8FEE-40FE-BF6C-B0F30A16F76C}"/>
    <cellStyle name="Migliaia 54 5 4 2" xfId="21617" xr:uid="{59D30164-28E2-484E-952F-B788769F63AE}"/>
    <cellStyle name="Migliaia 54 5 4 2 2" xfId="40184" xr:uid="{FE6C991B-8D4E-4ED9-9664-0C34BAA74895}"/>
    <cellStyle name="Migliaia 54 5 4 2 3" xfId="45486" xr:uid="{E80F324A-9112-4DE3-9491-DD4D7B664786}"/>
    <cellStyle name="Migliaia 54 5 4 2 4" xfId="34559" xr:uid="{0E8854D5-4CDB-4AD9-8EF0-A2455382B09D}"/>
    <cellStyle name="Migliaia 54 5 4 3" xfId="37536" xr:uid="{42EC531D-006F-4C70-9C0E-AAEE35CD9CAC}"/>
    <cellStyle name="Migliaia 54 5 4 4" xfId="42835" xr:uid="{457AE786-E0E4-4BEA-BC59-4164FE69E704}"/>
    <cellStyle name="Migliaia 54 5 4 5" xfId="25364" xr:uid="{B10236EA-1C65-447A-B25E-CE2C0B853F91}"/>
    <cellStyle name="Migliaia 54 5 4 6" xfId="48326" xr:uid="{6268A96D-F5AE-482F-9361-0B9C10FCF178}"/>
    <cellStyle name="Migliaia 54 5 4 7" xfId="50632" xr:uid="{B32FE456-1DD5-4545-8CB3-E410DC74313F}"/>
    <cellStyle name="Migliaia 54 5 4 8" xfId="53648" xr:uid="{4952820D-036F-4A6C-9BD4-1EAD5ECF8256}"/>
    <cellStyle name="Migliaia 54 5 4 9" xfId="10982" xr:uid="{1E4A65B0-9742-4E4C-A6B7-DA8C891C554B}"/>
    <cellStyle name="Migliaia 54 5 5" xfId="20969" xr:uid="{999E4818-D97B-4D84-8B10-11E5E4B41505}"/>
    <cellStyle name="Migliaia 54 5 5 2" xfId="34560" xr:uid="{852FA839-C347-45F0-93A4-74B119CE152C}"/>
    <cellStyle name="Migliaia 54 5 5 2 2" xfId="40185" xr:uid="{DDC81F7A-C562-4DA5-9F31-70E218B10792}"/>
    <cellStyle name="Migliaia 54 5 5 2 3" xfId="45487" xr:uid="{A8330BCB-E311-42D6-AF2D-E5D428CC5333}"/>
    <cellStyle name="Migliaia 54 5 5 3" xfId="37537" xr:uid="{E306F149-42CF-425C-87BC-53F8B3076148}"/>
    <cellStyle name="Migliaia 54 5 5 4" xfId="42836" xr:uid="{2AD9725F-1DF8-4732-B623-D56C6934AB3E}"/>
    <cellStyle name="Migliaia 54 5 5 5" xfId="25365" xr:uid="{8B6906FD-4418-4DD3-AF86-3289AA9B9FC8}"/>
    <cellStyle name="Migliaia 54 5 6" xfId="25366" xr:uid="{5BD1A609-074A-45F0-8F7B-31FB4A9229E6}"/>
    <cellStyle name="Migliaia 54 5 6 2" xfId="34561" xr:uid="{A74BF239-7F92-490D-A72F-A16E51A057CD}"/>
    <cellStyle name="Migliaia 54 5 6 2 2" xfId="40186" xr:uid="{51BE24E0-D3BB-475A-B8D8-2DE35F192B43}"/>
    <cellStyle name="Migliaia 54 5 6 2 3" xfId="45488" xr:uid="{DB6F99ED-D842-4630-8A5D-1C97AAF8EF08}"/>
    <cellStyle name="Migliaia 54 5 6 3" xfId="37538" xr:uid="{7C2F89F5-6198-458C-8AFD-94E8423DD277}"/>
    <cellStyle name="Migliaia 54 5 6 4" xfId="42837" xr:uid="{B0D84789-0DC3-41B8-8063-0D1697DC36F4}"/>
    <cellStyle name="Migliaia 54 5 7" xfId="25363" xr:uid="{5B0B4B58-1A71-4429-9976-92ABEFA82967}"/>
    <cellStyle name="Migliaia 54 5 8" xfId="7589" xr:uid="{40C47C47-3A78-4399-99E8-50CD6300399E}"/>
    <cellStyle name="Migliaia 54 6" xfId="3901" xr:uid="{3DA98C7A-D5FA-4A16-BC65-4E8768B409C8}"/>
    <cellStyle name="Migliaia 54 6 2" xfId="5627" xr:uid="{023EDC9D-C211-48AD-8ECF-3218346D0F01}"/>
    <cellStyle name="Migliaia 54 6 2 2" xfId="9979" xr:uid="{60DD57EA-FE0F-4196-A646-910A988D92C9}"/>
    <cellStyle name="Migliaia 54 6 2 3" xfId="18633" xr:uid="{E14AFB5D-F1D3-47CA-A37B-548861080901}"/>
    <cellStyle name="Migliaia 54 6 2 4" xfId="20972" xr:uid="{11752072-3A0B-4751-981C-C72F9A41AA95}"/>
    <cellStyle name="Migliaia 54 6 2 5" xfId="32471" xr:uid="{55A71BD9-7D56-4C47-ADE1-E7A7488CF724}"/>
    <cellStyle name="Migliaia 54 6 2 6" xfId="16792" xr:uid="{65CCCE23-58EB-4577-AFF8-D3BFCD6C2409}"/>
    <cellStyle name="Migliaia 54 6 2 7" xfId="8774" xr:uid="{DC07600E-9AD6-46EE-AE51-B2D1AA6B6704}"/>
    <cellStyle name="Migliaia 54 6 3" xfId="6801" xr:uid="{18E147B5-1E02-4AB3-A5CF-89BD4CFFB87A}"/>
    <cellStyle name="Migliaia 54 6 3 2" xfId="35470" xr:uid="{7E25C101-E88F-409F-9428-790F627E723E}"/>
    <cellStyle name="Migliaia 54 6 3 2 2" xfId="40630" xr:uid="{76418265-6F5F-4FE9-962E-17040DFC0774}"/>
    <cellStyle name="Migliaia 54 6 3 2 3" xfId="45932" xr:uid="{32233185-12ED-4AC3-BC80-66EDD2486D1F}"/>
    <cellStyle name="Migliaia 54 6 3 3" xfId="37979" xr:uid="{B45E2130-DC64-4A80-93EE-2B4B1F6D1055}"/>
    <cellStyle name="Migliaia 54 6 3 4" xfId="43281" xr:uid="{4A3A197C-396D-4F55-9A79-81CEB5FBD516}"/>
    <cellStyle name="Migliaia 54 6 3 5" xfId="9742" xr:uid="{7DF6A874-763B-436C-9CCD-D6BB99014201}"/>
    <cellStyle name="Migliaia 54 6 4" xfId="20971" xr:uid="{38E1B379-1246-48D2-8F5C-10DEE9D5F6AC}"/>
    <cellStyle name="Migliaia 54 6 4 2" xfId="40187" xr:uid="{8D26D1D8-A0C7-41D9-A356-CD0685AA293B}"/>
    <cellStyle name="Migliaia 54 6 4 3" xfId="45489" xr:uid="{7966C7A4-59C8-47AD-A6A4-74A9B41A6B63}"/>
    <cellStyle name="Migliaia 54 6 4 4" xfId="34562" xr:uid="{DF76555D-A8B0-4426-9D2D-A6172DC2EEB3}"/>
    <cellStyle name="Migliaia 54 6 5" xfId="37539" xr:uid="{DC5BACD4-3030-4C3B-83A1-D361C8369E61}"/>
    <cellStyle name="Migliaia 54 6 6" xfId="42838" xr:uid="{46BFC47F-7B3E-4EBB-A160-1B1A82264D53}"/>
    <cellStyle name="Migliaia 54 6 7" xfId="16791" xr:uid="{6835BCAC-CAF1-41F2-81FC-5A175226150D}"/>
    <cellStyle name="Migliaia 54 6 8" xfId="7584" xr:uid="{8D872746-0875-4717-9DA9-FD3B0EE588F1}"/>
    <cellStyle name="Migliaia 54 7" xfId="3902" xr:uid="{4426B53A-057C-442B-9495-FCF499FF1426}"/>
    <cellStyle name="Migliaia 54 7 2" xfId="5628" xr:uid="{C92B0CB2-F3AD-41A0-A555-5CEC7A81421F}"/>
    <cellStyle name="Migliaia 54 7 2 2" xfId="35471" xr:uid="{99D64439-1EB7-46B7-BC04-41321E1E8990}"/>
    <cellStyle name="Migliaia 54 7 2 2 2" xfId="40631" xr:uid="{03F44486-1D0B-4053-9CDF-09A6F727079A}"/>
    <cellStyle name="Migliaia 54 7 2 2 3" xfId="45933" xr:uid="{B1054109-20E9-4299-8855-EF2EA41C575B}"/>
    <cellStyle name="Migliaia 54 7 2 3" xfId="37980" xr:uid="{9DC2AB5A-93EC-4C1D-8501-5034D8EEE3F4}"/>
    <cellStyle name="Migliaia 54 7 2 4" xfId="43282" xr:uid="{23543991-18CC-4815-B105-DA12C4D12D9A}"/>
    <cellStyle name="Migliaia 54 7 2 5" xfId="14326" xr:uid="{E321749C-EC9D-4AD9-A915-997296829F8F}"/>
    <cellStyle name="Migliaia 54 7 3" xfId="6802" xr:uid="{E34355DC-D4A6-4E70-9849-C08D783D784F}"/>
    <cellStyle name="Migliaia 54 7 3 2" xfId="40188" xr:uid="{6430799C-C2E9-4541-ADB9-9FB81AF5AD37}"/>
    <cellStyle name="Migliaia 54 7 3 3" xfId="45490" xr:uid="{CB6BA2CE-0DAF-4BEB-BDDF-EDF4619D814F}"/>
    <cellStyle name="Migliaia 54 7 3 4" xfId="34563" xr:uid="{7457568F-3759-4F6C-BD47-6DCA26813CF8}"/>
    <cellStyle name="Migliaia 54 7 3 5" xfId="20973" xr:uid="{79D5921E-6CA8-4923-A007-F200A6514032}"/>
    <cellStyle name="Migliaia 54 7 4" xfId="37540" xr:uid="{7B9039BA-589F-4C2D-B955-2B60FAE01592}"/>
    <cellStyle name="Migliaia 54 7 5" xfId="42839" xr:uid="{491EB9BC-7A61-4812-984C-BB04059BBF28}"/>
    <cellStyle name="Migliaia 54 7 6" xfId="16793" xr:uid="{3D879971-7EB4-4E4E-B98E-915320A3185C}"/>
    <cellStyle name="Migliaia 54 7 7" xfId="8388" xr:uid="{C5DEA403-20D9-4E15-9534-9A183318713A}"/>
    <cellStyle name="Migliaia 54 8" xfId="3903" xr:uid="{DED0693B-5703-44F9-9821-E307648457A0}"/>
    <cellStyle name="Migliaia 54 8 2" xfId="5629" xr:uid="{21664644-04A8-490D-96C4-6E7971D46CF9}"/>
    <cellStyle name="Migliaia 54 8 2 2" xfId="35472" xr:uid="{C3937A78-B3EC-4BC3-B4AC-BEDE819FFE33}"/>
    <cellStyle name="Migliaia 54 8 2 2 2" xfId="40632" xr:uid="{05413366-063B-401A-BAE1-4A0885CD9C38}"/>
    <cellStyle name="Migliaia 54 8 2 2 3" xfId="45934" xr:uid="{289A064C-D277-4524-AD99-9AC0DC70F524}"/>
    <cellStyle name="Migliaia 54 8 2 3" xfId="37981" xr:uid="{BC54D004-DEBB-4149-9911-9F7546474DA2}"/>
    <cellStyle name="Migliaia 54 8 2 4" xfId="43283" xr:uid="{12BA1F61-B329-4D7A-B569-87FF145E5E15}"/>
    <cellStyle name="Migliaia 54 8 2 5" xfId="14031" xr:uid="{0DB257A9-9C79-4F06-A514-619086121B50}"/>
    <cellStyle name="Migliaia 54 8 3" xfId="6803" xr:uid="{1C04C348-3293-4301-8243-7955B15AF2C2}"/>
    <cellStyle name="Migliaia 54 8 3 2" xfId="40189" xr:uid="{13CBFB61-5ACF-430A-ABF2-2EE6066C636F}"/>
    <cellStyle name="Migliaia 54 8 3 3" xfId="45491" xr:uid="{381B38A9-7BAF-4343-BCAD-BA02AB2DBA59}"/>
    <cellStyle name="Migliaia 54 8 3 4" xfId="34564" xr:uid="{1675E453-A6D3-4313-A305-B3E86B1E67D2}"/>
    <cellStyle name="Migliaia 54 8 3 5" xfId="20974" xr:uid="{79C8D878-B281-4450-B31B-EE9FE9C8383B}"/>
    <cellStyle name="Migliaia 54 8 4" xfId="37541" xr:uid="{C00C4C1F-0165-485B-BC35-CEE9EDB738FE}"/>
    <cellStyle name="Migliaia 54 8 5" xfId="42840" xr:uid="{2A79CB2B-7CAC-4C0A-9BA5-31D192FDB343}"/>
    <cellStyle name="Migliaia 54 8 6" xfId="16794" xr:uid="{87E4543B-4185-4F3F-9255-66E01A32BC1A}"/>
    <cellStyle name="Migliaia 54 8 7" xfId="8018" xr:uid="{D20EABD7-0F83-4149-B2A0-C6E05280CEF8}"/>
    <cellStyle name="Migliaia 54 9" xfId="5614" xr:uid="{C50A4D05-FCFD-4B3A-B060-CBA53189FDDF}"/>
    <cellStyle name="Migliaia 54 9 2" xfId="34565" xr:uid="{BCF5D03E-E813-47DF-B36B-68D0A3269466}"/>
    <cellStyle name="Migliaia 54 9 2 2" xfId="40190" xr:uid="{35566D4E-9B9B-497E-BDB3-2D20153E198E}"/>
    <cellStyle name="Migliaia 54 9 2 3" xfId="45492" xr:uid="{F3B58DE0-5449-4732-A0C0-F4B01325A46D}"/>
    <cellStyle name="Migliaia 54 9 3" xfId="37542" xr:uid="{F863F451-CD05-4321-B982-CA8D122509FA}"/>
    <cellStyle name="Migliaia 54 9 4" xfId="42841" xr:uid="{4268F3FC-78EC-4E60-92F8-DFC70E4B2FFD}"/>
    <cellStyle name="Migliaia 54 9 5" xfId="17233" xr:uid="{282A51AB-6D9E-44C7-91AD-BCA09361662F}"/>
    <cellStyle name="Migliaia 55" xfId="501" xr:uid="{00000000-0005-0000-0000-000081040000}"/>
    <cellStyle name="Migliaia 55 10" xfId="6804" xr:uid="{E3940A7E-CADE-4CA4-BDB2-F2E6CEE202DD}"/>
    <cellStyle name="Migliaia 55 10 2" xfId="40191" xr:uid="{2EB1B0F3-D552-4C88-82C4-598C74544DB1}"/>
    <cellStyle name="Migliaia 55 10 3" xfId="45493" xr:uid="{5B82A805-5ABC-4323-B7B2-DE2E6632CC95}"/>
    <cellStyle name="Migliaia 55 10 4" xfId="34566" xr:uid="{CAEEFDED-527E-4B7D-BCBC-BA8A6099279B}"/>
    <cellStyle name="Migliaia 55 10 5" xfId="20975" xr:uid="{3EC5AD9F-F0A1-40C1-8971-1C07B1039BB7}"/>
    <cellStyle name="Migliaia 55 11" xfId="3904" xr:uid="{22FA0594-8774-4F02-BB76-7784F640A209}"/>
    <cellStyle name="Migliaia 55 11 2" xfId="37543" xr:uid="{643B16ED-FE35-4A5E-9CE4-5678AF61859B}"/>
    <cellStyle name="Migliaia 55 12" xfId="42842" xr:uid="{EDCAECCC-D56E-4C0C-A44E-53EBA31538CC}"/>
    <cellStyle name="Migliaia 55 13" xfId="7192" xr:uid="{F5D78D60-B2F8-4F13-BC2B-9736B5BA143B}"/>
    <cellStyle name="Migliaia 55 2" xfId="502" xr:uid="{00000000-0005-0000-0000-000082040000}"/>
    <cellStyle name="Migliaia 55 2 2" xfId="1906" xr:uid="{00000000-0005-0000-0000-000083040000}"/>
    <cellStyle name="Migliaia 55 2 2 2" xfId="5632" xr:uid="{4C766987-9155-4427-AF94-CAEDAEF78613}"/>
    <cellStyle name="Migliaia 55 2 2 2 2" xfId="14413" xr:uid="{93D862B1-274D-4298-AEC6-5F80F87A7226}"/>
    <cellStyle name="Migliaia 55 2 2 2 2 2" xfId="40192" xr:uid="{9C72B7DA-DFCA-4C3F-A9C8-2918635AF961}"/>
    <cellStyle name="Migliaia 55 2 2 2 2 3" xfId="45494" xr:uid="{E9D65B37-E3E3-497B-99C3-655FFD127F28}"/>
    <cellStyle name="Migliaia 55 2 2 2 3" xfId="18512" xr:uid="{3AE9DCF5-0627-4678-A412-9D411BC0E9F6}"/>
    <cellStyle name="Migliaia 55 2 2 2 4" xfId="20978" xr:uid="{F481EEC0-0817-4DFB-9FE2-8CDD051B7A1C}"/>
    <cellStyle name="Migliaia 55 2 2 2 4 2" xfId="42843" xr:uid="{63B19B28-1F5D-44A9-84D0-73944FCF7662}"/>
    <cellStyle name="Migliaia 55 2 2 2 5" xfId="16795" xr:uid="{CBB16365-96AD-417F-82E8-0EF3B31D2A8F}"/>
    <cellStyle name="Migliaia 55 2 2 2 6" xfId="8781" xr:uid="{58B63780-C13F-4740-B770-76123575383C}"/>
    <cellStyle name="Migliaia 55 2 2 3" xfId="6806" xr:uid="{FCD8F3C3-0AF8-4403-9CE3-63AAFD3CF806}"/>
    <cellStyle name="Migliaia 55 2 2 3 2" xfId="35473" xr:uid="{695D70A3-D55A-47F0-AD45-341241F06F7E}"/>
    <cellStyle name="Migliaia 55 2 2 3 2 2" xfId="40633" xr:uid="{B6C24BE3-0275-4F18-9269-674398CA7327}"/>
    <cellStyle name="Migliaia 55 2 2 3 2 3" xfId="45935" xr:uid="{4D33DBCF-CBF6-4410-A608-ECE1E97B68A1}"/>
    <cellStyle name="Migliaia 55 2 2 3 3" xfId="37982" xr:uid="{8360C039-66CD-4E43-82A8-CCAA949A4AC6}"/>
    <cellStyle name="Migliaia 55 2 2 3 4" xfId="43284" xr:uid="{14F5FC64-49C6-421D-968B-427C4989A725}"/>
    <cellStyle name="Migliaia 55 2 2 3 5" xfId="11640" xr:uid="{B2F353CB-BD3E-4B60-A081-ABA12A6B4656}"/>
    <cellStyle name="Migliaia 55 2 2 4" xfId="3906" xr:uid="{507618F7-D66C-4693-8432-DC1414862180}"/>
    <cellStyle name="Migliaia 55 2 2 4 2" xfId="21618" xr:uid="{9C76D5E0-901C-4A20-93D6-6C85326EA846}"/>
    <cellStyle name="Migliaia 55 2 2 4 3" xfId="47311" xr:uid="{DCEF5511-1E7C-4779-9995-74B9CFE57BB2}"/>
    <cellStyle name="Migliaia 55 2 2 4 4" xfId="50633" xr:uid="{1604B671-43F4-4FBE-96EC-7839EB1A86A1}"/>
    <cellStyle name="Migliaia 55 2 2 4 5" xfId="53649" xr:uid="{ECB871A5-0FE5-4A13-80D5-9C6D2DCC2403}"/>
    <cellStyle name="Migliaia 55 2 2 4 6" xfId="10983" xr:uid="{BA9129A8-08EE-43C4-940C-8CB8E380029E}"/>
    <cellStyle name="Migliaia 55 2 2 5" xfId="20977" xr:uid="{A35BF604-AF08-4CD3-AD18-CF14522D53E5}"/>
    <cellStyle name="Migliaia 55 2 2 6" xfId="25370" xr:uid="{0F54313D-064B-4515-A4A5-1027581E712A}"/>
    <cellStyle name="Migliaia 55 2 2 7" xfId="7591" xr:uid="{E92420E9-49AF-4EEF-8E00-72A5FA99323C}"/>
    <cellStyle name="Migliaia 55 2 3" xfId="3907" xr:uid="{848F5F82-1027-4A77-82CE-98FDBE24628B}"/>
    <cellStyle name="Migliaia 55 2 3 2" xfId="5633" xr:uid="{C083E76F-99BB-41F4-82ED-B377FB2748ED}"/>
    <cellStyle name="Migliaia 55 2 3 2 2" xfId="35474" xr:uid="{522E0B27-E91C-4DC9-ABDD-FD04561EAB49}"/>
    <cellStyle name="Migliaia 55 2 3 2 2 2" xfId="40634" xr:uid="{1559D353-C9B8-4576-9748-BBB7C507EAA5}"/>
    <cellStyle name="Migliaia 55 2 3 2 2 3" xfId="45936" xr:uid="{56A5E6EF-3AE0-4260-817C-B9F14FF49A66}"/>
    <cellStyle name="Migliaia 55 2 3 2 3" xfId="37983" xr:uid="{961ECCD8-434B-41C9-AD07-8A3938D996D6}"/>
    <cellStyle name="Migliaia 55 2 3 2 4" xfId="43285" xr:uid="{313F6D76-324C-4B9B-9EF3-80A7D6FEEE73}"/>
    <cellStyle name="Migliaia 55 2 3 2 5" xfId="14330" xr:uid="{2B90A39B-3B36-4A3B-B984-C1BB3AA6DA2B}"/>
    <cellStyle name="Migliaia 55 2 3 3" xfId="6807" xr:uid="{173B1FCF-431A-465A-A9CF-80D5AC8FA804}"/>
    <cellStyle name="Migliaia 55 2 3 3 2" xfId="40193" xr:uid="{5232CCC9-2C22-423D-9AB4-2F0C8E97E2FB}"/>
    <cellStyle name="Migliaia 55 2 3 3 3" xfId="45495" xr:uid="{D2F05B46-20C3-4C94-9E58-4E844207BD52}"/>
    <cellStyle name="Migliaia 55 2 3 3 4" xfId="34568" xr:uid="{58BAAD28-9831-4EA2-9A5D-4FBBD9FB3ED4}"/>
    <cellStyle name="Migliaia 55 2 3 3 5" xfId="20979" xr:uid="{73A969B7-7700-46FB-8CAB-D30181D24299}"/>
    <cellStyle name="Migliaia 55 2 3 4" xfId="37544" xr:uid="{A7D6E797-9F9B-4822-A7C0-953A0306CAC2}"/>
    <cellStyle name="Migliaia 55 2 3 5" xfId="42844" xr:uid="{EF2B1FC2-772A-46B8-9E80-4FE60524394B}"/>
    <cellStyle name="Migliaia 55 2 3 6" xfId="16796" xr:uid="{DD494CD0-0B73-4DAD-ACDD-E5AD2ACFC8A3}"/>
    <cellStyle name="Migliaia 55 2 3 7" xfId="8392" xr:uid="{7F2421CA-874D-464E-B3A0-E8965346FBBD}"/>
    <cellStyle name="Migliaia 55 2 4" xfId="5631" xr:uid="{2EC4E3CB-C3D0-4BDF-B4F8-DE3D88878DA1}"/>
    <cellStyle name="Migliaia 55 2 4 2" xfId="14035" xr:uid="{AD8CD3F4-9A2A-430F-BA1F-7C3E555CEAA9}"/>
    <cellStyle name="Migliaia 55 2 4 2 2" xfId="40194" xr:uid="{86C39661-39AA-4DB2-A67D-FFCE23D6CE80}"/>
    <cellStyle name="Migliaia 55 2 4 2 3" xfId="45496" xr:uid="{7E4EF1C0-20D2-4CA6-85C0-4BC1986AEA23}"/>
    <cellStyle name="Migliaia 55 2 4 3" xfId="18293" xr:uid="{F8D7E3DB-CD11-4363-BCFC-96B81FDEC24C}"/>
    <cellStyle name="Migliaia 55 2 4 4" xfId="20980" xr:uid="{F04E92C1-DAB5-42A7-802A-A295DB93E85A}"/>
    <cellStyle name="Migliaia 55 2 4 4 2" xfId="42845" xr:uid="{A7B7BD88-0C2E-4B2C-941E-A1A7FBC44F05}"/>
    <cellStyle name="Migliaia 55 2 4 5" xfId="16797" xr:uid="{8EDEE769-D3F6-4471-8F6F-9BC7F54CD609}"/>
    <cellStyle name="Migliaia 55 2 4 6" xfId="8023" xr:uid="{D97D9655-4FBB-44A6-8D38-64C7D3DEC85F}"/>
    <cellStyle name="Migliaia 55 2 5" xfId="6805" xr:uid="{AE568A93-6F72-46F1-8614-D38A7AB05C37}"/>
    <cellStyle name="Migliaia 55 2 5 2" xfId="34570" xr:uid="{6A79FF8E-E657-4786-ADED-12B7F7E0A970}"/>
    <cellStyle name="Migliaia 55 2 5 2 2" xfId="40195" xr:uid="{9AC389E4-46CD-408C-BE36-D12E13911A1A}"/>
    <cellStyle name="Migliaia 55 2 5 2 3" xfId="45497" xr:uid="{A2325837-15CC-48C3-9CFC-4B30B4A68F4D}"/>
    <cellStyle name="Migliaia 55 2 5 3" xfId="37546" xr:uid="{67EC1073-2ED3-473E-A751-EF945DBE9B1A}"/>
    <cellStyle name="Migliaia 55 2 5 4" xfId="42846" xr:uid="{FF904C41-5A10-461C-B2BC-4A45E920D46E}"/>
    <cellStyle name="Migliaia 55 2 5 5" xfId="13153" xr:uid="{C7BB8B47-0204-47FE-9A32-8B08B7430D90}"/>
    <cellStyle name="Migliaia 55 2 6" xfId="3905" xr:uid="{919169A5-6FC2-45A7-A963-F38FF65420B4}"/>
    <cellStyle name="Migliaia 55 2 6 2" xfId="34571" xr:uid="{F6007E9D-5BC8-4E2C-992E-8887F8F4C34E}"/>
    <cellStyle name="Migliaia 55 2 6 2 2" xfId="40196" xr:uid="{6103F003-69E2-4BE8-B572-AC7A554D8FE3}"/>
    <cellStyle name="Migliaia 55 2 6 2 3" xfId="45498" xr:uid="{1DB09E36-4753-4E4A-8B29-3430939D3E87}"/>
    <cellStyle name="Migliaia 55 2 6 3" xfId="37547" xr:uid="{3E25053D-DB1D-455A-95B7-FFBE4B2CD2C5}"/>
    <cellStyle name="Migliaia 55 2 6 4" xfId="42847" xr:uid="{C3661C26-DB81-433A-A7D3-D9E3D389BB35}"/>
    <cellStyle name="Migliaia 55 2 6 5" xfId="25374" xr:uid="{DD21DBC7-9DBC-4C6E-AE6C-4D24743F7825}"/>
    <cellStyle name="Migliaia 55 2 6 6" xfId="20976" xr:uid="{F7D5876B-987B-4DC0-B67C-D38767ABD674}"/>
    <cellStyle name="Migliaia 55 2 7" xfId="25369" xr:uid="{FCCC4686-7854-431C-BB57-F01CA546AF29}"/>
    <cellStyle name="Migliaia 55 2 8" xfId="7193" xr:uid="{A70A4F56-3C9B-4C3D-B342-E38F34926C39}"/>
    <cellStyle name="Migliaia 55 3" xfId="503" xr:uid="{00000000-0005-0000-0000-000084040000}"/>
    <cellStyle name="Migliaia 55 3 10" xfId="25375" xr:uid="{0646606F-E08C-42BE-9BD7-E1EC58A2249A}"/>
    <cellStyle name="Migliaia 55 3 11" xfId="16798" xr:uid="{45EE3A7D-A519-47C9-8736-E71E7450946F}"/>
    <cellStyle name="Migliaia 55 3 12" xfId="7194" xr:uid="{6EBA4699-0D5A-469F-AC74-736E5D604DBA}"/>
    <cellStyle name="Migliaia 55 3 2" xfId="504" xr:uid="{00000000-0005-0000-0000-000085040000}"/>
    <cellStyle name="Migliaia 55 3 2 2" xfId="1907" xr:uid="{00000000-0005-0000-0000-000086040000}"/>
    <cellStyle name="Migliaia 55 3 2 2 2" xfId="5636" xr:uid="{6A841434-B074-4C06-A730-2ADB165F28D8}"/>
    <cellStyle name="Migliaia 55 3 2 2 2 2" xfId="18513" xr:uid="{EEC5068B-DB4B-4FF0-A120-F6C5462D22EE}"/>
    <cellStyle name="Migliaia 55 3 2 2 2 2 2" xfId="21891" xr:uid="{298B10F1-142D-43AC-B896-7227DE15B0D7}"/>
    <cellStyle name="Migliaia 55 3 2 2 2 2 2 2" xfId="40197" xr:uid="{2B45219A-8250-4477-B0DD-43F4047C253F}"/>
    <cellStyle name="Migliaia 55 3 2 2 2 2 3" xfId="45499" xr:uid="{898EEF21-AD26-421C-9E11-D4E02D102F43}"/>
    <cellStyle name="Migliaia 55 3 2 2 2 2 4" xfId="34572" xr:uid="{12409069-EBAA-4087-8028-19521E8D9820}"/>
    <cellStyle name="Migliaia 55 3 2 2 2 3" xfId="37548" xr:uid="{7988B6D5-D53B-4512-B55B-64D20A8957FF}"/>
    <cellStyle name="Migliaia 55 3 2 2 2 4" xfId="42848" xr:uid="{14E6E797-8A04-42FC-8938-DAF5A4474227}"/>
    <cellStyle name="Migliaia 55 3 2 2 2 5" xfId="46303" xr:uid="{7CE81974-2906-42CE-AE0F-DF95C1138EBC}"/>
    <cellStyle name="Migliaia 55 3 2 2 2 6" xfId="50919" xr:uid="{09D2FEAB-5BB2-4240-9490-03428FC308D4}"/>
    <cellStyle name="Migliaia 55 3 2 2 2 7" xfId="53935" xr:uid="{1DF49E30-B5F7-4AE4-BEE1-DD842CE03630}"/>
    <cellStyle name="Migliaia 55 3 2 2 2 8" xfId="17690" xr:uid="{303DDD4B-21C0-485A-9D15-578EFD0748CD}"/>
    <cellStyle name="Migliaia 55 3 2 2 2 9" xfId="12087" xr:uid="{31439D85-39BF-436E-8412-FCAD2B957A7C}"/>
    <cellStyle name="Migliaia 55 3 2 2 3" xfId="6810" xr:uid="{0A8D8CF9-0ABF-4A0F-84AF-37DB7E454446}"/>
    <cellStyle name="Migliaia 55 3 2 2 3 2" xfId="11160" xr:uid="{41A08041-2C60-4525-B1DA-F66933CC3E39}"/>
    <cellStyle name="Migliaia 55 3 2 2 4" xfId="3910" xr:uid="{E1947028-A1A6-46AB-B84E-BE4A8E66602A}"/>
    <cellStyle name="Migliaia 55 3 2 2 4 2" xfId="21619" xr:uid="{D74678A5-A1C8-4F6A-9859-03FFE548A14F}"/>
    <cellStyle name="Migliaia 55 3 2 2 4 3" xfId="46262" xr:uid="{E2AC118C-A55B-4A0E-9945-92BF437DDDA5}"/>
    <cellStyle name="Migliaia 55 3 2 2 4 4" xfId="50634" xr:uid="{AF85A9AB-2FB2-4DA5-84AB-D85134215286}"/>
    <cellStyle name="Migliaia 55 3 2 2 4 5" xfId="53650" xr:uid="{696D45D8-73C8-4701-9AA2-4DA328C573AF}"/>
    <cellStyle name="Migliaia 55 3 2 2 4 6" xfId="10984" xr:uid="{C5EDB4A3-E503-4D15-852B-1E8CBC39289F}"/>
    <cellStyle name="Migliaia 55 3 2 2 5" xfId="20983" xr:uid="{C2E2C896-24A0-4208-91C2-908CF67A588D}"/>
    <cellStyle name="Migliaia 55 3 2 2 6" xfId="25377" xr:uid="{9C06707D-A845-4F7F-A888-93F1E48A8E82}"/>
    <cellStyle name="Migliaia 55 3 2 2 7" xfId="8783" xr:uid="{BBCD92A8-92E5-4C18-B60D-4D839171512F}"/>
    <cellStyle name="Migliaia 55 3 2 3" xfId="5635" xr:uid="{77F56CB2-C01B-4315-9C4A-3DF0652ED184}"/>
    <cellStyle name="Migliaia 55 3 2 3 2" xfId="12397" xr:uid="{3ABBBF6D-6303-4145-8E12-2EB95CC564B2}"/>
    <cellStyle name="Migliaia 55 3 2 3 2 2" xfId="40198" xr:uid="{B0F8F8B2-9F00-48BB-AC81-4D3D4FCC0173}"/>
    <cellStyle name="Migliaia 55 3 2 3 2 3" xfId="45500" xr:uid="{B40C2EAE-DA3A-4AD6-8E8C-3147F33B05AF}"/>
    <cellStyle name="Migliaia 55 3 2 3 2 4" xfId="34573" xr:uid="{9445C6C0-48A0-410A-B230-71F2C2AD7D4F}"/>
    <cellStyle name="Migliaia 55 3 2 3 3" xfId="12088" xr:uid="{556F2D03-8B45-40A7-9612-80696D6F192C}"/>
    <cellStyle name="Migliaia 55 3 2 3 4" xfId="20984" xr:uid="{68E8301B-EADC-48CB-B4A5-0D74339F86FF}"/>
    <cellStyle name="Migliaia 55 3 2 3 4 2" xfId="42849" xr:uid="{047E71F4-AB51-480D-9CB0-4D9E95809211}"/>
    <cellStyle name="Migliaia 55 3 2 3 5" xfId="16799" xr:uid="{381B881C-B250-427D-B248-ADD2E8D9D5F2}"/>
    <cellStyle name="Migliaia 55 3 2 3 6" xfId="8025" xr:uid="{A6FA3C20-6FF4-4F78-8DFB-20340843A120}"/>
    <cellStyle name="Migliaia 55 3 2 4" xfId="6809" xr:uid="{1FF26294-F428-471E-9B1A-42ADE5D787D7}"/>
    <cellStyle name="Migliaia 55 3 2 4 2" xfId="18107" xr:uid="{F279D268-AE90-4E12-BE56-0B71DA264B40}"/>
    <cellStyle name="Migliaia 55 3 2 4 2 2" xfId="40199" xr:uid="{853B8F2F-9CA4-49FA-9933-108417C703CB}"/>
    <cellStyle name="Migliaia 55 3 2 4 2 3" xfId="45501" xr:uid="{8EF1FD63-E27A-4E90-A7D5-A6FBC403F71B}"/>
    <cellStyle name="Migliaia 55 3 2 4 3" xfId="37550" xr:uid="{49449D1B-C3BF-40E3-8D26-663DB534C6F7}"/>
    <cellStyle name="Migliaia 55 3 2 4 4" xfId="42850" xr:uid="{1A0290AE-56D7-4A22-BD6C-DE4BC16BAD70}"/>
    <cellStyle name="Migliaia 55 3 2 4 5" xfId="17236" xr:uid="{BF4C4CF7-549A-4437-A2CA-31D7AC9468CE}"/>
    <cellStyle name="Migliaia 55 3 2 4 6" xfId="11440" xr:uid="{C9D1F8A7-C854-4754-9CA9-21C4F11B7C46}"/>
    <cellStyle name="Migliaia 55 3 2 5" xfId="3909" xr:uid="{B0EA70C2-9255-4EBA-8126-61DDE8A4B67F}"/>
    <cellStyle name="Migliaia 55 3 2 5 2" xfId="34575" xr:uid="{6F8F4325-A66A-4ADA-A7DA-0DA178F9FED5}"/>
    <cellStyle name="Migliaia 55 3 2 5 2 2" xfId="40200" xr:uid="{7C06E378-5AFE-4D94-B13A-EFA4FD305575}"/>
    <cellStyle name="Migliaia 55 3 2 5 2 3" xfId="45502" xr:uid="{CE317586-2AEC-444F-A316-AEFAEAEF67A5}"/>
    <cellStyle name="Migliaia 55 3 2 5 3" xfId="37551" xr:uid="{0C98FF5B-F272-4731-B4C9-FCD396DD8509}"/>
    <cellStyle name="Migliaia 55 3 2 5 4" xfId="42851" xr:uid="{99F18999-C35D-4AFA-8737-25F41B330384}"/>
    <cellStyle name="Migliaia 55 3 2 5 5" xfId="17276" xr:uid="{BBBF5C0B-2D30-4598-9DA0-8EE794892A32}"/>
    <cellStyle name="Migliaia 55 3 2 6" xfId="20982" xr:uid="{E50D25EF-BDB1-4617-8C24-B4F5E434D980}"/>
    <cellStyle name="Migliaia 55 3 2 6 2" xfId="34576" xr:uid="{BFF76A9B-98B8-41D1-A213-6CF59EFF87F7}"/>
    <cellStyle name="Migliaia 55 3 2 6 2 2" xfId="40201" xr:uid="{57B893BF-D37F-44DE-89FF-5AFFA5BA16C3}"/>
    <cellStyle name="Migliaia 55 3 2 6 2 3" xfId="45503" xr:uid="{EEE387A2-DC7D-455D-86BF-13E9E32DFE23}"/>
    <cellStyle name="Migliaia 55 3 2 6 3" xfId="37552" xr:uid="{E446CB16-F3BE-41D5-B952-22A92ABA5803}"/>
    <cellStyle name="Migliaia 55 3 2 6 4" xfId="42852" xr:uid="{8C57507E-37ED-45BA-BC3D-BE6202903317}"/>
    <cellStyle name="Migliaia 55 3 2 6 5" xfId="25381" xr:uid="{71D39C39-A835-4514-AD0B-1724807CF351}"/>
    <cellStyle name="Migliaia 55 3 2 7" xfId="25376" xr:uid="{3483A1FE-C1D1-4141-BD98-11406D9DE80C}"/>
    <cellStyle name="Migliaia 55 3 2 8" xfId="7593" xr:uid="{076F621F-45AC-41A7-A91A-10A35A849201}"/>
    <cellStyle name="Migliaia 55 3 3" xfId="3911" xr:uid="{9255E58F-4468-4263-ABB8-33C46546CA74}"/>
    <cellStyle name="Migliaia 55 3 3 10" xfId="7592" xr:uid="{116C633F-62B6-400C-BD31-B0656F6993CB}"/>
    <cellStyle name="Migliaia 55 3 3 2" xfId="5637" xr:uid="{196578B0-4A88-4F2A-B83D-1F6C15965A26}"/>
    <cellStyle name="Migliaia 55 3 3 2 2" xfId="9982" xr:uid="{A362FCF2-B8E1-4825-97A5-63292B03FF11}"/>
    <cellStyle name="Migliaia 55 3 3 2 2 2" xfId="40203" xr:uid="{A6A472EA-3943-4317-BB99-A97EF4115BC8}"/>
    <cellStyle name="Migliaia 55 3 3 2 2 3" xfId="45505" xr:uid="{2EAC5980-304A-4C9F-8A08-6E4194578595}"/>
    <cellStyle name="Migliaia 55 3 3 2 3" xfId="18262" xr:uid="{ADE6016B-3CC2-4628-8016-BF0607AB0D8E}"/>
    <cellStyle name="Migliaia 55 3 3 2 4" xfId="20986" xr:uid="{B723CF73-5FA3-4D60-9F18-A3A7FFEE655A}"/>
    <cellStyle name="Migliaia 55 3 3 2 4 2" xfId="42854" xr:uid="{A1FABF22-1726-48C5-9ABC-E533B1D1EE92}"/>
    <cellStyle name="Migliaia 55 3 3 2 5" xfId="16801" xr:uid="{0B86F84A-23DD-48AF-8784-1EB2D1DA6497}"/>
    <cellStyle name="Migliaia 55 3 3 2 6" xfId="8782" xr:uid="{061861A5-7B76-441E-88CE-7C3133A04A79}"/>
    <cellStyle name="Migliaia 55 3 3 3" xfId="6811" xr:uid="{3C135A71-9572-44B6-BE3A-224908A75108}"/>
    <cellStyle name="Migliaia 55 3 3 3 2" xfId="34578" xr:uid="{2EC135D4-A679-4912-9E6D-75082448607A}"/>
    <cellStyle name="Migliaia 55 3 3 3 2 2" xfId="40204" xr:uid="{75FE121F-4315-48FF-B4B0-26CBDB23A48F}"/>
    <cellStyle name="Migliaia 55 3 3 3 2 3" xfId="45506" xr:uid="{EB640B28-2924-4A28-9F81-FEA58BD6D8CD}"/>
    <cellStyle name="Migliaia 55 3 3 3 3" xfId="37554" xr:uid="{B462CF39-1233-48CD-8AC9-DE205A648FC4}"/>
    <cellStyle name="Migliaia 55 3 3 3 4" xfId="42855" xr:uid="{0416076A-C639-4CB1-BD47-E41DBE36A2C3}"/>
    <cellStyle name="Migliaia 55 3 3 3 5" xfId="9745" xr:uid="{8E3FD908-8FF4-4581-AE91-4ACEC8692623}"/>
    <cellStyle name="Migliaia 55 3 3 4" xfId="20985" xr:uid="{D7C9F462-807F-4CAD-B864-8BB3AC3D9832}"/>
    <cellStyle name="Migliaia 55 3 3 4 2" xfId="34579" xr:uid="{55CFD539-8C27-4CEB-BF29-849D9F727BE7}"/>
    <cellStyle name="Migliaia 55 3 3 4 2 2" xfId="40205" xr:uid="{5BFC5EB5-E49A-42B1-BB4A-C4F4D3F8FBDA}"/>
    <cellStyle name="Migliaia 55 3 3 4 2 3" xfId="45507" xr:uid="{A9DC0788-7584-489E-8495-2C0E8BE0A95B}"/>
    <cellStyle name="Migliaia 55 3 3 4 3" xfId="37555" xr:uid="{B2DBF20B-AD8A-4405-A1CA-9FF364298C87}"/>
    <cellStyle name="Migliaia 55 3 3 4 4" xfId="42856" xr:uid="{0BBFF184-5987-42F0-BFB7-B26B40745363}"/>
    <cellStyle name="Migliaia 55 3 3 4 5" xfId="25384" xr:uid="{CB6FF33C-227E-4DA1-9E6F-48FFFD9141D6}"/>
    <cellStyle name="Migliaia 55 3 3 5" xfId="25385" xr:uid="{D1872521-5A77-47CF-830F-DB137E2038D2}"/>
    <cellStyle name="Migliaia 55 3 3 5 2" xfId="34580" xr:uid="{A6CC42B7-1056-445C-B721-2AFE4E12F231}"/>
    <cellStyle name="Migliaia 55 3 3 5 2 2" xfId="40206" xr:uid="{24CB43C5-5C27-4A51-8637-8FE19898277E}"/>
    <cellStyle name="Migliaia 55 3 3 5 2 3" xfId="45508" xr:uid="{7BED2E48-A8EA-497F-BDB7-5565D054AFB6}"/>
    <cellStyle name="Migliaia 55 3 3 5 3" xfId="37556" xr:uid="{7AC437FE-4F3F-44AB-AE9C-0694959C8D8A}"/>
    <cellStyle name="Migliaia 55 3 3 5 4" xfId="42857" xr:uid="{16346721-9140-4338-BB03-0F117481A1D2}"/>
    <cellStyle name="Migliaia 55 3 3 6" xfId="34577" xr:uid="{56EBC3F5-77C7-453E-8516-13399DA45F49}"/>
    <cellStyle name="Migliaia 55 3 3 6 2" xfId="40202" xr:uid="{7C43D8D3-807E-48AB-A76B-3839F83BD6B9}"/>
    <cellStyle name="Migliaia 55 3 3 6 3" xfId="45504" xr:uid="{333AECEF-0A6A-454D-9283-E67A4E7DB596}"/>
    <cellStyle name="Migliaia 55 3 3 7" xfId="37553" xr:uid="{CDE8E310-0072-4F6C-9BF6-05C413E3B3A4}"/>
    <cellStyle name="Migliaia 55 3 3 8" xfId="42853" xr:uid="{BC72A8EB-832B-4BB2-AB7E-DAF21CF7C173}"/>
    <cellStyle name="Migliaia 55 3 3 9" xfId="16800" xr:uid="{099EE925-8BBA-464D-8519-78BEAA5C5766}"/>
    <cellStyle name="Migliaia 55 3 4" xfId="3912" xr:uid="{99B7466E-CA48-4801-8D3D-2F0DD77935DD}"/>
    <cellStyle name="Migliaia 55 3 4 2" xfId="5638" xr:uid="{367D349C-ADD5-4BC6-BB2A-D5D841ED5B36}"/>
    <cellStyle name="Migliaia 55 3 4 2 2" xfId="14473" xr:uid="{5CE0C87F-07DA-4980-9437-489F97FD94FC}"/>
    <cellStyle name="Migliaia 55 3 4 2 3" xfId="18627" xr:uid="{293954EF-66F9-4392-BD95-95E8F2EFFEAD}"/>
    <cellStyle name="Migliaia 55 3 4 2 4" xfId="20988" xr:uid="{ACCF6EAD-A8F8-4493-ACB2-9A77CDDFC385}"/>
    <cellStyle name="Migliaia 55 3 4 2 5" xfId="32475" xr:uid="{27EBAEA7-C21C-49DE-836F-0C72615F48B7}"/>
    <cellStyle name="Migliaia 55 3 4 2 6" xfId="16803" xr:uid="{BFD8819A-1D07-4AA9-B224-F4205F4F8072}"/>
    <cellStyle name="Migliaia 55 3 4 2 7" xfId="8896" xr:uid="{0978A180-270C-4BED-BB25-F8E020B8DA7F}"/>
    <cellStyle name="Migliaia 55 3 4 3" xfId="6812" xr:uid="{60643042-20DF-49D9-A654-B46FCCDBE2E7}"/>
    <cellStyle name="Migliaia 55 3 4 3 2" xfId="35475" xr:uid="{27EE0903-B4D3-4E5B-8C2D-DCB060115872}"/>
    <cellStyle name="Migliaia 55 3 4 3 2 2" xfId="40635" xr:uid="{B9B0446E-A98C-4F97-8706-DA97F194E029}"/>
    <cellStyle name="Migliaia 55 3 4 3 2 3" xfId="45937" xr:uid="{5FBFC90C-E47A-457C-8745-DBA2311C2C13}"/>
    <cellStyle name="Migliaia 55 3 4 3 3" xfId="37984" xr:uid="{3AF3D6E4-675B-41B4-B67E-EC281BBF4999}"/>
    <cellStyle name="Migliaia 55 3 4 3 4" xfId="43286" xr:uid="{DEF39060-53B4-4B0F-BA01-52D516E773EC}"/>
    <cellStyle name="Migliaia 55 3 4 3 5" xfId="13721" xr:uid="{4483FD7E-FB53-46C3-969E-274FE53EA5E7}"/>
    <cellStyle name="Migliaia 55 3 4 4" xfId="20987" xr:uid="{DA0F97CB-1DC2-44F3-B656-9D4DBF4390C0}"/>
    <cellStyle name="Migliaia 55 3 4 4 2" xfId="40207" xr:uid="{87BE6592-90C5-434A-BA7F-94A99531A1DF}"/>
    <cellStyle name="Migliaia 55 3 4 4 3" xfId="45509" xr:uid="{5857B4F6-FA29-48A7-93EE-ADFD04BB75EB}"/>
    <cellStyle name="Migliaia 55 3 4 4 4" xfId="34581" xr:uid="{C846795F-1846-4E32-93E7-C80645D19AAF}"/>
    <cellStyle name="Migliaia 55 3 4 5" xfId="37557" xr:uid="{2EFFE3C7-1951-45C8-B0A9-42452F770D9F}"/>
    <cellStyle name="Migliaia 55 3 4 6" xfId="42858" xr:uid="{FC638A2C-3855-4A69-A991-B4ADC1EBCC08}"/>
    <cellStyle name="Migliaia 55 3 4 7" xfId="16802" xr:uid="{9A1B3F7F-5851-41EE-AD06-DA24D5A13B3F}"/>
    <cellStyle name="Migliaia 55 3 4 8" xfId="7706" xr:uid="{9C5F6942-498A-44C3-936F-445D33CFB96B}"/>
    <cellStyle name="Migliaia 55 3 5" xfId="3913" xr:uid="{6922E324-EAB3-4F4C-936F-5622583A8794}"/>
    <cellStyle name="Migliaia 55 3 5 2" xfId="5639" xr:uid="{34BED136-306C-487F-A9DA-8C987BE2A58C}"/>
    <cellStyle name="Migliaia 55 3 5 2 2" xfId="35476" xr:uid="{77737E18-4FC2-475C-ABBF-29E8D7C0141E}"/>
    <cellStyle name="Migliaia 55 3 5 2 2 2" xfId="40636" xr:uid="{B511CD8D-50B1-4233-9B99-F907487DAA74}"/>
    <cellStyle name="Migliaia 55 3 5 2 2 3" xfId="45938" xr:uid="{56B5AF23-0402-42FD-A283-BAD993BD019F}"/>
    <cellStyle name="Migliaia 55 3 5 2 3" xfId="37985" xr:uid="{51E33E9A-66D0-4DCE-944C-4184BBB9A8A1}"/>
    <cellStyle name="Migliaia 55 3 5 2 4" xfId="43287" xr:uid="{D5EDAD78-0380-47E9-B5B1-6280E2A6C93D}"/>
    <cellStyle name="Migliaia 55 3 5 2 5" xfId="14331" xr:uid="{808EC9A3-3E2C-4A38-9B93-F87EC477C920}"/>
    <cellStyle name="Migliaia 55 3 5 3" xfId="6813" xr:uid="{4E8DB34B-DCF4-4E01-B408-FA2998C794FD}"/>
    <cellStyle name="Migliaia 55 3 5 3 2" xfId="40208" xr:uid="{7E3BE2E4-7117-490E-BB48-A3BB4262440A}"/>
    <cellStyle name="Migliaia 55 3 5 3 3" xfId="45510" xr:uid="{81C84D87-E883-4FF9-9DE7-54C22E3745B6}"/>
    <cellStyle name="Migliaia 55 3 5 3 4" xfId="34582" xr:uid="{6F850F61-DA03-4E42-BB7C-64A28870EE99}"/>
    <cellStyle name="Migliaia 55 3 5 3 5" xfId="20989" xr:uid="{E6062D97-CD87-4C51-A2F5-39E21F2CB430}"/>
    <cellStyle name="Migliaia 55 3 5 4" xfId="37558" xr:uid="{2DE5CDD9-8D35-4DE2-8C5E-D480400E19C6}"/>
    <cellStyle name="Migliaia 55 3 5 5" xfId="42859" xr:uid="{8266CE64-B85E-4A2C-A141-34BC541D201B}"/>
    <cellStyle name="Migliaia 55 3 5 6" xfId="16804" xr:uid="{D95E44C5-6713-4AB2-965C-67A85A775C93}"/>
    <cellStyle name="Migliaia 55 3 5 7" xfId="8393" xr:uid="{7536B452-D3C3-43D9-8695-03D08D5214ED}"/>
    <cellStyle name="Migliaia 55 3 6" xfId="5634" xr:uid="{67953C8A-CF09-4BBE-A47E-F64B3C941433}"/>
    <cellStyle name="Migliaia 55 3 6 2" xfId="14036" xr:uid="{01B29F5B-E6A5-4481-BD13-E77345D21B49}"/>
    <cellStyle name="Migliaia 55 3 6 2 2" xfId="40209" xr:uid="{A05DFD81-FFDC-4D2E-B97C-D053577B9AE7}"/>
    <cellStyle name="Migliaia 55 3 6 2 3" xfId="45511" xr:uid="{BC9AC502-77BF-4CF5-AA86-CC7D1ADD3DC3}"/>
    <cellStyle name="Migliaia 55 3 6 3" xfId="18028" xr:uid="{6A2CCA05-1589-4236-B6E0-16962A77C92F}"/>
    <cellStyle name="Migliaia 55 3 6 4" xfId="20990" xr:uid="{128F828A-3C5E-46CB-837F-D46B4C60F895}"/>
    <cellStyle name="Migliaia 55 3 6 4 2" xfId="42860" xr:uid="{3C860434-0BF7-4569-80F3-4B6E7217434C}"/>
    <cellStyle name="Migliaia 55 3 6 5" xfId="16805" xr:uid="{7BF990E5-6177-4B0D-9EBC-C2CD03379B91}"/>
    <cellStyle name="Migliaia 55 3 6 6" xfId="8024" xr:uid="{EDFE1031-73F6-4E9C-9D44-7D9707E0E536}"/>
    <cellStyle name="Migliaia 55 3 7" xfId="6808" xr:uid="{A531D3A5-2A36-47F0-8F32-756A4A55D6CB}"/>
    <cellStyle name="Migliaia 55 3 7 2" xfId="34583" xr:uid="{958DBD64-D1ED-406B-BAB8-86664BD32BAB}"/>
    <cellStyle name="Migliaia 55 3 7 2 2" xfId="40210" xr:uid="{C797C2DD-C76A-45C1-B8EF-B9EB03087274}"/>
    <cellStyle name="Migliaia 55 3 7 2 3" xfId="45512" xr:uid="{0F5FA8B1-57E6-4A7C-99F2-2A9B5C0759DA}"/>
    <cellStyle name="Migliaia 55 3 7 3" xfId="37559" xr:uid="{F381E36D-0795-4385-A49B-083EA3AE06DA}"/>
    <cellStyle name="Migliaia 55 3 7 4" xfId="42861" xr:uid="{8F9DE9CE-0CBC-4B10-A557-56CDCCA1C7E1}"/>
    <cellStyle name="Migliaia 55 3 7 5" xfId="11530" xr:uid="{C256E8FF-7DF3-47D5-8A65-C0A7EC80705E}"/>
    <cellStyle name="Migliaia 55 3 8" xfId="3908" xr:uid="{3311BBE6-AC94-499B-8C8C-9D03E2301C52}"/>
    <cellStyle name="Migliaia 55 3 8 2" xfId="34584" xr:uid="{83D5296F-7DB7-4C4B-AD90-1F9527DB5B00}"/>
    <cellStyle name="Migliaia 55 3 8 2 2" xfId="40211" xr:uid="{772C71BD-8190-48D6-8C6D-999C64F19DEF}"/>
    <cellStyle name="Migliaia 55 3 8 2 3" xfId="45513" xr:uid="{63584658-3501-4A96-92F6-8277EE6E8C70}"/>
    <cellStyle name="Migliaia 55 3 8 3" xfId="37560" xr:uid="{89995513-02CD-4F08-B7BB-A6F814A53B75}"/>
    <cellStyle name="Migliaia 55 3 8 4" xfId="42862" xr:uid="{4E20C3AB-CFA1-4D64-AD4C-F36E44FEE706}"/>
    <cellStyle name="Migliaia 55 3 8 5" xfId="25386" xr:uid="{F2F5976A-A0DD-4868-BE68-99E6ADE00007}"/>
    <cellStyle name="Migliaia 55 3 8 6" xfId="17277" xr:uid="{3F57A1C6-1873-4FD0-A0F5-04845C710ADE}"/>
    <cellStyle name="Migliaia 55 3 9" xfId="20981" xr:uid="{07235F05-AA66-42B5-9A28-4868D807DC71}"/>
    <cellStyle name="Migliaia 55 4" xfId="1908" xr:uid="{00000000-0005-0000-0000-000087040000}"/>
    <cellStyle name="Migliaia 55 4 2" xfId="1909" xr:uid="{00000000-0005-0000-0000-000088040000}"/>
    <cellStyle name="Migliaia 55 4 2 2" xfId="5641" xr:uid="{B2DBABBD-237A-42C9-849C-9D06A93D1754}"/>
    <cellStyle name="Migliaia 55 4 2 2 2" xfId="34585" xr:uid="{13537B7D-2FF2-4C47-9767-F71FE85BAFF1}"/>
    <cellStyle name="Migliaia 55 4 2 2 2 2" xfId="40212" xr:uid="{4D802685-43B5-4B6C-8A5C-170CD26FA49C}"/>
    <cellStyle name="Migliaia 55 4 2 2 2 3" xfId="45514" xr:uid="{692F76F4-9E42-415A-9FBD-5EA0920744C0}"/>
    <cellStyle name="Migliaia 55 4 2 2 3" xfId="37561" xr:uid="{00C4F504-1795-4426-85DF-DC73D6C061A9}"/>
    <cellStyle name="Migliaia 55 4 2 2 4" xfId="42863" xr:uid="{66CF423F-476D-4F2D-85F4-2EA29D69C513}"/>
    <cellStyle name="Migliaia 55 4 2 2 5" xfId="9208" xr:uid="{120E18D5-D6A0-42A9-AF88-B33644A984FE}"/>
    <cellStyle name="Migliaia 55 4 2 3" xfId="3915" xr:uid="{300E1853-4EF6-4F8B-BC06-29D0137C1369}"/>
    <cellStyle name="Migliaia 55 4 2 3 2" xfId="34586" xr:uid="{621A8FF5-8AC5-41F8-B794-4892E0C71F30}"/>
    <cellStyle name="Migliaia 55 4 2 3 2 2" xfId="40213" xr:uid="{3C2EC94C-3465-4041-97FE-F7DC63A57D3D}"/>
    <cellStyle name="Migliaia 55 4 2 3 2 3" xfId="45515" xr:uid="{56268BA8-21C9-4860-B3C5-71A7219C667F}"/>
    <cellStyle name="Migliaia 55 4 2 3 3" xfId="37562" xr:uid="{38151F45-9318-4E7F-8FBA-7AA78D103A20}"/>
    <cellStyle name="Migliaia 55 4 2 3 4" xfId="42864" xr:uid="{CBC6475B-0A76-4C40-B2C2-36AD7DF813B1}"/>
    <cellStyle name="Migliaia 55 4 2 3 5" xfId="12089" xr:uid="{E70FCFB4-1ABC-4DAD-9C5B-BC5C4A293C24}"/>
    <cellStyle name="Migliaia 55 4 2 4" xfId="11442" xr:uid="{527FD100-D1DA-4A3E-BDDC-7481B3BCC28E}"/>
    <cellStyle name="Migliaia 55 4 2 5" xfId="10986" xr:uid="{DD6C642E-628F-43CC-87F9-9A331DCE794E}"/>
    <cellStyle name="Migliaia 55 4 2 5 2" xfId="21621" xr:uid="{2F5D1590-6F07-41FA-8508-AD0ED22EC4F7}"/>
    <cellStyle name="Migliaia 55 4 2 5 3" xfId="47515" xr:uid="{67D383AB-A265-425D-9574-9AB44306FE5C}"/>
    <cellStyle name="Migliaia 55 4 2 5 4" xfId="50636" xr:uid="{FF233458-F1E2-4D1F-8C40-FB9E47DB0E02}"/>
    <cellStyle name="Migliaia 55 4 2 5 5" xfId="53652" xr:uid="{7DB18688-2759-46D9-ABEC-FDC5AEF395D7}"/>
    <cellStyle name="Migliaia 55 4 2 6" xfId="20992" xr:uid="{5E8A747A-FB81-457B-AE9B-C3D528A340B6}"/>
    <cellStyle name="Migliaia 55 4 2 7" xfId="25388" xr:uid="{50176683-6D10-430F-B26F-EADD5F25589A}"/>
    <cellStyle name="Migliaia 55 4 2 8" xfId="8784" xr:uid="{18F7D71E-D8D8-4E07-B2A2-EA2CB35F7F59}"/>
    <cellStyle name="Migliaia 55 4 3" xfId="5640" xr:uid="{D8D0371E-B806-4BF9-AAA6-05C3A0636ED8}"/>
    <cellStyle name="Migliaia 55 4 3 2" xfId="18263" xr:uid="{583C1CB7-F9A0-4AF8-8457-0847056B365B}"/>
    <cellStyle name="Migliaia 55 4 3 2 2" xfId="40214" xr:uid="{1637DC40-34F0-489A-8ADB-433AAEB7AE04}"/>
    <cellStyle name="Migliaia 55 4 3 2 3" xfId="45516" xr:uid="{40B05D1E-D334-4C86-AB02-8FC30196F470}"/>
    <cellStyle name="Migliaia 55 4 3 3" xfId="37563" xr:uid="{7E854FBC-9C4A-4447-A2BF-D0C273667F8C}"/>
    <cellStyle name="Migliaia 55 4 3 4" xfId="42865" xr:uid="{01FCA6E8-458D-47B6-ABB7-D3BCE165890E}"/>
    <cellStyle name="Migliaia 55 4 3 5" xfId="17275" xr:uid="{FE170FDE-1E1C-42DE-851B-19EF93EFC82E}"/>
    <cellStyle name="Migliaia 55 4 3 6" xfId="9209" xr:uid="{49DD08A5-30A0-4FDE-B851-0DF51156DFCA}"/>
    <cellStyle name="Migliaia 55 4 4" xfId="6814" xr:uid="{8F162600-032E-4AE7-997D-1C97B07E2631}"/>
    <cellStyle name="Migliaia 55 4 4 2" xfId="34587" xr:uid="{CCF227ED-22B8-439B-BE40-1040396B3A6E}"/>
    <cellStyle name="Migliaia 55 4 4 2 2" xfId="40215" xr:uid="{210E8531-37AC-4178-92F4-3A012EF8E62E}"/>
    <cellStyle name="Migliaia 55 4 4 2 3" xfId="45517" xr:uid="{F0F5004A-9F2A-4862-964A-56F725CE4415}"/>
    <cellStyle name="Migliaia 55 4 4 3" xfId="37564" xr:uid="{212E82A0-8BF2-42DE-B833-5FBA547F130C}"/>
    <cellStyle name="Migliaia 55 4 4 4" xfId="42866" xr:uid="{CC9E4539-728C-41B7-A84D-0E3254A0C35D}"/>
    <cellStyle name="Migliaia 55 4 4 5" xfId="12090" xr:uid="{BB90AA75-7950-4E89-A6CF-3B783D6A8ADA}"/>
    <cellStyle name="Migliaia 55 4 5" xfId="3914" xr:uid="{FF3B42B4-38DF-43D1-96EA-D2F2164EC081}"/>
    <cellStyle name="Migliaia 55 4 5 2" xfId="34588" xr:uid="{87F0582C-9F61-409B-B89F-D8EEF8057F74}"/>
    <cellStyle name="Migliaia 55 4 5 2 2" xfId="40216" xr:uid="{522D9703-0B11-4682-BD62-7AC92385FBFD}"/>
    <cellStyle name="Migliaia 55 4 5 2 3" xfId="45518" xr:uid="{984EF318-DD43-48AF-968E-B1173BFCF9FA}"/>
    <cellStyle name="Migliaia 55 4 5 3" xfId="37565" xr:uid="{0DD48EE3-8E7E-4CB6-B808-B3DFF4646E23}"/>
    <cellStyle name="Migliaia 55 4 5 4" xfId="42867" xr:uid="{03BFF65F-7A70-4CFA-8619-433D2C8D9751}"/>
    <cellStyle name="Migliaia 55 4 5 5" xfId="11441" xr:uid="{2EBBA71D-3793-46B6-B503-495A289C8DFC}"/>
    <cellStyle name="Migliaia 55 4 6" xfId="10985" xr:uid="{0C6CC8E8-1387-4A04-9777-4FAA4171F169}"/>
    <cellStyle name="Migliaia 55 4 6 2" xfId="21620" xr:uid="{D2F30A69-E4D6-40BA-A05A-3E741196E71A}"/>
    <cellStyle name="Migliaia 55 4 6 2 2" xfId="40217" xr:uid="{A214F3AB-6720-4813-8D84-4BE6D42EBF81}"/>
    <cellStyle name="Migliaia 55 4 6 2 3" xfId="45519" xr:uid="{DAC1A188-4F07-4270-94DC-C60C531ADAD8}"/>
    <cellStyle name="Migliaia 55 4 6 2 4" xfId="34589" xr:uid="{2B514874-A06A-47A2-A3D4-A9045283F509}"/>
    <cellStyle name="Migliaia 55 4 6 3" xfId="37566" xr:uid="{A0961F77-9CA1-4512-9C9B-978D5479D5F8}"/>
    <cellStyle name="Migliaia 55 4 6 4" xfId="42868" xr:uid="{D8BB8A16-6D1F-432A-9F2D-AC40D02FDACD}"/>
    <cellStyle name="Migliaia 55 4 6 5" xfId="25389" xr:uid="{D66F7395-CBBB-4926-B168-29C4A6934087}"/>
    <cellStyle name="Migliaia 55 4 6 6" xfId="25185" xr:uid="{072725CE-346A-48FC-855B-CF1432A49386}"/>
    <cellStyle name="Migliaia 55 4 6 7" xfId="50635" xr:uid="{0DD2EB9C-4763-4CF2-A8C9-206F772C2DF7}"/>
    <cellStyle name="Migliaia 55 4 6 8" xfId="53651" xr:uid="{3950B002-B474-498B-A0BA-8FCCEA308212}"/>
    <cellStyle name="Migliaia 55 4 7" xfId="20991" xr:uid="{5FC27DCA-FCCB-46A1-81D8-CEC0C8E4391C}"/>
    <cellStyle name="Migliaia 55 4 7 2" xfId="34590" xr:uid="{73087F4C-25D2-454F-B1C2-2F7C3253D0D9}"/>
    <cellStyle name="Migliaia 55 4 7 2 2" xfId="40218" xr:uid="{C1142F89-CD4D-4E9F-B853-2E606DD356BC}"/>
    <cellStyle name="Migliaia 55 4 7 2 3" xfId="45520" xr:uid="{CC870D2C-F6A2-43BD-ABDE-5B059C5E77AD}"/>
    <cellStyle name="Migliaia 55 4 7 3" xfId="37567" xr:uid="{2FE68E1C-201C-4019-B27B-703255B9574A}"/>
    <cellStyle name="Migliaia 55 4 7 4" xfId="42869" xr:uid="{54888D82-52CD-4EE9-AD35-6BA6A146C768}"/>
    <cellStyle name="Migliaia 55 4 7 5" xfId="25390" xr:uid="{189A3B53-AA71-4D86-80D5-ED945D882873}"/>
    <cellStyle name="Migliaia 55 4 8" xfId="25387" xr:uid="{AD4308D9-460B-4C20-88F7-BC2F6809B1D8}"/>
    <cellStyle name="Migliaia 55 4 9" xfId="7594" xr:uid="{C8324971-C30A-4E75-9623-51A263539B4C}"/>
    <cellStyle name="Migliaia 55 5" xfId="1910" xr:uid="{00000000-0005-0000-0000-000089040000}"/>
    <cellStyle name="Migliaia 55 5 2" xfId="5642" xr:uid="{F66A2613-42F4-4475-B082-2DF45771890C}"/>
    <cellStyle name="Migliaia 55 5 2 2" xfId="18514" xr:uid="{47A0B3EE-474D-4D71-AE80-F061886DDC9C}"/>
    <cellStyle name="Migliaia 55 5 2 2 2" xfId="40219" xr:uid="{A2E22633-D117-42A1-A019-0A5E0490EBA9}"/>
    <cellStyle name="Migliaia 55 5 2 2 3" xfId="45521" xr:uid="{92D876AC-F3D4-40EA-8CE4-27CC0920D838}"/>
    <cellStyle name="Migliaia 55 5 2 3" xfId="20994" xr:uid="{B4F24C9F-454D-47CA-95ED-AC070C531DA8}"/>
    <cellStyle name="Migliaia 55 5 2 3 2" xfId="37568" xr:uid="{86EA21B2-C32E-407C-93EF-7D3577711FB8}"/>
    <cellStyle name="Migliaia 55 5 2 4" xfId="42870" xr:uid="{CD915511-B18A-4FE9-8CB1-E6C30038D003}"/>
    <cellStyle name="Migliaia 55 5 2 5" xfId="16806" xr:uid="{C3751E12-4BB3-4B9A-A6D7-0BA49F23303C}"/>
    <cellStyle name="Migliaia 55 5 2 6" xfId="8785" xr:uid="{7BD6388E-7406-432F-8CD3-A7940FE9A0EA}"/>
    <cellStyle name="Migliaia 55 5 3" xfId="6815" xr:uid="{8448FABC-C628-46B2-A137-5D159A71520A}"/>
    <cellStyle name="Migliaia 55 5 3 2" xfId="34591" xr:uid="{B36CFF62-EF73-42FC-B98E-ECD6E4653D48}"/>
    <cellStyle name="Migliaia 55 5 3 2 2" xfId="40220" xr:uid="{84F84C8A-85D5-4178-AF95-3EA3168D06F8}"/>
    <cellStyle name="Migliaia 55 5 3 2 3" xfId="45522" xr:uid="{B844A463-2078-42DA-8A11-E92B5D84A756}"/>
    <cellStyle name="Migliaia 55 5 3 3" xfId="37569" xr:uid="{AEA1E1ED-CC85-4684-9156-54B4879149F9}"/>
    <cellStyle name="Migliaia 55 5 3 4" xfId="42871" xr:uid="{1A2CD10A-9AD6-47EE-841B-A71965EFC774}"/>
    <cellStyle name="Migliaia 55 5 3 5" xfId="11443" xr:uid="{99C029F3-EF7A-40D0-AC99-1310DDD0139A}"/>
    <cellStyle name="Migliaia 55 5 4" xfId="3916" xr:uid="{1AB7B9BD-B505-47F6-9164-2421549AD519}"/>
    <cellStyle name="Migliaia 55 5 4 2" xfId="21622" xr:uid="{37C7890B-2891-4080-A9DB-A309F9A38F16}"/>
    <cellStyle name="Migliaia 55 5 4 2 2" xfId="40221" xr:uid="{2EBB8D8B-2624-4108-916A-8FA38391CFAF}"/>
    <cellStyle name="Migliaia 55 5 4 2 3" xfId="45523" xr:uid="{8477B0F8-D8DB-47C6-9C60-0442BF3FDA06}"/>
    <cellStyle name="Migliaia 55 5 4 2 4" xfId="34592" xr:uid="{262B8297-44BA-4F31-ABE4-BB74CAC41BDA}"/>
    <cellStyle name="Migliaia 55 5 4 3" xfId="37570" xr:uid="{FD8589A2-7D7B-485B-B59F-E39DFD22D9BA}"/>
    <cellStyle name="Migliaia 55 5 4 4" xfId="42872" xr:uid="{0785B2B9-D013-449E-B1C5-865A683653DE}"/>
    <cellStyle name="Migliaia 55 5 4 5" xfId="25392" xr:uid="{9E3C7B1D-68B9-4CD6-8E38-8807981A8FAA}"/>
    <cellStyle name="Migliaia 55 5 4 6" xfId="32541" xr:uid="{1DC3CBBD-5286-4AA0-AB34-C1D8036B9B20}"/>
    <cellStyle name="Migliaia 55 5 4 7" xfId="50637" xr:uid="{BC864E12-7CFA-44D4-AAA9-AE4D0483BF75}"/>
    <cellStyle name="Migliaia 55 5 4 8" xfId="53653" xr:uid="{1F6C4DC5-7D9F-46C0-A99D-91388314EB7E}"/>
    <cellStyle name="Migliaia 55 5 4 9" xfId="10987" xr:uid="{51CE9B1C-FD87-4B03-90A1-29C2A50C9B2F}"/>
    <cellStyle name="Migliaia 55 5 5" xfId="20993" xr:uid="{04EE3969-C7CD-4688-B81F-E27FDA8DA8BC}"/>
    <cellStyle name="Migliaia 55 5 5 2" xfId="34593" xr:uid="{82C5159E-B139-4057-AF7E-8B42BDB02EBA}"/>
    <cellStyle name="Migliaia 55 5 5 2 2" xfId="40222" xr:uid="{283866C8-76D1-4A5B-B3E5-56582C3F6AD2}"/>
    <cellStyle name="Migliaia 55 5 5 2 3" xfId="45524" xr:uid="{1A53876E-E93D-4533-8094-F168A3FA6C4A}"/>
    <cellStyle name="Migliaia 55 5 5 3" xfId="37571" xr:uid="{AC629AAE-0686-48C4-985B-FBC19D17A914}"/>
    <cellStyle name="Migliaia 55 5 5 4" xfId="42873" xr:uid="{8B4C6CB9-485A-4C9C-8CBB-C32B3C06344F}"/>
    <cellStyle name="Migliaia 55 5 5 5" xfId="25393" xr:uid="{579AEDD9-2E0D-415F-861E-20E62FC15E5E}"/>
    <cellStyle name="Migliaia 55 5 6" xfId="25394" xr:uid="{FDD50A7C-7058-4895-80D7-7841A69E356B}"/>
    <cellStyle name="Migliaia 55 5 6 2" xfId="34594" xr:uid="{5C25CF4F-C270-425B-B953-E89CF8C69EED}"/>
    <cellStyle name="Migliaia 55 5 6 2 2" xfId="40223" xr:uid="{09358F74-E1CE-405B-BA8E-5F1B6EBC3FEB}"/>
    <cellStyle name="Migliaia 55 5 6 2 3" xfId="45525" xr:uid="{DD4A0EBB-1788-4F1F-B41E-9FDFDA19B769}"/>
    <cellStyle name="Migliaia 55 5 6 3" xfId="37572" xr:uid="{2B11B1EC-AEA7-44D1-A609-C2379FD8009E}"/>
    <cellStyle name="Migliaia 55 5 6 4" xfId="42874" xr:uid="{CDDD3547-0583-417F-A0E9-68A28E75CF66}"/>
    <cellStyle name="Migliaia 55 5 7" xfId="25391" xr:uid="{A3CACD0B-A434-4F93-BD1F-A74AD21BFA5B}"/>
    <cellStyle name="Migliaia 55 5 8" xfId="7595" xr:uid="{CCB926B5-E1E4-4FF7-8F18-F20CB17D28D7}"/>
    <cellStyle name="Migliaia 55 6" xfId="3917" xr:uid="{13C952F4-5711-4D0F-A42F-31949C3A5E02}"/>
    <cellStyle name="Migliaia 55 6 2" xfId="5643" xr:uid="{E2BCE070-5F4D-45AB-B247-03D4D3951DB1}"/>
    <cellStyle name="Migliaia 55 6 2 2" xfId="9981" xr:uid="{EAD5286C-FAB9-4D3F-A68B-CD773FD3C9C9}"/>
    <cellStyle name="Migliaia 55 6 2 3" xfId="18031" xr:uid="{6FE60AC7-E4A5-483A-B231-DB8DCCD8D866}"/>
    <cellStyle name="Migliaia 55 6 2 4" xfId="20996" xr:uid="{FB49B747-1633-4EE7-9DE2-10A420AF8C8F}"/>
    <cellStyle name="Migliaia 55 6 2 5" xfId="32476" xr:uid="{AD2482CF-0CF3-48CD-927D-CDB4384265F4}"/>
    <cellStyle name="Migliaia 55 6 2 6" xfId="16808" xr:uid="{13E48056-EB59-4F2B-B11F-7A6AF51BA47D}"/>
    <cellStyle name="Migliaia 55 6 2 7" xfId="8780" xr:uid="{AF4C5EF5-D51C-434C-B0B6-8F6D9A03CC2C}"/>
    <cellStyle name="Migliaia 55 6 3" xfId="6816" xr:uid="{65F9CCB4-A9B4-4BD3-AE5C-9EAC849E2FFD}"/>
    <cellStyle name="Migliaia 55 6 3 2" xfId="35477" xr:uid="{38C5A351-9072-49AC-8020-19750CA504E6}"/>
    <cellStyle name="Migliaia 55 6 3 2 2" xfId="40637" xr:uid="{C4A26F6E-B132-4624-8A26-B28618DFDBDA}"/>
    <cellStyle name="Migliaia 55 6 3 2 3" xfId="45939" xr:uid="{1F3FC421-41D8-49B7-9D63-0E698B34358C}"/>
    <cellStyle name="Migliaia 55 6 3 3" xfId="37986" xr:uid="{F39614D1-6E71-43EA-B54D-CA259EAD889D}"/>
    <cellStyle name="Migliaia 55 6 3 4" xfId="43288" xr:uid="{BBCFFE31-2170-47B5-96A0-FB103FB26CBA}"/>
    <cellStyle name="Migliaia 55 6 3 5" xfId="9744" xr:uid="{EFADC81C-654A-40B9-AE57-A5FD8ACDBE1B}"/>
    <cellStyle name="Migliaia 55 6 4" xfId="20995" xr:uid="{C136102E-E71C-4128-894C-C507FD974C16}"/>
    <cellStyle name="Migliaia 55 6 4 2" xfId="40224" xr:uid="{62E7491C-71BE-4F6D-8403-88BBB6332B03}"/>
    <cellStyle name="Migliaia 55 6 4 3" xfId="45526" xr:uid="{F679A7AA-AEC5-4AA7-9D06-2874AA10114C}"/>
    <cellStyle name="Migliaia 55 6 4 4" xfId="34595" xr:uid="{1FEC60F4-6F2B-4B72-9D02-F765E1CABD4D}"/>
    <cellStyle name="Migliaia 55 6 5" xfId="37573" xr:uid="{27DA8AD9-14A4-40B2-AE49-F6E611BD186A}"/>
    <cellStyle name="Migliaia 55 6 6" xfId="42875" xr:uid="{C6EB28D9-2425-403A-9050-E64E97F22EC0}"/>
    <cellStyle name="Migliaia 55 6 7" xfId="16807" xr:uid="{25A702A7-5774-4F67-B319-CC3B8E3BF9EC}"/>
    <cellStyle name="Migliaia 55 6 8" xfId="7590" xr:uid="{74BC0489-73B1-4E2C-A176-1DDA0B01FBE9}"/>
    <cellStyle name="Migliaia 55 7" xfId="3918" xr:uid="{B25D1C03-AD86-490A-88F7-DA95A00FA578}"/>
    <cellStyle name="Migliaia 55 7 2" xfId="5644" xr:uid="{87E545E2-2E40-4235-B30A-AB90C7C36DFA}"/>
    <cellStyle name="Migliaia 55 7 2 2" xfId="35478" xr:uid="{2FC47999-03E5-463A-9F3C-4B176D1B4335}"/>
    <cellStyle name="Migliaia 55 7 2 2 2" xfId="40638" xr:uid="{DD0E778E-1581-4268-B1A8-5A0EBE660815}"/>
    <cellStyle name="Migliaia 55 7 2 2 3" xfId="45940" xr:uid="{6BFB3431-F1F8-4031-8A62-75957C717843}"/>
    <cellStyle name="Migliaia 55 7 2 3" xfId="37987" xr:uid="{941896D3-A30A-4B2D-B8E4-18E50F85271D}"/>
    <cellStyle name="Migliaia 55 7 2 4" xfId="43289" xr:uid="{9D427763-16B5-4B54-9D1F-83A0BDB6C850}"/>
    <cellStyle name="Migliaia 55 7 2 5" xfId="14329" xr:uid="{48CE6021-EC97-4919-9751-BB07D2919572}"/>
    <cellStyle name="Migliaia 55 7 3" xfId="6817" xr:uid="{986AB476-AED1-4ACF-9E07-92034153E2E8}"/>
    <cellStyle name="Migliaia 55 7 3 2" xfId="34596" xr:uid="{C46A1405-01DD-4FF5-BCD0-041F81E91A16}"/>
    <cellStyle name="Migliaia 55 7 3 3" xfId="20997" xr:uid="{D052EC89-DEB8-46AC-8B68-D8FF19F4C39C}"/>
    <cellStyle name="Migliaia 55 7 4" xfId="25395" xr:uid="{774C3319-DFC6-4EEA-AE78-098744D40715}"/>
    <cellStyle name="Migliaia 55 7 5" xfId="16809" xr:uid="{E3C0B918-42D5-4726-ABD6-6940DD9DB1E3}"/>
    <cellStyle name="Migliaia 55 7 6" xfId="8391" xr:uid="{9E8F4908-8C39-4E32-A911-6BD804A35D72}"/>
    <cellStyle name="Migliaia 55 8" xfId="3919" xr:uid="{7A1E14B0-A6DA-4600-A540-7ADCAF5071BB}"/>
    <cellStyle name="Migliaia 55 8 2" xfId="5645" xr:uid="{B18726B1-0B0B-4184-BD1C-ED6B846CCC02}"/>
    <cellStyle name="Migliaia 55 8 2 2" xfId="35479" xr:uid="{6A1B3FD2-7912-40DE-8C07-163A4FCA1334}"/>
    <cellStyle name="Migliaia 55 8 2 2 2" xfId="40639" xr:uid="{A59BCDDD-BDFE-4687-86D9-6D3BBC9EA955}"/>
    <cellStyle name="Migliaia 55 8 2 2 3" xfId="45941" xr:uid="{079C2A56-BB20-4CE9-BF5B-989F4B89D387}"/>
    <cellStyle name="Migliaia 55 8 2 3" xfId="37988" xr:uid="{F93F4269-DC07-420E-B884-7A57EF3D17F7}"/>
    <cellStyle name="Migliaia 55 8 2 4" xfId="43290" xr:uid="{888EBCB9-F244-44CC-9419-3396D4BA42CD}"/>
    <cellStyle name="Migliaia 55 8 2 5" xfId="14034" xr:uid="{BD165335-0039-4E3D-9A98-6A82E7CBAA61}"/>
    <cellStyle name="Migliaia 55 8 3" xfId="6818" xr:uid="{557C50E7-6ECA-4156-B7AD-7FF5A8732A4F}"/>
    <cellStyle name="Migliaia 55 8 3 2" xfId="34597" xr:uid="{4F408FF2-EB4F-4393-A12D-CC72E89C3CF5}"/>
    <cellStyle name="Migliaia 55 8 3 3" xfId="20998" xr:uid="{9CDB0F22-6B2B-4D14-8703-904D742ED60A}"/>
    <cellStyle name="Migliaia 55 8 4" xfId="25396" xr:uid="{7C12D5C0-886B-4B75-8E52-EFD90F7D40CB}"/>
    <cellStyle name="Migliaia 55 8 5" xfId="16810" xr:uid="{E19A5F1E-2A79-4A4D-925F-F67FD70E7016}"/>
    <cellStyle name="Migliaia 55 8 6" xfId="8022" xr:uid="{6DADF86F-800F-4B66-873F-EBA6B0806B00}"/>
    <cellStyle name="Migliaia 55 9" xfId="5630" xr:uid="{A0DCC808-DEBA-4C91-9EB9-3DA1463ED197}"/>
    <cellStyle name="Migliaia 55 9 2" xfId="34598" xr:uid="{7734D132-4BA3-4EA0-BF18-FA79BEE9D3A2}"/>
    <cellStyle name="Migliaia 55 9 3" xfId="25397" xr:uid="{6AF40E4E-BCED-4606-83C2-3E50856154C9}"/>
    <cellStyle name="Migliaia 55 9 4" xfId="17235" xr:uid="{3540FC3A-B9F4-41C9-80B4-2701A2C09ED9}"/>
    <cellStyle name="Migliaia 56" xfId="505" xr:uid="{00000000-0005-0000-0000-00008A040000}"/>
    <cellStyle name="Migliaia 56 10" xfId="6819" xr:uid="{7B9824B5-BAB3-4347-B67A-E1435A3FCCA2}"/>
    <cellStyle name="Migliaia 56 10 2" xfId="34599" xr:uid="{8C62817C-2366-4177-814D-A6FE55FFB1FB}"/>
    <cellStyle name="Migliaia 56 10 3" xfId="20999" xr:uid="{5F779E1C-512D-44CF-8811-5659C9B1ADAB}"/>
    <cellStyle name="Migliaia 56 11" xfId="3920" xr:uid="{779DF0DA-0195-42B2-B60E-0C13086BB6F2}"/>
    <cellStyle name="Migliaia 56 11 2" xfId="25398" xr:uid="{FCB6BDEC-D2F4-4331-9EDD-90006CF1168B}"/>
    <cellStyle name="Migliaia 56 12" xfId="7195" xr:uid="{B1438701-1A60-4B3E-AF1F-308549266431}"/>
    <cellStyle name="Migliaia 56 2" xfId="506" xr:uid="{00000000-0005-0000-0000-00008B040000}"/>
    <cellStyle name="Migliaia 56 2 2" xfId="1911" xr:uid="{00000000-0005-0000-0000-00008C040000}"/>
    <cellStyle name="Migliaia 56 2 2 2" xfId="5648" xr:uid="{B7B48E49-4801-4A91-AB4D-BB158492FC7B}"/>
    <cellStyle name="Migliaia 56 2 2 2 2" xfId="14414" xr:uid="{5574CD08-6A25-46A0-BC8E-29762B3C067E}"/>
    <cellStyle name="Migliaia 56 2 2 2 2 2" xfId="34602" xr:uid="{6BE7FB36-F442-4FD4-AC52-B0ED21AA5708}"/>
    <cellStyle name="Migliaia 56 2 2 2 3" xfId="18515" xr:uid="{5FB0D38A-6269-4256-A09E-B8F1BF7C42C1}"/>
    <cellStyle name="Migliaia 56 2 2 2 4" xfId="21002" xr:uid="{83BC9278-D37B-4C54-9051-1B4DED759865}"/>
    <cellStyle name="Migliaia 56 2 2 2 5" xfId="25401" xr:uid="{58D0CE9E-524E-4541-AC09-E59357FB259C}"/>
    <cellStyle name="Migliaia 56 2 2 2 6" xfId="16811" xr:uid="{3F924023-4888-483A-9B57-763F4EBA22D3}"/>
    <cellStyle name="Migliaia 56 2 2 2 7" xfId="8787" xr:uid="{53157654-0219-40AE-8201-9606F35F2EB9}"/>
    <cellStyle name="Migliaia 56 2 2 3" xfId="6821" xr:uid="{32616EB8-562B-48C1-98AF-60FC73911A8F}"/>
    <cellStyle name="Migliaia 56 2 2 3 2" xfId="35480" xr:uid="{DF4D3162-7D0F-4D13-ACBB-45168563AD6E}"/>
    <cellStyle name="Migliaia 56 2 2 3 2 2" xfId="40640" xr:uid="{4FA10BE8-6794-44A6-8D85-E2D8674D708D}"/>
    <cellStyle name="Migliaia 56 2 2 3 2 3" xfId="45942" xr:uid="{DBB70A10-243D-48B8-B83E-04EEAEB655C1}"/>
    <cellStyle name="Migliaia 56 2 2 3 3" xfId="37989" xr:uid="{0B44B61F-FE74-429B-B7FE-113122B39DA2}"/>
    <cellStyle name="Migliaia 56 2 2 3 4" xfId="43291" xr:uid="{7842F4A2-2C3E-4FAD-ACFB-152C0E7BF868}"/>
    <cellStyle name="Migliaia 56 2 2 3 5" xfId="11641" xr:uid="{39B54E7E-5BAE-4677-BCFB-B06F91141B17}"/>
    <cellStyle name="Migliaia 56 2 2 4" xfId="3922" xr:uid="{A224740C-6A80-498D-AF39-56C5ACF1E14D}"/>
    <cellStyle name="Migliaia 56 2 2 4 2" xfId="21623" xr:uid="{E258CB08-D0A2-444E-93EC-7D57F635E1F4}"/>
    <cellStyle name="Migliaia 56 2 2 4 3" xfId="34601" xr:uid="{D5D0D88F-E5F6-49A4-B2A4-85CF0468A610}"/>
    <cellStyle name="Migliaia 56 2 2 4 4" xfId="47458" xr:uid="{95F7D1CC-B418-460F-991F-DBDF4FF46887}"/>
    <cellStyle name="Migliaia 56 2 2 4 5" xfId="50638" xr:uid="{A9EB4FA5-D38F-4B6A-8AC8-95385EE7CE82}"/>
    <cellStyle name="Migliaia 56 2 2 4 6" xfId="53654" xr:uid="{05B369D8-E792-465A-90D2-0FA1F8236C20}"/>
    <cellStyle name="Migliaia 56 2 2 4 7" xfId="10988" xr:uid="{80D2C6B9-9C24-4859-BD49-27AF58A9372B}"/>
    <cellStyle name="Migliaia 56 2 2 5" xfId="21001" xr:uid="{B98A3BFA-136D-49CA-83E5-4394E518C876}"/>
    <cellStyle name="Migliaia 56 2 2 6" xfId="25400" xr:uid="{EF86A198-CD01-409C-AB1B-329CABB3CDEE}"/>
    <cellStyle name="Migliaia 56 2 2 7" xfId="7597" xr:uid="{2C2E983F-3A59-43ED-86FC-FA508D2E3D14}"/>
    <cellStyle name="Migliaia 56 2 3" xfId="3923" xr:uid="{BC9062F7-A2AA-46DC-BC74-55FD0E1826E9}"/>
    <cellStyle name="Migliaia 56 2 3 2" xfId="5649" xr:uid="{90DD5F5C-1568-4D0C-9418-735883A9F84D}"/>
    <cellStyle name="Migliaia 56 2 3 2 2" xfId="35481" xr:uid="{920F8A8F-F24E-4E65-AAC7-8A9E5E6DAFEE}"/>
    <cellStyle name="Migliaia 56 2 3 2 2 2" xfId="40641" xr:uid="{071312CF-1C65-4DFA-8AD5-B5AE13A673CD}"/>
    <cellStyle name="Migliaia 56 2 3 2 2 3" xfId="45943" xr:uid="{54395679-A6F5-4DA0-8989-A855E95AAC8E}"/>
    <cellStyle name="Migliaia 56 2 3 2 3" xfId="37990" xr:uid="{5614D2CE-4F21-4CF0-A94F-283D0BD087CC}"/>
    <cellStyle name="Migliaia 56 2 3 2 4" xfId="43292" xr:uid="{08A10F84-5655-424C-9D18-62955A7584C4}"/>
    <cellStyle name="Migliaia 56 2 3 2 5" xfId="14333" xr:uid="{9FA4FACE-1043-4E38-92E0-0449A3E1E4ED}"/>
    <cellStyle name="Migliaia 56 2 3 3" xfId="6822" xr:uid="{25AC26C2-17F8-4F9C-941F-D9EADFA72C14}"/>
    <cellStyle name="Migliaia 56 2 3 3 2" xfId="34603" xr:uid="{5D9D1F48-6A38-4129-A71E-0D05BFBCA686}"/>
    <cellStyle name="Migliaia 56 2 3 3 3" xfId="21003" xr:uid="{6107836D-A1E4-4979-A1FD-5E4796C7A827}"/>
    <cellStyle name="Migliaia 56 2 3 4" xfId="25402" xr:uid="{4C26691D-0A3D-4EFB-817D-B6F43A439320}"/>
    <cellStyle name="Migliaia 56 2 3 5" xfId="16812" xr:uid="{5E018513-9B81-47F7-BE53-D91845654887}"/>
    <cellStyle name="Migliaia 56 2 3 6" xfId="8395" xr:uid="{FDED0E0C-44E7-4FE3-8334-4762BBFE6267}"/>
    <cellStyle name="Migliaia 56 2 4" xfId="5647" xr:uid="{71F9CD5F-308F-4DC5-AFFF-0FB4F5684498}"/>
    <cellStyle name="Migliaia 56 2 4 2" xfId="14038" xr:uid="{7E49DCE3-049C-4374-BEDD-C2B915A1732C}"/>
    <cellStyle name="Migliaia 56 2 4 2 2" xfId="34604" xr:uid="{290A79A1-96E0-4430-9EB7-97EC6FBC21B5}"/>
    <cellStyle name="Migliaia 56 2 4 3" xfId="18602" xr:uid="{935AA738-C37A-4706-8A39-785B15ADBDB7}"/>
    <cellStyle name="Migliaia 56 2 4 4" xfId="21004" xr:uid="{23C9129B-D800-44A4-9287-8666A00ECDF1}"/>
    <cellStyle name="Migliaia 56 2 4 5" xfId="25403" xr:uid="{1027FE2D-37E1-4CDF-BB9C-EE94B4017210}"/>
    <cellStyle name="Migliaia 56 2 4 6" xfId="16813" xr:uid="{FEAE069D-EB3F-4E08-A4B5-EF3FC6897B84}"/>
    <cellStyle name="Migliaia 56 2 4 7" xfId="8027" xr:uid="{E44A7A13-C30F-4336-92D5-78F02A037ABD}"/>
    <cellStyle name="Migliaia 56 2 5" xfId="6820" xr:uid="{C21140F0-739B-4A24-A02C-2CD49457E7BB}"/>
    <cellStyle name="Migliaia 56 2 5 2" xfId="34605" xr:uid="{B8B39C4E-8D75-4727-87EE-0D4FD0686D92}"/>
    <cellStyle name="Migliaia 56 2 5 3" xfId="25404" xr:uid="{7EC5EA37-7355-4F16-B220-347B0201C610}"/>
    <cellStyle name="Migliaia 56 2 5 4" xfId="13154" xr:uid="{96F08A30-BB90-4C9E-93B6-7C0C8F424D30}"/>
    <cellStyle name="Migliaia 56 2 6" xfId="3921" xr:uid="{99BFC918-9F63-41C7-9BDD-B6CB7F05CAFC}"/>
    <cellStyle name="Migliaia 56 2 6 2" xfId="34606" xr:uid="{9068A3B4-C8DE-44C8-9138-C67EF2AB7284}"/>
    <cellStyle name="Migliaia 56 2 6 3" xfId="25405" xr:uid="{9F4CDFE7-DA7C-4EB4-A152-BD8788F8DC44}"/>
    <cellStyle name="Migliaia 56 2 6 4" xfId="21000" xr:uid="{99F72ECB-E3F0-4EDC-A70B-BCE9DB318804}"/>
    <cellStyle name="Migliaia 56 2 7" xfId="34600" xr:uid="{D76ADB1E-CAE7-42E5-9547-B3C939F2BB6A}"/>
    <cellStyle name="Migliaia 56 2 8" xfId="25399" xr:uid="{F221537C-B8C2-4C72-8FC5-667FD995428E}"/>
    <cellStyle name="Migliaia 56 2 9" xfId="7196" xr:uid="{8CBBE02B-DA4D-4F09-907C-15836F16503D}"/>
    <cellStyle name="Migliaia 56 3" xfId="507" xr:uid="{00000000-0005-0000-0000-00008D040000}"/>
    <cellStyle name="Migliaia 56 3 10" xfId="25406" xr:uid="{66F48A02-75AD-4EE6-9CDA-1777BCC1F3CC}"/>
    <cellStyle name="Migliaia 56 3 11" xfId="16814" xr:uid="{AB355EF9-FC8B-4438-8E97-C23C9A2824BF}"/>
    <cellStyle name="Migliaia 56 3 12" xfId="7197" xr:uid="{C11DE876-F5DB-4F59-9829-79652DD301D6}"/>
    <cellStyle name="Migliaia 56 3 2" xfId="508" xr:uid="{00000000-0005-0000-0000-00008E040000}"/>
    <cellStyle name="Migliaia 56 3 2 2" xfId="1912" xr:uid="{00000000-0005-0000-0000-00008F040000}"/>
    <cellStyle name="Migliaia 56 3 2 2 2" xfId="5652" xr:uid="{A0058D04-B87E-41FF-925A-359FFFFD1809}"/>
    <cellStyle name="Migliaia 56 3 2 2 2 2" xfId="18516" xr:uid="{72F0AFF6-8176-4693-ABB9-5C6456290777}"/>
    <cellStyle name="Migliaia 56 3 2 2 2 2 2" xfId="21892" xr:uid="{C0058D6D-D42C-4E69-BC71-D9A95A7F52AA}"/>
    <cellStyle name="Migliaia 56 3 2 2 2 2 3" xfId="34610" xr:uid="{FA7ACE76-8B0A-4E0D-946F-B37346F0B410}"/>
    <cellStyle name="Migliaia 56 3 2 2 2 3" xfId="25409" xr:uid="{B30A9650-553E-44CF-A84E-7DC9E8A89894}"/>
    <cellStyle name="Migliaia 56 3 2 2 2 4" xfId="48045" xr:uid="{70AB69CF-B92E-4958-8C7A-ED3CB8B79682}"/>
    <cellStyle name="Migliaia 56 3 2 2 2 5" xfId="50920" xr:uid="{C8F0ADFF-0338-4080-A944-63909C1BA4D6}"/>
    <cellStyle name="Migliaia 56 3 2 2 2 6" xfId="53936" xr:uid="{8E310A27-01C6-492C-B9E8-5969351BD5EF}"/>
    <cellStyle name="Migliaia 56 3 2 2 2 7" xfId="17691" xr:uid="{28439EA4-4F42-4C40-9937-9CD1502F1C92}"/>
    <cellStyle name="Migliaia 56 3 2 2 2 8" xfId="12091" xr:uid="{66C75F8C-1074-4D2F-99ED-ED8BCDB670EB}"/>
    <cellStyle name="Migliaia 56 3 2 2 3" xfId="6825" xr:uid="{76115F34-921D-42FD-9650-550B6DB245A3}"/>
    <cellStyle name="Migliaia 56 3 2 2 3 2" xfId="34609" xr:uid="{A88108B3-D983-4BC1-8A9B-60BD76798B96}"/>
    <cellStyle name="Migliaia 56 3 2 2 3 3" xfId="12154" xr:uid="{C2005356-2788-4FD6-92E1-87996B57DF92}"/>
    <cellStyle name="Migliaia 56 3 2 2 4" xfId="3926" xr:uid="{E9F77C00-317D-4570-A387-98CB76029B43}"/>
    <cellStyle name="Migliaia 56 3 2 2 4 2" xfId="21624" xr:uid="{252AA159-9D35-4D31-A7E1-FDF876907A5D}"/>
    <cellStyle name="Migliaia 56 3 2 2 4 3" xfId="47905" xr:uid="{6B6CFE81-6A38-4677-A48A-3D0D5A109159}"/>
    <cellStyle name="Migliaia 56 3 2 2 4 4" xfId="50639" xr:uid="{1480A475-A63D-4A95-9E56-00BFBB9DC5ED}"/>
    <cellStyle name="Migliaia 56 3 2 2 4 5" xfId="53655" xr:uid="{B71C6181-82E9-443F-A0D1-3A15D07351B8}"/>
    <cellStyle name="Migliaia 56 3 2 2 4 6" xfId="10989" xr:uid="{C6075D9A-D593-489B-A63B-A6C1612A95D6}"/>
    <cellStyle name="Migliaia 56 3 2 2 5" xfId="21007" xr:uid="{DF8FC36A-8CC1-4FA2-B434-61750D14D96A}"/>
    <cellStyle name="Migliaia 56 3 2 2 6" xfId="25408" xr:uid="{A2F79B5D-62A8-4A47-88C2-888D06C91288}"/>
    <cellStyle name="Migliaia 56 3 2 2 7" xfId="8789" xr:uid="{D76A422E-DE5A-45B0-A572-A3AB222E155E}"/>
    <cellStyle name="Migliaia 56 3 2 3" xfId="5651" xr:uid="{B029BE73-B964-4964-A78A-52466D53A398}"/>
    <cellStyle name="Migliaia 56 3 2 3 2" xfId="11546" xr:uid="{D671C74E-7431-4071-A358-C93042CF4278}"/>
    <cellStyle name="Migliaia 56 3 2 3 2 2" xfId="34611" xr:uid="{6362EB0D-95CF-463B-9963-E46107B02817}"/>
    <cellStyle name="Migliaia 56 3 2 3 3" xfId="12092" xr:uid="{31D902B1-83A7-467F-A462-2B4C66171917}"/>
    <cellStyle name="Migliaia 56 3 2 3 4" xfId="21008" xr:uid="{EA06FC61-316B-4EEA-9A38-F73E5BE80280}"/>
    <cellStyle name="Migliaia 56 3 2 3 5" xfId="25410" xr:uid="{6D62F43F-3254-49B6-A829-FCEB7384777F}"/>
    <cellStyle name="Migliaia 56 3 2 3 6" xfId="16815" xr:uid="{DE9ABB96-638E-492E-98B1-12C4E9BF767C}"/>
    <cellStyle name="Migliaia 56 3 2 3 7" xfId="8029" xr:uid="{3E8ACFFB-4410-45BE-B430-1FCD28AC86E3}"/>
    <cellStyle name="Migliaia 56 3 2 4" xfId="6824" xr:uid="{21C3A369-903F-4679-9B80-D20F4CCC93B5}"/>
    <cellStyle name="Migliaia 56 3 2 4 2" xfId="18108" xr:uid="{F5E42203-3A8E-4A90-A2E2-74386C7FA733}"/>
    <cellStyle name="Migliaia 56 3 2 4 2 2" xfId="34612" xr:uid="{A0492945-52D0-451B-B4BA-CDE517F75C59}"/>
    <cellStyle name="Migliaia 56 3 2 4 3" xfId="25411" xr:uid="{02FE5E93-7579-4604-ABEE-294072859505}"/>
    <cellStyle name="Migliaia 56 3 2 4 4" xfId="17238" xr:uid="{818D255B-023E-45F6-9731-D3518DED82A6}"/>
    <cellStyle name="Migliaia 56 3 2 4 5" xfId="11444" xr:uid="{5C0F4619-04A6-42E1-A4B8-D6DD72C7E23F}"/>
    <cellStyle name="Migliaia 56 3 2 5" xfId="3925" xr:uid="{70E8FD7B-ACB4-4DBC-8769-E07850401820}"/>
    <cellStyle name="Migliaia 56 3 2 5 2" xfId="34613" xr:uid="{8F44C1BF-EB62-491A-974C-1798322B4853}"/>
    <cellStyle name="Migliaia 56 3 2 5 3" xfId="25412" xr:uid="{8CA4C700-5D96-48A1-A600-B8D4B61205AE}"/>
    <cellStyle name="Migliaia 56 3 2 5 4" xfId="17273" xr:uid="{01765071-A6DB-45C1-A35D-C97805771732}"/>
    <cellStyle name="Migliaia 56 3 2 6" xfId="21006" xr:uid="{FBD0E09C-407F-4282-A998-6F0C3576E53C}"/>
    <cellStyle name="Migliaia 56 3 2 6 2" xfId="34614" xr:uid="{E9905D43-EEB8-4597-AD4B-67AFA8EAD9C9}"/>
    <cellStyle name="Migliaia 56 3 2 6 3" xfId="25413" xr:uid="{2840EFF4-D975-41BF-9FA2-75BF7F32D92A}"/>
    <cellStyle name="Migliaia 56 3 2 7" xfId="34608" xr:uid="{91B4A7CD-E213-4DB6-A4E4-178B42B184A0}"/>
    <cellStyle name="Migliaia 56 3 2 8" xfId="25407" xr:uid="{44F5C803-BE56-4F9D-A98F-C77C02C0D1D4}"/>
    <cellStyle name="Migliaia 56 3 2 9" xfId="7599" xr:uid="{B3D7C9C9-27BE-4273-9052-255EE76A6744}"/>
    <cellStyle name="Migliaia 56 3 3" xfId="3927" xr:uid="{F52C3B89-D58E-45C2-80E0-B810378303DF}"/>
    <cellStyle name="Migliaia 56 3 3 2" xfId="5653" xr:uid="{749B7FBA-DAE6-4C10-A29C-37E9F511C6E9}"/>
    <cellStyle name="Migliaia 56 3 3 2 2" xfId="9984" xr:uid="{722BC24E-2AD0-47C5-8297-AD03DD0E0C5B}"/>
    <cellStyle name="Migliaia 56 3 3 2 2 2" xfId="34616" xr:uid="{3DF87D99-E505-4BBD-A811-73191E677F21}"/>
    <cellStyle name="Migliaia 56 3 3 2 3" xfId="18264" xr:uid="{A9F38B55-04AC-45EB-B3C9-1F3BCCB9A5CE}"/>
    <cellStyle name="Migliaia 56 3 3 2 4" xfId="21010" xr:uid="{CB302784-2999-40D6-9BA3-9205D1534C12}"/>
    <cellStyle name="Migliaia 56 3 3 2 5" xfId="25415" xr:uid="{B20F23EF-10AD-445B-B9BB-BD48B0905E43}"/>
    <cellStyle name="Migliaia 56 3 3 2 6" xfId="16817" xr:uid="{8F2D7E4F-6086-4062-807D-85BB11158441}"/>
    <cellStyle name="Migliaia 56 3 3 2 7" xfId="8788" xr:uid="{996B7D6E-255D-47EE-8487-2147A5DDE294}"/>
    <cellStyle name="Migliaia 56 3 3 3" xfId="6826" xr:uid="{B04EFE3F-79EE-428D-9800-E8097A6F73E5}"/>
    <cellStyle name="Migliaia 56 3 3 3 2" xfId="34617" xr:uid="{0782CEB8-2F47-4E66-839A-B24AAF73B681}"/>
    <cellStyle name="Migliaia 56 3 3 3 3" xfId="25416" xr:uid="{C8186634-86BB-4F42-A968-495052A6F455}"/>
    <cellStyle name="Migliaia 56 3 3 3 4" xfId="9747" xr:uid="{34A4ED37-E06F-47FF-94E2-0FF5357796E7}"/>
    <cellStyle name="Migliaia 56 3 3 4" xfId="21009" xr:uid="{D3447E67-209B-4336-83E7-43A8B3604302}"/>
    <cellStyle name="Migliaia 56 3 3 4 2" xfId="34618" xr:uid="{C40E36B2-DEC4-4738-89DA-3449E5C56196}"/>
    <cellStyle name="Migliaia 56 3 3 4 3" xfId="25417" xr:uid="{8756E98D-1425-4628-ACC0-939F3986F370}"/>
    <cellStyle name="Migliaia 56 3 3 4 4" xfId="48881" xr:uid="{83F4560F-6DEE-45D4-8F85-EB7CB60999B0}"/>
    <cellStyle name="Migliaia 56 3 3 5" xfId="25418" xr:uid="{B5A041BC-DE22-4932-8B7F-090F17D74489}"/>
    <cellStyle name="Migliaia 56 3 3 5 2" xfId="34619" xr:uid="{D21E3C32-B70D-4570-B3CF-5EBC193DFECD}"/>
    <cellStyle name="Migliaia 56 3 3 5 3" xfId="48882" xr:uid="{E18F51AD-557B-49D7-9A1A-7BE5003DF6E3}"/>
    <cellStyle name="Migliaia 56 3 3 6" xfId="34615" xr:uid="{D167AAE7-A488-4F5A-B7F3-A7E3770B120F}"/>
    <cellStyle name="Migliaia 56 3 3 7" xfId="25414" xr:uid="{562EC96E-6DA6-435E-9685-824D7E959446}"/>
    <cellStyle name="Migliaia 56 3 3 8" xfId="16816" xr:uid="{C534954E-DDD2-4D70-90B1-3500E38E042A}"/>
    <cellStyle name="Migliaia 56 3 3 9" xfId="7598" xr:uid="{C70696E1-2E10-4F3C-BEB6-936B618E3E25}"/>
    <cellStyle name="Migliaia 56 3 4" xfId="3928" xr:uid="{6F1F2548-4C7A-4DF9-A13A-B27F07E034E3}"/>
    <cellStyle name="Migliaia 56 3 4 2" xfId="5654" xr:uid="{B4417D29-F0C2-464C-B376-E5607649A165}"/>
    <cellStyle name="Migliaia 56 3 4 2 2" xfId="14474" xr:uid="{8E4F0D43-7BE2-46E0-AE01-E96DAF99B0AD}"/>
    <cellStyle name="Migliaia 56 3 4 2 3" xfId="18136" xr:uid="{4DB92283-EB79-42CE-8BA4-9A529F80662D}"/>
    <cellStyle name="Migliaia 56 3 4 2 4" xfId="21012" xr:uid="{62382275-DAB2-4598-AC14-159732E5A3FB}"/>
    <cellStyle name="Migliaia 56 3 4 2 5" xfId="32477" xr:uid="{45DB43A1-919A-4394-925F-0C20D29D851B}"/>
    <cellStyle name="Migliaia 56 3 4 2 6" xfId="16819" xr:uid="{12503698-052B-4B9B-9DCD-1F5F4D8A42C6}"/>
    <cellStyle name="Migliaia 56 3 4 2 7" xfId="8897" xr:uid="{EE33F04A-6EE9-4290-8753-E9A918DA7BF6}"/>
    <cellStyle name="Migliaia 56 3 4 3" xfId="6827" xr:uid="{0E899DFF-6D70-462F-B758-72EE34AF912D}"/>
    <cellStyle name="Migliaia 56 3 4 3 2" xfId="35482" xr:uid="{EC711E09-FDE3-41B0-B5EC-53F6CD7FECC0}"/>
    <cellStyle name="Migliaia 56 3 4 3 2 2" xfId="40642" xr:uid="{F8897008-E830-4ACF-B596-EA54C2C6B351}"/>
    <cellStyle name="Migliaia 56 3 4 3 2 3" xfId="45944" xr:uid="{B8266972-7AF6-43CF-8ADF-F7AD0B199C8D}"/>
    <cellStyle name="Migliaia 56 3 4 3 3" xfId="37991" xr:uid="{BC5146AC-8293-4BB2-AEAE-2E0FEF298829}"/>
    <cellStyle name="Migliaia 56 3 4 3 4" xfId="43293" xr:uid="{0F8D1981-338D-41E3-ACE1-028ABBF8B28B}"/>
    <cellStyle name="Migliaia 56 3 4 3 5" xfId="13722" xr:uid="{D634E500-76F5-4573-A4C5-9546DA99C975}"/>
    <cellStyle name="Migliaia 56 3 4 4" xfId="21011" xr:uid="{D5CA63A3-DF78-4D2B-B63E-25CB93893CDF}"/>
    <cellStyle name="Migliaia 56 3 4 4 2" xfId="34620" xr:uid="{04859529-0F8F-475D-98F0-68243C5AC091}"/>
    <cellStyle name="Migliaia 56 3 4 5" xfId="25419" xr:uid="{A24F1235-AAC5-4C7A-A33E-D5F5D39137CC}"/>
    <cellStyle name="Migliaia 56 3 4 6" xfId="16818" xr:uid="{198F8504-DF9B-4837-98E1-1B8561162E56}"/>
    <cellStyle name="Migliaia 56 3 4 7" xfId="7707" xr:uid="{F0F367A8-B5A4-479B-9EF8-AE3C86943D87}"/>
    <cellStyle name="Migliaia 56 3 5" xfId="3929" xr:uid="{52C8CA67-BC2C-4E60-B758-B27F75781DC9}"/>
    <cellStyle name="Migliaia 56 3 5 2" xfId="5655" xr:uid="{422E643C-F1A4-4CCE-A219-A30A895F5D90}"/>
    <cellStyle name="Migliaia 56 3 5 2 2" xfId="35483" xr:uid="{4B976DDD-402A-456A-92E6-92A3B8B3F817}"/>
    <cellStyle name="Migliaia 56 3 5 2 2 2" xfId="40643" xr:uid="{5BB1774F-B667-4407-A33D-D0564FFF0D41}"/>
    <cellStyle name="Migliaia 56 3 5 2 2 3" xfId="45945" xr:uid="{E4F8EE60-8A97-4379-9BE2-B80968AD0551}"/>
    <cellStyle name="Migliaia 56 3 5 2 3" xfId="37992" xr:uid="{6E0BB51A-2C7D-4131-A6B5-4198E79BF31C}"/>
    <cellStyle name="Migliaia 56 3 5 2 4" xfId="43294" xr:uid="{381FAB51-66BA-499B-BFA4-B3BDB90F60D0}"/>
    <cellStyle name="Migliaia 56 3 5 2 5" xfId="14334" xr:uid="{D837F3B5-F490-450F-90EC-A8CDA6689F0F}"/>
    <cellStyle name="Migliaia 56 3 5 3" xfId="6828" xr:uid="{04B65902-1F4D-41B4-8B8A-737831198C5A}"/>
    <cellStyle name="Migliaia 56 3 5 3 2" xfId="34621" xr:uid="{5CBEA1D8-29CC-404A-B772-2AD136E8DFBF}"/>
    <cellStyle name="Migliaia 56 3 5 3 3" xfId="21013" xr:uid="{ACD9C0F3-1979-4097-81A7-3DDD8B1D62C4}"/>
    <cellStyle name="Migliaia 56 3 5 4" xfId="25420" xr:uid="{63852A4A-8CA7-4D78-8C27-8959CB2013A2}"/>
    <cellStyle name="Migliaia 56 3 5 5" xfId="16820" xr:uid="{2F885496-477D-44BD-A896-441CAC682BDF}"/>
    <cellStyle name="Migliaia 56 3 5 6" xfId="8396" xr:uid="{0B32A2EC-4488-41B7-9C86-A0FDF5D3F14F}"/>
    <cellStyle name="Migliaia 56 3 6" xfId="5650" xr:uid="{C6A68D28-EC7F-4F07-A74D-AC1B756557C0}"/>
    <cellStyle name="Migliaia 56 3 6 2" xfId="14039" xr:uid="{E54412FB-2CC4-464A-8E18-EE7937D96178}"/>
    <cellStyle name="Migliaia 56 3 6 2 2" xfId="34622" xr:uid="{BF20BE70-342E-406F-9020-748F30BAE232}"/>
    <cellStyle name="Migliaia 56 3 6 3" xfId="18038" xr:uid="{1D21B6BA-81DB-4FC7-90D7-838334D02A32}"/>
    <cellStyle name="Migliaia 56 3 6 4" xfId="21014" xr:uid="{76001AA4-5EFE-4EA8-9648-FEADD2201A8C}"/>
    <cellStyle name="Migliaia 56 3 6 5" xfId="25421" xr:uid="{D830D695-1C18-403E-A91C-9CD3AEA269EA}"/>
    <cellStyle name="Migliaia 56 3 6 6" xfId="16821" xr:uid="{C02BF20B-972A-4BF2-95EA-6D8CFB294C20}"/>
    <cellStyle name="Migliaia 56 3 6 7" xfId="8028" xr:uid="{7E8CBE4D-67FE-4F37-8B70-72FF3A10CEB7}"/>
    <cellStyle name="Migliaia 56 3 7" xfId="6823" xr:uid="{6AB6FEC5-8357-49BC-9262-503A211AE607}"/>
    <cellStyle name="Migliaia 56 3 7 2" xfId="34623" xr:uid="{6406ECBD-AD3F-4CD2-8C89-B4918C987E16}"/>
    <cellStyle name="Migliaia 56 3 7 3" xfId="25422" xr:uid="{A4A9EF2E-BECB-4C6B-8974-5785E9D2838B}"/>
    <cellStyle name="Migliaia 56 3 7 4" xfId="11094" xr:uid="{867B1FB8-FD18-43DE-BF82-FB4E68A8A766}"/>
    <cellStyle name="Migliaia 56 3 8" xfId="3924" xr:uid="{19CFA78E-1034-4266-9FD8-BB7B8819262F}"/>
    <cellStyle name="Migliaia 56 3 8 2" xfId="34624" xr:uid="{7E5F53D0-6EE0-441D-B51F-0CCD04CE2F5B}"/>
    <cellStyle name="Migliaia 56 3 8 3" xfId="25423" xr:uid="{2D64BEC1-33A6-48EA-ADDF-C9A76C7B40BA}"/>
    <cellStyle name="Migliaia 56 3 8 4" xfId="17274" xr:uid="{A6F8A898-900A-466E-9FD8-E46251C7CF16}"/>
    <cellStyle name="Migliaia 56 3 9" xfId="21005" xr:uid="{738C9F3B-BA06-4575-9627-DA1D7C1992CF}"/>
    <cellStyle name="Migliaia 56 3 9 2" xfId="34607" xr:uid="{102B5201-4142-4719-95A3-FD601AEF8B9A}"/>
    <cellStyle name="Migliaia 56 4" xfId="1913" xr:uid="{00000000-0005-0000-0000-000090040000}"/>
    <cellStyle name="Migliaia 56 4 10" xfId="7600" xr:uid="{E17D7564-25A3-4338-A02E-A6645B4CDB18}"/>
    <cellStyle name="Migliaia 56 4 2" xfId="1914" xr:uid="{00000000-0005-0000-0000-000091040000}"/>
    <cellStyle name="Migliaia 56 4 2 2" xfId="5657" xr:uid="{A8A97463-5354-4766-8004-EE79AF967DDE}"/>
    <cellStyle name="Migliaia 56 4 2 2 2" xfId="34627" xr:uid="{09721606-30A3-492A-A5CD-7285A916E43E}"/>
    <cellStyle name="Migliaia 56 4 2 2 3" xfId="25426" xr:uid="{22159FA2-7377-4225-92BC-A9148875615B}"/>
    <cellStyle name="Migliaia 56 4 2 2 4" xfId="9210" xr:uid="{015D1089-BFBC-4343-8171-6BE01B2763EB}"/>
    <cellStyle name="Migliaia 56 4 2 3" xfId="3931" xr:uid="{63DA9050-030A-4F0B-A01F-E2B0332E52BE}"/>
    <cellStyle name="Migliaia 56 4 2 3 2" xfId="34628" xr:uid="{18CABEBD-E54F-4280-B644-C2F46ECE9947}"/>
    <cellStyle name="Migliaia 56 4 2 3 3" xfId="25427" xr:uid="{302236B2-3E0C-4688-BD42-DFE0BD36FA1A}"/>
    <cellStyle name="Migliaia 56 4 2 3 4" xfId="12093" xr:uid="{E2B736F9-93D7-45C9-AAF4-FB25768780A3}"/>
    <cellStyle name="Migliaia 56 4 2 4" xfId="11446" xr:uid="{C79A123A-1789-4E09-8CFE-B962BD58A26C}"/>
    <cellStyle name="Migliaia 56 4 2 4 2" xfId="34626" xr:uid="{948B7848-3AAB-47CF-BC34-5F78F6CF075B}"/>
    <cellStyle name="Migliaia 56 4 2 5" xfId="10991" xr:uid="{3BCAA596-EA90-4F33-9537-397BB151EB92}"/>
    <cellStyle name="Migliaia 56 4 2 5 2" xfId="21626" xr:uid="{810C2C9B-E86E-4F97-8F66-C7389C7B171E}"/>
    <cellStyle name="Migliaia 56 4 2 5 3" xfId="25184" xr:uid="{8DA9A535-BF8B-4CBB-897E-F208E0978EE9}"/>
    <cellStyle name="Migliaia 56 4 2 5 4" xfId="50641" xr:uid="{7867C53D-FAD9-4C47-8176-FDBEA066EB1C}"/>
    <cellStyle name="Migliaia 56 4 2 5 5" xfId="53657" xr:uid="{A1A83E49-2E4C-459A-A69D-C7DE8B777ADA}"/>
    <cellStyle name="Migliaia 56 4 2 6" xfId="21016" xr:uid="{1B8B50D4-AA6D-41FA-9BD2-03FBE3F29E81}"/>
    <cellStyle name="Migliaia 56 4 2 7" xfId="25425" xr:uid="{856B50EC-85A0-4DB6-914F-50CCC66BCFE6}"/>
    <cellStyle name="Migliaia 56 4 2 8" xfId="8790" xr:uid="{2CE70262-9C9B-4883-A43F-E1A566F8E251}"/>
    <cellStyle name="Migliaia 56 4 3" xfId="5656" xr:uid="{3E393823-581A-467F-A5EC-89F606FB253B}"/>
    <cellStyle name="Migliaia 56 4 3 2" xfId="18265" xr:uid="{EAEB170C-8A88-4E52-AD25-4657023CDACE}"/>
    <cellStyle name="Migliaia 56 4 3 2 2" xfId="34629" xr:uid="{2FC5E745-D52D-4999-8923-264498C807B6}"/>
    <cellStyle name="Migliaia 56 4 3 3" xfId="25428" xr:uid="{D013A6B1-491C-49E3-9890-5E37ADA26FB1}"/>
    <cellStyle name="Migliaia 56 4 3 4" xfId="17272" xr:uid="{D7194C91-43F2-454B-9E08-9C528F71AD36}"/>
    <cellStyle name="Migliaia 56 4 3 5" xfId="9211" xr:uid="{95C0CC28-C3E0-4777-AF55-0A6BB0B42F67}"/>
    <cellStyle name="Migliaia 56 4 4" xfId="6829" xr:uid="{75BD60C2-CB7B-4E9E-AA6E-D94F8A76C9C0}"/>
    <cellStyle name="Migliaia 56 4 4 2" xfId="34630" xr:uid="{EC349ED8-9973-4BCC-AE93-4C2AF7D8E13A}"/>
    <cellStyle name="Migliaia 56 4 4 3" xfId="25429" xr:uid="{A3E495D9-65F9-4D63-8795-7FECEDB5898D}"/>
    <cellStyle name="Migliaia 56 4 4 4" xfId="12094" xr:uid="{69E82EF4-6E67-46DE-B11E-663A66E176EB}"/>
    <cellStyle name="Migliaia 56 4 5" xfId="3930" xr:uid="{6A125E69-73AA-47C3-85F3-6EA3F106C8F5}"/>
    <cellStyle name="Migliaia 56 4 5 2" xfId="34631" xr:uid="{078D189B-8736-4845-ADB7-B2AF2EE9D9F6}"/>
    <cellStyle name="Migliaia 56 4 5 3" xfId="25430" xr:uid="{6C10DFEF-B959-4255-97B0-6014ABAE4E80}"/>
    <cellStyle name="Migliaia 56 4 5 4" xfId="11445" xr:uid="{4C68CEBD-9B9A-4B34-AB11-CC6F02815F48}"/>
    <cellStyle name="Migliaia 56 4 6" xfId="10990" xr:uid="{5793C17A-CF73-4AF3-813B-51A3427AD67B}"/>
    <cellStyle name="Migliaia 56 4 6 2" xfId="21625" xr:uid="{EBAB3CE5-1154-48F2-A17B-32A1C96E8647}"/>
    <cellStyle name="Migliaia 56 4 6 2 2" xfId="34632" xr:uid="{4B409C4E-D1E6-42B4-BBB6-12AF659354C9}"/>
    <cellStyle name="Migliaia 56 4 6 3" xfId="25431" xr:uid="{D241F1AF-D085-46A4-9107-15F00B1E1DD1}"/>
    <cellStyle name="Migliaia 56 4 6 4" xfId="47122" xr:uid="{E15E630B-3CA7-4950-B386-746835BE247D}"/>
    <cellStyle name="Migliaia 56 4 6 5" xfId="48883" xr:uid="{2842E22A-891B-4E47-8817-6D2FA5894B09}"/>
    <cellStyle name="Migliaia 56 4 6 6" xfId="50640" xr:uid="{C0CAE542-F672-4211-A706-B6563BF12600}"/>
    <cellStyle name="Migliaia 56 4 6 7" xfId="53656" xr:uid="{437DA487-7745-405C-8A69-BA282C3D0C84}"/>
    <cellStyle name="Migliaia 56 4 7" xfId="21015" xr:uid="{5A9E27B2-9C62-4423-94C7-39103AC26038}"/>
    <cellStyle name="Migliaia 56 4 7 2" xfId="34633" xr:uid="{85AE873F-ECB2-4555-85A3-28562F341F7E}"/>
    <cellStyle name="Migliaia 56 4 7 3" xfId="25432" xr:uid="{30BAA7DB-6161-434C-AB52-4A9530758CD7}"/>
    <cellStyle name="Migliaia 56 4 8" xfId="34625" xr:uid="{8EBA590F-9385-4BB3-B330-C308DE5746B1}"/>
    <cellStyle name="Migliaia 56 4 9" xfId="25424" xr:uid="{E4727F0F-CB72-4C42-9693-BA88B5F8A464}"/>
    <cellStyle name="Migliaia 56 5" xfId="1915" xr:uid="{00000000-0005-0000-0000-000092040000}"/>
    <cellStyle name="Migliaia 56 5 2" xfId="5658" xr:uid="{48095C67-20EA-40D1-B5BE-A0851C125E71}"/>
    <cellStyle name="Migliaia 56 5 2 2" xfId="18517" xr:uid="{FDE40644-A584-4762-85F9-3F805D88FAE7}"/>
    <cellStyle name="Migliaia 56 5 2 2 2" xfId="34635" xr:uid="{6C07DDB6-D66F-429C-ABDB-C38D01D34AA1}"/>
    <cellStyle name="Migliaia 56 5 2 3" xfId="21018" xr:uid="{BE550EB0-DF22-4C6B-9B16-D44A307CCC28}"/>
    <cellStyle name="Migliaia 56 5 2 4" xfId="25434" xr:uid="{E6560472-F82D-494C-A916-E7B2DAC57F0B}"/>
    <cellStyle name="Migliaia 56 5 2 5" xfId="16822" xr:uid="{021BD6F7-7FFC-4336-BEB5-B9154D002E77}"/>
    <cellStyle name="Migliaia 56 5 2 6" xfId="8791" xr:uid="{BB250489-27F4-4A36-9DC1-657D3A2CBE26}"/>
    <cellStyle name="Migliaia 56 5 3" xfId="6830" xr:uid="{B5077DDD-6FA5-4800-A6E2-E52FA1B78F14}"/>
    <cellStyle name="Migliaia 56 5 3 2" xfId="34636" xr:uid="{8B1BD818-3A09-4FE7-B94C-07C01192F513}"/>
    <cellStyle name="Migliaia 56 5 3 3" xfId="25435" xr:uid="{5317E8E7-BD17-4C91-B6DD-4882C416D145}"/>
    <cellStyle name="Migliaia 56 5 3 4" xfId="11447" xr:uid="{7FDF1DAF-6385-4A7A-B52E-B2D135C4964E}"/>
    <cellStyle name="Migliaia 56 5 4" xfId="3932" xr:uid="{AE09B1E3-7C6B-40A9-ADFA-6020A359E012}"/>
    <cellStyle name="Migliaia 56 5 4 2" xfId="21627" xr:uid="{8F667A7D-95D5-480C-8D47-EFF8DD9310E4}"/>
    <cellStyle name="Migliaia 56 5 4 2 2" xfId="34637" xr:uid="{92B7303E-AA60-481F-BDDD-AB512D6DF1DB}"/>
    <cellStyle name="Migliaia 56 5 4 3" xfId="25436" xr:uid="{DC30048E-E449-44F9-8E9C-8945956700AA}"/>
    <cellStyle name="Migliaia 56 5 4 4" xfId="48098" xr:uid="{F882F345-7DF8-47A5-A58E-391B59C2C6F3}"/>
    <cellStyle name="Migliaia 56 5 4 5" xfId="48884" xr:uid="{6CA29599-3D64-42F8-8295-10A056B5FE13}"/>
    <cellStyle name="Migliaia 56 5 4 6" xfId="50642" xr:uid="{00BE1D02-CE0F-4EC9-B9AA-6FC5A710EFEB}"/>
    <cellStyle name="Migliaia 56 5 4 7" xfId="53658" xr:uid="{E074150E-D489-441D-981B-98F7B53592FA}"/>
    <cellStyle name="Migliaia 56 5 4 8" xfId="10992" xr:uid="{83E05B08-AD2D-4BFE-BC89-CB96DF488886}"/>
    <cellStyle name="Migliaia 56 5 5" xfId="21017" xr:uid="{3A9A99B4-01BF-46C9-932F-18E429153F26}"/>
    <cellStyle name="Migliaia 56 5 5 2" xfId="34638" xr:uid="{32EC4B75-7D10-4581-9102-756F9E511470}"/>
    <cellStyle name="Migliaia 56 5 5 3" xfId="25437" xr:uid="{6438B605-FAE9-4FDD-8F2A-1910E1C46E71}"/>
    <cellStyle name="Migliaia 56 5 5 4" xfId="48885" xr:uid="{5208213F-031C-40E4-A0D3-1A3507AAF4E7}"/>
    <cellStyle name="Migliaia 56 5 6" xfId="25438" xr:uid="{01EDBF04-8259-4966-913D-CB345B149C9B}"/>
    <cellStyle name="Migliaia 56 5 6 2" xfId="34639" xr:uid="{7E0D0439-8100-4455-865D-9C1434E7C7C6}"/>
    <cellStyle name="Migliaia 56 5 7" xfId="34634" xr:uid="{B94261DE-55C8-425B-9672-F12B227650D0}"/>
    <cellStyle name="Migliaia 56 5 8" xfId="25433" xr:uid="{706D6172-6222-46A8-B937-AA0710299814}"/>
    <cellStyle name="Migliaia 56 5 9" xfId="7601" xr:uid="{46A49361-995B-4863-8840-E07C85AA3A08}"/>
    <cellStyle name="Migliaia 56 6" xfId="3933" xr:uid="{B041CAF5-79E4-4C40-AF37-1EFF835A1A14}"/>
    <cellStyle name="Migliaia 56 6 2" xfId="5659" xr:uid="{313DD077-D8AF-4DB6-8E8F-5E81B25ACA03}"/>
    <cellStyle name="Migliaia 56 6 2 2" xfId="9983" xr:uid="{D06B1151-35CD-44BF-AF80-97272EEC7729}"/>
    <cellStyle name="Migliaia 56 6 2 3" xfId="18597" xr:uid="{2C511821-99CD-4F63-9E39-26634A9886A6}"/>
    <cellStyle name="Migliaia 56 6 2 4" xfId="21020" xr:uid="{A9A98EF3-4FA9-433D-94B1-E374FC064C0A}"/>
    <cellStyle name="Migliaia 56 6 2 5" xfId="32478" xr:uid="{141514C4-D270-4659-A53E-8E19B7AAEB2C}"/>
    <cellStyle name="Migliaia 56 6 2 6" xfId="16824" xr:uid="{DB549CE9-102F-4481-A0B7-8E65EFFB9614}"/>
    <cellStyle name="Migliaia 56 6 2 7" xfId="8786" xr:uid="{00C358FD-3071-4168-B1A6-A59C1C4423B8}"/>
    <cellStyle name="Migliaia 56 6 3" xfId="6831" xr:uid="{EEA92A1F-3532-4F3C-8E5C-BC97C2A2E2D4}"/>
    <cellStyle name="Migliaia 56 6 3 2" xfId="35484" xr:uid="{E769CF35-86B5-4736-A94D-5FDB0F54E302}"/>
    <cellStyle name="Migliaia 56 6 3 2 2" xfId="40644" xr:uid="{F55918C4-CC92-454D-9962-8126A533F200}"/>
    <cellStyle name="Migliaia 56 6 3 2 3" xfId="45946" xr:uid="{7167E8AF-1CE6-483B-8D08-95D5DFCF6868}"/>
    <cellStyle name="Migliaia 56 6 3 3" xfId="37993" xr:uid="{C46A4CFB-4F93-40D9-AE91-B41433303E6D}"/>
    <cellStyle name="Migliaia 56 6 3 4" xfId="43295" xr:uid="{51BFDE2A-5297-42BA-A529-1BBAA50115F4}"/>
    <cellStyle name="Migliaia 56 6 3 5" xfId="9746" xr:uid="{4C304DAD-D623-4D9B-B7D5-98E28827CF67}"/>
    <cellStyle name="Migliaia 56 6 4" xfId="21019" xr:uid="{D8847057-5591-4431-8545-CA4A81D861EB}"/>
    <cellStyle name="Migliaia 56 6 4 2" xfId="34640" xr:uid="{5D2D2543-A050-4EC7-9CCD-8777A3E1AF3B}"/>
    <cellStyle name="Migliaia 56 6 5" xfId="25439" xr:uid="{24E328FD-956B-4505-9E54-B8FEE68BA05B}"/>
    <cellStyle name="Migliaia 56 6 6" xfId="16823" xr:uid="{0DE45EF5-0CF5-4447-9B61-650496EEBE49}"/>
    <cellStyle name="Migliaia 56 6 7" xfId="7596" xr:uid="{7FB8AAD5-01D4-4386-A562-D7822AC0CF34}"/>
    <cellStyle name="Migliaia 56 7" xfId="3934" xr:uid="{0061D3CF-4F2F-4EEA-9157-395A6D91E819}"/>
    <cellStyle name="Migliaia 56 7 2" xfId="5660" xr:uid="{2BBD2C37-B3CF-4164-A539-DB80FF1E9737}"/>
    <cellStyle name="Migliaia 56 7 2 2" xfId="35485" xr:uid="{19B60564-B0FA-40E0-9C91-5D382AAF46E8}"/>
    <cellStyle name="Migliaia 56 7 2 2 2" xfId="40645" xr:uid="{AFB4D4BA-EFF9-4293-8270-91A9D8E76670}"/>
    <cellStyle name="Migliaia 56 7 2 2 3" xfId="45947" xr:uid="{D910F033-DF69-411E-BBC1-52ED10D51B14}"/>
    <cellStyle name="Migliaia 56 7 2 3" xfId="37994" xr:uid="{706EE4C6-A770-457E-AB42-028EF995BA08}"/>
    <cellStyle name="Migliaia 56 7 2 4" xfId="43296" xr:uid="{104FAA5D-6C08-4D1E-B77E-35C8AE0E87EC}"/>
    <cellStyle name="Migliaia 56 7 2 5" xfId="14332" xr:uid="{25F9A2D8-9675-4F00-8CEB-F2DA9D733762}"/>
    <cellStyle name="Migliaia 56 7 3" xfId="6832" xr:uid="{CB42C656-21FB-4F76-90D6-A1E514BFCDB1}"/>
    <cellStyle name="Migliaia 56 7 3 2" xfId="34641" xr:uid="{4E9179A1-BBDA-419B-AC0A-7C2868A20F6B}"/>
    <cellStyle name="Migliaia 56 7 3 3" xfId="21021" xr:uid="{71CA0BDF-8A7C-46ED-91EA-9E571406646A}"/>
    <cellStyle name="Migliaia 56 7 4" xfId="25440" xr:uid="{82CF2D6E-A832-4325-ADBD-506F24E42F9D}"/>
    <cellStyle name="Migliaia 56 7 5" xfId="16825" xr:uid="{43DE8800-5168-4A8F-985B-2F0E8AE0234F}"/>
    <cellStyle name="Migliaia 56 7 6" xfId="8394" xr:uid="{ABC2BFFE-76B0-4D76-978C-E4AD603EDCDB}"/>
    <cellStyle name="Migliaia 56 8" xfId="3935" xr:uid="{F7E9E5FA-6142-40A6-B5D3-AA016D6BED87}"/>
    <cellStyle name="Migliaia 56 8 2" xfId="5661" xr:uid="{C1E7168A-AB92-4EED-BBFB-F5F6B9D4A487}"/>
    <cellStyle name="Migliaia 56 8 2 2" xfId="35486" xr:uid="{0236AE24-26D8-4BAB-B548-FF9FF627B2AE}"/>
    <cellStyle name="Migliaia 56 8 2 2 2" xfId="40646" xr:uid="{E1BAF61D-9AEE-4252-92D5-DC7F59D77EA1}"/>
    <cellStyle name="Migliaia 56 8 2 2 3" xfId="45948" xr:uid="{785F89AA-3332-4585-AEFD-E91BD835911B}"/>
    <cellStyle name="Migliaia 56 8 2 3" xfId="37995" xr:uid="{12616BAA-3EF2-4B1F-9DDC-FBD2794870BC}"/>
    <cellStyle name="Migliaia 56 8 2 4" xfId="43297" xr:uid="{F3C29DD8-F259-4A1A-9E5E-62B513B424E6}"/>
    <cellStyle name="Migliaia 56 8 2 5" xfId="14037" xr:uid="{AB1B1C17-B3FF-4BD5-A077-A34070553DCD}"/>
    <cellStyle name="Migliaia 56 8 3" xfId="6833" xr:uid="{B8B83507-9E10-4F61-8763-D53533D27157}"/>
    <cellStyle name="Migliaia 56 8 3 2" xfId="34642" xr:uid="{A6F97471-A7C3-430C-BBFD-E0062E77D8E9}"/>
    <cellStyle name="Migliaia 56 8 3 3" xfId="21022" xr:uid="{CE79C05B-9D45-4000-A384-45E1ABF88E53}"/>
    <cellStyle name="Migliaia 56 8 4" xfId="25441" xr:uid="{5A5EAAA4-278C-4A15-BC39-D399DF4E2C07}"/>
    <cellStyle name="Migliaia 56 8 5" xfId="16826" xr:uid="{35FA27B4-FEB7-423E-967A-1628111C6D92}"/>
    <cellStyle name="Migliaia 56 8 6" xfId="8026" xr:uid="{9D839F1C-F7FE-42BA-B1CF-DC32EE4F15CE}"/>
    <cellStyle name="Migliaia 56 9" xfId="5646" xr:uid="{82ED4B79-C498-4E90-932A-AC5885DEFD78}"/>
    <cellStyle name="Migliaia 56 9 2" xfId="34643" xr:uid="{8615C76A-87C6-4959-9CF1-5EBFF6BDF1D2}"/>
    <cellStyle name="Migliaia 56 9 3" xfId="25442" xr:uid="{82F8EA1D-BE61-43CA-9B76-89876D4D5ABD}"/>
    <cellStyle name="Migliaia 56 9 4" xfId="17237" xr:uid="{65D7DDC6-9184-481E-9A35-1FBB6A4997FF}"/>
    <cellStyle name="Migliaia 57" xfId="509" xr:uid="{00000000-0005-0000-0000-000093040000}"/>
    <cellStyle name="Migliaia 57 10" xfId="6834" xr:uid="{E898081A-4834-4DE0-A219-4446A09BC029}"/>
    <cellStyle name="Migliaia 57 10 2" xfId="34644" xr:uid="{F925FF70-04DB-4340-8511-ECEDC0C3F6F6}"/>
    <cellStyle name="Migliaia 57 10 3" xfId="21023" xr:uid="{EB02D242-E3BD-428C-B978-C5EADB1D7257}"/>
    <cellStyle name="Migliaia 57 11" xfId="3936" xr:uid="{9BF00671-8E7C-417F-B22F-566C81EDAFBB}"/>
    <cellStyle name="Migliaia 57 11 2" xfId="25443" xr:uid="{97C19897-78E7-45BD-845E-8F3E5D774B05}"/>
    <cellStyle name="Migliaia 57 12" xfId="7198" xr:uid="{0F8F3552-BE7E-422E-9974-3359C00D5508}"/>
    <cellStyle name="Migliaia 57 2" xfId="510" xr:uid="{00000000-0005-0000-0000-000094040000}"/>
    <cellStyle name="Migliaia 57 2 2" xfId="1916" xr:uid="{00000000-0005-0000-0000-000095040000}"/>
    <cellStyle name="Migliaia 57 2 2 2" xfId="5664" xr:uid="{D77FABF2-3F95-4DE2-9819-B255D6D2CB99}"/>
    <cellStyle name="Migliaia 57 2 2 2 2" xfId="14415" xr:uid="{EC25DD13-D2B4-460E-B11D-E8BE71362B5F}"/>
    <cellStyle name="Migliaia 57 2 2 2 2 2" xfId="34647" xr:uid="{ED6710DC-4431-4AD9-B0D1-CF5F1D9CA40C}"/>
    <cellStyle name="Migliaia 57 2 2 2 3" xfId="18518" xr:uid="{718E1BBD-5694-4DB1-AFFC-54EE5793DA24}"/>
    <cellStyle name="Migliaia 57 2 2 2 4" xfId="21026" xr:uid="{7D5FA5FC-30E8-4652-817B-947F2565A07C}"/>
    <cellStyle name="Migliaia 57 2 2 2 5" xfId="25446" xr:uid="{9BAE4AC2-FF92-4DD2-8EF2-714D898B8BED}"/>
    <cellStyle name="Migliaia 57 2 2 2 6" xfId="16827" xr:uid="{BA602CB2-0FCA-4647-ACAF-E71878F7E2EA}"/>
    <cellStyle name="Migliaia 57 2 2 2 7" xfId="8793" xr:uid="{45C25ABE-6DAE-461D-8779-14991178F5DE}"/>
    <cellStyle name="Migliaia 57 2 2 3" xfId="6836" xr:uid="{92012A35-829F-43C0-934B-4FBE290B143F}"/>
    <cellStyle name="Migliaia 57 2 2 3 2" xfId="35487" xr:uid="{5901A308-9740-4678-BFA1-003A7BB39F37}"/>
    <cellStyle name="Migliaia 57 2 2 3 2 2" xfId="40647" xr:uid="{68AB57AC-EFDF-43B1-AFB0-1868301CC87E}"/>
    <cellStyle name="Migliaia 57 2 2 3 2 3" xfId="45949" xr:uid="{DAB57F3D-A273-4885-A658-6D06B77801B8}"/>
    <cellStyle name="Migliaia 57 2 2 3 3" xfId="37996" xr:uid="{3F3BFBFE-8F04-4459-8BCC-3D118491C69F}"/>
    <cellStyle name="Migliaia 57 2 2 3 4" xfId="43298" xr:uid="{30B8D0BE-E512-4D8A-B1EC-747EAC5E15DB}"/>
    <cellStyle name="Migliaia 57 2 2 3 5" xfId="11642" xr:uid="{6183C22F-48BE-4776-B1C8-787E91517E9C}"/>
    <cellStyle name="Migliaia 57 2 2 4" xfId="3938" xr:uid="{190A57A3-BFCA-4526-8F9D-1686C6593331}"/>
    <cellStyle name="Migliaia 57 2 2 4 2" xfId="21628" xr:uid="{75325775-0802-49F5-86E8-703CD6445791}"/>
    <cellStyle name="Migliaia 57 2 2 4 3" xfId="34646" xr:uid="{F3327092-E75F-4E58-AD90-74312C68186B}"/>
    <cellStyle name="Migliaia 57 2 2 4 4" xfId="46708" xr:uid="{F2613A95-AFF6-4603-B82D-3BBE76E5E98E}"/>
    <cellStyle name="Migliaia 57 2 2 4 5" xfId="50643" xr:uid="{CA30AADE-95B4-454B-945B-E4FA1D00952C}"/>
    <cellStyle name="Migliaia 57 2 2 4 6" xfId="53659" xr:uid="{CCE20F47-33CE-4F71-8F07-22DAC10E1947}"/>
    <cellStyle name="Migliaia 57 2 2 4 7" xfId="10993" xr:uid="{AF4238B9-793B-466E-8B44-4D64D01BE806}"/>
    <cellStyle name="Migliaia 57 2 2 5" xfId="21025" xr:uid="{1D865DC0-DBE0-4AE2-BDB1-6C096977BF90}"/>
    <cellStyle name="Migliaia 57 2 2 6" xfId="25445" xr:uid="{4844A2DF-B519-4739-A9BF-44C26A1785E3}"/>
    <cellStyle name="Migliaia 57 2 2 7" xfId="7603" xr:uid="{E16F61F9-1EB1-45EB-8985-3EB19B18762A}"/>
    <cellStyle name="Migliaia 57 2 3" xfId="3939" xr:uid="{84A857F6-AC1D-4113-8D18-266D8B13A41A}"/>
    <cellStyle name="Migliaia 57 2 3 2" xfId="5665" xr:uid="{3D6E92E3-8240-4AB4-B0EC-7E0965F6A0A3}"/>
    <cellStyle name="Migliaia 57 2 3 2 2" xfId="35488" xr:uid="{91060D32-12F6-48A2-81F0-87D6C175B59A}"/>
    <cellStyle name="Migliaia 57 2 3 2 2 2" xfId="40648" xr:uid="{5A94B853-C59D-429D-8022-1643881400BB}"/>
    <cellStyle name="Migliaia 57 2 3 2 2 3" xfId="45950" xr:uid="{C7F2EDF4-C40A-45A0-8FB3-4014135170FE}"/>
    <cellStyle name="Migliaia 57 2 3 2 3" xfId="37997" xr:uid="{6CECE9F4-B3DF-48D5-A204-6EE317E578D2}"/>
    <cellStyle name="Migliaia 57 2 3 2 4" xfId="43299" xr:uid="{9B9293E5-6DF2-4F19-B7C4-F7C7F7CC53CC}"/>
    <cellStyle name="Migliaia 57 2 3 2 5" xfId="14336" xr:uid="{459A5CCE-4CC9-4FCA-98FC-923C1BA92B83}"/>
    <cellStyle name="Migliaia 57 2 3 3" xfId="6837" xr:uid="{9A4DE322-7430-4274-8F95-933A7FDBB532}"/>
    <cellStyle name="Migliaia 57 2 3 3 2" xfId="34648" xr:uid="{0FD176F7-7F21-46A9-9910-E2F05CBE0326}"/>
    <cellStyle name="Migliaia 57 2 3 3 3" xfId="21027" xr:uid="{682C3B69-587B-4237-B783-4769CCAA51CE}"/>
    <cellStyle name="Migliaia 57 2 3 4" xfId="25447" xr:uid="{6D639D4E-155E-45F1-9A80-5930354FA312}"/>
    <cellStyle name="Migliaia 57 2 3 5" xfId="16828" xr:uid="{A12986BD-38E3-4E7B-9CF3-7EC8998BC096}"/>
    <cellStyle name="Migliaia 57 2 3 6" xfId="8398" xr:uid="{85EEBB6B-A242-408F-A83C-7B8F159B6E68}"/>
    <cellStyle name="Migliaia 57 2 4" xfId="5663" xr:uid="{B83BFDAE-4557-4600-BDEB-4CBFA33A9926}"/>
    <cellStyle name="Migliaia 57 2 4 2" xfId="14041" xr:uid="{0BA92C18-4BEE-4E94-B54C-A67092A72A12}"/>
    <cellStyle name="Migliaia 57 2 4 2 2" xfId="34649" xr:uid="{798FC279-B357-46D5-9840-13C4620406D6}"/>
    <cellStyle name="Migliaia 57 2 4 3" xfId="18688" xr:uid="{77E778E2-B2D6-4AB2-ADE6-EE9E19D6F40A}"/>
    <cellStyle name="Migliaia 57 2 4 4" xfId="21028" xr:uid="{52661B0F-180F-4C01-88DE-04C83FD1EFCE}"/>
    <cellStyle name="Migliaia 57 2 4 5" xfId="25448" xr:uid="{35038C8A-473F-444D-8EB0-7841A33772C7}"/>
    <cellStyle name="Migliaia 57 2 4 6" xfId="16829" xr:uid="{C4910F49-5304-41C4-B303-8D315A9285F0}"/>
    <cellStyle name="Migliaia 57 2 4 7" xfId="8031" xr:uid="{BBC06808-DC7C-4672-86E6-C04EED5D8251}"/>
    <cellStyle name="Migliaia 57 2 5" xfId="6835" xr:uid="{5D0B3699-2729-4E40-9B9B-56C39B03C29B}"/>
    <cellStyle name="Migliaia 57 2 5 2" xfId="34650" xr:uid="{B7C50139-74E7-44CC-8CBD-CA05D45F88F3}"/>
    <cellStyle name="Migliaia 57 2 5 3" xfId="25449" xr:uid="{777F8751-9130-4333-A1E5-43E7879BD209}"/>
    <cellStyle name="Migliaia 57 2 5 4" xfId="13155" xr:uid="{56CACF99-29E8-4063-8300-7A8B158CCD98}"/>
    <cellStyle name="Migliaia 57 2 6" xfId="3937" xr:uid="{16B11CBC-9F5F-45E5-ACF9-FC4BE515167E}"/>
    <cellStyle name="Migliaia 57 2 6 2" xfId="34651" xr:uid="{4E084DD9-6F91-4822-A955-7837808EC8FF}"/>
    <cellStyle name="Migliaia 57 2 6 3" xfId="25450" xr:uid="{79DFF9D9-E11B-4CC7-9EC3-335B10BE277D}"/>
    <cellStyle name="Migliaia 57 2 6 4" xfId="21024" xr:uid="{CD619292-F0D5-43E8-A4C5-FF7D070BC916}"/>
    <cellStyle name="Migliaia 57 2 7" xfId="34645" xr:uid="{E164F44D-155A-400F-8244-DA54554D8B2B}"/>
    <cellStyle name="Migliaia 57 2 8" xfId="25444" xr:uid="{D228260E-9644-4AC7-B1E7-92F2CD6A39F1}"/>
    <cellStyle name="Migliaia 57 2 9" xfId="7199" xr:uid="{9971E98B-C7A0-4F59-9137-76DB07D6B263}"/>
    <cellStyle name="Migliaia 57 3" xfId="511" xr:uid="{00000000-0005-0000-0000-000096040000}"/>
    <cellStyle name="Migliaia 57 3 10" xfId="25451" xr:uid="{E85D59B9-30D1-4923-A813-6BE5BAF06B28}"/>
    <cellStyle name="Migliaia 57 3 11" xfId="16830" xr:uid="{E92674C3-6F65-4795-8BF0-D067EDF190BF}"/>
    <cellStyle name="Migliaia 57 3 12" xfId="7200" xr:uid="{2A1EC7AE-98AE-4D1F-8CF9-792905FB3A44}"/>
    <cellStyle name="Migliaia 57 3 2" xfId="512" xr:uid="{00000000-0005-0000-0000-000097040000}"/>
    <cellStyle name="Migliaia 57 3 2 2" xfId="1917" xr:uid="{00000000-0005-0000-0000-000098040000}"/>
    <cellStyle name="Migliaia 57 3 2 2 2" xfId="5668" xr:uid="{4A9D6CAF-5817-4BF3-BC81-51E01E477CC2}"/>
    <cellStyle name="Migliaia 57 3 2 2 2 2" xfId="18519" xr:uid="{BD3CB6D8-FBDF-48F4-8928-66C1DBF0B19C}"/>
    <cellStyle name="Migliaia 57 3 2 2 2 2 2" xfId="21893" xr:uid="{A2FC17FF-E43B-43E6-A9A2-A6CA12E40784}"/>
    <cellStyle name="Migliaia 57 3 2 2 2 2 3" xfId="34655" xr:uid="{B58A04F3-5A0B-4B3D-AA1E-BB845FBC638C}"/>
    <cellStyle name="Migliaia 57 3 2 2 2 3" xfId="25454" xr:uid="{1219F686-40CE-402C-981B-E5B34F23B883}"/>
    <cellStyle name="Migliaia 57 3 2 2 2 4" xfId="47521" xr:uid="{9BDACD2F-6806-4C19-9682-D579A3084853}"/>
    <cellStyle name="Migliaia 57 3 2 2 2 5" xfId="50921" xr:uid="{0025B228-8414-4571-9BDC-6DE9019D37F9}"/>
    <cellStyle name="Migliaia 57 3 2 2 2 6" xfId="53937" xr:uid="{097059BB-4114-422B-BE20-51AA4BA67EC7}"/>
    <cellStyle name="Migliaia 57 3 2 2 2 7" xfId="17692" xr:uid="{941CE019-7AD8-4A53-BE66-8F099F62F527}"/>
    <cellStyle name="Migliaia 57 3 2 2 2 8" xfId="12095" xr:uid="{38D46E56-8D95-4D32-8920-B96D205603B7}"/>
    <cellStyle name="Migliaia 57 3 2 2 3" xfId="6840" xr:uid="{B3674FF5-1D58-4E10-B4D9-ABA2AD756ED5}"/>
    <cellStyle name="Migliaia 57 3 2 2 3 2" xfId="34654" xr:uid="{3943FCB1-95BE-4CFB-BC5F-320EBC9BC764}"/>
    <cellStyle name="Migliaia 57 3 2 2 3 3" xfId="12203" xr:uid="{80239826-4600-4FFB-8D9A-5B3B3405262F}"/>
    <cellStyle name="Migliaia 57 3 2 2 4" xfId="3942" xr:uid="{4C064C4A-7591-4FF1-A47A-6C7D0BB691B4}"/>
    <cellStyle name="Migliaia 57 3 2 2 4 2" xfId="21629" xr:uid="{6369FB09-41C7-4EFE-AA45-FE2A5A032B5B}"/>
    <cellStyle name="Migliaia 57 3 2 2 4 3" xfId="48039" xr:uid="{52035214-2A74-41FB-BBBA-0EA3795A375B}"/>
    <cellStyle name="Migliaia 57 3 2 2 4 4" xfId="50644" xr:uid="{3ADB39FF-0BB9-4AB4-A1F5-4749D65AE574}"/>
    <cellStyle name="Migliaia 57 3 2 2 4 5" xfId="53660" xr:uid="{A71B4C40-0E79-4866-AFC9-B7869098F794}"/>
    <cellStyle name="Migliaia 57 3 2 2 4 6" xfId="10994" xr:uid="{AD8C34DF-F735-4179-A090-6630B37A7BF3}"/>
    <cellStyle name="Migliaia 57 3 2 2 5" xfId="21031" xr:uid="{6041F847-C7B6-4C67-866A-9ACAD72D047B}"/>
    <cellStyle name="Migliaia 57 3 2 2 6" xfId="25453" xr:uid="{7D58EC84-D421-4988-A774-975820F5E397}"/>
    <cellStyle name="Migliaia 57 3 2 2 7" xfId="8795" xr:uid="{6F8B5950-D1D7-4E09-A4BA-D6F1A27DEA27}"/>
    <cellStyle name="Migliaia 57 3 2 3" xfId="5667" xr:uid="{09A10AC8-B0C1-4A30-A43C-F32FE9E49DDF}"/>
    <cellStyle name="Migliaia 57 3 2 3 2" xfId="12396" xr:uid="{4DCAA788-9672-4275-AD3F-7361C95F0FAB}"/>
    <cellStyle name="Migliaia 57 3 2 3 2 2" xfId="34656" xr:uid="{E0910861-12BB-4D87-B83B-82A08BC21C1C}"/>
    <cellStyle name="Migliaia 57 3 2 3 3" xfId="12096" xr:uid="{ACB07EEE-2C4A-4119-8C22-5A7CD9678C35}"/>
    <cellStyle name="Migliaia 57 3 2 3 4" xfId="21032" xr:uid="{DA208C88-3BA1-4430-9A80-A413E6986B35}"/>
    <cellStyle name="Migliaia 57 3 2 3 5" xfId="25455" xr:uid="{72CF2800-F257-43C2-A946-50EC4DA23982}"/>
    <cellStyle name="Migliaia 57 3 2 3 6" xfId="16831" xr:uid="{40181EF9-A3CD-42F9-913F-902A476F8F45}"/>
    <cellStyle name="Migliaia 57 3 2 3 7" xfId="8033" xr:uid="{7B7B71DC-C84F-497E-8512-283A443830E7}"/>
    <cellStyle name="Migliaia 57 3 2 4" xfId="6839" xr:uid="{4A058FBC-706D-4461-BF39-B23587F29F16}"/>
    <cellStyle name="Migliaia 57 3 2 4 2" xfId="18109" xr:uid="{0837D862-EDA2-4EBF-93B6-F5AFBB025FA7}"/>
    <cellStyle name="Migliaia 57 3 2 4 2 2" xfId="34657" xr:uid="{1A94A89F-A1A6-4558-AAD3-8CEC972312DA}"/>
    <cellStyle name="Migliaia 57 3 2 4 3" xfId="25456" xr:uid="{73E309BB-7020-439B-B175-0362A89EB02A}"/>
    <cellStyle name="Migliaia 57 3 2 4 4" xfId="17240" xr:uid="{77C3A3A1-2ABC-4C15-8107-6F4CF36671BF}"/>
    <cellStyle name="Migliaia 57 3 2 4 5" xfId="11448" xr:uid="{4F464FD2-93AC-4D31-B8B7-656F3DB56D40}"/>
    <cellStyle name="Migliaia 57 3 2 5" xfId="3941" xr:uid="{68184B42-55C8-489E-A416-8C5EE303A1BD}"/>
    <cellStyle name="Migliaia 57 3 2 5 2" xfId="34658" xr:uid="{9D514358-6115-487F-9622-2C0B1C790511}"/>
    <cellStyle name="Migliaia 57 3 2 5 3" xfId="25457" xr:uid="{ECCF3360-B466-43EA-AECC-6C9152527559}"/>
    <cellStyle name="Migliaia 57 3 2 5 4" xfId="17270" xr:uid="{58FE85B1-E369-4425-95BA-819663B8AC9E}"/>
    <cellStyle name="Migliaia 57 3 2 6" xfId="21030" xr:uid="{22B34744-A822-4560-9FB0-E00A8B7128B3}"/>
    <cellStyle name="Migliaia 57 3 2 6 2" xfId="34659" xr:uid="{838C053B-3F52-4C4B-9439-9D054073C012}"/>
    <cellStyle name="Migliaia 57 3 2 6 3" xfId="25458" xr:uid="{6A148829-E6EB-4501-B9FE-296CCFBF9F73}"/>
    <cellStyle name="Migliaia 57 3 2 7" xfId="34653" xr:uid="{B04D245B-6028-4006-8B8E-CDE30C777DC8}"/>
    <cellStyle name="Migliaia 57 3 2 8" xfId="25452" xr:uid="{4DAFDCB1-FC7D-4070-8633-F3218FCC11BE}"/>
    <cellStyle name="Migliaia 57 3 2 9" xfId="7605" xr:uid="{BF4355AD-6BFE-458A-B6C8-EA9E03B62F42}"/>
    <cellStyle name="Migliaia 57 3 3" xfId="3943" xr:uid="{5FA081B1-B12E-41AF-B85B-126F43D38E39}"/>
    <cellStyle name="Migliaia 57 3 3 2" xfId="5669" xr:uid="{57F86EA8-9873-45C5-8173-FCEE4CB06B07}"/>
    <cellStyle name="Migliaia 57 3 3 2 2" xfId="9986" xr:uid="{ECEE7950-A65E-436B-87DC-5EB33C7D9CCF}"/>
    <cellStyle name="Migliaia 57 3 3 2 2 2" xfId="34661" xr:uid="{C8E58E1F-BB91-4417-9F68-CE9E2FB740DE}"/>
    <cellStyle name="Migliaia 57 3 3 2 3" xfId="18266" xr:uid="{38E9C2F2-415D-4270-B71A-B5E14724C5EE}"/>
    <cellStyle name="Migliaia 57 3 3 2 4" xfId="21034" xr:uid="{51AAB5FB-A31A-4B0E-90C0-17053F21ABB6}"/>
    <cellStyle name="Migliaia 57 3 3 2 5" xfId="25460" xr:uid="{1CD4C75F-095F-4DB5-BEEB-833F82598047}"/>
    <cellStyle name="Migliaia 57 3 3 2 6" xfId="16833" xr:uid="{6557F068-0CFD-4E51-AF27-33092CB84BEA}"/>
    <cellStyle name="Migliaia 57 3 3 2 7" xfId="8794" xr:uid="{C96D8F87-1746-4EE7-A2B7-DF8CE173F229}"/>
    <cellStyle name="Migliaia 57 3 3 3" xfId="6841" xr:uid="{9E283155-F271-4676-BCF0-E2512DBAD974}"/>
    <cellStyle name="Migliaia 57 3 3 3 2" xfId="34662" xr:uid="{9781EB8C-796A-4422-8951-B14869E5507A}"/>
    <cellStyle name="Migliaia 57 3 3 3 3" xfId="25461" xr:uid="{D1039AC7-4C6C-4DB0-9D97-55E97FE35673}"/>
    <cellStyle name="Migliaia 57 3 3 3 4" xfId="9749" xr:uid="{479F1A12-921F-4AE6-B3EB-96294BC6E38C}"/>
    <cellStyle name="Migliaia 57 3 3 4" xfId="21033" xr:uid="{E3BEA668-3A2D-4CA7-A289-CFC5C28EC5A5}"/>
    <cellStyle name="Migliaia 57 3 3 4 2" xfId="34663" xr:uid="{4686C9D1-4B83-43FA-BFEA-3A6F50BCAFC2}"/>
    <cellStyle name="Migliaia 57 3 3 4 3" xfId="25462" xr:uid="{E63BFA90-AB26-4B9E-A813-76E3F3F0237D}"/>
    <cellStyle name="Migliaia 57 3 3 4 4" xfId="48886" xr:uid="{76B5782A-CF22-4262-AB49-C05865960585}"/>
    <cellStyle name="Migliaia 57 3 3 5" xfId="25463" xr:uid="{044E7493-37C8-4760-89FD-CBB87229D775}"/>
    <cellStyle name="Migliaia 57 3 3 5 2" xfId="34664" xr:uid="{B28B50CE-E885-4C10-BDB0-B561292F54DF}"/>
    <cellStyle name="Migliaia 57 3 3 5 3" xfId="48887" xr:uid="{AFDB0CA2-AEBF-4E69-A93E-7BB735F05D1C}"/>
    <cellStyle name="Migliaia 57 3 3 6" xfId="34660" xr:uid="{4BB7662B-2E6C-4909-8431-AF2D2634CFED}"/>
    <cellStyle name="Migliaia 57 3 3 7" xfId="25459" xr:uid="{D3674E58-A736-4E9D-9015-0ED9F1B5273E}"/>
    <cellStyle name="Migliaia 57 3 3 8" xfId="16832" xr:uid="{ADA1EA0D-F684-4F21-AD4A-CB0E56A52B5B}"/>
    <cellStyle name="Migliaia 57 3 3 9" xfId="7604" xr:uid="{9F0B82C8-2393-445E-B675-CE57072FBA69}"/>
    <cellStyle name="Migliaia 57 3 4" xfId="3944" xr:uid="{B953C0B9-822F-4B0F-9661-60C746437117}"/>
    <cellStyle name="Migliaia 57 3 4 2" xfId="5670" xr:uid="{DA48DE7B-63A1-4041-A834-FDF9CCAC7C8C}"/>
    <cellStyle name="Migliaia 57 3 4 2 2" xfId="14475" xr:uid="{E42E1454-3D24-4F14-9483-AF5B5F5CB3D1}"/>
    <cellStyle name="Migliaia 57 3 4 2 3" xfId="18560" xr:uid="{A75F128A-D315-4378-B7B5-FD9BE03EFA62}"/>
    <cellStyle name="Migliaia 57 3 4 2 4" xfId="21036" xr:uid="{69D62B95-6A00-4D1A-A154-E402672B42D3}"/>
    <cellStyle name="Migliaia 57 3 4 2 5" xfId="32479" xr:uid="{D92B6802-63D6-449A-8AE2-32B4029B8EA2}"/>
    <cellStyle name="Migliaia 57 3 4 2 6" xfId="16835" xr:uid="{81917B93-C5CB-47C3-99EF-55DDABED9A6F}"/>
    <cellStyle name="Migliaia 57 3 4 2 7" xfId="8898" xr:uid="{BB91B594-CCF1-46AD-91F0-AD3AD4B97FCD}"/>
    <cellStyle name="Migliaia 57 3 4 3" xfId="6842" xr:uid="{61DD9EFB-2738-4F11-9294-E4BF87A6A5B8}"/>
    <cellStyle name="Migliaia 57 3 4 3 2" xfId="35489" xr:uid="{BCF57C9B-FE57-4810-9AD0-EB98756CF4DD}"/>
    <cellStyle name="Migliaia 57 3 4 3 2 2" xfId="40649" xr:uid="{356A86A8-F6F0-4AF3-A762-E75EEF71EC47}"/>
    <cellStyle name="Migliaia 57 3 4 3 2 3" xfId="45951" xr:uid="{9B06D001-91F4-4C24-AA76-EE58B2B0C345}"/>
    <cellStyle name="Migliaia 57 3 4 3 3" xfId="37998" xr:uid="{541F6E24-3A42-4860-ADD7-7EDF5D82D355}"/>
    <cellStyle name="Migliaia 57 3 4 3 4" xfId="43300" xr:uid="{36CA876C-BC00-4878-B04B-9EB84151BAD2}"/>
    <cellStyle name="Migliaia 57 3 4 3 5" xfId="13723" xr:uid="{83E0F659-9498-420E-B876-B0B9A8DB3800}"/>
    <cellStyle name="Migliaia 57 3 4 4" xfId="21035" xr:uid="{8162EFA1-7359-416B-8616-F9DC00B8370E}"/>
    <cellStyle name="Migliaia 57 3 4 4 2" xfId="34665" xr:uid="{F0F1340F-F131-48E6-AA3A-6FD1CF621F6A}"/>
    <cellStyle name="Migliaia 57 3 4 5" xfId="25464" xr:uid="{C8201764-904A-49AF-A0D5-8644BEBE35BC}"/>
    <cellStyle name="Migliaia 57 3 4 6" xfId="16834" xr:uid="{77F85E75-1245-4857-9ABA-9EC3669ACC49}"/>
    <cellStyle name="Migliaia 57 3 4 7" xfId="7708" xr:uid="{1B05E8F9-D756-4DD4-8161-EA1665BB6897}"/>
    <cellStyle name="Migliaia 57 3 5" xfId="3945" xr:uid="{4F0F4F44-F663-4BD9-8FD7-693748D3A300}"/>
    <cellStyle name="Migliaia 57 3 5 2" xfId="5671" xr:uid="{15717F24-AEC1-4B88-B331-FE4A3B4D8BD8}"/>
    <cellStyle name="Migliaia 57 3 5 2 2" xfId="35490" xr:uid="{9D88A49D-4F45-41C3-AA9C-AFC7AB8121CD}"/>
    <cellStyle name="Migliaia 57 3 5 2 2 2" xfId="40650" xr:uid="{6A9D4844-FC43-4D75-8EF8-1569E2BDB3F0}"/>
    <cellStyle name="Migliaia 57 3 5 2 2 3" xfId="45952" xr:uid="{B342ACC6-D72D-49D1-8B25-6393A480F733}"/>
    <cellStyle name="Migliaia 57 3 5 2 3" xfId="37999" xr:uid="{F22FDCE7-F3EE-4E28-8C79-D0D8354A76A5}"/>
    <cellStyle name="Migliaia 57 3 5 2 4" xfId="43301" xr:uid="{DD9163C5-8E0E-4788-B6AB-B576EFFEF998}"/>
    <cellStyle name="Migliaia 57 3 5 2 5" xfId="14337" xr:uid="{58617892-A29B-4A4C-826E-A29152ADFCA2}"/>
    <cellStyle name="Migliaia 57 3 5 3" xfId="6843" xr:uid="{DF6E40F6-C64B-4735-8B43-C36157638802}"/>
    <cellStyle name="Migliaia 57 3 5 3 2" xfId="34666" xr:uid="{590DF40A-1E25-4F78-ADAF-04BE6643D213}"/>
    <cellStyle name="Migliaia 57 3 5 3 3" xfId="21037" xr:uid="{02B01A6C-70F3-440A-B86A-89A856AE37CD}"/>
    <cellStyle name="Migliaia 57 3 5 4" xfId="25465" xr:uid="{26854BF3-5A6C-41CD-BF99-433854ADBE2D}"/>
    <cellStyle name="Migliaia 57 3 5 5" xfId="16836" xr:uid="{B2ECBD55-43C4-421B-91F6-382C5C001C58}"/>
    <cellStyle name="Migliaia 57 3 5 6" xfId="8399" xr:uid="{39CFF6DA-AA3E-43E8-A2CE-11DA299895F7}"/>
    <cellStyle name="Migliaia 57 3 6" xfId="5666" xr:uid="{044439EB-466C-4A6F-9D56-46FDB557CF26}"/>
    <cellStyle name="Migliaia 57 3 6 2" xfId="14042" xr:uid="{DA43DE51-AFEA-4EE2-8F76-530312135B88}"/>
    <cellStyle name="Migliaia 57 3 6 2 2" xfId="34667" xr:uid="{031DC148-B184-443F-B442-C691E7B1EB55}"/>
    <cellStyle name="Migliaia 57 3 6 3" xfId="18294" xr:uid="{A9D54C51-7722-406D-AE22-28086FF7DA73}"/>
    <cellStyle name="Migliaia 57 3 6 4" xfId="21038" xr:uid="{281492C6-CA67-4210-8076-81194FCE83F7}"/>
    <cellStyle name="Migliaia 57 3 6 5" xfId="25466" xr:uid="{FCB7C2E2-3E07-4DC9-89CE-C452DDDE5F89}"/>
    <cellStyle name="Migliaia 57 3 6 6" xfId="16837" xr:uid="{9FF240AF-37BF-431C-A242-854B43EA0F54}"/>
    <cellStyle name="Migliaia 57 3 6 7" xfId="8032" xr:uid="{D62E2DEB-1072-4043-B5CB-1FDCEF4F6DF8}"/>
    <cellStyle name="Migliaia 57 3 7" xfId="6838" xr:uid="{E78AFEA2-AA83-4901-BA8C-20AD1E7F94BA}"/>
    <cellStyle name="Migliaia 57 3 7 2" xfId="34668" xr:uid="{6B23380A-E791-4163-9C94-482BA466F6EA}"/>
    <cellStyle name="Migliaia 57 3 7 3" xfId="25467" xr:uid="{159945BE-BCFA-4AAD-827F-B0D5DF4293BF}"/>
    <cellStyle name="Migliaia 57 3 7 4" xfId="12251" xr:uid="{9FBA8393-C4C7-45AC-BA67-9E677843A23E}"/>
    <cellStyle name="Migliaia 57 3 8" xfId="3940" xr:uid="{EAEA1F35-B3A6-45A0-974D-5956FF85DBEA}"/>
    <cellStyle name="Migliaia 57 3 8 2" xfId="34669" xr:uid="{47C126BF-2941-457C-9DD7-F575C2A2B551}"/>
    <cellStyle name="Migliaia 57 3 8 3" xfId="25468" xr:uid="{43074129-4221-4970-8822-2354EED5013A}"/>
    <cellStyle name="Migliaia 57 3 8 4" xfId="17271" xr:uid="{DE0ED4AC-8FF8-4B73-95CB-E4FD36566EBB}"/>
    <cellStyle name="Migliaia 57 3 9" xfId="21029" xr:uid="{DFD730C1-FA99-41F5-AF96-81F396323EEE}"/>
    <cellStyle name="Migliaia 57 3 9 2" xfId="34652" xr:uid="{E54E54A6-A937-4C97-AF47-929D42C9F9CC}"/>
    <cellStyle name="Migliaia 57 4" xfId="1918" xr:uid="{00000000-0005-0000-0000-000099040000}"/>
    <cellStyle name="Migliaia 57 4 10" xfId="7606" xr:uid="{8949452B-2A79-4061-8266-68A862587F2F}"/>
    <cellStyle name="Migliaia 57 4 2" xfId="1919" xr:uid="{00000000-0005-0000-0000-00009A040000}"/>
    <cellStyle name="Migliaia 57 4 2 2" xfId="5673" xr:uid="{CB9A9E64-AC50-4996-B6F5-F4553A7CBFA1}"/>
    <cellStyle name="Migliaia 57 4 2 2 2" xfId="34672" xr:uid="{5F2B9D7F-847F-41B7-8B82-4DEB294E7201}"/>
    <cellStyle name="Migliaia 57 4 2 2 3" xfId="25471" xr:uid="{5078FB87-493F-406B-8FFB-4255B2D9DD64}"/>
    <cellStyle name="Migliaia 57 4 2 2 4" xfId="9212" xr:uid="{6AC7EF0F-65C3-4D46-8847-B9EA55022BF9}"/>
    <cellStyle name="Migliaia 57 4 2 3" xfId="3947" xr:uid="{BED36A13-4821-4761-8E60-AE11002CB1B7}"/>
    <cellStyle name="Migliaia 57 4 2 3 2" xfId="34673" xr:uid="{9A4CD581-4926-447C-86E6-030CF6BFC4AE}"/>
    <cellStyle name="Migliaia 57 4 2 3 3" xfId="25472" xr:uid="{323DF595-2A67-4FEE-BE90-1BDDD744BE25}"/>
    <cellStyle name="Migliaia 57 4 2 3 4" xfId="12097" xr:uid="{41B0E601-32EF-4712-9B5C-0B34EC0BD9F4}"/>
    <cellStyle name="Migliaia 57 4 2 4" xfId="11450" xr:uid="{E958AEFB-40B6-4063-8C70-3118FAECC1D2}"/>
    <cellStyle name="Migliaia 57 4 2 4 2" xfId="34671" xr:uid="{A1E84ACA-A6FF-4591-B602-503E2FE61DFC}"/>
    <cellStyle name="Migliaia 57 4 2 5" xfId="10996" xr:uid="{E4410BCD-6A72-4E32-BEA7-4A82FC051A65}"/>
    <cellStyle name="Migliaia 57 4 2 5 2" xfId="21631" xr:uid="{1B7B9718-C132-4585-B3E0-2D467AE8D01C}"/>
    <cellStyle name="Migliaia 57 4 2 5 3" xfId="47429" xr:uid="{D7470CC0-F670-42DC-AB4D-6D574723F0CD}"/>
    <cellStyle name="Migliaia 57 4 2 5 4" xfId="50646" xr:uid="{B7228BB7-B7DD-42C4-AABD-B5EBEC9842BA}"/>
    <cellStyle name="Migliaia 57 4 2 5 5" xfId="53662" xr:uid="{31AFDDB8-197B-4266-AE25-899566E1CBB8}"/>
    <cellStyle name="Migliaia 57 4 2 6" xfId="21040" xr:uid="{01BCF113-8B8F-44EA-A49A-5255659EDC77}"/>
    <cellStyle name="Migliaia 57 4 2 7" xfId="25470" xr:uid="{5F0D4745-E651-46E7-8785-E0DE680C69EE}"/>
    <cellStyle name="Migliaia 57 4 2 8" xfId="8796" xr:uid="{1BB59FC8-C4DB-48CB-99CC-CC649ADF1861}"/>
    <cellStyle name="Migliaia 57 4 3" xfId="5672" xr:uid="{AAF1B4C7-16CC-46C9-9153-B6D9FB46470B}"/>
    <cellStyle name="Migliaia 57 4 3 2" xfId="18267" xr:uid="{E30B7350-3580-4532-AD4B-49CBF806225E}"/>
    <cellStyle name="Migliaia 57 4 3 2 2" xfId="34674" xr:uid="{730C4737-B544-4B50-83AE-CFECB1E28363}"/>
    <cellStyle name="Migliaia 57 4 3 3" xfId="25473" xr:uid="{B8F2E010-DF19-4391-BD16-94A26803033D}"/>
    <cellStyle name="Migliaia 57 4 3 4" xfId="17269" xr:uid="{AE165398-ABD8-41D0-BD07-30D4A99AFBA1}"/>
    <cellStyle name="Migliaia 57 4 3 5" xfId="9213" xr:uid="{E8964FE3-5F98-4E3C-B815-598F764FA1E9}"/>
    <cellStyle name="Migliaia 57 4 4" xfId="6844" xr:uid="{89A826A3-7CC6-444B-A75D-5B992B9033D1}"/>
    <cellStyle name="Migliaia 57 4 4 2" xfId="34675" xr:uid="{6035B2C9-BFAD-491F-AC7A-C958B140FA2E}"/>
    <cellStyle name="Migliaia 57 4 4 3" xfId="25474" xr:uid="{C5299C11-4098-4057-8ECF-9A5436392167}"/>
    <cellStyle name="Migliaia 57 4 4 4" xfId="12098" xr:uid="{ADFCEBA2-758A-4CB1-8772-174BD5AF2C1C}"/>
    <cellStyle name="Migliaia 57 4 5" xfId="3946" xr:uid="{E5DC2196-567D-4139-B059-4D0A3045E553}"/>
    <cellStyle name="Migliaia 57 4 5 2" xfId="34676" xr:uid="{E89FD007-2FF4-42D8-BECA-A00CD7E7E9AC}"/>
    <cellStyle name="Migliaia 57 4 5 3" xfId="25475" xr:uid="{2602799B-C51A-4750-9ED7-C74F77EE4F44}"/>
    <cellStyle name="Migliaia 57 4 5 4" xfId="11449" xr:uid="{41559AAA-2A0C-4EA3-93D9-94BF730B500A}"/>
    <cellStyle name="Migliaia 57 4 6" xfId="10995" xr:uid="{95147DD5-43F3-44E1-A292-33770F3F6FB0}"/>
    <cellStyle name="Migliaia 57 4 6 2" xfId="21630" xr:uid="{637AF503-DA46-40A6-B44D-8C4144417A37}"/>
    <cellStyle name="Migliaia 57 4 6 2 2" xfId="34677" xr:uid="{C9067E35-1117-426D-B710-4D9A1E7B515B}"/>
    <cellStyle name="Migliaia 57 4 6 3" xfId="25476" xr:uid="{93A7E5C4-26FA-427B-9EC8-C4CF167375D5}"/>
    <cellStyle name="Migliaia 57 4 6 4" xfId="48479" xr:uid="{DECF8E3D-E959-4021-A755-C386E551527D}"/>
    <cellStyle name="Migliaia 57 4 6 5" xfId="48888" xr:uid="{5A6C8245-C2DC-41B1-9B17-C8667CFD8B2A}"/>
    <cellStyle name="Migliaia 57 4 6 6" xfId="50645" xr:uid="{188D1229-EBA1-485B-81C8-21E6A89CB562}"/>
    <cellStyle name="Migliaia 57 4 6 7" xfId="53661" xr:uid="{FF0F13AF-B0D1-4406-9704-9957E5B33263}"/>
    <cellStyle name="Migliaia 57 4 7" xfId="21039" xr:uid="{66AB1E9E-44DE-4D85-985C-AB1309297DB0}"/>
    <cellStyle name="Migliaia 57 4 7 2" xfId="34678" xr:uid="{00B175AD-D409-4455-8F87-EC00A5FDB4D5}"/>
    <cellStyle name="Migliaia 57 4 7 3" xfId="25477" xr:uid="{ABD73C11-1D3E-46B5-85B4-3860A5AD3335}"/>
    <cellStyle name="Migliaia 57 4 8" xfId="34670" xr:uid="{515FCF5A-E9AE-427E-BCCE-7A6EDED56367}"/>
    <cellStyle name="Migliaia 57 4 9" xfId="25469" xr:uid="{A7E88111-490B-49E6-94AA-2CF827ED6065}"/>
    <cellStyle name="Migliaia 57 5" xfId="1920" xr:uid="{00000000-0005-0000-0000-00009B040000}"/>
    <cellStyle name="Migliaia 57 5 2" xfId="5674" xr:uid="{4FB3D0E9-EA40-4CC5-B5AB-B8DA7D59064A}"/>
    <cellStyle name="Migliaia 57 5 2 2" xfId="18520" xr:uid="{C64774F7-D929-4177-A3EA-C601B0FDE625}"/>
    <cellStyle name="Migliaia 57 5 2 2 2" xfId="34680" xr:uid="{B15BE2AD-0396-4107-80AC-96BEADF680FE}"/>
    <cellStyle name="Migliaia 57 5 2 3" xfId="21042" xr:uid="{793FB750-7142-4ED6-A7AA-D40DCCF9A131}"/>
    <cellStyle name="Migliaia 57 5 2 4" xfId="25479" xr:uid="{0A691459-8047-4D31-B6B1-7D8DD03B1007}"/>
    <cellStyle name="Migliaia 57 5 2 5" xfId="16838" xr:uid="{15F9AE07-9C43-48C2-9810-6EED12C33C13}"/>
    <cellStyle name="Migliaia 57 5 2 6" xfId="8797" xr:uid="{7CDF1D0D-D2FC-435E-B481-D2E27E1098A1}"/>
    <cellStyle name="Migliaia 57 5 3" xfId="6845" xr:uid="{ABC01282-D23B-42F9-B713-AD60225FD30F}"/>
    <cellStyle name="Migliaia 57 5 3 2" xfId="34681" xr:uid="{E872B236-5507-4962-9C09-E39A3ECB8151}"/>
    <cellStyle name="Migliaia 57 5 3 3" xfId="25480" xr:uid="{58976EF0-2B8C-45F8-80C2-6D13945243E6}"/>
    <cellStyle name="Migliaia 57 5 3 4" xfId="11451" xr:uid="{20ED5F23-9869-4BCA-9384-D322F327C821}"/>
    <cellStyle name="Migliaia 57 5 4" xfId="3948" xr:uid="{38CDFE54-0F48-40A7-A4E0-1A222AEB9EBC}"/>
    <cellStyle name="Migliaia 57 5 4 2" xfId="21632" xr:uid="{B4CA8EFF-8F5D-4089-AAF4-452488AAC305}"/>
    <cellStyle name="Migliaia 57 5 4 2 2" xfId="34682" xr:uid="{0B0D6363-A3FF-4DB1-9BD8-02E754CA242F}"/>
    <cellStyle name="Migliaia 57 5 4 3" xfId="25481" xr:uid="{0DB7A976-53C7-43EC-AE73-A642349188A6}"/>
    <cellStyle name="Migliaia 57 5 4 4" xfId="46263" xr:uid="{25396E83-81AC-44CE-9A6A-79038A030D02}"/>
    <cellStyle name="Migliaia 57 5 4 5" xfId="48889" xr:uid="{8FDF03C0-C9E0-46F7-92BC-C9E8D5DA9504}"/>
    <cellStyle name="Migliaia 57 5 4 6" xfId="50647" xr:uid="{8FFB7111-2451-48C4-B572-FBE09F3BAFBF}"/>
    <cellStyle name="Migliaia 57 5 4 7" xfId="53663" xr:uid="{5E04B4F0-5E4A-4189-85C9-52730BBE9A02}"/>
    <cellStyle name="Migliaia 57 5 4 8" xfId="10997" xr:uid="{4DF25493-BA95-49CE-BDC0-8259B75323EF}"/>
    <cellStyle name="Migliaia 57 5 5" xfId="21041" xr:uid="{350AFEDF-E568-4D9A-9D8F-836FD1A7B5B2}"/>
    <cellStyle name="Migliaia 57 5 5 2" xfId="34683" xr:uid="{4915C850-8D61-40A9-AA54-532A1EB93A44}"/>
    <cellStyle name="Migliaia 57 5 5 3" xfId="25482" xr:uid="{5D0141F8-3168-4B1D-B4CC-B78B568A5229}"/>
    <cellStyle name="Migliaia 57 5 5 4" xfId="48890" xr:uid="{DDA5E150-81F2-4C18-8DBF-A0538A762083}"/>
    <cellStyle name="Migliaia 57 5 6" xfId="25483" xr:uid="{0580F102-3505-44D3-8E0D-2F49DCEE2A7E}"/>
    <cellStyle name="Migliaia 57 5 6 2" xfId="34684" xr:uid="{A987C658-DAA7-45ED-BF51-70C323C1A6BB}"/>
    <cellStyle name="Migliaia 57 5 7" xfId="34679" xr:uid="{4B392CA5-C0B0-4C64-B8B5-E509E7712740}"/>
    <cellStyle name="Migliaia 57 5 8" xfId="25478" xr:uid="{21A4D17A-E2B4-4E20-B555-F6CEE38B38E9}"/>
    <cellStyle name="Migliaia 57 5 9" xfId="7607" xr:uid="{36031A93-74DE-416A-93EC-D5B2EFB8C84D}"/>
    <cellStyle name="Migliaia 57 6" xfId="3949" xr:uid="{F55036AE-C563-405E-A0BA-EEEB31E5B7EC}"/>
    <cellStyle name="Migliaia 57 6 2" xfId="5675" xr:uid="{600AA8AE-3BBC-4EB2-B58A-45DE04C1A931}"/>
    <cellStyle name="Migliaia 57 6 2 2" xfId="9985" xr:uid="{293D6E87-BF0D-474C-8035-9FCF12F1ACAC}"/>
    <cellStyle name="Migliaia 57 6 2 3" xfId="18562" xr:uid="{9216C1D3-CAD5-4180-91F5-68823FAC7B31}"/>
    <cellStyle name="Migliaia 57 6 2 4" xfId="21044" xr:uid="{A465B84C-981C-403A-85F3-7B26E9428792}"/>
    <cellStyle name="Migliaia 57 6 2 5" xfId="32480" xr:uid="{24D3A27D-7102-4F68-BD3B-CE1BC753B5E2}"/>
    <cellStyle name="Migliaia 57 6 2 6" xfId="16840" xr:uid="{85DA2266-C439-4D10-93AE-4308D3D9035C}"/>
    <cellStyle name="Migliaia 57 6 2 7" xfId="8792" xr:uid="{D74D3A1E-10BF-42E4-A7DC-1D19FC228129}"/>
    <cellStyle name="Migliaia 57 6 3" xfId="6846" xr:uid="{9A57E806-AAEE-4C40-81EE-BE1681B2718C}"/>
    <cellStyle name="Migliaia 57 6 3 2" xfId="35491" xr:uid="{4258F7F5-912D-44FC-A3F4-641580C6AC13}"/>
    <cellStyle name="Migliaia 57 6 3 2 2" xfId="40651" xr:uid="{B946C738-8272-4296-8C12-B4C7DB891AAB}"/>
    <cellStyle name="Migliaia 57 6 3 2 3" xfId="45953" xr:uid="{075156BF-033E-4914-992D-C09AEEFB4C4C}"/>
    <cellStyle name="Migliaia 57 6 3 3" xfId="38000" xr:uid="{8CBEDFF2-775E-4A09-B8B4-4FA49235BE69}"/>
    <cellStyle name="Migliaia 57 6 3 4" xfId="43302" xr:uid="{80A7111F-7763-4CB6-939B-319261180DC9}"/>
    <cellStyle name="Migliaia 57 6 3 5" xfId="9748" xr:uid="{B15C69E8-8E94-4CB3-B0E0-EA52483DF4A3}"/>
    <cellStyle name="Migliaia 57 6 4" xfId="21043" xr:uid="{3F41F886-A974-4876-AAEA-30B104254F10}"/>
    <cellStyle name="Migliaia 57 6 4 2" xfId="34685" xr:uid="{0BA684BC-183F-4406-9B9D-60779D8E0A6D}"/>
    <cellStyle name="Migliaia 57 6 5" xfId="25484" xr:uid="{4082AC42-8CDC-45A4-A82E-EA2A2582B47C}"/>
    <cellStyle name="Migliaia 57 6 6" xfId="16839" xr:uid="{7553129C-E91A-46DB-A4A2-61C53BEE8C72}"/>
    <cellStyle name="Migliaia 57 6 7" xfId="7602" xr:uid="{3D6F4A93-FB41-44F5-84F4-A02BD57B8841}"/>
    <cellStyle name="Migliaia 57 7" xfId="3950" xr:uid="{763D5F6A-60D5-433D-8836-7AF14A6AAAF1}"/>
    <cellStyle name="Migliaia 57 7 2" xfId="5676" xr:uid="{F08C7BFC-D74B-4F9F-947C-333B1C7D29E1}"/>
    <cellStyle name="Migliaia 57 7 2 2" xfId="35492" xr:uid="{6FCE9668-4A0A-49A4-AD09-98DAD1472348}"/>
    <cellStyle name="Migliaia 57 7 2 2 2" xfId="40652" xr:uid="{3F81A9F9-11B2-404F-A81C-692E146071F9}"/>
    <cellStyle name="Migliaia 57 7 2 2 3" xfId="45954" xr:uid="{AC689D06-E7CC-4CA2-B5BB-2BC0AE55505C}"/>
    <cellStyle name="Migliaia 57 7 2 3" xfId="38001" xr:uid="{A10F5A5B-7C05-4A5E-AAF9-B64DC86019F6}"/>
    <cellStyle name="Migliaia 57 7 2 4" xfId="43303" xr:uid="{A063D4DA-4CBF-4580-92F7-A2574B531FD3}"/>
    <cellStyle name="Migliaia 57 7 2 5" xfId="14335" xr:uid="{0A25BB99-21FF-4087-98E6-87516D7FC88E}"/>
    <cellStyle name="Migliaia 57 7 3" xfId="6847" xr:uid="{B4D8D6C0-3945-43E9-9741-E445A4C5769C}"/>
    <cellStyle name="Migliaia 57 7 3 2" xfId="34686" xr:uid="{0443CE04-F2BF-47A7-9912-428594EDA251}"/>
    <cellStyle name="Migliaia 57 7 3 3" xfId="21045" xr:uid="{F81E9015-D62A-4FAB-AE16-B02F36F2D6E3}"/>
    <cellStyle name="Migliaia 57 7 4" xfId="25485" xr:uid="{17EBC0DC-A725-4C2F-A6C1-EF977B0E1203}"/>
    <cellStyle name="Migliaia 57 7 5" xfId="16841" xr:uid="{3CBBB5E4-BB61-4733-92D8-32D3091E7F79}"/>
    <cellStyle name="Migliaia 57 7 6" xfId="8397" xr:uid="{2695E89A-3044-4DD8-8075-A9D8CC4CFD76}"/>
    <cellStyle name="Migliaia 57 8" xfId="3951" xr:uid="{65594BF0-C179-4302-9D2E-A55FF220BC91}"/>
    <cellStyle name="Migliaia 57 8 2" xfId="5677" xr:uid="{276204BD-A7CE-4F51-A29C-77BB3CB5DAC2}"/>
    <cellStyle name="Migliaia 57 8 2 2" xfId="35493" xr:uid="{F48C775A-8556-477B-B56C-30FB1FDD1015}"/>
    <cellStyle name="Migliaia 57 8 2 2 2" xfId="40653" xr:uid="{BDA2420D-7F78-4F9E-835E-C550832B7C60}"/>
    <cellStyle name="Migliaia 57 8 2 2 3" xfId="45955" xr:uid="{8D66BC30-5582-4BD6-A03A-BA289EB4265B}"/>
    <cellStyle name="Migliaia 57 8 2 3" xfId="38002" xr:uid="{8E68B6CF-AAAF-49D1-8847-EE0C7C787D33}"/>
    <cellStyle name="Migliaia 57 8 2 4" xfId="43304" xr:uid="{DD02C086-9C1F-43A4-B662-16D560890DA8}"/>
    <cellStyle name="Migliaia 57 8 2 5" xfId="14040" xr:uid="{20487CA8-DC2D-40FD-B402-6B42122C95B9}"/>
    <cellStyle name="Migliaia 57 8 3" xfId="6848" xr:uid="{D89D6693-DD1E-4D1E-B6A3-EEBCAB329441}"/>
    <cellStyle name="Migliaia 57 8 3 2" xfId="34687" xr:uid="{D28B3589-E77C-483A-9199-0308555251E2}"/>
    <cellStyle name="Migliaia 57 8 3 3" xfId="21046" xr:uid="{4A0A0EBD-FE29-48FB-B419-2E7B4B13A8D3}"/>
    <cellStyle name="Migliaia 57 8 4" xfId="25486" xr:uid="{57BBA0EA-1DCD-426E-8531-CF6D93228D33}"/>
    <cellStyle name="Migliaia 57 8 5" xfId="16842" xr:uid="{89677FB0-DAF6-4DEC-AE39-D906FE623F2F}"/>
    <cellStyle name="Migliaia 57 8 6" xfId="8030" xr:uid="{E1E1D171-9C57-47C2-9B8B-1B86A41D9E17}"/>
    <cellStyle name="Migliaia 57 9" xfId="5662" xr:uid="{546AFB26-0AE7-4018-A13C-89AACB18E933}"/>
    <cellStyle name="Migliaia 57 9 2" xfId="34688" xr:uid="{07067C89-0B12-4221-AAC8-141A20A40776}"/>
    <cellStyle name="Migliaia 57 9 3" xfId="25487" xr:uid="{433269F5-DF41-49A9-8404-53408D21A8A1}"/>
    <cellStyle name="Migliaia 57 9 4" xfId="17239" xr:uid="{4431C6E9-0E60-494C-9F91-5506F3A0745F}"/>
    <cellStyle name="Migliaia 58" xfId="513" xr:uid="{00000000-0005-0000-0000-00009C040000}"/>
    <cellStyle name="Migliaia 58 10" xfId="6849" xr:uid="{3394535C-1CB2-4BFE-B6F2-24F5B1D688E3}"/>
    <cellStyle name="Migliaia 58 10 2" xfId="34689" xr:uid="{C30C6F7A-0A03-4AA1-9001-0ED1D1F41DA0}"/>
    <cellStyle name="Migliaia 58 10 3" xfId="21047" xr:uid="{EA660202-D321-4021-9810-5E3A80C88366}"/>
    <cellStyle name="Migliaia 58 11" xfId="3952" xr:uid="{DAACC7DD-B9E1-41BF-B219-D8D4A8E6532B}"/>
    <cellStyle name="Migliaia 58 11 2" xfId="25488" xr:uid="{A46B19E7-8D2C-4903-B69D-2ECFCCBCCA4C}"/>
    <cellStyle name="Migliaia 58 12" xfId="7201" xr:uid="{28066BF9-9E4C-47A5-ABD9-274A099DF200}"/>
    <cellStyle name="Migliaia 58 2" xfId="514" xr:uid="{00000000-0005-0000-0000-00009D040000}"/>
    <cellStyle name="Migliaia 58 2 2" xfId="1921" xr:uid="{00000000-0005-0000-0000-00009E040000}"/>
    <cellStyle name="Migliaia 58 2 2 2" xfId="5680" xr:uid="{29566949-368E-4B10-9449-8F432DC0C969}"/>
    <cellStyle name="Migliaia 58 2 2 2 2" xfId="14416" xr:uid="{B770E717-A594-4E41-BA15-E2F04011EA12}"/>
    <cellStyle name="Migliaia 58 2 2 2 2 2" xfId="34692" xr:uid="{C15917B1-8E0E-414B-8323-F67667E89969}"/>
    <cellStyle name="Migliaia 58 2 2 2 3" xfId="18521" xr:uid="{36CD0A3F-FF3D-4139-ACDB-58B30F47D500}"/>
    <cellStyle name="Migliaia 58 2 2 2 4" xfId="21050" xr:uid="{B2A4ACA2-55B8-4919-B53E-B50BB8C54890}"/>
    <cellStyle name="Migliaia 58 2 2 2 5" xfId="25491" xr:uid="{375A33E1-5814-4CE0-912D-9BA3BBAF4546}"/>
    <cellStyle name="Migliaia 58 2 2 2 6" xfId="16843" xr:uid="{271334B7-6576-4897-85B5-3A4C1EEE30FC}"/>
    <cellStyle name="Migliaia 58 2 2 2 7" xfId="8799" xr:uid="{8258010C-02D5-4318-8BA9-783D881AE90E}"/>
    <cellStyle name="Migliaia 58 2 2 3" xfId="6851" xr:uid="{73FB7CEE-1C4A-48C8-9351-8DA6E2C90C03}"/>
    <cellStyle name="Migliaia 58 2 2 3 2" xfId="35494" xr:uid="{C530332F-8759-4609-8BA0-F8D297558DE7}"/>
    <cellStyle name="Migliaia 58 2 2 3 2 2" xfId="40654" xr:uid="{592BB7CB-8642-49D8-9FB2-F5BDB701EB7F}"/>
    <cellStyle name="Migliaia 58 2 2 3 2 3" xfId="45956" xr:uid="{321CF002-B957-4569-BC35-6B87CEBD84E9}"/>
    <cellStyle name="Migliaia 58 2 2 3 3" xfId="38003" xr:uid="{1AAAAA6A-4D1C-43E9-A3BA-2B67C62B8547}"/>
    <cellStyle name="Migliaia 58 2 2 3 4" xfId="43305" xr:uid="{E2E18517-112C-4B1E-8F53-02A82FB98AF8}"/>
    <cellStyle name="Migliaia 58 2 2 3 5" xfId="11643" xr:uid="{5E072C23-1E4D-4D25-BCF2-9D33B6764CB6}"/>
    <cellStyle name="Migliaia 58 2 2 4" xfId="3954" xr:uid="{17E814A8-10A2-4826-BDBE-FB4BA9392572}"/>
    <cellStyle name="Migliaia 58 2 2 4 2" xfId="21633" xr:uid="{E19D6392-1A2C-4D2A-8CD4-C8997A281E36}"/>
    <cellStyle name="Migliaia 58 2 2 4 3" xfId="34691" xr:uid="{AEA27B4C-1DF2-4F1F-BAEE-B652B66B9502}"/>
    <cellStyle name="Migliaia 58 2 2 4 4" xfId="32448" xr:uid="{E33C213A-8105-474B-9594-24D91F5C60E2}"/>
    <cellStyle name="Migliaia 58 2 2 4 5" xfId="50648" xr:uid="{2A395AF5-A2F0-4137-94F8-C2579E46C1CB}"/>
    <cellStyle name="Migliaia 58 2 2 4 6" xfId="53664" xr:uid="{376DF1B9-46C8-4972-B53A-82FAD43B9C4D}"/>
    <cellStyle name="Migliaia 58 2 2 4 7" xfId="10998" xr:uid="{CE9D39B0-FAF2-4FAC-88D6-C5C83644B449}"/>
    <cellStyle name="Migliaia 58 2 2 5" xfId="21049" xr:uid="{19FA8052-DB18-48A7-8755-57BA62246F3E}"/>
    <cellStyle name="Migliaia 58 2 2 6" xfId="25490" xr:uid="{C0784EF8-0DE3-4EDC-AD63-7891C6AA049F}"/>
    <cellStyle name="Migliaia 58 2 2 7" xfId="7609" xr:uid="{1E5B036F-F17C-4FA4-852C-93BE789A67F8}"/>
    <cellStyle name="Migliaia 58 2 3" xfId="3955" xr:uid="{6D2EBAA9-5EC3-49BD-AAE5-20F7DEB0371E}"/>
    <cellStyle name="Migliaia 58 2 3 2" xfId="5681" xr:uid="{49428E3B-AA08-41F1-A900-E89D01088AF9}"/>
    <cellStyle name="Migliaia 58 2 3 2 2" xfId="35495" xr:uid="{51ECEAF2-61BB-4A68-80E9-0A823A1E8D36}"/>
    <cellStyle name="Migliaia 58 2 3 2 2 2" xfId="40655" xr:uid="{52BB75C7-E415-441F-ACAA-E885E1612155}"/>
    <cellStyle name="Migliaia 58 2 3 2 2 3" xfId="45957" xr:uid="{47A9AC33-3056-4E11-ACC3-4CE99835D174}"/>
    <cellStyle name="Migliaia 58 2 3 2 3" xfId="38004" xr:uid="{D3120B25-75FE-4DF1-BFA8-CC6169ED4061}"/>
    <cellStyle name="Migliaia 58 2 3 2 4" xfId="43306" xr:uid="{5FED8DAD-981A-4B6B-9883-68753AF2C7CC}"/>
    <cellStyle name="Migliaia 58 2 3 2 5" xfId="14339" xr:uid="{A7FE86A0-6266-4836-B3B5-DE286D0420F2}"/>
    <cellStyle name="Migliaia 58 2 3 3" xfId="6852" xr:uid="{C3478680-EB6A-4E0E-90EC-BAA01B56E7C6}"/>
    <cellStyle name="Migliaia 58 2 3 3 2" xfId="34693" xr:uid="{F50F80F8-17EE-4C3F-8993-C069A868E097}"/>
    <cellStyle name="Migliaia 58 2 3 3 3" xfId="21051" xr:uid="{01B3B1C6-0589-46D9-B7EA-1ED3E3D04F07}"/>
    <cellStyle name="Migliaia 58 2 3 4" xfId="25492" xr:uid="{1C1E57CB-27BF-4B57-912E-BD68A4BD58C5}"/>
    <cellStyle name="Migliaia 58 2 3 5" xfId="16844" xr:uid="{2DDE4E19-7C9C-4732-A8ED-3A6066712D1E}"/>
    <cellStyle name="Migliaia 58 2 3 6" xfId="8401" xr:uid="{5A354B5C-2EBC-4279-8B6D-CC846EB65CA3}"/>
    <cellStyle name="Migliaia 58 2 4" xfId="5679" xr:uid="{9F9B2B0A-2710-4889-861A-EEF6E9DA9587}"/>
    <cellStyle name="Migliaia 58 2 4 2" xfId="14044" xr:uid="{DF7EBB7E-6DDF-4C3A-A924-E856CBD36A76}"/>
    <cellStyle name="Migliaia 58 2 4 2 2" xfId="34694" xr:uid="{0758C85B-C596-4AA0-A00D-FB5AD81D3D7A}"/>
    <cellStyle name="Migliaia 58 2 4 3" xfId="18687" xr:uid="{CE48705E-EA15-4C02-ACEE-3F298474E0E8}"/>
    <cellStyle name="Migliaia 58 2 4 4" xfId="21052" xr:uid="{198EEC1A-DBDE-4288-97F7-E08C4186B314}"/>
    <cellStyle name="Migliaia 58 2 4 5" xfId="25493" xr:uid="{BC744E27-D1AA-48AE-955F-44D9BDE7FC99}"/>
    <cellStyle name="Migliaia 58 2 4 6" xfId="16845" xr:uid="{32DE9713-F2C8-4C4E-B1D1-93FEA4B6DF51}"/>
    <cellStyle name="Migliaia 58 2 4 7" xfId="8035" xr:uid="{FA5F500B-5B2F-4348-B913-188C902E2062}"/>
    <cellStyle name="Migliaia 58 2 5" xfId="6850" xr:uid="{24353817-5494-4E8D-8DE3-2949C852C3FE}"/>
    <cellStyle name="Migliaia 58 2 5 2" xfId="34695" xr:uid="{F2E50A63-15E3-430A-B87F-7E8219AFC207}"/>
    <cellStyle name="Migliaia 58 2 5 3" xfId="25494" xr:uid="{A116839E-BAEF-46AD-9151-3F2E582F8EB2}"/>
    <cellStyle name="Migliaia 58 2 5 4" xfId="13156" xr:uid="{5006C0F9-91BC-4A96-A558-99E4A14018DD}"/>
    <cellStyle name="Migliaia 58 2 6" xfId="3953" xr:uid="{54002C39-CC75-48B4-A8FA-47DD64A73B87}"/>
    <cellStyle name="Migliaia 58 2 6 2" xfId="34696" xr:uid="{FADAE430-6E6D-42EE-A59E-8D1B436F7549}"/>
    <cellStyle name="Migliaia 58 2 6 3" xfId="25495" xr:uid="{C1FA7009-606F-4A6F-9F63-09E360808F7B}"/>
    <cellStyle name="Migliaia 58 2 6 4" xfId="21048" xr:uid="{510A6152-9F1A-4591-91EF-EE76A6569CB8}"/>
    <cellStyle name="Migliaia 58 2 7" xfId="34690" xr:uid="{68692DF4-BB70-43F5-A64D-5F0F11F55A52}"/>
    <cellStyle name="Migliaia 58 2 8" xfId="25489" xr:uid="{580628C9-BE1B-48D9-A1E2-8D8105624F45}"/>
    <cellStyle name="Migliaia 58 2 9" xfId="7202" xr:uid="{F906F785-D7F9-480C-B4DA-91E051FA88E0}"/>
    <cellStyle name="Migliaia 58 3" xfId="515" xr:uid="{00000000-0005-0000-0000-00009F040000}"/>
    <cellStyle name="Migliaia 58 3 10" xfId="25496" xr:uid="{56CCAEA2-E242-4E4B-AE9E-63E50E2EAAB0}"/>
    <cellStyle name="Migliaia 58 3 11" xfId="16846" xr:uid="{B5E2B1BE-A8D5-45F5-A941-CC374E3AE02E}"/>
    <cellStyle name="Migliaia 58 3 12" xfId="7203" xr:uid="{01BD1817-C42D-4BA6-A999-0BF37A3A4D1A}"/>
    <cellStyle name="Migliaia 58 3 2" xfId="516" xr:uid="{00000000-0005-0000-0000-0000A0040000}"/>
    <cellStyle name="Migliaia 58 3 2 2" xfId="1922" xr:uid="{00000000-0005-0000-0000-0000A1040000}"/>
    <cellStyle name="Migliaia 58 3 2 2 2" xfId="5684" xr:uid="{88CCF012-DA0E-4341-8E34-E28A03BCBB27}"/>
    <cellStyle name="Migliaia 58 3 2 2 2 2" xfId="18522" xr:uid="{83E1CB2C-800C-4F28-9DD3-62C8E2EE9B29}"/>
    <cellStyle name="Migliaia 58 3 2 2 2 2 2" xfId="21894" xr:uid="{FAF5AE26-C76B-46C6-92C0-9D03A0248902}"/>
    <cellStyle name="Migliaia 58 3 2 2 2 2 3" xfId="34700" xr:uid="{03DE6C23-DF77-449E-92F0-83C54A932119}"/>
    <cellStyle name="Migliaia 58 3 2 2 2 3" xfId="25499" xr:uid="{7F5796FF-26FE-418A-80E2-1D53F18BFD34}"/>
    <cellStyle name="Migliaia 58 3 2 2 2 4" xfId="46304" xr:uid="{0D3C9A40-58EA-4D67-AC11-FF8DB834C12C}"/>
    <cellStyle name="Migliaia 58 3 2 2 2 5" xfId="50922" xr:uid="{FD363E63-6A5A-450E-A1DE-42DC99512664}"/>
    <cellStyle name="Migliaia 58 3 2 2 2 6" xfId="53938" xr:uid="{D67D1FD3-89E1-4384-BB61-1CA7E93C2475}"/>
    <cellStyle name="Migliaia 58 3 2 2 2 7" xfId="17693" xr:uid="{51DD3135-6902-4B2F-892B-7EF466C244BD}"/>
    <cellStyle name="Migliaia 58 3 2 2 2 8" xfId="12099" xr:uid="{1C9A076B-9899-4235-8D76-31FF2565AC4E}"/>
    <cellStyle name="Migliaia 58 3 2 2 3" xfId="6855" xr:uid="{502DF71D-D22F-41DC-8B7D-A2FEC6E40DC0}"/>
    <cellStyle name="Migliaia 58 3 2 2 3 2" xfId="34699" xr:uid="{0ACB5976-10D2-4261-AEBC-0C1C2E998634}"/>
    <cellStyle name="Migliaia 58 3 2 2 3 3" xfId="11161" xr:uid="{C9AA9A95-B184-4F05-930C-8CBCD13D6034}"/>
    <cellStyle name="Migliaia 58 3 2 2 4" xfId="3958" xr:uid="{6E6ACAA6-BC33-428D-AECE-53001542183D}"/>
    <cellStyle name="Migliaia 58 3 2 2 4 2" xfId="21634" xr:uid="{1C3053C1-EDF2-4AF9-866B-F86FF1C7533A}"/>
    <cellStyle name="Migliaia 58 3 2 2 4 3" xfId="24508" xr:uid="{7974B216-7A2A-449C-8D46-82B616D13475}"/>
    <cellStyle name="Migliaia 58 3 2 2 4 4" xfId="50649" xr:uid="{421F9746-1F4A-4370-ABDD-A89116CA4290}"/>
    <cellStyle name="Migliaia 58 3 2 2 4 5" xfId="53665" xr:uid="{B3E95B73-6C00-48FB-9910-92725AB2AF4B}"/>
    <cellStyle name="Migliaia 58 3 2 2 4 6" xfId="10999" xr:uid="{E3BC5290-D0B3-4992-8047-832671198396}"/>
    <cellStyle name="Migliaia 58 3 2 2 5" xfId="21055" xr:uid="{A38AA777-D385-4419-B45C-274A083C88CF}"/>
    <cellStyle name="Migliaia 58 3 2 2 6" xfId="25498" xr:uid="{B1F3FD36-1CF6-415B-B13D-9BB4CD5DCD2E}"/>
    <cellStyle name="Migliaia 58 3 2 2 7" xfId="8801" xr:uid="{354039DF-8C58-438B-9C74-AE1552D85634}"/>
    <cellStyle name="Migliaia 58 3 2 3" xfId="5683" xr:uid="{A99B2CEF-CA46-4F1E-B604-881213E7D00B}"/>
    <cellStyle name="Migliaia 58 3 2 3 2" xfId="11108" xr:uid="{7B7AABFC-5518-48FB-AD6E-E4EEB30DF544}"/>
    <cellStyle name="Migliaia 58 3 2 3 2 2" xfId="34701" xr:uid="{A7BD0096-0493-4193-92DF-268250823289}"/>
    <cellStyle name="Migliaia 58 3 2 3 3" xfId="12100" xr:uid="{7B95FBD2-0E47-4B12-883A-B34223F73AD0}"/>
    <cellStyle name="Migliaia 58 3 2 3 4" xfId="21056" xr:uid="{3F5BA734-92E5-4D59-85A7-8FA6AC1CCD6E}"/>
    <cellStyle name="Migliaia 58 3 2 3 5" xfId="25500" xr:uid="{BC1CA05C-0B42-4B64-9457-1F09EFCB9E2D}"/>
    <cellStyle name="Migliaia 58 3 2 3 6" xfId="16847" xr:uid="{FDD43721-0CD8-440F-8AFF-358E813ACFA4}"/>
    <cellStyle name="Migliaia 58 3 2 3 7" xfId="8037" xr:uid="{929406DF-53A3-4C33-825D-4DEADFF014DA}"/>
    <cellStyle name="Migliaia 58 3 2 4" xfId="6854" xr:uid="{F52E4555-6FF1-46B4-ADD6-E35E4CAC7DF0}"/>
    <cellStyle name="Migliaia 58 3 2 4 2" xfId="18110" xr:uid="{98814C31-4EE7-4C9A-8130-4E56486EC903}"/>
    <cellStyle name="Migliaia 58 3 2 4 2 2" xfId="34702" xr:uid="{6EC8F5DB-5162-49B3-90E7-2CB840737B11}"/>
    <cellStyle name="Migliaia 58 3 2 4 3" xfId="25501" xr:uid="{421DF865-9365-40EE-8F7E-915C82D07232}"/>
    <cellStyle name="Migliaia 58 3 2 4 4" xfId="17242" xr:uid="{36EF94A1-997E-47DB-958C-CDE36066A1C2}"/>
    <cellStyle name="Migliaia 58 3 2 4 5" xfId="11452" xr:uid="{63D9CCF4-46E3-4A09-B6FE-29C5BF65E614}"/>
    <cellStyle name="Migliaia 58 3 2 5" xfId="3957" xr:uid="{8885D4AA-B1E4-4FD7-A0A8-5E4D7F3184EF}"/>
    <cellStyle name="Migliaia 58 3 2 5 2" xfId="34703" xr:uid="{98B0E436-ECD1-4852-92B0-8F6E64743984}"/>
    <cellStyle name="Migliaia 58 3 2 5 3" xfId="25502" xr:uid="{3BF2C191-24EB-460C-B3DF-DF28FC1702AE}"/>
    <cellStyle name="Migliaia 58 3 2 5 4" xfId="17267" xr:uid="{50BD9FAF-E2D3-4887-9F39-C56A2DDF353B}"/>
    <cellStyle name="Migliaia 58 3 2 6" xfId="21054" xr:uid="{165379EB-1325-4A59-B6D8-A181262A8627}"/>
    <cellStyle name="Migliaia 58 3 2 6 2" xfId="34704" xr:uid="{45CC7E54-A8FE-4D5E-BDB9-79055E61B1A4}"/>
    <cellStyle name="Migliaia 58 3 2 6 3" xfId="25503" xr:uid="{1DA09CE1-1082-4BAB-939F-89C624A3E7BD}"/>
    <cellStyle name="Migliaia 58 3 2 7" xfId="34698" xr:uid="{DA9F9E2E-B1A0-4791-855F-4F2992B9569A}"/>
    <cellStyle name="Migliaia 58 3 2 8" xfId="25497" xr:uid="{2382DE29-E899-4B74-A29C-E435DF1FE6C2}"/>
    <cellStyle name="Migliaia 58 3 2 9" xfId="7611" xr:uid="{FF05A5F9-4EC2-4142-AD1A-A3F752971EB1}"/>
    <cellStyle name="Migliaia 58 3 3" xfId="3959" xr:uid="{9C65F5C0-E73B-41A6-9E1C-73D8C2A07F63}"/>
    <cellStyle name="Migliaia 58 3 3 2" xfId="5685" xr:uid="{5FE8F284-F0B7-4446-A352-F211CC31A8C3}"/>
    <cellStyle name="Migliaia 58 3 3 2 2" xfId="9988" xr:uid="{E9BF7AC4-5222-41D7-A14A-BEB973127B82}"/>
    <cellStyle name="Migliaia 58 3 3 2 2 2" xfId="34706" xr:uid="{A60A5F57-7CE7-49D0-B03A-F4CFF7C8A9A9}"/>
    <cellStyle name="Migliaia 58 3 3 2 3" xfId="18268" xr:uid="{728F2280-56B6-4C4D-B057-3BDE0BAEF18D}"/>
    <cellStyle name="Migliaia 58 3 3 2 4" xfId="21058" xr:uid="{756E879A-C756-4DD5-A45B-6D070386FFA1}"/>
    <cellStyle name="Migliaia 58 3 3 2 5" xfId="25505" xr:uid="{508DDB2E-13BC-41B4-ACAB-DDE2B5EAD95B}"/>
    <cellStyle name="Migliaia 58 3 3 2 6" xfId="16849" xr:uid="{BD1926FC-5DD1-43EF-BE3B-14072DB2B3AC}"/>
    <cellStyle name="Migliaia 58 3 3 2 7" xfId="8800" xr:uid="{5DF565EE-1E85-46E5-85F6-33BC0769AEB9}"/>
    <cellStyle name="Migliaia 58 3 3 3" xfId="6856" xr:uid="{7069E256-9DAA-4E43-8FF3-90038EF3164B}"/>
    <cellStyle name="Migliaia 58 3 3 3 2" xfId="34707" xr:uid="{05F805F8-14C9-4F56-958C-6A44ADEA1DA2}"/>
    <cellStyle name="Migliaia 58 3 3 3 3" xfId="25506" xr:uid="{CB302C7E-15DC-4E0F-972A-27407D58FF0F}"/>
    <cellStyle name="Migliaia 58 3 3 3 4" xfId="9751" xr:uid="{76CFC0A7-EE3B-478A-B31E-D571655B0EEF}"/>
    <cellStyle name="Migliaia 58 3 3 4" xfId="21057" xr:uid="{6FB9FF16-2E30-4203-A9C9-0FE052CDB414}"/>
    <cellStyle name="Migliaia 58 3 3 4 2" xfId="34708" xr:uid="{B6648BBD-863C-4E44-AA77-2F2445F2E1BE}"/>
    <cellStyle name="Migliaia 58 3 3 4 3" xfId="25507" xr:uid="{19F20ABD-AE0C-49AD-87E7-E1D8DB50688E}"/>
    <cellStyle name="Migliaia 58 3 3 4 4" xfId="48891" xr:uid="{95F8437C-9D05-4960-BC98-63F21A05897F}"/>
    <cellStyle name="Migliaia 58 3 3 5" xfId="25508" xr:uid="{CCC7DCBD-4082-45E4-8F57-DCA6F456F9E4}"/>
    <cellStyle name="Migliaia 58 3 3 5 2" xfId="34709" xr:uid="{91D23575-4799-4F0A-9297-8377891FB058}"/>
    <cellStyle name="Migliaia 58 3 3 5 3" xfId="48892" xr:uid="{9C552F32-3D54-4384-919F-0095759CD7D4}"/>
    <cellStyle name="Migliaia 58 3 3 6" xfId="34705" xr:uid="{66F62B3B-600A-43AF-BDAE-A62761D6F7D2}"/>
    <cellStyle name="Migliaia 58 3 3 7" xfId="25504" xr:uid="{E0AB10DE-6702-43FE-9045-2C4D8F58FB42}"/>
    <cellStyle name="Migliaia 58 3 3 8" xfId="16848" xr:uid="{5249C7A1-C7B5-414E-95DA-F8B8B018EC1F}"/>
    <cellStyle name="Migliaia 58 3 3 9" xfId="7610" xr:uid="{FBF1204D-C068-4599-AE46-F26605CE8AF0}"/>
    <cellStyle name="Migliaia 58 3 4" xfId="3960" xr:uid="{0873867C-06F0-4126-B3E6-280B637497A5}"/>
    <cellStyle name="Migliaia 58 3 4 2" xfId="5686" xr:uid="{AC63979C-4AD7-4A70-B623-C419105C60AF}"/>
    <cellStyle name="Migliaia 58 3 4 2 2" xfId="14476" xr:uid="{A9CC8F6E-5801-47A2-891C-CC8A763D394A}"/>
    <cellStyle name="Migliaia 58 3 4 2 3" xfId="18574" xr:uid="{A41A450D-6786-492D-BB33-38DB7BD48A36}"/>
    <cellStyle name="Migliaia 58 3 4 2 4" xfId="21060" xr:uid="{E0250EE4-1913-4049-A00D-EB143CA596CF}"/>
    <cellStyle name="Migliaia 58 3 4 2 5" xfId="32481" xr:uid="{B1426996-F99B-440C-8B31-6C8416D69846}"/>
    <cellStyle name="Migliaia 58 3 4 2 6" xfId="16851" xr:uid="{17504C1B-36AE-4D38-BCAC-2D9ADA4FAC7F}"/>
    <cellStyle name="Migliaia 58 3 4 2 7" xfId="8899" xr:uid="{C27C204A-5902-4B56-8068-A9F2A5871C23}"/>
    <cellStyle name="Migliaia 58 3 4 3" xfId="6857" xr:uid="{C8C59EDE-50E8-41B4-9CF0-A051BB32A133}"/>
    <cellStyle name="Migliaia 58 3 4 3 2" xfId="35496" xr:uid="{C64CF157-2CFD-4AB8-A6C5-10790E379EB5}"/>
    <cellStyle name="Migliaia 58 3 4 3 2 2" xfId="40656" xr:uid="{07B50EE1-DF2C-4355-8F1D-53894D7D6DD4}"/>
    <cellStyle name="Migliaia 58 3 4 3 2 3" xfId="45958" xr:uid="{31A62619-5E72-4DD1-AF5D-9E073E655511}"/>
    <cellStyle name="Migliaia 58 3 4 3 3" xfId="38005" xr:uid="{F0896D82-0848-4473-A752-A5E541814FE9}"/>
    <cellStyle name="Migliaia 58 3 4 3 4" xfId="43307" xr:uid="{9829A1AA-9C21-45BD-811C-EEBFCC4C4CE6}"/>
    <cellStyle name="Migliaia 58 3 4 3 5" xfId="13724" xr:uid="{DA5BC403-9AA6-45F1-B707-BC0DBF190FAA}"/>
    <cellStyle name="Migliaia 58 3 4 4" xfId="21059" xr:uid="{BBFF9EFF-841A-4C7A-B7F7-59699206AFCB}"/>
    <cellStyle name="Migliaia 58 3 4 4 2" xfId="34710" xr:uid="{ECEFB811-BFAB-4A63-86DE-D5D4C19780ED}"/>
    <cellStyle name="Migliaia 58 3 4 5" xfId="25509" xr:uid="{D3B57B58-4A17-45F3-B5C8-9CAB686D2327}"/>
    <cellStyle name="Migliaia 58 3 4 6" xfId="16850" xr:uid="{84B6F523-7A63-4F53-A9CB-033871753F2E}"/>
    <cellStyle name="Migliaia 58 3 4 7" xfId="7709" xr:uid="{9B94FA72-50C6-4CF6-8C11-6D18F0033675}"/>
    <cellStyle name="Migliaia 58 3 5" xfId="3961" xr:uid="{673AC2F7-0288-4BDE-939C-7DC41A3CC1D9}"/>
    <cellStyle name="Migliaia 58 3 5 2" xfId="5687" xr:uid="{67EBEB48-932C-46D8-9673-064B11673F8C}"/>
    <cellStyle name="Migliaia 58 3 5 2 2" xfId="35497" xr:uid="{6E14BCD2-AA49-42A6-BF08-BE2F81B046E5}"/>
    <cellStyle name="Migliaia 58 3 5 2 2 2" xfId="40657" xr:uid="{E8DFC80C-07DE-4801-9A64-F90EAB07C7B6}"/>
    <cellStyle name="Migliaia 58 3 5 2 2 3" xfId="45959" xr:uid="{2E5647F1-9354-48DC-8EA2-CA8B09F99E1F}"/>
    <cellStyle name="Migliaia 58 3 5 2 3" xfId="38006" xr:uid="{D6A0AF2A-7653-43B1-9D35-4188933C8237}"/>
    <cellStyle name="Migliaia 58 3 5 2 4" xfId="43308" xr:uid="{3E3A05E3-B0CE-43BA-BAD8-311E6A9C66E2}"/>
    <cellStyle name="Migliaia 58 3 5 2 5" xfId="14340" xr:uid="{19D25580-1818-4FD6-92F0-67A4475F6DB2}"/>
    <cellStyle name="Migliaia 58 3 5 3" xfId="6858" xr:uid="{02DD3391-4FDD-4EFC-BDAA-8666902EC72E}"/>
    <cellStyle name="Migliaia 58 3 5 3 2" xfId="34711" xr:uid="{CE52769D-B806-4868-B8D1-BF60C85775E5}"/>
    <cellStyle name="Migliaia 58 3 5 3 3" xfId="21061" xr:uid="{FC60533D-341F-4341-B05D-2500184159BC}"/>
    <cellStyle name="Migliaia 58 3 5 4" xfId="25510" xr:uid="{81A9E553-723F-4B04-98CC-D0A3DC2EF734}"/>
    <cellStyle name="Migliaia 58 3 5 5" xfId="16852" xr:uid="{3FA0E994-0B42-465B-B0B5-38E447FF8471}"/>
    <cellStyle name="Migliaia 58 3 5 6" xfId="8402" xr:uid="{21E7AA59-844B-4DD3-AD6E-2DB8243EB5C1}"/>
    <cellStyle name="Migliaia 58 3 6" xfId="5682" xr:uid="{97276CE5-AE1C-49D2-9A6B-CE6DC41CBD8F}"/>
    <cellStyle name="Migliaia 58 3 6 2" xfId="14045" xr:uid="{B64A44FC-8153-485F-9DD5-FE654FA77614}"/>
    <cellStyle name="Migliaia 58 3 6 2 2" xfId="34712" xr:uid="{D9C9094B-F91C-4097-9171-942B566940C6}"/>
    <cellStyle name="Migliaia 58 3 6 3" xfId="18601" xr:uid="{5F577D99-7769-4460-B0EF-2EA7F074CBC5}"/>
    <cellStyle name="Migliaia 58 3 6 4" xfId="21062" xr:uid="{67482847-FCFC-4180-8A9E-CEAEA227C3FB}"/>
    <cellStyle name="Migliaia 58 3 6 5" xfId="25511" xr:uid="{F17565F5-138B-450A-B707-43F35C452EEE}"/>
    <cellStyle name="Migliaia 58 3 6 6" xfId="16853" xr:uid="{9A4098C6-8027-497F-BDED-433D175874DC}"/>
    <cellStyle name="Migliaia 58 3 6 7" xfId="8036" xr:uid="{F55A0E6F-0CD1-427B-B77C-974F74C73B36}"/>
    <cellStyle name="Migliaia 58 3 7" xfId="6853" xr:uid="{8BE22587-4071-4872-B1A5-BB87E70B31C7}"/>
    <cellStyle name="Migliaia 58 3 7 2" xfId="34713" xr:uid="{79F35CB4-E452-4C74-B04B-6DBE8C2CFFB4}"/>
    <cellStyle name="Migliaia 58 3 7 3" xfId="25512" xr:uid="{6BE80452-8B09-4F7A-A570-1EBD71EF76FE}"/>
    <cellStyle name="Migliaia 58 3 7 4" xfId="12287" xr:uid="{72714BCE-FF80-43CA-A47D-00D6D9D58D45}"/>
    <cellStyle name="Migliaia 58 3 8" xfId="3956" xr:uid="{AC7BB67C-8D71-4F8B-AB06-29A03543AE85}"/>
    <cellStyle name="Migliaia 58 3 8 2" xfId="34714" xr:uid="{5CE71F4B-8F76-4A2B-BA9E-4264AED7C364}"/>
    <cellStyle name="Migliaia 58 3 8 3" xfId="25513" xr:uid="{87E1ABC8-01E9-46DA-A2F0-BC4F8D0DBF8F}"/>
    <cellStyle name="Migliaia 58 3 8 4" xfId="17268" xr:uid="{A1F36B96-9520-49B9-8266-AD3D12FB4E11}"/>
    <cellStyle name="Migliaia 58 3 9" xfId="21053" xr:uid="{B9B17CAF-645E-4B51-949F-96566166C15C}"/>
    <cellStyle name="Migliaia 58 3 9 2" xfId="34697" xr:uid="{B677EC7F-20FB-4C96-9813-00D088847EF5}"/>
    <cellStyle name="Migliaia 58 4" xfId="1923" xr:uid="{00000000-0005-0000-0000-0000A2040000}"/>
    <cellStyle name="Migliaia 58 4 10" xfId="7612" xr:uid="{E50F2B40-112D-4301-BB65-0C4D74C3B543}"/>
    <cellStyle name="Migliaia 58 4 2" xfId="1924" xr:uid="{00000000-0005-0000-0000-0000A3040000}"/>
    <cellStyle name="Migliaia 58 4 2 2" xfId="5689" xr:uid="{EAF163EB-0403-4D97-A391-4CA28B2EAE35}"/>
    <cellStyle name="Migliaia 58 4 2 2 2" xfId="34717" xr:uid="{4E3D8CBF-0EC5-41AB-A4ED-C45F6BD6C2FC}"/>
    <cellStyle name="Migliaia 58 4 2 2 3" xfId="25516" xr:uid="{12E94D53-2E2B-4680-AF94-AA042341B9E6}"/>
    <cellStyle name="Migliaia 58 4 2 2 4" xfId="9214" xr:uid="{4BA23CA5-DC28-4C75-9EAE-4BAF78CD50F1}"/>
    <cellStyle name="Migliaia 58 4 2 3" xfId="3963" xr:uid="{435F6472-BF40-4E18-9878-58E4E1175C7A}"/>
    <cellStyle name="Migliaia 58 4 2 3 2" xfId="34718" xr:uid="{912CF596-66B2-4D73-AA0F-573671343A94}"/>
    <cellStyle name="Migliaia 58 4 2 3 3" xfId="25517" xr:uid="{7DD8A1A1-C72C-411E-A0A5-07A83F11BC72}"/>
    <cellStyle name="Migliaia 58 4 2 3 4" xfId="12101" xr:uid="{4CAAB47E-163C-4A6E-807A-D8D7D80120E0}"/>
    <cellStyle name="Migliaia 58 4 2 4" xfId="11454" xr:uid="{66B3F0CA-166A-45A7-B378-74EDA87E0FCE}"/>
    <cellStyle name="Migliaia 58 4 2 4 2" xfId="34716" xr:uid="{93C2AC55-0B36-439B-87E0-6BA30B86E3B0}"/>
    <cellStyle name="Migliaia 58 4 2 5" xfId="11001" xr:uid="{133723E0-BD3D-459F-94DE-7E3F1C1B2318}"/>
    <cellStyle name="Migliaia 58 4 2 5 2" xfId="21636" xr:uid="{B7B3E89C-0B5C-475C-A899-33AD8EAC1811}"/>
    <cellStyle name="Migliaia 58 4 2 5 3" xfId="32372" xr:uid="{D5A24B1F-8FF0-4B22-A521-F6BAE428AA7B}"/>
    <cellStyle name="Migliaia 58 4 2 5 4" xfId="50651" xr:uid="{DF71F563-F30F-4122-A02D-C7EB9D894BE3}"/>
    <cellStyle name="Migliaia 58 4 2 5 5" xfId="53667" xr:uid="{6EE97B30-6953-47DA-B01D-691671B737FC}"/>
    <cellStyle name="Migliaia 58 4 2 6" xfId="21064" xr:uid="{7EBB71A8-EB60-418D-A388-21A1710CBB6C}"/>
    <cellStyle name="Migliaia 58 4 2 7" xfId="25515" xr:uid="{48B581A4-8652-436F-BA64-B5096F81204B}"/>
    <cellStyle name="Migliaia 58 4 2 8" xfId="8802" xr:uid="{D4A7DDA7-A45A-4C3B-A281-876CBE62153E}"/>
    <cellStyle name="Migliaia 58 4 3" xfId="5688" xr:uid="{A2634E24-023F-463E-8603-447F43A4AC36}"/>
    <cellStyle name="Migliaia 58 4 3 2" xfId="18269" xr:uid="{3C9F6ABC-4D82-4D0F-B2E9-4FF6192A6F8A}"/>
    <cellStyle name="Migliaia 58 4 3 2 2" xfId="34719" xr:uid="{DF3524A5-2E4D-4A51-BA87-5DDC97C2F468}"/>
    <cellStyle name="Migliaia 58 4 3 3" xfId="25518" xr:uid="{14740242-C56B-43B2-A7AD-BA03E1C3DABB}"/>
    <cellStyle name="Migliaia 58 4 3 4" xfId="17266" xr:uid="{0110E107-6FD2-4E5F-8AFE-7026A763D60A}"/>
    <cellStyle name="Migliaia 58 4 3 5" xfId="9215" xr:uid="{A454B5BD-B4A2-4FFC-AFCB-183885A36BA7}"/>
    <cellStyle name="Migliaia 58 4 4" xfId="6859" xr:uid="{BFE92F11-FD4A-4F61-BE6D-329D609609D8}"/>
    <cellStyle name="Migliaia 58 4 4 2" xfId="34720" xr:uid="{26B45012-58AF-4F1A-9634-6B6F4E892AF4}"/>
    <cellStyle name="Migliaia 58 4 4 3" xfId="25519" xr:uid="{BA094935-D1B4-4AEA-B218-15CD0DEE7C55}"/>
    <cellStyle name="Migliaia 58 4 4 4" xfId="12102" xr:uid="{D8A6C399-AB7E-4D6A-AE3D-F7B125ED296C}"/>
    <cellStyle name="Migliaia 58 4 5" xfId="3962" xr:uid="{9BAB619A-8227-4476-9024-8BA43B0ED0AB}"/>
    <cellStyle name="Migliaia 58 4 5 2" xfId="34721" xr:uid="{D89DBAE2-E998-4845-88D7-084FF1D8C964}"/>
    <cellStyle name="Migliaia 58 4 5 3" xfId="25520" xr:uid="{5AFEE60A-DB74-4411-A8AB-9E4780173F9F}"/>
    <cellStyle name="Migliaia 58 4 5 4" xfId="11453" xr:uid="{6B874341-C455-43EA-B5C2-D8AA02B08E9C}"/>
    <cellStyle name="Migliaia 58 4 6" xfId="11000" xr:uid="{FE6F9CEB-99A1-4CF4-83BB-5C667492E306}"/>
    <cellStyle name="Migliaia 58 4 6 2" xfId="21635" xr:uid="{DF669928-FEF0-4DD9-9F16-E5A39B797A6C}"/>
    <cellStyle name="Migliaia 58 4 6 2 2" xfId="34722" xr:uid="{4E98750E-072B-421C-8EFF-B93FDAA04F5E}"/>
    <cellStyle name="Migliaia 58 4 6 3" xfId="25521" xr:uid="{47EA7809-2440-44EB-B0DF-B1202305E13D}"/>
    <cellStyle name="Migliaia 58 4 6 4" xfId="46709" xr:uid="{53BFAC33-7CAF-444A-B4EB-C2C90AABFA03}"/>
    <cellStyle name="Migliaia 58 4 6 5" xfId="48893" xr:uid="{B1CE3563-936B-4B5E-8D2E-13A1FC623946}"/>
    <cellStyle name="Migliaia 58 4 6 6" xfId="50650" xr:uid="{1FF941BF-E528-467E-828F-87DB212FAB31}"/>
    <cellStyle name="Migliaia 58 4 6 7" xfId="53666" xr:uid="{6A8540FA-A05E-4AE6-AF67-C724DA1F0D0A}"/>
    <cellStyle name="Migliaia 58 4 7" xfId="21063" xr:uid="{AE874AE1-C657-4DDB-ACA6-43CB9F42181E}"/>
    <cellStyle name="Migliaia 58 4 7 2" xfId="34723" xr:uid="{1C8591D5-CEF7-4B65-9077-37E4FFC861A8}"/>
    <cellStyle name="Migliaia 58 4 7 3" xfId="25522" xr:uid="{0BF45E5C-ADD6-4886-9130-9D36CA0C3768}"/>
    <cellStyle name="Migliaia 58 4 8" xfId="34715" xr:uid="{80763498-CF72-4E17-AAF9-C4E857F791E7}"/>
    <cellStyle name="Migliaia 58 4 9" xfId="25514" xr:uid="{2CB8B32F-9532-4771-B046-B2D9BDB1B1E3}"/>
    <cellStyle name="Migliaia 58 5" xfId="1925" xr:uid="{00000000-0005-0000-0000-0000A4040000}"/>
    <cellStyle name="Migliaia 58 5 2" xfId="5690" xr:uid="{B9E56DF8-AE4F-47A5-A55A-3C477068E13A}"/>
    <cellStyle name="Migliaia 58 5 2 2" xfId="18523" xr:uid="{0F1E37D7-6CE7-459A-8DAD-52B4C44695ED}"/>
    <cellStyle name="Migliaia 58 5 2 2 2" xfId="34725" xr:uid="{3914DCAD-53A2-4584-8468-5DDD991FEBC2}"/>
    <cellStyle name="Migliaia 58 5 2 3" xfId="21066" xr:uid="{CECD4ED7-4BC8-40C2-9F40-0CC3538DD577}"/>
    <cellStyle name="Migliaia 58 5 2 4" xfId="25524" xr:uid="{8A28BAE1-A027-4CBC-9622-279BEE68EA4E}"/>
    <cellStyle name="Migliaia 58 5 2 5" xfId="16854" xr:uid="{DBEE7279-2836-44F4-99AC-3779D6636816}"/>
    <cellStyle name="Migliaia 58 5 2 6" xfId="8803" xr:uid="{9DD12CFE-7945-4595-961B-EBC15FD8E4F4}"/>
    <cellStyle name="Migliaia 58 5 3" xfId="6860" xr:uid="{A3A956BB-F4C0-42DC-919D-5EA429379891}"/>
    <cellStyle name="Migliaia 58 5 3 2" xfId="34726" xr:uid="{D92543F3-C212-4402-AFC4-E4BABA639FAD}"/>
    <cellStyle name="Migliaia 58 5 3 3" xfId="25525" xr:uid="{73A166E5-F9F6-4CB8-8ABC-FA4E4B603CA4}"/>
    <cellStyle name="Migliaia 58 5 3 4" xfId="11455" xr:uid="{BA6DEEB8-5395-41D1-A5C2-D670690C7D76}"/>
    <cellStyle name="Migliaia 58 5 4" xfId="3964" xr:uid="{F5C704B9-A9D2-41F9-9C99-869DF209C58D}"/>
    <cellStyle name="Migliaia 58 5 4 2" xfId="21637" xr:uid="{812B9FCC-1C60-433F-9D7C-BCBCC25FFA45}"/>
    <cellStyle name="Migliaia 58 5 4 2 2" xfId="34727" xr:uid="{D09887B4-1535-4D60-AF6E-1C8059A9AC67}"/>
    <cellStyle name="Migliaia 58 5 4 3" xfId="25526" xr:uid="{26DCA959-6759-46AE-91DF-19E9F211304D}"/>
    <cellStyle name="Migliaia 58 5 4 4" xfId="47606" xr:uid="{519C887C-60CC-4C8C-87AD-DB6936537088}"/>
    <cellStyle name="Migliaia 58 5 4 5" xfId="48894" xr:uid="{87FA49D2-3882-4ECD-A65C-16D3DAC0BB14}"/>
    <cellStyle name="Migliaia 58 5 4 6" xfId="50652" xr:uid="{494C84C6-ECE7-4325-AA59-49B7985DB682}"/>
    <cellStyle name="Migliaia 58 5 4 7" xfId="53668" xr:uid="{480EE45B-BDB3-44E1-9AE5-CE7C5A9A68D8}"/>
    <cellStyle name="Migliaia 58 5 4 8" xfId="11002" xr:uid="{7337E1E2-9290-464A-9650-469B3774251E}"/>
    <cellStyle name="Migliaia 58 5 5" xfId="21065" xr:uid="{02103940-FE15-4585-A317-E9BC34AA1EE2}"/>
    <cellStyle name="Migliaia 58 5 5 2" xfId="34728" xr:uid="{BAA1D0EF-1666-4D84-86E6-95B38ADB0793}"/>
    <cellStyle name="Migliaia 58 5 5 3" xfId="25527" xr:uid="{DB1B5111-E946-449B-AD23-0D9F4646236A}"/>
    <cellStyle name="Migliaia 58 5 5 4" xfId="48895" xr:uid="{9084BCC4-E38F-4CA1-884A-629F7B4C9B58}"/>
    <cellStyle name="Migliaia 58 5 6" xfId="25528" xr:uid="{271F20B9-82EE-4B9E-AF8A-0DB6A69C470B}"/>
    <cellStyle name="Migliaia 58 5 6 2" xfId="34729" xr:uid="{913BF523-6DCF-477F-A31F-88871DD4AF4E}"/>
    <cellStyle name="Migliaia 58 5 7" xfId="34724" xr:uid="{EF826340-2360-42B2-B24F-6067C330135C}"/>
    <cellStyle name="Migliaia 58 5 8" xfId="25523" xr:uid="{75D2E5EA-50BF-428A-AB0A-9D7C75EE8363}"/>
    <cellStyle name="Migliaia 58 5 9" xfId="7613" xr:uid="{F000602D-B983-4406-8EBE-7B7A8ADCD38C}"/>
    <cellStyle name="Migliaia 58 6" xfId="3965" xr:uid="{BD17C660-E4C7-494F-B59A-0E20DCCD2D90}"/>
    <cellStyle name="Migliaia 58 6 2" xfId="5691" xr:uid="{3F9874D6-224D-42A5-8CE8-A572E24B63BE}"/>
    <cellStyle name="Migliaia 58 6 2 2" xfId="9987" xr:uid="{F282F8BF-E8F4-47C6-9BFE-1966A903C829}"/>
    <cellStyle name="Migliaia 58 6 2 3" xfId="18032" xr:uid="{924291B1-81AB-47CA-AC3B-039A7BF8B070}"/>
    <cellStyle name="Migliaia 58 6 2 4" xfId="21068" xr:uid="{423245AB-1285-4A78-9047-C4F091B2D8B4}"/>
    <cellStyle name="Migliaia 58 6 2 5" xfId="32482" xr:uid="{FA25B739-2267-4DDB-9AAA-F970F44C63C6}"/>
    <cellStyle name="Migliaia 58 6 2 6" xfId="16856" xr:uid="{47A27F53-4C24-438B-A7BA-BFC48BF9031D}"/>
    <cellStyle name="Migliaia 58 6 2 7" xfId="8798" xr:uid="{D4A4F261-7537-4FC4-9E3A-43A3F16DD167}"/>
    <cellStyle name="Migliaia 58 6 3" xfId="6861" xr:uid="{E5ADC67B-E1A7-4B20-8EEF-091596DAC3EC}"/>
    <cellStyle name="Migliaia 58 6 3 2" xfId="35498" xr:uid="{CA1B43FA-A7F8-4BF3-8947-6D6722FD13A8}"/>
    <cellStyle name="Migliaia 58 6 3 2 2" xfId="40658" xr:uid="{61C7F243-17F1-46BE-B0E1-BDE4A8359841}"/>
    <cellStyle name="Migliaia 58 6 3 2 3" xfId="45960" xr:uid="{3757FF6A-EEF7-4DB2-AAEC-1A89DEE0D53D}"/>
    <cellStyle name="Migliaia 58 6 3 3" xfId="38007" xr:uid="{F236F9C0-238F-4869-9444-FE05E698A15D}"/>
    <cellStyle name="Migliaia 58 6 3 4" xfId="43309" xr:uid="{DFF5EA86-EF8E-412D-BFC2-7DCB344ED098}"/>
    <cellStyle name="Migliaia 58 6 3 5" xfId="9750" xr:uid="{EFA9D80D-69FE-4F24-98A3-3013CA78C73B}"/>
    <cellStyle name="Migliaia 58 6 4" xfId="21067" xr:uid="{DFF1554D-117A-4B74-ACEC-440D144FD743}"/>
    <cellStyle name="Migliaia 58 6 4 2" xfId="34730" xr:uid="{7DA71057-397C-4114-B470-3729F54891E2}"/>
    <cellStyle name="Migliaia 58 6 5" xfId="25529" xr:uid="{FE5B376D-386A-46A6-A3A7-56BA738E432C}"/>
    <cellStyle name="Migliaia 58 6 6" xfId="16855" xr:uid="{547189E5-3643-4BD2-8EEA-C33ED1923EF8}"/>
    <cellStyle name="Migliaia 58 6 7" xfId="7608" xr:uid="{15225380-6D25-4488-A482-A37269B7E195}"/>
    <cellStyle name="Migliaia 58 7" xfId="3966" xr:uid="{F9978227-2727-44BC-B9FD-FDC5A13EE1EA}"/>
    <cellStyle name="Migliaia 58 7 2" xfId="5692" xr:uid="{CD04C17F-6D48-459A-88CA-EE16136E8E59}"/>
    <cellStyle name="Migliaia 58 7 2 2" xfId="35499" xr:uid="{537FC506-3903-4921-B4A4-D5EB3CE98B45}"/>
    <cellStyle name="Migliaia 58 7 2 2 2" xfId="40659" xr:uid="{6667203E-F38E-4665-B8F9-C395D0EFEA9E}"/>
    <cellStyle name="Migliaia 58 7 2 2 3" xfId="45961" xr:uid="{7966466C-B16B-4E28-83B0-7958BA66E99D}"/>
    <cellStyle name="Migliaia 58 7 2 3" xfId="38008" xr:uid="{DEA64AC9-CEC8-4937-B7BB-3FB4A57F9865}"/>
    <cellStyle name="Migliaia 58 7 2 4" xfId="43310" xr:uid="{84F3C37E-7886-4B3D-A363-97CBB1D29C17}"/>
    <cellStyle name="Migliaia 58 7 2 5" xfId="14338" xr:uid="{0D48AF52-CFD6-488B-A3F5-3D7637E22D6E}"/>
    <cellStyle name="Migliaia 58 7 3" xfId="6862" xr:uid="{58805836-6D15-455D-88A7-1E8320359481}"/>
    <cellStyle name="Migliaia 58 7 3 2" xfId="34731" xr:uid="{DD4F59A5-DF4D-4C7D-BC76-4901A7A10ABC}"/>
    <cellStyle name="Migliaia 58 7 3 3" xfId="21069" xr:uid="{9C1B026E-8CC4-4281-A7CC-C5A28E427190}"/>
    <cellStyle name="Migliaia 58 7 4" xfId="25530" xr:uid="{E1E0630C-918F-4559-86E3-D330E719C6D7}"/>
    <cellStyle name="Migliaia 58 7 5" xfId="16857" xr:uid="{55102864-A8CF-42F7-900A-ACB6D720A96A}"/>
    <cellStyle name="Migliaia 58 7 6" xfId="8400" xr:uid="{FDB03274-B8EE-4391-A778-306DF219B517}"/>
    <cellStyle name="Migliaia 58 8" xfId="3967" xr:uid="{528C1CAA-AB00-4D79-A225-ABECA78028AD}"/>
    <cellStyle name="Migliaia 58 8 2" xfId="5693" xr:uid="{117FE1EE-F589-452E-9B5D-1FFA0BE33BE1}"/>
    <cellStyle name="Migliaia 58 8 2 2" xfId="35500" xr:uid="{01752ADF-DC29-4EC6-8C1E-AF7B58CC581F}"/>
    <cellStyle name="Migliaia 58 8 2 2 2" xfId="40660" xr:uid="{9E9BD2DF-8F14-4F65-BE43-1314A5B2F7C6}"/>
    <cellStyle name="Migliaia 58 8 2 2 3" xfId="45962" xr:uid="{5A58C7F6-A2B9-4823-8388-2D4D6F5D60DE}"/>
    <cellStyle name="Migliaia 58 8 2 3" xfId="38009" xr:uid="{31A698AD-D7F2-4FCC-9D8C-5403B8827284}"/>
    <cellStyle name="Migliaia 58 8 2 4" xfId="43311" xr:uid="{07FB7883-CB3C-4195-8D9E-12F9D82CCE94}"/>
    <cellStyle name="Migliaia 58 8 2 5" xfId="14043" xr:uid="{2BBA999D-487E-4136-88D3-94765BD7B20C}"/>
    <cellStyle name="Migliaia 58 8 3" xfId="6863" xr:uid="{0DDA52FA-71AB-404B-BA41-AFB94EB58E5A}"/>
    <cellStyle name="Migliaia 58 8 3 2" xfId="34732" xr:uid="{0BA79D35-E210-4D92-B6D0-45B74FDB00E7}"/>
    <cellStyle name="Migliaia 58 8 3 3" xfId="21070" xr:uid="{177690D4-0C82-4C58-96E9-AB6FAFECE6D1}"/>
    <cellStyle name="Migliaia 58 8 4" xfId="25531" xr:uid="{CB117E2F-2826-42FD-A267-ECBCA3163317}"/>
    <cellStyle name="Migliaia 58 8 5" xfId="16858" xr:uid="{F7D8F5EB-836E-4AFC-869A-4A1C6616E3AA}"/>
    <cellStyle name="Migliaia 58 8 6" xfId="8034" xr:uid="{B8F5625E-8AC2-4246-9BE3-4EAEFD8481D0}"/>
    <cellStyle name="Migliaia 58 9" xfId="5678" xr:uid="{E9E51658-06D7-4D8D-AA58-9049D704E8AF}"/>
    <cellStyle name="Migliaia 58 9 2" xfId="34733" xr:uid="{313861EA-46A3-4B3F-9372-536C36D0F823}"/>
    <cellStyle name="Migliaia 58 9 3" xfId="25532" xr:uid="{69580BE9-075F-48EC-B73B-E5ED0DBF96BE}"/>
    <cellStyle name="Migliaia 58 9 4" xfId="17241" xr:uid="{CC586548-BCF2-4251-BD07-7E6363AFC44F}"/>
    <cellStyle name="Migliaia 59" xfId="517" xr:uid="{00000000-0005-0000-0000-0000A5040000}"/>
    <cellStyle name="Migliaia 59 10" xfId="6864" xr:uid="{05C71309-C703-44CD-99F3-B85D15E903B8}"/>
    <cellStyle name="Migliaia 59 10 2" xfId="34734" xr:uid="{E72AE967-8054-4D2D-A83C-B4928AD602E1}"/>
    <cellStyle name="Migliaia 59 10 3" xfId="21071" xr:uid="{854F0299-080B-40C4-8EF8-9FAC6061E7BE}"/>
    <cellStyle name="Migliaia 59 11" xfId="3968" xr:uid="{7E1BCFA6-1942-451F-AE8D-51DC3B421CFA}"/>
    <cellStyle name="Migliaia 59 11 2" xfId="25533" xr:uid="{1D20CFDF-3C98-49B1-B57C-89555BB24BCE}"/>
    <cellStyle name="Migliaia 59 12" xfId="7204" xr:uid="{23B0933E-88EF-45D4-82E2-5B32B683595D}"/>
    <cellStyle name="Migliaia 59 2" xfId="518" xr:uid="{00000000-0005-0000-0000-0000A6040000}"/>
    <cellStyle name="Migliaia 59 2 2" xfId="1926" xr:uid="{00000000-0005-0000-0000-0000A7040000}"/>
    <cellStyle name="Migliaia 59 2 2 2" xfId="5696" xr:uid="{62940791-FC1B-4C34-972E-FCCC77E17FC6}"/>
    <cellStyle name="Migliaia 59 2 2 2 2" xfId="14417" xr:uid="{4F29C003-86D3-4DB6-BB54-502EB96BE4FC}"/>
    <cellStyle name="Migliaia 59 2 2 2 2 2" xfId="34737" xr:uid="{4CADAB9C-FC13-4431-8B47-6F2E9DB70421}"/>
    <cellStyle name="Migliaia 59 2 2 2 3" xfId="18524" xr:uid="{DB5329B3-88D1-43D9-B0F0-FABA91CB8168}"/>
    <cellStyle name="Migliaia 59 2 2 2 4" xfId="21074" xr:uid="{BB2FC4A4-4AE4-45DF-9EAB-8A95E10A73F0}"/>
    <cellStyle name="Migliaia 59 2 2 2 5" xfId="25536" xr:uid="{573E283C-C4A9-4119-A791-18850583B55E}"/>
    <cellStyle name="Migliaia 59 2 2 2 6" xfId="16859" xr:uid="{B556C8E8-00CC-4D34-9312-9E982871CBAF}"/>
    <cellStyle name="Migliaia 59 2 2 2 7" xfId="8805" xr:uid="{00B89B9A-B55E-4EEC-B4A1-1CECF00BC88A}"/>
    <cellStyle name="Migliaia 59 2 2 3" xfId="6866" xr:uid="{30515DBB-08B4-4142-A5B8-6990347A2470}"/>
    <cellStyle name="Migliaia 59 2 2 3 2" xfId="35501" xr:uid="{D8727B85-6517-44D7-AB21-3BD35752C9BF}"/>
    <cellStyle name="Migliaia 59 2 2 3 2 2" xfId="40661" xr:uid="{AEB0FECB-EBEB-4EF4-8503-8608FB085FD3}"/>
    <cellStyle name="Migliaia 59 2 2 3 2 3" xfId="45963" xr:uid="{74F7DE8E-7D0A-4E1F-83F0-3325CB149200}"/>
    <cellStyle name="Migliaia 59 2 2 3 3" xfId="38010" xr:uid="{95884C1E-C296-44CE-94E9-9609109004E3}"/>
    <cellStyle name="Migliaia 59 2 2 3 4" xfId="43312" xr:uid="{E1109154-986E-426C-9AC2-3B5B3EA722CB}"/>
    <cellStyle name="Migliaia 59 2 2 3 5" xfId="11644" xr:uid="{43980503-5BA4-423E-9CB9-66BFF76A01E6}"/>
    <cellStyle name="Migliaia 59 2 2 4" xfId="3970" xr:uid="{FCF536A5-5C22-4EEC-9302-B366A1E40A4D}"/>
    <cellStyle name="Migliaia 59 2 2 4 2" xfId="21638" xr:uid="{DE9E35AC-2B97-43CC-96E5-D43B75B83C18}"/>
    <cellStyle name="Migliaia 59 2 2 4 3" xfId="34736" xr:uid="{42E2FA61-A0F7-4EE0-8951-17422F228F21}"/>
    <cellStyle name="Migliaia 59 2 2 4 4" xfId="47123" xr:uid="{847BBC0B-3E22-43FF-B483-4640788D31BD}"/>
    <cellStyle name="Migliaia 59 2 2 4 5" xfId="50653" xr:uid="{40172939-9C6A-41D4-AD0A-5F8433709B16}"/>
    <cellStyle name="Migliaia 59 2 2 4 6" xfId="53669" xr:uid="{EE6C728B-9EDC-4BFE-94FB-7E13B8427645}"/>
    <cellStyle name="Migliaia 59 2 2 4 7" xfId="11003" xr:uid="{D5937122-D151-4D7E-BC72-B8A4532DC36F}"/>
    <cellStyle name="Migliaia 59 2 2 5" xfId="21073" xr:uid="{CE824B94-557F-44DC-AD52-CBE96B715888}"/>
    <cellStyle name="Migliaia 59 2 2 6" xfId="25535" xr:uid="{CF79C21C-285C-4EDF-99BA-CD461E279A88}"/>
    <cellStyle name="Migliaia 59 2 2 7" xfId="7615" xr:uid="{0312DD6C-87DD-4A28-A80E-467ABB6E8DC3}"/>
    <cellStyle name="Migliaia 59 2 3" xfId="3971" xr:uid="{19961814-DD21-495A-87D6-B1D0C0771451}"/>
    <cellStyle name="Migliaia 59 2 3 2" xfId="5697" xr:uid="{624BDB64-A7ED-4B6D-9F03-08FA24EC6177}"/>
    <cellStyle name="Migliaia 59 2 3 2 2" xfId="35502" xr:uid="{AEFC9286-E3D1-43C6-B90E-8091275239A3}"/>
    <cellStyle name="Migliaia 59 2 3 2 2 2" xfId="40662" xr:uid="{787649A9-5CB9-45F4-8100-FBD30F6EE756}"/>
    <cellStyle name="Migliaia 59 2 3 2 2 3" xfId="45964" xr:uid="{94F98A04-B7A6-4577-BE17-37592FDBA85D}"/>
    <cellStyle name="Migliaia 59 2 3 2 3" xfId="38011" xr:uid="{D762248D-0EB9-42CC-8435-A16AD85F45F3}"/>
    <cellStyle name="Migliaia 59 2 3 2 4" xfId="43313" xr:uid="{A8F20058-A67F-477F-BDED-5ADBE1DBC8CC}"/>
    <cellStyle name="Migliaia 59 2 3 2 5" xfId="14342" xr:uid="{6AAA2B0A-ACA5-4FBC-B1A6-10706DEA9929}"/>
    <cellStyle name="Migliaia 59 2 3 3" xfId="6867" xr:uid="{112A2AAD-6FEE-4B78-8593-23883F73081E}"/>
    <cellStyle name="Migliaia 59 2 3 3 2" xfId="34738" xr:uid="{A23BD02E-9F89-43E0-B0DB-D07BD78D029B}"/>
    <cellStyle name="Migliaia 59 2 3 3 3" xfId="21075" xr:uid="{AF563BC5-34E4-40D9-9706-AFCAA12DCBD9}"/>
    <cellStyle name="Migliaia 59 2 3 4" xfId="25537" xr:uid="{97D363E2-29E3-49A5-B5AB-4D6AF51EEC6E}"/>
    <cellStyle name="Migliaia 59 2 3 5" xfId="16860" xr:uid="{E5B7E5C2-1201-4652-91B6-A85596951F0B}"/>
    <cellStyle name="Migliaia 59 2 3 6" xfId="8404" xr:uid="{A4B2A9ED-795A-4FBD-8418-03B53534D557}"/>
    <cellStyle name="Migliaia 59 2 4" xfId="5695" xr:uid="{463D1497-2C96-4022-933E-533D26C6D4B0}"/>
    <cellStyle name="Migliaia 59 2 4 2" xfId="14047" xr:uid="{FDB2D748-3E72-4352-A905-E26207697D5D}"/>
    <cellStyle name="Migliaia 59 2 4 2 2" xfId="34739" xr:uid="{AF2AB22B-E6FD-4619-908C-49DD8676871C}"/>
    <cellStyle name="Migliaia 59 2 4 3" xfId="18686" xr:uid="{D9BFEF0E-5AB7-4B64-B724-343F83FC2587}"/>
    <cellStyle name="Migliaia 59 2 4 4" xfId="21076" xr:uid="{E36145D9-081B-412E-90D2-CDC53AAC0B11}"/>
    <cellStyle name="Migliaia 59 2 4 5" xfId="25538" xr:uid="{3AF4C960-44C8-4413-8723-BB8039C14BEB}"/>
    <cellStyle name="Migliaia 59 2 4 6" xfId="16861" xr:uid="{A8362972-3915-4445-B265-1633F40BDD7F}"/>
    <cellStyle name="Migliaia 59 2 4 7" xfId="8039" xr:uid="{19A39C03-57CD-498B-97AC-594B7C1250BA}"/>
    <cellStyle name="Migliaia 59 2 5" xfId="6865" xr:uid="{D8E9447B-45FB-4574-8CE4-0C2B98182208}"/>
    <cellStyle name="Migliaia 59 2 5 2" xfId="34740" xr:uid="{46A939B7-D32B-4FCF-9A30-3EA33420B264}"/>
    <cellStyle name="Migliaia 59 2 5 3" xfId="25539" xr:uid="{3594AB5A-6FC5-4FE6-842D-C2B11F0DE982}"/>
    <cellStyle name="Migliaia 59 2 5 4" xfId="13157" xr:uid="{5E7E2648-DEEA-4229-AB41-9AA376D0262F}"/>
    <cellStyle name="Migliaia 59 2 6" xfId="3969" xr:uid="{17DCF0A0-2785-4164-A982-BEE0FA0580B5}"/>
    <cellStyle name="Migliaia 59 2 6 2" xfId="34741" xr:uid="{20C0DC3C-274F-40CE-A78B-AE081CBC5427}"/>
    <cellStyle name="Migliaia 59 2 6 3" xfId="25540" xr:uid="{15997920-C447-4911-8A9A-3A0D236C3EBF}"/>
    <cellStyle name="Migliaia 59 2 6 4" xfId="21072" xr:uid="{AE3980F5-0A85-4B89-A80B-FAB0DC81385A}"/>
    <cellStyle name="Migliaia 59 2 7" xfId="34735" xr:uid="{57C8B458-10F6-4531-A905-B3DF6E7DA470}"/>
    <cellStyle name="Migliaia 59 2 8" xfId="25534" xr:uid="{8B407349-EF5B-4379-9DFC-143C71622411}"/>
    <cellStyle name="Migliaia 59 2 9" xfId="7205" xr:uid="{3F02E6E4-33BA-4F61-B8D7-FBCB46F7A995}"/>
    <cellStyle name="Migliaia 59 3" xfId="519" xr:uid="{00000000-0005-0000-0000-0000A8040000}"/>
    <cellStyle name="Migliaia 59 3 10" xfId="25541" xr:uid="{0E1CA05E-81EC-439B-A3CF-4089C161830D}"/>
    <cellStyle name="Migliaia 59 3 11" xfId="16862" xr:uid="{6BA6A39D-491C-4724-A4FC-9C1CB4F4F4A8}"/>
    <cellStyle name="Migliaia 59 3 12" xfId="7206" xr:uid="{69978404-4CD5-4713-BAC2-3F9D9BF1575D}"/>
    <cellStyle name="Migliaia 59 3 2" xfId="520" xr:uid="{00000000-0005-0000-0000-0000A9040000}"/>
    <cellStyle name="Migliaia 59 3 2 2" xfId="1927" xr:uid="{00000000-0005-0000-0000-0000AA040000}"/>
    <cellStyle name="Migliaia 59 3 2 2 2" xfId="5700" xr:uid="{92E8663A-D553-4F37-950F-BBBE85F92F31}"/>
    <cellStyle name="Migliaia 59 3 2 2 2 2" xfId="18525" xr:uid="{D62F3241-25BC-42EA-93C7-C230A6133317}"/>
    <cellStyle name="Migliaia 59 3 2 2 2 2 2" xfId="21895" xr:uid="{8D9F9E75-F36A-481A-AB4B-DE7750D39700}"/>
    <cellStyle name="Migliaia 59 3 2 2 2 2 3" xfId="34745" xr:uid="{FE158BC7-7D49-4AC7-B1DF-3F766E9EB65A}"/>
    <cellStyle name="Migliaia 59 3 2 2 2 3" xfId="25544" xr:uid="{42CA5567-098A-4E26-B31F-9DB48A98D51D}"/>
    <cellStyle name="Migliaia 59 3 2 2 2 4" xfId="47162" xr:uid="{C7819046-4E74-42EA-9A9D-A36B2F3B338D}"/>
    <cellStyle name="Migliaia 59 3 2 2 2 5" xfId="50923" xr:uid="{C0D603A3-31F8-4E75-BCDF-D33DC04C49CD}"/>
    <cellStyle name="Migliaia 59 3 2 2 2 6" xfId="53939" xr:uid="{0FAE021E-BA39-4F5F-8427-1FD7BEBA323D}"/>
    <cellStyle name="Migliaia 59 3 2 2 2 7" xfId="17694" xr:uid="{0333FF77-E13E-49FB-BDF2-75C72C608949}"/>
    <cellStyle name="Migliaia 59 3 2 2 2 8" xfId="12103" xr:uid="{57E9E4FF-3C2E-4BF1-8715-0B9AAB11AE1B}"/>
    <cellStyle name="Migliaia 59 3 2 2 3" xfId="6870" xr:uid="{342355E0-FB30-4330-A676-95949EA33997}"/>
    <cellStyle name="Migliaia 59 3 2 2 3 2" xfId="34744" xr:uid="{8D1A4CF8-78A9-4B02-AED5-A90309B3DE56}"/>
    <cellStyle name="Migliaia 59 3 2 2 3 3" xfId="11574" xr:uid="{7F4F170B-10CD-4F2A-8280-747C94E8C33C}"/>
    <cellStyle name="Migliaia 59 3 2 2 4" xfId="3974" xr:uid="{52AB5E2A-47D2-4DD4-AD12-9E8F1525D9FB}"/>
    <cellStyle name="Migliaia 59 3 2 2 4 2" xfId="21639" xr:uid="{9FCFB646-F108-44C4-B797-9A2970999C86}"/>
    <cellStyle name="Migliaia 59 3 2 2 4 3" xfId="25183" xr:uid="{1B50F894-F4AF-47D6-B68B-055A420AA723}"/>
    <cellStyle name="Migliaia 59 3 2 2 4 4" xfId="50654" xr:uid="{388EBFA1-F954-459B-9BA2-81399A20F554}"/>
    <cellStyle name="Migliaia 59 3 2 2 4 5" xfId="53670" xr:uid="{D6152F96-8030-45D4-9029-5BC1BE8E254C}"/>
    <cellStyle name="Migliaia 59 3 2 2 4 6" xfId="11004" xr:uid="{9E76A932-DF49-4996-A996-6A5ACC263FFC}"/>
    <cellStyle name="Migliaia 59 3 2 2 5" xfId="21079" xr:uid="{318FF9A2-B81D-421C-8D63-AF9E35DA64F1}"/>
    <cellStyle name="Migliaia 59 3 2 2 6" xfId="25543" xr:uid="{2BC0DB3D-7A1D-43B7-BE82-2CCE33C9E8B7}"/>
    <cellStyle name="Migliaia 59 3 2 2 7" xfId="8807" xr:uid="{82245509-A9F9-4A15-95FD-0A552D16C530}"/>
    <cellStyle name="Migliaia 59 3 2 3" xfId="5699" xr:uid="{68793C65-A3A2-4B10-A914-3B1470F8C98E}"/>
    <cellStyle name="Migliaia 59 3 2 3 2" xfId="12220" xr:uid="{78C74E16-5B1B-4D25-A2A1-8E3F4234562B}"/>
    <cellStyle name="Migliaia 59 3 2 3 2 2" xfId="34746" xr:uid="{6FD36953-9707-44E6-A324-544A59090626}"/>
    <cellStyle name="Migliaia 59 3 2 3 3" xfId="12104" xr:uid="{7741254A-E62E-4C0A-B3C3-BAC5164B77F4}"/>
    <cellStyle name="Migliaia 59 3 2 3 4" xfId="21080" xr:uid="{328F6FFA-69CF-4780-AC33-CCACF2CEA91C}"/>
    <cellStyle name="Migliaia 59 3 2 3 5" xfId="25545" xr:uid="{34AEAAD5-5229-4490-8C49-E35B96623DB9}"/>
    <cellStyle name="Migliaia 59 3 2 3 6" xfId="16863" xr:uid="{EA3A8688-24A8-4576-AB08-B5AF9872C42C}"/>
    <cellStyle name="Migliaia 59 3 2 3 7" xfId="8041" xr:uid="{8295F2E0-12DA-464E-B312-1ABDCC8926AC}"/>
    <cellStyle name="Migliaia 59 3 2 4" xfId="6869" xr:uid="{24B6FDB7-B8D4-4B20-90CE-505931E428EE}"/>
    <cellStyle name="Migliaia 59 3 2 4 2" xfId="18111" xr:uid="{54D19323-7309-4AA1-8086-67D01506108B}"/>
    <cellStyle name="Migliaia 59 3 2 4 2 2" xfId="34747" xr:uid="{F2B3124A-0625-4212-80B8-AB9E2C16871F}"/>
    <cellStyle name="Migliaia 59 3 2 4 3" xfId="25546" xr:uid="{00960D1F-97AA-42B7-A548-0163AC7E471B}"/>
    <cellStyle name="Migliaia 59 3 2 4 4" xfId="17244" xr:uid="{6A8BCA49-A9B0-458B-8F77-79CB17F96210}"/>
    <cellStyle name="Migliaia 59 3 2 4 5" xfId="11456" xr:uid="{8AC04724-2A8A-449F-BF31-4AD55E7F18B0}"/>
    <cellStyle name="Migliaia 59 3 2 5" xfId="3973" xr:uid="{398FDF36-589A-418D-BB43-25ACC5B8F9CD}"/>
    <cellStyle name="Migliaia 59 3 2 5 2" xfId="34748" xr:uid="{3314DE75-CB37-4432-B615-B6B13F56E15E}"/>
    <cellStyle name="Migliaia 59 3 2 5 3" xfId="25547" xr:uid="{B284BED0-119E-4202-9D42-3B6B18E1109D}"/>
    <cellStyle name="Migliaia 59 3 2 5 4" xfId="17264" xr:uid="{AB17305E-777B-4A0D-BF9E-7669C87EF659}"/>
    <cellStyle name="Migliaia 59 3 2 6" xfId="21078" xr:uid="{2EA72201-5273-4CDE-973A-81773034E5BE}"/>
    <cellStyle name="Migliaia 59 3 2 6 2" xfId="34749" xr:uid="{BCC1C8A3-8DCF-40D7-820B-246E616CFC6A}"/>
    <cellStyle name="Migliaia 59 3 2 6 3" xfId="25548" xr:uid="{5ED6BBEC-9FD8-4830-BDFC-DDC110561683}"/>
    <cellStyle name="Migliaia 59 3 2 7" xfId="34743" xr:uid="{04E9A7C4-8AC5-40F5-8501-72443D026F47}"/>
    <cellStyle name="Migliaia 59 3 2 8" xfId="25542" xr:uid="{2B23779D-4A4D-4DE5-99B1-02F4075A4ACE}"/>
    <cellStyle name="Migliaia 59 3 2 9" xfId="7617" xr:uid="{52F6DE15-FA4A-4588-97D6-25FE2C582BFC}"/>
    <cellStyle name="Migliaia 59 3 3" xfId="3975" xr:uid="{4625AA40-09DF-45F3-8795-F7ED6769B6AA}"/>
    <cellStyle name="Migliaia 59 3 3 2" xfId="5701" xr:uid="{768748BF-3882-47E3-B1F2-5F2DEBA9144A}"/>
    <cellStyle name="Migliaia 59 3 3 2 2" xfId="9990" xr:uid="{B0FF5AED-A91B-42BC-A37B-A26749B9FBF4}"/>
    <cellStyle name="Migliaia 59 3 3 2 2 2" xfId="34751" xr:uid="{C2865A6D-B32A-4A71-B934-5685B4921A1F}"/>
    <cellStyle name="Migliaia 59 3 3 2 3" xfId="18270" xr:uid="{4932E979-72B0-40AA-8A5C-8A1EF0D049E3}"/>
    <cellStyle name="Migliaia 59 3 3 2 4" xfId="21082" xr:uid="{80036B3F-26D9-4B9A-B429-883CABC56923}"/>
    <cellStyle name="Migliaia 59 3 3 2 5" xfId="25550" xr:uid="{F597F60F-7A04-4E99-B239-60DAD8103555}"/>
    <cellStyle name="Migliaia 59 3 3 2 6" xfId="16865" xr:uid="{02BBC7DE-E820-47F3-B23A-8E639BCFAEAC}"/>
    <cellStyle name="Migliaia 59 3 3 2 7" xfId="8806" xr:uid="{7670A52A-827C-4ADE-8260-95BAF2B9EFF8}"/>
    <cellStyle name="Migliaia 59 3 3 3" xfId="6871" xr:uid="{1CF6A832-5738-4727-8ACC-CC68843EFE45}"/>
    <cellStyle name="Migliaia 59 3 3 3 2" xfId="34752" xr:uid="{D986138A-1284-42EF-91BC-7DD3A83A177C}"/>
    <cellStyle name="Migliaia 59 3 3 3 3" xfId="25551" xr:uid="{C8FA7689-B7EC-4199-B326-175E46844BF4}"/>
    <cellStyle name="Migliaia 59 3 3 3 4" xfId="9753" xr:uid="{022C5767-4AF3-4B61-946B-88CA8FF59C48}"/>
    <cellStyle name="Migliaia 59 3 3 4" xfId="21081" xr:uid="{0EB0C9F8-63E7-4205-807F-9AB9F81EAEC4}"/>
    <cellStyle name="Migliaia 59 3 3 4 2" xfId="34753" xr:uid="{40A2D06D-A35A-48FC-A1AA-1BF6E1E33B19}"/>
    <cellStyle name="Migliaia 59 3 3 4 3" xfId="25552" xr:uid="{2B0FD7A2-98B2-491E-9276-25820F6D9FF1}"/>
    <cellStyle name="Migliaia 59 3 3 4 4" xfId="48896" xr:uid="{71046324-C357-47C9-B0EC-993128412505}"/>
    <cellStyle name="Migliaia 59 3 3 5" xfId="25553" xr:uid="{48046FE8-A018-4567-8317-8777B698C514}"/>
    <cellStyle name="Migliaia 59 3 3 5 2" xfId="34754" xr:uid="{A9A974C9-B436-40EA-8F25-24B7BC2D3358}"/>
    <cellStyle name="Migliaia 59 3 3 5 3" xfId="48897" xr:uid="{58886714-A684-41E3-9321-28A7F47117A5}"/>
    <cellStyle name="Migliaia 59 3 3 6" xfId="34750" xr:uid="{1089E21F-54C9-4E58-A25B-4EA0CB9612BD}"/>
    <cellStyle name="Migliaia 59 3 3 7" xfId="25549" xr:uid="{7A2C60D1-BDCD-4CF5-A7C5-7953BB90A90B}"/>
    <cellStyle name="Migliaia 59 3 3 8" xfId="16864" xr:uid="{BC2B284F-B86A-4D61-BD0B-A85A55262FBE}"/>
    <cellStyle name="Migliaia 59 3 3 9" xfId="7616" xr:uid="{737E2C7E-A1DA-4591-A221-7E276F35FE97}"/>
    <cellStyle name="Migliaia 59 3 4" xfId="3976" xr:uid="{08D5E87A-8A05-42CB-82C5-F65B0689DE5A}"/>
    <cellStyle name="Migliaia 59 3 4 2" xfId="5702" xr:uid="{0BD71147-08C3-444D-8CE9-E77B8B1D9009}"/>
    <cellStyle name="Migliaia 59 3 4 2 2" xfId="14477" xr:uid="{2876B83A-A264-4D27-A56E-ADC1E16AB72A}"/>
    <cellStyle name="Migliaia 59 3 4 2 3" xfId="18146" xr:uid="{6962F4FE-0002-4AE1-90C6-67F69E955C8A}"/>
    <cellStyle name="Migliaia 59 3 4 2 4" xfId="21084" xr:uid="{5D9D4D62-895C-46F6-8C7E-931F578C375B}"/>
    <cellStyle name="Migliaia 59 3 4 2 5" xfId="32483" xr:uid="{8DE75A46-CC69-465A-BA90-7B77F1605D99}"/>
    <cellStyle name="Migliaia 59 3 4 2 6" xfId="16867" xr:uid="{582776ED-2E57-4A2C-A8BC-8F632DF4D02C}"/>
    <cellStyle name="Migliaia 59 3 4 2 7" xfId="8900" xr:uid="{C078EE79-C6BF-464C-97E9-0F5CBF5F40C8}"/>
    <cellStyle name="Migliaia 59 3 4 3" xfId="6872" xr:uid="{E2162269-1CA9-4CF4-AB4C-D8135E6C3009}"/>
    <cellStyle name="Migliaia 59 3 4 3 2" xfId="35503" xr:uid="{8B667C70-61C6-489F-AA98-EF47A12DDFCC}"/>
    <cellStyle name="Migliaia 59 3 4 3 2 2" xfId="40663" xr:uid="{9D1C7B45-4A89-4F46-AFD7-1EF5387E9A17}"/>
    <cellStyle name="Migliaia 59 3 4 3 2 3" xfId="45965" xr:uid="{3619791A-C778-4F0E-9BC1-4D05A94C16EE}"/>
    <cellStyle name="Migliaia 59 3 4 3 3" xfId="38012" xr:uid="{08C960ED-D425-4314-B943-8044E6C41C37}"/>
    <cellStyle name="Migliaia 59 3 4 3 4" xfId="43314" xr:uid="{05A70753-67DA-4E7A-8EE9-3C66502D5866}"/>
    <cellStyle name="Migliaia 59 3 4 3 5" xfId="13725" xr:uid="{727602D4-67F5-42C0-B633-E7344747AAB8}"/>
    <cellStyle name="Migliaia 59 3 4 4" xfId="21083" xr:uid="{D28ACF4D-C75E-474A-9E3D-219A1925AC5A}"/>
    <cellStyle name="Migliaia 59 3 4 4 2" xfId="34755" xr:uid="{A61580FB-66B8-48ED-A2CF-F6FDDC91EAD7}"/>
    <cellStyle name="Migliaia 59 3 4 5" xfId="25554" xr:uid="{F4D480D4-BC85-4B1E-9437-CDB816A2587F}"/>
    <cellStyle name="Migliaia 59 3 4 6" xfId="16866" xr:uid="{200A1E9C-2CFD-4810-9F60-C3B82D074D48}"/>
    <cellStyle name="Migliaia 59 3 4 7" xfId="7710" xr:uid="{A2737947-F711-46BC-A163-6E539ED45081}"/>
    <cellStyle name="Migliaia 59 3 5" xfId="3977" xr:uid="{180CE4AE-5577-4EEC-8C20-EB63DD9A6F90}"/>
    <cellStyle name="Migliaia 59 3 5 2" xfId="5703" xr:uid="{C3DB03DF-A2FF-44BB-96B7-8B5AC90F08F0}"/>
    <cellStyle name="Migliaia 59 3 5 2 2" xfId="35504" xr:uid="{B22B2CCA-B519-403E-B1D6-F8BCC402825F}"/>
    <cellStyle name="Migliaia 59 3 5 2 2 2" xfId="40664" xr:uid="{7C0CC19F-31A4-41FA-9B13-F40A53B76D8F}"/>
    <cellStyle name="Migliaia 59 3 5 2 2 3" xfId="45966" xr:uid="{AB6281AE-590B-4DE7-ACEC-2D26A82A7417}"/>
    <cellStyle name="Migliaia 59 3 5 2 3" xfId="38013" xr:uid="{828551EF-2498-4A3C-BF1B-4E81471F7EB0}"/>
    <cellStyle name="Migliaia 59 3 5 2 4" xfId="43315" xr:uid="{36580944-23F2-42FD-99BE-FEF9C28EFB81}"/>
    <cellStyle name="Migliaia 59 3 5 2 5" xfId="14343" xr:uid="{877FB93F-351F-4EB1-8465-C90AEA7FF725}"/>
    <cellStyle name="Migliaia 59 3 5 3" xfId="6873" xr:uid="{BD3A0EFF-2F98-497C-95D2-CFD402E7BA71}"/>
    <cellStyle name="Migliaia 59 3 5 3 2" xfId="34756" xr:uid="{2231C3F2-BBAF-48FB-92E7-0EC15E1997F6}"/>
    <cellStyle name="Migliaia 59 3 5 3 3" xfId="21085" xr:uid="{22A19213-0652-4B4D-9AF3-0438D01D3CF7}"/>
    <cellStyle name="Migliaia 59 3 5 4" xfId="25555" xr:uid="{4AC34506-7FEF-4B3B-9CA2-801CE938ED84}"/>
    <cellStyle name="Migliaia 59 3 5 5" xfId="16868" xr:uid="{831F72C9-9420-404E-B7B8-E4E5469B7CFD}"/>
    <cellStyle name="Migliaia 59 3 5 6" xfId="8405" xr:uid="{82BF376D-566E-4740-9B9D-82067CBB6DFC}"/>
    <cellStyle name="Migliaia 59 3 6" xfId="5698" xr:uid="{E22542AF-051A-4C04-93E6-EB2E70A465F8}"/>
    <cellStyle name="Migliaia 59 3 6 2" xfId="14048" xr:uid="{4D3440CD-780B-4DAC-9A61-D89A284792A0}"/>
    <cellStyle name="Migliaia 59 3 6 2 2" xfId="34757" xr:uid="{21EA1F2F-69A3-466F-B12C-89D162E5EECB}"/>
    <cellStyle name="Migliaia 59 3 6 3" xfId="18600" xr:uid="{ADBB3064-248D-4531-9DBC-E87C908F9797}"/>
    <cellStyle name="Migliaia 59 3 6 4" xfId="21086" xr:uid="{9615EB28-03B4-47D0-A1CE-E9658ED9601D}"/>
    <cellStyle name="Migliaia 59 3 6 5" xfId="25556" xr:uid="{EA1C3646-9688-4F19-B31B-42544EF4A8A3}"/>
    <cellStyle name="Migliaia 59 3 6 6" xfId="16869" xr:uid="{5AD72796-030C-4B67-8277-6CE4707D8F8C}"/>
    <cellStyle name="Migliaia 59 3 6 7" xfId="8040" xr:uid="{5FD20C1E-5399-45EA-9A51-EE74FAC126D9}"/>
    <cellStyle name="Migliaia 59 3 7" xfId="6868" xr:uid="{7EC32BAE-D2B3-46E7-91CD-66AD26415B1F}"/>
    <cellStyle name="Migliaia 59 3 7 2" xfId="34758" xr:uid="{447A1EE5-0943-419A-9163-881A9074E006}"/>
    <cellStyle name="Migliaia 59 3 7 3" xfId="25557" xr:uid="{971DC905-E9E6-4B06-A343-2C61A0FB5BAC}"/>
    <cellStyle name="Migliaia 59 3 7 4" xfId="12286" xr:uid="{753D349B-8879-4FD4-BA3A-78F87FED4E1A}"/>
    <cellStyle name="Migliaia 59 3 8" xfId="3972" xr:uid="{1177A450-7BEA-4C8F-8600-CA25E211D92C}"/>
    <cellStyle name="Migliaia 59 3 8 2" xfId="34759" xr:uid="{491F4102-2568-4ECD-97F4-15AA6470F2EE}"/>
    <cellStyle name="Migliaia 59 3 8 3" xfId="25558" xr:uid="{630A602C-101C-4498-B43E-6D5DDB2B9C27}"/>
    <cellStyle name="Migliaia 59 3 8 4" xfId="17265" xr:uid="{8DB9EF5C-3980-4CC1-A448-F3BB4D67084E}"/>
    <cellStyle name="Migliaia 59 3 9" xfId="21077" xr:uid="{695EA473-EE78-4478-BA9D-697EA242F3D5}"/>
    <cellStyle name="Migliaia 59 3 9 2" xfId="34742" xr:uid="{1F4CB95E-AA9E-4F48-98BF-C3DFC6CF7D3B}"/>
    <cellStyle name="Migliaia 59 4" xfId="1928" xr:uid="{00000000-0005-0000-0000-0000AB040000}"/>
    <cellStyle name="Migliaia 59 4 10" xfId="7618" xr:uid="{1C6C56EC-5BEF-4951-B6DC-7635C4822CFF}"/>
    <cellStyle name="Migliaia 59 4 2" xfId="1929" xr:uid="{00000000-0005-0000-0000-0000AC040000}"/>
    <cellStyle name="Migliaia 59 4 2 2" xfId="5705" xr:uid="{662E79CB-951C-4229-B6FE-A5C313F4F09D}"/>
    <cellStyle name="Migliaia 59 4 2 2 2" xfId="34762" xr:uid="{A462BAE8-0479-4061-8A24-1DDD9238BB3B}"/>
    <cellStyle name="Migliaia 59 4 2 2 3" xfId="25561" xr:uid="{A1945897-A820-427F-B9DD-5665AC15FDD3}"/>
    <cellStyle name="Migliaia 59 4 2 2 4" xfId="9216" xr:uid="{06431222-7DC2-4F62-B9A7-E833F6D02E04}"/>
    <cellStyle name="Migliaia 59 4 2 3" xfId="3979" xr:uid="{D23AD6A4-D431-43B1-B282-4292F65938A4}"/>
    <cellStyle name="Migliaia 59 4 2 3 2" xfId="34763" xr:uid="{9265F4E1-83F3-4672-80FD-40FA9FDF8F03}"/>
    <cellStyle name="Migliaia 59 4 2 3 3" xfId="25562" xr:uid="{7901C5C7-3276-4D0E-801C-B0A73164D06C}"/>
    <cellStyle name="Migliaia 59 4 2 3 4" xfId="12105" xr:uid="{4541F0AF-E21F-4808-8D8A-CE1D34E908C0}"/>
    <cellStyle name="Migliaia 59 4 2 4" xfId="11458" xr:uid="{FAAEABB7-D94E-4486-89B2-35FD810D2371}"/>
    <cellStyle name="Migliaia 59 4 2 4 2" xfId="34761" xr:uid="{3885504B-522F-4E70-B105-0240583CA90D}"/>
    <cellStyle name="Migliaia 59 4 2 5" xfId="11006" xr:uid="{D642B96F-70FC-4C62-953F-8CE4443E274A}"/>
    <cellStyle name="Migliaia 59 4 2 5 2" xfId="21641" xr:uid="{7C14FBFC-F99D-4762-8DBD-D040DB86B82D}"/>
    <cellStyle name="Migliaia 59 4 2 5 3" xfId="46710" xr:uid="{663233E2-D443-46DE-9851-CD6B34AA5FA4}"/>
    <cellStyle name="Migliaia 59 4 2 5 4" xfId="50656" xr:uid="{C0A38478-18A7-4336-A46D-C127CE3C0B66}"/>
    <cellStyle name="Migliaia 59 4 2 5 5" xfId="53672" xr:uid="{F5BF1785-2C4E-4BC8-9969-5EB9A5BC2F8C}"/>
    <cellStyle name="Migliaia 59 4 2 6" xfId="21088" xr:uid="{3781432A-2AE5-4366-A630-258F092F5017}"/>
    <cellStyle name="Migliaia 59 4 2 7" xfId="25560" xr:uid="{2B7A79F0-766A-4301-8F46-1E259AB73685}"/>
    <cellStyle name="Migliaia 59 4 2 8" xfId="8808" xr:uid="{0FFD6928-B1B6-4EF5-ABEA-D01E08D9F553}"/>
    <cellStyle name="Migliaia 59 4 3" xfId="5704" xr:uid="{9C815720-B59F-4F77-B72F-23DF3E0A9947}"/>
    <cellStyle name="Migliaia 59 4 3 2" xfId="18271" xr:uid="{F09E39DE-1487-4D0E-ACC5-6E96E954A345}"/>
    <cellStyle name="Migliaia 59 4 3 2 2" xfId="34764" xr:uid="{A8462604-AAA3-42EE-94E9-511C6214FDE6}"/>
    <cellStyle name="Migliaia 59 4 3 3" xfId="25563" xr:uid="{EDF2D0A6-7657-40B3-B7E2-C383AF2DD751}"/>
    <cellStyle name="Migliaia 59 4 3 4" xfId="17263" xr:uid="{EAC5A98C-8D38-4674-86C8-5D3C8C1A9F47}"/>
    <cellStyle name="Migliaia 59 4 3 5" xfId="9217" xr:uid="{F24DA519-AF3E-460F-88DD-3B7D649FB675}"/>
    <cellStyle name="Migliaia 59 4 4" xfId="6874" xr:uid="{25D4A860-4165-47FC-8ECC-3F5621BE761F}"/>
    <cellStyle name="Migliaia 59 4 4 2" xfId="34765" xr:uid="{A3B07DC6-D306-4D71-A608-A26CB60F4727}"/>
    <cellStyle name="Migliaia 59 4 4 3" xfId="25564" xr:uid="{DA94A2FD-06B6-4219-9D0B-0E70616574A3}"/>
    <cellStyle name="Migliaia 59 4 4 4" xfId="12106" xr:uid="{4FF9A8FC-DB25-4F7E-B903-C5129A5358A6}"/>
    <cellStyle name="Migliaia 59 4 5" xfId="3978" xr:uid="{BAC42A76-1D67-419A-8DAD-646E3C8130CF}"/>
    <cellStyle name="Migliaia 59 4 5 2" xfId="34766" xr:uid="{E05C2E5D-65EC-44FA-98C5-8ABB644CD317}"/>
    <cellStyle name="Migliaia 59 4 5 3" xfId="25565" xr:uid="{163201E0-7D98-4A48-811E-76F56849630B}"/>
    <cellStyle name="Migliaia 59 4 5 4" xfId="11457" xr:uid="{C3F774CA-4BCA-4CC2-8DCA-C87A2061B737}"/>
    <cellStyle name="Migliaia 59 4 6" xfId="11005" xr:uid="{E9C7D4B3-20E2-43C9-B377-AF788FBB5B6C}"/>
    <cellStyle name="Migliaia 59 4 6 2" xfId="21640" xr:uid="{DCAD4FC8-928A-4123-B152-B967A0915563}"/>
    <cellStyle name="Migliaia 59 4 6 2 2" xfId="34767" xr:uid="{83DC7640-2AEA-42F0-913B-170D3A503591}"/>
    <cellStyle name="Migliaia 59 4 6 3" xfId="25566" xr:uid="{C33E4066-5323-4962-9E3E-F96EF728046D}"/>
    <cellStyle name="Migliaia 59 4 6 4" xfId="32340" xr:uid="{9604BF9F-32D9-4986-B643-C369581EB49E}"/>
    <cellStyle name="Migliaia 59 4 6 5" xfId="48898" xr:uid="{3EE25145-5192-464D-814C-EB265425525C}"/>
    <cellStyle name="Migliaia 59 4 6 6" xfId="50655" xr:uid="{C94A1416-57F1-4706-B7C8-E49008817925}"/>
    <cellStyle name="Migliaia 59 4 6 7" xfId="53671" xr:uid="{DED049D5-7147-4CF2-8321-330DBA75D48F}"/>
    <cellStyle name="Migliaia 59 4 7" xfId="21087" xr:uid="{D0546396-F449-46ED-B872-B0918A72F733}"/>
    <cellStyle name="Migliaia 59 4 7 2" xfId="34768" xr:uid="{614DC12C-0397-4950-A963-7AAC596A1A4E}"/>
    <cellStyle name="Migliaia 59 4 7 3" xfId="25567" xr:uid="{EEDA5D9B-896A-4A0B-B9B5-BA3CE8D26685}"/>
    <cellStyle name="Migliaia 59 4 8" xfId="34760" xr:uid="{A9530F58-551B-45B9-999A-FD00C24ED4EA}"/>
    <cellStyle name="Migliaia 59 4 9" xfId="25559" xr:uid="{8AD26496-ACA8-43EA-8ADC-E0703EAA3A5C}"/>
    <cellStyle name="Migliaia 59 5" xfId="1930" xr:uid="{00000000-0005-0000-0000-0000AD040000}"/>
    <cellStyle name="Migliaia 59 5 2" xfId="5706" xr:uid="{C90EB476-1402-426C-BD9A-9ABE73BAC860}"/>
    <cellStyle name="Migliaia 59 5 2 2" xfId="18526" xr:uid="{A72927F3-2E3C-44E4-A301-14855CE33F58}"/>
    <cellStyle name="Migliaia 59 5 2 2 2" xfId="34770" xr:uid="{5AE54508-E5DE-4399-979F-9AD39F881230}"/>
    <cellStyle name="Migliaia 59 5 2 3" xfId="21090" xr:uid="{BAF24A4C-F9D9-4F55-84BC-2B2642B27077}"/>
    <cellStyle name="Migliaia 59 5 2 4" xfId="25569" xr:uid="{2B4EF7F7-6F12-42DB-90AE-29F00EB33AB3}"/>
    <cellStyle name="Migliaia 59 5 2 5" xfId="16870" xr:uid="{64409585-947A-4C9B-83CE-D2386772578F}"/>
    <cellStyle name="Migliaia 59 5 2 6" xfId="8809" xr:uid="{A16D871B-45CB-46DA-B74E-3684C6EA2858}"/>
    <cellStyle name="Migliaia 59 5 3" xfId="6875" xr:uid="{C29CDFA8-F6E7-4CA7-A011-41D89C4B4975}"/>
    <cellStyle name="Migliaia 59 5 3 2" xfId="34771" xr:uid="{9F679E42-EF8C-4A37-99B5-C2BF32E015BB}"/>
    <cellStyle name="Migliaia 59 5 3 3" xfId="25570" xr:uid="{BA2FDE03-9358-4DA3-852A-83D3A997FFBE}"/>
    <cellStyle name="Migliaia 59 5 3 4" xfId="11459" xr:uid="{FB8AE5C9-73AF-48E2-89A8-504EBEB96937}"/>
    <cellStyle name="Migliaia 59 5 4" xfId="3980" xr:uid="{10BB5540-6CFA-4F54-859F-C0B2F9F6A061}"/>
    <cellStyle name="Migliaia 59 5 4 2" xfId="21642" xr:uid="{F546929C-8E74-4EC0-826C-F4AB00818415}"/>
    <cellStyle name="Migliaia 59 5 4 2 2" xfId="34772" xr:uid="{78C8AE70-ECF1-48FA-BCA6-498713BCEAF9}"/>
    <cellStyle name="Migliaia 59 5 4 3" xfId="25571" xr:uid="{3BACDCB3-D091-409A-A42C-E9E51292B095}"/>
    <cellStyle name="Migliaia 59 5 4 4" xfId="47034" xr:uid="{95A3DF9B-2A03-4450-81E3-B036FDAD9DF4}"/>
    <cellStyle name="Migliaia 59 5 4 5" xfId="48899" xr:uid="{E0EC76B9-394C-4E96-A2F5-036E515D70A6}"/>
    <cellStyle name="Migliaia 59 5 4 6" xfId="50657" xr:uid="{62E34E18-6490-4733-ABAE-4C7229CEF7CF}"/>
    <cellStyle name="Migliaia 59 5 4 7" xfId="53673" xr:uid="{6E15A9B8-8553-4355-BF1A-BFF989A76C68}"/>
    <cellStyle name="Migliaia 59 5 4 8" xfId="11007" xr:uid="{D463884F-0139-4DC5-942E-2358C02370DC}"/>
    <cellStyle name="Migliaia 59 5 5" xfId="21089" xr:uid="{AA6C6D43-9608-4825-877E-A0945132FE32}"/>
    <cellStyle name="Migliaia 59 5 5 2" xfId="34773" xr:uid="{CAB4AE65-7A11-4CBE-BD2D-4E102F9EF4AE}"/>
    <cellStyle name="Migliaia 59 5 5 3" xfId="25572" xr:uid="{484EA2E4-95B1-4B68-8F9D-2F010CFB1E30}"/>
    <cellStyle name="Migliaia 59 5 5 4" xfId="48900" xr:uid="{3C1B571C-AFCB-4BDD-ADC4-6BA459FC7393}"/>
    <cellStyle name="Migliaia 59 5 6" xfId="25573" xr:uid="{EA6822FD-A395-4686-A23B-7ED504BC131B}"/>
    <cellStyle name="Migliaia 59 5 6 2" xfId="34774" xr:uid="{18850269-A3D4-4F45-BE0C-3135BE41A58A}"/>
    <cellStyle name="Migliaia 59 5 7" xfId="34769" xr:uid="{7A7C52F3-72F2-4465-B23E-CAE2B4BBDC4E}"/>
    <cellStyle name="Migliaia 59 5 8" xfId="25568" xr:uid="{E2C7D484-C530-4DED-9EB9-A6FD8A6A8480}"/>
    <cellStyle name="Migliaia 59 5 9" xfId="7619" xr:uid="{B846E27A-B5DB-46A0-BB2B-A9E874840136}"/>
    <cellStyle name="Migliaia 59 6" xfId="3981" xr:uid="{B0ABC0F7-5AD6-4B68-9306-A51D0EA67613}"/>
    <cellStyle name="Migliaia 59 6 2" xfId="5707" xr:uid="{5C892C50-02F7-482B-A90B-11A765B6E67D}"/>
    <cellStyle name="Migliaia 59 6 2 2" xfId="9989" xr:uid="{A2FA39C9-64FB-40F8-B971-E8EE128C7124}"/>
    <cellStyle name="Migliaia 59 6 2 3" xfId="18119" xr:uid="{7F3AEEC6-B658-47A8-9A4D-C0968CD8E37E}"/>
    <cellStyle name="Migliaia 59 6 2 4" xfId="21092" xr:uid="{3D5B4A7F-C935-458F-A1B1-660BF6282CF9}"/>
    <cellStyle name="Migliaia 59 6 2 5" xfId="32484" xr:uid="{44544E96-0E0D-4764-893A-6596328D7FC9}"/>
    <cellStyle name="Migliaia 59 6 2 6" xfId="16872" xr:uid="{3E04857B-2587-4C39-9738-E33237FAD4D0}"/>
    <cellStyle name="Migliaia 59 6 2 7" xfId="8804" xr:uid="{41036C99-40C4-4ADE-A6C7-F67D09481496}"/>
    <cellStyle name="Migliaia 59 6 3" xfId="6876" xr:uid="{8AAF8921-C6BB-43C2-80CA-2BA034A89896}"/>
    <cellStyle name="Migliaia 59 6 3 2" xfId="35505" xr:uid="{989E32F7-9078-422B-9C70-FF37513A31CF}"/>
    <cellStyle name="Migliaia 59 6 3 2 2" xfId="40665" xr:uid="{B60AA45C-8946-44A8-8591-412D8CDF7173}"/>
    <cellStyle name="Migliaia 59 6 3 2 3" xfId="45967" xr:uid="{9CEFEDA5-979B-433A-BAC0-6F8E55737557}"/>
    <cellStyle name="Migliaia 59 6 3 3" xfId="38014" xr:uid="{F82F3211-7B07-4B5E-A77E-6D150A58681A}"/>
    <cellStyle name="Migliaia 59 6 3 4" xfId="43316" xr:uid="{23F2E980-9C84-4665-87F6-A8BB6A602D51}"/>
    <cellStyle name="Migliaia 59 6 3 5" xfId="9752" xr:uid="{2CD43957-19A3-4695-861A-2606AA9F47C5}"/>
    <cellStyle name="Migliaia 59 6 4" xfId="21091" xr:uid="{6A2DEC2B-95F4-4242-A983-E1A0B61CAFA2}"/>
    <cellStyle name="Migliaia 59 6 4 2" xfId="34775" xr:uid="{80C9FB4E-BBB1-41F4-A8EF-15FA6BEBFFFA}"/>
    <cellStyle name="Migliaia 59 6 5" xfId="25574" xr:uid="{F2260A9A-32DB-43C4-AEC6-479B18E9A177}"/>
    <cellStyle name="Migliaia 59 6 6" xfId="16871" xr:uid="{B878AFAC-22C5-4B7E-8BDF-4CEA36C87B3A}"/>
    <cellStyle name="Migliaia 59 6 7" xfId="7614" xr:uid="{7BA2A023-7820-4854-8BF1-2C3AAB4EB437}"/>
    <cellStyle name="Migliaia 59 7" xfId="3982" xr:uid="{531DD226-7E94-421D-8AEF-FA6F6AB22B57}"/>
    <cellStyle name="Migliaia 59 7 2" xfId="5708" xr:uid="{6BA661C8-9962-4EEA-ADE5-12DB2789D107}"/>
    <cellStyle name="Migliaia 59 7 2 2" xfId="35506" xr:uid="{5241BCD1-BF61-4F14-9475-C2DEE11E5479}"/>
    <cellStyle name="Migliaia 59 7 2 2 2" xfId="40666" xr:uid="{B9A2D60C-9ADE-45E8-A835-285281E42BEF}"/>
    <cellStyle name="Migliaia 59 7 2 2 3" xfId="45968" xr:uid="{84CD4C08-8A42-4AC1-B083-9A1BBA45CEDF}"/>
    <cellStyle name="Migliaia 59 7 2 3" xfId="38015" xr:uid="{621F636F-8504-46D3-A5DD-A6B329292807}"/>
    <cellStyle name="Migliaia 59 7 2 4" xfId="43317" xr:uid="{771DCC85-03D9-49C6-903A-FE2B36B9740E}"/>
    <cellStyle name="Migliaia 59 7 2 5" xfId="14341" xr:uid="{22D17FF5-7797-468C-A78C-3097CEB5C04F}"/>
    <cellStyle name="Migliaia 59 7 3" xfId="6877" xr:uid="{074FBB88-0FBD-4304-B6E7-224A599185BE}"/>
    <cellStyle name="Migliaia 59 7 3 2" xfId="34776" xr:uid="{2B5C8992-4456-4EAC-B76F-A86FF822161E}"/>
    <cellStyle name="Migliaia 59 7 3 3" xfId="21093" xr:uid="{420C05A0-062B-4545-A6FE-B8A70CEF20FA}"/>
    <cellStyle name="Migliaia 59 7 4" xfId="25575" xr:uid="{0233F7D7-8EBF-4510-90B6-E919B96C2834}"/>
    <cellStyle name="Migliaia 59 7 5" xfId="16873" xr:uid="{3FB300D2-DDBD-4469-84BC-1DEDBFE39C75}"/>
    <cellStyle name="Migliaia 59 7 6" xfId="8403" xr:uid="{1F1FED92-96F5-45FA-9870-53487C535A9A}"/>
    <cellStyle name="Migliaia 59 8" xfId="3983" xr:uid="{133E183A-45E2-47B2-AF7C-589F9AEB6EAA}"/>
    <cellStyle name="Migliaia 59 8 2" xfId="5709" xr:uid="{C02CDA08-3CC9-46C2-B452-4F470D43E808}"/>
    <cellStyle name="Migliaia 59 8 2 2" xfId="35507" xr:uid="{54D53FE0-DCA5-4B41-9725-EE5332F7FBFD}"/>
    <cellStyle name="Migliaia 59 8 2 2 2" xfId="40667" xr:uid="{F1E1B507-184A-4D2E-92EF-BD312033A058}"/>
    <cellStyle name="Migliaia 59 8 2 2 3" xfId="45969" xr:uid="{535AA6A0-2A1C-4E7B-A211-F17DC617F623}"/>
    <cellStyle name="Migliaia 59 8 2 3" xfId="38016" xr:uid="{91A344AF-5B41-4DC8-9445-3161FF236671}"/>
    <cellStyle name="Migliaia 59 8 2 4" xfId="43318" xr:uid="{2070050C-D341-42F7-A325-D6C2478038E1}"/>
    <cellStyle name="Migliaia 59 8 2 5" xfId="14046" xr:uid="{99FB4661-8490-42D3-A34A-EB8B7CE1858A}"/>
    <cellStyle name="Migliaia 59 8 3" xfId="6878" xr:uid="{05CA00B1-4C40-4CF3-B184-934067E5CA9F}"/>
    <cellStyle name="Migliaia 59 8 3 2" xfId="34777" xr:uid="{AE781CD0-2582-4859-B485-983415DC571C}"/>
    <cellStyle name="Migliaia 59 8 3 3" xfId="21094" xr:uid="{009A90A6-2CBA-4BD3-92EB-605E5EA0135B}"/>
    <cellStyle name="Migliaia 59 8 4" xfId="25576" xr:uid="{D91143E2-F32F-41A6-9603-F78E671EC8A8}"/>
    <cellStyle name="Migliaia 59 8 5" xfId="16874" xr:uid="{65821E08-CDC7-4277-9220-75DBA6A24630}"/>
    <cellStyle name="Migliaia 59 8 6" xfId="8038" xr:uid="{D179043F-D17E-4E8F-8F33-6EDBE2F1FD4C}"/>
    <cellStyle name="Migliaia 59 9" xfId="5694" xr:uid="{8C920DCD-05B7-413F-ACE9-AEA14321E67F}"/>
    <cellStyle name="Migliaia 59 9 2" xfId="34778" xr:uid="{747BF9C0-2770-42A6-A921-0419AF5FF6E5}"/>
    <cellStyle name="Migliaia 59 9 3" xfId="25577" xr:uid="{1871E2FA-204E-495C-BAE4-1EC39CE4F280}"/>
    <cellStyle name="Migliaia 59 9 4" xfId="17243" xr:uid="{2237F074-81BD-4FA2-972F-73093D9795AF}"/>
    <cellStyle name="Migliaia 6" xfId="521" xr:uid="{00000000-0005-0000-0000-0000AE040000}"/>
    <cellStyle name="Migliaia 6 10" xfId="6879" xr:uid="{6FF015D3-8F7A-40F4-B864-D55219DA374E}"/>
    <cellStyle name="Migliaia 6 10 2" xfId="34779" xr:uid="{17EF1B9C-4D93-4277-B486-390BD25F1DC5}"/>
    <cellStyle name="Migliaia 6 10 3" xfId="21095" xr:uid="{ED283AF8-9DA7-43D7-ADA0-5DAD0F3A379B}"/>
    <cellStyle name="Migliaia 6 11" xfId="3984" xr:uid="{6B02B19B-A35D-4A57-AB0D-19F091249173}"/>
    <cellStyle name="Migliaia 6 11 2" xfId="25578" xr:uid="{E11C2564-E56A-43CA-BC16-81D622ACD452}"/>
    <cellStyle name="Migliaia 6 12" xfId="7207" xr:uid="{63B3921B-4A67-4136-80B8-BA7A8FCAE545}"/>
    <cellStyle name="Migliaia 6 2" xfId="522" xr:uid="{00000000-0005-0000-0000-0000AF040000}"/>
    <cellStyle name="Migliaia 6 2 2" xfId="1931" xr:uid="{00000000-0005-0000-0000-0000B0040000}"/>
    <cellStyle name="Migliaia 6 2 2 2" xfId="5712" xr:uid="{F0CB9972-2878-4969-8C7A-9968094A41FE}"/>
    <cellStyle name="Migliaia 6 2 2 2 2" xfId="14418" xr:uid="{44D593EE-274C-4286-8325-24016605A6AC}"/>
    <cellStyle name="Migliaia 6 2 2 2 2 2" xfId="34782" xr:uid="{ACD4D862-A1D4-4452-9732-67BEAFCACF25}"/>
    <cellStyle name="Migliaia 6 2 2 2 3" xfId="18527" xr:uid="{5A4F39B5-FB01-4EF5-BB42-A5BE6951A188}"/>
    <cellStyle name="Migliaia 6 2 2 2 4" xfId="21098" xr:uid="{9E5A45D9-60DB-4987-9D04-5EACDAA6F1FA}"/>
    <cellStyle name="Migliaia 6 2 2 2 5" xfId="25581" xr:uid="{6DB8B8FD-7E9A-4ED9-BA51-D0BA97456C0B}"/>
    <cellStyle name="Migliaia 6 2 2 2 6" xfId="16875" xr:uid="{48885681-3EAF-4B11-9C7A-A6D1F025EB3A}"/>
    <cellStyle name="Migliaia 6 2 2 2 7" xfId="8811" xr:uid="{650AC8FF-A0C7-41CD-87F7-A88B942BA83D}"/>
    <cellStyle name="Migliaia 6 2 2 3" xfId="6881" xr:uid="{0DD95619-07B9-449F-9528-63A5D06B02D6}"/>
    <cellStyle name="Migliaia 6 2 2 3 2" xfId="35508" xr:uid="{76A71859-676C-44BE-96DE-A6EEB549C069}"/>
    <cellStyle name="Migliaia 6 2 2 3 2 2" xfId="40668" xr:uid="{AB784BC8-3D3E-4E0F-AE2A-13B9630A3AEF}"/>
    <cellStyle name="Migliaia 6 2 2 3 2 3" xfId="45970" xr:uid="{126C0D3E-D277-4730-9989-241E9D78DADB}"/>
    <cellStyle name="Migliaia 6 2 2 3 3" xfId="38017" xr:uid="{30949997-A3D2-428F-A7C5-B1CB07219CF4}"/>
    <cellStyle name="Migliaia 6 2 2 3 4" xfId="43319" xr:uid="{47B7950F-FAE2-4E7F-99EA-B1D8354D21A8}"/>
    <cellStyle name="Migliaia 6 2 2 3 5" xfId="11645" xr:uid="{DAF268F4-6F25-4DAB-B4B6-970129F5219F}"/>
    <cellStyle name="Migliaia 6 2 2 4" xfId="3986" xr:uid="{1B1F52FC-005D-4298-8702-F68D1E653F4B}"/>
    <cellStyle name="Migliaia 6 2 2 4 2" xfId="21643" xr:uid="{54930A2A-B404-44A5-AB58-D62E18E8E0EA}"/>
    <cellStyle name="Migliaia 6 2 2 4 3" xfId="34781" xr:uid="{41369F8C-9B85-4896-83EF-47A237992DF9}"/>
    <cellStyle name="Migliaia 6 2 2 4 4" xfId="48183" xr:uid="{544F6337-076A-4C35-8E48-A0A4D2EBAA9A}"/>
    <cellStyle name="Migliaia 6 2 2 4 5" xfId="50658" xr:uid="{9753F854-C271-4E71-AFC2-5B74C45E6906}"/>
    <cellStyle name="Migliaia 6 2 2 4 6" xfId="53674" xr:uid="{4A5D0B25-11A9-48A4-A52E-8298F7DB8646}"/>
    <cellStyle name="Migliaia 6 2 2 4 7" xfId="11008" xr:uid="{098EEC89-D3F4-4A66-81BC-805240091375}"/>
    <cellStyle name="Migliaia 6 2 2 5" xfId="21097" xr:uid="{63C7A762-0296-4A94-8245-4AA24F6C65F2}"/>
    <cellStyle name="Migliaia 6 2 2 6" xfId="25580" xr:uid="{A3809AFB-F386-43EC-91C1-3A9A88276167}"/>
    <cellStyle name="Migliaia 6 2 2 7" xfId="7621" xr:uid="{E94E0A44-C212-4CC1-B0EB-947613CCAE03}"/>
    <cellStyle name="Migliaia 6 2 3" xfId="3987" xr:uid="{4584618F-4FC8-42A5-AC42-D0573505E831}"/>
    <cellStyle name="Migliaia 6 2 3 2" xfId="5713" xr:uid="{67F87C38-AC7B-46AB-A738-43C8AB854E27}"/>
    <cellStyle name="Migliaia 6 2 3 2 2" xfId="35509" xr:uid="{63436F8A-D9D7-459E-BB89-A9911D704CFD}"/>
    <cellStyle name="Migliaia 6 2 3 2 2 2" xfId="40669" xr:uid="{A65A8ED4-2D9D-421D-B061-ACDEFDCEC310}"/>
    <cellStyle name="Migliaia 6 2 3 2 2 3" xfId="45971" xr:uid="{5E30B77B-9944-4DBE-BBCA-1397C30DFCFC}"/>
    <cellStyle name="Migliaia 6 2 3 2 3" xfId="38018" xr:uid="{8F32AE5C-25EF-4F03-91C6-F1A4E3E0667F}"/>
    <cellStyle name="Migliaia 6 2 3 2 4" xfId="43320" xr:uid="{242554F9-F817-4F6D-8146-CE8E61FE08B1}"/>
    <cellStyle name="Migliaia 6 2 3 2 5" xfId="14345" xr:uid="{51C8E342-83FA-4BAF-BE64-D290A2177FEC}"/>
    <cellStyle name="Migliaia 6 2 3 3" xfId="6882" xr:uid="{C652D428-3914-4EEE-918A-066AE13E8C37}"/>
    <cellStyle name="Migliaia 6 2 3 3 2" xfId="34783" xr:uid="{49C2021A-5D04-417E-9543-1248D1B8EC1B}"/>
    <cellStyle name="Migliaia 6 2 3 3 3" xfId="21099" xr:uid="{B8816699-ACAC-48BA-B393-EBE1083F9B6A}"/>
    <cellStyle name="Migliaia 6 2 3 4" xfId="25582" xr:uid="{84A62230-60E3-415D-B80A-AA542FF6A824}"/>
    <cellStyle name="Migliaia 6 2 3 5" xfId="16876" xr:uid="{B599C404-D79C-4359-A6EA-E64339C3F554}"/>
    <cellStyle name="Migliaia 6 2 3 6" xfId="8407" xr:uid="{B461F541-EB8D-4269-A56B-4347C44D8C91}"/>
    <cellStyle name="Migliaia 6 2 4" xfId="5711" xr:uid="{C9B27D02-8CA4-491A-8DE2-F30EB3BC0FB9}"/>
    <cellStyle name="Migliaia 6 2 4 2" xfId="14050" xr:uid="{9088384F-43BD-4154-95DA-61C1CAFF6558}"/>
    <cellStyle name="Migliaia 6 2 4 2 2" xfId="34784" xr:uid="{29F4FB4D-D8BA-4B1C-87D3-4E745EF667ED}"/>
    <cellStyle name="Migliaia 6 2 4 3" xfId="18685" xr:uid="{AE491E51-94BF-4438-A864-0B5FAFAD3DBA}"/>
    <cellStyle name="Migliaia 6 2 4 4" xfId="21100" xr:uid="{1863AFF9-7EF3-4E9A-B5DD-CE9E7D726DF7}"/>
    <cellStyle name="Migliaia 6 2 4 5" xfId="25583" xr:uid="{485C0A02-E93A-4E80-AD52-C48A76DE2675}"/>
    <cellStyle name="Migliaia 6 2 4 6" xfId="16877" xr:uid="{D1723D5E-BBAE-420B-89FF-A2F049BF6C68}"/>
    <cellStyle name="Migliaia 6 2 4 7" xfId="8043" xr:uid="{386FE8E9-8C14-4010-B64E-DDB1D7A1EDC0}"/>
    <cellStyle name="Migliaia 6 2 5" xfId="6880" xr:uid="{421F14A9-BDDC-4A26-94E4-F9B5DA554F86}"/>
    <cellStyle name="Migliaia 6 2 5 2" xfId="34785" xr:uid="{1A75E687-3021-468D-9E9A-5A33AC92F1D4}"/>
    <cellStyle name="Migliaia 6 2 5 3" xfId="25584" xr:uid="{8A5BE4C8-DA6E-44E2-9B29-BB7AE5052E96}"/>
    <cellStyle name="Migliaia 6 2 5 4" xfId="13158" xr:uid="{9BA02BAE-2420-4F4C-AB76-7206EC2B8A21}"/>
    <cellStyle name="Migliaia 6 2 6" xfId="3985" xr:uid="{74A8D4F2-B69F-4E7D-8A6C-30153657A013}"/>
    <cellStyle name="Migliaia 6 2 6 2" xfId="34786" xr:uid="{58639D22-A45A-4004-922B-BA70A7021D01}"/>
    <cellStyle name="Migliaia 6 2 6 3" xfId="25585" xr:uid="{BD4FE814-C3BF-45FB-B5CF-031844BA18D9}"/>
    <cellStyle name="Migliaia 6 2 6 4" xfId="21096" xr:uid="{53A77489-8F8D-4B65-9653-58125709E139}"/>
    <cellStyle name="Migliaia 6 2 7" xfId="34780" xr:uid="{A4A5F17F-DC66-4242-A713-628BD553D8D4}"/>
    <cellStyle name="Migliaia 6 2 8" xfId="25579" xr:uid="{8E74A254-F602-41A3-8754-DFE4B3BC0E4F}"/>
    <cellStyle name="Migliaia 6 2 9" xfId="7208" xr:uid="{2A838D62-E60D-41B0-9DD2-AB31D453C396}"/>
    <cellStyle name="Migliaia 6 3" xfId="523" xr:uid="{00000000-0005-0000-0000-0000B1040000}"/>
    <cellStyle name="Migliaia 6 3 10" xfId="25586" xr:uid="{79E674A8-45F7-401B-8127-878DA90FEA62}"/>
    <cellStyle name="Migliaia 6 3 11" xfId="16878" xr:uid="{EF987527-BB1C-43B5-8438-5CE2CDE755EC}"/>
    <cellStyle name="Migliaia 6 3 12" xfId="7209" xr:uid="{A255D1A3-F4B2-48F3-B4AC-4C67866C60B3}"/>
    <cellStyle name="Migliaia 6 3 2" xfId="524" xr:uid="{00000000-0005-0000-0000-0000B2040000}"/>
    <cellStyle name="Migliaia 6 3 2 2" xfId="1932" xr:uid="{00000000-0005-0000-0000-0000B3040000}"/>
    <cellStyle name="Migliaia 6 3 2 2 2" xfId="5716" xr:uid="{55DFB909-3E5D-4035-B7BB-718588E2F705}"/>
    <cellStyle name="Migliaia 6 3 2 2 2 2" xfId="18528" xr:uid="{5694979B-6CB3-484C-84F4-361FBA3F57C2}"/>
    <cellStyle name="Migliaia 6 3 2 2 2 2 2" xfId="21896" xr:uid="{301F44AE-4560-460C-B22B-3B60AB21C17E}"/>
    <cellStyle name="Migliaia 6 3 2 2 2 2 3" xfId="34790" xr:uid="{BA44389D-FF79-4FC6-89A9-0D30E0253218}"/>
    <cellStyle name="Migliaia 6 3 2 2 2 3" xfId="25589" xr:uid="{34F3C0D4-DAE4-4993-A54B-3968EB586F1D}"/>
    <cellStyle name="Migliaia 6 3 2 2 2 4" xfId="46613" xr:uid="{95F33BB2-DFFF-43F9-ADF8-A0A4E9C8666D}"/>
    <cellStyle name="Migliaia 6 3 2 2 2 5" xfId="50924" xr:uid="{E5927FC8-F5D1-4138-96C6-3655B4E58722}"/>
    <cellStyle name="Migliaia 6 3 2 2 2 6" xfId="53940" xr:uid="{966B2DD1-BD8A-4810-96C6-414B3ADF419D}"/>
    <cellStyle name="Migliaia 6 3 2 2 2 7" xfId="17695" xr:uid="{C5272C32-1804-4E82-8ADA-5276C377BE42}"/>
    <cellStyle name="Migliaia 6 3 2 2 2 8" xfId="12107" xr:uid="{E04887D2-AF70-43C8-803E-8E5AD46C8640}"/>
    <cellStyle name="Migliaia 6 3 2 2 3" xfId="6885" xr:uid="{42FF2B44-2FE0-4DCB-A5F1-CEDB0C7D20F1}"/>
    <cellStyle name="Migliaia 6 3 2 2 3 2" xfId="34789" xr:uid="{75F7B575-5834-4B9B-B46D-AAF25510AAB0}"/>
    <cellStyle name="Migliaia 6 3 2 2 3 3" xfId="12202" xr:uid="{01EFC9E0-6B8B-4DED-A4FA-06D84C4C9617}"/>
    <cellStyle name="Migliaia 6 3 2 2 4" xfId="3990" xr:uid="{F7D749BB-DA14-4C79-BEC6-3277E7119227}"/>
    <cellStyle name="Migliaia 6 3 2 2 4 2" xfId="21644" xr:uid="{C35705A5-73D2-4D26-89DC-CF8700333CAC}"/>
    <cellStyle name="Migliaia 6 3 2 2 4 3" xfId="47430" xr:uid="{A99748BA-6C1D-41D7-9764-83839300DB7F}"/>
    <cellStyle name="Migliaia 6 3 2 2 4 4" xfId="50659" xr:uid="{47902AC6-63D5-43D6-89A2-456855F25152}"/>
    <cellStyle name="Migliaia 6 3 2 2 4 5" xfId="53675" xr:uid="{D0136FFD-9D6C-4795-81DF-E1E69DB049DD}"/>
    <cellStyle name="Migliaia 6 3 2 2 4 6" xfId="11009" xr:uid="{2F130DFA-E3EA-487E-B84A-193621446914}"/>
    <cellStyle name="Migliaia 6 3 2 2 5" xfId="21103" xr:uid="{731F30D3-79AD-4E19-B011-8FCAC907DC6B}"/>
    <cellStyle name="Migliaia 6 3 2 2 6" xfId="25588" xr:uid="{EB0701F8-3B10-4A0D-87BC-1B89D1BDBE35}"/>
    <cellStyle name="Migliaia 6 3 2 2 7" xfId="8813" xr:uid="{F94AE993-C97C-4B5E-91CC-B7C324636BAA}"/>
    <cellStyle name="Migliaia 6 3 2 3" xfId="5715" xr:uid="{7764E4F6-B036-43D0-818E-78D576BCFC51}"/>
    <cellStyle name="Migliaia 6 3 2 3 2" xfId="11660" xr:uid="{3257A7BF-4084-4EBA-8467-D664C3412A03}"/>
    <cellStyle name="Migliaia 6 3 2 3 2 2" xfId="34791" xr:uid="{920040AB-F812-463A-A893-0C63EB9C3C67}"/>
    <cellStyle name="Migliaia 6 3 2 3 3" xfId="12108" xr:uid="{5DBF4EBD-4235-46A2-92CC-B6DD39932C94}"/>
    <cellStyle name="Migliaia 6 3 2 3 4" xfId="21104" xr:uid="{518EAD13-8C74-456F-AA4E-A9D945ADE112}"/>
    <cellStyle name="Migliaia 6 3 2 3 5" xfId="25590" xr:uid="{3D35FAE7-88CA-4D2D-AF89-7200F2EA1B5E}"/>
    <cellStyle name="Migliaia 6 3 2 3 6" xfId="16879" xr:uid="{FFA8E00D-D5A4-4BD5-AE27-2436118F1E61}"/>
    <cellStyle name="Migliaia 6 3 2 3 7" xfId="8045" xr:uid="{8C898807-AF93-4067-AEDC-C5D1EE5DD08C}"/>
    <cellStyle name="Migliaia 6 3 2 4" xfId="6884" xr:uid="{E83D24DC-09BE-4F48-A4CB-FF04B3B128CF}"/>
    <cellStyle name="Migliaia 6 3 2 4 2" xfId="18112" xr:uid="{BA725553-EFAC-4565-A827-F33AC92BF0BC}"/>
    <cellStyle name="Migliaia 6 3 2 4 2 2" xfId="34792" xr:uid="{3BD5C929-CD57-4777-A013-CB6527F37102}"/>
    <cellStyle name="Migliaia 6 3 2 4 3" xfId="25591" xr:uid="{AA4D6ECF-5397-408F-B994-B5E8FCADA732}"/>
    <cellStyle name="Migliaia 6 3 2 4 4" xfId="17246" xr:uid="{88AD9922-2813-4EFC-83D9-BD77A7971878}"/>
    <cellStyle name="Migliaia 6 3 2 4 5" xfId="11460" xr:uid="{EFF4B24C-C78B-4B37-BA04-6DC385D2E369}"/>
    <cellStyle name="Migliaia 6 3 2 5" xfId="3989" xr:uid="{D5237CE1-7032-432B-A742-00324ED5D853}"/>
    <cellStyle name="Migliaia 6 3 2 5 2" xfId="34793" xr:uid="{3CA4DE33-513E-461B-B362-C5EA4DC29F35}"/>
    <cellStyle name="Migliaia 6 3 2 5 3" xfId="25592" xr:uid="{51AE3D61-39B1-4E98-BFD9-1057045CDC02}"/>
    <cellStyle name="Migliaia 6 3 2 5 4" xfId="17261" xr:uid="{C304F749-2856-4432-81CF-90C9316E43D4}"/>
    <cellStyle name="Migliaia 6 3 2 6" xfId="21102" xr:uid="{B9C90EE6-4CBD-462E-A623-D111462641EB}"/>
    <cellStyle name="Migliaia 6 3 2 6 2" xfId="34794" xr:uid="{E97E84DD-9F66-4996-B970-D0085B9133B6}"/>
    <cellStyle name="Migliaia 6 3 2 6 3" xfId="25593" xr:uid="{82A2E08F-ADAC-454A-B745-981562F4701F}"/>
    <cellStyle name="Migliaia 6 3 2 7" xfId="34788" xr:uid="{F831C30C-93F5-4BCD-89D1-88AE33205C13}"/>
    <cellStyle name="Migliaia 6 3 2 8" xfId="25587" xr:uid="{DA6153B4-ABD1-4E73-8436-44D412217043}"/>
    <cellStyle name="Migliaia 6 3 2 9" xfId="7623" xr:uid="{E8C89963-358B-4695-9F2D-4F1024A65876}"/>
    <cellStyle name="Migliaia 6 3 3" xfId="3991" xr:uid="{4375E1AD-63F8-46C0-9A15-29840F8042FF}"/>
    <cellStyle name="Migliaia 6 3 3 2" xfId="5717" xr:uid="{48889843-A9E5-4493-9FEE-D567708D5555}"/>
    <cellStyle name="Migliaia 6 3 3 2 2" xfId="9992" xr:uid="{125C8787-BEDA-4131-B247-26EE6A9F1AE3}"/>
    <cellStyle name="Migliaia 6 3 3 2 2 2" xfId="34796" xr:uid="{22322755-BA76-46D9-A034-BE3F10A6AD22}"/>
    <cellStyle name="Migliaia 6 3 3 2 3" xfId="18272" xr:uid="{C6F7F9C7-9BAE-4360-9761-11B40901497C}"/>
    <cellStyle name="Migliaia 6 3 3 2 4" xfId="21106" xr:uid="{A69372AB-E199-411B-BBD7-705AE34C6140}"/>
    <cellStyle name="Migliaia 6 3 3 2 5" xfId="25595" xr:uid="{77F21E09-F5C1-4EB2-BEF4-A31298FB2345}"/>
    <cellStyle name="Migliaia 6 3 3 2 6" xfId="16881" xr:uid="{89D2382F-DD58-45F2-86B6-0C6090246800}"/>
    <cellStyle name="Migliaia 6 3 3 2 7" xfId="8812" xr:uid="{A32EE702-5E2A-477C-A6F0-0EA8ED417B97}"/>
    <cellStyle name="Migliaia 6 3 3 3" xfId="6886" xr:uid="{CA980769-F128-4C12-81AA-CB93BB3BCCEC}"/>
    <cellStyle name="Migliaia 6 3 3 3 2" xfId="34797" xr:uid="{9338F5A7-E838-41E3-99BE-EB7C04D034D3}"/>
    <cellStyle name="Migliaia 6 3 3 3 3" xfId="25596" xr:uid="{328CB5CE-4F39-4118-AC95-C4A2BCF8585F}"/>
    <cellStyle name="Migliaia 6 3 3 3 4" xfId="9755" xr:uid="{D0BDFAC1-7D3C-4CD8-9744-2F3BEE6FB436}"/>
    <cellStyle name="Migliaia 6 3 3 4" xfId="21105" xr:uid="{A4A699DA-2AB4-4736-808D-E1DDD1678B1D}"/>
    <cellStyle name="Migliaia 6 3 3 4 2" xfId="34798" xr:uid="{69ED187E-BD39-4A95-8687-ADB0135CAB6A}"/>
    <cellStyle name="Migliaia 6 3 3 4 3" xfId="25597" xr:uid="{9F9313FF-CA1B-4ADE-999E-7DCAE984CEF8}"/>
    <cellStyle name="Migliaia 6 3 3 4 4" xfId="48901" xr:uid="{E7084076-AA10-48BA-B01C-4AE321DAD698}"/>
    <cellStyle name="Migliaia 6 3 3 5" xfId="25598" xr:uid="{CD81D9B5-B33F-472C-B567-1AE71C2E0407}"/>
    <cellStyle name="Migliaia 6 3 3 5 2" xfId="34799" xr:uid="{02A91CC6-9A53-4778-AA80-60E7E11982BE}"/>
    <cellStyle name="Migliaia 6 3 3 5 3" xfId="48902" xr:uid="{42D7557A-47B7-4AB9-A572-D075B17C7B70}"/>
    <cellStyle name="Migliaia 6 3 3 6" xfId="34795" xr:uid="{5BCE498C-94F7-47B2-AA37-7B69D456FD0A}"/>
    <cellStyle name="Migliaia 6 3 3 7" xfId="25594" xr:uid="{6B635711-FB2C-4F6F-B68B-83DEC43383BD}"/>
    <cellStyle name="Migliaia 6 3 3 8" xfId="16880" xr:uid="{FEAC4067-E7E3-455D-8041-F2FC8BBF6146}"/>
    <cellStyle name="Migliaia 6 3 3 9" xfId="7622" xr:uid="{C956483E-C934-43CD-AAA6-FF1455EA20F9}"/>
    <cellStyle name="Migliaia 6 3 4" xfId="3992" xr:uid="{D15491D4-9DC5-463C-9D34-6E9869B2EC0E}"/>
    <cellStyle name="Migliaia 6 3 4 2" xfId="5718" xr:uid="{2F9A4EE6-1E69-4773-84E8-3486C6015EEC}"/>
    <cellStyle name="Migliaia 6 3 4 2 2" xfId="14478" xr:uid="{9041D9DF-B32B-4374-8A60-79226D7C14ED}"/>
    <cellStyle name="Migliaia 6 3 4 2 3" xfId="18564" xr:uid="{3FBC8DF8-D796-450C-8696-C2B04DE9C57E}"/>
    <cellStyle name="Migliaia 6 3 4 2 4" xfId="21108" xr:uid="{423A6331-F409-46A2-B2D8-6FFCD8DA9027}"/>
    <cellStyle name="Migliaia 6 3 4 2 5" xfId="32485" xr:uid="{8C0474A8-1B27-427A-BF3C-9D2D0EC8AC30}"/>
    <cellStyle name="Migliaia 6 3 4 2 6" xfId="16883" xr:uid="{D0A47142-B9B0-458E-97D8-958F5821709F}"/>
    <cellStyle name="Migliaia 6 3 4 2 7" xfId="8901" xr:uid="{5D9A6DAA-07BE-43A4-9E40-771C311491FF}"/>
    <cellStyle name="Migliaia 6 3 4 3" xfId="6887" xr:uid="{595F4018-E261-4CD0-8AFA-75AFE1EEE35D}"/>
    <cellStyle name="Migliaia 6 3 4 3 2" xfId="35510" xr:uid="{D9E46A36-CB66-4FC0-B03D-9A77CCA656D9}"/>
    <cellStyle name="Migliaia 6 3 4 3 2 2" xfId="40670" xr:uid="{C470D2C4-8550-4ECA-8EB3-328C345387A5}"/>
    <cellStyle name="Migliaia 6 3 4 3 2 3" xfId="45972" xr:uid="{BC5A151C-3F15-4B2F-85F8-EF518183C782}"/>
    <cellStyle name="Migliaia 6 3 4 3 3" xfId="38019" xr:uid="{19901743-20CF-4572-953E-EE132013E336}"/>
    <cellStyle name="Migliaia 6 3 4 3 4" xfId="43321" xr:uid="{DE724FBB-966D-41CD-B404-59B117056F63}"/>
    <cellStyle name="Migliaia 6 3 4 3 5" xfId="13726" xr:uid="{09ED8DB4-9168-48D6-A637-43EEED7D6447}"/>
    <cellStyle name="Migliaia 6 3 4 4" xfId="21107" xr:uid="{88A4162F-BFFD-4AA2-840D-1FFE94B88444}"/>
    <cellStyle name="Migliaia 6 3 4 4 2" xfId="34800" xr:uid="{D1C02141-24C4-427A-B108-C1ECB087B5DD}"/>
    <cellStyle name="Migliaia 6 3 4 5" xfId="25599" xr:uid="{D5A3472F-DBEB-4ABF-840F-26ECFC506098}"/>
    <cellStyle name="Migliaia 6 3 4 6" xfId="16882" xr:uid="{4311A9BD-E01D-4326-84A0-E497CF625784}"/>
    <cellStyle name="Migliaia 6 3 4 7" xfId="7711" xr:uid="{A60DB15A-86C5-4E0F-9235-2A2309465448}"/>
    <cellStyle name="Migliaia 6 3 5" xfId="3993" xr:uid="{555D6B7E-D4C7-49CD-AA27-4C4BD7D40316}"/>
    <cellStyle name="Migliaia 6 3 5 2" xfId="5719" xr:uid="{D0D8A614-E196-4622-B081-F734ADB0A9B6}"/>
    <cellStyle name="Migliaia 6 3 5 2 2" xfId="35511" xr:uid="{D748C78F-A2DE-410C-9889-CF61CDDDBFE1}"/>
    <cellStyle name="Migliaia 6 3 5 2 2 2" xfId="40671" xr:uid="{BDD68A0C-F319-4DB5-A81A-FFCB9A17B631}"/>
    <cellStyle name="Migliaia 6 3 5 2 2 3" xfId="45973" xr:uid="{4EC56336-A623-47E3-87DE-F8784E93EED5}"/>
    <cellStyle name="Migliaia 6 3 5 2 3" xfId="38020" xr:uid="{0BA3DCDA-35A3-4637-A7BB-020CACD3682F}"/>
    <cellStyle name="Migliaia 6 3 5 2 4" xfId="43322" xr:uid="{7DE5E2DB-5FC0-4F72-914B-61099797EC3B}"/>
    <cellStyle name="Migliaia 6 3 5 2 5" xfId="14346" xr:uid="{17A978D2-A8C6-4E59-AB8A-8EA6842B5132}"/>
    <cellStyle name="Migliaia 6 3 5 3" xfId="6888" xr:uid="{A8D124A1-51A0-4215-86AF-2F06F4343EC8}"/>
    <cellStyle name="Migliaia 6 3 5 3 2" xfId="34801" xr:uid="{E8E9C4D6-02A2-4E84-95B6-062F6D3EB128}"/>
    <cellStyle name="Migliaia 6 3 5 3 3" xfId="21109" xr:uid="{39272B06-91C6-48B8-8C74-65E1FE31760E}"/>
    <cellStyle name="Migliaia 6 3 5 4" xfId="25600" xr:uid="{D96E6FCF-AEA5-431F-9DB7-6939F67204B7}"/>
    <cellStyle name="Migliaia 6 3 5 5" xfId="16884" xr:uid="{86658397-0971-44B5-876B-D7B8D0A3DF5F}"/>
    <cellStyle name="Migliaia 6 3 5 6" xfId="8408" xr:uid="{E976882A-98E2-41DD-9397-0EEB39916C47}"/>
    <cellStyle name="Migliaia 6 3 6" xfId="5714" xr:uid="{9F3B3942-DC6C-4222-8F55-996956E1DEBE}"/>
    <cellStyle name="Migliaia 6 3 6 2" xfId="14051" xr:uid="{F6E9925D-C8DE-4564-A96E-FB340D0E24A9}"/>
    <cellStyle name="Migliaia 6 3 6 2 2" xfId="34802" xr:uid="{8F6E4633-9CCC-4CCF-B46A-1B32FEC1FD09}"/>
    <cellStyle name="Migliaia 6 3 6 3" xfId="18684" xr:uid="{28C589B3-85E7-43E3-8519-2A7142DFC6C9}"/>
    <cellStyle name="Migliaia 6 3 6 4" xfId="21110" xr:uid="{D6D369A2-43CD-45EE-9055-E8B0801150CA}"/>
    <cellStyle name="Migliaia 6 3 6 5" xfId="25601" xr:uid="{7E38587D-C9F7-4403-9013-21995AD392F8}"/>
    <cellStyle name="Migliaia 6 3 6 6" xfId="16885" xr:uid="{A22962F8-C17D-4ECA-9DEB-6872D5B7A6F8}"/>
    <cellStyle name="Migliaia 6 3 6 7" xfId="8044" xr:uid="{EABC02DC-2090-41FF-8E95-E82E546D1EB1}"/>
    <cellStyle name="Migliaia 6 3 7" xfId="6883" xr:uid="{0ECE495E-084A-46E0-A01A-FC5E85625367}"/>
    <cellStyle name="Migliaia 6 3 7 2" xfId="34803" xr:uid="{1AB25658-F9FB-4AFC-9B88-5B2250A5A1BE}"/>
    <cellStyle name="Migliaia 6 3 7 3" xfId="25602" xr:uid="{70E0E0A3-DAD6-4339-B85D-AAFDB1911746}"/>
    <cellStyle name="Migliaia 6 3 7 4" xfId="12252" xr:uid="{DC44116C-F2F9-421B-A5BE-205DE2375495}"/>
    <cellStyle name="Migliaia 6 3 8" xfId="3988" xr:uid="{8359E085-2CE7-4883-80F5-C06CFFF2E583}"/>
    <cellStyle name="Migliaia 6 3 8 2" xfId="34804" xr:uid="{DF34D73C-3A4E-4E1E-8F09-D41C5F7DB186}"/>
    <cellStyle name="Migliaia 6 3 8 3" xfId="25603" xr:uid="{FE5BF965-2FEC-40BC-AEA1-D049C07AD754}"/>
    <cellStyle name="Migliaia 6 3 8 4" xfId="17262" xr:uid="{A2ABF5DD-2303-4999-A4C7-36C3F977E0FF}"/>
    <cellStyle name="Migliaia 6 3 9" xfId="21101" xr:uid="{1362900F-AEB2-41A2-AFAA-165A0EFF5D7E}"/>
    <cellStyle name="Migliaia 6 3 9 2" xfId="34787" xr:uid="{B091CB41-6695-476A-878A-33D89B1E1BB5}"/>
    <cellStyle name="Migliaia 6 4" xfId="1933" xr:uid="{00000000-0005-0000-0000-0000B4040000}"/>
    <cellStyle name="Migliaia 6 4 10" xfId="7624" xr:uid="{395D0F8B-5183-4394-ABCD-53E8E267EF14}"/>
    <cellStyle name="Migliaia 6 4 2" xfId="1934" xr:uid="{00000000-0005-0000-0000-0000B5040000}"/>
    <cellStyle name="Migliaia 6 4 2 2" xfId="5721" xr:uid="{159DE8BB-1FDD-45CF-9C4F-F1CA3114CA6D}"/>
    <cellStyle name="Migliaia 6 4 2 2 2" xfId="34807" xr:uid="{CDCC0275-BD62-4CB0-AE7F-9B4D5094D84F}"/>
    <cellStyle name="Migliaia 6 4 2 2 3" xfId="25606" xr:uid="{0697078A-D7AB-4DD1-AD4B-CB7DF9904789}"/>
    <cellStyle name="Migliaia 6 4 2 2 4" xfId="9218" xr:uid="{9984923C-B825-4938-BF02-2B668A496D83}"/>
    <cellStyle name="Migliaia 6 4 2 3" xfId="3995" xr:uid="{8D91E353-ED47-4478-A89A-F018C5CCBFB3}"/>
    <cellStyle name="Migliaia 6 4 2 3 2" xfId="34808" xr:uid="{84622427-C629-40C5-B8FE-CFA826996E40}"/>
    <cellStyle name="Migliaia 6 4 2 3 3" xfId="25607" xr:uid="{85F5BBE0-BFC9-4B5D-9E61-AD79B1E2E49A}"/>
    <cellStyle name="Migliaia 6 4 2 3 4" xfId="12109" xr:uid="{9BD6E289-B30A-4172-906F-2562E10B6C5E}"/>
    <cellStyle name="Migliaia 6 4 2 4" xfId="11462" xr:uid="{ECA54885-3A6E-46E5-8B6A-545CE9DF5CFC}"/>
    <cellStyle name="Migliaia 6 4 2 4 2" xfId="34806" xr:uid="{5FFBFAD1-63AD-4436-A18B-1F70D12F86D0}"/>
    <cellStyle name="Migliaia 6 4 2 5" xfId="11011" xr:uid="{513A893D-6FC5-46DE-AFAC-EAA8E800BBA6}"/>
    <cellStyle name="Migliaia 6 4 2 5 2" xfId="21646" xr:uid="{5E264222-CE49-4282-9AAA-69983588D02D}"/>
    <cellStyle name="Migliaia 6 4 2 5 3" xfId="24507" xr:uid="{4AD3A2A0-446E-4A3E-89B0-0FBADE0303BB}"/>
    <cellStyle name="Migliaia 6 4 2 5 4" xfId="50661" xr:uid="{04536D42-CA68-4328-BF55-96818F4FACE1}"/>
    <cellStyle name="Migliaia 6 4 2 5 5" xfId="53677" xr:uid="{EAEF443C-44D6-45AF-BD0E-FACEDBE38309}"/>
    <cellStyle name="Migliaia 6 4 2 6" xfId="21112" xr:uid="{B4CC05BA-86A1-4F12-9C5D-FE7A17949283}"/>
    <cellStyle name="Migliaia 6 4 2 7" xfId="25605" xr:uid="{855C02A3-E657-432C-BC6A-4A67DD7EBF2E}"/>
    <cellStyle name="Migliaia 6 4 2 8" xfId="8814" xr:uid="{EEB718AF-408B-4B15-BB3F-399B914C42E0}"/>
    <cellStyle name="Migliaia 6 4 3" xfId="5720" xr:uid="{A25F62C1-9D94-450E-A177-5DD255752869}"/>
    <cellStyle name="Migliaia 6 4 3 2" xfId="18273" xr:uid="{FC86829F-065D-414D-BB4B-F556FF203E62}"/>
    <cellStyle name="Migliaia 6 4 3 2 2" xfId="34809" xr:uid="{039B0CA6-3925-4037-8AA3-AB3C213B6ABF}"/>
    <cellStyle name="Migliaia 6 4 3 3" xfId="25608" xr:uid="{B2DCF2BE-00D4-497B-8FE5-2804453586E6}"/>
    <cellStyle name="Migliaia 6 4 3 4" xfId="17260" xr:uid="{51506A0C-96BD-4A18-BCD9-4B14AC4D1BD1}"/>
    <cellStyle name="Migliaia 6 4 3 5" xfId="9219" xr:uid="{5F319418-EF63-4791-90C8-273F6CC6F1D9}"/>
    <cellStyle name="Migliaia 6 4 4" xfId="6889" xr:uid="{99A02547-A92D-4271-B98F-88DDFABEFE91}"/>
    <cellStyle name="Migliaia 6 4 4 2" xfId="34810" xr:uid="{A9AB3E8B-274E-466C-97B8-7C21CA633B9C}"/>
    <cellStyle name="Migliaia 6 4 4 3" xfId="25609" xr:uid="{51091A54-3A56-43D2-86BF-3E97AF9C4CBC}"/>
    <cellStyle name="Migliaia 6 4 4 4" xfId="12110" xr:uid="{1B498E3A-7CD9-4C84-B0C8-EA178B68DC96}"/>
    <cellStyle name="Migliaia 6 4 5" xfId="3994" xr:uid="{E6EC6B55-1A16-4FF1-926F-7EF06CB7ACCA}"/>
    <cellStyle name="Migliaia 6 4 5 2" xfId="34811" xr:uid="{36C3B0DE-AC81-4401-BAB6-CE09ACCA740C}"/>
    <cellStyle name="Migliaia 6 4 5 3" xfId="25610" xr:uid="{4188A0FF-B94B-4DF9-9158-2C7E4E5E55D3}"/>
    <cellStyle name="Migliaia 6 4 5 4" xfId="11461" xr:uid="{497DD042-B6DF-4DD8-AA77-9E9E2CED4360}"/>
    <cellStyle name="Migliaia 6 4 6" xfId="11010" xr:uid="{DBF00640-0950-40C7-8E77-403EA555960F}"/>
    <cellStyle name="Migliaia 6 4 6 2" xfId="21645" xr:uid="{E2057FDA-BD9B-4E8F-8CF0-14A4BD43F56C}"/>
    <cellStyle name="Migliaia 6 4 6 2 2" xfId="34812" xr:uid="{49593CF1-C2F1-482B-A33B-F0E0C84A5906}"/>
    <cellStyle name="Migliaia 6 4 6 3" xfId="25611" xr:uid="{A81C355E-B84D-4936-BCA1-F897677A5308}"/>
    <cellStyle name="Migliaia 6 4 6 4" xfId="32447" xr:uid="{84492B48-2866-4D85-BE1F-B56A7A22BD31}"/>
    <cellStyle name="Migliaia 6 4 6 5" xfId="48903" xr:uid="{D3697856-F843-4B12-907A-B3A2F877A24A}"/>
    <cellStyle name="Migliaia 6 4 6 6" xfId="50660" xr:uid="{5BE52C59-AE3E-4B20-B437-171B296C8090}"/>
    <cellStyle name="Migliaia 6 4 6 7" xfId="53676" xr:uid="{4EF129E6-5A01-4ABE-9EAF-DCFFADF00645}"/>
    <cellStyle name="Migliaia 6 4 7" xfId="21111" xr:uid="{1E7EA9B8-ED6D-43AF-902D-24E7B8200B1D}"/>
    <cellStyle name="Migliaia 6 4 7 2" xfId="34813" xr:uid="{4DB4D323-E189-494E-AD1E-818AEDB95F51}"/>
    <cellStyle name="Migliaia 6 4 7 3" xfId="25612" xr:uid="{3C25ED08-DB08-413F-BF31-156C22E7047B}"/>
    <cellStyle name="Migliaia 6 4 8" xfId="34805" xr:uid="{85796A3A-54E4-48D6-B6BD-43F94FA95744}"/>
    <cellStyle name="Migliaia 6 4 9" xfId="25604" xr:uid="{18EF00C8-7E99-4867-B5D5-7DD7312397AB}"/>
    <cellStyle name="Migliaia 6 5" xfId="1935" xr:uid="{00000000-0005-0000-0000-0000B6040000}"/>
    <cellStyle name="Migliaia 6 5 2" xfId="5722" xr:uid="{E9452114-3106-42A3-9F0B-E9519DD3B81D}"/>
    <cellStyle name="Migliaia 6 5 2 2" xfId="18529" xr:uid="{BDDD60A8-310C-4DD4-80AA-21CBD2E6F7EB}"/>
    <cellStyle name="Migliaia 6 5 2 2 2" xfId="34815" xr:uid="{56BF6147-F63A-4D53-B777-E6BFB5CF9DC6}"/>
    <cellStyle name="Migliaia 6 5 2 3" xfId="21114" xr:uid="{86018674-44EF-417C-8FE0-58B07EF1EF07}"/>
    <cellStyle name="Migliaia 6 5 2 4" xfId="25614" xr:uid="{978568EE-4F96-4C4B-957E-B51DE87E8303}"/>
    <cellStyle name="Migliaia 6 5 2 5" xfId="16886" xr:uid="{2161BF59-6E06-40D8-B20A-16B43EC97652}"/>
    <cellStyle name="Migliaia 6 5 2 6" xfId="8815" xr:uid="{7020040E-2383-4076-8142-BE990021EB16}"/>
    <cellStyle name="Migliaia 6 5 3" xfId="6890" xr:uid="{1E1A828A-717A-4CAE-90EE-50792B070CD6}"/>
    <cellStyle name="Migliaia 6 5 3 2" xfId="34816" xr:uid="{A54925E7-0CE6-4AB6-92A5-1BC81DE4D9DE}"/>
    <cellStyle name="Migliaia 6 5 3 3" xfId="25615" xr:uid="{798CE335-B71F-43D3-A959-DA130C241860}"/>
    <cellStyle name="Migliaia 6 5 3 4" xfId="11463" xr:uid="{2BBAE771-DC85-44D9-829F-2E9E955F85DA}"/>
    <cellStyle name="Migliaia 6 5 4" xfId="3996" xr:uid="{63388B25-521D-456C-AFA3-3B13A6B435F2}"/>
    <cellStyle name="Migliaia 6 5 4 2" xfId="21647" xr:uid="{1C0CF035-8804-4A89-A467-171B67B8108A}"/>
    <cellStyle name="Migliaia 6 5 4 2 2" xfId="34817" xr:uid="{F44F6F33-8738-436B-AB59-B2FAC5718B46}"/>
    <cellStyle name="Migliaia 6 5 4 3" xfId="25616" xr:uid="{300E2C1E-343F-4AD7-B929-B77755C31C81}"/>
    <cellStyle name="Migliaia 6 5 4 4" xfId="46711" xr:uid="{A80D6677-8E06-4005-8863-171CDC20750A}"/>
    <cellStyle name="Migliaia 6 5 4 5" xfId="48904" xr:uid="{4D8CB3E5-FFC0-42EB-82B9-7DBCAF9A73D9}"/>
    <cellStyle name="Migliaia 6 5 4 6" xfId="50662" xr:uid="{CF3A1C01-9B31-43B6-99D8-B17CABB0C9C2}"/>
    <cellStyle name="Migliaia 6 5 4 7" xfId="53678" xr:uid="{4B9F1501-6995-4088-851E-D90EE8629CE1}"/>
    <cellStyle name="Migliaia 6 5 4 8" xfId="11012" xr:uid="{0E1A2C6C-9978-4AA8-A933-1EECFA2C0C34}"/>
    <cellStyle name="Migliaia 6 5 5" xfId="21113" xr:uid="{D88282EE-D6A9-4AED-B3E2-8EEB55C2BBB7}"/>
    <cellStyle name="Migliaia 6 5 5 2" xfId="34818" xr:uid="{90EB626B-D9CC-4ACE-8511-93C49A229E89}"/>
    <cellStyle name="Migliaia 6 5 5 3" xfId="25617" xr:uid="{CBCF73B0-EBB9-4BEC-97C9-0CDD8D91F35E}"/>
    <cellStyle name="Migliaia 6 5 5 4" xfId="48905" xr:uid="{F130CCE4-A6C4-443A-97EC-A57F06C23E3C}"/>
    <cellStyle name="Migliaia 6 5 6" xfId="25618" xr:uid="{9F938F49-5C5E-47EA-BC9A-D2B0DF22D6BE}"/>
    <cellStyle name="Migliaia 6 5 6 2" xfId="34819" xr:uid="{3CE372D9-1118-4657-89CE-92AED4F99000}"/>
    <cellStyle name="Migliaia 6 5 7" xfId="34814" xr:uid="{9E317B2E-2A68-4264-B9C2-50F80727564E}"/>
    <cellStyle name="Migliaia 6 5 8" xfId="25613" xr:uid="{B1E4AB5E-88A4-4C8F-BB84-2C72904D8569}"/>
    <cellStyle name="Migliaia 6 5 9" xfId="7625" xr:uid="{AA73E9A3-A3A1-4D09-BCD9-A5AC00897E27}"/>
    <cellStyle name="Migliaia 6 6" xfId="3997" xr:uid="{71A25357-8FAB-4752-A9AB-25498CEBFB33}"/>
    <cellStyle name="Migliaia 6 6 2" xfId="5723" xr:uid="{3E5C83BC-A4DB-42C8-82FB-48822C24C948}"/>
    <cellStyle name="Migliaia 6 6 2 2" xfId="9991" xr:uid="{FC7D08AE-6BAE-4CB7-B1DC-40786FED06A9}"/>
    <cellStyle name="Migliaia 6 6 2 3" xfId="18596" xr:uid="{BD7129D0-DE92-45EC-B7F4-53F76801E9F3}"/>
    <cellStyle name="Migliaia 6 6 2 4" xfId="21116" xr:uid="{41567711-652F-4FD5-AF39-4A021CCE7614}"/>
    <cellStyle name="Migliaia 6 6 2 5" xfId="32486" xr:uid="{F6EEFC4E-0E53-486A-9FB7-1C8B7C378C1B}"/>
    <cellStyle name="Migliaia 6 6 2 6" xfId="16888" xr:uid="{E7BEA91A-63CF-4403-B714-BAAFDC0CE80D}"/>
    <cellStyle name="Migliaia 6 6 2 7" xfId="8810" xr:uid="{63D2AEF0-6777-41C7-A684-5F39E84362BF}"/>
    <cellStyle name="Migliaia 6 6 3" xfId="6891" xr:uid="{AC7B38C9-F4B3-43C9-BAD9-0FA9926DF3D1}"/>
    <cellStyle name="Migliaia 6 6 3 2" xfId="35512" xr:uid="{005F44F1-3861-4475-A613-E5FB24888FDC}"/>
    <cellStyle name="Migliaia 6 6 3 2 2" xfId="40672" xr:uid="{A271CD0A-E471-4C02-8FAF-73BF828E9C82}"/>
    <cellStyle name="Migliaia 6 6 3 2 3" xfId="45974" xr:uid="{6C642BD6-4162-4E1F-83BA-898B8BBD8B69}"/>
    <cellStyle name="Migliaia 6 6 3 3" xfId="38021" xr:uid="{43A80AAA-9BB1-4E80-9112-FF6994D7F89A}"/>
    <cellStyle name="Migliaia 6 6 3 4" xfId="43323" xr:uid="{B57DDCBD-D871-4828-AF96-108D7EA1BF32}"/>
    <cellStyle name="Migliaia 6 6 3 5" xfId="9754" xr:uid="{77FED1E2-DF45-4C91-AF47-287C833606C3}"/>
    <cellStyle name="Migliaia 6 6 4" xfId="21115" xr:uid="{877C79B1-39F2-4A50-A693-0614386183FB}"/>
    <cellStyle name="Migliaia 6 6 4 2" xfId="34820" xr:uid="{FAD5CD42-E305-4B41-9735-D61BA8E6EE7C}"/>
    <cellStyle name="Migliaia 6 6 5" xfId="25619" xr:uid="{BC9C22D9-E4AC-43DF-B279-FC20C25FEA00}"/>
    <cellStyle name="Migliaia 6 6 6" xfId="16887" xr:uid="{B75758F4-6915-4E39-A067-0D1A77261491}"/>
    <cellStyle name="Migliaia 6 6 7" xfId="7620" xr:uid="{A2DAD6CE-E00C-41B3-AA02-3267D401EBEA}"/>
    <cellStyle name="Migliaia 6 7" xfId="3998" xr:uid="{640196F7-83F3-43AE-8089-7E55E0BBB1A1}"/>
    <cellStyle name="Migliaia 6 7 2" xfId="5724" xr:uid="{ECFE4E75-15C7-4891-B4B8-AABBBE8DC4D1}"/>
    <cellStyle name="Migliaia 6 7 2 2" xfId="35513" xr:uid="{091C7AA4-8226-47F6-8CAB-3575F2C14C7A}"/>
    <cellStyle name="Migliaia 6 7 2 2 2" xfId="40673" xr:uid="{0EBFE693-8C69-4F01-BF07-ABF8640F4AFD}"/>
    <cellStyle name="Migliaia 6 7 2 2 3" xfId="45975" xr:uid="{782E4037-E2C4-42F1-A49A-C76DAAB83793}"/>
    <cellStyle name="Migliaia 6 7 2 3" xfId="38022" xr:uid="{8F5C6404-67B4-4F38-803C-6DDDA2DA9555}"/>
    <cellStyle name="Migliaia 6 7 2 4" xfId="43324" xr:uid="{8BB69CF4-9093-4F66-AEA1-58FE0E1DBD6F}"/>
    <cellStyle name="Migliaia 6 7 2 5" xfId="14344" xr:uid="{7895D403-28CA-4FEB-80AC-C38498A52793}"/>
    <cellStyle name="Migliaia 6 7 3" xfId="6892" xr:uid="{DAA68D4A-5EE0-4FFE-A25B-6754111481EF}"/>
    <cellStyle name="Migliaia 6 7 3 2" xfId="34821" xr:uid="{5644D2F1-EDF1-463A-BA94-6710F2A6F8F5}"/>
    <cellStyle name="Migliaia 6 7 3 3" xfId="21117" xr:uid="{EE4CEB99-4639-44B1-AD1F-79EE1D44CD74}"/>
    <cellStyle name="Migliaia 6 7 4" xfId="25620" xr:uid="{13C3AF6D-A0E5-4ADE-9E4D-A7E7861AFFF4}"/>
    <cellStyle name="Migliaia 6 7 5" xfId="16889" xr:uid="{AAC4C1E9-0E85-44CD-B30D-FA5505EFDBCB}"/>
    <cellStyle name="Migliaia 6 7 6" xfId="8406" xr:uid="{3BA7BBEF-54D3-4E86-83E0-2D224FBEDAA7}"/>
    <cellStyle name="Migliaia 6 8" xfId="3999" xr:uid="{8AA67740-0DD2-471F-9D0C-6D342C97ADEA}"/>
    <cellStyle name="Migliaia 6 8 2" xfId="5725" xr:uid="{64F3445A-06EC-4286-8CCA-D24FEE836B7C}"/>
    <cellStyle name="Migliaia 6 8 2 2" xfId="35514" xr:uid="{3D39E433-8653-4DDD-9E4C-6463CE69C87F}"/>
    <cellStyle name="Migliaia 6 8 2 2 2" xfId="40674" xr:uid="{E29F9245-8998-46EA-B2F1-6FE1BFB80200}"/>
    <cellStyle name="Migliaia 6 8 2 2 3" xfId="45976" xr:uid="{823E4F50-20F2-497D-A5A5-89ABFAE54203}"/>
    <cellStyle name="Migliaia 6 8 2 3" xfId="38023" xr:uid="{99554982-EC8E-47A9-B126-C456138072B1}"/>
    <cellStyle name="Migliaia 6 8 2 4" xfId="43325" xr:uid="{3A9322A5-A3F9-4686-8FDD-669740A4D7AB}"/>
    <cellStyle name="Migliaia 6 8 2 5" xfId="14049" xr:uid="{2A210DE9-1FF6-4226-B097-5FBB1D5716E1}"/>
    <cellStyle name="Migliaia 6 8 3" xfId="6893" xr:uid="{D072380F-86C2-4190-839B-B1B3DADB0D5F}"/>
    <cellStyle name="Migliaia 6 8 3 2" xfId="34822" xr:uid="{1079CD4D-3217-4A8D-B847-360B11AB58C9}"/>
    <cellStyle name="Migliaia 6 8 3 3" xfId="21118" xr:uid="{3F8B9630-A9AF-485D-B895-7DDDDD675BB1}"/>
    <cellStyle name="Migliaia 6 8 4" xfId="25621" xr:uid="{531F6B79-C278-4085-B906-E44E537DA1FF}"/>
    <cellStyle name="Migliaia 6 8 5" xfId="16890" xr:uid="{9DB7547F-60A4-48A2-8A48-6B727DC25FA1}"/>
    <cellStyle name="Migliaia 6 8 6" xfId="8042" xr:uid="{1EB4DDA0-B6B7-4B1D-8292-AFA4AF16E68E}"/>
    <cellStyle name="Migliaia 6 9" xfId="5710" xr:uid="{90CB8623-CDE7-4A82-8259-E06609741E91}"/>
    <cellStyle name="Migliaia 6 9 2" xfId="34823" xr:uid="{8798B9B6-641D-46E8-825A-BC42BD9AFDE8}"/>
    <cellStyle name="Migliaia 6 9 3" xfId="25622" xr:uid="{DC9B49D1-26E0-49D4-96E3-99DB44EDBA8F}"/>
    <cellStyle name="Migliaia 6 9 4" xfId="17245" xr:uid="{94E5F19A-B086-41BE-9ED6-08A022CA19ED}"/>
    <cellStyle name="Migliaia 60" xfId="525" xr:uid="{00000000-0005-0000-0000-0000B7040000}"/>
    <cellStyle name="Migliaia 60 10" xfId="6894" xr:uid="{B9BC1757-6C28-43DB-94D2-258B7312A454}"/>
    <cellStyle name="Migliaia 60 10 2" xfId="34824" xr:uid="{67E7A54F-F35A-4D34-820A-03E0B2BD1C7E}"/>
    <cellStyle name="Migliaia 60 10 3" xfId="21119" xr:uid="{F786AEA2-D4F6-43B4-A171-900108D2F3B8}"/>
    <cellStyle name="Migliaia 60 11" xfId="4000" xr:uid="{01271245-E097-4E07-9C57-AD227ADFBFE9}"/>
    <cellStyle name="Migliaia 60 11 2" xfId="25623" xr:uid="{B0087D10-9B83-4C0F-AB56-35F3385D47C1}"/>
    <cellStyle name="Migliaia 60 12" xfId="7210" xr:uid="{997FDB78-C30B-430B-84A5-7CC4D84D1F73}"/>
    <cellStyle name="Migliaia 60 2" xfId="526" xr:uid="{00000000-0005-0000-0000-0000B8040000}"/>
    <cellStyle name="Migliaia 60 2 2" xfId="1936" xr:uid="{00000000-0005-0000-0000-0000B9040000}"/>
    <cellStyle name="Migliaia 60 2 2 2" xfId="5728" xr:uid="{E8E90049-B7E1-4B1F-BE1A-8AEAE8F5E2B0}"/>
    <cellStyle name="Migliaia 60 2 2 2 2" xfId="14419" xr:uid="{E46C030A-16CF-44B9-8958-D7B963550816}"/>
    <cellStyle name="Migliaia 60 2 2 2 2 2" xfId="34827" xr:uid="{7CEF95E3-5AD0-4BEF-9289-9C71F9448DA9}"/>
    <cellStyle name="Migliaia 60 2 2 2 3" xfId="18530" xr:uid="{FCFF4159-F0B3-4BBF-9A35-4DFC0E172FDF}"/>
    <cellStyle name="Migliaia 60 2 2 2 4" xfId="21122" xr:uid="{C2FA1883-425C-4513-9C3A-A8017F6378FF}"/>
    <cellStyle name="Migliaia 60 2 2 2 5" xfId="25626" xr:uid="{56835684-E6E4-4787-8571-EF7F62D047DB}"/>
    <cellStyle name="Migliaia 60 2 2 2 6" xfId="16891" xr:uid="{75AE8D15-FBBC-490F-8667-FC4F37F64FF4}"/>
    <cellStyle name="Migliaia 60 2 2 2 7" xfId="8817" xr:uid="{BC90859F-3D08-4D5E-BF4E-79F917F40AF8}"/>
    <cellStyle name="Migliaia 60 2 2 3" xfId="6896" xr:uid="{7A662D1B-B423-4AC6-830C-D6522F084461}"/>
    <cellStyle name="Migliaia 60 2 2 3 2" xfId="35515" xr:uid="{4CD2ED2E-C970-4884-9382-4942FB040337}"/>
    <cellStyle name="Migliaia 60 2 2 3 2 2" xfId="40675" xr:uid="{656701AA-94A0-4154-86B0-798D87E9AB1D}"/>
    <cellStyle name="Migliaia 60 2 2 3 2 3" xfId="45977" xr:uid="{1DE71701-C2B0-4EFC-8D43-C1AEC98B4098}"/>
    <cellStyle name="Migliaia 60 2 2 3 3" xfId="38024" xr:uid="{4C12C4F7-DF8F-41BB-B332-E3A61F2D8CCD}"/>
    <cellStyle name="Migliaia 60 2 2 3 4" xfId="43326" xr:uid="{2FDF1843-B543-4EA4-942A-A070D4C0DF77}"/>
    <cellStyle name="Migliaia 60 2 2 3 5" xfId="11646" xr:uid="{289F32E6-A8C1-4367-835D-0FDDEA6D0B56}"/>
    <cellStyle name="Migliaia 60 2 2 4" xfId="4002" xr:uid="{B33F874A-D2E5-459C-8CBC-BBCFA5659CB8}"/>
    <cellStyle name="Migliaia 60 2 2 4 2" xfId="21648" xr:uid="{E30EACFB-398C-4D48-8AAD-D96780A79A0A}"/>
    <cellStyle name="Migliaia 60 2 2 4 3" xfId="34826" xr:uid="{B4AF1322-B906-40B9-886E-30FBA62D68E0}"/>
    <cellStyle name="Migliaia 60 2 2 4 4" xfId="47388" xr:uid="{E630E165-F783-4DDC-A820-B0DFAC286DD9}"/>
    <cellStyle name="Migliaia 60 2 2 4 5" xfId="50663" xr:uid="{50622E17-B467-4C17-901E-600C796D9CD5}"/>
    <cellStyle name="Migliaia 60 2 2 4 6" xfId="53679" xr:uid="{6D4E1CA5-B597-479B-8C75-4AB91741A9B4}"/>
    <cellStyle name="Migliaia 60 2 2 4 7" xfId="11013" xr:uid="{642A8FA3-EF34-46AB-9AAF-75A2ADCDE3B7}"/>
    <cellStyle name="Migliaia 60 2 2 5" xfId="21121" xr:uid="{93BA6E81-7CDC-4C21-A0F8-72FBBC26244F}"/>
    <cellStyle name="Migliaia 60 2 2 6" xfId="25625" xr:uid="{E40E2496-B421-4323-B653-8080663F21C4}"/>
    <cellStyle name="Migliaia 60 2 2 7" xfId="7627" xr:uid="{F0946935-C03B-4C48-9DCB-BDD59AE1C9D6}"/>
    <cellStyle name="Migliaia 60 2 3" xfId="4003" xr:uid="{9E09FCA5-168F-46C7-AEB9-E40DA8254710}"/>
    <cellStyle name="Migliaia 60 2 3 2" xfId="5729" xr:uid="{CB821AB2-4F81-4609-B47B-1D4788BDA8B6}"/>
    <cellStyle name="Migliaia 60 2 3 2 2" xfId="35516" xr:uid="{65D4460A-17E0-4F18-9FCC-81B3DD626BD5}"/>
    <cellStyle name="Migliaia 60 2 3 2 2 2" xfId="40676" xr:uid="{39B7FC4E-04BB-4E6A-BBBE-998B06FFB1BD}"/>
    <cellStyle name="Migliaia 60 2 3 2 2 3" xfId="45978" xr:uid="{001155A8-1515-4CD3-B705-C54278AE79A1}"/>
    <cellStyle name="Migliaia 60 2 3 2 3" xfId="38025" xr:uid="{3DCD2611-740C-42AD-945C-2DC598D1F25C}"/>
    <cellStyle name="Migliaia 60 2 3 2 4" xfId="43327" xr:uid="{52BFC30E-A51D-471E-A531-FC3191E434CC}"/>
    <cellStyle name="Migliaia 60 2 3 2 5" xfId="14348" xr:uid="{972FC79D-9955-489F-840B-90866E6314CB}"/>
    <cellStyle name="Migliaia 60 2 3 3" xfId="6897" xr:uid="{A0A20921-5323-4BC0-A00E-5879CDCBF050}"/>
    <cellStyle name="Migliaia 60 2 3 3 2" xfId="34828" xr:uid="{47A4A045-45EE-4FF3-A22D-75D2ACFD5924}"/>
    <cellStyle name="Migliaia 60 2 3 3 3" xfId="21123" xr:uid="{5662BC24-CEA2-4586-9B54-A0CBD83D8D9C}"/>
    <cellStyle name="Migliaia 60 2 3 4" xfId="25627" xr:uid="{36A8218F-CC22-4061-99C3-3D68F4F5DEF1}"/>
    <cellStyle name="Migliaia 60 2 3 5" xfId="16892" xr:uid="{16394299-E2ED-436D-9A9C-37C2A8603671}"/>
    <cellStyle name="Migliaia 60 2 3 6" xfId="8410" xr:uid="{FC4D7169-2C14-49AF-8700-FDA9CE0071BE}"/>
    <cellStyle name="Migliaia 60 2 4" xfId="5727" xr:uid="{02C2B89A-C30A-45D6-BAEE-9D7ACCE35542}"/>
    <cellStyle name="Migliaia 60 2 4 2" xfId="14053" xr:uid="{317A7B0F-48AE-40D1-92AE-D31F0058864A}"/>
    <cellStyle name="Migliaia 60 2 4 2 2" xfId="34829" xr:uid="{76D7DB75-8AD7-4A36-83AC-420BCB017663}"/>
    <cellStyle name="Migliaia 60 2 4 3" xfId="18683" xr:uid="{E3579C84-F947-4D14-ACA2-158D14B2E7CB}"/>
    <cellStyle name="Migliaia 60 2 4 4" xfId="21124" xr:uid="{61D8BDB0-D8F0-4966-AB2C-894C5619C28D}"/>
    <cellStyle name="Migliaia 60 2 4 5" xfId="25628" xr:uid="{9FD3226E-5D06-4005-951A-A65CEFF279ED}"/>
    <cellStyle name="Migliaia 60 2 4 6" xfId="16893" xr:uid="{F3A71664-A8FF-40B0-8101-20BFCC58AF5B}"/>
    <cellStyle name="Migliaia 60 2 4 7" xfId="8047" xr:uid="{6F4C05F3-3F74-42E6-9ED9-407BD6512380}"/>
    <cellStyle name="Migliaia 60 2 5" xfId="6895" xr:uid="{071117BE-EA62-485D-8268-DB432E4DB7EF}"/>
    <cellStyle name="Migliaia 60 2 5 2" xfId="34830" xr:uid="{B8C71280-D4AF-4EBB-91CD-B4443CABCD42}"/>
    <cellStyle name="Migliaia 60 2 5 3" xfId="25629" xr:uid="{C798074C-FC5C-45C7-8347-8DFADE68797D}"/>
    <cellStyle name="Migliaia 60 2 5 4" xfId="13159" xr:uid="{8D3122FE-4370-4A16-8DAF-D0508D6D46B9}"/>
    <cellStyle name="Migliaia 60 2 6" xfId="4001" xr:uid="{B571F1DE-CD08-4992-A2E6-BA66CF7EBBDB}"/>
    <cellStyle name="Migliaia 60 2 6 2" xfId="34831" xr:uid="{B3C0F04B-DDD8-4110-B6DA-A9DD3C503B6D}"/>
    <cellStyle name="Migliaia 60 2 6 3" xfId="25630" xr:uid="{0E65DB54-6E04-4BD1-B8E9-4CD52E31CE58}"/>
    <cellStyle name="Migliaia 60 2 6 4" xfId="21120" xr:uid="{F6C496F5-34A2-4467-B549-C521C8A6E198}"/>
    <cellStyle name="Migliaia 60 2 7" xfId="34825" xr:uid="{A418DDC8-AC95-4250-B2A5-A7B7CC11AFBD}"/>
    <cellStyle name="Migliaia 60 2 8" xfId="25624" xr:uid="{7466E294-31C2-49B4-87E0-6659A40D72F2}"/>
    <cellStyle name="Migliaia 60 2 9" xfId="7211" xr:uid="{07F92585-FFFE-40D0-BFC8-F9F89CFD7F10}"/>
    <cellStyle name="Migliaia 60 3" xfId="527" xr:uid="{00000000-0005-0000-0000-0000BA040000}"/>
    <cellStyle name="Migliaia 60 3 10" xfId="25631" xr:uid="{EF4C7264-CA50-4AAF-86D0-5B6943577BA2}"/>
    <cellStyle name="Migliaia 60 3 11" xfId="16894" xr:uid="{14F67867-D648-48D6-954C-B465D7FB3808}"/>
    <cellStyle name="Migliaia 60 3 12" xfId="7212" xr:uid="{03334771-8856-49E2-B169-29DFD0B37F9E}"/>
    <cellStyle name="Migliaia 60 3 2" xfId="528" xr:uid="{00000000-0005-0000-0000-0000BB040000}"/>
    <cellStyle name="Migliaia 60 3 2 2" xfId="1937" xr:uid="{00000000-0005-0000-0000-0000BC040000}"/>
    <cellStyle name="Migliaia 60 3 2 2 2" xfId="5732" xr:uid="{E48901DD-7636-4631-92DD-82F268962BA0}"/>
    <cellStyle name="Migliaia 60 3 2 2 2 2" xfId="18531" xr:uid="{E7FB255A-F50A-4C2D-902C-C170DAFD31C4}"/>
    <cellStyle name="Migliaia 60 3 2 2 2 2 2" xfId="21897" xr:uid="{88B4C254-FDFA-41DE-9463-8BD2B317C757}"/>
    <cellStyle name="Migliaia 60 3 2 2 2 2 3" xfId="34835" xr:uid="{3E4C1B02-FE94-4052-9144-DEFB371A0670}"/>
    <cellStyle name="Migliaia 60 3 2 2 2 3" xfId="25634" xr:uid="{AF9D9BB0-9B54-4886-AFA8-597007A21609}"/>
    <cellStyle name="Migliaia 60 3 2 2 2 4" xfId="46753" xr:uid="{3913300A-8315-4C9C-BADE-A91202AD3667}"/>
    <cellStyle name="Migliaia 60 3 2 2 2 5" xfId="50925" xr:uid="{DFB77ACB-2010-4D75-B24D-7591E0688151}"/>
    <cellStyle name="Migliaia 60 3 2 2 2 6" xfId="53941" xr:uid="{8D03A078-D52A-4A13-96DE-F9249B930F0D}"/>
    <cellStyle name="Migliaia 60 3 2 2 2 7" xfId="17696" xr:uid="{FC8ECFE2-D299-45F9-95CA-EEF1F4DAAE54}"/>
    <cellStyle name="Migliaia 60 3 2 2 2 8" xfId="12111" xr:uid="{3CAA9DEC-6E3B-4E91-93FE-798F3BE46125}"/>
    <cellStyle name="Migliaia 60 3 2 2 3" xfId="6900" xr:uid="{D9311C87-8566-4886-B993-CA3C54EDEC7C}"/>
    <cellStyle name="Migliaia 60 3 2 2 3 2" xfId="34834" xr:uid="{469ADCCD-68AE-4273-B38C-95BD721F9CBB}"/>
    <cellStyle name="Migliaia 60 3 2 2 3 3" xfId="12201" xr:uid="{C9B826D7-C564-4966-96C9-56009975FFD0}"/>
    <cellStyle name="Migliaia 60 3 2 2 4" xfId="4006" xr:uid="{464AC856-3A1D-4100-BA53-BE6A9D8D2CD7}"/>
    <cellStyle name="Migliaia 60 3 2 2 4 2" xfId="21649" xr:uid="{C477A76F-63B6-4239-AAD9-FCAEFBA80FED}"/>
    <cellStyle name="Migliaia 60 3 2 2 4 3" xfId="24239" xr:uid="{A0FD20C2-72F2-42DD-9B35-A8779E5CCD3B}"/>
    <cellStyle name="Migliaia 60 3 2 2 4 4" xfId="50664" xr:uid="{35E88E8C-CCC5-408B-A3BC-13F146F2D52E}"/>
    <cellStyle name="Migliaia 60 3 2 2 4 5" xfId="53680" xr:uid="{AF8E30FB-35FE-45FC-987B-3F783406DF2B}"/>
    <cellStyle name="Migliaia 60 3 2 2 4 6" xfId="11014" xr:uid="{07E26C10-C516-4D40-AC28-104F6CEAB6EB}"/>
    <cellStyle name="Migliaia 60 3 2 2 5" xfId="21127" xr:uid="{0EC07E55-EF1A-484A-8920-DBCF984A60DF}"/>
    <cellStyle name="Migliaia 60 3 2 2 6" xfId="25633" xr:uid="{22C96A3B-DE26-4B4F-9946-B14C3D31E2E8}"/>
    <cellStyle name="Migliaia 60 3 2 2 7" xfId="8819" xr:uid="{D261A8EE-AD31-4F8F-852C-CB45AF699629}"/>
    <cellStyle name="Migliaia 60 3 2 3" xfId="5731" xr:uid="{6E69AE47-27DE-4953-8D16-5F88EAECC4A6}"/>
    <cellStyle name="Migliaia 60 3 2 3 2" xfId="12219" xr:uid="{507E7281-5663-46B1-A5C1-2003BB5B7F51}"/>
    <cellStyle name="Migliaia 60 3 2 3 2 2" xfId="34836" xr:uid="{985D9ED9-D521-4896-8ECA-D35481C04ADD}"/>
    <cellStyle name="Migliaia 60 3 2 3 3" xfId="12112" xr:uid="{28D7D73E-BF7A-4A14-8E8C-4316B27ABEDD}"/>
    <cellStyle name="Migliaia 60 3 2 3 4" xfId="21128" xr:uid="{A1A954DF-CD45-4BFF-AEF6-A85EBED4BE6E}"/>
    <cellStyle name="Migliaia 60 3 2 3 5" xfId="25635" xr:uid="{8C7636C0-531F-44B9-AC89-AA7710BA2B82}"/>
    <cellStyle name="Migliaia 60 3 2 3 6" xfId="16895" xr:uid="{83205585-2F72-49FE-8AA8-4A0427B07D23}"/>
    <cellStyle name="Migliaia 60 3 2 3 7" xfId="8049" xr:uid="{2D2C5528-2100-4CFA-9593-5D826ACD7CC8}"/>
    <cellStyle name="Migliaia 60 3 2 4" xfId="6899" xr:uid="{2B741818-763D-4849-8FB7-2A4428D8C4F3}"/>
    <cellStyle name="Migliaia 60 3 2 4 2" xfId="18113" xr:uid="{133A257E-F088-4D02-BA51-371889F60C48}"/>
    <cellStyle name="Migliaia 60 3 2 4 2 2" xfId="34837" xr:uid="{33A5336E-6440-45C4-8D9C-3655393F3C85}"/>
    <cellStyle name="Migliaia 60 3 2 4 3" xfId="25636" xr:uid="{BCB20724-76BF-435D-8C2D-F89B7FA69277}"/>
    <cellStyle name="Migliaia 60 3 2 4 4" xfId="17248" xr:uid="{E84B35E2-5B67-447D-A4C5-303B36A312E4}"/>
    <cellStyle name="Migliaia 60 3 2 4 5" xfId="11464" xr:uid="{A88A82BD-262F-4D2C-A023-5C2810A2399A}"/>
    <cellStyle name="Migliaia 60 3 2 5" xfId="4005" xr:uid="{9DF76BB5-32EE-463E-95DC-AFDD4B9387D9}"/>
    <cellStyle name="Migliaia 60 3 2 5 2" xfId="34838" xr:uid="{039FA886-FC9A-41E6-8763-E07FD5C09CD2}"/>
    <cellStyle name="Migliaia 60 3 2 5 3" xfId="25637" xr:uid="{CC497A38-B40E-460F-B397-F9A80930EF23}"/>
    <cellStyle name="Migliaia 60 3 2 5 4" xfId="17258" xr:uid="{EE5F5B10-3C4A-4862-8E76-016D47FB21E9}"/>
    <cellStyle name="Migliaia 60 3 2 6" xfId="21126" xr:uid="{4183C71A-CF2A-4E25-A074-C1F930F89F9D}"/>
    <cellStyle name="Migliaia 60 3 2 6 2" xfId="34839" xr:uid="{3C214B16-256C-4AF4-BD5E-833E6039EB86}"/>
    <cellStyle name="Migliaia 60 3 2 6 3" xfId="25638" xr:uid="{1669AD2C-AB76-4653-8BB5-49F1FE563DBC}"/>
    <cellStyle name="Migliaia 60 3 2 7" xfId="34833" xr:uid="{28E2DFDA-93B6-4BD4-9208-2FFF57C33D1C}"/>
    <cellStyle name="Migliaia 60 3 2 8" xfId="25632" xr:uid="{BEC153C4-71E8-4B3A-B91D-BF2CD4562058}"/>
    <cellStyle name="Migliaia 60 3 2 9" xfId="7629" xr:uid="{D67C0361-EBE0-4B87-9B39-451B7EC1FB87}"/>
    <cellStyle name="Migliaia 60 3 3" xfId="4007" xr:uid="{B88B0314-4626-49A4-A6EF-7EC04089FE98}"/>
    <cellStyle name="Migliaia 60 3 3 2" xfId="5733" xr:uid="{08FB6EE2-7D97-4734-9678-838D2B1E92FB}"/>
    <cellStyle name="Migliaia 60 3 3 2 2" xfId="9994" xr:uid="{E8FE569A-956B-4802-9548-3274A0A8546D}"/>
    <cellStyle name="Migliaia 60 3 3 2 2 2" xfId="34841" xr:uid="{B8C8CAE7-73F4-44A1-8698-2472AEFCB027}"/>
    <cellStyle name="Migliaia 60 3 3 2 3" xfId="18274" xr:uid="{1AB8FD89-7A54-4562-9807-7687FCA84286}"/>
    <cellStyle name="Migliaia 60 3 3 2 4" xfId="21130" xr:uid="{7FBF85F7-C917-4AB6-A97C-5700379B0504}"/>
    <cellStyle name="Migliaia 60 3 3 2 5" xfId="25640" xr:uid="{BA10CA02-0138-49B8-A6AF-746C68AC22B1}"/>
    <cellStyle name="Migliaia 60 3 3 2 6" xfId="16897" xr:uid="{F7CAB839-F9C4-454B-9A3D-16D35716FC91}"/>
    <cellStyle name="Migliaia 60 3 3 2 7" xfId="8818" xr:uid="{FF1E4FC7-918A-42F7-95AA-2C7E9C68BB4B}"/>
    <cellStyle name="Migliaia 60 3 3 3" xfId="6901" xr:uid="{D371E093-E284-49B4-B3EE-A42DB7F2566F}"/>
    <cellStyle name="Migliaia 60 3 3 3 2" xfId="34842" xr:uid="{D11E37F2-AAF0-4F13-9380-17A3E35E9D53}"/>
    <cellStyle name="Migliaia 60 3 3 3 3" xfId="25641" xr:uid="{18E5964A-2127-493E-AD87-817C66F7F1AB}"/>
    <cellStyle name="Migliaia 60 3 3 3 4" xfId="9757" xr:uid="{87548E13-F53A-4FC6-B9F6-69B3C5FAEE61}"/>
    <cellStyle name="Migliaia 60 3 3 4" xfId="21129" xr:uid="{8A3911B9-7B40-4382-AB46-97FE812B4AB5}"/>
    <cellStyle name="Migliaia 60 3 3 4 2" xfId="34843" xr:uid="{6307682A-A040-4B09-94CD-72988C74056D}"/>
    <cellStyle name="Migliaia 60 3 3 4 3" xfId="25642" xr:uid="{ECF071C2-FCCF-476E-9BF5-51C9E4E14447}"/>
    <cellStyle name="Migliaia 60 3 3 4 4" xfId="48906" xr:uid="{32F59147-AA29-4F1A-BC2F-E66E09475FD3}"/>
    <cellStyle name="Migliaia 60 3 3 5" xfId="25643" xr:uid="{8A9CCFF9-E25F-4D34-BDD3-AD238DAE5157}"/>
    <cellStyle name="Migliaia 60 3 3 5 2" xfId="34844" xr:uid="{8BE4A7FD-9AC7-4531-8421-76ECD31A11B6}"/>
    <cellStyle name="Migliaia 60 3 3 5 3" xfId="48907" xr:uid="{CF561DF8-8F76-4717-BC90-4A85D1728256}"/>
    <cellStyle name="Migliaia 60 3 3 6" xfId="34840" xr:uid="{5D3605A4-292A-4B77-8E01-12E8E6107007}"/>
    <cellStyle name="Migliaia 60 3 3 7" xfId="25639" xr:uid="{EC03A99B-3A88-4D15-B167-1C524BA0AC3F}"/>
    <cellStyle name="Migliaia 60 3 3 8" xfId="16896" xr:uid="{DA5F8A19-D0DA-4C1B-BCCE-6D9F89A2A3C4}"/>
    <cellStyle name="Migliaia 60 3 3 9" xfId="7628" xr:uid="{F7021454-B949-45F9-844B-48FA0DB1A70F}"/>
    <cellStyle name="Migliaia 60 3 4" xfId="4008" xr:uid="{AA60A637-919D-4D1F-9A0A-C78697BAE7B2}"/>
    <cellStyle name="Migliaia 60 3 4 2" xfId="5734" xr:uid="{06ABAEB4-95B8-4140-B147-AFA2FA315057}"/>
    <cellStyle name="Migliaia 60 3 4 2 2" xfId="14479" xr:uid="{6DF6B5BD-7A6C-46A8-B6AE-6B61E448379E}"/>
    <cellStyle name="Migliaia 60 3 4 2 3" xfId="18137" xr:uid="{216557AF-B5D6-4BAB-8AC2-2F5DEA393158}"/>
    <cellStyle name="Migliaia 60 3 4 2 4" xfId="21132" xr:uid="{D974F19C-1A0C-4E5A-B447-4535912A96C1}"/>
    <cellStyle name="Migliaia 60 3 4 2 5" xfId="32487" xr:uid="{D3D9F6DA-6BCA-47E6-BC7E-A0F5CE70C7CE}"/>
    <cellStyle name="Migliaia 60 3 4 2 6" xfId="16899" xr:uid="{A25F92EF-8C69-462F-94E1-EBF214D2EB2F}"/>
    <cellStyle name="Migliaia 60 3 4 2 7" xfId="8902" xr:uid="{F44126E0-8334-4C82-9489-86A00083CF2E}"/>
    <cellStyle name="Migliaia 60 3 4 3" xfId="6902" xr:uid="{063CFC75-FE31-4C53-8868-69CE6950C5AF}"/>
    <cellStyle name="Migliaia 60 3 4 3 2" xfId="35517" xr:uid="{CC617D12-5CA8-4686-A4E8-F34A9C4E7068}"/>
    <cellStyle name="Migliaia 60 3 4 3 2 2" xfId="40677" xr:uid="{CC3F577C-8991-49D0-887C-A038FBE00977}"/>
    <cellStyle name="Migliaia 60 3 4 3 2 3" xfId="45979" xr:uid="{5B9388B8-DF10-4331-B8E3-6B56941D07ED}"/>
    <cellStyle name="Migliaia 60 3 4 3 3" xfId="38026" xr:uid="{D4EE5400-F03E-4C88-914A-E5854729464B}"/>
    <cellStyle name="Migliaia 60 3 4 3 4" xfId="43328" xr:uid="{437603B9-9C83-4EE3-B1A6-7375B4E2DC18}"/>
    <cellStyle name="Migliaia 60 3 4 3 5" xfId="13727" xr:uid="{076C0AFD-B8E6-402B-A20C-0900603990C9}"/>
    <cellStyle name="Migliaia 60 3 4 4" xfId="21131" xr:uid="{36B76F95-501F-4FD1-963E-8348205D09DB}"/>
    <cellStyle name="Migliaia 60 3 4 4 2" xfId="34845" xr:uid="{5E21949B-211D-4725-80FC-F4AE788FBED8}"/>
    <cellStyle name="Migliaia 60 3 4 5" xfId="25644" xr:uid="{9022996A-B4BC-454D-BE78-5D4C6FD5308A}"/>
    <cellStyle name="Migliaia 60 3 4 6" xfId="16898" xr:uid="{909E30EA-683F-4A40-9FBE-0D211B0E0290}"/>
    <cellStyle name="Migliaia 60 3 4 7" xfId="7712" xr:uid="{33205B5E-DCD4-48DB-99DD-EFC5AF47112C}"/>
    <cellStyle name="Migliaia 60 3 5" xfId="4009" xr:uid="{C48E4ECE-2A4D-41A7-B64B-D234CEE0C308}"/>
    <cellStyle name="Migliaia 60 3 5 2" xfId="5735" xr:uid="{DA1AAEBE-6432-4801-A049-F282B9B35673}"/>
    <cellStyle name="Migliaia 60 3 5 2 2" xfId="35518" xr:uid="{D96A23E6-9419-4255-9C14-1BA07F0ED6A8}"/>
    <cellStyle name="Migliaia 60 3 5 2 2 2" xfId="40678" xr:uid="{5A16FAD1-08AA-43C4-94CC-3A17ACA0D8E9}"/>
    <cellStyle name="Migliaia 60 3 5 2 2 3" xfId="45980" xr:uid="{A831518D-C7A2-470F-B1BA-30C79BA49B83}"/>
    <cellStyle name="Migliaia 60 3 5 2 3" xfId="38027" xr:uid="{374AA49A-76E9-4428-8118-DB7B245C1FF0}"/>
    <cellStyle name="Migliaia 60 3 5 2 4" xfId="43329" xr:uid="{D5897B3C-C55C-4AC7-956E-8D346793E4C5}"/>
    <cellStyle name="Migliaia 60 3 5 2 5" xfId="14349" xr:uid="{A5576A56-64A7-4A31-8547-231AEB6E6894}"/>
    <cellStyle name="Migliaia 60 3 5 3" xfId="6903" xr:uid="{405A201B-82E3-43F9-93A9-BF6790FA0F60}"/>
    <cellStyle name="Migliaia 60 3 5 3 2" xfId="34846" xr:uid="{DC0F01DF-4F94-4748-A07D-7FFD6660AFFE}"/>
    <cellStyle name="Migliaia 60 3 5 3 3" xfId="21133" xr:uid="{271E87FC-A47B-42C7-8D06-2067239978E0}"/>
    <cellStyle name="Migliaia 60 3 5 4" xfId="25645" xr:uid="{0C725AB4-4EF2-40A4-8D41-338C7697DAD8}"/>
    <cellStyle name="Migliaia 60 3 5 5" xfId="16900" xr:uid="{835F5BE9-B56E-49E2-AB5A-5ACCC0EFB649}"/>
    <cellStyle name="Migliaia 60 3 5 6" xfId="8411" xr:uid="{2128DEF7-1A93-41F5-9D38-7CC53FBB1CE6}"/>
    <cellStyle name="Migliaia 60 3 6" xfId="5730" xr:uid="{72BE31CA-5C90-478D-9E97-2F5357207F69}"/>
    <cellStyle name="Migliaia 60 3 6 2" xfId="14054" xr:uid="{880EC04F-DB17-40C5-A952-68A1789296A4}"/>
    <cellStyle name="Migliaia 60 3 6 2 2" xfId="34847" xr:uid="{A6FD7701-71EE-4A61-8820-C1C373C45CA6}"/>
    <cellStyle name="Migliaia 60 3 6 3" xfId="18682" xr:uid="{67327489-BFB6-4718-904D-0AA5E27A1C08}"/>
    <cellStyle name="Migliaia 60 3 6 4" xfId="21134" xr:uid="{A1F9BCF5-7932-452D-ABDF-A462F57BF60B}"/>
    <cellStyle name="Migliaia 60 3 6 5" xfId="25646" xr:uid="{CB918F62-860B-4C52-AC8A-CC5265632C2B}"/>
    <cellStyle name="Migliaia 60 3 6 6" xfId="16901" xr:uid="{08B7A4FE-68D7-4190-8EFC-A5DF040776A5}"/>
    <cellStyle name="Migliaia 60 3 6 7" xfId="8048" xr:uid="{3E8B0A45-6D7E-439C-B773-BBD7E998ECC3}"/>
    <cellStyle name="Migliaia 60 3 7" xfId="6898" xr:uid="{D0A361DC-1E0F-4413-9F05-3266F01B2E54}"/>
    <cellStyle name="Migliaia 60 3 7 2" xfId="34848" xr:uid="{25A9E28F-CF26-483D-85AE-70C38F4286A4}"/>
    <cellStyle name="Migliaia 60 3 7 3" xfId="25647" xr:uid="{1D4585A2-9C97-43F2-9C6F-FDB0282F203B}"/>
    <cellStyle name="Migliaia 60 3 7 4" xfId="11216" xr:uid="{10C140C7-3559-4E13-9C7B-9C0C2F7F315A}"/>
    <cellStyle name="Migliaia 60 3 8" xfId="4004" xr:uid="{3CAEBF58-AFF2-4E51-9F4B-1E5D4E84335B}"/>
    <cellStyle name="Migliaia 60 3 8 2" xfId="34849" xr:uid="{3AD03FC3-A720-4751-903F-EB1A617CFE53}"/>
    <cellStyle name="Migliaia 60 3 8 3" xfId="25648" xr:uid="{A24DE9E7-7F5F-4DE2-8840-401C56E64419}"/>
    <cellStyle name="Migliaia 60 3 8 4" xfId="17259" xr:uid="{11725F20-487D-4499-A951-4E619D91ABE6}"/>
    <cellStyle name="Migliaia 60 3 9" xfId="21125" xr:uid="{47857A7C-596E-410D-B79A-666908AB6534}"/>
    <cellStyle name="Migliaia 60 3 9 2" xfId="34832" xr:uid="{A8776877-4C7B-4F15-A590-28B0703E2928}"/>
    <cellStyle name="Migliaia 60 4" xfId="1938" xr:uid="{00000000-0005-0000-0000-0000BD040000}"/>
    <cellStyle name="Migliaia 60 4 10" xfId="7630" xr:uid="{85417A3D-B678-49C6-9EDB-D2538F29C763}"/>
    <cellStyle name="Migliaia 60 4 2" xfId="1939" xr:uid="{00000000-0005-0000-0000-0000BE040000}"/>
    <cellStyle name="Migliaia 60 4 2 2" xfId="5737" xr:uid="{6FA717F5-2FAF-4F42-9C70-8D7551DBA312}"/>
    <cellStyle name="Migliaia 60 4 2 2 2" xfId="34852" xr:uid="{7F2CE01A-741B-4A0B-8FA5-7A8989B75DF6}"/>
    <cellStyle name="Migliaia 60 4 2 2 3" xfId="25651" xr:uid="{5D52D723-9B10-44E1-A869-4FDBA1F663EE}"/>
    <cellStyle name="Migliaia 60 4 2 2 4" xfId="9220" xr:uid="{9D25BD1D-CCBF-47C9-A8A9-4FD7A2DCC938}"/>
    <cellStyle name="Migliaia 60 4 2 3" xfId="4011" xr:uid="{F1AC3A86-90B7-41BE-A358-C1EB138FA038}"/>
    <cellStyle name="Migliaia 60 4 2 3 2" xfId="34853" xr:uid="{BD0681EB-886D-480C-9B83-9314E14D46E9}"/>
    <cellStyle name="Migliaia 60 4 2 3 3" xfId="25652" xr:uid="{308C7F9F-0D9E-4570-8BEB-9A65EBD81828}"/>
    <cellStyle name="Migliaia 60 4 2 3 4" xfId="12113" xr:uid="{D2B762BE-4844-42D6-8F7A-27FE9A97D69B}"/>
    <cellStyle name="Migliaia 60 4 2 4" xfId="11466" xr:uid="{7FBC69CE-7F70-4102-B945-5B0606625E44}"/>
    <cellStyle name="Migliaia 60 4 2 4 2" xfId="34851" xr:uid="{E87E0F1F-DD70-4B63-8351-A2B0871E92D9}"/>
    <cellStyle name="Migliaia 60 4 2 5" xfId="11016" xr:uid="{A3F056F4-059C-4956-8200-116E205441F6}"/>
    <cellStyle name="Migliaia 60 4 2 5 2" xfId="21651" xr:uid="{2262CC88-ECF3-48E1-8677-F19746AB5C28}"/>
    <cellStyle name="Migliaia 60 4 2 5 3" xfId="25182" xr:uid="{D8F25D9B-A870-4D8B-95E2-A19D3DB42A92}"/>
    <cellStyle name="Migliaia 60 4 2 5 4" xfId="50666" xr:uid="{6B6B31BB-1B7E-4DBB-89D3-E7CC2D3F632F}"/>
    <cellStyle name="Migliaia 60 4 2 5 5" xfId="53682" xr:uid="{8957DDD5-86DF-4DEE-B9B1-D218757C4DCF}"/>
    <cellStyle name="Migliaia 60 4 2 6" xfId="21136" xr:uid="{4EEE9278-EB78-40CE-B590-F1F987C0F0CF}"/>
    <cellStyle name="Migliaia 60 4 2 7" xfId="25650" xr:uid="{9CBC27AC-E75B-404C-A905-CB976CC8E14E}"/>
    <cellStyle name="Migliaia 60 4 2 8" xfId="8820" xr:uid="{9F0DA758-D8E3-40BD-91BD-31386D4B3E08}"/>
    <cellStyle name="Migliaia 60 4 3" xfId="5736" xr:uid="{46E40743-CED9-4BB0-8F45-BF3AD632E03A}"/>
    <cellStyle name="Migliaia 60 4 3 2" xfId="18275" xr:uid="{DFF691B9-8F6F-4CE6-B748-AE744C5C604D}"/>
    <cellStyle name="Migliaia 60 4 3 2 2" xfId="34854" xr:uid="{F23B7E35-2C76-4192-8098-FEB8B591A053}"/>
    <cellStyle name="Migliaia 60 4 3 3" xfId="25653" xr:uid="{97F1CA19-3A94-415C-8A3E-B6944B736E44}"/>
    <cellStyle name="Migliaia 60 4 3 4" xfId="17257" xr:uid="{05202BA7-49C8-449D-8549-3CA07FC9CA89}"/>
    <cellStyle name="Migliaia 60 4 3 5" xfId="9221" xr:uid="{2BE40F6F-7E8A-4EF6-B447-2C48AEA9B19F}"/>
    <cellStyle name="Migliaia 60 4 4" xfId="6904" xr:uid="{04EB69FA-DF80-4050-8B00-9006751E6441}"/>
    <cellStyle name="Migliaia 60 4 4 2" xfId="34855" xr:uid="{A5C5BED3-047D-4791-AFD0-66E1D804924B}"/>
    <cellStyle name="Migliaia 60 4 4 3" xfId="25654" xr:uid="{19B7AA92-59B6-4C92-B513-E514AE1C290B}"/>
    <cellStyle name="Migliaia 60 4 4 4" xfId="12114" xr:uid="{CECDFBC0-E094-48A6-8268-B1D9DAC2F262}"/>
    <cellStyle name="Migliaia 60 4 5" xfId="4010" xr:uid="{4EAE7764-ADEF-451E-99DD-4F8CD5E91DAF}"/>
    <cellStyle name="Migliaia 60 4 5 2" xfId="34856" xr:uid="{A33719AD-7E33-4D66-9E0F-171BC5D62D76}"/>
    <cellStyle name="Migliaia 60 4 5 3" xfId="25655" xr:uid="{11855AE7-CE85-49DB-ADF4-268D8AB7148B}"/>
    <cellStyle name="Migliaia 60 4 5 4" xfId="11465" xr:uid="{AE6793BF-68F8-45D1-AB2E-B8142E955EBF}"/>
    <cellStyle name="Migliaia 60 4 6" xfId="11015" xr:uid="{A7A9C0B9-7D75-4D80-AD67-36AB162FFEBE}"/>
    <cellStyle name="Migliaia 60 4 6 2" xfId="21650" xr:uid="{BE357CC5-BB13-422D-A315-B31C13616714}"/>
    <cellStyle name="Migliaia 60 4 6 2 2" xfId="34857" xr:uid="{9F988635-65DA-4CF6-B346-5FBBA1C4784F}"/>
    <cellStyle name="Migliaia 60 4 6 3" xfId="25656" xr:uid="{1666EB64-F638-4140-81A4-701F270BB628}"/>
    <cellStyle name="Migliaia 60 4 6 4" xfId="47124" xr:uid="{F3845C8B-5967-4141-AAB5-3D3E6E27F86F}"/>
    <cellStyle name="Migliaia 60 4 6 5" xfId="48908" xr:uid="{BEB98916-2989-440B-9AD6-3D91F7E9B6D7}"/>
    <cellStyle name="Migliaia 60 4 6 6" xfId="50665" xr:uid="{5B9204F3-4724-41BC-AD97-E947EE4D1725}"/>
    <cellStyle name="Migliaia 60 4 6 7" xfId="53681" xr:uid="{8881DF05-CBB9-4F69-A7EF-E960818755FA}"/>
    <cellStyle name="Migliaia 60 4 7" xfId="21135" xr:uid="{143CCBA2-F9CA-46DB-B4A7-5E9892D2B74C}"/>
    <cellStyle name="Migliaia 60 4 7 2" xfId="34858" xr:uid="{845EB87B-C460-4140-A166-E2708EF4F5F3}"/>
    <cellStyle name="Migliaia 60 4 7 3" xfId="25657" xr:uid="{D47F8420-7CF3-4695-ADF0-DF7CB5AF305A}"/>
    <cellStyle name="Migliaia 60 4 8" xfId="34850" xr:uid="{D52DEC98-EB13-4ECE-AE02-64A30E41043A}"/>
    <cellStyle name="Migliaia 60 4 9" xfId="25649" xr:uid="{2D392A67-B045-470C-9C70-BEFE6A7FE118}"/>
    <cellStyle name="Migliaia 60 5" xfId="1940" xr:uid="{00000000-0005-0000-0000-0000BF040000}"/>
    <cellStyle name="Migliaia 60 5 2" xfId="5738" xr:uid="{E38962C9-A1AA-40F7-8F66-3194A4D277F1}"/>
    <cellStyle name="Migliaia 60 5 2 2" xfId="18532" xr:uid="{B21141B7-B012-4AC1-A7CA-BB13BA82AA93}"/>
    <cellStyle name="Migliaia 60 5 2 2 2" xfId="34860" xr:uid="{158DA2A3-F84F-46A2-B4EE-328E6C5E234E}"/>
    <cellStyle name="Migliaia 60 5 2 3" xfId="21138" xr:uid="{ADDCDFF1-35FC-40E4-98CA-7631054D1A03}"/>
    <cellStyle name="Migliaia 60 5 2 4" xfId="25659" xr:uid="{5D65B1E4-6D0B-4F64-96D8-A7C76433399D}"/>
    <cellStyle name="Migliaia 60 5 2 5" xfId="16902" xr:uid="{2F6ED71A-5E16-4BCA-9030-3CE4BF357371}"/>
    <cellStyle name="Migliaia 60 5 2 6" xfId="8821" xr:uid="{F4250125-A8CE-4BF7-A5E3-2FC0D8FB3B45}"/>
    <cellStyle name="Migliaia 60 5 3" xfId="6905" xr:uid="{45B0DF2F-BC78-425F-81CA-C95247B1D9AB}"/>
    <cellStyle name="Migliaia 60 5 3 2" xfId="34861" xr:uid="{878DEA1D-891B-4875-8284-460AC8AED89E}"/>
    <cellStyle name="Migliaia 60 5 3 3" xfId="25660" xr:uid="{CE2D6C3E-3F31-44C1-BE2A-FA1E333AE5A2}"/>
    <cellStyle name="Migliaia 60 5 3 4" xfId="11467" xr:uid="{6C51C937-D393-4652-9905-B9FCA61A66D9}"/>
    <cellStyle name="Migliaia 60 5 4" xfId="4012" xr:uid="{C8D9AF4B-81DF-450A-BA59-28BB253A7C59}"/>
    <cellStyle name="Migliaia 60 5 4 2" xfId="21652" xr:uid="{08622885-AC34-4B73-A674-E4ADFB16D618}"/>
    <cellStyle name="Migliaia 60 5 4 2 2" xfId="34862" xr:uid="{9B697C13-885C-41E3-B688-9FE9A454C1D7}"/>
    <cellStyle name="Migliaia 60 5 4 3" xfId="25661" xr:uid="{2BE39A58-8058-43E0-BCB5-5E8584F726AD}"/>
    <cellStyle name="Migliaia 60 5 4 4" xfId="47220" xr:uid="{2527523B-EC27-43F5-A052-81409F07F9C3}"/>
    <cellStyle name="Migliaia 60 5 4 5" xfId="48909" xr:uid="{265DF81D-0419-42D9-8EDA-097778C8EE79}"/>
    <cellStyle name="Migliaia 60 5 4 6" xfId="50667" xr:uid="{4C6517F2-78A6-4148-AAA5-535F112F6800}"/>
    <cellStyle name="Migliaia 60 5 4 7" xfId="53683" xr:uid="{9346D495-F834-48A3-9030-DE378B17A10D}"/>
    <cellStyle name="Migliaia 60 5 4 8" xfId="11017" xr:uid="{FB8EC844-46F2-427E-8B49-C9D257A46473}"/>
    <cellStyle name="Migliaia 60 5 5" xfId="21137" xr:uid="{B3441E5A-F687-4975-892B-89734A528862}"/>
    <cellStyle name="Migliaia 60 5 5 2" xfId="34863" xr:uid="{634B0640-1937-48D7-AB87-F4039706B411}"/>
    <cellStyle name="Migliaia 60 5 5 3" xfId="25662" xr:uid="{E2AC4E88-6E37-4BFD-81A0-748E455FFF58}"/>
    <cellStyle name="Migliaia 60 5 5 4" xfId="48910" xr:uid="{F8747EAD-F828-4F97-B262-BD8EDD4DEBF3}"/>
    <cellStyle name="Migliaia 60 5 6" xfId="25663" xr:uid="{B7CC3284-86D6-4DEE-9C7B-65A4BC8D1126}"/>
    <cellStyle name="Migliaia 60 5 6 2" xfId="34864" xr:uid="{5512B76F-4F07-47A5-AE84-9C1CB84B7010}"/>
    <cellStyle name="Migliaia 60 5 7" xfId="34859" xr:uid="{4A001F82-385B-4F35-9919-B7EB81038444}"/>
    <cellStyle name="Migliaia 60 5 8" xfId="25658" xr:uid="{97DB1EDD-B2DE-40B0-A003-89A0E367602B}"/>
    <cellStyle name="Migliaia 60 5 9" xfId="7631" xr:uid="{82A70D45-13D5-446D-927A-A501F4968D59}"/>
    <cellStyle name="Migliaia 60 6" xfId="4013" xr:uid="{A4C9FF9A-E82B-4B1C-9162-B4E8FF9261E2}"/>
    <cellStyle name="Migliaia 60 6 2" xfId="5739" xr:uid="{74FB8CC8-0B0B-4663-B1BD-C0A8154AE315}"/>
    <cellStyle name="Migliaia 60 6 2 2" xfId="9993" xr:uid="{18B64D58-B031-414D-930E-C7EEE97A761D}"/>
    <cellStyle name="Migliaia 60 6 2 3" xfId="18632" xr:uid="{B61E68AD-7678-4C0C-B675-7D1942B1B001}"/>
    <cellStyle name="Migliaia 60 6 2 4" xfId="21140" xr:uid="{6BBC80A6-D245-4A2D-AA38-55F0D714874A}"/>
    <cellStyle name="Migliaia 60 6 2 5" xfId="32488" xr:uid="{17E068AE-BBBF-4110-BC5E-99FFBB4359A4}"/>
    <cellStyle name="Migliaia 60 6 2 6" xfId="16904" xr:uid="{8CA6BD4E-6FA4-42E6-A738-D94A9224EF05}"/>
    <cellStyle name="Migliaia 60 6 2 7" xfId="8816" xr:uid="{32BBEFEF-3C7A-4CDC-8468-06D95B4FD8CD}"/>
    <cellStyle name="Migliaia 60 6 3" xfId="6906" xr:uid="{76448804-D996-469D-8EE7-12B4922071FC}"/>
    <cellStyle name="Migliaia 60 6 3 2" xfId="35519" xr:uid="{6ED26C66-0B46-4128-8C20-DAA49F547D39}"/>
    <cellStyle name="Migliaia 60 6 3 2 2" xfId="40679" xr:uid="{9D374663-1977-4E16-A161-D598CD00FB99}"/>
    <cellStyle name="Migliaia 60 6 3 2 3" xfId="45981" xr:uid="{9E885CA9-54DF-4816-B596-7F5DCDCBF1DA}"/>
    <cellStyle name="Migliaia 60 6 3 3" xfId="38028" xr:uid="{E759E703-CA5B-4A0D-99C0-7C6127DC9B67}"/>
    <cellStyle name="Migliaia 60 6 3 4" xfId="43330" xr:uid="{414D056F-9824-428B-9CD6-FA1CDDFCC3BB}"/>
    <cellStyle name="Migliaia 60 6 3 5" xfId="9756" xr:uid="{3E424250-2ECF-4962-9945-D3495C06360A}"/>
    <cellStyle name="Migliaia 60 6 4" xfId="21139" xr:uid="{F2955B28-AB60-4EE7-B7E3-26D247DE01A7}"/>
    <cellStyle name="Migliaia 60 6 4 2" xfId="34865" xr:uid="{092E445C-BD9D-4DA4-8C78-9BAFC9BA4B53}"/>
    <cellStyle name="Migliaia 60 6 5" xfId="25664" xr:uid="{731BC6A0-62D8-473E-B04E-146E30D49F45}"/>
    <cellStyle name="Migliaia 60 6 6" xfId="16903" xr:uid="{47BBCFDD-7C33-4A83-8928-5BC46567616B}"/>
    <cellStyle name="Migliaia 60 6 7" xfId="7626" xr:uid="{F4837B70-9E9A-476A-A3A1-FBB0279D710C}"/>
    <cellStyle name="Migliaia 60 7" xfId="4014" xr:uid="{E9392378-1A6E-4B87-B7DF-411B98CC9D8C}"/>
    <cellStyle name="Migliaia 60 7 2" xfId="5740" xr:uid="{F1933EF3-34DB-4B5F-A96C-D8FB58DD540B}"/>
    <cellStyle name="Migliaia 60 7 2 2" xfId="35520" xr:uid="{3B4AA3BD-DEE5-4B0C-A773-C9684A25A761}"/>
    <cellStyle name="Migliaia 60 7 2 2 2" xfId="40680" xr:uid="{30E04BC8-E5A5-49B7-9B82-92A5DD33A334}"/>
    <cellStyle name="Migliaia 60 7 2 2 3" xfId="45982" xr:uid="{80F681BE-26FA-4A34-9BEA-559572959AEB}"/>
    <cellStyle name="Migliaia 60 7 2 3" xfId="38029" xr:uid="{847C24D2-E809-40B0-8920-49605165E177}"/>
    <cellStyle name="Migliaia 60 7 2 4" xfId="43331" xr:uid="{ADDE33FB-B1F4-4BF3-8FC7-4D1A3BBF8D37}"/>
    <cellStyle name="Migliaia 60 7 2 5" xfId="14347" xr:uid="{5A65BC52-6811-4389-A14D-52D3A8CF8DF4}"/>
    <cellStyle name="Migliaia 60 7 3" xfId="6907" xr:uid="{5D8E54D9-1876-41D4-9615-43E137FF27AE}"/>
    <cellStyle name="Migliaia 60 7 3 2" xfId="34866" xr:uid="{E4C838F5-CB13-48F5-AFD3-DDF9DF0D35AF}"/>
    <cellStyle name="Migliaia 60 7 3 3" xfId="21141" xr:uid="{9DF28F43-276A-427F-9D4C-2E58E20EA98B}"/>
    <cellStyle name="Migliaia 60 7 4" xfId="25665" xr:uid="{0CB03E77-F5C6-4A9D-8308-D5F29A12437C}"/>
    <cellStyle name="Migliaia 60 7 5" xfId="16905" xr:uid="{B328A6C0-FEBA-495E-96BE-0965B6C20554}"/>
    <cellStyle name="Migliaia 60 7 6" xfId="8409" xr:uid="{74C445D9-CEB4-4DA8-8423-1E8892A6FCE6}"/>
    <cellStyle name="Migliaia 60 8" xfId="4015" xr:uid="{D66217FA-D2E3-4FE0-89D1-2C0262EABC8A}"/>
    <cellStyle name="Migliaia 60 8 2" xfId="5741" xr:uid="{B1DB4880-F796-4E33-B39E-81D870CC7E9D}"/>
    <cellStyle name="Migliaia 60 8 2 2" xfId="35521" xr:uid="{37BD01F9-F6CE-4E1A-A667-364B833306F3}"/>
    <cellStyle name="Migliaia 60 8 2 2 2" xfId="40681" xr:uid="{C6756AFD-DCE2-4DFF-A11D-D6A03F77F397}"/>
    <cellStyle name="Migliaia 60 8 2 2 3" xfId="45983" xr:uid="{016E4D90-751A-47CF-9EED-4B3E35A03DA1}"/>
    <cellStyle name="Migliaia 60 8 2 3" xfId="38030" xr:uid="{FB27F800-B0A4-4C01-8CF8-CC119134BF88}"/>
    <cellStyle name="Migliaia 60 8 2 4" xfId="43332" xr:uid="{99A7F509-4DAE-44A4-966E-3563B598F155}"/>
    <cellStyle name="Migliaia 60 8 2 5" xfId="14052" xr:uid="{75241079-020E-453A-AC3D-4AF6C487B9B5}"/>
    <cellStyle name="Migliaia 60 8 3" xfId="6908" xr:uid="{72310718-219B-40C1-80A8-E4D1B54B195A}"/>
    <cellStyle name="Migliaia 60 8 3 2" xfId="34867" xr:uid="{DDB6D993-0ABC-4F33-8675-47ED1B41CDE7}"/>
    <cellStyle name="Migliaia 60 8 3 3" xfId="21142" xr:uid="{4EF0EE3A-7E43-4849-99BA-497E1C826AD7}"/>
    <cellStyle name="Migliaia 60 8 4" xfId="25666" xr:uid="{1033F379-AFD7-440F-BC26-EB933CB266D6}"/>
    <cellStyle name="Migliaia 60 8 5" xfId="16906" xr:uid="{4E13D6DC-5158-4107-9536-72F74D1D7206}"/>
    <cellStyle name="Migliaia 60 8 6" xfId="8046" xr:uid="{4EA60261-4EDC-4AC1-9E65-DD468FE63C8A}"/>
    <cellStyle name="Migliaia 60 9" xfId="5726" xr:uid="{51375491-4BFA-41A3-AA1D-A3FE3E051978}"/>
    <cellStyle name="Migliaia 60 9 2" xfId="34868" xr:uid="{203BE643-0C48-47CB-AAC1-68B6EC8DF5E4}"/>
    <cellStyle name="Migliaia 60 9 3" xfId="25667" xr:uid="{07DF66EA-0665-45BD-BDF1-CD3D4FA4A632}"/>
    <cellStyle name="Migliaia 60 9 4" xfId="17247" xr:uid="{14BF2977-9F0F-4C6F-8E98-9B24AF9A62AA}"/>
    <cellStyle name="Migliaia 61" xfId="529" xr:uid="{00000000-0005-0000-0000-0000C0040000}"/>
    <cellStyle name="Migliaia 61 10" xfId="6909" xr:uid="{CCBB74EF-B743-4EA6-A9BA-187DB221C7B2}"/>
    <cellStyle name="Migliaia 61 10 2" xfId="34869" xr:uid="{383A9716-5FD9-46C1-9A30-56B3DDD476AE}"/>
    <cellStyle name="Migliaia 61 10 3" xfId="21143" xr:uid="{4592A592-86CA-4E14-A536-40A56983A765}"/>
    <cellStyle name="Migliaia 61 11" xfId="4016" xr:uid="{F69AFA85-74FD-4ECB-8A89-D7BC10BE4841}"/>
    <cellStyle name="Migliaia 61 11 2" xfId="25668" xr:uid="{2E89BF30-BA7C-41C3-96E0-02D96B53A7B6}"/>
    <cellStyle name="Migliaia 61 12" xfId="7213" xr:uid="{13883D98-5E92-434D-8D6B-864965E299F3}"/>
    <cellStyle name="Migliaia 61 2" xfId="530" xr:uid="{00000000-0005-0000-0000-0000C1040000}"/>
    <cellStyle name="Migliaia 61 2 2" xfId="1941" xr:uid="{00000000-0005-0000-0000-0000C2040000}"/>
    <cellStyle name="Migliaia 61 2 2 2" xfId="5744" xr:uid="{8252E4F2-869E-4FA0-AC07-68F58025B115}"/>
    <cellStyle name="Migliaia 61 2 2 2 2" xfId="14420" xr:uid="{B6F85FD9-0EDE-4C94-BB32-14092CC31846}"/>
    <cellStyle name="Migliaia 61 2 2 2 2 2" xfId="34872" xr:uid="{C41F4710-84D5-456E-8788-401FF3C4994A}"/>
    <cellStyle name="Migliaia 61 2 2 2 3" xfId="18533" xr:uid="{1250AA3F-4977-4CD3-A425-58D8F407E558}"/>
    <cellStyle name="Migliaia 61 2 2 2 4" xfId="21146" xr:uid="{6797B40E-9A1E-464D-8E7D-CA9F22438EEE}"/>
    <cellStyle name="Migliaia 61 2 2 2 5" xfId="25671" xr:uid="{CBD5D5C6-300B-43E4-BA1A-7C694C245AEB}"/>
    <cellStyle name="Migliaia 61 2 2 2 6" xfId="16907" xr:uid="{9E3A9F73-E74A-4AE0-A5DE-20BE6DAC197A}"/>
    <cellStyle name="Migliaia 61 2 2 2 7" xfId="8823" xr:uid="{98DF9E6F-DE06-4E51-B28A-5F3C85101A24}"/>
    <cellStyle name="Migliaia 61 2 2 3" xfId="6911" xr:uid="{ED7855B8-ECBF-4BE3-A268-48A30308F794}"/>
    <cellStyle name="Migliaia 61 2 2 3 2" xfId="35522" xr:uid="{51B4BCF6-1F01-4AFC-AD9B-140649E4B153}"/>
    <cellStyle name="Migliaia 61 2 2 3 2 2" xfId="40682" xr:uid="{7234086B-42DF-4136-9612-3A4875AEDAF7}"/>
    <cellStyle name="Migliaia 61 2 2 3 2 3" xfId="45984" xr:uid="{F93E1F4F-0B9A-46F3-97F2-755D55DA6621}"/>
    <cellStyle name="Migliaia 61 2 2 3 3" xfId="38031" xr:uid="{FA8E8B05-2C04-401D-A1D8-B3D504AF028B}"/>
    <cellStyle name="Migliaia 61 2 2 3 4" xfId="43333" xr:uid="{1D8E0137-6FCD-4BF6-A8DB-ED9582761A13}"/>
    <cellStyle name="Migliaia 61 2 2 3 5" xfId="11647" xr:uid="{88D825F7-4A43-4DA5-A1DD-A1D93EB9F4AD}"/>
    <cellStyle name="Migliaia 61 2 2 4" xfId="4018" xr:uid="{F69A2CF5-5543-41EB-B28F-914BE4665B76}"/>
    <cellStyle name="Migliaia 61 2 2 4 2" xfId="21653" xr:uid="{FCCF6493-69D4-4B48-BF0A-EF270686CCED}"/>
    <cellStyle name="Migliaia 61 2 2 4 3" xfId="34871" xr:uid="{3109FBDA-DAF1-44AF-86CE-564E224B676F}"/>
    <cellStyle name="Migliaia 61 2 2 4 4" xfId="46712" xr:uid="{E888FCFD-7F13-45D4-A412-89691CE30FE8}"/>
    <cellStyle name="Migliaia 61 2 2 4 5" xfId="50668" xr:uid="{BD4B454A-1E20-48DA-80FE-0BED496FEFC8}"/>
    <cellStyle name="Migliaia 61 2 2 4 6" xfId="53684" xr:uid="{19F6EEF2-A5E6-4270-AD99-F5FF03F49CC2}"/>
    <cellStyle name="Migliaia 61 2 2 4 7" xfId="11018" xr:uid="{A1E29DCD-893B-4367-B813-3B1E1B569849}"/>
    <cellStyle name="Migliaia 61 2 2 5" xfId="21145" xr:uid="{EF0E37A2-0DB3-4CBE-B3A9-055B94BE777D}"/>
    <cellStyle name="Migliaia 61 2 2 6" xfId="25670" xr:uid="{9917970F-9308-4A35-B61B-AFE7A77D1C41}"/>
    <cellStyle name="Migliaia 61 2 2 7" xfId="7633" xr:uid="{1C81666C-321B-4277-9AC5-FD621211F4E4}"/>
    <cellStyle name="Migliaia 61 2 3" xfId="4019" xr:uid="{C5CDB313-8AFE-4F4F-995D-00ACB9C0DE35}"/>
    <cellStyle name="Migliaia 61 2 3 2" xfId="5745" xr:uid="{4BF3182E-AA8D-4128-A969-F8AD7353AF3F}"/>
    <cellStyle name="Migliaia 61 2 3 2 2" xfId="35523" xr:uid="{AB435704-620A-4FBD-A2B8-8D2085C65FEC}"/>
    <cellStyle name="Migliaia 61 2 3 2 2 2" xfId="40683" xr:uid="{9CAB26C7-F12E-490D-B26C-A6CE3CA46295}"/>
    <cellStyle name="Migliaia 61 2 3 2 2 3" xfId="45985" xr:uid="{BE6A44C6-6D76-4A64-BA9D-6C338000AA66}"/>
    <cellStyle name="Migliaia 61 2 3 2 3" xfId="38032" xr:uid="{BA490708-5D6C-4D0F-AC9C-D44F06B15BA8}"/>
    <cellStyle name="Migliaia 61 2 3 2 4" xfId="43334" xr:uid="{87AAD327-9E02-43C5-8FAF-6604420D375E}"/>
    <cellStyle name="Migliaia 61 2 3 2 5" xfId="14351" xr:uid="{19BA23FA-DE30-46C1-9A6E-9C8609843DD8}"/>
    <cellStyle name="Migliaia 61 2 3 3" xfId="6912" xr:uid="{4D105EC7-D0E6-4F3F-A169-A80418ECFD45}"/>
    <cellStyle name="Migliaia 61 2 3 3 2" xfId="34873" xr:uid="{1A6B545F-91C5-48B3-9C10-B6C09E5E28A9}"/>
    <cellStyle name="Migliaia 61 2 3 3 3" xfId="21147" xr:uid="{27EE77BD-3BAA-4392-9FA9-6E099673B933}"/>
    <cellStyle name="Migliaia 61 2 3 4" xfId="25672" xr:uid="{A7C1E9EE-D701-4E50-A66D-57FD709CA399}"/>
    <cellStyle name="Migliaia 61 2 3 5" xfId="16908" xr:uid="{DC14BACD-2256-43B7-A3BD-1D74BAB654A4}"/>
    <cellStyle name="Migliaia 61 2 3 6" xfId="8413" xr:uid="{C4961B3C-2A10-464D-9D4A-245FB62D2653}"/>
    <cellStyle name="Migliaia 61 2 4" xfId="5743" xr:uid="{1E234216-21A3-4F18-99C8-948B8733735A}"/>
    <cellStyle name="Migliaia 61 2 4 2" xfId="14056" xr:uid="{0A2D3DBA-3137-4194-980E-7186B15ACC83}"/>
    <cellStyle name="Migliaia 61 2 4 2 2" xfId="34874" xr:uid="{2162B818-DA8B-4325-88FD-BDBFD063BA42}"/>
    <cellStyle name="Migliaia 61 2 4 3" xfId="18155" xr:uid="{C165D60F-FC93-4814-8329-7C71FE3D5DEF}"/>
    <cellStyle name="Migliaia 61 2 4 4" xfId="21148" xr:uid="{273D23AC-43A1-43E2-8E4C-008B84F7BBD9}"/>
    <cellStyle name="Migliaia 61 2 4 5" xfId="25673" xr:uid="{6333EB2C-0AFA-4EB1-B49D-5713792C6651}"/>
    <cellStyle name="Migliaia 61 2 4 6" xfId="16909" xr:uid="{3BE15F94-21C4-419E-B20C-64412C5FEC97}"/>
    <cellStyle name="Migliaia 61 2 4 7" xfId="8051" xr:uid="{A118DA34-7D7A-4756-9679-4F20EDD283CF}"/>
    <cellStyle name="Migliaia 61 2 5" xfId="6910" xr:uid="{319FF08B-4146-4A70-961C-974FBCCEA648}"/>
    <cellStyle name="Migliaia 61 2 5 2" xfId="34875" xr:uid="{F4C45852-2AB2-48AD-A5BB-FA7520A76A02}"/>
    <cellStyle name="Migliaia 61 2 5 3" xfId="25674" xr:uid="{55E6CBA6-F949-4B2A-8582-EB958EACF98C}"/>
    <cellStyle name="Migliaia 61 2 5 4" xfId="13160" xr:uid="{A78389CC-827E-4FAA-8016-439F7D00C338}"/>
    <cellStyle name="Migliaia 61 2 6" xfId="4017" xr:uid="{1B93B1C6-8910-44C7-B27C-1B16D079A8D8}"/>
    <cellStyle name="Migliaia 61 2 6 2" xfId="34876" xr:uid="{1B9BD114-FED4-4D1E-8982-012731E721A7}"/>
    <cellStyle name="Migliaia 61 2 6 3" xfId="25675" xr:uid="{8EC4EE39-04A0-4924-83CE-07AF5B450B76}"/>
    <cellStyle name="Migliaia 61 2 6 4" xfId="21144" xr:uid="{02B38591-4E16-40C1-8908-B0BC141B0D01}"/>
    <cellStyle name="Migliaia 61 2 7" xfId="34870" xr:uid="{A3950A21-1427-4707-AF8A-334DC82989B6}"/>
    <cellStyle name="Migliaia 61 2 8" xfId="25669" xr:uid="{0275C9EE-D6A1-4209-8ED5-FCE40F071E57}"/>
    <cellStyle name="Migliaia 61 2 9" xfId="7214" xr:uid="{FFD94175-7243-4A52-B7DB-E4DD174F126F}"/>
    <cellStyle name="Migliaia 61 3" xfId="531" xr:uid="{00000000-0005-0000-0000-0000C3040000}"/>
    <cellStyle name="Migliaia 61 3 10" xfId="25676" xr:uid="{4072A014-3DCC-4DA8-B7BC-54C77B8BAC32}"/>
    <cellStyle name="Migliaia 61 3 11" xfId="16910" xr:uid="{4635EB62-58BD-42F8-A14E-8BA2688BCF1A}"/>
    <cellStyle name="Migliaia 61 3 12" xfId="7215" xr:uid="{1F680827-B23D-4CBA-AB88-224FD427D474}"/>
    <cellStyle name="Migliaia 61 3 2" xfId="532" xr:uid="{00000000-0005-0000-0000-0000C4040000}"/>
    <cellStyle name="Migliaia 61 3 2 2" xfId="1942" xr:uid="{00000000-0005-0000-0000-0000C5040000}"/>
    <cellStyle name="Migliaia 61 3 2 2 2" xfId="5748" xr:uid="{10B71D0F-63DF-4164-BBAD-B356F0444C12}"/>
    <cellStyle name="Migliaia 61 3 2 2 2 2" xfId="18534" xr:uid="{00B910CA-7692-40FA-A2F7-D7BFD6834C43}"/>
    <cellStyle name="Migliaia 61 3 2 2 2 2 2" xfId="21898" xr:uid="{ADEF9779-8BD1-44DD-A499-A730799B8135}"/>
    <cellStyle name="Migliaia 61 3 2 2 2 2 3" xfId="34880" xr:uid="{CC0F51B6-0EE2-4119-B362-D4D78F79102D}"/>
    <cellStyle name="Migliaia 61 3 2 2 2 3" xfId="25679" xr:uid="{F703472C-F215-4E93-972A-748E7FACF4C8}"/>
    <cellStyle name="Migliaia 61 3 2 2 2 4" xfId="25110" xr:uid="{4AD4D8BC-57EA-4302-A1EC-7C28DE315CB5}"/>
    <cellStyle name="Migliaia 61 3 2 2 2 5" xfId="50926" xr:uid="{F72BE477-FFCA-438A-960A-5F8700BFD8F8}"/>
    <cellStyle name="Migliaia 61 3 2 2 2 6" xfId="53942" xr:uid="{8B9FA046-E41C-4D6A-91C7-CE04F24635F0}"/>
    <cellStyle name="Migliaia 61 3 2 2 2 7" xfId="17697" xr:uid="{E8D0DDF4-9CD3-4616-8C45-D56055B71E8A}"/>
    <cellStyle name="Migliaia 61 3 2 2 2 8" xfId="12115" xr:uid="{C375ADBE-7BC9-41AC-9BEE-67F6884C4C36}"/>
    <cellStyle name="Migliaia 61 3 2 2 3" xfId="6915" xr:uid="{A4763AFD-B718-4F15-B675-4EBA05ABAF90}"/>
    <cellStyle name="Migliaia 61 3 2 2 3 2" xfId="34879" xr:uid="{B1FDD816-064B-4761-99DC-ACEB67B5FD30}"/>
    <cellStyle name="Migliaia 61 3 2 2 3 3" xfId="11490" xr:uid="{C1053B64-C88F-43F1-9627-A9872A8A0AF0}"/>
    <cellStyle name="Migliaia 61 3 2 2 4" xfId="4022" xr:uid="{9AC3E9FC-1E27-48A5-9591-F09BAA5A1316}"/>
    <cellStyle name="Migliaia 61 3 2 2 4 2" xfId="21654" xr:uid="{91419587-B76C-4AE6-9E13-4FD7CD111BB4}"/>
    <cellStyle name="Migliaia 61 3 2 2 4 3" xfId="47978" xr:uid="{C545BA4C-222B-48EE-862B-D7A1AE444EDB}"/>
    <cellStyle name="Migliaia 61 3 2 2 4 4" xfId="50669" xr:uid="{9B588713-7874-4F9F-8080-3A4A3C5A8CF5}"/>
    <cellStyle name="Migliaia 61 3 2 2 4 5" xfId="53685" xr:uid="{7EDF9BDB-E019-4D5A-9068-3C650FD81940}"/>
    <cellStyle name="Migliaia 61 3 2 2 4 6" xfId="11019" xr:uid="{E09A0324-2C3E-4585-8251-7169503D2ABF}"/>
    <cellStyle name="Migliaia 61 3 2 2 5" xfId="21151" xr:uid="{D131F202-5CF9-4015-B512-341BACA8C963}"/>
    <cellStyle name="Migliaia 61 3 2 2 6" xfId="25678" xr:uid="{45CF328B-4606-4803-94E3-89C82E82AAFC}"/>
    <cellStyle name="Migliaia 61 3 2 2 7" xfId="8825" xr:uid="{30EA71E2-94F6-4F81-A534-210BAA91CB2E}"/>
    <cellStyle name="Migliaia 61 3 2 3" xfId="5747" xr:uid="{3D1B12C4-9717-4CAF-88CB-BDB70B143DD4}"/>
    <cellStyle name="Migliaia 61 3 2 3 2" xfId="12395" xr:uid="{289C216E-C26B-401F-BDEF-3DFF4B1DC3AC}"/>
    <cellStyle name="Migliaia 61 3 2 3 2 2" xfId="34881" xr:uid="{9E38E52D-328A-4A3A-AE52-6B9CCE991D18}"/>
    <cellStyle name="Migliaia 61 3 2 3 3" xfId="12116" xr:uid="{205FFA80-72B0-498C-87BF-73D3F46D09CF}"/>
    <cellStyle name="Migliaia 61 3 2 3 4" xfId="21152" xr:uid="{3D22980E-8919-46B7-B005-9515E5EC54E9}"/>
    <cellStyle name="Migliaia 61 3 2 3 5" xfId="25680" xr:uid="{0788C578-7522-49A7-A0C0-A1AB0270958C}"/>
    <cellStyle name="Migliaia 61 3 2 3 6" xfId="16911" xr:uid="{98DF3EC7-1651-49B7-917E-26ADDC8B47F0}"/>
    <cellStyle name="Migliaia 61 3 2 3 7" xfId="8053" xr:uid="{C04BD828-A138-45F5-8566-D32591C217D1}"/>
    <cellStyle name="Migliaia 61 3 2 4" xfId="6914" xr:uid="{FAA1537C-B1DA-470B-92CF-EB18D0691F8A}"/>
    <cellStyle name="Migliaia 61 3 2 4 2" xfId="18114" xr:uid="{F74731A5-A888-400E-AB3C-E24C4A3CB33D}"/>
    <cellStyle name="Migliaia 61 3 2 4 2 2" xfId="34882" xr:uid="{4F307494-DD2D-4814-B5B4-913A73FF8817}"/>
    <cellStyle name="Migliaia 61 3 2 4 3" xfId="25681" xr:uid="{5A6E3777-1C8E-4CDE-A83A-8ACF9ECCFDF5}"/>
    <cellStyle name="Migliaia 61 3 2 4 4" xfId="17250" xr:uid="{41FC0342-D341-4361-A726-36144E3DC22E}"/>
    <cellStyle name="Migliaia 61 3 2 4 5" xfId="11468" xr:uid="{3325F499-3FB6-4B8A-9B1E-1FC9AAE2CF6F}"/>
    <cellStyle name="Migliaia 61 3 2 5" xfId="4021" xr:uid="{28F86807-3BB5-47E0-9FA2-1F5D75B1EFB4}"/>
    <cellStyle name="Migliaia 61 3 2 5 2" xfId="34883" xr:uid="{A7E45F57-E899-4921-A3BA-C7060C96D29D}"/>
    <cellStyle name="Migliaia 61 3 2 5 3" xfId="25682" xr:uid="{BA4003CE-9FF2-4E71-ABFE-701A5CE83370}"/>
    <cellStyle name="Migliaia 61 3 2 5 4" xfId="17077" xr:uid="{2298AD5B-4C11-4AAA-B759-20E08D6636E8}"/>
    <cellStyle name="Migliaia 61 3 2 6" xfId="21150" xr:uid="{13FD4622-8AF1-4A48-B110-2A96EF760CF8}"/>
    <cellStyle name="Migliaia 61 3 2 6 2" xfId="34884" xr:uid="{11337849-D7A7-4EC3-9CC9-00F0A1EFEE5B}"/>
    <cellStyle name="Migliaia 61 3 2 6 3" xfId="25683" xr:uid="{442EB72C-D815-4F30-93D6-2A519B0CA3AD}"/>
    <cellStyle name="Migliaia 61 3 2 7" xfId="34878" xr:uid="{E85B36BC-8A90-49C7-8E7B-5723E7C0E683}"/>
    <cellStyle name="Migliaia 61 3 2 8" xfId="25677" xr:uid="{5305B38F-E6E0-4313-AA3D-C6C10FD7F020}"/>
    <cellStyle name="Migliaia 61 3 2 9" xfId="7635" xr:uid="{1E8A3609-3C9E-4958-AF0F-32921B41298E}"/>
    <cellStyle name="Migliaia 61 3 3" xfId="4023" xr:uid="{F2083E75-8C8B-4F9E-8E22-B1A4E67BD821}"/>
    <cellStyle name="Migliaia 61 3 3 2" xfId="5749" xr:uid="{5BBB10B1-1B57-42E0-8845-E6B96F07E206}"/>
    <cellStyle name="Migliaia 61 3 3 2 2" xfId="9996" xr:uid="{C61D88A8-D7E5-41CD-9C20-4E21E1D71A0A}"/>
    <cellStyle name="Migliaia 61 3 3 2 2 2" xfId="34886" xr:uid="{1F673B8D-2847-4BAC-B1AA-3B622AD257E4}"/>
    <cellStyle name="Migliaia 61 3 3 2 3" xfId="18276" xr:uid="{E3D3A853-A12C-43B4-86B6-FDC869434BC1}"/>
    <cellStyle name="Migliaia 61 3 3 2 4" xfId="21154" xr:uid="{A6703CF3-A17B-4F1B-836A-59D9BA59993C}"/>
    <cellStyle name="Migliaia 61 3 3 2 5" xfId="25685" xr:uid="{55FB51E8-2BDA-4E64-8A4F-C75CF6CD78BE}"/>
    <cellStyle name="Migliaia 61 3 3 2 6" xfId="16913" xr:uid="{0AD0A0C8-B61E-4FA3-9728-BBF389D17A0F}"/>
    <cellStyle name="Migliaia 61 3 3 2 7" xfId="8824" xr:uid="{BEE8F0F0-C95A-410C-8969-6DA5038336C8}"/>
    <cellStyle name="Migliaia 61 3 3 3" xfId="6916" xr:uid="{B252B2DC-62E3-4F3F-AFC2-DC7BB35B608A}"/>
    <cellStyle name="Migliaia 61 3 3 3 2" xfId="34887" xr:uid="{E63C3589-693E-4A00-A920-A45FA977079A}"/>
    <cellStyle name="Migliaia 61 3 3 3 3" xfId="25686" xr:uid="{26916ADA-CCC2-4CED-B80E-7304D0768393}"/>
    <cellStyle name="Migliaia 61 3 3 3 4" xfId="9759" xr:uid="{F0191FC2-4315-490C-AD92-43CD28DACEAD}"/>
    <cellStyle name="Migliaia 61 3 3 4" xfId="21153" xr:uid="{BA951971-18D8-4ABC-B59D-8681E0A0D517}"/>
    <cellStyle name="Migliaia 61 3 3 4 2" xfId="34888" xr:uid="{30607BAE-137E-4E11-B228-6357BFF82797}"/>
    <cellStyle name="Migliaia 61 3 3 4 3" xfId="25687" xr:uid="{2D1A9359-D959-496C-93D8-0798D053FA28}"/>
    <cellStyle name="Migliaia 61 3 3 4 4" xfId="48911" xr:uid="{087B9250-521A-4385-9B4C-B6195D360385}"/>
    <cellStyle name="Migliaia 61 3 3 5" xfId="25688" xr:uid="{3D3E6382-BFDE-475D-8AB4-84125990C5D0}"/>
    <cellStyle name="Migliaia 61 3 3 5 2" xfId="34889" xr:uid="{BE29B7B0-D217-4F19-8057-35B69759C7D3}"/>
    <cellStyle name="Migliaia 61 3 3 5 3" xfId="48912" xr:uid="{EEBA8C89-89A3-4A23-88AF-45828169C351}"/>
    <cellStyle name="Migliaia 61 3 3 6" xfId="34885" xr:uid="{78C07001-B7A3-4186-AE7F-189C51EE5EBF}"/>
    <cellStyle name="Migliaia 61 3 3 7" xfId="25684" xr:uid="{CE296B40-734C-4EA2-A9D1-BC29D042F747}"/>
    <cellStyle name="Migliaia 61 3 3 8" xfId="16912" xr:uid="{029CC494-FBE3-494D-8D53-62AD3E648471}"/>
    <cellStyle name="Migliaia 61 3 3 9" xfId="7634" xr:uid="{D295EFFF-7490-47DD-B0CA-C13869EDB3E1}"/>
    <cellStyle name="Migliaia 61 3 4" xfId="4024" xr:uid="{FC13DC0E-42E6-4E59-9AD2-83CA28653081}"/>
    <cellStyle name="Migliaia 61 3 4 2" xfId="5750" xr:uid="{AF40E1E8-27EB-4228-9FB8-25261046D3FE}"/>
    <cellStyle name="Migliaia 61 3 4 2 2" xfId="14480" xr:uid="{148A3C6B-271D-4290-ABFC-B01BE7876EBF}"/>
    <cellStyle name="Migliaia 61 3 4 2 3" xfId="18572" xr:uid="{2D9FF43A-4560-422B-91A5-6CD0471EA9F7}"/>
    <cellStyle name="Migliaia 61 3 4 2 4" xfId="21156" xr:uid="{7CD38E4D-0A0C-4198-9702-48F2B4CDDEA5}"/>
    <cellStyle name="Migliaia 61 3 4 2 5" xfId="32489" xr:uid="{9BB9997D-C455-409B-8BF9-EDCCD788EB26}"/>
    <cellStyle name="Migliaia 61 3 4 2 6" xfId="16915" xr:uid="{A8048EE9-F0D7-47D0-9DEE-1CC9472B0A89}"/>
    <cellStyle name="Migliaia 61 3 4 2 7" xfId="8903" xr:uid="{A5AB6FB9-7883-443D-9D5E-ACBC964680BC}"/>
    <cellStyle name="Migliaia 61 3 4 3" xfId="6917" xr:uid="{D8266C25-03F6-4922-AF56-6F993D234BFE}"/>
    <cellStyle name="Migliaia 61 3 4 3 2" xfId="35524" xr:uid="{E4F0CAA5-BCB8-4DE8-813D-81F681CD387F}"/>
    <cellStyle name="Migliaia 61 3 4 3 2 2" xfId="40684" xr:uid="{4265EA33-81D1-4AFD-831D-04818D1CD1FD}"/>
    <cellStyle name="Migliaia 61 3 4 3 2 3" xfId="45986" xr:uid="{98774452-A028-43FD-B613-A8016F389435}"/>
    <cellStyle name="Migliaia 61 3 4 3 3" xfId="38033" xr:uid="{CDCAAF5A-E1E0-4B95-A601-32E8B88E3B9A}"/>
    <cellStyle name="Migliaia 61 3 4 3 4" xfId="43335" xr:uid="{B13FD01C-C39C-440F-8A13-D58CA675546A}"/>
    <cellStyle name="Migliaia 61 3 4 3 5" xfId="13728" xr:uid="{4BF5E5BF-E6C0-4DF1-8E14-F136B7571EF6}"/>
    <cellStyle name="Migliaia 61 3 4 4" xfId="21155" xr:uid="{224E73C9-ABFE-4510-9F4A-F083BCA3E58D}"/>
    <cellStyle name="Migliaia 61 3 4 4 2" xfId="34890" xr:uid="{64486001-B67C-49E1-B66A-A035A22BB3A3}"/>
    <cellStyle name="Migliaia 61 3 4 5" xfId="25689" xr:uid="{28D56A75-DB04-4076-863E-61DFED3D8804}"/>
    <cellStyle name="Migliaia 61 3 4 6" xfId="16914" xr:uid="{95759727-5046-4489-8977-887F5FB6F734}"/>
    <cellStyle name="Migliaia 61 3 4 7" xfId="7713" xr:uid="{E9917383-3CB2-40CC-B9A5-E11DCA73B2BB}"/>
    <cellStyle name="Migliaia 61 3 5" xfId="4025" xr:uid="{3DE8B424-DBDF-4B02-B2D6-84FC6BB790CF}"/>
    <cellStyle name="Migliaia 61 3 5 2" xfId="5751" xr:uid="{74763CE4-8521-42F7-9F26-F6E7C2D3A27E}"/>
    <cellStyle name="Migliaia 61 3 5 2 2" xfId="35525" xr:uid="{80A03962-DB33-45FB-BD8D-9E28E1190101}"/>
    <cellStyle name="Migliaia 61 3 5 2 2 2" xfId="40685" xr:uid="{C81CD42F-1BE0-4F45-8158-DA0E6FFC65BE}"/>
    <cellStyle name="Migliaia 61 3 5 2 2 3" xfId="45987" xr:uid="{A5572BE2-1F67-47B1-8619-B73D03AF13FA}"/>
    <cellStyle name="Migliaia 61 3 5 2 3" xfId="38034" xr:uid="{2ACFE3FD-8F37-4F01-B9E3-172F0FAD1969}"/>
    <cellStyle name="Migliaia 61 3 5 2 4" xfId="43336" xr:uid="{E49778CE-8AAB-4DB2-AD37-0D0EADF22DE4}"/>
    <cellStyle name="Migliaia 61 3 5 2 5" xfId="14352" xr:uid="{1B2C8224-703A-4A8C-8D15-38681D34BA63}"/>
    <cellStyle name="Migliaia 61 3 5 3" xfId="6918" xr:uid="{3D574DF4-2297-46C1-AC01-27749EB1E3AF}"/>
    <cellStyle name="Migliaia 61 3 5 3 2" xfId="34891" xr:uid="{3573E954-F181-4890-A3CB-D6F6FE06E6CA}"/>
    <cellStyle name="Migliaia 61 3 5 3 3" xfId="21157" xr:uid="{6AEC81C2-F4AB-4847-A4F4-8E2CE14C4979}"/>
    <cellStyle name="Migliaia 61 3 5 4" xfId="25690" xr:uid="{5EF42E49-A881-4A05-B432-3F3F85A050C6}"/>
    <cellStyle name="Migliaia 61 3 5 5" xfId="16916" xr:uid="{1A38F7DD-DD9B-4C25-B376-0CED9FD17FE9}"/>
    <cellStyle name="Migliaia 61 3 5 6" xfId="8414" xr:uid="{467F3E24-02DB-4B7E-9B6C-DB9437E6B8F5}"/>
    <cellStyle name="Migliaia 61 3 6" xfId="5746" xr:uid="{91B8830D-68B8-4611-993B-2BF637C35280}"/>
    <cellStyle name="Migliaia 61 3 6 2" xfId="14057" xr:uid="{9EDE1A00-E014-405C-953C-062C233A3936}"/>
    <cellStyle name="Migliaia 61 3 6 2 2" xfId="34892" xr:uid="{5CB04B86-1C17-44B7-836F-204A70A2F1A9}"/>
    <cellStyle name="Migliaia 61 3 6 3" xfId="18681" xr:uid="{AFC61C46-4CB2-4E2B-9AFA-F40A201D3177}"/>
    <cellStyle name="Migliaia 61 3 6 4" xfId="21158" xr:uid="{BCB6570C-AC3F-4625-9E40-D653ECBF8FF6}"/>
    <cellStyle name="Migliaia 61 3 6 5" xfId="25691" xr:uid="{C9D0D281-14A7-4D43-8BA5-828CE32DE5AB}"/>
    <cellStyle name="Migliaia 61 3 6 6" xfId="16917" xr:uid="{EF1920FF-C885-4DFA-B0E0-212C85E9D003}"/>
    <cellStyle name="Migliaia 61 3 6 7" xfId="8052" xr:uid="{FD9A1A53-7BB3-428A-A96D-F8483188021E}"/>
    <cellStyle name="Migliaia 61 3 7" xfId="6913" xr:uid="{86604F9A-465F-48A6-A7B6-2EB1CC263B37}"/>
    <cellStyle name="Migliaia 61 3 7 2" xfId="34893" xr:uid="{C82A458E-70F2-486F-B45B-BB90643A532A}"/>
    <cellStyle name="Migliaia 61 3 7 3" xfId="25692" xr:uid="{667F6BEA-7F57-4D09-9E15-A67C393AB0DD}"/>
    <cellStyle name="Migliaia 61 3 7 4" xfId="12250" xr:uid="{F274A41B-3097-41E4-B9A3-86CDB2163E4C}"/>
    <cellStyle name="Migliaia 61 3 8" xfId="4020" xr:uid="{4E8EADA5-BAB0-45D3-8370-2CC07EDB714F}"/>
    <cellStyle name="Migliaia 61 3 8 2" xfId="34894" xr:uid="{445E7AB0-815B-4954-80DC-7C64D3AB54FA}"/>
    <cellStyle name="Migliaia 61 3 8 3" xfId="25693" xr:uid="{5DE89656-9CAD-4504-ABAF-831B84BA83B6}"/>
    <cellStyle name="Migliaia 61 3 8 4" xfId="17078" xr:uid="{DEACE924-DA35-437C-B619-D5EFF6990435}"/>
    <cellStyle name="Migliaia 61 3 9" xfId="21149" xr:uid="{95718B73-6944-4F3D-97DF-6F528100E0BE}"/>
    <cellStyle name="Migliaia 61 3 9 2" xfId="34877" xr:uid="{7514BCF8-6F30-439E-A27F-ED3B09710909}"/>
    <cellStyle name="Migliaia 61 4" xfId="1943" xr:uid="{00000000-0005-0000-0000-0000C6040000}"/>
    <cellStyle name="Migliaia 61 4 10" xfId="7636" xr:uid="{BEA7F90F-E10B-4DCD-A191-473D2CBBD591}"/>
    <cellStyle name="Migliaia 61 4 2" xfId="1944" xr:uid="{00000000-0005-0000-0000-0000C7040000}"/>
    <cellStyle name="Migliaia 61 4 2 2" xfId="5753" xr:uid="{AA9FB46E-D174-42DE-A46F-6F297BAA0346}"/>
    <cellStyle name="Migliaia 61 4 2 2 2" xfId="34897" xr:uid="{D49800F2-51A3-42FE-844D-F849565B8048}"/>
    <cellStyle name="Migliaia 61 4 2 2 3" xfId="25696" xr:uid="{BD5831F8-B397-481B-9BBB-F472A57E7010}"/>
    <cellStyle name="Migliaia 61 4 2 2 4" xfId="9222" xr:uid="{DDE766B0-5ED5-45BE-84E9-2747F812FF28}"/>
    <cellStyle name="Migliaia 61 4 2 3" xfId="4027" xr:uid="{71549CE8-B4DC-4BCB-8C1F-E57321EC9B59}"/>
    <cellStyle name="Migliaia 61 4 2 3 2" xfId="34898" xr:uid="{93CFF8A9-FEF9-4689-936A-05EA3AC0BD54}"/>
    <cellStyle name="Migliaia 61 4 2 3 3" xfId="25697" xr:uid="{C5245329-9F50-453F-8521-6C136D1A2704}"/>
    <cellStyle name="Migliaia 61 4 2 3 4" xfId="12117" xr:uid="{BE198A74-3F15-421C-84BF-4BF08FDEBC99}"/>
    <cellStyle name="Migliaia 61 4 2 4" xfId="11470" xr:uid="{429E91BB-9696-4F83-AB3D-F9F89D116F7C}"/>
    <cellStyle name="Migliaia 61 4 2 4 2" xfId="34896" xr:uid="{BAB8AD44-EB74-4583-B2DE-6DCAF62214D8}"/>
    <cellStyle name="Migliaia 61 4 2 5" xfId="11021" xr:uid="{2EF64B1E-C966-495C-BD0D-DD79F36A6A88}"/>
    <cellStyle name="Migliaia 61 4 2 5 2" xfId="21656" xr:uid="{4234B3C0-1243-4FA5-9794-8B774F9A9FA5}"/>
    <cellStyle name="Migliaia 61 4 2 5 3" xfId="47431" xr:uid="{72BB2873-852A-495F-9AD9-A7CA6131629D}"/>
    <cellStyle name="Migliaia 61 4 2 5 4" xfId="50671" xr:uid="{6A1A3E4A-353B-44B9-B751-676251D36DED}"/>
    <cellStyle name="Migliaia 61 4 2 5 5" xfId="53687" xr:uid="{14252872-0314-481F-A7CC-605987A047E9}"/>
    <cellStyle name="Migliaia 61 4 2 6" xfId="21160" xr:uid="{3B1EFB70-36F1-4B1C-87DA-DDBA9E457099}"/>
    <cellStyle name="Migliaia 61 4 2 7" xfId="25695" xr:uid="{3A63EEA1-FD05-4766-820B-69190A31881F}"/>
    <cellStyle name="Migliaia 61 4 2 8" xfId="8826" xr:uid="{50D536F4-265F-4597-9541-DB8C929C8DD3}"/>
    <cellStyle name="Migliaia 61 4 3" xfId="5752" xr:uid="{932B2A33-4B64-48BB-9B19-35D6ED26253D}"/>
    <cellStyle name="Migliaia 61 4 3 2" xfId="18277" xr:uid="{E15487D5-922C-4460-9011-B83C239F0580}"/>
    <cellStyle name="Migliaia 61 4 3 2 2" xfId="34899" xr:uid="{8025AE81-1600-4292-A4DB-F0A62F0006F3}"/>
    <cellStyle name="Migliaia 61 4 3 3" xfId="25698" xr:uid="{5D6DF8C4-0EB0-41A7-8028-1CF18DFCB3CD}"/>
    <cellStyle name="Migliaia 61 4 3 4" xfId="17076" xr:uid="{17102EBC-10AB-4BDB-AD07-51FC928F972E}"/>
    <cellStyle name="Migliaia 61 4 3 5" xfId="9223" xr:uid="{026CA8A0-D81E-4B61-8462-442F0FBEB6C8}"/>
    <cellStyle name="Migliaia 61 4 4" xfId="6919" xr:uid="{EE779C50-69CD-428F-8121-A84115AC7295}"/>
    <cellStyle name="Migliaia 61 4 4 2" xfId="34900" xr:uid="{06BA78BE-F3B2-428F-85DA-AC4B505EFECF}"/>
    <cellStyle name="Migliaia 61 4 4 3" xfId="25699" xr:uid="{EE5BE713-0CC4-4CE7-84B5-1E5D31924313}"/>
    <cellStyle name="Migliaia 61 4 4 4" xfId="12118" xr:uid="{85B0CCF9-A32C-4FDA-AD9A-9B0CDCC81E12}"/>
    <cellStyle name="Migliaia 61 4 5" xfId="4026" xr:uid="{BD7FB8F1-43C3-48EA-925E-D7764F22C5BB}"/>
    <cellStyle name="Migliaia 61 4 5 2" xfId="34901" xr:uid="{1A8BA501-8503-4B2E-B61B-504F986634AD}"/>
    <cellStyle name="Migliaia 61 4 5 3" xfId="25700" xr:uid="{64CEB4E0-6640-4DF4-AB85-9DBC8C87E0D8}"/>
    <cellStyle name="Migliaia 61 4 5 4" xfId="11469" xr:uid="{9B830643-4611-4F0B-BCC0-22F15C205EFE}"/>
    <cellStyle name="Migliaia 61 4 6" xfId="11020" xr:uid="{FDEB7CF9-A612-45E9-A181-3808BAFAEDEA}"/>
    <cellStyle name="Migliaia 61 4 6 2" xfId="21655" xr:uid="{6C3BB55F-DBD9-4D25-B119-85970F46D179}"/>
    <cellStyle name="Migliaia 61 4 6 2 2" xfId="34902" xr:uid="{FE2CE63E-D387-4322-9215-C4DC450668A8}"/>
    <cellStyle name="Migliaia 61 4 6 3" xfId="25701" xr:uid="{4225C9D0-B976-49E2-B124-ACF77D91EFAC}"/>
    <cellStyle name="Migliaia 61 4 6 4" xfId="47312" xr:uid="{C24C39A5-D342-4CF2-9A8B-772B8CB4B1C1}"/>
    <cellStyle name="Migliaia 61 4 6 5" xfId="48913" xr:uid="{59B0235F-7C21-4A58-A8A5-24CF278E2244}"/>
    <cellStyle name="Migliaia 61 4 6 6" xfId="50670" xr:uid="{E587896D-23ED-4A72-AE64-AF1DF62F9FD4}"/>
    <cellStyle name="Migliaia 61 4 6 7" xfId="53686" xr:uid="{F683D691-E856-4F97-9AD4-75309C2430AB}"/>
    <cellStyle name="Migliaia 61 4 7" xfId="21159" xr:uid="{81CBEBE4-3493-4CB7-99AB-4ABC3C68FCF4}"/>
    <cellStyle name="Migliaia 61 4 7 2" xfId="34903" xr:uid="{24B5A627-220F-4D89-8B30-EF9616C2856A}"/>
    <cellStyle name="Migliaia 61 4 7 3" xfId="25702" xr:uid="{448AACE3-AA1D-40C4-9E7F-65B29D6CBF61}"/>
    <cellStyle name="Migliaia 61 4 8" xfId="34895" xr:uid="{19D74327-6AC7-41B4-921C-22F9DB817EAF}"/>
    <cellStyle name="Migliaia 61 4 9" xfId="25694" xr:uid="{C3DEC3EB-73D1-4838-92FE-A1FDCB397949}"/>
    <cellStyle name="Migliaia 61 5" xfId="1945" xr:uid="{00000000-0005-0000-0000-0000C8040000}"/>
    <cellStyle name="Migliaia 61 5 2" xfId="5754" xr:uid="{A3AD802E-F763-48E5-9F38-1C0E0AA74F7F}"/>
    <cellStyle name="Migliaia 61 5 2 2" xfId="18535" xr:uid="{A6021013-0BA4-4E29-B480-04DF52703CFC}"/>
    <cellStyle name="Migliaia 61 5 2 2 2" xfId="34905" xr:uid="{A4E74281-271E-493B-B1B2-24258EB70699}"/>
    <cellStyle name="Migliaia 61 5 2 3" xfId="21162" xr:uid="{B76C8D21-B378-4518-872F-AC6D5AF6E29C}"/>
    <cellStyle name="Migliaia 61 5 2 4" xfId="25704" xr:uid="{CE713634-4E67-41BA-A7BF-ABA300F52D3F}"/>
    <cellStyle name="Migliaia 61 5 2 5" xfId="16918" xr:uid="{1C3A7EFD-7B2E-448E-BF8E-4C425D0BEBB2}"/>
    <cellStyle name="Migliaia 61 5 2 6" xfId="8827" xr:uid="{882036B2-B0E1-4496-B25A-8A4AFFC644F1}"/>
    <cellStyle name="Migliaia 61 5 3" xfId="6920" xr:uid="{13DCA814-3617-4045-AD42-C7E91851F58F}"/>
    <cellStyle name="Migliaia 61 5 3 2" xfId="34906" xr:uid="{F7AA57BF-3EF1-4C7C-B3E2-2C820E14BC78}"/>
    <cellStyle name="Migliaia 61 5 3 3" xfId="25705" xr:uid="{17AF6A38-5D34-4D01-A1C7-9627A35DB34D}"/>
    <cellStyle name="Migliaia 61 5 3 4" xfId="11471" xr:uid="{100FD005-C653-4E94-9832-B6CB5F820317}"/>
    <cellStyle name="Migliaia 61 5 4" xfId="4028" xr:uid="{59BDD42F-F781-4454-8255-513BB77C07C5}"/>
    <cellStyle name="Migliaia 61 5 4 2" xfId="21657" xr:uid="{4B5FEAB9-874E-4556-8E03-1759D6062BDD}"/>
    <cellStyle name="Migliaia 61 5 4 2 2" xfId="34907" xr:uid="{EBBB591E-F88B-416A-84A4-A314827BB16B}"/>
    <cellStyle name="Migliaia 61 5 4 3" xfId="25706" xr:uid="{824A011F-9756-40BB-AFE4-6FD9978EB4AC}"/>
    <cellStyle name="Migliaia 61 5 4 4" xfId="32446" xr:uid="{06FB3FCF-DA6D-4F35-9B07-D9B10D6CC791}"/>
    <cellStyle name="Migliaia 61 5 4 5" xfId="48914" xr:uid="{D3730D6D-C3F0-40F3-B64E-B1F6E979D581}"/>
    <cellStyle name="Migliaia 61 5 4 6" xfId="50672" xr:uid="{1A1585A3-1AD8-43E7-B790-CA9E994123AB}"/>
    <cellStyle name="Migliaia 61 5 4 7" xfId="53688" xr:uid="{27D6BDFE-42B1-4D5B-B8D0-27803B0D297B}"/>
    <cellStyle name="Migliaia 61 5 4 8" xfId="11022" xr:uid="{D3600769-F52B-4789-823D-F0EEB9419250}"/>
    <cellStyle name="Migliaia 61 5 5" xfId="21161" xr:uid="{CEBFEBEE-3ED2-48A9-922E-6D68016BE61C}"/>
    <cellStyle name="Migliaia 61 5 5 2" xfId="34908" xr:uid="{BF4B3E32-E968-4403-AAB8-7C8206186DF3}"/>
    <cellStyle name="Migliaia 61 5 5 3" xfId="25707" xr:uid="{E771C8ED-CFE2-4492-8241-5714AA5089A5}"/>
    <cellStyle name="Migliaia 61 5 5 4" xfId="48915" xr:uid="{CDA3EC42-30B5-4F56-98E0-4C772F0902B6}"/>
    <cellStyle name="Migliaia 61 5 6" xfId="25708" xr:uid="{E7A37CE3-C923-4102-A0B2-834D5ADED750}"/>
    <cellStyle name="Migliaia 61 5 6 2" xfId="34909" xr:uid="{8D642170-905C-45D2-97CF-8003EA67CA3D}"/>
    <cellStyle name="Migliaia 61 5 7" xfId="34904" xr:uid="{49BAD9DB-CC1D-4F65-8AD0-A117B1EA021D}"/>
    <cellStyle name="Migliaia 61 5 8" xfId="25703" xr:uid="{B3181FC1-1F8A-4F33-A801-7CF73DC21014}"/>
    <cellStyle name="Migliaia 61 5 9" xfId="7637" xr:uid="{2FC052EA-1997-45F3-96CA-514ED9B0DCEF}"/>
    <cellStyle name="Migliaia 61 6" xfId="4029" xr:uid="{7843036D-5F9C-4B94-9673-F3D09FDFDC3A}"/>
    <cellStyle name="Migliaia 61 6 2" xfId="5755" xr:uid="{528A52E9-CB1C-4509-910B-0DCA97586AB6}"/>
    <cellStyle name="Migliaia 61 6 2 2" xfId="9995" xr:uid="{C5787F49-8B0F-4457-A22D-E1B813AEA941}"/>
    <cellStyle name="Migliaia 61 6 2 3" xfId="18120" xr:uid="{AF938DEB-7A05-452A-A809-42DDB3135A49}"/>
    <cellStyle name="Migliaia 61 6 2 4" xfId="21164" xr:uid="{24C520BA-335E-4E7A-B1C3-EF0FD3D89B65}"/>
    <cellStyle name="Migliaia 61 6 2 5" xfId="32490" xr:uid="{338C16A2-CAAA-458B-B161-678B2E3AE321}"/>
    <cellStyle name="Migliaia 61 6 2 6" xfId="16920" xr:uid="{5CFC8612-F4D7-428A-AAB7-AF7A49EA2B3D}"/>
    <cellStyle name="Migliaia 61 6 2 7" xfId="8822" xr:uid="{270B075D-51F2-4194-9B4F-AFC46893BFEF}"/>
    <cellStyle name="Migliaia 61 6 3" xfId="6921" xr:uid="{CFCDAB9B-8FD6-42EA-9778-2D578AA6385B}"/>
    <cellStyle name="Migliaia 61 6 3 2" xfId="35526" xr:uid="{EF0961F7-8F4C-4960-A7E8-CBB30D01A5CD}"/>
    <cellStyle name="Migliaia 61 6 3 2 2" xfId="40686" xr:uid="{00F13485-E727-4B1C-BF6E-58383B1CEE00}"/>
    <cellStyle name="Migliaia 61 6 3 2 3" xfId="45988" xr:uid="{174ED551-51B0-463E-AD6A-C01A05EBC464}"/>
    <cellStyle name="Migliaia 61 6 3 3" xfId="38035" xr:uid="{24E92506-4F7E-41CA-B6D5-1B799EF562FC}"/>
    <cellStyle name="Migliaia 61 6 3 4" xfId="43337" xr:uid="{4DC3C268-05FB-4790-8D3C-98804E937EAF}"/>
    <cellStyle name="Migliaia 61 6 3 5" xfId="9758" xr:uid="{01228820-5708-4FCA-BFED-9D4DF2EF0201}"/>
    <cellStyle name="Migliaia 61 6 4" xfId="21163" xr:uid="{F638DEA2-56C3-4E8F-9019-86A52E99F704}"/>
    <cellStyle name="Migliaia 61 6 4 2" xfId="34910" xr:uid="{911B879B-FF38-4060-B8AA-58B1D78B5608}"/>
    <cellStyle name="Migliaia 61 6 5" xfId="25709" xr:uid="{243832E8-FF7A-4A6E-83C1-F81F1D73C57F}"/>
    <cellStyle name="Migliaia 61 6 6" xfId="16919" xr:uid="{705669A9-F7B4-44D4-A8DD-29048D668C89}"/>
    <cellStyle name="Migliaia 61 6 7" xfId="7632" xr:uid="{C15AEB96-1D73-433E-830B-C3454E98636F}"/>
    <cellStyle name="Migliaia 61 7" xfId="4030" xr:uid="{923371A1-25D8-4D4A-A8EC-638D0638642C}"/>
    <cellStyle name="Migliaia 61 7 2" xfId="5756" xr:uid="{4F84D7A4-E967-463D-ADCB-70B0C70A4B53}"/>
    <cellStyle name="Migliaia 61 7 2 2" xfId="35527" xr:uid="{F0FC1F3F-BCF9-49D1-A515-90537134019B}"/>
    <cellStyle name="Migliaia 61 7 2 2 2" xfId="40687" xr:uid="{D6EDE895-312D-4CCA-83AB-53D97CB969CF}"/>
    <cellStyle name="Migliaia 61 7 2 2 3" xfId="45989" xr:uid="{00CC4F6B-308F-48E2-80E4-1049AA7D3C72}"/>
    <cellStyle name="Migliaia 61 7 2 3" xfId="38036" xr:uid="{99BCAA4C-343C-4767-899D-00AD05E57F94}"/>
    <cellStyle name="Migliaia 61 7 2 4" xfId="43338" xr:uid="{EC58482B-79EB-46F7-81B5-BA40DF13413E}"/>
    <cellStyle name="Migliaia 61 7 2 5" xfId="14350" xr:uid="{687FEAAC-214E-499D-9AE9-98BEEA8C760B}"/>
    <cellStyle name="Migliaia 61 7 3" xfId="6922" xr:uid="{99527448-33E1-424D-B900-5DC1597A49C2}"/>
    <cellStyle name="Migliaia 61 7 3 2" xfId="34911" xr:uid="{95887614-1277-49A4-8212-0CA3F6B6063B}"/>
    <cellStyle name="Migliaia 61 7 3 3" xfId="21165" xr:uid="{4A32058A-0177-42B9-9199-3071F4C47AF1}"/>
    <cellStyle name="Migliaia 61 7 4" xfId="25710" xr:uid="{56AD57FC-4925-423D-8819-35CAE435C3AD}"/>
    <cellStyle name="Migliaia 61 7 5" xfId="16921" xr:uid="{9D377FD8-51AA-4DE1-87AE-BDA43C107BB4}"/>
    <cellStyle name="Migliaia 61 7 6" xfId="8412" xr:uid="{DED0172F-6CD8-4D35-9279-1617C48D84AC}"/>
    <cellStyle name="Migliaia 61 8" xfId="4031" xr:uid="{4EB147DB-DDB2-4B0E-9BC3-DA5723F9928A}"/>
    <cellStyle name="Migliaia 61 8 2" xfId="5757" xr:uid="{F265A75F-DAAB-4E08-82F4-E77F7E7BB5EA}"/>
    <cellStyle name="Migliaia 61 8 2 2" xfId="35528" xr:uid="{3709D478-86D5-4332-ADDB-2E9933F77AC1}"/>
    <cellStyle name="Migliaia 61 8 2 2 2" xfId="40688" xr:uid="{5E8159E4-4583-46EC-83E1-238F22457C7C}"/>
    <cellStyle name="Migliaia 61 8 2 2 3" xfId="45990" xr:uid="{4C655FE7-3E35-4A4D-93A7-89B023CDD14A}"/>
    <cellStyle name="Migliaia 61 8 2 3" xfId="38037" xr:uid="{568B7109-B0B2-42A7-A2A5-E16D53E834A0}"/>
    <cellStyle name="Migliaia 61 8 2 4" xfId="43339" xr:uid="{28EDA2B4-2772-43FA-9D6C-879F990386D2}"/>
    <cellStyle name="Migliaia 61 8 2 5" xfId="14055" xr:uid="{7B1FC17B-4E12-4CC4-B6EB-A0DE5BA652D8}"/>
    <cellStyle name="Migliaia 61 8 3" xfId="6923" xr:uid="{93063E19-0A7F-4104-B41F-BFAF1351EA44}"/>
    <cellStyle name="Migliaia 61 8 3 2" xfId="34912" xr:uid="{E2274AA0-2D05-42A2-A345-49432008F1CA}"/>
    <cellStyle name="Migliaia 61 8 3 3" xfId="21166" xr:uid="{7846F36E-1D1D-4B71-9316-DC2227CB1367}"/>
    <cellStyle name="Migliaia 61 8 4" xfId="25711" xr:uid="{D0982C3A-89B7-489C-85C0-C440EE3FBC6C}"/>
    <cellStyle name="Migliaia 61 8 5" xfId="16922" xr:uid="{719B1348-34E8-4E03-8312-95FA16BD93AD}"/>
    <cellStyle name="Migliaia 61 8 6" xfId="8050" xr:uid="{4D27D3E2-1DDE-41E9-B67C-F187CF6E434D}"/>
    <cellStyle name="Migliaia 61 9" xfId="5742" xr:uid="{728D6198-5EC1-4445-9BEA-D67D8DAB3D1B}"/>
    <cellStyle name="Migliaia 61 9 2" xfId="34913" xr:uid="{B0939679-488D-4A55-953E-BB95251CEF84}"/>
    <cellStyle name="Migliaia 61 9 3" xfId="25712" xr:uid="{73CCF1B6-74F4-43E1-A883-01AC536EFA80}"/>
    <cellStyle name="Migliaia 61 9 4" xfId="17249" xr:uid="{3BB2D77D-06DF-4C41-B464-D075549DBEC4}"/>
    <cellStyle name="Migliaia 7" xfId="533" xr:uid="{00000000-0005-0000-0000-0000C9040000}"/>
    <cellStyle name="Migliaia 7 10" xfId="6924" xr:uid="{61B092CD-C41F-4B75-AC8B-CF7BC56C95F1}"/>
    <cellStyle name="Migliaia 7 10 2" xfId="34914" xr:uid="{F9C903D2-C941-4F32-9392-6A4BFC9F8291}"/>
    <cellStyle name="Migliaia 7 10 3" xfId="21167" xr:uid="{232AA0B6-0C94-4C20-85D0-94D33320AA6A}"/>
    <cellStyle name="Migliaia 7 11" xfId="4032" xr:uid="{03C07C10-7A73-4C43-8427-9F8DBACF9983}"/>
    <cellStyle name="Migliaia 7 11 2" xfId="25713" xr:uid="{E0C69586-F4F8-4BC1-953A-D79805FB893D}"/>
    <cellStyle name="Migliaia 7 12" xfId="7216" xr:uid="{230482AD-AFCF-4A24-AAEF-ECC0894F5821}"/>
    <cellStyle name="Migliaia 7 2" xfId="534" xr:uid="{00000000-0005-0000-0000-0000CA040000}"/>
    <cellStyle name="Migliaia 7 2 2" xfId="1946" xr:uid="{00000000-0005-0000-0000-0000CB040000}"/>
    <cellStyle name="Migliaia 7 2 2 2" xfId="5760" xr:uid="{3EF6181B-5B38-4CF6-A716-674262451153}"/>
    <cellStyle name="Migliaia 7 2 2 2 2" xfId="14421" xr:uid="{F2207600-1B8E-4ACA-9FFE-049BAF3BC9D0}"/>
    <cellStyle name="Migliaia 7 2 2 2 2 2" xfId="34917" xr:uid="{7696E196-1B85-453F-B749-97BA3B916F31}"/>
    <cellStyle name="Migliaia 7 2 2 2 3" xfId="18536" xr:uid="{5C7B91C4-CFBD-4958-AFAC-2BEB78542103}"/>
    <cellStyle name="Migliaia 7 2 2 2 4" xfId="21170" xr:uid="{EB0C5FC0-1174-4D25-A9A2-DEA43B0E2D46}"/>
    <cellStyle name="Migliaia 7 2 2 2 5" xfId="25716" xr:uid="{3F4685DA-5346-485D-87FE-BD058BF88A6D}"/>
    <cellStyle name="Migliaia 7 2 2 2 6" xfId="16923" xr:uid="{B834BFFA-E836-4338-A2C9-6850C7087C8C}"/>
    <cellStyle name="Migliaia 7 2 2 2 7" xfId="8829" xr:uid="{D1354021-FE2A-4131-99C3-3F9C1B8891B1}"/>
    <cellStyle name="Migliaia 7 2 2 3" xfId="6926" xr:uid="{20F55CC5-373D-4830-9120-15967E423B31}"/>
    <cellStyle name="Migliaia 7 2 2 3 2" xfId="35529" xr:uid="{38644B84-711D-49FF-B731-0394AD5C2091}"/>
    <cellStyle name="Migliaia 7 2 2 3 2 2" xfId="40689" xr:uid="{19108427-C0AB-432E-B609-16AF4DB8676F}"/>
    <cellStyle name="Migliaia 7 2 2 3 2 3" xfId="45991" xr:uid="{3E9F1638-A1C2-460C-B4E4-D9A169E6127C}"/>
    <cellStyle name="Migliaia 7 2 2 3 3" xfId="38038" xr:uid="{567DFE16-D86F-4F09-A222-8C05F463530F}"/>
    <cellStyle name="Migliaia 7 2 2 3 4" xfId="43340" xr:uid="{217BA644-F869-4CD7-B529-908FF4695AD2}"/>
    <cellStyle name="Migliaia 7 2 2 3 5" xfId="11648" xr:uid="{B91AFF78-A598-4FAF-BC54-2021B2AC833B}"/>
    <cellStyle name="Migliaia 7 2 2 4" xfId="4034" xr:uid="{328666BE-35AF-4130-A4C6-D36F2D5E3CA5}"/>
    <cellStyle name="Migliaia 7 2 2 4 2" xfId="21658" xr:uid="{EA5084DA-8144-4757-95B6-63ED22938136}"/>
    <cellStyle name="Migliaia 7 2 2 4 3" xfId="34916" xr:uid="{4216E3CE-217E-42DF-8EC6-5BC351E47A46}"/>
    <cellStyle name="Migliaia 7 2 2 4 4" xfId="47810" xr:uid="{BC5D0E42-E1B2-408F-929E-C520DCABC2DB}"/>
    <cellStyle name="Migliaia 7 2 2 4 5" xfId="50673" xr:uid="{AB88E030-1CFC-42C2-A98A-CAB7BF674B73}"/>
    <cellStyle name="Migliaia 7 2 2 4 6" xfId="53689" xr:uid="{F08A00AF-293E-4F82-B743-E2D74ECBB4C1}"/>
    <cellStyle name="Migliaia 7 2 2 4 7" xfId="11023" xr:uid="{9FD596E8-4523-4194-99F8-9C780A0B72B9}"/>
    <cellStyle name="Migliaia 7 2 2 5" xfId="21169" xr:uid="{EE587102-70CF-47CA-B4C6-F9CE7DB50892}"/>
    <cellStyle name="Migliaia 7 2 2 6" xfId="25715" xr:uid="{9D6201EF-5A46-46F7-9F31-1E8F0DD17B58}"/>
    <cellStyle name="Migliaia 7 2 2 7" xfId="7639" xr:uid="{E12B7ECD-C115-44FF-BA07-5B7D904114B2}"/>
    <cellStyle name="Migliaia 7 2 3" xfId="4035" xr:uid="{305EA2A1-8664-486C-9C60-5E43DE78BB7C}"/>
    <cellStyle name="Migliaia 7 2 3 2" xfId="5761" xr:uid="{DF455734-61CE-46AB-8D2D-70937A6FCE33}"/>
    <cellStyle name="Migliaia 7 2 3 2 2" xfId="35530" xr:uid="{B597BBCF-C52D-47C9-AE0D-F03170317C93}"/>
    <cellStyle name="Migliaia 7 2 3 2 2 2" xfId="40690" xr:uid="{0A0751E4-AA6E-4B7D-8F42-D7504E0DB9D1}"/>
    <cellStyle name="Migliaia 7 2 3 2 2 3" xfId="45992" xr:uid="{9F987A29-4661-4730-B27F-46BA37EE44A5}"/>
    <cellStyle name="Migliaia 7 2 3 2 3" xfId="38039" xr:uid="{4D2F0B96-F062-4840-B5CC-6B6E8C9A5D69}"/>
    <cellStyle name="Migliaia 7 2 3 2 4" xfId="43341" xr:uid="{DF8D672B-8BB3-4B65-A4B0-F18A85C5EDF6}"/>
    <cellStyle name="Migliaia 7 2 3 2 5" xfId="14354" xr:uid="{2EDA849A-D506-46EB-8BDA-C2BD602D72DC}"/>
    <cellStyle name="Migliaia 7 2 3 3" xfId="6927" xr:uid="{0098B76F-FC61-47B4-A884-068F15403A62}"/>
    <cellStyle name="Migliaia 7 2 3 3 2" xfId="34918" xr:uid="{8DC3D0E1-2139-41FF-814F-725EF1C83432}"/>
    <cellStyle name="Migliaia 7 2 3 3 3" xfId="21171" xr:uid="{847E21F6-F5BF-4CD3-BB97-EEF0348E6B97}"/>
    <cellStyle name="Migliaia 7 2 3 4" xfId="25717" xr:uid="{EB254CD7-1A59-487F-962D-211174759FAB}"/>
    <cellStyle name="Migliaia 7 2 3 5" xfId="16924" xr:uid="{AB334332-F294-4D6B-8B0B-B3B69CEA3353}"/>
    <cellStyle name="Migliaia 7 2 3 6" xfId="8416" xr:uid="{77C34BE6-5CBF-4312-BDB9-028A81C3BE0F}"/>
    <cellStyle name="Migliaia 7 2 4" xfId="5759" xr:uid="{98E6110F-DCCB-4E8F-ACCD-92F873333EDC}"/>
    <cellStyle name="Migliaia 7 2 4 2" xfId="14059" xr:uid="{5649E5FC-9752-4ADC-8421-823A086507B4}"/>
    <cellStyle name="Migliaia 7 2 4 2 2" xfId="34919" xr:uid="{125E609A-BB0F-4600-8C0B-EEAD7C932D9D}"/>
    <cellStyle name="Migliaia 7 2 4 3" xfId="18680" xr:uid="{02DA4B1E-027F-4B44-9F79-1C83FB22D5B3}"/>
    <cellStyle name="Migliaia 7 2 4 4" xfId="21172" xr:uid="{09127FEF-F0E2-4747-B509-02B4490D0014}"/>
    <cellStyle name="Migliaia 7 2 4 5" xfId="25718" xr:uid="{FBEDF00D-D5D7-47A3-85CC-3615C2C28401}"/>
    <cellStyle name="Migliaia 7 2 4 6" xfId="16925" xr:uid="{BA1AC372-2C04-4640-8A35-6348DA146331}"/>
    <cellStyle name="Migliaia 7 2 4 7" xfId="8055" xr:uid="{3E8E3EB8-AB9A-4819-8147-966127DCAF4B}"/>
    <cellStyle name="Migliaia 7 2 5" xfId="6925" xr:uid="{DB5C0626-FFB8-4613-9035-8BD2ED2634C2}"/>
    <cellStyle name="Migliaia 7 2 5 2" xfId="34920" xr:uid="{4A895034-02B2-4D00-9625-C68D82C6ADF7}"/>
    <cellStyle name="Migliaia 7 2 5 3" xfId="25719" xr:uid="{40B59021-D6F4-42F5-B459-C91109A928B0}"/>
    <cellStyle name="Migliaia 7 2 5 4" xfId="13161" xr:uid="{ED0D5928-6759-4D42-9BB7-FEAA47B4F0A6}"/>
    <cellStyle name="Migliaia 7 2 6" xfId="4033" xr:uid="{B562C66B-87E0-4845-90E8-4EC9B12C5C3A}"/>
    <cellStyle name="Migliaia 7 2 6 2" xfId="34921" xr:uid="{04B2B15F-50B9-4637-827B-C2D2DF967CB7}"/>
    <cellStyle name="Migliaia 7 2 6 3" xfId="25720" xr:uid="{59C6A803-8EC4-4DF3-B0BF-546A7F6CEE2F}"/>
    <cellStyle name="Migliaia 7 2 6 4" xfId="21168" xr:uid="{ABC6E3AC-9F0E-4063-B382-E2EEC4BDD650}"/>
    <cellStyle name="Migliaia 7 2 7" xfId="34915" xr:uid="{84A899E4-FB01-4DEC-8739-CBDED18DCB9E}"/>
    <cellStyle name="Migliaia 7 2 8" xfId="25714" xr:uid="{25B91A4E-EBE8-4FE7-911F-A4C8DC5553FE}"/>
    <cellStyle name="Migliaia 7 2 9" xfId="7217" xr:uid="{2EB49AAD-82D2-40C7-B25D-192B5920AFE2}"/>
    <cellStyle name="Migliaia 7 3" xfId="535" xr:uid="{00000000-0005-0000-0000-0000CC040000}"/>
    <cellStyle name="Migliaia 7 3 10" xfId="25721" xr:uid="{016C1DEC-6B50-4A86-8382-B58BDA1581BE}"/>
    <cellStyle name="Migliaia 7 3 11" xfId="16926" xr:uid="{CE677D82-1BCF-4656-9055-F6FEE1BBC251}"/>
    <cellStyle name="Migliaia 7 3 12" xfId="7218" xr:uid="{C1E59D67-2B5F-48BD-8117-D4819C37237B}"/>
    <cellStyle name="Migliaia 7 3 2" xfId="536" xr:uid="{00000000-0005-0000-0000-0000CD040000}"/>
    <cellStyle name="Migliaia 7 3 2 2" xfId="1947" xr:uid="{00000000-0005-0000-0000-0000CE040000}"/>
    <cellStyle name="Migliaia 7 3 2 2 2" xfId="5764" xr:uid="{D4E3C42F-282F-418F-B05D-EFAAA261656A}"/>
    <cellStyle name="Migliaia 7 3 2 2 2 2" xfId="18537" xr:uid="{B6CC7C17-EE50-4325-BE80-05CA88C7AE38}"/>
    <cellStyle name="Migliaia 7 3 2 2 2 2 2" xfId="21899" xr:uid="{5EBF9394-95F2-4DA2-9D84-F6A3235EE0C6}"/>
    <cellStyle name="Migliaia 7 3 2 2 2 2 3" xfId="34925" xr:uid="{1447BEBD-BFEF-486E-88AA-DDE8BDF1A595}"/>
    <cellStyle name="Migliaia 7 3 2 2 2 3" xfId="25724" xr:uid="{9C5DD779-119A-45B1-91FF-6066E36DAFE7}"/>
    <cellStyle name="Migliaia 7 3 2 2 2 4" xfId="48486" xr:uid="{E50B8E0D-2B33-48E3-8B47-B9117DFBA1F5}"/>
    <cellStyle name="Migliaia 7 3 2 2 2 5" xfId="50927" xr:uid="{75B7DACC-659B-4210-ADBD-B428952B08AC}"/>
    <cellStyle name="Migliaia 7 3 2 2 2 6" xfId="53943" xr:uid="{70B5C883-BE57-4512-8EFF-0B69C37F05F1}"/>
    <cellStyle name="Migliaia 7 3 2 2 2 7" xfId="17698" xr:uid="{C7638CB5-036A-4C03-A08E-A5823D20981B}"/>
    <cellStyle name="Migliaia 7 3 2 2 2 8" xfId="12119" xr:uid="{C1ECF8D3-0619-4D1E-BF40-99A6C9CAA123}"/>
    <cellStyle name="Migliaia 7 3 2 2 3" xfId="6930" xr:uid="{86AD5B28-3C98-4473-AE49-406656A02C2F}"/>
    <cellStyle name="Migliaia 7 3 2 2 3 2" xfId="34924" xr:uid="{362E7226-9AC5-4299-BE2A-25D24DF5636B}"/>
    <cellStyle name="Migliaia 7 3 2 2 3 3" xfId="11491" xr:uid="{2A4527D3-0C94-4AF4-9081-107ADD7B35E9}"/>
    <cellStyle name="Migliaia 7 3 2 2 4" xfId="4038" xr:uid="{C4D1A235-C67C-43B2-B135-FF454A9D4086}"/>
    <cellStyle name="Migliaia 7 3 2 2 4 2" xfId="21659" xr:uid="{042A3EB6-9312-49BC-851D-0E760D8DE69B}"/>
    <cellStyle name="Migliaia 7 3 2 2 4 3" xfId="46713" xr:uid="{BC473B6E-D122-41E5-A2C2-7AEA604BCB55}"/>
    <cellStyle name="Migliaia 7 3 2 2 4 4" xfId="50674" xr:uid="{DF990489-A703-4F09-9906-4C5AEC7E7278}"/>
    <cellStyle name="Migliaia 7 3 2 2 4 5" xfId="53690" xr:uid="{B041DCD5-B686-4B39-9A8F-EFC4EB506F96}"/>
    <cellStyle name="Migliaia 7 3 2 2 4 6" xfId="11024" xr:uid="{15E25158-A61F-48C4-8025-67655553BF21}"/>
    <cellStyle name="Migliaia 7 3 2 2 5" xfId="21175" xr:uid="{B76D01AF-2FE0-46E4-B006-29DBA89AE0F1}"/>
    <cellStyle name="Migliaia 7 3 2 2 6" xfId="25723" xr:uid="{E7E9979B-AA86-4720-996E-0A5477CD1F85}"/>
    <cellStyle name="Migliaia 7 3 2 2 7" xfId="8831" xr:uid="{60430BCD-63F5-4346-A76B-54513E4C18F7}"/>
    <cellStyle name="Migliaia 7 3 2 3" xfId="5763" xr:uid="{BB3B9352-54B1-4188-AF29-84609E44CCA3}"/>
    <cellStyle name="Migliaia 7 3 2 3 2" xfId="12394" xr:uid="{74440ED3-2043-4932-BC85-D4A28CE5CE84}"/>
    <cellStyle name="Migliaia 7 3 2 3 2 2" xfId="34926" xr:uid="{096EEB5E-8646-415D-A9F8-6F3B1FC7F185}"/>
    <cellStyle name="Migliaia 7 3 2 3 3" xfId="12120" xr:uid="{FADACBE6-2D6E-43F2-BA43-904A52E35440}"/>
    <cellStyle name="Migliaia 7 3 2 3 4" xfId="21176" xr:uid="{06CF5E60-AC2F-4EAE-A5A5-889B7D0D5F07}"/>
    <cellStyle name="Migliaia 7 3 2 3 5" xfId="25725" xr:uid="{567FB5E5-2E5F-4889-A641-B9BF62A40245}"/>
    <cellStyle name="Migliaia 7 3 2 3 6" xfId="16927" xr:uid="{A046EB57-70E0-46F3-8E11-BB2B3BE7C4F2}"/>
    <cellStyle name="Migliaia 7 3 2 3 7" xfId="8057" xr:uid="{434BA227-4E81-411B-B244-B65AA565C136}"/>
    <cellStyle name="Migliaia 7 3 2 4" xfId="6929" xr:uid="{FA97F6C9-5E93-45DF-A565-B2F6889E2A60}"/>
    <cellStyle name="Migliaia 7 3 2 4 2" xfId="18115" xr:uid="{134D47BF-81BB-4357-87E7-A02211D27679}"/>
    <cellStyle name="Migliaia 7 3 2 4 2 2" xfId="34927" xr:uid="{70063C56-F881-4D22-9533-2352319641DE}"/>
    <cellStyle name="Migliaia 7 3 2 4 3" xfId="25726" xr:uid="{81B4A76E-6A4B-4B74-9B84-91BF2E5E3497}"/>
    <cellStyle name="Migliaia 7 3 2 4 4" xfId="17252" xr:uid="{A6549061-8A07-420B-A9C7-905319C15174}"/>
    <cellStyle name="Migliaia 7 3 2 4 5" xfId="11472" xr:uid="{EEA0078B-7C80-41BE-80F1-D6AF42524B19}"/>
    <cellStyle name="Migliaia 7 3 2 5" xfId="4037" xr:uid="{863F0336-2742-473E-AA34-4F5748070AC0}"/>
    <cellStyle name="Migliaia 7 3 2 5 2" xfId="34928" xr:uid="{376CFBEF-1454-422F-8A87-02AE5F9A21FA}"/>
    <cellStyle name="Migliaia 7 3 2 5 3" xfId="25727" xr:uid="{CED4EC04-A58C-4E71-AB1A-AF4D70506EF7}"/>
    <cellStyle name="Migliaia 7 3 2 5 4" xfId="17074" xr:uid="{65A7FA58-20DB-428F-AF92-956E1F6C9144}"/>
    <cellStyle name="Migliaia 7 3 2 6" xfId="21174" xr:uid="{98169906-953A-4B8E-B73B-FAC99E8514CD}"/>
    <cellStyle name="Migliaia 7 3 2 6 2" xfId="34929" xr:uid="{B49A1273-4904-40E9-A0DE-1533A1A8257D}"/>
    <cellStyle name="Migliaia 7 3 2 6 3" xfId="25728" xr:uid="{3EDA23A4-0F7B-4C0C-8F14-5F6E05195D78}"/>
    <cellStyle name="Migliaia 7 3 2 7" xfId="34923" xr:uid="{831C050F-0333-42ED-A588-BAE6B43D161A}"/>
    <cellStyle name="Migliaia 7 3 2 8" xfId="25722" xr:uid="{E2E906EC-8F47-4910-8846-F82C92B0FE83}"/>
    <cellStyle name="Migliaia 7 3 2 9" xfId="7641" xr:uid="{F968551E-B36E-459E-9503-1E9B3BEABA72}"/>
    <cellStyle name="Migliaia 7 3 3" xfId="4039" xr:uid="{4E100DFE-81D4-4D91-90A0-4F3B02A793FB}"/>
    <cellStyle name="Migliaia 7 3 3 2" xfId="5765" xr:uid="{CD575548-72E2-49CB-8034-C5BDBB5C835A}"/>
    <cellStyle name="Migliaia 7 3 3 2 2" xfId="9998" xr:uid="{500B2439-83B3-47BF-B7D1-A2C0FFC9867B}"/>
    <cellStyle name="Migliaia 7 3 3 2 2 2" xfId="34931" xr:uid="{4C9AA774-1B89-4613-B309-63DBDAAFF26C}"/>
    <cellStyle name="Migliaia 7 3 3 2 3" xfId="18278" xr:uid="{DC68FD8B-8543-4B71-BAD2-5D30774F4929}"/>
    <cellStyle name="Migliaia 7 3 3 2 4" xfId="21178" xr:uid="{B85F0E44-2EDA-4219-A41A-E20FD189712C}"/>
    <cellStyle name="Migliaia 7 3 3 2 5" xfId="25730" xr:uid="{234A9E0D-3CD6-4572-A50C-38D3DEE5F591}"/>
    <cellStyle name="Migliaia 7 3 3 2 6" xfId="16929" xr:uid="{2FEBD18B-D26C-4519-8670-2F623DCEEE87}"/>
    <cellStyle name="Migliaia 7 3 3 2 7" xfId="8830" xr:uid="{DB521E82-D4D3-42E3-A7C1-9234BE8B6594}"/>
    <cellStyle name="Migliaia 7 3 3 3" xfId="6931" xr:uid="{1428600E-24D1-4A85-BEE5-D0A7EC1096BA}"/>
    <cellStyle name="Migliaia 7 3 3 3 2" xfId="34932" xr:uid="{BAA4EB81-E757-4B42-B94B-1A0EC07342C6}"/>
    <cellStyle name="Migliaia 7 3 3 3 3" xfId="25731" xr:uid="{1C6D0B49-98CC-4609-BD74-66420AD42C58}"/>
    <cellStyle name="Migliaia 7 3 3 3 4" xfId="9761" xr:uid="{FC072D74-701C-4024-8480-5757A28EB4CE}"/>
    <cellStyle name="Migliaia 7 3 3 4" xfId="21177" xr:uid="{641F9CF6-0200-46E3-B8DA-54042C09BE81}"/>
    <cellStyle name="Migliaia 7 3 3 4 2" xfId="34933" xr:uid="{5E0AA3A0-4905-45F5-843B-7F04894F2A0F}"/>
    <cellStyle name="Migliaia 7 3 3 4 3" xfId="25732" xr:uid="{A6BCAF6F-683A-4E7C-8212-4316A9358C00}"/>
    <cellStyle name="Migliaia 7 3 3 4 4" xfId="48916" xr:uid="{FC008CDF-5E04-4552-9358-B504C44D416B}"/>
    <cellStyle name="Migliaia 7 3 3 5" xfId="25733" xr:uid="{F7B02EE2-9B81-4836-A554-CA6B97F772F3}"/>
    <cellStyle name="Migliaia 7 3 3 5 2" xfId="34934" xr:uid="{C05ACDFB-C198-48D7-B25C-688253F41A2A}"/>
    <cellStyle name="Migliaia 7 3 3 5 3" xfId="48917" xr:uid="{04821ABD-71F2-4066-9D65-B32EB02EDF3F}"/>
    <cellStyle name="Migliaia 7 3 3 6" xfId="34930" xr:uid="{0340F727-B03D-4520-8E76-4C70A4AE94DD}"/>
    <cellStyle name="Migliaia 7 3 3 7" xfId="25729" xr:uid="{AE714692-4DF2-4BDA-BE57-9D971F52632F}"/>
    <cellStyle name="Migliaia 7 3 3 8" xfId="16928" xr:uid="{E06D9F81-473C-4B1C-97B0-4CE9DDE77B57}"/>
    <cellStyle name="Migliaia 7 3 3 9" xfId="7640" xr:uid="{AF123FBA-F4AB-469A-8823-587F3C41B0A9}"/>
    <cellStyle name="Migliaia 7 3 4" xfId="4040" xr:uid="{333A6446-58D5-428E-B4C0-4469AC20C007}"/>
    <cellStyle name="Migliaia 7 3 4 2" xfId="5766" xr:uid="{E1BD2161-8F9E-4993-A555-19F8AD9A7D29}"/>
    <cellStyle name="Migliaia 7 3 4 2 2" xfId="14481" xr:uid="{77473D01-E2F8-436E-B505-F4ED9931A4F0}"/>
    <cellStyle name="Migliaia 7 3 4 2 3" xfId="18573" xr:uid="{7A3134D0-6484-402B-BA40-243D07293125}"/>
    <cellStyle name="Migliaia 7 3 4 2 4" xfId="21180" xr:uid="{8DEC51B5-0B8F-4CF8-9CC5-E7D92063BCED}"/>
    <cellStyle name="Migliaia 7 3 4 2 5" xfId="32491" xr:uid="{B735E686-C52A-4C1C-B894-41E4CDC9F416}"/>
    <cellStyle name="Migliaia 7 3 4 2 6" xfId="16931" xr:uid="{1E179349-2182-4965-B82A-FCF7D59E0E8B}"/>
    <cellStyle name="Migliaia 7 3 4 2 7" xfId="8904" xr:uid="{12D2854A-3B7F-42C2-9837-DD62434C0D47}"/>
    <cellStyle name="Migliaia 7 3 4 3" xfId="6932" xr:uid="{A08F6748-4D51-446C-94C3-6D6B7E0EB054}"/>
    <cellStyle name="Migliaia 7 3 4 3 2" xfId="35531" xr:uid="{9889D086-6D1A-4B32-922C-78794C8AE359}"/>
    <cellStyle name="Migliaia 7 3 4 3 2 2" xfId="40691" xr:uid="{F8DFF7FE-02D7-409B-A254-932283DBF55E}"/>
    <cellStyle name="Migliaia 7 3 4 3 2 3" xfId="45993" xr:uid="{671D08D4-0D3E-43E5-9667-93BA7E101D8E}"/>
    <cellStyle name="Migliaia 7 3 4 3 3" xfId="38040" xr:uid="{B0A49DCD-F892-4F54-9B82-47A274F8E2CD}"/>
    <cellStyle name="Migliaia 7 3 4 3 4" xfId="43342" xr:uid="{C159BC6E-83BA-4A67-AC06-8015AC840BC6}"/>
    <cellStyle name="Migliaia 7 3 4 3 5" xfId="13729" xr:uid="{5358D2FD-16D6-4730-B7EF-B0DB26207016}"/>
    <cellStyle name="Migliaia 7 3 4 4" xfId="21179" xr:uid="{18E3FE86-8C0C-473D-9078-5ED056BF0F3B}"/>
    <cellStyle name="Migliaia 7 3 4 4 2" xfId="34935" xr:uid="{74AAE4EF-9CD6-4EEA-A843-47F3FC757B7A}"/>
    <cellStyle name="Migliaia 7 3 4 5" xfId="25734" xr:uid="{FF922706-B093-429B-9D57-1A66D91B6F3D}"/>
    <cellStyle name="Migliaia 7 3 4 6" xfId="16930" xr:uid="{542DA04C-734F-4135-8190-1DDECD2CDA00}"/>
    <cellStyle name="Migliaia 7 3 4 7" xfId="7714" xr:uid="{5F2C1F4C-CA46-4F47-BAB7-96FC03B5E5DA}"/>
    <cellStyle name="Migliaia 7 3 5" xfId="4041" xr:uid="{8AFF810F-FF20-48D0-9403-B4C4BD1B873E}"/>
    <cellStyle name="Migliaia 7 3 5 2" xfId="5767" xr:uid="{9B8F1404-B125-41F3-8C79-BF58551CEA0C}"/>
    <cellStyle name="Migliaia 7 3 5 2 2" xfId="35532" xr:uid="{8AB7F7C4-10CF-4EC6-8C96-6C88FBC826AE}"/>
    <cellStyle name="Migliaia 7 3 5 2 2 2" xfId="40692" xr:uid="{A4C21D09-CAF3-4602-91FB-4C69B3B1919E}"/>
    <cellStyle name="Migliaia 7 3 5 2 2 3" xfId="45994" xr:uid="{D5EE4060-ADFB-43E6-9F60-48B9FD02CECC}"/>
    <cellStyle name="Migliaia 7 3 5 2 3" xfId="38041" xr:uid="{D24C5A5D-D7F6-4E74-8D59-DD325ED4FE5B}"/>
    <cellStyle name="Migliaia 7 3 5 2 4" xfId="43343" xr:uid="{604B0F48-EE26-4DB4-A735-DC1AE2A22842}"/>
    <cellStyle name="Migliaia 7 3 5 2 5" xfId="14355" xr:uid="{0BAB9655-9E72-44CF-8899-566D0A35F98D}"/>
    <cellStyle name="Migliaia 7 3 5 3" xfId="6933" xr:uid="{9D989CE6-4BD3-41ED-B5D0-3C3B96A43034}"/>
    <cellStyle name="Migliaia 7 3 5 3 2" xfId="34936" xr:uid="{F979A7B7-5EF3-4A82-A766-71F64BFD334F}"/>
    <cellStyle name="Migliaia 7 3 5 3 3" xfId="21181" xr:uid="{47261A4D-8045-4159-90CF-C02E382EC933}"/>
    <cellStyle name="Migliaia 7 3 5 4" xfId="25735" xr:uid="{F65B540E-88FF-4352-ABA8-A4729D3D4263}"/>
    <cellStyle name="Migliaia 7 3 5 5" xfId="16932" xr:uid="{7286EE64-0545-4882-BC94-DE58CAA562C0}"/>
    <cellStyle name="Migliaia 7 3 5 6" xfId="8417" xr:uid="{DF484419-54B5-4B2D-AD1A-FB850ED279DE}"/>
    <cellStyle name="Migliaia 7 3 6" xfId="5762" xr:uid="{C437E233-4560-4CFE-A604-096AE3089A83}"/>
    <cellStyle name="Migliaia 7 3 6 2" xfId="14060" xr:uid="{1D07E5C2-BB00-4728-B308-6B680BE7B667}"/>
    <cellStyle name="Migliaia 7 3 6 2 2" xfId="34937" xr:uid="{2FFFC310-F243-42C7-806F-E0BE5EFB626D}"/>
    <cellStyle name="Migliaia 7 3 6 3" xfId="18599" xr:uid="{ACB9E28A-A7B3-4580-9E2C-F2909A630F55}"/>
    <cellStyle name="Migliaia 7 3 6 4" xfId="21182" xr:uid="{3ED80A40-9F06-43A2-B25D-B3F688153929}"/>
    <cellStyle name="Migliaia 7 3 6 5" xfId="25736" xr:uid="{732626AC-A86B-463F-AC48-AE2238B34A57}"/>
    <cellStyle name="Migliaia 7 3 6 6" xfId="16933" xr:uid="{B284ECE5-26BD-429F-9896-F132CD493E44}"/>
    <cellStyle name="Migliaia 7 3 6 7" xfId="8056" xr:uid="{265032EB-3DDC-4BAE-8316-84A5AA5A449B}"/>
    <cellStyle name="Migliaia 7 3 7" xfId="6928" xr:uid="{D6053B9C-72F6-4438-8894-97705D338C55}"/>
    <cellStyle name="Migliaia 7 3 7 2" xfId="34938" xr:uid="{C40536E3-C5EB-4C1D-8DC0-7AB4ED8FA353}"/>
    <cellStyle name="Migliaia 7 3 7 3" xfId="25737" xr:uid="{EB8306FC-212E-4B14-987F-1CE84C5CD2F0}"/>
    <cellStyle name="Migliaia 7 3 7 4" xfId="11215" xr:uid="{F4AE3AF8-6746-421D-AAB5-A362B84859C0}"/>
    <cellStyle name="Migliaia 7 3 8" xfId="4036" xr:uid="{D7676ACD-2BE0-4B74-95B3-F2F384CED63A}"/>
    <cellStyle name="Migliaia 7 3 8 2" xfId="34939" xr:uid="{36C0576D-9293-4343-8B42-5965193BE881}"/>
    <cellStyle name="Migliaia 7 3 8 3" xfId="25738" xr:uid="{A74ACDE5-AFB7-4DD0-AD3D-7C10CA8C2F99}"/>
    <cellStyle name="Migliaia 7 3 8 4" xfId="17075" xr:uid="{7E5CFBA7-E653-4B6D-A471-8445142D907B}"/>
    <cellStyle name="Migliaia 7 3 9" xfId="21173" xr:uid="{F1DF6389-1175-4487-B06C-CE7DA86C599C}"/>
    <cellStyle name="Migliaia 7 3 9 2" xfId="34922" xr:uid="{9B70D1FC-DA35-48E4-9424-ABDD1949DF34}"/>
    <cellStyle name="Migliaia 7 4" xfId="1948" xr:uid="{00000000-0005-0000-0000-0000CF040000}"/>
    <cellStyle name="Migliaia 7 4 10" xfId="7642" xr:uid="{284967FE-0B41-4D4A-B1C2-56B833070650}"/>
    <cellStyle name="Migliaia 7 4 2" xfId="1949" xr:uid="{00000000-0005-0000-0000-0000D0040000}"/>
    <cellStyle name="Migliaia 7 4 2 2" xfId="5769" xr:uid="{BCC4ADDC-E696-4619-9C43-5BEF7B9B1A5C}"/>
    <cellStyle name="Migliaia 7 4 2 2 2" xfId="34942" xr:uid="{24A19BAA-0F0B-44A8-B1E3-BD388C38FD9F}"/>
    <cellStyle name="Migliaia 7 4 2 2 3" xfId="25741" xr:uid="{00F8939D-4D52-442A-941F-1F311B439070}"/>
    <cellStyle name="Migliaia 7 4 2 2 4" xfId="9224" xr:uid="{E0D91B60-6609-4275-9876-DE8D46B21805}"/>
    <cellStyle name="Migliaia 7 4 2 3" xfId="4043" xr:uid="{45C78FEA-24A0-4636-B85D-9D9682CD9342}"/>
    <cellStyle name="Migliaia 7 4 2 3 2" xfId="34943" xr:uid="{FD327BFA-FBCC-49CF-9907-9D9FCBA09AEF}"/>
    <cellStyle name="Migliaia 7 4 2 3 3" xfId="25742" xr:uid="{66273B2F-C2EC-4D2A-B186-B838A3E47B33}"/>
    <cellStyle name="Migliaia 7 4 2 3 4" xfId="12121" xr:uid="{4A44E759-3680-4FB1-AD71-1A18A63FB42A}"/>
    <cellStyle name="Migliaia 7 4 2 4" xfId="11474" xr:uid="{44091CC9-3356-414E-9EE5-5805FB802B1D}"/>
    <cellStyle name="Migliaia 7 4 2 4 2" xfId="34941" xr:uid="{71E2EFD0-A01C-4738-BB9D-0F39B7607823}"/>
    <cellStyle name="Migliaia 7 4 2 5" xfId="11026" xr:uid="{7F30082E-B710-4294-8F4A-F165C0AB2CD8}"/>
    <cellStyle name="Migliaia 7 4 2 5 2" xfId="21661" xr:uid="{A8713343-CF08-43BB-8DC4-E7C0E41C586B}"/>
    <cellStyle name="Migliaia 7 4 2 5 3" xfId="47906" xr:uid="{6935B14C-E0A5-458B-BFF3-3AAA574E2782}"/>
    <cellStyle name="Migliaia 7 4 2 5 4" xfId="50676" xr:uid="{341016E2-309D-4741-94DD-439775693639}"/>
    <cellStyle name="Migliaia 7 4 2 5 5" xfId="53692" xr:uid="{01761FC6-AD14-45BE-BE68-5E764F467EA6}"/>
    <cellStyle name="Migliaia 7 4 2 6" xfId="21184" xr:uid="{C1563589-507A-444D-B015-23C04AE28118}"/>
    <cellStyle name="Migliaia 7 4 2 7" xfId="25740" xr:uid="{09CB849A-A4EB-4046-902E-EF02E1070207}"/>
    <cellStyle name="Migliaia 7 4 2 8" xfId="8832" xr:uid="{CA0200E7-161F-4309-8673-A6D16D9404DE}"/>
    <cellStyle name="Migliaia 7 4 3" xfId="5768" xr:uid="{835577E3-A207-477A-8D61-CDF29FE2CF12}"/>
    <cellStyle name="Migliaia 7 4 3 2" xfId="18279" xr:uid="{3919C56D-05D8-4D8C-9056-56D65E2A9B82}"/>
    <cellStyle name="Migliaia 7 4 3 2 2" xfId="34944" xr:uid="{BD630D7A-79E0-4CB9-8B60-F54BCEFEF6AF}"/>
    <cellStyle name="Migliaia 7 4 3 3" xfId="25743" xr:uid="{382B86CB-EB01-451A-B2D0-872D8AEFCC6E}"/>
    <cellStyle name="Migliaia 7 4 3 4" xfId="17073" xr:uid="{30857EB3-17F6-47C5-AADA-930ABF2E6BE6}"/>
    <cellStyle name="Migliaia 7 4 3 5" xfId="9225" xr:uid="{2FB9A5FE-A2BD-48D4-9AC2-F2BFFC35F869}"/>
    <cellStyle name="Migliaia 7 4 4" xfId="6934" xr:uid="{4736DBD1-8E8B-4099-BBBA-7F65146D4C5A}"/>
    <cellStyle name="Migliaia 7 4 4 2" xfId="34945" xr:uid="{B66D6F01-CCF9-40B3-BC9B-9D10A94AFE7A}"/>
    <cellStyle name="Migliaia 7 4 4 3" xfId="25744" xr:uid="{72D6DCA4-79C7-4F41-BB16-382D40323FDA}"/>
    <cellStyle name="Migliaia 7 4 4 4" xfId="12122" xr:uid="{36EC17CA-E8DA-42C7-962D-B501FF63D8BF}"/>
    <cellStyle name="Migliaia 7 4 5" xfId="4042" xr:uid="{A0FB0745-B555-42F7-9AC1-EF73EB14644A}"/>
    <cellStyle name="Migliaia 7 4 5 2" xfId="34946" xr:uid="{6184CCE0-8887-421F-A1D7-AAD1CD1155B9}"/>
    <cellStyle name="Migliaia 7 4 5 3" xfId="25745" xr:uid="{4A791A04-8413-4C2A-96B0-7477894E610D}"/>
    <cellStyle name="Migliaia 7 4 5 4" xfId="11473" xr:uid="{B48AF800-BF15-479C-BBAB-D569F07A0813}"/>
    <cellStyle name="Migliaia 7 4 6" xfId="11025" xr:uid="{3FF9851A-2570-4765-B21D-6CC5C4D282EF}"/>
    <cellStyle name="Migliaia 7 4 6 2" xfId="21660" xr:uid="{BE55732C-FE70-44B1-9CCC-9754B8BA345C}"/>
    <cellStyle name="Migliaia 7 4 6 2 2" xfId="34947" xr:uid="{C95C3BFA-7057-478F-832A-7DC8ECC80F6A}"/>
    <cellStyle name="Migliaia 7 4 6 3" xfId="25746" xr:uid="{615CBBC9-7310-4D53-B0D2-4479D5284AC0}"/>
    <cellStyle name="Migliaia 7 4 6 4" xfId="48548" xr:uid="{DF142C3C-7347-4F66-A5DE-D11554943DFC}"/>
    <cellStyle name="Migliaia 7 4 6 5" xfId="48918" xr:uid="{A17D265A-909F-4F80-9975-CE0D277E0D5E}"/>
    <cellStyle name="Migliaia 7 4 6 6" xfId="50675" xr:uid="{A90BB730-DDD1-4F17-A225-9DBCB2555F45}"/>
    <cellStyle name="Migliaia 7 4 6 7" xfId="53691" xr:uid="{1FFBEC8D-0123-4BAF-8922-9A9C26721AFE}"/>
    <cellStyle name="Migliaia 7 4 7" xfId="21183" xr:uid="{6DF9D8E7-B1F9-4647-BA1C-D168040BFE45}"/>
    <cellStyle name="Migliaia 7 4 7 2" xfId="34948" xr:uid="{5AF1FFBA-600D-4CB9-ACC8-B09D3BB0B6E5}"/>
    <cellStyle name="Migliaia 7 4 7 3" xfId="25747" xr:uid="{5BD4A82C-F5B7-44C7-807D-533711C881C6}"/>
    <cellStyle name="Migliaia 7 4 8" xfId="34940" xr:uid="{CC5DB62B-5A21-48AB-8B14-3550B9827287}"/>
    <cellStyle name="Migliaia 7 4 9" xfId="25739" xr:uid="{924E559B-857D-4D43-932F-5AC33F3B9DA4}"/>
    <cellStyle name="Migliaia 7 5" xfId="1950" xr:uid="{00000000-0005-0000-0000-0000D1040000}"/>
    <cellStyle name="Migliaia 7 5 2" xfId="5770" xr:uid="{002632B1-AB3C-4763-9AAF-83AA2D4BEB81}"/>
    <cellStyle name="Migliaia 7 5 2 2" xfId="18538" xr:uid="{DA575B2F-5F7A-4240-AF6E-AA6D316B2F61}"/>
    <cellStyle name="Migliaia 7 5 2 2 2" xfId="34950" xr:uid="{CE367DD4-8EF1-4308-A4FE-7AD69CC2F5BF}"/>
    <cellStyle name="Migliaia 7 5 2 3" xfId="21186" xr:uid="{84546DF0-23A7-426F-ABD8-56BE641DCD71}"/>
    <cellStyle name="Migliaia 7 5 2 4" xfId="25749" xr:uid="{69159985-0868-4659-B986-FC193B2E950D}"/>
    <cellStyle name="Migliaia 7 5 2 5" xfId="16934" xr:uid="{E896F8FB-FC1C-4BD3-9344-517F1DCDCB20}"/>
    <cellStyle name="Migliaia 7 5 2 6" xfId="8833" xr:uid="{E7092D9C-9F64-4E2F-B624-016CC0937387}"/>
    <cellStyle name="Migliaia 7 5 3" xfId="6935" xr:uid="{E1918868-936D-42BD-ADC3-E03688033D38}"/>
    <cellStyle name="Migliaia 7 5 3 2" xfId="34951" xr:uid="{BC16B10C-3593-49B2-84C7-B52FA1470FAB}"/>
    <cellStyle name="Migliaia 7 5 3 3" xfId="25750" xr:uid="{AFB8E326-B577-41C5-9B35-9AEA0B919216}"/>
    <cellStyle name="Migliaia 7 5 3 4" xfId="11475" xr:uid="{43CC46CF-0AF2-4AC5-A6CA-B9DE8F51EF09}"/>
    <cellStyle name="Migliaia 7 5 4" xfId="4044" xr:uid="{21AAB6AF-FB95-48C8-B2DC-F45D4F66FDFC}"/>
    <cellStyle name="Migliaia 7 5 4 2" xfId="21662" xr:uid="{6E0E003C-E758-4D57-9A18-5D9E63DC274F}"/>
    <cellStyle name="Migliaia 7 5 4 2 2" xfId="34952" xr:uid="{03E0FBF9-BE62-4E9E-B424-825126A8D3EC}"/>
    <cellStyle name="Migliaia 7 5 4 3" xfId="25751" xr:uid="{74C6DC52-C657-4A7B-A317-1C4E97388D41}"/>
    <cellStyle name="Migliaia 7 5 4 4" xfId="46264" xr:uid="{14574FD1-34C2-41EC-BDFC-4C5B9638BFF7}"/>
    <cellStyle name="Migliaia 7 5 4 5" xfId="48919" xr:uid="{22740228-D9A4-4734-8294-7B9E9C598C4A}"/>
    <cellStyle name="Migliaia 7 5 4 6" xfId="50677" xr:uid="{4DF1BFF5-2DF8-4A39-AE8D-29117C45CCCA}"/>
    <cellStyle name="Migliaia 7 5 4 7" xfId="53693" xr:uid="{0EFD0C76-6F65-4813-9D55-62744F98EF79}"/>
    <cellStyle name="Migliaia 7 5 4 8" xfId="11027" xr:uid="{009AB03B-D2A2-4355-83BE-4DBFFE75C5B8}"/>
    <cellStyle name="Migliaia 7 5 5" xfId="21185" xr:uid="{453A0D02-D55B-4B9F-80C9-E8A42AF9691C}"/>
    <cellStyle name="Migliaia 7 5 5 2" xfId="34953" xr:uid="{F005D585-9805-4CB1-947E-8ECF8029C2FE}"/>
    <cellStyle name="Migliaia 7 5 5 3" xfId="25752" xr:uid="{8AEED573-F762-4F96-B1A1-C8C8C808A048}"/>
    <cellStyle name="Migliaia 7 5 5 4" xfId="48920" xr:uid="{6ADE10FD-F72F-4EA5-871B-E3C953DC9896}"/>
    <cellStyle name="Migliaia 7 5 6" xfId="25753" xr:uid="{C1CDD871-87C2-4980-B9FA-8587C4A405D1}"/>
    <cellStyle name="Migliaia 7 5 6 2" xfId="34954" xr:uid="{600B85E5-304A-4749-998F-5AC2B3AA7945}"/>
    <cellStyle name="Migliaia 7 5 7" xfId="34949" xr:uid="{D515311B-4708-411D-BB27-D9CADE3DA4DD}"/>
    <cellStyle name="Migliaia 7 5 8" xfId="25748" xr:uid="{17E8AC3B-69CF-40B0-AADC-ACEC150D9D46}"/>
    <cellStyle name="Migliaia 7 5 9" xfId="7643" xr:uid="{3C254E8D-60D2-40B1-9A9B-4ADA5FD707E9}"/>
    <cellStyle name="Migliaia 7 6" xfId="4045" xr:uid="{45BB8103-A4D4-4395-A6DB-7E049D78584A}"/>
    <cellStyle name="Migliaia 7 6 2" xfId="5771" xr:uid="{4BD32CA3-F614-465A-B6B3-B55EEE94ABF5}"/>
    <cellStyle name="Migliaia 7 6 2 2" xfId="9997" xr:uid="{5E7C17FA-765A-459A-8C57-FF3727870481}"/>
    <cellStyle name="Migliaia 7 6 2 3" xfId="18595" xr:uid="{B599FE21-6715-4D97-AB6C-18EA81DA7013}"/>
    <cellStyle name="Migliaia 7 6 2 4" xfId="21188" xr:uid="{AFD70CFF-C79E-48DF-B8CB-E4B6318CF35F}"/>
    <cellStyle name="Migliaia 7 6 2 5" xfId="32492" xr:uid="{5D7CA130-0BEE-46EE-925C-126864B1BB3B}"/>
    <cellStyle name="Migliaia 7 6 2 6" xfId="16936" xr:uid="{B6E23629-2D5C-46B2-AEB5-139AF4179221}"/>
    <cellStyle name="Migliaia 7 6 2 7" xfId="8828" xr:uid="{6198FC9B-B19F-4CA5-BC49-50D20102BF3A}"/>
    <cellStyle name="Migliaia 7 6 3" xfId="6936" xr:uid="{0BA02215-AA6A-4C63-A68E-AD1425C93165}"/>
    <cellStyle name="Migliaia 7 6 3 2" xfId="35533" xr:uid="{86E12278-0EB6-4E79-954B-B0AECE035711}"/>
    <cellStyle name="Migliaia 7 6 3 2 2" xfId="40693" xr:uid="{A7474291-6CEF-4122-823C-F5EAF1ED428E}"/>
    <cellStyle name="Migliaia 7 6 3 2 3" xfId="45995" xr:uid="{244610C2-2D01-43DD-88B3-BBABF2B2AE6F}"/>
    <cellStyle name="Migliaia 7 6 3 3" xfId="38042" xr:uid="{A1076FC8-2347-486E-A2A3-6632D0E15748}"/>
    <cellStyle name="Migliaia 7 6 3 4" xfId="43344" xr:uid="{EAE472A8-8864-40E1-A58B-AF33716BE2ED}"/>
    <cellStyle name="Migliaia 7 6 3 5" xfId="9760" xr:uid="{CF0FFDDB-8C89-4660-A3F4-5B5E215A84E0}"/>
    <cellStyle name="Migliaia 7 6 4" xfId="21187" xr:uid="{F0190793-A242-4EC5-9678-E2394A3A5E15}"/>
    <cellStyle name="Migliaia 7 6 4 2" xfId="34955" xr:uid="{911B7BF8-4663-48A5-A3C9-BF7010250663}"/>
    <cellStyle name="Migliaia 7 6 5" xfId="25754" xr:uid="{1499B7D7-45D5-4E79-87C0-D36789E71B95}"/>
    <cellStyle name="Migliaia 7 6 6" xfId="16935" xr:uid="{2D7D882C-FF51-42E1-A6CF-2E1DEAC1F851}"/>
    <cellStyle name="Migliaia 7 6 7" xfId="7638" xr:uid="{258A1440-E529-4DAB-B0E9-1D4603F7DC00}"/>
    <cellStyle name="Migliaia 7 7" xfId="4046" xr:uid="{058B7C75-986B-4938-B9E1-BE8704A6BE63}"/>
    <cellStyle name="Migliaia 7 7 2" xfId="5772" xr:uid="{6C317DA2-D567-416A-99E9-5FF5B1EE2107}"/>
    <cellStyle name="Migliaia 7 7 2 2" xfId="35534" xr:uid="{28155C86-2A9E-486F-8077-B4BD662DB4E0}"/>
    <cellStyle name="Migliaia 7 7 2 2 2" xfId="40694" xr:uid="{029FC0A9-5D4C-4DEF-9068-D1D3E02F25AE}"/>
    <cellStyle name="Migliaia 7 7 2 2 3" xfId="45996" xr:uid="{3312E757-DECB-4A01-A357-7CC368A908D8}"/>
    <cellStyle name="Migliaia 7 7 2 3" xfId="38043" xr:uid="{54A65956-BA24-41C1-AAF7-25BBB4AB129D}"/>
    <cellStyle name="Migliaia 7 7 2 4" xfId="43345" xr:uid="{9569C81E-C5A2-412A-8E75-5C25DB459EB7}"/>
    <cellStyle name="Migliaia 7 7 2 5" xfId="14353" xr:uid="{06A2E369-68E3-429F-B839-C87BAD92C42B}"/>
    <cellStyle name="Migliaia 7 7 3" xfId="6937" xr:uid="{CD139268-3FE5-4F21-9C06-770ED01198AA}"/>
    <cellStyle name="Migliaia 7 7 3 2" xfId="34956" xr:uid="{DF56AF27-A215-4FB7-B018-DDA4BB585F70}"/>
    <cellStyle name="Migliaia 7 7 3 3" xfId="21189" xr:uid="{4C885129-53E6-4108-8BBC-E3C8B2344961}"/>
    <cellStyle name="Migliaia 7 7 4" xfId="25755" xr:uid="{0BCCB46E-BC69-4BF4-9DD7-74A6847CB45A}"/>
    <cellStyle name="Migliaia 7 7 5" xfId="16937" xr:uid="{F0821808-1FA4-464E-9D62-25C2DEBF8AFB}"/>
    <cellStyle name="Migliaia 7 7 6" xfId="8415" xr:uid="{9FB96027-CE29-4AF2-84F4-3C5399D1035A}"/>
    <cellStyle name="Migliaia 7 8" xfId="4047" xr:uid="{F291C5A0-E741-4085-896E-912335925A81}"/>
    <cellStyle name="Migliaia 7 8 2" xfId="5773" xr:uid="{004F08B0-91AA-44ED-8854-E2372DEC676E}"/>
    <cellStyle name="Migliaia 7 8 2 2" xfId="35535" xr:uid="{24C76989-F0D7-41A1-B1FB-FA705A65931C}"/>
    <cellStyle name="Migliaia 7 8 2 2 2" xfId="40695" xr:uid="{17E352E7-AD7D-4B9C-9E99-B44CA8E3BB7F}"/>
    <cellStyle name="Migliaia 7 8 2 2 3" xfId="45997" xr:uid="{1BE283D3-4C76-45B4-A161-5BF4E6476105}"/>
    <cellStyle name="Migliaia 7 8 2 3" xfId="38044" xr:uid="{8D4F9F3A-1D40-4DE6-944C-12F88AFD8382}"/>
    <cellStyle name="Migliaia 7 8 2 4" xfId="43346" xr:uid="{395FF946-4E21-4594-A3C1-1AB21939C2C9}"/>
    <cellStyle name="Migliaia 7 8 2 5" xfId="14058" xr:uid="{FFA990BE-07D1-4DDA-8881-71C29DDB791D}"/>
    <cellStyle name="Migliaia 7 8 3" xfId="6938" xr:uid="{2753721D-0928-4BF5-BD70-305E454C310F}"/>
    <cellStyle name="Migliaia 7 8 3 2" xfId="34957" xr:uid="{ABA3F3E6-35C9-4E5F-A82B-7E19F9DF8171}"/>
    <cellStyle name="Migliaia 7 8 3 3" xfId="21190" xr:uid="{70E8B24A-76F9-4BD1-AC28-409631F7F1DF}"/>
    <cellStyle name="Migliaia 7 8 4" xfId="25756" xr:uid="{EB367DC2-954B-4C2B-8E84-409AC2EA5EFA}"/>
    <cellStyle name="Migliaia 7 8 5" xfId="16938" xr:uid="{5F0F7160-27BD-4683-944C-A297426CB7B2}"/>
    <cellStyle name="Migliaia 7 8 6" xfId="8054" xr:uid="{0C4F2ED1-9B18-4B0A-85CF-747FA6AAA39E}"/>
    <cellStyle name="Migliaia 7 9" xfId="5758" xr:uid="{9AF9A528-99A9-4B7B-B9D0-CC06B09BAFA3}"/>
    <cellStyle name="Migliaia 7 9 2" xfId="34958" xr:uid="{FF9C768C-3D40-4CF8-859D-2E3D17C0A253}"/>
    <cellStyle name="Migliaia 7 9 3" xfId="25757" xr:uid="{152AE709-4FB2-45BC-94BD-CFC6268431B4}"/>
    <cellStyle name="Migliaia 7 9 4" xfId="17251" xr:uid="{7AC3B4D5-7E2B-4A73-A0E5-6D4BA410962A}"/>
    <cellStyle name="Migliaia 8" xfId="537" xr:uid="{00000000-0005-0000-0000-0000D2040000}"/>
    <cellStyle name="Migliaia 8 10" xfId="6939" xr:uid="{42732290-0D34-4357-9908-9669684615F5}"/>
    <cellStyle name="Migliaia 8 10 2" xfId="34959" xr:uid="{97FF1AD0-1DEE-48DE-A923-F0945546FE65}"/>
    <cellStyle name="Migliaia 8 10 3" xfId="21191" xr:uid="{EA2926A8-C077-4B08-8B95-5EB000440649}"/>
    <cellStyle name="Migliaia 8 11" xfId="4048" xr:uid="{EA5BE971-B2A5-4A9F-B3AD-9A906962C9A3}"/>
    <cellStyle name="Migliaia 8 11 2" xfId="25758" xr:uid="{40796EEC-28B1-49F6-B71B-0060EAD5195C}"/>
    <cellStyle name="Migliaia 8 12" xfId="7219" xr:uid="{D7CE8AD6-921F-4827-82C0-F01608A57CB6}"/>
    <cellStyle name="Migliaia 8 2" xfId="538" xr:uid="{00000000-0005-0000-0000-0000D3040000}"/>
    <cellStyle name="Migliaia 8 2 2" xfId="1951" xr:uid="{00000000-0005-0000-0000-0000D4040000}"/>
    <cellStyle name="Migliaia 8 2 2 2" xfId="5776" xr:uid="{198B8A53-891D-4DDE-8E39-BB5502252E55}"/>
    <cellStyle name="Migliaia 8 2 2 2 2" xfId="14422" xr:uid="{12CF2505-BF82-44C8-BA47-C8517906CE16}"/>
    <cellStyle name="Migliaia 8 2 2 2 2 2" xfId="34962" xr:uid="{07DA104F-9186-45F0-B44F-9E6F5385A15F}"/>
    <cellStyle name="Migliaia 8 2 2 2 3" xfId="18539" xr:uid="{E1BBE52F-F986-4B6D-9367-53AF1390E367}"/>
    <cellStyle name="Migliaia 8 2 2 2 4" xfId="21194" xr:uid="{FD7CCBE3-68D6-41B9-AF29-418E9BDD6FD3}"/>
    <cellStyle name="Migliaia 8 2 2 2 5" xfId="25761" xr:uid="{7B7CFC36-90C9-43F6-BC3E-B5F420ED3C0A}"/>
    <cellStyle name="Migliaia 8 2 2 2 6" xfId="16939" xr:uid="{1F431CE6-C7CD-490D-86F6-C0BF2AF118CB}"/>
    <cellStyle name="Migliaia 8 2 2 2 7" xfId="8835" xr:uid="{FBBBA0CB-DBFE-4CA2-A6A4-23934874F94C}"/>
    <cellStyle name="Migliaia 8 2 2 3" xfId="6941" xr:uid="{FF03437A-E241-474D-812F-59A357D88991}"/>
    <cellStyle name="Migliaia 8 2 2 3 2" xfId="35536" xr:uid="{2F982680-DB82-46CD-8BE5-2983F30CC054}"/>
    <cellStyle name="Migliaia 8 2 2 3 2 2" xfId="40696" xr:uid="{6F4A6449-8D41-4527-B760-828F8B5D50EB}"/>
    <cellStyle name="Migliaia 8 2 2 3 2 3" xfId="45998" xr:uid="{01804738-BAE4-42F2-9436-AE6F18AB04FA}"/>
    <cellStyle name="Migliaia 8 2 2 3 3" xfId="38045" xr:uid="{7BC83EA9-BE9B-4B64-8893-05715BC82644}"/>
    <cellStyle name="Migliaia 8 2 2 3 4" xfId="43347" xr:uid="{D7B37A79-3D5A-46AD-A26F-48F95B6F32F5}"/>
    <cellStyle name="Migliaia 8 2 2 3 5" xfId="11649" xr:uid="{D76FD867-4E42-4D25-9EE9-1C0FA63A858E}"/>
    <cellStyle name="Migliaia 8 2 2 4" xfId="4050" xr:uid="{C2966A30-CD7C-456B-8769-64314EC554C8}"/>
    <cellStyle name="Migliaia 8 2 2 4 2" xfId="21663" xr:uid="{05A6A728-AA0B-4A4D-89D2-24B725A94988}"/>
    <cellStyle name="Migliaia 8 2 2 4 3" xfId="34961" xr:uid="{BB947804-C4C3-4FB3-8DA4-ADEAFD67178C}"/>
    <cellStyle name="Migliaia 8 2 2 4 4" xfId="47005" xr:uid="{AE484FE4-737A-44DB-8285-0EA18C8CCDB6}"/>
    <cellStyle name="Migliaia 8 2 2 4 5" xfId="50678" xr:uid="{707290C9-A8D5-4F4E-B3CD-A96FD53A2CB2}"/>
    <cellStyle name="Migliaia 8 2 2 4 6" xfId="53694" xr:uid="{D03216C8-59DF-40D3-9666-915B83B1642D}"/>
    <cellStyle name="Migliaia 8 2 2 4 7" xfId="11028" xr:uid="{5B9FCB7A-A04C-44C0-BAE3-26BD264CC325}"/>
    <cellStyle name="Migliaia 8 2 2 5" xfId="21193" xr:uid="{D7C1AB24-293A-4C3E-9A76-7F48C922DC45}"/>
    <cellStyle name="Migliaia 8 2 2 6" xfId="25760" xr:uid="{63BF5A05-7A34-4A9A-99E2-AC285A8A5A6E}"/>
    <cellStyle name="Migliaia 8 2 2 7" xfId="7645" xr:uid="{AA767F48-493E-4C6A-87F3-6B8A750E6737}"/>
    <cellStyle name="Migliaia 8 2 3" xfId="4051" xr:uid="{19546196-290B-454C-BC62-71CA7E0989AE}"/>
    <cellStyle name="Migliaia 8 2 3 2" xfId="5777" xr:uid="{64BF85C6-DEB6-4A51-82CF-EDD32F712F22}"/>
    <cellStyle name="Migliaia 8 2 3 2 2" xfId="35537" xr:uid="{0929C6B6-953F-40A7-90DB-352209843457}"/>
    <cellStyle name="Migliaia 8 2 3 2 2 2" xfId="40697" xr:uid="{FDF9D135-E20E-4633-9F90-E247EE1FCC9B}"/>
    <cellStyle name="Migliaia 8 2 3 2 2 3" xfId="45999" xr:uid="{240456D9-A8EC-4FF5-A965-68C4F7476228}"/>
    <cellStyle name="Migliaia 8 2 3 2 3" xfId="38046" xr:uid="{188CA09B-8CEC-46C9-9159-EC85BD5D9230}"/>
    <cellStyle name="Migliaia 8 2 3 2 4" xfId="43348" xr:uid="{5D8F6450-C253-49A4-8705-6C4E75EB950C}"/>
    <cellStyle name="Migliaia 8 2 3 2 5" xfId="14357" xr:uid="{E2A45D1B-7411-4DC9-B3E5-30129F61D35A}"/>
    <cellStyle name="Migliaia 8 2 3 3" xfId="6942" xr:uid="{6976F27C-3C6B-41B5-939D-016EC96E0C2F}"/>
    <cellStyle name="Migliaia 8 2 3 3 2" xfId="34963" xr:uid="{62A4533D-E8F3-436E-AE46-8366096C6460}"/>
    <cellStyle name="Migliaia 8 2 3 3 3" xfId="21195" xr:uid="{394D8066-A88F-422D-8780-4093C55FC656}"/>
    <cellStyle name="Migliaia 8 2 3 4" xfId="25762" xr:uid="{625BD244-2EEB-4216-931E-0811D2754835}"/>
    <cellStyle name="Migliaia 8 2 3 5" xfId="16940" xr:uid="{0593F4FF-32A1-44A3-ACEE-EA6D5D0CD5E7}"/>
    <cellStyle name="Migliaia 8 2 3 6" xfId="8419" xr:uid="{E62DF4EB-C590-48B6-9108-6D0EE3917EEB}"/>
    <cellStyle name="Migliaia 8 2 4" xfId="5775" xr:uid="{A4B6968D-67E5-4C3E-B48F-38F3188C867D}"/>
    <cellStyle name="Migliaia 8 2 4 2" xfId="14062" xr:uid="{85017906-7861-491D-B9D6-334D309A4C01}"/>
    <cellStyle name="Migliaia 8 2 4 2 2" xfId="34964" xr:uid="{8DE16B60-B52F-4578-96AA-4B95EC6EADDE}"/>
    <cellStyle name="Migliaia 8 2 4 3" xfId="18029" xr:uid="{8A828822-E85C-459A-9C63-BDAFC85567CA}"/>
    <cellStyle name="Migliaia 8 2 4 4" xfId="21196" xr:uid="{A6B6B66E-EAA4-456C-B336-DCC7D8E4B952}"/>
    <cellStyle name="Migliaia 8 2 4 5" xfId="25763" xr:uid="{B170C743-1362-445D-8A35-82A54DEBE15B}"/>
    <cellStyle name="Migliaia 8 2 4 6" xfId="16941" xr:uid="{9590949A-A1F9-42C6-A6EC-2F31E552C71E}"/>
    <cellStyle name="Migliaia 8 2 4 7" xfId="8059" xr:uid="{559063F2-C089-4B0C-8666-3BC1F6A49341}"/>
    <cellStyle name="Migliaia 8 2 5" xfId="6940" xr:uid="{3CB1A946-BB27-429D-8F93-4F0C709B34FE}"/>
    <cellStyle name="Migliaia 8 2 5 2" xfId="34965" xr:uid="{F6EBFDA8-D477-4A06-BD73-BECFD2110F49}"/>
    <cellStyle name="Migliaia 8 2 5 3" xfId="25764" xr:uid="{7FF3C799-B044-4124-BDF8-C4C8BBEE99A5}"/>
    <cellStyle name="Migliaia 8 2 5 4" xfId="13162" xr:uid="{74BEBB57-1656-4A27-B31C-4611A9108068}"/>
    <cellStyle name="Migliaia 8 2 6" xfId="4049" xr:uid="{2412CB90-CD2D-470C-B126-6D85C0B70FA8}"/>
    <cellStyle name="Migliaia 8 2 6 2" xfId="34966" xr:uid="{D26DBAB2-6094-4E76-911D-620F1CB913BD}"/>
    <cellStyle name="Migliaia 8 2 6 3" xfId="25765" xr:uid="{C4F29345-5659-4862-A1B9-B1CF9E2C5F20}"/>
    <cellStyle name="Migliaia 8 2 6 4" xfId="21192" xr:uid="{4047F0C5-5D77-48D0-85A9-757F55FA5914}"/>
    <cellStyle name="Migliaia 8 2 7" xfId="34960" xr:uid="{9CB62C5F-F38E-4BE5-BA3E-2F2367F7AC36}"/>
    <cellStyle name="Migliaia 8 2 8" xfId="25759" xr:uid="{78F643CA-8339-41F3-A8D6-D2060F0213B8}"/>
    <cellStyle name="Migliaia 8 2 9" xfId="7220" xr:uid="{2FFC127C-AA39-4ECF-9D88-4E116260E83D}"/>
    <cellStyle name="Migliaia 8 3" xfId="539" xr:uid="{00000000-0005-0000-0000-0000D5040000}"/>
    <cellStyle name="Migliaia 8 3 10" xfId="25766" xr:uid="{2EF97081-129A-415A-928D-987CD9E85904}"/>
    <cellStyle name="Migliaia 8 3 11" xfId="16942" xr:uid="{BE2ED227-A80D-49F5-A246-8D285FB63088}"/>
    <cellStyle name="Migliaia 8 3 12" xfId="7221" xr:uid="{9A7D0293-8212-40DF-B3EC-30CC41466FE8}"/>
    <cellStyle name="Migliaia 8 3 2" xfId="540" xr:uid="{00000000-0005-0000-0000-0000D6040000}"/>
    <cellStyle name="Migliaia 8 3 2 2" xfId="1952" xr:uid="{00000000-0005-0000-0000-0000D7040000}"/>
    <cellStyle name="Migliaia 8 3 2 2 2" xfId="5780" xr:uid="{55476D72-608F-4B23-A911-953C4EE76FA3}"/>
    <cellStyle name="Migliaia 8 3 2 2 2 2" xfId="18540" xr:uid="{EC502423-BE99-4EB2-81A7-45D12B118235}"/>
    <cellStyle name="Migliaia 8 3 2 2 2 2 2" xfId="21900" xr:uid="{A9419A82-E706-4CD9-99DC-3DD10CB0A08E}"/>
    <cellStyle name="Migliaia 8 3 2 2 2 2 3" xfId="34970" xr:uid="{114C4623-C07E-47C4-ABBF-B31D7EC9AD30}"/>
    <cellStyle name="Migliaia 8 3 2 2 2 3" xfId="25769" xr:uid="{BF716321-83EF-469A-8112-BD849E73B193}"/>
    <cellStyle name="Migliaia 8 3 2 2 2 4" xfId="46754" xr:uid="{B918F143-9605-42E1-8FBF-CA1A95512203}"/>
    <cellStyle name="Migliaia 8 3 2 2 2 5" xfId="50928" xr:uid="{DE1A4E04-AE1B-4B9F-9E11-11B217C933F3}"/>
    <cellStyle name="Migliaia 8 3 2 2 2 6" xfId="53944" xr:uid="{722778E7-6EB5-4069-9FD4-A0BB69E940AF}"/>
    <cellStyle name="Migliaia 8 3 2 2 2 7" xfId="17699" xr:uid="{74EDFE5F-E900-48F9-98BE-2A56E9CC9AF2}"/>
    <cellStyle name="Migliaia 8 3 2 2 2 8" xfId="12123" xr:uid="{EF79F590-9474-40B4-8365-3B8711BC8CEF}"/>
    <cellStyle name="Migliaia 8 3 2 2 3" xfId="6945" xr:uid="{5BF4C390-7D92-48D5-AC2B-D0AF5D51F4DC}"/>
    <cellStyle name="Migliaia 8 3 2 2 3 2" xfId="34969" xr:uid="{2E7692BE-EE3E-4BE5-A952-1E382153A5D5}"/>
    <cellStyle name="Migliaia 8 3 2 2 3 3" xfId="11121" xr:uid="{ED5BBA2F-0FAA-4F64-AD3B-A54F65E185F3}"/>
    <cellStyle name="Migliaia 8 3 2 2 4" xfId="4054" xr:uid="{CC33838A-0484-4FD2-B4CB-4A04BC99661E}"/>
    <cellStyle name="Migliaia 8 3 2 2 4 2" xfId="21664" xr:uid="{FA907329-8A2D-44B6-A364-A9C7CCCCBE19}"/>
    <cellStyle name="Migliaia 8 3 2 2 4 3" xfId="48387" xr:uid="{C2F6CD7E-5341-4F59-9A62-D6CEE6B7BFCD}"/>
    <cellStyle name="Migliaia 8 3 2 2 4 4" xfId="50679" xr:uid="{28FD5CBB-E81B-46FA-A6AF-2F271BE0441B}"/>
    <cellStyle name="Migliaia 8 3 2 2 4 5" xfId="53695" xr:uid="{45B60E8C-6397-48CF-A6A0-8B9E7D2A9C0A}"/>
    <cellStyle name="Migliaia 8 3 2 2 4 6" xfId="11029" xr:uid="{BA78FF93-E190-41BA-A21E-0B6107B1F0C8}"/>
    <cellStyle name="Migliaia 8 3 2 2 5" xfId="21199" xr:uid="{13DFBE96-B202-4899-833A-F7666073DD14}"/>
    <cellStyle name="Migliaia 8 3 2 2 6" xfId="25768" xr:uid="{0A9E11F9-E0AB-48FB-BE46-9EC0370C15FA}"/>
    <cellStyle name="Migliaia 8 3 2 2 7" xfId="8837" xr:uid="{CE4167BD-C60A-4C17-961C-E85C9FEC7798}"/>
    <cellStyle name="Migliaia 8 3 2 3" xfId="5779" xr:uid="{240C5528-6D90-41D5-9DAB-AD2EC0A5B3A6}"/>
    <cellStyle name="Migliaia 8 3 2 3 2" xfId="12393" xr:uid="{EE39173D-793C-4AA0-9CF4-52456E917F6E}"/>
    <cellStyle name="Migliaia 8 3 2 3 2 2" xfId="34971" xr:uid="{5649EFCD-CFD0-4FDE-9A7F-EECC392EB63D}"/>
    <cellStyle name="Migliaia 8 3 2 3 3" xfId="12124" xr:uid="{AE7B153A-C1B4-4252-B501-41CD5B054726}"/>
    <cellStyle name="Migliaia 8 3 2 3 4" xfId="21200" xr:uid="{18746D50-84BA-4919-A3E8-0979C8C086CB}"/>
    <cellStyle name="Migliaia 8 3 2 3 5" xfId="25770" xr:uid="{73A37B0D-96E9-4E26-A2D7-29BBAABC0D6A}"/>
    <cellStyle name="Migliaia 8 3 2 3 6" xfId="16943" xr:uid="{5764B5F7-4A6D-4955-9EE9-16A0BA6629A9}"/>
    <cellStyle name="Migliaia 8 3 2 3 7" xfId="8061" xr:uid="{ADD52887-1EB0-4403-9DB0-E47D8E1DAEAD}"/>
    <cellStyle name="Migliaia 8 3 2 4" xfId="6944" xr:uid="{FE8F7CF1-3510-44EC-94E4-6A6F3D91E842}"/>
    <cellStyle name="Migliaia 8 3 2 4 2" xfId="18116" xr:uid="{1B466C25-86AE-47B1-80C8-412FD81D22C9}"/>
    <cellStyle name="Migliaia 8 3 2 4 2 2" xfId="34972" xr:uid="{CA218FD1-C8A8-423F-ADFE-23EE41B6276E}"/>
    <cellStyle name="Migliaia 8 3 2 4 3" xfId="25771" xr:uid="{35DD6FFA-6EF2-4358-BE40-2CA6FBF5C7ED}"/>
    <cellStyle name="Migliaia 8 3 2 4 4" xfId="17254" xr:uid="{2BC06D13-2117-4672-82EB-450B819974DD}"/>
    <cellStyle name="Migliaia 8 3 2 4 5" xfId="11476" xr:uid="{932DBEC3-EB41-4C04-86E5-4C760E3270DD}"/>
    <cellStyle name="Migliaia 8 3 2 5" xfId="4053" xr:uid="{63748CD9-23B2-458A-9389-288A13E7C255}"/>
    <cellStyle name="Migliaia 8 3 2 5 2" xfId="34973" xr:uid="{188A2232-FD0F-406C-A3C8-E98D9B72B3FE}"/>
    <cellStyle name="Migliaia 8 3 2 5 3" xfId="25772" xr:uid="{807E4555-652E-43E9-9F15-CF9AFDFE9B38}"/>
    <cellStyle name="Migliaia 8 3 2 5 4" xfId="17071" xr:uid="{6F646775-557C-4C21-9E12-D6EF412A7082}"/>
    <cellStyle name="Migliaia 8 3 2 6" xfId="21198" xr:uid="{CDD6C387-04ED-42BD-9A21-B29CEEA1A531}"/>
    <cellStyle name="Migliaia 8 3 2 6 2" xfId="34974" xr:uid="{786BC00E-DFE2-435F-AA46-ED5E30D1000F}"/>
    <cellStyle name="Migliaia 8 3 2 6 3" xfId="25773" xr:uid="{D41AD211-A96A-472C-87F2-1635C2C323E9}"/>
    <cellStyle name="Migliaia 8 3 2 7" xfId="34968" xr:uid="{2105843C-1F7C-464E-9A52-D32AABC3BEB2}"/>
    <cellStyle name="Migliaia 8 3 2 8" xfId="25767" xr:uid="{78B4A58E-C1DA-490D-815D-26FB5BB13F97}"/>
    <cellStyle name="Migliaia 8 3 2 9" xfId="7647" xr:uid="{BF4BF363-2575-42FF-9D8C-B4907C0AFC51}"/>
    <cellStyle name="Migliaia 8 3 3" xfId="4055" xr:uid="{4A2B5E83-2908-449A-86C4-CBCE3F3E554F}"/>
    <cellStyle name="Migliaia 8 3 3 2" xfId="5781" xr:uid="{5D9E08E2-8696-4AC9-B8A2-6311B65A2238}"/>
    <cellStyle name="Migliaia 8 3 3 2 2" xfId="10000" xr:uid="{EED4E24B-B97E-4F4F-A923-4E536E304070}"/>
    <cellStyle name="Migliaia 8 3 3 2 2 2" xfId="34976" xr:uid="{AD10F3A9-4B62-419D-88DA-5A28FC08DAD7}"/>
    <cellStyle name="Migliaia 8 3 3 2 3" xfId="18280" xr:uid="{0CC75BCE-9ABB-48EC-85F7-0D5EDB58993E}"/>
    <cellStyle name="Migliaia 8 3 3 2 4" xfId="21202" xr:uid="{A47960AB-1799-4E8F-A523-0E451FD67DD9}"/>
    <cellStyle name="Migliaia 8 3 3 2 5" xfId="25775" xr:uid="{6DAADA17-E34D-4B20-98D2-15AAA0DCD9AA}"/>
    <cellStyle name="Migliaia 8 3 3 2 6" xfId="16945" xr:uid="{9D62A238-74CA-400B-8305-2029C13E37DD}"/>
    <cellStyle name="Migliaia 8 3 3 2 7" xfId="8836" xr:uid="{75D64D0A-8009-4992-8DE1-605EECAD77E2}"/>
    <cellStyle name="Migliaia 8 3 3 3" xfId="6946" xr:uid="{9AC01286-4764-4805-B81A-9AB1788CD0CE}"/>
    <cellStyle name="Migliaia 8 3 3 3 2" xfId="34977" xr:uid="{999B3522-CDBA-494B-9EBB-E2C1654146B3}"/>
    <cellStyle name="Migliaia 8 3 3 3 3" xfId="25776" xr:uid="{9FA9A2EC-FA7E-4F09-BBCA-94765E29B235}"/>
    <cellStyle name="Migliaia 8 3 3 3 4" xfId="9763" xr:uid="{A3E33163-E962-4004-988B-3B51EC3ADC4F}"/>
    <cellStyle name="Migliaia 8 3 3 4" xfId="21201" xr:uid="{425D97D5-9FB9-4265-8C69-D278C3E5E394}"/>
    <cellStyle name="Migliaia 8 3 3 4 2" xfId="34978" xr:uid="{6066AC38-072C-4B2F-8327-5BD3C60F1C75}"/>
    <cellStyle name="Migliaia 8 3 3 4 3" xfId="25777" xr:uid="{4A258D42-19B1-48A2-869F-4C45686BE2AE}"/>
    <cellStyle name="Migliaia 8 3 3 4 4" xfId="48921" xr:uid="{2C271326-02BF-4379-8827-10431400FC28}"/>
    <cellStyle name="Migliaia 8 3 3 5" xfId="25778" xr:uid="{7927EA8C-67EB-4619-9709-905C969A748E}"/>
    <cellStyle name="Migliaia 8 3 3 5 2" xfId="34979" xr:uid="{21498A75-9D3A-449C-9FED-A7B2CD42A74E}"/>
    <cellStyle name="Migliaia 8 3 3 5 3" xfId="48922" xr:uid="{DDAE9DDC-25D4-4E8A-96EF-CF76A1DAC777}"/>
    <cellStyle name="Migliaia 8 3 3 6" xfId="34975" xr:uid="{F3F2B406-7344-451F-A377-2D3838D7F088}"/>
    <cellStyle name="Migliaia 8 3 3 7" xfId="25774" xr:uid="{110774A3-64B0-41CE-8AD8-AF3124BB69E1}"/>
    <cellStyle name="Migliaia 8 3 3 8" xfId="16944" xr:uid="{A5911C09-4D57-455C-BA7C-5BFD20FC20BB}"/>
    <cellStyle name="Migliaia 8 3 3 9" xfId="7646" xr:uid="{376E067D-68C9-4BAB-BA67-E80328FE7311}"/>
    <cellStyle name="Migliaia 8 3 4" xfId="4056" xr:uid="{D43ED737-AD63-48C3-9372-CD9B2B78B19D}"/>
    <cellStyle name="Migliaia 8 3 4 2" xfId="5782" xr:uid="{1F4BE67C-E4D0-4909-8759-788E90A4323F}"/>
    <cellStyle name="Migliaia 8 3 4 2 2" xfId="14482" xr:uid="{3083664A-CD49-4262-A481-50BAA1EA5227}"/>
    <cellStyle name="Migliaia 8 3 4 2 3" xfId="18138" xr:uid="{F0D15D7C-5706-410E-8F61-667EB57C0E13}"/>
    <cellStyle name="Migliaia 8 3 4 2 4" xfId="21204" xr:uid="{5147103E-A1A1-43F9-BEAE-DC5CC833082B}"/>
    <cellStyle name="Migliaia 8 3 4 2 5" xfId="32493" xr:uid="{CA1AD4E3-2E6A-4D93-980C-97EE590CB6FF}"/>
    <cellStyle name="Migliaia 8 3 4 2 6" xfId="16947" xr:uid="{57D07224-0F97-4B15-81BC-12ADDF15A87D}"/>
    <cellStyle name="Migliaia 8 3 4 2 7" xfId="8905" xr:uid="{FCC984D9-CA77-4B96-B8C5-62CBA26BAC68}"/>
    <cellStyle name="Migliaia 8 3 4 3" xfId="6947" xr:uid="{251EA692-6DCD-4682-8AD1-2D2D91A53C08}"/>
    <cellStyle name="Migliaia 8 3 4 3 2" xfId="35538" xr:uid="{B0417D94-77C6-466F-A8EB-FD14F40D129D}"/>
    <cellStyle name="Migliaia 8 3 4 3 2 2" xfId="40698" xr:uid="{AC504118-18B2-4658-AC53-58334D661708}"/>
    <cellStyle name="Migliaia 8 3 4 3 2 3" xfId="46000" xr:uid="{4DA24A22-25C5-4E74-89A8-9A9AD681CF39}"/>
    <cellStyle name="Migliaia 8 3 4 3 3" xfId="38047" xr:uid="{73F1FDBF-0E65-46B1-B7C0-7A259B93E6AB}"/>
    <cellStyle name="Migliaia 8 3 4 3 4" xfId="43349" xr:uid="{EC182E30-DC0A-4FC9-8D6C-80570F3FCDD4}"/>
    <cellStyle name="Migliaia 8 3 4 3 5" xfId="13730" xr:uid="{83FCEB35-8453-4428-84C2-FF9BDF3DD8D2}"/>
    <cellStyle name="Migliaia 8 3 4 4" xfId="21203" xr:uid="{61922515-71C3-497F-A915-B01744E58525}"/>
    <cellStyle name="Migliaia 8 3 4 4 2" xfId="34980" xr:uid="{A6144BB0-42B4-4468-8973-7AFC224CBFC2}"/>
    <cellStyle name="Migliaia 8 3 4 5" xfId="25779" xr:uid="{8021B574-64AC-49F8-9F60-E40FAFB7327E}"/>
    <cellStyle name="Migliaia 8 3 4 6" xfId="16946" xr:uid="{A64D83DB-B6F9-4FC6-82CD-E5D24789C574}"/>
    <cellStyle name="Migliaia 8 3 4 7" xfId="7715" xr:uid="{91E37383-FADE-4284-BC98-13F3BA1CD9B5}"/>
    <cellStyle name="Migliaia 8 3 5" xfId="4057" xr:uid="{3A2541F0-E259-4353-8C0F-7EC23A1265E5}"/>
    <cellStyle name="Migliaia 8 3 5 2" xfId="5783" xr:uid="{6F6E0E86-BA57-492E-8F0E-54BB2C166D42}"/>
    <cellStyle name="Migliaia 8 3 5 2 2" xfId="35539" xr:uid="{491863A6-C623-4FEA-B6C6-6A97193B71D9}"/>
    <cellStyle name="Migliaia 8 3 5 2 2 2" xfId="40699" xr:uid="{F3CD34B0-27FB-4EBA-A249-2C86EF3F969F}"/>
    <cellStyle name="Migliaia 8 3 5 2 2 3" xfId="46001" xr:uid="{3DA69BCA-F6EC-4EDD-91CA-B4593DB3C703}"/>
    <cellStyle name="Migliaia 8 3 5 2 3" xfId="38048" xr:uid="{FB8D2539-52F8-4982-BF16-3A5BC05E7A8F}"/>
    <cellStyle name="Migliaia 8 3 5 2 4" xfId="43350" xr:uid="{43F2DE22-A4CF-4C13-AA2E-0D4CF3B22A7C}"/>
    <cellStyle name="Migliaia 8 3 5 2 5" xfId="14358" xr:uid="{8AA36850-FADA-4F8B-A508-EBBA8EC74B72}"/>
    <cellStyle name="Migliaia 8 3 5 3" xfId="6948" xr:uid="{8B71E9BF-52E2-435E-8602-C73DF0DE60FD}"/>
    <cellStyle name="Migliaia 8 3 5 3 2" xfId="34981" xr:uid="{3894AFE9-8D09-4624-AEDC-C520828C1814}"/>
    <cellStyle name="Migliaia 8 3 5 3 3" xfId="21205" xr:uid="{FAFE60AD-DD84-44EA-B0A5-598EF01CC4CD}"/>
    <cellStyle name="Migliaia 8 3 5 4" xfId="25780" xr:uid="{DCB7DC6A-3EA7-4D7B-B1E5-01BA2467C34B}"/>
    <cellStyle name="Migliaia 8 3 5 5" xfId="16948" xr:uid="{B0321ED4-BEC5-462E-B3EC-05F24D8D798A}"/>
    <cellStyle name="Migliaia 8 3 5 6" xfId="8420" xr:uid="{BFCFA197-2ACD-4636-8D84-4DB42A653AC7}"/>
    <cellStyle name="Migliaia 8 3 6" xfId="5778" xr:uid="{638CC610-A0CF-423C-BC53-4E019F5F7ADD}"/>
    <cellStyle name="Migliaia 8 3 6 2" xfId="14063" xr:uid="{CD91F5AB-6D4D-45A7-BC36-5948BF5475E1}"/>
    <cellStyle name="Migliaia 8 3 6 2 2" xfId="34982" xr:uid="{34472D3B-0164-442F-B218-925299D94A5F}"/>
    <cellStyle name="Migliaia 8 3 6 3" xfId="18295" xr:uid="{CE3C8FBA-D8E0-4BFC-9CE1-B9D0DBE4B65E}"/>
    <cellStyle name="Migliaia 8 3 6 4" xfId="21206" xr:uid="{28A23009-CAEC-4FD3-81FA-C90D8E3AC05E}"/>
    <cellStyle name="Migliaia 8 3 6 5" xfId="25781" xr:uid="{87757FD7-2DA6-4190-B7C4-AF8EE227F8AF}"/>
    <cellStyle name="Migliaia 8 3 6 6" xfId="16949" xr:uid="{4DB432C5-57FE-4F73-86E8-92BFCAFC8335}"/>
    <cellStyle name="Migliaia 8 3 6 7" xfId="8060" xr:uid="{ECA13006-1D3B-4010-9B9A-FA2DD66F3508}"/>
    <cellStyle name="Migliaia 8 3 7" xfId="6943" xr:uid="{7C753410-109D-4320-A6D1-F7F5A111A278}"/>
    <cellStyle name="Migliaia 8 3 7 2" xfId="34983" xr:uid="{FE2ADB63-C011-4BAB-B46F-8D8131C28534}"/>
    <cellStyle name="Migliaia 8 3 7 3" xfId="25782" xr:uid="{45708F92-ECA1-4212-A6DE-3DC94EFE164A}"/>
    <cellStyle name="Migliaia 8 3 7 4" xfId="11528" xr:uid="{FF947D9A-04FB-41B2-9D53-5CBFE1280BB4}"/>
    <cellStyle name="Migliaia 8 3 8" xfId="4052" xr:uid="{625D4832-045F-4D5B-81E6-D0F7D30F88B0}"/>
    <cellStyle name="Migliaia 8 3 8 2" xfId="34984" xr:uid="{AC8A2C25-2908-470F-B75C-4E88BA266483}"/>
    <cellStyle name="Migliaia 8 3 8 3" xfId="25783" xr:uid="{D2C88710-5B06-4033-9108-4A0133DDEEDE}"/>
    <cellStyle name="Migliaia 8 3 8 4" xfId="17072" xr:uid="{2CAA3F20-2491-4864-B3B8-01E97A7EF1B4}"/>
    <cellStyle name="Migliaia 8 3 9" xfId="21197" xr:uid="{5AE3AF0A-F306-451F-8C26-096C85E5B1F4}"/>
    <cellStyle name="Migliaia 8 3 9 2" xfId="34967" xr:uid="{31F0CCB1-2117-47FE-9120-E544A224CAC9}"/>
    <cellStyle name="Migliaia 8 4" xfId="1953" xr:uid="{00000000-0005-0000-0000-0000D8040000}"/>
    <cellStyle name="Migliaia 8 4 10" xfId="7648" xr:uid="{ABB272F9-F28A-40D1-8D51-CA198B2570F9}"/>
    <cellStyle name="Migliaia 8 4 2" xfId="1954" xr:uid="{00000000-0005-0000-0000-0000D9040000}"/>
    <cellStyle name="Migliaia 8 4 2 2" xfId="5785" xr:uid="{28D47832-F7D1-4D5E-939F-7A316EDDD151}"/>
    <cellStyle name="Migliaia 8 4 2 2 2" xfId="34987" xr:uid="{10D71D22-D281-4C5F-A68F-8B08D2C5B0B7}"/>
    <cellStyle name="Migliaia 8 4 2 2 3" xfId="25786" xr:uid="{5097F723-5F07-42C7-A4BA-535B2FEC5144}"/>
    <cellStyle name="Migliaia 8 4 2 2 4" xfId="9226" xr:uid="{9E0FCA8D-FBD0-4B92-B694-4AFBE893FD50}"/>
    <cellStyle name="Migliaia 8 4 2 3" xfId="4059" xr:uid="{65C915E7-A5E6-4EBF-B3EE-CA36378182FE}"/>
    <cellStyle name="Migliaia 8 4 2 3 2" xfId="34988" xr:uid="{3F13A995-FDD5-415A-91B6-B0AB317068A8}"/>
    <cellStyle name="Migliaia 8 4 2 3 3" xfId="25787" xr:uid="{9FF7D592-D27A-4258-A0C4-7FD246C72BD4}"/>
    <cellStyle name="Migliaia 8 4 2 3 4" xfId="12125" xr:uid="{D543CB77-E8EC-4878-AFF3-93AF71187FD8}"/>
    <cellStyle name="Migliaia 8 4 2 4" xfId="11478" xr:uid="{D5C60B8F-EDF0-4B73-8101-2A81F0A9B45D}"/>
    <cellStyle name="Migliaia 8 4 2 4 2" xfId="34986" xr:uid="{15E4B1BB-9F59-4F3E-B9B8-E9EF7746D30E}"/>
    <cellStyle name="Migliaia 8 4 2 5" xfId="11031" xr:uid="{7F3AD5DF-D2BC-4341-ADFF-3C027709BB39}"/>
    <cellStyle name="Migliaia 8 4 2 5 2" xfId="21666" xr:uid="{19D92D1F-1C80-403A-9C27-52930119C96E}"/>
    <cellStyle name="Migliaia 8 4 2 5 3" xfId="47679" xr:uid="{6348B76F-129F-4AC2-8CBB-5D248BE7556F}"/>
    <cellStyle name="Migliaia 8 4 2 5 4" xfId="50681" xr:uid="{2A1BA575-E56B-489B-88C8-F546366C9C67}"/>
    <cellStyle name="Migliaia 8 4 2 5 5" xfId="53697" xr:uid="{F9B180E9-65BE-4645-BA1E-7BC7FC7900E6}"/>
    <cellStyle name="Migliaia 8 4 2 6" xfId="21208" xr:uid="{A1C96CC6-5F70-496F-8A5E-E515112CFE5A}"/>
    <cellStyle name="Migliaia 8 4 2 7" xfId="25785" xr:uid="{A0B522A5-2484-4F04-8035-8388A381844D}"/>
    <cellStyle name="Migliaia 8 4 2 8" xfId="8838" xr:uid="{BCA9FA97-DFDB-4AAC-BB4C-BBB7562B50A2}"/>
    <cellStyle name="Migliaia 8 4 3" xfId="5784" xr:uid="{70B376AC-BFF8-46B7-B59C-4D1BD74A381B}"/>
    <cellStyle name="Migliaia 8 4 3 2" xfId="18281" xr:uid="{F90D423A-E80D-4A38-9ECD-40D6F85F7312}"/>
    <cellStyle name="Migliaia 8 4 3 2 2" xfId="34989" xr:uid="{139623DB-7430-49FC-A5DB-500FB76693A4}"/>
    <cellStyle name="Migliaia 8 4 3 3" xfId="25788" xr:uid="{DD58A32D-B35D-4F8B-83EC-69EFABB95588}"/>
    <cellStyle name="Migliaia 8 4 3 4" xfId="17070" xr:uid="{0A11BB28-AADD-4773-9E1C-79B134AD62D3}"/>
    <cellStyle name="Migliaia 8 4 3 5" xfId="9227" xr:uid="{8E95F46E-BA01-4DA9-85A0-ADDAF6C96C78}"/>
    <cellStyle name="Migliaia 8 4 4" xfId="6949" xr:uid="{D16315A8-76E1-4735-A853-04F49591CE47}"/>
    <cellStyle name="Migliaia 8 4 4 2" xfId="34990" xr:uid="{BC1924EC-96DD-4133-9942-CD0A19570EBA}"/>
    <cellStyle name="Migliaia 8 4 4 3" xfId="25789" xr:uid="{91ECE1D7-0E03-4A2D-8D5B-31B790B226CD}"/>
    <cellStyle name="Migliaia 8 4 4 4" xfId="12126" xr:uid="{1D68E090-C3DE-4545-9A16-B5027557F5DE}"/>
    <cellStyle name="Migliaia 8 4 5" xfId="4058" xr:uid="{4730F66D-B654-44CF-B7BC-91EECFBF4C68}"/>
    <cellStyle name="Migliaia 8 4 5 2" xfId="34991" xr:uid="{2908A872-19D1-447D-9192-2E02A352145C}"/>
    <cellStyle name="Migliaia 8 4 5 3" xfId="25790" xr:uid="{C1666164-AA52-4EDE-9EA6-39480C29276D}"/>
    <cellStyle name="Migliaia 8 4 5 4" xfId="11477" xr:uid="{EA4DC004-C43D-4B90-AD7C-D9F115073703}"/>
    <cellStyle name="Migliaia 8 4 6" xfId="11030" xr:uid="{807D6B5B-2BC1-4775-AED7-DF5891AAF23E}"/>
    <cellStyle name="Migliaia 8 4 6 2" xfId="21665" xr:uid="{14FE3B6F-4CEF-4219-B478-7DF27C2FF882}"/>
    <cellStyle name="Migliaia 8 4 6 2 2" xfId="34992" xr:uid="{E17648DE-BB54-42BF-8A24-3D6A20D045C9}"/>
    <cellStyle name="Migliaia 8 4 6 3" xfId="25791" xr:uid="{C5AD1F45-86B9-4710-887E-EFB8AE953B95}"/>
    <cellStyle name="Migliaia 8 4 6 4" xfId="46714" xr:uid="{4BCFD92E-D1C0-46CF-A940-60A7B1FD22C4}"/>
    <cellStyle name="Migliaia 8 4 6 5" xfId="48923" xr:uid="{94AD1F9E-E83E-4593-AFB7-D04EE2B4DB70}"/>
    <cellStyle name="Migliaia 8 4 6 6" xfId="50680" xr:uid="{22090831-2DB2-4D9B-A568-2828F8A3D538}"/>
    <cellStyle name="Migliaia 8 4 6 7" xfId="53696" xr:uid="{A6C50489-F17D-416E-8252-EED98FA78BF1}"/>
    <cellStyle name="Migliaia 8 4 7" xfId="21207" xr:uid="{AC7B3EDB-145B-4673-BCD6-0571F9232F86}"/>
    <cellStyle name="Migliaia 8 4 7 2" xfId="34993" xr:uid="{C3D66CE0-CFFF-4B83-B17E-B8EC9A33D7F5}"/>
    <cellStyle name="Migliaia 8 4 7 3" xfId="25792" xr:uid="{8A07FC9C-77EF-4300-A8EA-9F95DB7D203D}"/>
    <cellStyle name="Migliaia 8 4 8" xfId="34985" xr:uid="{B339C7D7-102D-4DE8-8716-E6E549CD2A06}"/>
    <cellStyle name="Migliaia 8 4 9" xfId="25784" xr:uid="{8A9B3B72-BB59-4B10-AE7D-B2B91A7D67DA}"/>
    <cellStyle name="Migliaia 8 5" xfId="1955" xr:uid="{00000000-0005-0000-0000-0000DA040000}"/>
    <cellStyle name="Migliaia 8 5 2" xfId="5786" xr:uid="{3B4C5BEE-C3E6-4765-B446-ECC3C23FA290}"/>
    <cellStyle name="Migliaia 8 5 2 2" xfId="18541" xr:uid="{147D4634-C31A-4DC6-86DE-40CAC86251BB}"/>
    <cellStyle name="Migliaia 8 5 2 2 2" xfId="34995" xr:uid="{13EEE7CF-49A3-4B2F-9B62-5713CCC62375}"/>
    <cellStyle name="Migliaia 8 5 2 3" xfId="21210" xr:uid="{2CFE8F77-717A-4E7E-A2D6-CB8FB5C36326}"/>
    <cellStyle name="Migliaia 8 5 2 4" xfId="25794" xr:uid="{9F08236A-8148-4864-B6E4-34A404398F5C}"/>
    <cellStyle name="Migliaia 8 5 2 5" xfId="16950" xr:uid="{50E3FC8F-EB5D-42FF-BC33-AFFEA9AD1272}"/>
    <cellStyle name="Migliaia 8 5 2 6" xfId="8839" xr:uid="{D54E05FB-1816-41C1-8FBB-4F0DC867D971}"/>
    <cellStyle name="Migliaia 8 5 3" xfId="6950" xr:uid="{3B42F455-DB57-44A1-A34D-995449AC071B}"/>
    <cellStyle name="Migliaia 8 5 3 2" xfId="34996" xr:uid="{3B5BC207-4640-4FAC-886C-299DB4D2878D}"/>
    <cellStyle name="Migliaia 8 5 3 3" xfId="25795" xr:uid="{B3C23EA3-1531-4172-9705-AA2B24BB569C}"/>
    <cellStyle name="Migliaia 8 5 3 4" xfId="11479" xr:uid="{5C46E573-09F4-4DFF-AAF7-7CB81C532254}"/>
    <cellStyle name="Migliaia 8 5 4" xfId="4060" xr:uid="{C9B8C833-2DD0-43F3-B948-2D65B4D6F71D}"/>
    <cellStyle name="Migliaia 8 5 4 2" xfId="21667" xr:uid="{1F752105-E72A-4CEB-983C-B50F047C0822}"/>
    <cellStyle name="Migliaia 8 5 4 2 2" xfId="34997" xr:uid="{B3D09992-431B-4B40-9BE5-FBECB9D6CEB4}"/>
    <cellStyle name="Migliaia 8 5 4 3" xfId="25796" xr:uid="{CA9C1FAB-9BF1-4275-B6E5-8FF7FA7456E3}"/>
    <cellStyle name="Migliaia 8 5 4 4" xfId="48480" xr:uid="{28C86657-1C28-42BD-90EF-E8CADA5220E0}"/>
    <cellStyle name="Migliaia 8 5 4 5" xfId="48924" xr:uid="{B8CB55D6-CCEB-488B-BADA-72AE4F4E6450}"/>
    <cellStyle name="Migliaia 8 5 4 6" xfId="50682" xr:uid="{9C7F221E-9922-46D5-A5BD-00497931F9B2}"/>
    <cellStyle name="Migliaia 8 5 4 7" xfId="53698" xr:uid="{E86C177F-57E3-47CD-A0B9-AB6E66B527F0}"/>
    <cellStyle name="Migliaia 8 5 4 8" xfId="11032" xr:uid="{4195EE89-EDE9-44BC-A1EC-B3FFCBD5F85F}"/>
    <cellStyle name="Migliaia 8 5 5" xfId="21209" xr:uid="{F1E69CC8-48D0-4324-A6E4-4C79683FB9CB}"/>
    <cellStyle name="Migliaia 8 5 5 2" xfId="34998" xr:uid="{89D00C8D-E30A-4941-B797-B012CB104B17}"/>
    <cellStyle name="Migliaia 8 5 5 3" xfId="25797" xr:uid="{02BBD466-7D27-4B07-8ACF-F98E15F9B876}"/>
    <cellStyle name="Migliaia 8 5 5 4" xfId="48925" xr:uid="{C83737E0-A129-4F9B-ADB6-919F2B5EACA2}"/>
    <cellStyle name="Migliaia 8 5 6" xfId="25798" xr:uid="{4D6E1198-18F2-46F7-A6EA-D373EEB038E3}"/>
    <cellStyle name="Migliaia 8 5 6 2" xfId="34999" xr:uid="{7F88EE9C-DF22-4C1A-8D48-1CBEDC266D12}"/>
    <cellStyle name="Migliaia 8 5 7" xfId="34994" xr:uid="{0A1E8DC4-BAEA-4836-8476-3B1D47436067}"/>
    <cellStyle name="Migliaia 8 5 8" xfId="25793" xr:uid="{BB048E3E-0024-4CB0-9BA2-4F0E6F82FA9E}"/>
    <cellStyle name="Migliaia 8 5 9" xfId="7649" xr:uid="{607DC9C2-D629-4110-BE1A-660F6FA94335}"/>
    <cellStyle name="Migliaia 8 6" xfId="4061" xr:uid="{8A638CAF-47FB-4EFE-B908-A171043B8A32}"/>
    <cellStyle name="Migliaia 8 6 2" xfId="5787" xr:uid="{ABB338E6-8C8C-4772-9C6E-BE1099AAE38F}"/>
    <cellStyle name="Migliaia 8 6 2 2" xfId="9999" xr:uid="{3F87CB59-9E45-4AFF-8046-95C7364F5BC8}"/>
    <cellStyle name="Migliaia 8 6 2 3" xfId="18144" xr:uid="{CCC2BD5A-ADF6-4DBD-B9D5-F04DBC8A01F0}"/>
    <cellStyle name="Migliaia 8 6 2 4" xfId="21212" xr:uid="{4EAE7858-BC2D-4625-B82C-B9C68AE0E335}"/>
    <cellStyle name="Migliaia 8 6 2 5" xfId="32494" xr:uid="{72F46D16-A2A5-4084-B31F-91AF959C193E}"/>
    <cellStyle name="Migliaia 8 6 2 6" xfId="16952" xr:uid="{C2CAF8D0-F5FE-4F79-89B5-77D585C851E1}"/>
    <cellStyle name="Migliaia 8 6 2 7" xfId="8834" xr:uid="{FA3BE688-2923-42CD-9E44-E2DACB1D4A99}"/>
    <cellStyle name="Migliaia 8 6 3" xfId="6951" xr:uid="{86094E8F-8854-4E9F-95F5-5BF9F7A5201D}"/>
    <cellStyle name="Migliaia 8 6 3 2" xfId="35540" xr:uid="{1FD081A1-A8A3-4C7D-91DC-35B61D3798A1}"/>
    <cellStyle name="Migliaia 8 6 3 2 2" xfId="40700" xr:uid="{D3393BEC-24FF-4D4A-8AB0-297023B2E349}"/>
    <cellStyle name="Migliaia 8 6 3 2 3" xfId="46002" xr:uid="{730B2ECD-97E6-4B81-96AF-9ED87EADB3E3}"/>
    <cellStyle name="Migliaia 8 6 3 3" xfId="38049" xr:uid="{AD710B21-B9D0-4EE5-8C7A-3F05A2B359DD}"/>
    <cellStyle name="Migliaia 8 6 3 4" xfId="43351" xr:uid="{10F84E14-3837-434F-BBEC-FB1514016234}"/>
    <cellStyle name="Migliaia 8 6 3 5" xfId="9762" xr:uid="{A124A3A4-3828-4088-9CEC-DD5F2D016335}"/>
    <cellStyle name="Migliaia 8 6 4" xfId="21211" xr:uid="{DE3A05CA-23DF-4D0B-847F-4E98604072B7}"/>
    <cellStyle name="Migliaia 8 6 4 2" xfId="35000" xr:uid="{65652D2A-8E96-4589-B509-96333677545C}"/>
    <cellStyle name="Migliaia 8 6 5" xfId="25799" xr:uid="{9716E372-F2D8-40D5-B86B-7B6F58E59BF3}"/>
    <cellStyle name="Migliaia 8 6 6" xfId="16951" xr:uid="{0E831529-0CA7-42FC-87B9-3DC600E73D7E}"/>
    <cellStyle name="Migliaia 8 6 7" xfId="7644" xr:uid="{E0EC0EB2-55C1-4D45-A41C-8920F1B85B57}"/>
    <cellStyle name="Migliaia 8 7" xfId="4062" xr:uid="{600A349C-40BC-4971-A0D3-DC370A847046}"/>
    <cellStyle name="Migliaia 8 7 2" xfId="5788" xr:uid="{12577BCA-A006-4E2E-BE2E-AA46DADBBCB4}"/>
    <cellStyle name="Migliaia 8 7 2 2" xfId="35541" xr:uid="{41150B1A-EA80-42DA-B2EE-C4E942F05113}"/>
    <cellStyle name="Migliaia 8 7 2 2 2" xfId="40701" xr:uid="{ABC0AB2E-BA46-4DE6-9EE0-C19591D12BDE}"/>
    <cellStyle name="Migliaia 8 7 2 2 3" xfId="46003" xr:uid="{F76E6C21-8FDA-447C-AE7A-FED1753496CD}"/>
    <cellStyle name="Migliaia 8 7 2 3" xfId="38050" xr:uid="{40B248F1-4B1F-471E-BAA6-F691DC0FCC17}"/>
    <cellStyle name="Migliaia 8 7 2 4" xfId="43352" xr:uid="{4851BF2C-511A-42B5-8D43-112149FF8C0B}"/>
    <cellStyle name="Migliaia 8 7 2 5" xfId="14356" xr:uid="{C7C44FD9-F4C4-4451-8DF0-7F3A0752B537}"/>
    <cellStyle name="Migliaia 8 7 3" xfId="6952" xr:uid="{1BCEEC43-4416-4A33-8C78-E5A5EEA3BE56}"/>
    <cellStyle name="Migliaia 8 7 3 2" xfId="35001" xr:uid="{24C19B53-7B1F-4AAE-8245-C9493F965646}"/>
    <cellStyle name="Migliaia 8 7 3 3" xfId="21213" xr:uid="{60D82829-579A-4F27-9A35-4F5DC3DA8D44}"/>
    <cellStyle name="Migliaia 8 7 4" xfId="25800" xr:uid="{B8879FE7-8959-43AB-A1C9-7D1E15067E35}"/>
    <cellStyle name="Migliaia 8 7 5" xfId="16953" xr:uid="{C3B1383F-F395-45BA-AD8B-13A90961CE33}"/>
    <cellStyle name="Migliaia 8 7 6" xfId="8418" xr:uid="{0E1F9FFD-92B6-4133-84C1-914847E42C59}"/>
    <cellStyle name="Migliaia 8 8" xfId="4063" xr:uid="{A11AF05E-045B-4E5C-8375-FEA30196341A}"/>
    <cellStyle name="Migliaia 8 8 2" xfId="5789" xr:uid="{13CEB729-B818-4F86-A7EF-15FAAD3E43A2}"/>
    <cellStyle name="Migliaia 8 8 2 2" xfId="35542" xr:uid="{A99A463F-74B2-473B-9248-26CA16CD4A25}"/>
    <cellStyle name="Migliaia 8 8 2 2 2" xfId="40702" xr:uid="{DB1FBCB9-26FF-4DD2-B247-CC48AA0CC9E3}"/>
    <cellStyle name="Migliaia 8 8 2 2 3" xfId="46004" xr:uid="{89913422-3FFF-4D21-B748-DDDB3A69A727}"/>
    <cellStyle name="Migliaia 8 8 2 3" xfId="38051" xr:uid="{5E2C3E1B-8C02-4F1B-BEB5-1F363F692AA3}"/>
    <cellStyle name="Migliaia 8 8 2 4" xfId="43353" xr:uid="{8C9AA405-5393-465E-935A-DE252E6A27DC}"/>
    <cellStyle name="Migliaia 8 8 2 5" xfId="14061" xr:uid="{12ED683A-14B3-4371-A14C-ECBF76295D7B}"/>
    <cellStyle name="Migliaia 8 8 3" xfId="6953" xr:uid="{9D9FB119-9772-4BC0-A045-13AA2CDF0527}"/>
    <cellStyle name="Migliaia 8 8 3 2" xfId="35002" xr:uid="{342FDAE4-B1FE-459E-81FF-8D1D2AB34CDD}"/>
    <cellStyle name="Migliaia 8 8 3 3" xfId="21214" xr:uid="{4DA0D42A-E674-477E-8733-67EE273D908C}"/>
    <cellStyle name="Migliaia 8 8 4" xfId="25801" xr:uid="{9351ED71-CF51-4AC5-9D99-675608FAE76A}"/>
    <cellStyle name="Migliaia 8 8 5" xfId="16954" xr:uid="{624F8449-871F-4C5A-992B-3041F16E03BC}"/>
    <cellStyle name="Migliaia 8 8 6" xfId="8058" xr:uid="{37021BCD-010F-4697-AE66-2B569AB249C7}"/>
    <cellStyle name="Migliaia 8 9" xfId="5774" xr:uid="{3238EFD4-53D7-4188-823C-A2F7716EF350}"/>
    <cellStyle name="Migliaia 8 9 2" xfId="35003" xr:uid="{800FF788-91C4-47EE-8F52-21E8AE58C915}"/>
    <cellStyle name="Migliaia 8 9 3" xfId="25802" xr:uid="{CFFA3992-5B28-4DE3-AB5E-6B48AA3B5523}"/>
    <cellStyle name="Migliaia 8 9 4" xfId="17253" xr:uid="{E57B314C-0F44-4A5A-8CC5-18650B3D94DE}"/>
    <cellStyle name="Migliaia 9" xfId="541" xr:uid="{00000000-0005-0000-0000-0000DB040000}"/>
    <cellStyle name="Migliaia 9 10" xfId="6954" xr:uid="{9422089C-F3C7-4638-8D57-69992F6DA309}"/>
    <cellStyle name="Migliaia 9 10 2" xfId="35004" xr:uid="{FB7BBD44-E837-4E34-B311-2BD879879487}"/>
    <cellStyle name="Migliaia 9 10 3" xfId="21215" xr:uid="{42B815A0-7693-417A-B0B9-B7A7019DCA72}"/>
    <cellStyle name="Migliaia 9 11" xfId="4064" xr:uid="{5735C708-8682-4ABB-9B37-3CA1A8DAC16E}"/>
    <cellStyle name="Migliaia 9 11 2" xfId="25803" xr:uid="{25F172D0-A7A1-45A4-BCFB-B0C32406C38E}"/>
    <cellStyle name="Migliaia 9 12" xfId="7222" xr:uid="{BC7119AB-AFD6-4078-854E-EB12CA155F16}"/>
    <cellStyle name="Migliaia 9 2" xfId="542" xr:uid="{00000000-0005-0000-0000-0000DC040000}"/>
    <cellStyle name="Migliaia 9 2 2" xfId="1956" xr:uid="{00000000-0005-0000-0000-0000DD040000}"/>
    <cellStyle name="Migliaia 9 2 2 2" xfId="5792" xr:uid="{BFBFA100-FEB9-44C2-A459-B6BB61CB1B42}"/>
    <cellStyle name="Migliaia 9 2 2 2 2" xfId="14423" xr:uid="{B0BFA00D-C1FC-40A4-8244-A0424749F5FB}"/>
    <cellStyle name="Migliaia 9 2 2 2 2 2" xfId="35007" xr:uid="{AC3FE6A2-F222-43ED-BED0-6CBCB74FB50E}"/>
    <cellStyle name="Migliaia 9 2 2 2 3" xfId="18542" xr:uid="{88060C41-3F31-4DFD-BD45-7E22C772A760}"/>
    <cellStyle name="Migliaia 9 2 2 2 4" xfId="21218" xr:uid="{827A884F-2297-4927-AC98-1394BD57E0BA}"/>
    <cellStyle name="Migliaia 9 2 2 2 5" xfId="25806" xr:uid="{13C8F7EF-47CF-4AA4-B77B-0A3F3114722C}"/>
    <cellStyle name="Migliaia 9 2 2 2 6" xfId="16955" xr:uid="{3C52D432-37A0-40B9-A252-616280003333}"/>
    <cellStyle name="Migliaia 9 2 2 2 7" xfId="8841" xr:uid="{2BF70959-E540-4643-AEDA-4D8B69BDE9CA}"/>
    <cellStyle name="Migliaia 9 2 2 3" xfId="6956" xr:uid="{44D855AE-E350-4944-9A25-F268D33B01A0}"/>
    <cellStyle name="Migliaia 9 2 2 3 2" xfId="35543" xr:uid="{D58A5DFC-4847-4913-A39B-EB1580BF5B16}"/>
    <cellStyle name="Migliaia 9 2 2 3 2 2" xfId="40703" xr:uid="{F6797B22-9281-461B-8168-E9E3B87F37D6}"/>
    <cellStyle name="Migliaia 9 2 2 3 2 3" xfId="46005" xr:uid="{912214E5-A8CC-4DB6-BF7B-EA727514AE91}"/>
    <cellStyle name="Migliaia 9 2 2 3 3" xfId="38052" xr:uid="{7322B97F-31A9-4115-A3C0-64BF9600E8C8}"/>
    <cellStyle name="Migliaia 9 2 2 3 4" xfId="43354" xr:uid="{042AEE9C-7099-460F-83F7-9C0A2262130F}"/>
    <cellStyle name="Migliaia 9 2 2 3 5" xfId="11650" xr:uid="{5E7786CB-1BE5-4EE3-88E0-2BE010DCE88F}"/>
    <cellStyle name="Migliaia 9 2 2 4" xfId="4066" xr:uid="{EE74782A-71E4-437A-8373-E0D5CF5FF489}"/>
    <cellStyle name="Migliaia 9 2 2 4 2" xfId="21668" xr:uid="{489372CE-3DCA-4271-AA2B-B7DD10E29669}"/>
    <cellStyle name="Migliaia 9 2 2 4 3" xfId="35006" xr:uid="{1091D017-75F8-453E-B6F7-31467AEC38D9}"/>
    <cellStyle name="Migliaia 9 2 2 4 4" xfId="46265" xr:uid="{426D3242-2489-455E-AF44-8E5FE0510014}"/>
    <cellStyle name="Migliaia 9 2 2 4 5" xfId="50683" xr:uid="{5A3C253E-BBC5-4EB0-8D58-F5FE124CD56E}"/>
    <cellStyle name="Migliaia 9 2 2 4 6" xfId="53699" xr:uid="{779EBA15-D160-4626-A0C5-15B0150EB70D}"/>
    <cellStyle name="Migliaia 9 2 2 4 7" xfId="11033" xr:uid="{745BED47-C9A1-4AB7-812E-F46524A5525F}"/>
    <cellStyle name="Migliaia 9 2 2 5" xfId="21217" xr:uid="{A973D641-9C24-43E0-9B77-8E6DBA165D37}"/>
    <cellStyle name="Migliaia 9 2 2 6" xfId="25805" xr:uid="{5FA4BD26-484B-4E96-A5C4-3B092FC59014}"/>
    <cellStyle name="Migliaia 9 2 2 7" xfId="7651" xr:uid="{0A615E37-5462-4424-B951-38A1469AEA2C}"/>
    <cellStyle name="Migliaia 9 2 3" xfId="4067" xr:uid="{9E22674B-5FF0-441B-83AD-475A9E6778D4}"/>
    <cellStyle name="Migliaia 9 2 3 2" xfId="5793" xr:uid="{363E7D07-71C9-45DC-95CB-58BAE52DF23C}"/>
    <cellStyle name="Migliaia 9 2 3 2 2" xfId="35544" xr:uid="{9D8AEEF0-FA8B-45AE-B1A7-D50486DA4ADB}"/>
    <cellStyle name="Migliaia 9 2 3 2 2 2" xfId="40704" xr:uid="{C5DFF0E2-9D0E-4D5E-A210-6AE7FF1C0171}"/>
    <cellStyle name="Migliaia 9 2 3 2 2 3" xfId="46006" xr:uid="{7B9F585C-CE32-4E2D-B56D-8FA5C1448EEF}"/>
    <cellStyle name="Migliaia 9 2 3 2 3" xfId="38053" xr:uid="{4DB3D8F2-BDF9-4476-B9CE-92490160EFDE}"/>
    <cellStyle name="Migliaia 9 2 3 2 4" xfId="43355" xr:uid="{E6EE990B-FB8F-4CAE-82E9-9C6740947554}"/>
    <cellStyle name="Migliaia 9 2 3 2 5" xfId="14360" xr:uid="{3139646C-B71E-4962-91F7-41EF9F414FDE}"/>
    <cellStyle name="Migliaia 9 2 3 3" xfId="6957" xr:uid="{9B95BC2F-78B0-4070-A6C3-E57062AA2922}"/>
    <cellStyle name="Migliaia 9 2 3 3 2" xfId="35008" xr:uid="{F91BE782-0C85-47E1-A697-97F0C743BA3B}"/>
    <cellStyle name="Migliaia 9 2 3 3 3" xfId="21219" xr:uid="{D1D6EFF4-D32F-4314-ACF1-7302989C2CA7}"/>
    <cellStyle name="Migliaia 9 2 3 4" xfId="25807" xr:uid="{8AE75178-C814-4FAA-9144-C18AB37AA229}"/>
    <cellStyle name="Migliaia 9 2 3 5" xfId="16956" xr:uid="{01E7B165-386D-4C93-A219-BD62662E7AF4}"/>
    <cellStyle name="Migliaia 9 2 3 6" xfId="8422" xr:uid="{4194D04D-48CE-456A-8804-1B83897A8079}"/>
    <cellStyle name="Migliaia 9 2 4" xfId="5791" xr:uid="{A2FBE208-FC9C-4E2E-B897-66FEE0A66828}"/>
    <cellStyle name="Migliaia 9 2 4 2" xfId="14065" xr:uid="{133450F3-1E35-445F-B691-28ED4CF22AAF}"/>
    <cellStyle name="Migliaia 9 2 4 2 2" xfId="35009" xr:uid="{EFBBEE48-EF7E-4870-8480-5BC0D56F2680}"/>
    <cellStyle name="Migliaia 9 2 4 3" xfId="18598" xr:uid="{03D0C6D5-E80F-445F-95CF-8BCC7B640BB8}"/>
    <cellStyle name="Migliaia 9 2 4 4" xfId="21220" xr:uid="{D0F4CE51-21F4-4D3F-8E8B-9D8DBF13E4E2}"/>
    <cellStyle name="Migliaia 9 2 4 5" xfId="25808" xr:uid="{9C599DD5-70E0-462A-8165-3B1C2E4E48AF}"/>
    <cellStyle name="Migliaia 9 2 4 6" xfId="16957" xr:uid="{C303E8F6-F057-451B-9D4D-CA13AFFCAD84}"/>
    <cellStyle name="Migliaia 9 2 4 7" xfId="8063" xr:uid="{50EC7600-790B-4EDD-AE03-C0E247852BAA}"/>
    <cellStyle name="Migliaia 9 2 5" xfId="6955" xr:uid="{9DFCFE63-43AD-4B0B-9DF2-77553895702E}"/>
    <cellStyle name="Migliaia 9 2 5 2" xfId="35010" xr:uid="{323C26B2-8E18-43B9-B7EE-E624600F7C0D}"/>
    <cellStyle name="Migliaia 9 2 5 3" xfId="25809" xr:uid="{497484A1-8F29-4993-A26F-44DEBE046432}"/>
    <cellStyle name="Migliaia 9 2 5 4" xfId="13163" xr:uid="{61822D79-D1D9-40EC-BADF-B0C59D13FF3C}"/>
    <cellStyle name="Migliaia 9 2 6" xfId="4065" xr:uid="{9F46BD22-C030-415A-9919-4371D66019F8}"/>
    <cellStyle name="Migliaia 9 2 6 2" xfId="35011" xr:uid="{08405742-5BE4-4E6B-9485-739D146465D3}"/>
    <cellStyle name="Migliaia 9 2 6 3" xfId="25810" xr:uid="{501FFD06-E074-439C-A800-2428728A3874}"/>
    <cellStyle name="Migliaia 9 2 6 4" xfId="21216" xr:uid="{C042833D-07DC-4FF5-B5D9-9E0BF1F740B3}"/>
    <cellStyle name="Migliaia 9 2 7" xfId="35005" xr:uid="{D5A3AE35-E6A4-41C5-AAAA-B69FBCEB490E}"/>
    <cellStyle name="Migliaia 9 2 8" xfId="25804" xr:uid="{C310895E-96C6-4FAF-914C-AEFF5926A788}"/>
    <cellStyle name="Migliaia 9 2 9" xfId="7223" xr:uid="{B9888257-752F-42B5-8BEB-22652EB82BF4}"/>
    <cellStyle name="Migliaia 9 3" xfId="543" xr:uid="{00000000-0005-0000-0000-0000DE040000}"/>
    <cellStyle name="Migliaia 9 3 10" xfId="25811" xr:uid="{84B07822-CF42-4D46-9BE8-EFE065CF031C}"/>
    <cellStyle name="Migliaia 9 3 11" xfId="16958" xr:uid="{4817DEE2-38D2-4927-B822-4D72F4CE2225}"/>
    <cellStyle name="Migliaia 9 3 12" xfId="7224" xr:uid="{524E75A8-5333-4010-9601-48638774EF6D}"/>
    <cellStyle name="Migliaia 9 3 2" xfId="544" xr:uid="{00000000-0005-0000-0000-0000DF040000}"/>
    <cellStyle name="Migliaia 9 3 2 2" xfId="1957" xr:uid="{00000000-0005-0000-0000-0000E0040000}"/>
    <cellStyle name="Migliaia 9 3 2 2 2" xfId="5796" xr:uid="{CDDC0203-C21C-4A10-87F1-0F7AFE69FF84}"/>
    <cellStyle name="Migliaia 9 3 2 2 2 2" xfId="18543" xr:uid="{51EF434D-5979-46B4-86FA-E188850EEEBA}"/>
    <cellStyle name="Migliaia 9 3 2 2 2 2 2" xfId="21901" xr:uid="{BBECBCE8-9721-41ED-9CE9-E3E5148E5009}"/>
    <cellStyle name="Migliaia 9 3 2 2 2 2 3" xfId="35015" xr:uid="{77FE19C7-F144-4075-9C2A-D8C7F080C4C1}"/>
    <cellStyle name="Migliaia 9 3 2 2 2 3" xfId="25814" xr:uid="{84554CA1-42C2-47A6-8047-9C828F30999E}"/>
    <cellStyle name="Migliaia 9 3 2 2 2 4" xfId="25109" xr:uid="{426A5D12-126F-47FD-B8C5-0647E9C57BE9}"/>
    <cellStyle name="Migliaia 9 3 2 2 2 5" xfId="50929" xr:uid="{BC945CDD-3E6A-41EC-B1F3-6A9D65E258E7}"/>
    <cellStyle name="Migliaia 9 3 2 2 2 6" xfId="53945" xr:uid="{AEAE58E0-2ED5-42DF-B026-031EAC03A45B}"/>
    <cellStyle name="Migliaia 9 3 2 2 2 7" xfId="17700" xr:uid="{397391AB-CBE8-41F8-9C81-B2F6901FD152}"/>
    <cellStyle name="Migliaia 9 3 2 2 2 8" xfId="12127" xr:uid="{9830FBF7-8E85-434B-A5D8-F6DA775A6FAD}"/>
    <cellStyle name="Migliaia 9 3 2 2 3" xfId="6960" xr:uid="{321D3ECC-A31A-4337-85B1-97A8A40BE080}"/>
    <cellStyle name="Migliaia 9 3 2 2 3 2" xfId="35014" xr:uid="{1A29D507-E9AD-4862-A999-2F50052A6285}"/>
    <cellStyle name="Migliaia 9 3 2 2 3 3" xfId="12155" xr:uid="{64240603-F188-4651-9818-BC788C94A1CC}"/>
    <cellStyle name="Migliaia 9 3 2 2 4" xfId="4070" xr:uid="{F22EC6BA-7458-449F-80B0-06285C780B46}"/>
    <cellStyle name="Migliaia 9 3 2 2 4 2" xfId="21669" xr:uid="{10F74BB1-B9F0-44D1-AC4A-CAB8C547EB1A}"/>
    <cellStyle name="Migliaia 9 3 2 2 4 3" xfId="47006" xr:uid="{72574C5B-7C88-4285-876A-EEF81307C3F5}"/>
    <cellStyle name="Migliaia 9 3 2 2 4 4" xfId="50684" xr:uid="{076B6966-3EA0-4640-8BE1-3F57CEB354BD}"/>
    <cellStyle name="Migliaia 9 3 2 2 4 5" xfId="53700" xr:uid="{7F25C22D-DB00-4D09-90EA-D1E0A1C25451}"/>
    <cellStyle name="Migliaia 9 3 2 2 4 6" xfId="11034" xr:uid="{46D77535-3F8E-43FD-A388-77BB1CE786E6}"/>
    <cellStyle name="Migliaia 9 3 2 2 5" xfId="21223" xr:uid="{DFE29F63-C970-4CA7-BE2D-F23C18C7B736}"/>
    <cellStyle name="Migliaia 9 3 2 2 6" xfId="25813" xr:uid="{019C9F68-D5E2-4B2A-A909-2348ED4C5AC2}"/>
    <cellStyle name="Migliaia 9 3 2 2 7" xfId="8843" xr:uid="{BB507055-10A9-4793-8A3D-01830495F607}"/>
    <cellStyle name="Migliaia 9 3 2 3" xfId="5795" xr:uid="{6E8A4527-E654-499A-A49A-25D0CCB6B7C3}"/>
    <cellStyle name="Migliaia 9 3 2 3 2" xfId="12392" xr:uid="{D957121B-F2B6-4E03-B5BE-62C8D50E092B}"/>
    <cellStyle name="Migliaia 9 3 2 3 2 2" xfId="35016" xr:uid="{B0C87E26-0EE2-4FAF-B348-5704E7A680A6}"/>
    <cellStyle name="Migliaia 9 3 2 3 3" xfId="12128" xr:uid="{BAA94122-E8C7-4C80-A745-381D0461B546}"/>
    <cellStyle name="Migliaia 9 3 2 3 4" xfId="21224" xr:uid="{35226F61-C209-4632-AFC9-F713B0D69720}"/>
    <cellStyle name="Migliaia 9 3 2 3 5" xfId="25815" xr:uid="{85E9E823-388A-4B71-93C1-7A5AB415CDE0}"/>
    <cellStyle name="Migliaia 9 3 2 3 6" xfId="16959" xr:uid="{04464BE4-D2D2-49D5-924F-CFD89AA1C3D7}"/>
    <cellStyle name="Migliaia 9 3 2 3 7" xfId="8065" xr:uid="{ED40EE81-66F4-4DDC-84F4-F2481B3F6710}"/>
    <cellStyle name="Migliaia 9 3 2 4" xfId="6959" xr:uid="{52FD9F32-6FDE-4CC3-9498-4A84EDCE2A08}"/>
    <cellStyle name="Migliaia 9 3 2 4 2" xfId="18117" xr:uid="{DD07F4E7-8CAB-4692-B726-DDBB9D83A6EB}"/>
    <cellStyle name="Migliaia 9 3 2 4 2 2" xfId="35017" xr:uid="{187ED11E-2D68-45A1-BFCB-505B0228B8C1}"/>
    <cellStyle name="Migliaia 9 3 2 4 3" xfId="25816" xr:uid="{949C76A0-F05F-4200-8988-8CBF5B487B14}"/>
    <cellStyle name="Migliaia 9 3 2 4 4" xfId="17256" xr:uid="{83F7924C-51D0-47B8-8403-116E4BEB4FDB}"/>
    <cellStyle name="Migliaia 9 3 2 4 5" xfId="11480" xr:uid="{5BA2D00A-E0F5-4CE4-A481-9716CC750F43}"/>
    <cellStyle name="Migliaia 9 3 2 5" xfId="4069" xr:uid="{94EA7D00-2BD0-463C-B332-1F8FECCED5D0}"/>
    <cellStyle name="Migliaia 9 3 2 5 2" xfId="35018" xr:uid="{3C47FABB-3A38-48B8-AD90-B7BFFCCE67CF}"/>
    <cellStyle name="Migliaia 9 3 2 5 3" xfId="25817" xr:uid="{56D17547-0149-4D17-A1CF-E2C7FCB93280}"/>
    <cellStyle name="Migliaia 9 3 2 5 4" xfId="17068" xr:uid="{FBD1D2D5-E375-489A-B915-DAC93D605C79}"/>
    <cellStyle name="Migliaia 9 3 2 6" xfId="21222" xr:uid="{1D36E54B-7641-4A8C-9B2E-E5BE4BD2AFC1}"/>
    <cellStyle name="Migliaia 9 3 2 6 2" xfId="35019" xr:uid="{09FB56E1-BB63-48AD-9BAC-FA0139278360}"/>
    <cellStyle name="Migliaia 9 3 2 6 3" xfId="25818" xr:uid="{05A0C721-58A0-46BB-AA5D-B08792D50161}"/>
    <cellStyle name="Migliaia 9 3 2 7" xfId="35013" xr:uid="{6CF623DE-1FC1-4AB6-861F-7FF7DEFF6891}"/>
    <cellStyle name="Migliaia 9 3 2 8" xfId="25812" xr:uid="{3EBF86C8-4EE5-4F67-86CC-1E683193619D}"/>
    <cellStyle name="Migliaia 9 3 2 9" xfId="7653" xr:uid="{F32E78E6-2FAD-44B8-BD25-705187320D2D}"/>
    <cellStyle name="Migliaia 9 3 3" xfId="4071" xr:uid="{ACCBB988-B4CC-4E81-8161-8B8CC9D214CB}"/>
    <cellStyle name="Migliaia 9 3 3 2" xfId="5797" xr:uid="{5CC1DB42-7175-4C9A-BF4E-CE88C1FD1985}"/>
    <cellStyle name="Migliaia 9 3 3 2 2" xfId="10002" xr:uid="{E546449D-63E7-4A5B-A7E9-339A1B49C0E1}"/>
    <cellStyle name="Migliaia 9 3 3 2 2 2" xfId="35021" xr:uid="{626D95A4-8D79-4C61-8034-C909E415C944}"/>
    <cellStyle name="Migliaia 9 3 3 2 3" xfId="18282" xr:uid="{8905C512-4C70-4D01-A855-7A0CE70C6632}"/>
    <cellStyle name="Migliaia 9 3 3 2 4" xfId="21226" xr:uid="{2BD9055C-7BB5-49E9-898E-A3C1FD1BC9B9}"/>
    <cellStyle name="Migliaia 9 3 3 2 5" xfId="25820" xr:uid="{167F5678-2251-4271-80D1-2DCB9360DD91}"/>
    <cellStyle name="Migliaia 9 3 3 2 6" xfId="16961" xr:uid="{B1D6547E-791B-4C1F-9EFF-55C766EDE981}"/>
    <cellStyle name="Migliaia 9 3 3 2 7" xfId="8842" xr:uid="{D026CB18-7562-4771-8AF2-AE0566520233}"/>
    <cellStyle name="Migliaia 9 3 3 3" xfId="6961" xr:uid="{56A598A3-9B07-42EC-AA28-9AF25CBD90DE}"/>
    <cellStyle name="Migliaia 9 3 3 3 2" xfId="35022" xr:uid="{CD713A11-C175-48E7-8DF6-85F522F9BA60}"/>
    <cellStyle name="Migliaia 9 3 3 3 3" xfId="25821" xr:uid="{ECB85467-33C1-44CE-A165-56B0CDA1688D}"/>
    <cellStyle name="Migliaia 9 3 3 3 4" xfId="9765" xr:uid="{589573EA-9127-43C1-A1A4-DD54C8A65D0F}"/>
    <cellStyle name="Migliaia 9 3 3 4" xfId="21225" xr:uid="{89BC17DB-8A0C-489E-BCCA-1932767D3FFB}"/>
    <cellStyle name="Migliaia 9 3 3 4 2" xfId="35023" xr:uid="{A527CB08-7C9F-4F9E-B4FD-ED52507A431D}"/>
    <cellStyle name="Migliaia 9 3 3 4 3" xfId="25822" xr:uid="{7CDD60D7-AD26-40FF-9182-A40020CBE179}"/>
    <cellStyle name="Migliaia 9 3 3 4 4" xfId="48926" xr:uid="{6FAE8750-E170-45EB-821D-96AD40169D4A}"/>
    <cellStyle name="Migliaia 9 3 3 5" xfId="25823" xr:uid="{1621BB3E-8463-4BA9-82C8-F8D1363D92DB}"/>
    <cellStyle name="Migliaia 9 3 3 5 2" xfId="35024" xr:uid="{6BE8F888-735A-43BE-99AB-453218E87C58}"/>
    <cellStyle name="Migliaia 9 3 3 5 3" xfId="48927" xr:uid="{8A8C7BEA-954B-4D30-AB75-B13DE399F939}"/>
    <cellStyle name="Migliaia 9 3 3 6" xfId="35020" xr:uid="{2553E789-6FD0-4352-8A92-AAB986E64DA4}"/>
    <cellStyle name="Migliaia 9 3 3 7" xfId="25819" xr:uid="{155ECBD0-931F-4D60-81DE-CD0DDA2ED0F1}"/>
    <cellStyle name="Migliaia 9 3 3 8" xfId="16960" xr:uid="{1761E77F-4F05-4562-8D05-238E77C44AF7}"/>
    <cellStyle name="Migliaia 9 3 3 9" xfId="7652" xr:uid="{0A3B3DB9-8270-4987-A46C-3D29BF82A03D}"/>
    <cellStyle name="Migliaia 9 3 4" xfId="4072" xr:uid="{28EB31A9-0C2D-4A8A-8F64-C871DBEFFD12}"/>
    <cellStyle name="Migliaia 9 3 4 2" xfId="5798" xr:uid="{748AF8FE-108D-402E-BFF6-8EAC4EFFC186}"/>
    <cellStyle name="Migliaia 9 3 4 2 2" xfId="14483" xr:uid="{1CCDF4A9-74FA-4BC6-B96F-91715FE9A2CD}"/>
    <cellStyle name="Migliaia 9 3 4 2 3" xfId="18139" xr:uid="{6729FE85-F76D-425A-A56B-CADDDE510F69}"/>
    <cellStyle name="Migliaia 9 3 4 2 4" xfId="21228" xr:uid="{BCFB046D-EC41-4D68-939A-2511680F3C3A}"/>
    <cellStyle name="Migliaia 9 3 4 2 5" xfId="32495" xr:uid="{7AAC43D7-167A-44BB-A593-E98FE2BF31E7}"/>
    <cellStyle name="Migliaia 9 3 4 2 6" xfId="16963" xr:uid="{5A0FD6C4-EB28-43EC-BF2C-97733CD4C01A}"/>
    <cellStyle name="Migliaia 9 3 4 2 7" xfId="8906" xr:uid="{AA1F1B02-49F4-426E-944B-9A534B834FAB}"/>
    <cellStyle name="Migliaia 9 3 4 3" xfId="6962" xr:uid="{55D4BD7E-3B72-4671-B2A5-71BB2B8C1078}"/>
    <cellStyle name="Migliaia 9 3 4 3 2" xfId="35545" xr:uid="{B141E22B-4536-4689-AB85-43EE169E2A13}"/>
    <cellStyle name="Migliaia 9 3 4 3 2 2" xfId="40705" xr:uid="{515756AC-1409-4784-AA54-818BD013EA64}"/>
    <cellStyle name="Migliaia 9 3 4 3 2 3" xfId="46007" xr:uid="{89024393-EDFB-4696-A1F7-62D54493DF50}"/>
    <cellStyle name="Migliaia 9 3 4 3 3" xfId="38054" xr:uid="{29425DF4-7DD6-40F2-BD0E-8C36EC2560FC}"/>
    <cellStyle name="Migliaia 9 3 4 3 4" xfId="43356" xr:uid="{BD82AF49-D81C-4180-A647-715C52680A69}"/>
    <cellStyle name="Migliaia 9 3 4 3 5" xfId="13731" xr:uid="{CEBD1B28-3EEC-453E-B63E-07691DBC809C}"/>
    <cellStyle name="Migliaia 9 3 4 4" xfId="21227" xr:uid="{582EFDB7-6110-4FFF-9ED7-C1A229F183CE}"/>
    <cellStyle name="Migliaia 9 3 4 4 2" xfId="35025" xr:uid="{1E2613F1-D171-4894-A6C4-647C78155357}"/>
    <cellStyle name="Migliaia 9 3 4 5" xfId="25824" xr:uid="{B5AF64DD-67F8-4396-A9C4-D49D7B7B7929}"/>
    <cellStyle name="Migliaia 9 3 4 6" xfId="16962" xr:uid="{5B84465C-9CA7-4971-A8B2-6497B8474B93}"/>
    <cellStyle name="Migliaia 9 3 4 7" xfId="7716" xr:uid="{3816E0F3-06B8-4001-94F4-69D22D668A6B}"/>
    <cellStyle name="Migliaia 9 3 5" xfId="4073" xr:uid="{FE7CB2C8-0CE2-4DF1-BAD3-427B3D8C5331}"/>
    <cellStyle name="Migliaia 9 3 5 2" xfId="5799" xr:uid="{870833B1-1FE1-44F1-AD59-B76F4DCF9663}"/>
    <cellStyle name="Migliaia 9 3 5 2 2" xfId="35546" xr:uid="{E3F25165-05FF-45BF-9A43-1EE949FD8F67}"/>
    <cellStyle name="Migliaia 9 3 5 2 2 2" xfId="40706" xr:uid="{7378D3A8-597E-4C46-89BE-FDE29ACD06B8}"/>
    <cellStyle name="Migliaia 9 3 5 2 2 3" xfId="46008" xr:uid="{10F73268-0930-44A4-BF45-3B8326BAE18E}"/>
    <cellStyle name="Migliaia 9 3 5 2 3" xfId="38055" xr:uid="{C69EE27A-BFB4-4A68-84F7-ADF9EB93C7D6}"/>
    <cellStyle name="Migliaia 9 3 5 2 4" xfId="43357" xr:uid="{E690FB4D-B16D-4C24-9DAF-0990A8711B3C}"/>
    <cellStyle name="Migliaia 9 3 5 2 5" xfId="14361" xr:uid="{B2375B97-A58C-44C7-B274-6E970E248B31}"/>
    <cellStyle name="Migliaia 9 3 5 3" xfId="6963" xr:uid="{E6B56958-97E7-4BA1-8C07-B4634415B666}"/>
    <cellStyle name="Migliaia 9 3 5 3 2" xfId="35026" xr:uid="{88E5DD48-1837-4A08-AFEC-7F4C134D50CA}"/>
    <cellStyle name="Migliaia 9 3 5 3 3" xfId="21229" xr:uid="{6AB63477-581F-4580-BEB3-649273A4E382}"/>
    <cellStyle name="Migliaia 9 3 5 4" xfId="25825" xr:uid="{62947019-BFFB-4C39-9E0A-AE16BD854A50}"/>
    <cellStyle name="Migliaia 9 3 5 5" xfId="16964" xr:uid="{ED65BCF2-DD61-4054-B024-77BC770CBA95}"/>
    <cellStyle name="Migliaia 9 3 5 6" xfId="8423" xr:uid="{0A9D807C-1C14-4E13-9771-F3CB9F0906E7}"/>
    <cellStyle name="Migliaia 9 3 6" xfId="5794" xr:uid="{7A860B01-E80A-4046-89AE-ECBD52ACEE64}"/>
    <cellStyle name="Migliaia 9 3 6 2" xfId="14066" xr:uid="{ED9E5710-8C68-4B7E-A703-1A9C14E630BC}"/>
    <cellStyle name="Migliaia 9 3 6 2 2" xfId="35027" xr:uid="{FCCBA6D5-91DF-4B1B-9F22-31C5E8BDB9A5}"/>
    <cellStyle name="Migliaia 9 3 6 3" xfId="18030" xr:uid="{6EEEDB2A-EE48-4325-9CDB-C3BB5E5A78B8}"/>
    <cellStyle name="Migliaia 9 3 6 4" xfId="21230" xr:uid="{9DEA2B95-2DA2-4164-9BC1-FD952606BF10}"/>
    <cellStyle name="Migliaia 9 3 6 5" xfId="25826" xr:uid="{99B9F7CA-6ED7-487E-AC6A-4DFECE141FB3}"/>
    <cellStyle name="Migliaia 9 3 6 6" xfId="16965" xr:uid="{94FC6A7A-87E3-49C4-87E6-934AEE963555}"/>
    <cellStyle name="Migliaia 9 3 6 7" xfId="8064" xr:uid="{11D65983-3339-485D-8EFF-D20BF1637781}"/>
    <cellStyle name="Migliaia 9 3 7" xfId="6958" xr:uid="{CB9DC3F6-A8F6-487A-A899-FF20B6FEB8CA}"/>
    <cellStyle name="Migliaia 9 3 7 2" xfId="35028" xr:uid="{61263095-70BD-4B9F-B03E-EF8EEF75CC01}"/>
    <cellStyle name="Migliaia 9 3 7 3" xfId="25827" xr:uid="{3A0FB1B0-8662-481C-8101-392465449D05}"/>
    <cellStyle name="Migliaia 9 3 7 4" xfId="12289" xr:uid="{72C74E1F-0622-48EC-AF55-A55E67563EA6}"/>
    <cellStyle name="Migliaia 9 3 8" xfId="4068" xr:uid="{FE2D2938-20C8-44E3-839F-05F5401798B3}"/>
    <cellStyle name="Migliaia 9 3 8 2" xfId="35029" xr:uid="{C198B50B-0896-4075-A968-7C854C646B5D}"/>
    <cellStyle name="Migliaia 9 3 8 3" xfId="25828" xr:uid="{5A371847-2FBA-4791-B654-4617FA649A97}"/>
    <cellStyle name="Migliaia 9 3 8 4" xfId="17069" xr:uid="{971C2EE1-41BA-41C0-B463-603DE7D744AF}"/>
    <cellStyle name="Migliaia 9 3 9" xfId="21221" xr:uid="{B551B788-FD22-4059-AC7F-06F3441603E0}"/>
    <cellStyle name="Migliaia 9 3 9 2" xfId="35012" xr:uid="{5F2E0199-F5D9-49FB-BEFA-83FEDC5A1990}"/>
    <cellStyle name="Migliaia 9 4" xfId="1958" xr:uid="{00000000-0005-0000-0000-0000E1040000}"/>
    <cellStyle name="Migliaia 9 4 10" xfId="7654" xr:uid="{043134D7-C236-4A3E-AE70-9DEDCC922EEF}"/>
    <cellStyle name="Migliaia 9 4 2" xfId="1959" xr:uid="{00000000-0005-0000-0000-0000E2040000}"/>
    <cellStyle name="Migliaia 9 4 2 2" xfId="5801" xr:uid="{4441B9B0-3F93-4E61-8ADA-3E3A56CCF627}"/>
    <cellStyle name="Migliaia 9 4 2 2 2" xfId="35032" xr:uid="{647093B1-32B9-4775-8F8C-61191642D400}"/>
    <cellStyle name="Migliaia 9 4 2 2 3" xfId="25831" xr:uid="{1C958E6F-0FEC-420A-9811-5B063D33045A}"/>
    <cellStyle name="Migliaia 9 4 2 2 4" xfId="9228" xr:uid="{2BDC43E0-04EA-4071-8D6D-A6F036FC65D3}"/>
    <cellStyle name="Migliaia 9 4 2 3" xfId="4075" xr:uid="{CB3B3AF3-0326-470A-A417-3CE8AC3F69A0}"/>
    <cellStyle name="Migliaia 9 4 2 3 2" xfId="35033" xr:uid="{4DFBC43B-4DA9-4C68-8576-B0A523656056}"/>
    <cellStyle name="Migliaia 9 4 2 3 3" xfId="25832" xr:uid="{8A39FB0A-82A9-4B26-905B-5D3FE9201A0A}"/>
    <cellStyle name="Migliaia 9 4 2 3 4" xfId="12129" xr:uid="{7F59A072-FA73-4604-BE65-8F6F0258CCB9}"/>
    <cellStyle name="Migliaia 9 4 2 4" xfId="11482" xr:uid="{6840BFE6-BBF2-4B52-A5A9-5A3186EEDB7C}"/>
    <cellStyle name="Migliaia 9 4 2 4 2" xfId="35031" xr:uid="{E14CDE76-89CC-40CC-B152-D68713EA4109}"/>
    <cellStyle name="Migliaia 9 4 2 5" xfId="11036" xr:uid="{8047A570-A2A0-436D-863F-9EDB4D0B5247}"/>
    <cellStyle name="Migliaia 9 4 2 5 2" xfId="21671" xr:uid="{1985E927-F96E-4F5B-953A-D2313763F50D}"/>
    <cellStyle name="Migliaia 9 4 2 5 3" xfId="46715" xr:uid="{27747C98-2D0E-4D2D-B3DF-C4D4331868C1}"/>
    <cellStyle name="Migliaia 9 4 2 5 4" xfId="50686" xr:uid="{DDA31782-16E5-4BE5-B127-A96D92940065}"/>
    <cellStyle name="Migliaia 9 4 2 5 5" xfId="53702" xr:uid="{A00FA59A-438A-4067-B21C-F8B76F5C2479}"/>
    <cellStyle name="Migliaia 9 4 2 6" xfId="21232" xr:uid="{930506EB-EB37-49C8-8299-B6C397B877E8}"/>
    <cellStyle name="Migliaia 9 4 2 7" xfId="25830" xr:uid="{4CDE14C8-F52B-47CD-85EF-3E3C3139EF1F}"/>
    <cellStyle name="Migliaia 9 4 2 8" xfId="8844" xr:uid="{A17F92AE-2743-4BA0-BAA6-82EEBFC7800A}"/>
    <cellStyle name="Migliaia 9 4 3" xfId="5800" xr:uid="{B800EBF7-E588-4B1B-954C-B1D3D115C02F}"/>
    <cellStyle name="Migliaia 9 4 3 2" xfId="18283" xr:uid="{CB3CAB25-B73F-483A-83D7-B62439D42E5D}"/>
    <cellStyle name="Migliaia 9 4 3 2 2" xfId="35034" xr:uid="{4B2A86E2-8E52-4BAC-A393-C5E4E3D3BB52}"/>
    <cellStyle name="Migliaia 9 4 3 3" xfId="25833" xr:uid="{D39DEB47-77B2-4A21-9F9B-992710B1D636}"/>
    <cellStyle name="Migliaia 9 4 3 4" xfId="17067" xr:uid="{DF20BD73-6167-4D1A-BF10-09462E911910}"/>
    <cellStyle name="Migliaia 9 4 3 5" xfId="9229" xr:uid="{41517645-1E9C-4A03-821F-06A1EFF1AF9C}"/>
    <cellStyle name="Migliaia 9 4 4" xfId="6964" xr:uid="{E1A24F35-522C-490D-B37D-684CD12704B9}"/>
    <cellStyle name="Migliaia 9 4 4 2" xfId="35035" xr:uid="{6C6D3944-2D1D-4B75-A306-EA9BD1904EB1}"/>
    <cellStyle name="Migliaia 9 4 4 3" xfId="25834" xr:uid="{DD23E1A7-A0DC-40A6-9DF6-7F7E206F5B09}"/>
    <cellStyle name="Migliaia 9 4 4 4" xfId="12130" xr:uid="{01E695F9-B3AE-41E3-B853-B234E4E22ECC}"/>
    <cellStyle name="Migliaia 9 4 5" xfId="4074" xr:uid="{13735715-4017-443A-BD7A-B70E08B12325}"/>
    <cellStyle name="Migliaia 9 4 5 2" xfId="35036" xr:uid="{6DD36D7E-0607-4D0D-A540-1B62B9FBF65A}"/>
    <cellStyle name="Migliaia 9 4 5 3" xfId="25835" xr:uid="{E4DC3EFE-BF89-4A2F-AAB8-479E051D359F}"/>
    <cellStyle name="Migliaia 9 4 5 4" xfId="11481" xr:uid="{F8DF6D6B-ED86-4A86-A923-1DA29EC9E1F3}"/>
    <cellStyle name="Migliaia 9 4 6" xfId="11035" xr:uid="{749467CD-139F-4FDB-B0E8-35DB1AEE3B8C}"/>
    <cellStyle name="Migliaia 9 4 6 2" xfId="21670" xr:uid="{5E7582CB-500B-4C06-BFB3-F1CF9C6EC797}"/>
    <cellStyle name="Migliaia 9 4 6 2 2" xfId="35037" xr:uid="{1A1000BA-1F21-47DE-8144-253DE00DD929}"/>
    <cellStyle name="Migliaia 9 4 6 3" xfId="25836" xr:uid="{80F59D56-76CB-462F-88A5-97C49B303066}"/>
    <cellStyle name="Migliaia 9 4 6 4" xfId="47516" xr:uid="{FB401D88-5B0C-446D-8B19-7F3A43E68E30}"/>
    <cellStyle name="Migliaia 9 4 6 5" xfId="48928" xr:uid="{A5744524-52E8-44BA-90BA-7F76CB4973C2}"/>
    <cellStyle name="Migliaia 9 4 6 6" xfId="50685" xr:uid="{04CBB422-8A27-44E7-ADBB-5A7BB1AE5E91}"/>
    <cellStyle name="Migliaia 9 4 6 7" xfId="53701" xr:uid="{52E8C7F1-D695-40B0-A671-C249DD6870F8}"/>
    <cellStyle name="Migliaia 9 4 7" xfId="21231" xr:uid="{D505C79F-F378-4DFF-AF2F-92C341F2F4FC}"/>
    <cellStyle name="Migliaia 9 4 7 2" xfId="35038" xr:uid="{A34FF172-2B55-4E5C-B460-A58D4234F11B}"/>
    <cellStyle name="Migliaia 9 4 7 3" xfId="25837" xr:uid="{6C3C600F-0347-4A26-B164-EFE9542CA8C4}"/>
    <cellStyle name="Migliaia 9 4 8" xfId="35030" xr:uid="{55994591-D9B6-4E7F-A76E-E0D07BE52C21}"/>
    <cellStyle name="Migliaia 9 4 9" xfId="25829" xr:uid="{8F1F5023-3582-4A07-9689-9868571CD4B2}"/>
    <cellStyle name="Migliaia 9 5" xfId="1960" xr:uid="{00000000-0005-0000-0000-0000E3040000}"/>
    <cellStyle name="Migliaia 9 5 2" xfId="5802" xr:uid="{FB2698D1-A43A-4FAD-8626-45CACFE46F64}"/>
    <cellStyle name="Migliaia 9 5 2 2" xfId="18544" xr:uid="{479193F4-2BF8-4F81-9792-4998F1BF9FCB}"/>
    <cellStyle name="Migliaia 9 5 2 2 2" xfId="35040" xr:uid="{A2B81643-CD1D-4CBD-BCAC-9A85C092612E}"/>
    <cellStyle name="Migliaia 9 5 2 3" xfId="21234" xr:uid="{34DA00D1-C8FA-4C54-B72C-3457C3F98E06}"/>
    <cellStyle name="Migliaia 9 5 2 4" xfId="25839" xr:uid="{1FD3E17A-F09C-4A55-B3F8-C822998E76A3}"/>
    <cellStyle name="Migliaia 9 5 2 5" xfId="16966" xr:uid="{B5BDC54D-C439-41B3-AD99-91DFDA1E5147}"/>
    <cellStyle name="Migliaia 9 5 2 6" xfId="8845" xr:uid="{073D3E82-5982-4E3F-B608-6628B548B1CB}"/>
    <cellStyle name="Migliaia 9 5 3" xfId="6965" xr:uid="{4C01C900-B544-4381-B041-EE5DA3CF58F4}"/>
    <cellStyle name="Migliaia 9 5 3 2" xfId="35041" xr:uid="{DA2A1BCA-199A-4682-AD58-9985B4142F23}"/>
    <cellStyle name="Migliaia 9 5 3 3" xfId="25840" xr:uid="{BBF12B61-310E-4F1F-9781-C30282889546}"/>
    <cellStyle name="Migliaia 9 5 3 4" xfId="11483" xr:uid="{E9423140-03D3-47E3-BF17-334519C59A41}"/>
    <cellStyle name="Migliaia 9 5 4" xfId="4076" xr:uid="{C892A0DE-2216-424B-9103-E03B3A83A33C}"/>
    <cellStyle name="Migliaia 9 5 4 2" xfId="21672" xr:uid="{25E7D16B-A3F4-4956-BC18-468C973D4791}"/>
    <cellStyle name="Migliaia 9 5 4 2 2" xfId="35042" xr:uid="{C062FEEE-45EA-44A9-AA6F-07888A458220}"/>
    <cellStyle name="Migliaia 9 5 4 3" xfId="25841" xr:uid="{4101C909-EA74-477C-9F26-92150C11ECB0}"/>
    <cellStyle name="Migliaia 9 5 4 4" xfId="48260" xr:uid="{7FE9664C-F454-4F3D-A76A-EE42226F5766}"/>
    <cellStyle name="Migliaia 9 5 4 5" xfId="48929" xr:uid="{6428BB1A-BD27-45D8-97B3-E1F19F1ADA6E}"/>
    <cellStyle name="Migliaia 9 5 4 6" xfId="50687" xr:uid="{634F156D-500C-4CA4-A83E-7F82466023CD}"/>
    <cellStyle name="Migliaia 9 5 4 7" xfId="53703" xr:uid="{31C4F6B3-706B-4E93-8A8A-C57345E8E38C}"/>
    <cellStyle name="Migliaia 9 5 4 8" xfId="11037" xr:uid="{77AB1AE4-0526-4120-80DC-03D90B01FC97}"/>
    <cellStyle name="Migliaia 9 5 5" xfId="21233" xr:uid="{85BF6354-BE2F-4109-A104-CCC807C65F6C}"/>
    <cellStyle name="Migliaia 9 5 5 2" xfId="35043" xr:uid="{A69D6063-2B8B-4D93-8068-1FA9F2F5EB76}"/>
    <cellStyle name="Migliaia 9 5 5 3" xfId="25842" xr:uid="{1C2A0D31-5467-49A4-94B0-BD6B75816027}"/>
    <cellStyle name="Migliaia 9 5 5 4" xfId="48930" xr:uid="{56A0D999-7628-4E1D-8A1A-814153694534}"/>
    <cellStyle name="Migliaia 9 5 6" xfId="25843" xr:uid="{77665FD0-5E96-4D53-9BA3-973DD7825280}"/>
    <cellStyle name="Migliaia 9 5 6 2" xfId="35044" xr:uid="{4453CA8B-3D97-4AC8-AA23-FE8B18BF78E6}"/>
    <cellStyle name="Migliaia 9 5 7" xfId="35039" xr:uid="{C405E3FF-D5C0-433E-AD95-ADDE40E5789E}"/>
    <cellStyle name="Migliaia 9 5 8" xfId="25838" xr:uid="{9D52287A-41C3-41F3-A508-95FF60DB4BE3}"/>
    <cellStyle name="Migliaia 9 5 9" xfId="7655" xr:uid="{8E7CC24B-EA7A-4058-8136-3A4EF795D4E3}"/>
    <cellStyle name="Migliaia 9 6" xfId="4077" xr:uid="{AC151E29-A1AF-4C68-924F-815A5E009242}"/>
    <cellStyle name="Migliaia 9 6 2" xfId="5803" xr:uid="{54886909-D92F-4806-9016-78D7081B275C}"/>
    <cellStyle name="Migliaia 9 6 2 2" xfId="10001" xr:uid="{6C1F5EE2-12C7-4B10-A55A-F649B7B16990}"/>
    <cellStyle name="Migliaia 9 6 2 3" xfId="18594" xr:uid="{226C846D-EB80-4FB5-9202-61B45F9D9BA5}"/>
    <cellStyle name="Migliaia 9 6 2 4" xfId="21236" xr:uid="{1C98370E-5C32-4FC8-8BC6-8FFA0F7C6DF3}"/>
    <cellStyle name="Migliaia 9 6 2 5" xfId="32496" xr:uid="{781403E7-79FB-45D2-9E7E-75181173B1C4}"/>
    <cellStyle name="Migliaia 9 6 2 6" xfId="16968" xr:uid="{5BD6572D-3903-43CF-9276-18F592EA52E7}"/>
    <cellStyle name="Migliaia 9 6 2 7" xfId="8840" xr:uid="{B347AB4E-D4FF-40E5-AA13-EEA36B1A4F0E}"/>
    <cellStyle name="Migliaia 9 6 3" xfId="6966" xr:uid="{870C5297-9DCE-4C76-B85E-63B612C18B9A}"/>
    <cellStyle name="Migliaia 9 6 3 2" xfId="35547" xr:uid="{70426EC2-80D0-4D2D-9EA8-9601B4E57D8A}"/>
    <cellStyle name="Migliaia 9 6 3 2 2" xfId="40707" xr:uid="{18D61EAA-B53E-4A5A-955C-C0F5CA58581D}"/>
    <cellStyle name="Migliaia 9 6 3 2 3" xfId="46009" xr:uid="{F0D91B48-9C0B-4440-9C61-BF1B920687F5}"/>
    <cellStyle name="Migliaia 9 6 3 3" xfId="38056" xr:uid="{085C8F58-99DB-4848-B34E-AC7FDBAF01F9}"/>
    <cellStyle name="Migliaia 9 6 3 4" xfId="43358" xr:uid="{44710E45-88B0-44E3-B799-9910B57105F7}"/>
    <cellStyle name="Migliaia 9 6 3 5" xfId="9764" xr:uid="{0127F633-0C84-4362-BECE-26FEEC9611A7}"/>
    <cellStyle name="Migliaia 9 6 4" xfId="21235" xr:uid="{14AA7376-5557-449C-BF06-9D5C6F81A53F}"/>
    <cellStyle name="Migliaia 9 6 4 2" xfId="35045" xr:uid="{FE9FF43D-EED3-4F5C-9BC4-3235B157B6AC}"/>
    <cellStyle name="Migliaia 9 6 5" xfId="25844" xr:uid="{C7C635FA-D2CC-44A3-8C3F-73A8CFBADB2C}"/>
    <cellStyle name="Migliaia 9 6 6" xfId="16967" xr:uid="{9CBB6869-172F-4CA1-819C-D9703A234C39}"/>
    <cellStyle name="Migliaia 9 6 7" xfId="7650" xr:uid="{6EC0F1AF-457C-4E02-9168-5DAEAF1C6021}"/>
    <cellStyle name="Migliaia 9 7" xfId="4078" xr:uid="{992C413C-790E-4247-9C76-33C89B0CC7B1}"/>
    <cellStyle name="Migliaia 9 7 2" xfId="5804" xr:uid="{4F74F1E8-EE86-4F77-8E1B-31C5D8529E11}"/>
    <cellStyle name="Migliaia 9 7 2 2" xfId="35548" xr:uid="{016AAEAA-28B2-4E49-924F-3A5DB3233250}"/>
    <cellStyle name="Migliaia 9 7 2 2 2" xfId="40708" xr:uid="{14B7CD83-6818-47F6-A0DB-2C476AEBE747}"/>
    <cellStyle name="Migliaia 9 7 2 2 3" xfId="46010" xr:uid="{A324A435-FB0B-435E-A1F8-A18C9A6D4FC2}"/>
    <cellStyle name="Migliaia 9 7 2 3" xfId="38057" xr:uid="{935482EF-B838-4467-9BC2-ED04CD108E8C}"/>
    <cellStyle name="Migliaia 9 7 2 4" xfId="43359" xr:uid="{F2080A7A-71BE-4428-801C-969819B002EC}"/>
    <cellStyle name="Migliaia 9 7 2 5" xfId="14359" xr:uid="{404B528D-1429-40DF-A547-0CFDCC66FEA9}"/>
    <cellStyle name="Migliaia 9 7 3" xfId="6967" xr:uid="{9F1D38D3-D47E-44EB-8ABD-EC9889845EB0}"/>
    <cellStyle name="Migliaia 9 7 3 2" xfId="35046" xr:uid="{C1001A7D-278C-42AD-AEA8-DF861FC2C870}"/>
    <cellStyle name="Migliaia 9 7 3 3" xfId="21237" xr:uid="{8FD002C9-CB02-4815-BB91-2E7BCF7AC271}"/>
    <cellStyle name="Migliaia 9 7 4" xfId="25845" xr:uid="{B52BD695-4F62-422F-A945-BE046F681C6D}"/>
    <cellStyle name="Migliaia 9 7 5" xfId="16969" xr:uid="{504B94DE-32E6-46FE-8A45-7AC4B4A37A22}"/>
    <cellStyle name="Migliaia 9 7 6" xfId="8421" xr:uid="{A4DCB5AA-20C3-4E61-B570-9D97B91E44C4}"/>
    <cellStyle name="Migliaia 9 8" xfId="4079" xr:uid="{20B4D4BC-F145-4805-A6B0-84C6DA625243}"/>
    <cellStyle name="Migliaia 9 8 2" xfId="5805" xr:uid="{DD4C9894-6954-438B-957F-8A07AE879E66}"/>
    <cellStyle name="Migliaia 9 8 2 2" xfId="35549" xr:uid="{3C75C1D4-B5D2-4B28-8BB4-69BF5A133FA8}"/>
    <cellStyle name="Migliaia 9 8 2 2 2" xfId="40709" xr:uid="{635E5D68-5DD6-464E-80E1-0E316FC2EBF6}"/>
    <cellStyle name="Migliaia 9 8 2 2 3" xfId="46011" xr:uid="{32A10C0B-FBC6-4699-A5E1-9DED9F91DDD0}"/>
    <cellStyle name="Migliaia 9 8 2 3" xfId="38058" xr:uid="{C7A50851-4ABF-4255-94FE-429C59F15E42}"/>
    <cellStyle name="Migliaia 9 8 2 4" xfId="43360" xr:uid="{4D716847-50EC-46D3-9F55-D3118C2E9FCF}"/>
    <cellStyle name="Migliaia 9 8 2 5" xfId="14064" xr:uid="{16584684-89D4-41F7-8048-BB2764055A0B}"/>
    <cellStyle name="Migliaia 9 8 3" xfId="6968" xr:uid="{C71300A4-7314-4365-B508-262A5D358FB4}"/>
    <cellStyle name="Migliaia 9 8 3 2" xfId="35047" xr:uid="{A9FBE340-2204-4BC9-A9E7-9A8847150223}"/>
    <cellStyle name="Migliaia 9 8 3 3" xfId="21238" xr:uid="{A20CAA5A-E53E-4F7B-94C5-BC449FDDDD1E}"/>
    <cellStyle name="Migliaia 9 8 4" xfId="25846" xr:uid="{B1CCC46D-CC3B-4399-8750-ED6D662B5D19}"/>
    <cellStyle name="Migliaia 9 8 5" xfId="16970" xr:uid="{5A35876C-8A6E-4A4A-BD67-FEEE28635902}"/>
    <cellStyle name="Migliaia 9 8 6" xfId="8062" xr:uid="{ADA43F90-BA53-45A2-BB77-DBD185BECFD1}"/>
    <cellStyle name="Migliaia 9 9" xfId="5790" xr:uid="{69CC92EF-BF99-4C81-822E-6FF38615C59E}"/>
    <cellStyle name="Migliaia 9 9 2" xfId="35048" xr:uid="{CAF3A3BC-A10C-4FB4-82E5-3E501843C5B9}"/>
    <cellStyle name="Migliaia 9 9 3" xfId="25847" xr:uid="{F6FECE83-43F6-4EA8-9A96-102B4E1C8E6E}"/>
    <cellStyle name="Migliaia 9 9 4" xfId="17255" xr:uid="{299F2705-40D9-4655-A6D6-56F98384D707}"/>
    <cellStyle name="Neutral 2" xfId="1961" xr:uid="{00000000-0005-0000-0000-0000E4040000}"/>
    <cellStyle name="Neutral 2 2" xfId="12131" xr:uid="{C899570C-600D-4F6C-8939-A03F56BF4FFF}"/>
    <cellStyle name="Neutral 2 2 2" xfId="35050" xr:uid="{52B7C439-5DFB-4EA3-9A34-5C0D5AD01D08}"/>
    <cellStyle name="Neutral 2 2 3" xfId="25849" xr:uid="{A81A9AB3-E5D8-48BF-B653-931E3BEF8F40}"/>
    <cellStyle name="Neutral 2 3" xfId="11146" xr:uid="{744A3589-8C13-4F86-828A-5D898C77BD9D}"/>
    <cellStyle name="Neutral 2 3 2" xfId="35049" xr:uid="{4A3305C7-95BA-4CA0-B961-DDB4372857F2}"/>
    <cellStyle name="Neutral 2 4" xfId="25848" xr:uid="{CDAC301B-C671-490F-9DD2-19C1E16AEF8D}"/>
    <cellStyle name="Neutrale" xfId="545" xr:uid="{00000000-0005-0000-0000-0000E5040000}"/>
    <cellStyle name="Neutrale 2" xfId="35051" xr:uid="{13782016-4AA8-4263-B83B-488F0A145C86}"/>
    <cellStyle name="Neutrale 3" xfId="25850" xr:uid="{4882C3BE-1793-4667-BC74-5BD2B37607F4}"/>
    <cellStyle name="Normal" xfId="0" builtinId="0"/>
    <cellStyle name="Normal 10" xfId="546" xr:uid="{00000000-0005-0000-0000-0000E7040000}"/>
    <cellStyle name="Normal 10 2" xfId="547" xr:uid="{00000000-0005-0000-0000-0000E8040000}"/>
    <cellStyle name="Normal 10 2 2" xfId="13426" xr:uid="{ED16485E-6A34-461E-9D86-44D12FAFBDDE}"/>
    <cellStyle name="Normal 10 2 2 2" xfId="25854" xr:uid="{92D6837F-86F5-45FB-8CDA-2E941F3957E5}"/>
    <cellStyle name="Normal 10 2 2 3" xfId="25853" xr:uid="{377C935E-BD98-4390-99C3-F74794C10766}"/>
    <cellStyle name="Normal 10 2 3" xfId="25855" xr:uid="{4A727725-E9C3-4E0F-AAF8-979EFB5D38FE}"/>
    <cellStyle name="Normal 10 2 3 2" xfId="25856" xr:uid="{09BC3F57-5286-4672-8D7B-1482329C6C48}"/>
    <cellStyle name="Normal 10 2 4" xfId="25857" xr:uid="{EA9FAC10-C759-4383-8502-41C878A3C7AC}"/>
    <cellStyle name="Normal 10 2 5" xfId="25858" xr:uid="{F9B6C59B-D48A-4E96-89E1-C5F43AF401BD}"/>
    <cellStyle name="Normal 10 2 6" xfId="25852" xr:uid="{4940E4A1-BD78-4059-8E92-B52DFB49B63A}"/>
    <cellStyle name="Normal 10 3" xfId="13164" xr:uid="{30C8662A-8C44-44E3-AF3B-BDE83AA1B9E7}"/>
    <cellStyle name="Normal 10 3 2" xfId="25860" xr:uid="{15975EDF-3DCD-4AC9-976C-944EE02158CE}"/>
    <cellStyle name="Normal 10 3 3" xfId="25861" xr:uid="{C544083C-9CAA-436B-92A3-4EBA861B8E0A}"/>
    <cellStyle name="Normal 10 3 4" xfId="25859" xr:uid="{698DDAB6-AB14-481F-829D-62E1C80D0A6A}"/>
    <cellStyle name="Normal 10 3 5" xfId="48931" xr:uid="{802F1A7D-C47A-45EA-BDBD-52482F8FC287}"/>
    <cellStyle name="Normal 10 4" xfId="25862" xr:uid="{2948B177-5CE7-4576-8C58-A20D454A0558}"/>
    <cellStyle name="Normal 10 4 2" xfId="25863" xr:uid="{74044C66-629A-4017-AFE5-6B8F784973C1}"/>
    <cellStyle name="Normal 10 5" xfId="25864" xr:uid="{107EBD8A-1D43-4EA0-8338-A2DE2FAE44FF}"/>
    <cellStyle name="Normal 10 5 2" xfId="25865" xr:uid="{601B1830-485F-451E-9384-475658541BAB}"/>
    <cellStyle name="Normal 10 6" xfId="25866" xr:uid="{679A8AA2-C5CD-4D44-8CF2-288E7FFFD06D}"/>
    <cellStyle name="Normal 10 7" xfId="25867" xr:uid="{2A56D88B-755C-4AA5-AF22-D216DA85D015}"/>
    <cellStyle name="Normal 10 8" xfId="30228" xr:uid="{09619C9C-172B-42C3-8BC8-68ECD4D45236}"/>
    <cellStyle name="Normal 10 9" xfId="25851" xr:uid="{8AFA136F-B9D0-4985-958F-D1675FDCE046}"/>
    <cellStyle name="Normal 11" xfId="548" xr:uid="{00000000-0005-0000-0000-0000E9040000}"/>
    <cellStyle name="Normal 11 2" xfId="8908" xr:uid="{E3AAC0B1-47A8-477B-91AD-3C8E3FD3C0EF}"/>
    <cellStyle name="Normal 11 2 2" xfId="10005" xr:uid="{04FB841B-3F5F-47CD-8E74-8CF8A5E98596}"/>
    <cellStyle name="Normal 11 2 2 2" xfId="10313" xr:uid="{E59A7D61-26EE-4B2F-B756-DC1A0F1A8261}"/>
    <cellStyle name="Normal 11 2 2 2 2" xfId="12766" xr:uid="{ED1316D3-38BD-46F2-B859-A20D2ED29641}"/>
    <cellStyle name="Normal 11 2 2 2 2 2" xfId="46350" xr:uid="{D44A011F-666E-4862-96EE-0740FA56036C}"/>
    <cellStyle name="Normal 11 2 2 2 3" xfId="18895" xr:uid="{F6BE6463-78EC-499F-A05C-5681EDF03748}"/>
    <cellStyle name="Normal 11 2 2 3" xfId="12465" xr:uid="{EA39FB85-7A9D-4C1E-BC66-F8076B0B9619}"/>
    <cellStyle name="Normal 11 2 2 3 2" xfId="25868" xr:uid="{3F094415-55E1-45E7-85B0-8B194828078D}"/>
    <cellStyle name="Normal 11 2 2 4" xfId="18746" xr:uid="{A1D45337-812B-422D-A5B0-9F3B8A7817E3}"/>
    <cellStyle name="Normal 11 2 3" xfId="10079" xr:uid="{099887CE-B612-488B-9F67-407A0E13B576}"/>
    <cellStyle name="Normal 11 2 3 2" xfId="10392" xr:uid="{2A8CADFC-0A0B-4AED-814C-C81F0B2A3573}"/>
    <cellStyle name="Normal 11 2 3 2 2" xfId="12845" xr:uid="{432761A7-435D-4BE2-99B2-1D4D9497EBA3}"/>
    <cellStyle name="Normal 11 2 3 2 2 2" xfId="24690" xr:uid="{A20777B1-28F8-42C3-AB55-543803AF9E14}"/>
    <cellStyle name="Normal 11 2 3 2 3" xfId="18936" xr:uid="{7A1BFD2C-2E3D-4ABD-ADFE-DA5CC50D5A01}"/>
    <cellStyle name="Normal 11 2 3 3" xfId="12536" xr:uid="{B75E8823-2FB2-4A73-8FDD-13EB40211070}"/>
    <cellStyle name="Normal 11 2 3 3 2" xfId="32428" xr:uid="{88A9E4E2-C17C-410A-9D5F-AE6E1F39E99E}"/>
    <cellStyle name="Normal 11 2 3 4" xfId="18779" xr:uid="{859ADA94-BEDA-49FD-AA6C-50A5DA47885D}"/>
    <cellStyle name="Normal 11 2 4" xfId="10158" xr:uid="{A13575A4-7FE2-4BEA-920D-315BD90881F6}"/>
    <cellStyle name="Normal 11 2 4 2" xfId="10472" xr:uid="{666A1568-27D0-43A6-AC85-5BF6BEA546C7}"/>
    <cellStyle name="Normal 11 2 4 2 2" xfId="12925" xr:uid="{4DC447BC-9B03-48F5-ABD7-26E4DD9B8AF7}"/>
    <cellStyle name="Normal 11 2 4 2 2 2" xfId="47622" xr:uid="{0D01D32F-8309-47AE-9433-A287CD8A50F0}"/>
    <cellStyle name="Normal 11 2 4 2 3" xfId="18978" xr:uid="{ABC794F0-5C1D-4297-AD9D-544278CCF722}"/>
    <cellStyle name="Normal 11 2 4 3" xfId="12612" xr:uid="{180CA8A5-54F8-45D8-8973-F374214D4BDE}"/>
    <cellStyle name="Normal 11 2 4 3 2" xfId="46773" xr:uid="{99461D95-989E-41F7-9875-693D1C0C65F6}"/>
    <cellStyle name="Normal 11 2 4 4" xfId="18817" xr:uid="{7CC4B8DD-C940-4A8B-8615-51C0BAAB61F0}"/>
    <cellStyle name="Normal 11 2 5" xfId="10238" xr:uid="{036DD976-3430-4A7E-8D37-6E3D8231D839}"/>
    <cellStyle name="Normal 11 2 5 2" xfId="12691" xr:uid="{04915A62-CEE7-4568-97D8-015D7D636447}"/>
    <cellStyle name="Normal 11 2 5 2 2" xfId="47663" xr:uid="{FF6168FA-9772-4782-8E57-9F6B6B30C47E}"/>
    <cellStyle name="Normal 11 2 5 3" xfId="18858" xr:uid="{C5867C41-9578-4FE0-BD63-82D81889D717}"/>
    <cellStyle name="Normal 11 2 6" xfId="10552" xr:uid="{3CE1FF23-0C59-4967-AB6D-50416CFCE578}"/>
    <cellStyle name="Normal 11 2 6 2" xfId="13005" xr:uid="{C3939D86-FC95-4F46-A429-8B8550CF6C87}"/>
    <cellStyle name="Normal 11 2 6 2 2" xfId="32551" xr:uid="{4C96EE07-C3E1-453E-8D06-48F45FBD0211}"/>
    <cellStyle name="Normal 11 2 6 3" xfId="19020" xr:uid="{A3CADAD4-477E-41DE-9B18-71022A197905}"/>
    <cellStyle name="Normal 11 2 7" xfId="11676" xr:uid="{86D25780-0543-4DB1-BF22-7C6A98B62AAA}"/>
    <cellStyle name="Normal 11 2 7 2" xfId="48040" xr:uid="{3C311F0E-A003-431D-98D1-707BB215BC46}"/>
    <cellStyle name="Normal 11 2 8" xfId="17714" xr:uid="{623A42D8-876C-458A-92E5-A7FE3879F721}"/>
    <cellStyle name="Normal 11 3" xfId="6969" xr:uid="{19879A5A-36C3-4CBB-9C55-BD1705E3F3FB}"/>
    <cellStyle name="Normal 11 3 2" xfId="25870" xr:uid="{B16FD14C-AEF8-4581-8800-97058B016DB3}"/>
    <cellStyle name="Normal 11 3 2 2" xfId="25871" xr:uid="{60465B5E-D1A7-4A9C-8C39-DAB6E4241F15}"/>
    <cellStyle name="Normal 11 3 3" xfId="25872" xr:uid="{3D50152C-EC04-4376-823A-E2FCA6B5F07B}"/>
    <cellStyle name="Normal 11 3 3 2" xfId="25873" xr:uid="{2CB5C3C2-AB10-4F10-A58A-4B3ECB154D61}"/>
    <cellStyle name="Normal 11 3 4" xfId="25874" xr:uid="{A515B0E4-B1AD-4211-A845-CD0BD054CE84}"/>
    <cellStyle name="Normal 11 3 5" xfId="25875" xr:uid="{888E1E22-3E1D-4301-8725-E7A5A23694A0}"/>
    <cellStyle name="Normal 11 3 6" xfId="25869" xr:uid="{A9A0CE4C-AD85-4A26-858F-8E855054C0FA}"/>
    <cellStyle name="Normal 11 4" xfId="11578" xr:uid="{5B167E7E-BC69-4FE5-98D2-2322DF78161F}"/>
    <cellStyle name="Normal 11 4 2" xfId="25876" xr:uid="{EACFFD14-730C-4DC3-9224-92E9C8EC0ACF}"/>
    <cellStyle name="Normal 11 4 3" xfId="18158" xr:uid="{038F2501-6AD7-45BB-A44B-AE88F3EBC28A}"/>
    <cellStyle name="Normal 11 5" xfId="25877" xr:uid="{DA6847B2-B9EA-4FEA-98E2-F709F6745DE6}"/>
    <cellStyle name="Normal 11 5 2" xfId="25878" xr:uid="{60E531A7-6017-4219-B0F1-EDE20CACCC12}"/>
    <cellStyle name="Normal 11 6" xfId="25879" xr:uid="{733B8CC3-E986-4D84-9439-88370FFA0613}"/>
    <cellStyle name="Normal 11 6 2" xfId="25880" xr:uid="{FA701BF1-118D-452A-AD9B-D862F5F8315D}"/>
    <cellStyle name="Normal 11 7" xfId="25881" xr:uid="{F73167AE-C5B0-452B-A81E-05CE46E89E56}"/>
    <cellStyle name="Normal 11 8" xfId="25882" xr:uid="{BF1B6D55-955C-4CC4-ADB0-812CE6E37B94}"/>
    <cellStyle name="Normal 11 9" xfId="25883" xr:uid="{5815AE43-5610-41DD-8D96-D11A7F7B5E09}"/>
    <cellStyle name="Normal 11 9 2" xfId="30227" xr:uid="{1566F0D5-620F-4B55-BD3A-08F4C8F60D3A}"/>
    <cellStyle name="Normal 12" xfId="549" xr:uid="{00000000-0005-0000-0000-0000EA040000}"/>
    <cellStyle name="Normal 12 2" xfId="1962" xr:uid="{00000000-0005-0000-0000-0000EB040000}"/>
    <cellStyle name="Normal 12 2 2" xfId="14067" xr:uid="{C85D0616-4990-4D89-99E0-1BB7FEB95FA8}"/>
    <cellStyle name="Normal 12 2 2 2" xfId="25885" xr:uid="{DE88613E-F93F-46F1-AC66-F58E99229103}"/>
    <cellStyle name="Normal 12 2 2 3" xfId="25884" xr:uid="{40FF8891-40F1-4FDD-81FF-85C8007D0D49}"/>
    <cellStyle name="Normal 12 2 3" xfId="25886" xr:uid="{E692D5D0-575A-40BA-BB2F-B70A32DA17D5}"/>
    <cellStyle name="Normal 12 2 3 2" xfId="25887" xr:uid="{D7CFF064-805D-40EF-9822-C81883E008BD}"/>
    <cellStyle name="Normal 12 2 4" xfId="25888" xr:uid="{4154A3CA-6DC2-4335-8853-DA799FF0EEE6}"/>
    <cellStyle name="Normal 12 2 5" xfId="17790" xr:uid="{BE30F136-79AE-4163-B005-0B1108866E0E}"/>
    <cellStyle name="Normal 12 3" xfId="12132" xr:uid="{62FE28A8-A81D-46E5-BDB5-A2697A28CE70}"/>
    <cellStyle name="Normal 12 3 2" xfId="25890" xr:uid="{3787D45E-EF34-4973-8AA9-F4113C70D30D}"/>
    <cellStyle name="Normal 12 3 3" xfId="25889" xr:uid="{BE651B28-D39A-482A-AC58-97373A9EA0FE}"/>
    <cellStyle name="Normal 12 4" xfId="25891" xr:uid="{F2DEB5D2-42F7-4FC7-84D4-D7361E502A93}"/>
    <cellStyle name="Normal 12 4 2" xfId="25892" xr:uid="{6339C7A5-1621-4262-9C03-0D4D58E00802}"/>
    <cellStyle name="Normal 12 5" xfId="25893" xr:uid="{B64A0529-AF2C-4EA5-B4F5-6AA49FB043C5}"/>
    <cellStyle name="Normal 12 5 2" xfId="25894" xr:uid="{F80B3665-F025-4132-8B77-F700B030351B}"/>
    <cellStyle name="Normal 12 6" xfId="25895" xr:uid="{E13184D6-57D8-4258-AE89-77E87F93C48D}"/>
    <cellStyle name="Normal 12 7" xfId="25896" xr:uid="{DDD9E8B4-5498-4E5B-8778-B5CB2B9A521F}"/>
    <cellStyle name="Normal 12 8" xfId="25897" xr:uid="{10C470D2-36D6-4C97-B561-484B39BB4F4E}"/>
    <cellStyle name="Normal 13" xfId="1251" xr:uid="{00000000-0005-0000-0000-0000EC040000}"/>
    <cellStyle name="Normal 13 2" xfId="4080" xr:uid="{A5158115-D314-454E-8DC8-A75CAB1A8815}"/>
    <cellStyle name="Normal 13 2 2" xfId="18568" xr:uid="{96BDA1A6-79A9-4B86-93EC-88848E6939A6}"/>
    <cellStyle name="Normal 13 2 2 2" xfId="25901" xr:uid="{814D7447-147A-498A-95F2-A822CA516375}"/>
    <cellStyle name="Normal 13 2 2 3" xfId="25900" xr:uid="{FEA97028-883A-4A6D-A399-6B57D8CD18FE}"/>
    <cellStyle name="Normal 13 2 3" xfId="25902" xr:uid="{B9EB7D34-36A7-49DF-A894-3AC1DC848E6C}"/>
    <cellStyle name="Normal 13 2 3 2" xfId="25903" xr:uid="{002F5AE7-3AE9-4313-B2C1-20AEAFE7D207}"/>
    <cellStyle name="Normal 13 2 4" xfId="25904" xr:uid="{A8E0CA92-FF03-4AD8-AB1A-C17087391367}"/>
    <cellStyle name="Normal 13 2 5" xfId="25899" xr:uid="{54530EF4-CC40-4B89-BD0B-F9B9AD92868F}"/>
    <cellStyle name="Normal 13 3" xfId="11179" xr:uid="{37F75737-775C-4724-A963-164CE06AB033}"/>
    <cellStyle name="Normal 13 3 2" xfId="25906" xr:uid="{9145E8A6-95CE-49B7-863B-B30CA4F2D836}"/>
    <cellStyle name="Normal 13 3 3" xfId="25905" xr:uid="{F3044CFE-7601-4CA8-9755-3066590598D3}"/>
    <cellStyle name="Normal 13 4" xfId="25907" xr:uid="{FF02DF7A-5754-45CC-BB80-6B7F2966ADB7}"/>
    <cellStyle name="Normal 13 4 2" xfId="25908" xr:uid="{7DE84DFF-23C1-4B0D-A03F-3732F72B1A76}"/>
    <cellStyle name="Normal 13 5" xfId="25909" xr:uid="{9B36FF78-F0C5-4CB8-A141-BDCA62B03EA8}"/>
    <cellStyle name="Normal 13 5 2" xfId="25910" xr:uid="{32A9098C-6DD1-42CF-A395-5101967A578D}"/>
    <cellStyle name="Normal 13 6" xfId="25911" xr:uid="{9F696ADD-F42E-4CA5-9465-621E577B341C}"/>
    <cellStyle name="Normal 13 7" xfId="25912" xr:uid="{9C57606C-1C6D-4A70-8C05-69241C3A1515}"/>
    <cellStyle name="Normal 13 8" xfId="25913" xr:uid="{180004AA-83D1-42DA-9CD2-48C3E057AE66}"/>
    <cellStyle name="Normal 13 9" xfId="25898" xr:uid="{4E6A0F3E-4CF4-4287-87BE-F174C3D85A3F}"/>
    <cellStyle name="Normal 14" xfId="1963" xr:uid="{00000000-0005-0000-0000-0000ED040000}"/>
    <cellStyle name="Normal 14 10" xfId="7717" xr:uid="{FB84CD53-3E0C-463B-AF32-3F1B7937F5FF}"/>
    <cellStyle name="Normal 14 2" xfId="9875" xr:uid="{A1897E28-D80A-4629-9DB8-0A7123A2CE8D}"/>
    <cellStyle name="Normal 14 2 2" xfId="10298" xr:uid="{8DE30AC6-5559-43EE-85B8-330EACD9C3A1}"/>
    <cellStyle name="Normal 14 2 2 2" xfId="12751" xr:uid="{808B4025-91E0-48DB-A13F-000B7C942291}"/>
    <cellStyle name="Normal 14 2 2 2 2" xfId="46788" xr:uid="{9B35E8FF-8462-4BE3-A171-920D36239D76}"/>
    <cellStyle name="Normal 14 2 2 3" xfId="18881" xr:uid="{DFD8E134-7578-42B0-881B-03546243FB71}"/>
    <cellStyle name="Normal 14 2 3" xfId="12454" xr:uid="{02FE65F0-913E-4F71-833F-2491A1D6852A}"/>
    <cellStyle name="Normal 14 2 3 2" xfId="48487" xr:uid="{ADE9A540-D01B-400C-B0FB-93839D3F475D}"/>
    <cellStyle name="Normal 14 2 4" xfId="48932" xr:uid="{1C96FF1C-9B70-41FB-A3B3-49372C1C00E2}"/>
    <cellStyle name="Normal 14 2 5" xfId="18736" xr:uid="{FC4060D7-2160-4D4E-8247-935212671EDA}"/>
    <cellStyle name="Normal 14 3" xfId="10064" xr:uid="{78D4EDA8-C8BF-4C07-8E5B-39EFA029EAB8}"/>
    <cellStyle name="Normal 14 3 2" xfId="10373" xr:uid="{39E456B4-D638-4F91-91DC-ABC31E5352FB}"/>
    <cellStyle name="Normal 14 3 2 2" xfId="12826" xr:uid="{AE7E469C-F737-41D3-A325-9FC65689E7FB}"/>
    <cellStyle name="Normal 14 3 2 2 2" xfId="32535" xr:uid="{0A260DAB-8C16-4900-830E-CA5209A09156}"/>
    <cellStyle name="Normal 14 3 2 3" xfId="18918" xr:uid="{0E75A49E-83AC-4153-A5BD-DC360299706D}"/>
    <cellStyle name="Normal 14 3 3" xfId="12523" xr:uid="{F8207222-ED8F-42AF-9E73-F1CAD1B6A8E7}"/>
    <cellStyle name="Normal 14 3 3 2" xfId="46318" xr:uid="{C853FA77-DAAF-4865-8516-6E155C28AB14}"/>
    <cellStyle name="Normal 14 3 4" xfId="18767" xr:uid="{E95FEA04-A989-49C0-A43C-9F24124719CA}"/>
    <cellStyle name="Normal 14 4" xfId="10139" xr:uid="{9F85A2CA-0474-4EAF-858D-AF341261A811}"/>
    <cellStyle name="Normal 14 4 2" xfId="10453" xr:uid="{82CCEF86-012B-416B-BFA1-D3A43134292D}"/>
    <cellStyle name="Normal 14 4 2 2" xfId="12906" xr:uid="{75AD52C9-5824-4965-B392-DA4DE1E7A9DE}"/>
    <cellStyle name="Normal 14 4 2 2 2" xfId="47766" xr:uid="{47D4CAB4-5AA2-40C1-9B7B-6DD83BBED294}"/>
    <cellStyle name="Normal 14 4 2 3" xfId="18960" xr:uid="{494BCE03-3698-426E-A250-CA414761A8F7}"/>
    <cellStyle name="Normal 14 4 3" xfId="12595" xr:uid="{3BC5333C-1508-449B-99E4-1D43E60F3627}"/>
    <cellStyle name="Normal 14 4 3 2" xfId="46775" xr:uid="{65DFDB99-ECD3-4239-B31E-F05B411B2FF5}"/>
    <cellStyle name="Normal 14 4 4" xfId="18801" xr:uid="{8F2837C4-1864-4C35-B357-472D5CC9E42C}"/>
    <cellStyle name="Normal 14 5" xfId="10219" xr:uid="{7B3DF198-7AE6-45D2-921E-E95541EA3EA5}"/>
    <cellStyle name="Normal 14 5 2" xfId="12672" xr:uid="{FA5A68B8-B685-43FE-8CB5-DAED6E8988EE}"/>
    <cellStyle name="Normal 14 5 2 2" xfId="47320" xr:uid="{464BCDA2-B489-496F-90C0-75981F6A4203}"/>
    <cellStyle name="Normal 14 5 3" xfId="18840" xr:uid="{C896C38F-7121-4207-84C5-AE60F3B9505C}"/>
    <cellStyle name="Normal 14 6" xfId="10533" xr:uid="{9B0D05AA-2B3E-4F4C-ADB5-FCC78E1DAF44}"/>
    <cellStyle name="Normal 14 6 2" xfId="12986" xr:uid="{81156C90-5293-4561-B6C8-DCE340BC990B}"/>
    <cellStyle name="Normal 14 6 2 2" xfId="47025" xr:uid="{CA163365-4A79-4C0C-8034-0F902F85F63A}"/>
    <cellStyle name="Normal 14 6 3" xfId="19002" xr:uid="{7C0E6F31-97D1-4869-8258-2416DC2441EE}"/>
    <cellStyle name="Normal 14 7" xfId="11544" xr:uid="{79D12C48-E118-40F9-9420-9A45EA5F0EF9}"/>
    <cellStyle name="Normal 14 7 2" xfId="18150" xr:uid="{2AF2779F-1979-46A7-B58A-976765089A5D}"/>
    <cellStyle name="Normal 14 8" xfId="11038" xr:uid="{74B528EC-87F5-4172-BBCE-006D831A46CE}"/>
    <cellStyle name="Normal 14 9" xfId="16971" xr:uid="{06A3761E-45AA-4384-8730-CBBDD8CA0AE3}"/>
    <cellStyle name="Normal 15" xfId="1964" xr:uid="{00000000-0005-0000-0000-0000EE040000}"/>
    <cellStyle name="Normal 15 2" xfId="10003" xr:uid="{4664C86B-C6EF-422E-9800-46EA5CD70BF2}"/>
    <cellStyle name="Normal 15 2 2" xfId="10311" xr:uid="{526B75E3-11D7-40B7-9AB7-E631050584E8}"/>
    <cellStyle name="Normal 15 2 2 2" xfId="12764" xr:uid="{C4D1F214-1376-4C9D-9D3F-84B8207BC4D1}"/>
    <cellStyle name="Normal 15 2 2 2 2" xfId="25915" xr:uid="{5C4FB269-DAA7-48EC-81C6-CFF4FD3FC366}"/>
    <cellStyle name="Normal 15 2 2 2 3" xfId="25914" xr:uid="{6CF48F68-3867-4717-8088-0F463C2A3224}"/>
    <cellStyle name="Normal 15 2 2 3" xfId="25916" xr:uid="{95DC8ACD-83A0-4081-84BF-CFD091D217D6}"/>
    <cellStyle name="Normal 15 2 2 3 2" xfId="25917" xr:uid="{EA3F7113-205A-4EE0-B64D-F4567F066712}"/>
    <cellStyle name="Normal 15 2 2 4" xfId="25918" xr:uid="{7DC54709-B4C9-436B-B2EB-DFA60CE14312}"/>
    <cellStyle name="Normal 15 2 2 4 2" xfId="25919" xr:uid="{14F5E516-C5F6-4C04-8651-031B778B9F38}"/>
    <cellStyle name="Normal 15 2 2 5" xfId="25920" xr:uid="{CE1AAE5F-D68E-4850-8BF9-538B3DA85E67}"/>
    <cellStyle name="Normal 15 2 2 6" xfId="18893" xr:uid="{5BB3007F-C0E4-4152-B91E-D77C56B13AAB}"/>
    <cellStyle name="Normal 15 2 3" xfId="12463" xr:uid="{DA8AFE74-52E7-47D7-A98E-A9937ECE140C}"/>
    <cellStyle name="Normal 15 2 3 2" xfId="25922" xr:uid="{DDA569F3-96B0-48CA-A5AD-87CA7B72B9F0}"/>
    <cellStyle name="Normal 15 2 3 2 2" xfId="25923" xr:uid="{7CDF06DC-2F80-448C-8DAC-FE3776A9A4E6}"/>
    <cellStyle name="Normal 15 2 3 3" xfId="25924" xr:uid="{4689DAE7-576C-4CC1-AAC2-6774DA3E6A91}"/>
    <cellStyle name="Normal 15 2 3 3 2" xfId="25925" xr:uid="{7B031B0E-DC03-4047-BFF2-FFD56AFCDC20}"/>
    <cellStyle name="Normal 15 2 3 4" xfId="25926" xr:uid="{FC661C76-EB41-4BC0-A9E9-F547B61BA371}"/>
    <cellStyle name="Normal 15 2 3 4 2" xfId="25927" xr:uid="{23C918B5-1AB3-48BE-9D8E-11BA7F2A1881}"/>
    <cellStyle name="Normal 15 2 3 5" xfId="25928" xr:uid="{432E5D7D-08FC-4251-88C3-E31B2980F358}"/>
    <cellStyle name="Normal 15 2 3 6" xfId="25921" xr:uid="{A93E14E8-FB88-4DBC-8CFD-903331682BEB}"/>
    <cellStyle name="Normal 15 2 4" xfId="48933" xr:uid="{3A3ADBC0-E948-47C1-986C-B6AD9E79FA9B}"/>
    <cellStyle name="Normal 15 2 5" xfId="18744" xr:uid="{102BA565-79B2-49E0-8105-11328A5A6205}"/>
    <cellStyle name="Normal 15 3" xfId="10078" xr:uid="{FFE970CC-6C00-4E6A-A93C-D84E9B737E0B}"/>
    <cellStyle name="Normal 15 3 2" xfId="10390" xr:uid="{01411272-07DB-4B19-AF44-6CB872673FC5}"/>
    <cellStyle name="Normal 15 3 2 2" xfId="12843" xr:uid="{0086168D-1413-4412-AE3A-B14F4019D848}"/>
    <cellStyle name="Normal 15 3 2 2 2" xfId="32335" xr:uid="{54602AEB-7D53-4D09-8518-8DD6215551BA}"/>
    <cellStyle name="Normal 15 3 2 3" xfId="18934" xr:uid="{166C0EF1-82A2-4284-B869-A40ED5F74379}"/>
    <cellStyle name="Normal 15 3 3" xfId="12535" xr:uid="{215D0CEE-5402-4ADC-8278-3A5D343F0E57}"/>
    <cellStyle name="Normal 15 3 3 2" xfId="46320" xr:uid="{3D80B73A-25B9-4697-B622-80A9CD31E926}"/>
    <cellStyle name="Normal 15 3 4" xfId="48934" xr:uid="{5BC98056-C9ED-459C-B925-FEE83377E7F0}"/>
    <cellStyle name="Normal 15 3 5" xfId="18778" xr:uid="{B8CF2619-A109-4C50-96EC-0420EDC3EE34}"/>
    <cellStyle name="Normal 15 4" xfId="10156" xr:uid="{C412007C-E79F-42C5-B014-716C24700CBC}"/>
    <cellStyle name="Normal 15 4 2" xfId="10470" xr:uid="{6DE24923-DC10-4A0E-BE37-28013375CEDF}"/>
    <cellStyle name="Normal 15 4 2 2" xfId="12923" xr:uid="{D260FA33-EABF-476C-B644-5E629887FE51}"/>
    <cellStyle name="Normal 15 4 2 2 2" xfId="46812" xr:uid="{B871D421-74DF-471A-80C1-3643E4D2BE5F}"/>
    <cellStyle name="Normal 15 4 2 3" xfId="18976" xr:uid="{71EBA9AC-EDDE-46FA-983C-DEADE34F17BF}"/>
    <cellStyle name="Normal 15 4 3" xfId="12610" xr:uid="{1CF66200-3F5E-4675-8D13-05C2E56F0073}"/>
    <cellStyle name="Normal 15 4 3 2" xfId="34174" xr:uid="{7209509D-4509-4566-B845-9B0922435F35}"/>
    <cellStyle name="Normal 15 4 4" xfId="18815" xr:uid="{BC06F374-68AC-45A1-AA89-39CC9A36E699}"/>
    <cellStyle name="Normal 15 5" xfId="10236" xr:uid="{A591BB13-8220-4D8D-80DE-515E2B5D7072}"/>
    <cellStyle name="Normal 15 5 2" xfId="12689" xr:uid="{325F8D7D-AB08-4524-9E87-477EE86C775D}"/>
    <cellStyle name="Normal 15 5 2 2" xfId="25929" xr:uid="{2212EEAE-CA3B-4876-AE31-3FC9893E4815}"/>
    <cellStyle name="Normal 15 5 3" xfId="18856" xr:uid="{804FDC2E-15A0-416E-B01C-581CCACEF056}"/>
    <cellStyle name="Normal 15 6" xfId="10550" xr:uid="{90D8997A-37EE-4D64-8CDF-CF5DDACB8876}"/>
    <cellStyle name="Normal 15 6 2" xfId="13003" xr:uid="{0E94B98E-2C51-4505-92CE-B846C9C1D1E2}"/>
    <cellStyle name="Normal 15 6 2 2" xfId="25322" xr:uid="{3D4511D7-3B15-4640-A3BC-FA46A6F34E86}"/>
    <cellStyle name="Normal 15 6 3" xfId="19018" xr:uid="{CD1F67D3-8F16-4702-8A4C-85A651049E30}"/>
    <cellStyle name="Normal 15 7" xfId="12317" xr:uid="{A470DC12-F190-4855-94F8-38EC2F0895F9}"/>
    <cellStyle name="Normal 15 7 2" xfId="18626" xr:uid="{7C658FF7-C387-426A-99E9-2A030D726E7B}"/>
    <cellStyle name="Normal 15 8" xfId="11039" xr:uid="{17EF56D7-D4E9-4B51-A968-E609CF5695D9}"/>
    <cellStyle name="Normal 15 9" xfId="8907" xr:uid="{CE6BC9E3-BC26-412D-BE21-B0F1BB0238D7}"/>
    <cellStyle name="Normal 15_Trends fuels" xfId="25930" xr:uid="{DFE6332B-C5DC-4216-82E1-3392786AA97B}"/>
    <cellStyle name="Normal 16" xfId="1965" xr:uid="{00000000-0005-0000-0000-0000EF040000}"/>
    <cellStyle name="Normal 16 2" xfId="1966" xr:uid="{00000000-0005-0000-0000-0000F0040000}"/>
    <cellStyle name="Normal 16 2 2" xfId="10312" xr:uid="{4F47A049-7449-4EB2-9BBD-1636B406FF2D}"/>
    <cellStyle name="Normal 16 2 2 2" xfId="12765" xr:uid="{D6114FB9-6DA0-4DD0-AB07-E145A8F983FD}"/>
    <cellStyle name="Normal 16 2 2 2 2" xfId="48199" xr:uid="{45900CB6-BDE9-425B-979E-0812A81E25E9}"/>
    <cellStyle name="Normal 16 2 2 3" xfId="18894" xr:uid="{9C33D38D-DD44-4B1C-B8D9-560B41F7903F}"/>
    <cellStyle name="Normal 16 2 3" xfId="12464" xr:uid="{427042E3-B17D-46A5-9A07-29F46A5BF65E}"/>
    <cellStyle name="Normal 16 2 3 2" xfId="18745" xr:uid="{2EC926BB-38C1-480F-AC42-5655CDFBE532}"/>
    <cellStyle name="Normal 16 2 4" xfId="11041" xr:uid="{B6E41DE1-E386-44BF-862F-52DA1146EE6D}"/>
    <cellStyle name="Normal 16 2 5" xfId="10004" xr:uid="{1CB39161-76F0-4272-9F69-06695C001312}"/>
    <cellStyle name="Normal 16 3" xfId="1967" xr:uid="{00000000-0005-0000-0000-0000F1040000}"/>
    <cellStyle name="Normal 16 3 2" xfId="10391" xr:uid="{0A83CE65-260D-4D8C-AD84-B6DFA517568E}"/>
    <cellStyle name="Normal 16 3 2 2" xfId="12844" xr:uid="{0B6177A2-61CF-402E-AFDC-9F888B93393E}"/>
    <cellStyle name="Normal 16 3 2 2 2" xfId="46801" xr:uid="{B9D1DA2F-BF77-459C-BEE8-315D5A108F55}"/>
    <cellStyle name="Normal 16 3 2 3" xfId="18935" xr:uid="{BBB8E1A7-3EEF-4981-9745-CA2F39508A8D}"/>
    <cellStyle name="Normal 16 3 3" xfId="11042" xr:uid="{EDE06C8E-2D50-488B-B826-CAEB797C107C}"/>
    <cellStyle name="Normal 16 3 3 2" xfId="46716" xr:uid="{DFD77FC4-5039-4C8B-A8A2-51E852D165B2}"/>
    <cellStyle name="Normal 16 3 4" xfId="17792" xr:uid="{BE77ACE7-B595-4D25-AA09-8F0D3D6BF445}"/>
    <cellStyle name="Normal 16 4" xfId="6979" xr:uid="{376A5363-B223-4165-BD91-BD43E11122DF}"/>
    <cellStyle name="Normal 16 4 2" xfId="10471" xr:uid="{C44D4EC8-F14E-478E-A77E-3A7CE46E8738}"/>
    <cellStyle name="Normal 16 4 2 2" xfId="12924" xr:uid="{EB27161A-84AB-49C5-BD4B-8149AC5D6F15}"/>
    <cellStyle name="Normal 16 4 2 2 2" xfId="48056" xr:uid="{FB170481-E094-43E8-8136-B62E2CB109EB}"/>
    <cellStyle name="Normal 16 4 2 3" xfId="18977" xr:uid="{1DA5BA42-DD01-452D-813B-CACFEF85773D}"/>
    <cellStyle name="Normal 16 4 3" xfId="12611" xr:uid="{FA252D98-A344-488C-A143-4379FB6D1DDA}"/>
    <cellStyle name="Normal 16 4 3 2" xfId="47524" xr:uid="{B71AE72D-BF51-4FBB-B1DD-537A7992B0D1}"/>
    <cellStyle name="Normal 16 4 4" xfId="18816" xr:uid="{07967C5A-E1D1-4568-B7FB-AC3D71CF4005}"/>
    <cellStyle name="Normal 16 4 5" xfId="10157" xr:uid="{4C28333F-91CF-45E2-B867-DA62BAA1F4C1}"/>
    <cellStyle name="Normal 16 5" xfId="10237" xr:uid="{A85541D3-4879-4418-80B8-AF53099DF563}"/>
    <cellStyle name="Normal 16 5 2" xfId="12690" xr:uid="{4250DE48-6537-41A8-8024-A5D15D504A10}"/>
    <cellStyle name="Normal 16 5 2 2" xfId="24324" xr:uid="{15EEC67A-2CCC-4E0D-983C-396EDF0E9CAE}"/>
    <cellStyle name="Normal 16 5 3" xfId="18857" xr:uid="{55E74B8F-D836-4E40-876F-026B97F01382}"/>
    <cellStyle name="Normal 16 6" xfId="10551" xr:uid="{9B155FE7-8C78-4AFF-A532-6DB13A7CAACC}"/>
    <cellStyle name="Normal 16 6 2" xfId="13004" xr:uid="{C0ED4C61-0AF9-4A15-B11E-41447A9147A9}"/>
    <cellStyle name="Normal 16 6 2 2" xfId="47806" xr:uid="{537755C3-1CFD-479F-A40C-327A693806AD}"/>
    <cellStyle name="Normal 16 6 3" xfId="19019" xr:uid="{C1528B29-920C-47A2-BE9A-5AE7A57DE723}"/>
    <cellStyle name="Normal 16 7" xfId="11040" xr:uid="{D8112F0C-5AF9-4436-B7B5-17DB52B414DF}"/>
    <cellStyle name="Normal 16 7 2" xfId="25181" xr:uid="{1512B106-C7CC-4B9A-86AE-A9358538F2C5}"/>
    <cellStyle name="Normal 16 8" xfId="17791" xr:uid="{20254C31-0541-4D8A-BEB4-054C3E535481}"/>
    <cellStyle name="Normal 17" xfId="1968" xr:uid="{00000000-0005-0000-0000-0000F2040000}"/>
    <cellStyle name="Normal 17 2" xfId="1969" xr:uid="{00000000-0005-0000-0000-0000F3040000}"/>
    <cellStyle name="Normal 17 2 2" xfId="25933" xr:uid="{758BCACE-8BB2-426D-81F6-94E246D1AC36}"/>
    <cellStyle name="Normal 17 2 3" xfId="25934" xr:uid="{0E8695DF-DBD3-45CB-941A-85B964407EFD}"/>
    <cellStyle name="Normal 17 2 4" xfId="25932" xr:uid="{71FA2D9D-211B-4355-BC67-813DA4142611}"/>
    <cellStyle name="Normal 17 3" xfId="25935" xr:uid="{AB124E28-D9BA-41A6-9D8F-F4AE43E46322}"/>
    <cellStyle name="Normal 17 3 2" xfId="25936" xr:uid="{5D9C47CF-EA1F-4D39-B337-DB2960BF63C8}"/>
    <cellStyle name="Normal 17 4" xfId="25937" xr:uid="{93EF165B-98F2-4BC9-A1DE-5E496099FDEC}"/>
    <cellStyle name="Normal 17 4 2" xfId="25938" xr:uid="{D46160CE-A407-47B9-B1A0-A7F3700ED9E3}"/>
    <cellStyle name="Normal 17 5" xfId="25939" xr:uid="{A9E4216A-7F1D-4F26-9DE7-6ADC1ED164E0}"/>
    <cellStyle name="Normal 17 6" xfId="25940" xr:uid="{0E0CFE76-BB83-40BB-BBCF-5E963A8824D2}"/>
    <cellStyle name="Normal 17 7" xfId="25931" xr:uid="{5B7BB7AC-7FFB-4334-B239-397DE228005D}"/>
    <cellStyle name="Normal 18" xfId="1970" xr:uid="{00000000-0005-0000-0000-0000F4040000}"/>
    <cellStyle name="Normal 18 2" xfId="1971" xr:uid="{00000000-0005-0000-0000-0000F5040000}"/>
    <cellStyle name="Normal 18 2 2" xfId="25943" xr:uid="{FE64E695-4344-43EC-BAEF-74ED9949ACA0}"/>
    <cellStyle name="Normal 18 2 3" xfId="25944" xr:uid="{AF5CB2EA-7CC2-4A39-AEF1-EC73EC2BDC33}"/>
    <cellStyle name="Normal 18 2 4" xfId="25942" xr:uid="{02D6E8BA-B92A-4AB8-BFE3-CAA01A74551F}"/>
    <cellStyle name="Normal 18 3" xfId="25945" xr:uid="{1568298F-7101-4437-B116-26453687B0DF}"/>
    <cellStyle name="Normal 18 3 2" xfId="25946" xr:uid="{9739F7B1-17DA-45AC-A0BA-A5FA8A7785E2}"/>
    <cellStyle name="Normal 18 4" xfId="25947" xr:uid="{5C8A381F-A652-4C8B-826C-05386C2AA231}"/>
    <cellStyle name="Normal 18 4 2" xfId="25948" xr:uid="{A8C1F0FA-F397-4C78-A28A-47A695DF02F7}"/>
    <cellStyle name="Normal 18 5" xfId="25949" xr:uid="{B984410D-6CD1-4276-97DB-0B55D3C88AA1}"/>
    <cellStyle name="Normal 18 6" xfId="25950" xr:uid="{18886414-0524-4658-B0B7-76F5286A86E8}"/>
    <cellStyle name="Normal 18 7" xfId="25941" xr:uid="{E2CCB704-ADFE-412C-9EF9-DEEDFC969144}"/>
    <cellStyle name="Normal 19" xfId="1972" xr:uid="{00000000-0005-0000-0000-0000F6040000}"/>
    <cellStyle name="Normal 19 2" xfId="1973" xr:uid="{00000000-0005-0000-0000-0000F7040000}"/>
    <cellStyle name="Normal 19 2 2" xfId="25952" xr:uid="{27AC6C80-11A5-4E2F-84B5-E891083F7661}"/>
    <cellStyle name="Normal 19 2 3" xfId="25953" xr:uid="{89422BAB-D954-420B-8027-85861A203D6E}"/>
    <cellStyle name="Normal 19 2 4" xfId="25951" xr:uid="{C8A944B1-A093-4907-ABE7-71E2E0A46615}"/>
    <cellStyle name="Normal 19 3" xfId="1974" xr:uid="{00000000-0005-0000-0000-0000F8040000}"/>
    <cellStyle name="Normal 19 3 2" xfId="17794" xr:uid="{F5242784-B960-4EB7-A231-07A6F5EA1A8D}"/>
    <cellStyle name="Normal 19 4" xfId="17793" xr:uid="{C78111D5-5D60-43FA-A148-D8B4342CFE27}"/>
    <cellStyle name="Normal 2" xfId="550" xr:uid="{00000000-0005-0000-0000-0000F9040000}"/>
    <cellStyle name="Normal 2 10" xfId="6973" xr:uid="{B548D4D1-5A67-4899-8F1F-05782A70F1CE}"/>
    <cellStyle name="Normal 2 10 2" xfId="48935" xr:uid="{7B3015B3-F8C2-4A15-A1AF-CFAB835A47CA}"/>
    <cellStyle name="Normal 2 11" xfId="25954" xr:uid="{4E455E6C-6576-40E9-A603-A06D4E3C6A07}"/>
    <cellStyle name="Normal 2 11 2" xfId="25955" xr:uid="{E5F748DB-9DFF-45DA-9679-BE7B6BD72400}"/>
    <cellStyle name="Normal 2 11 2 2" xfId="25956" xr:uid="{66FFF264-F2AA-499B-B0AA-8F8980ACD10F}"/>
    <cellStyle name="Normal 2 11 3" xfId="25957" xr:uid="{A07412E7-2965-4BDC-9D82-E0303220F7CF}"/>
    <cellStyle name="Normal 2 12" xfId="25958" xr:uid="{C5048E45-C903-49D3-AAC1-81FDFD937311}"/>
    <cellStyle name="Normal 2 12 2" xfId="25959" xr:uid="{21D374B4-9600-4A94-BD47-496C96DEF535}"/>
    <cellStyle name="Normal 2 13" xfId="25960" xr:uid="{12EBADAA-11DA-49CC-AF80-9B0F1C3A92A3}"/>
    <cellStyle name="Normal 2 13 2" xfId="25961" xr:uid="{DB4BEE7B-BC48-4CFE-BF65-D6943C4A7ABE}"/>
    <cellStyle name="Normal 2 14" xfId="25962" xr:uid="{CFBB0187-21C5-489E-88A6-49718D84058C}"/>
    <cellStyle name="Normal 2 14 2" xfId="25963" xr:uid="{AC229BC2-E265-4AC8-B531-1185571B2E21}"/>
    <cellStyle name="Normal 2 15" xfId="25964" xr:uid="{F5D7F272-E4D4-46A7-8B97-146BC0F0F858}"/>
    <cellStyle name="Normal 2 15 2" xfId="48936" xr:uid="{D1F0B726-5DD7-4A82-A757-17A9E672B4F7}"/>
    <cellStyle name="Normal 2 2" xfId="551" xr:uid="{00000000-0005-0000-0000-0000FA040000}"/>
    <cellStyle name="Normal 2 2 2" xfId="552" xr:uid="{00000000-0005-0000-0000-0000FB040000}"/>
    <cellStyle name="Normal 2 2 2 2" xfId="1975" xr:uid="{00000000-0005-0000-0000-0000FC040000}"/>
    <cellStyle name="Normal 2 2 2 2 2" xfId="1976" xr:uid="{00000000-0005-0000-0000-0000FD040000}"/>
    <cellStyle name="Normal 2 2 2 2 2 2" xfId="1977" xr:uid="{00000000-0005-0000-0000-0000FE040000}"/>
    <cellStyle name="Normal 2 2 2 2 2 2 2" xfId="17797" xr:uid="{6177551A-495A-4BF3-B128-F7E12FDF920E}"/>
    <cellStyle name="Normal 2 2 2 2 2 3" xfId="14484" xr:uid="{8D5F3B70-9FC4-494F-8ACC-3B9FF55B7266}"/>
    <cellStyle name="Normal 2 2 2 2 2 4" xfId="17796" xr:uid="{46B98ABA-3CDA-41D9-BF09-790AE79F34F1}"/>
    <cellStyle name="Normal 2 2 2 2 3" xfId="1978" xr:uid="{00000000-0005-0000-0000-0000FF040000}"/>
    <cellStyle name="Normal 2 2 2 2 3 2" xfId="17798" xr:uid="{333F04AB-2873-4450-8F7A-A373FC007908}"/>
    <cellStyle name="Normal 2 2 2 2 4" xfId="4082" xr:uid="{9AA9FFB5-EF86-4C98-9A4F-85A1B6A4AB37}"/>
    <cellStyle name="Normal 2 2 2 2 4 2" xfId="25965" xr:uid="{0CA2E63F-5B9A-4170-B3CE-A80F75F25E89}"/>
    <cellStyle name="Normal 2 2 2 2 4 3" xfId="12133" xr:uid="{2D1DB450-5C49-4FE8-9848-CA1ABC3D19F4}"/>
    <cellStyle name="Normal 2 2 2 2 5" xfId="11485" xr:uid="{9E483A50-5802-4B72-A568-9CADAE7A63C4}"/>
    <cellStyle name="Normal 2 2 2 2 5 2" xfId="25966" xr:uid="{FE87A635-139E-4E32-BAAB-C03C573F1C04}"/>
    <cellStyle name="Normal 2 2 2 2 6" xfId="12199" xr:uid="{2B1F706B-7A3F-46F6-BDD4-D9F2E7FD9139}"/>
    <cellStyle name="Normal 2 2 2 2 7" xfId="11043" xr:uid="{487BCA6F-9CF6-4E2E-82BF-4DBED75BF30E}"/>
    <cellStyle name="Normal 2 2 2 2 7 2" xfId="17795" xr:uid="{E942BCF2-AE6C-4641-B020-CA5F1FD9AA03}"/>
    <cellStyle name="Normal 2 2 2 3" xfId="8066" xr:uid="{406264BF-5ACD-4756-98B7-554732035292}"/>
    <cellStyle name="Normal 2 2 2 3 2" xfId="11109" xr:uid="{02246D06-03F4-4540-9DC5-F91FA546D35A}"/>
    <cellStyle name="Normal 2 2 2 3 2 2" xfId="25969" xr:uid="{00D26139-2BAC-46C9-99CB-0A73E67C6B6C}"/>
    <cellStyle name="Normal 2 2 2 3 2 3" xfId="25968" xr:uid="{D6710EDA-83BC-41A6-96C6-93469F0A95A1}"/>
    <cellStyle name="Normal 2 2 2 3 3" xfId="11651" xr:uid="{81A224DD-FE31-433B-A1DF-649EC675E1E9}"/>
    <cellStyle name="Normal 2 2 2 3 3 2" xfId="25970" xr:uid="{5AC59EDF-8719-43BB-B8BD-9272443797C3}"/>
    <cellStyle name="Normal 2 2 2 3 4" xfId="25971" xr:uid="{9C9A5D48-0FCF-48FC-9441-8ED871334AA5}"/>
    <cellStyle name="Normal 2 2 2 3 5" xfId="25967" xr:uid="{0BCB8D8F-E6F4-4185-8A18-D845E6A6BFA3}"/>
    <cellStyle name="Normal 2 2 2 4" xfId="12134" xr:uid="{755D33AC-2D98-4791-A62C-8EA34455E81A}"/>
    <cellStyle name="Normal 2 2 2 4 2" xfId="25973" xr:uid="{13D2826B-0BCC-439D-99D7-A179C6D92CB5}"/>
    <cellStyle name="Normal 2 2 2 4 3" xfId="25974" xr:uid="{2005B056-D906-413E-A743-8D4A573F88F9}"/>
    <cellStyle name="Normal 2 2 2 4 4" xfId="25972" xr:uid="{4E08F3E6-9877-40BA-8819-EDF942371815}"/>
    <cellStyle name="Normal 2 2 2 5" xfId="11484" xr:uid="{760E8829-4339-43DA-A7B6-F8BE82D99CF1}"/>
    <cellStyle name="Normal 2 2 2 5 2" xfId="25976" xr:uid="{7CAC42D9-B5CF-4C1E-AAEF-C328AF6FC41D}"/>
    <cellStyle name="Normal 2 2 2 5 3" xfId="25975" xr:uid="{F526F61A-0A9E-48DB-A4FA-3DCB4A9ACA6A}"/>
    <cellStyle name="Normal 2 2 2 6" xfId="25977" xr:uid="{3937FC7C-3A26-4771-8671-F560FE54D73F}"/>
    <cellStyle name="Normal 2 2 2 7" xfId="25978" xr:uid="{E0A1AE21-9E0F-40A5-A6C2-96A1F5B0328B}"/>
    <cellStyle name="Normal 2 2 2 8" xfId="25979" xr:uid="{75A4D4E8-37FB-4830-9754-C2D685C44781}"/>
    <cellStyle name="Normal 2 2 2 8 2" xfId="48937" xr:uid="{4003BCF8-19CD-46A2-88C1-0D99BD363971}"/>
    <cellStyle name="Normal 2 2 3" xfId="553" xr:uid="{00000000-0005-0000-0000-000000050000}"/>
    <cellStyle name="Normal 2 2 3 2" xfId="1979" xr:uid="{00000000-0005-0000-0000-000001050000}"/>
    <cellStyle name="Normal 2 2 3 2 2" xfId="1980" xr:uid="{00000000-0005-0000-0000-000002050000}"/>
    <cellStyle name="Normal 2 2 3 2 2 2" xfId="11045" xr:uid="{5340040D-BAF6-4B78-A32F-C041E1024B70}"/>
    <cellStyle name="Normal 2 2 3 2 2 2 2" xfId="48327" xr:uid="{6054394D-617F-4CF7-A5DC-4175D2B0CC13}"/>
    <cellStyle name="Normal 2 2 3 2 2 3" xfId="17800" xr:uid="{E69BFCC8-8A19-4706-A962-0F373C8404BA}"/>
    <cellStyle name="Normal 2 2 3 2 3" xfId="11044" xr:uid="{1BE0C8AF-74C1-4850-9AAC-1680775A141E}"/>
    <cellStyle name="Normal 2 2 3 2 3 2" xfId="46717" xr:uid="{12F05AB4-D281-4804-A565-CC74805D1258}"/>
    <cellStyle name="Normal 2 2 3 2 4" xfId="17799" xr:uid="{5CCF37DC-7927-4064-8F4C-A1793517AB00}"/>
    <cellStyle name="Normal 2 2 3 3" xfId="1981" xr:uid="{00000000-0005-0000-0000-000003050000}"/>
    <cellStyle name="Normal 2 2 3 3 2" xfId="10376" xr:uid="{D359C4F9-0A7A-4819-8B95-F2A803A6D5AC}"/>
    <cellStyle name="Normal 2 2 3 3 2 2" xfId="12829" xr:uid="{21A2F6D4-6D09-42D9-8FD4-513C7357FA9D}"/>
    <cellStyle name="Normal 2 2 3 3 2 2 2" xfId="46360" xr:uid="{E50203EA-4BF8-47BA-9B66-18297ED910DE}"/>
    <cellStyle name="Normal 2 2 3 3 2 3" xfId="18921" xr:uid="{015B61D4-1310-4F60-AE8A-50875C862DA4}"/>
    <cellStyle name="Normal 2 2 3 3 3" xfId="11046" xr:uid="{210E3FF1-42F2-4E40-81F5-3C9A63AA9398}"/>
    <cellStyle name="Normal 2 2 3 3 3 2" xfId="47902" xr:uid="{CEEAE20F-2F6D-445E-A20F-205EDE0C71B4}"/>
    <cellStyle name="Normal 2 2 3 3 4" xfId="17801" xr:uid="{C0B1EDF3-5365-44C2-8576-85ECA7158EFF}"/>
    <cellStyle name="Normal 2 2 3 4" xfId="10142" xr:uid="{7C59EF78-2ECD-40F3-8098-05F45BA6D6F1}"/>
    <cellStyle name="Normal 2 2 3 4 2" xfId="10456" xr:uid="{06EC7F92-F44A-4E66-8F8F-E5F2986ECC90}"/>
    <cellStyle name="Normal 2 2 3 4 2 2" xfId="12909" xr:uid="{9FE85F37-7157-42EA-8491-674594D9E0E5}"/>
    <cellStyle name="Normal 2 2 3 4 2 2 2" xfId="32422" xr:uid="{781BFCB8-E168-486E-9798-8972AE41ACA3}"/>
    <cellStyle name="Normal 2 2 3 4 2 3" xfId="18963" xr:uid="{4DE9C2EE-B8DA-4B9B-A240-15D9C3EAB11D}"/>
    <cellStyle name="Normal 2 2 3 4 3" xfId="12598" xr:uid="{AF5B0A66-CF30-4C3E-ACF8-9FB203D14748}"/>
    <cellStyle name="Normal 2 2 3 4 3 2" xfId="47015" xr:uid="{316C5399-740C-4622-B89D-C1758B33589F}"/>
    <cellStyle name="Normal 2 2 3 4 4" xfId="18804" xr:uid="{CC673A2B-08EE-4222-964B-4BD44EE6AB8F}"/>
    <cellStyle name="Normal 2 2 3 5" xfId="10222" xr:uid="{D9F09BF0-EE8C-4FCA-B58C-F06C9B9BA52C}"/>
    <cellStyle name="Normal 2 2 3 5 2" xfId="12675" xr:uid="{325E3A74-5B28-4EC3-9330-A89F96B9F428}"/>
    <cellStyle name="Normal 2 2 3 5 2 2" xfId="48396" xr:uid="{E22B00D9-A058-43EA-9952-9259337CF95F}"/>
    <cellStyle name="Normal 2 2 3 5 3" xfId="18843" xr:uid="{7E4A82F8-9B9F-4DE1-9C50-6FC777808E79}"/>
    <cellStyle name="Normal 2 2 3 6" xfId="10536" xr:uid="{A0E0AF6D-8E78-478E-86C1-B828C9E98B61}"/>
    <cellStyle name="Normal 2 2 3 6 2" xfId="12989" xr:uid="{169BBD4F-743E-4C4A-AC28-B3507D91F494}"/>
    <cellStyle name="Normal 2 2 3 6 2 2" xfId="47763" xr:uid="{E0656424-6A6D-4CBD-B2C3-9CFEC26ECCD6}"/>
    <cellStyle name="Normal 2 2 3 6 3" xfId="19005" xr:uid="{5E689DB2-A767-4695-9D06-641BBDC5A111}"/>
    <cellStyle name="Normal 2 2 3 7" xfId="10604" xr:uid="{EE2C5754-2455-453F-B6B9-F44E9150516A}"/>
    <cellStyle name="Normal 2 2 3 7 2" xfId="47655" xr:uid="{C3C06811-680B-4EA5-BE1F-A5B2D0374755}"/>
    <cellStyle name="Normal 2 2 3 8" xfId="48938" xr:uid="{04E859D0-925C-4755-9485-6C1E89807737}"/>
    <cellStyle name="Normal 2 2 3 9" xfId="16972" xr:uid="{5006D756-0EB1-4BAF-8994-DCF158A87916}"/>
    <cellStyle name="Normal 2 2 4" xfId="1982" xr:uid="{00000000-0005-0000-0000-000004050000}"/>
    <cellStyle name="Normal 2 2 4 2" xfId="1983" xr:uid="{00000000-0005-0000-0000-000005050000}"/>
    <cellStyle name="Normal 2 2 4 2 2" xfId="25980" xr:uid="{6AE1DEF7-CFCA-48F4-800F-75904C3962F7}"/>
    <cellStyle name="Normal 2 2 4 2 3" xfId="17803" xr:uid="{86A8EFB8-6B31-497F-815F-C31E460330FC}"/>
    <cellStyle name="Normal 2 2 4 3" xfId="25981" xr:uid="{4E04E72B-CF2E-4C86-A7E5-174EE99C92A7}"/>
    <cellStyle name="Normal 2 2 4 4" xfId="17802" xr:uid="{9997C71F-4ABE-4980-88F4-7C8155C0F30F}"/>
    <cellStyle name="Normal 2 2 5" xfId="1984" xr:uid="{00000000-0005-0000-0000-000006050000}"/>
    <cellStyle name="Normal 2 2 5 2" xfId="25982" xr:uid="{5ACE6574-683D-4439-AF95-44A9B14AA6A3}"/>
    <cellStyle name="Normal 2 2 5 3" xfId="17804" xr:uid="{0D9D9CFD-AA9C-4CC3-B9DD-1D57B06E9B68}"/>
    <cellStyle name="Normal 2 2 6" xfId="4081" xr:uid="{5FF66FF3-7BC3-4D2F-9C86-3405FF7C5FD2}"/>
    <cellStyle name="Normal 2 2 6 2" xfId="25984" xr:uid="{31C82569-F8D6-484E-B8C7-0F6BAD4D0BFC}"/>
    <cellStyle name="Normal 2 2 6 3" xfId="25983" xr:uid="{46411090-80BC-484C-941D-C97C823CE288}"/>
    <cellStyle name="Normal 2 2 7" xfId="25985" xr:uid="{873E6B5E-F0D8-49B3-ACC9-219E27634749}"/>
    <cellStyle name="Normal 2 2 7 2" xfId="48939" xr:uid="{BC967B5A-BAE6-45EF-ABC1-63171D473FD7}"/>
    <cellStyle name="Normal 2 2 8" xfId="25986" xr:uid="{C4F7AEAA-4E93-487F-BF5D-6F81D2668768}"/>
    <cellStyle name="Normal 2 2 9" xfId="25987" xr:uid="{92E8545D-D3B3-421B-83D0-60C17220CAA6}"/>
    <cellStyle name="Normal 2 3" xfId="554" xr:uid="{00000000-0005-0000-0000-000007050000}"/>
    <cellStyle name="Normal 2 3 10" xfId="25989" xr:uid="{67A1DF85-1C74-4B2C-B5EF-C0BDD3488646}"/>
    <cellStyle name="Normal 2 3 11" xfId="30254" xr:uid="{CDADF718-2B30-49C5-9BF9-A80E78B0A56F}"/>
    <cellStyle name="Normal 2 3 12" xfId="25988" xr:uid="{1BF06E64-C126-4223-9523-068A8C96CDB6}"/>
    <cellStyle name="Normal 2 3 2" xfId="4083" xr:uid="{CE812BEB-0B05-48F1-B85D-DA6489CC357A}"/>
    <cellStyle name="Normal 2 3 2 2" xfId="25991" xr:uid="{ADEA2092-022E-4B15-A1F6-4A7E6109EE9B}"/>
    <cellStyle name="Normal 2 3 2 2 2" xfId="25992" xr:uid="{CAF5952A-0132-41B9-BA87-8AFDF1961766}"/>
    <cellStyle name="Normal 2 3 2 3" xfId="25993" xr:uid="{5EE113DD-F1CB-4111-8729-AD8FC33A5988}"/>
    <cellStyle name="Normal 2 3 2 3 2" xfId="25994" xr:uid="{C0BBC9C7-A995-4E6A-AEA3-144D9ADE3F76}"/>
    <cellStyle name="Normal 2 3 2 4" xfId="25995" xr:uid="{3B13B07B-3363-45AF-854D-89E03D6CCAEF}"/>
    <cellStyle name="Normal 2 3 2 5" xfId="25990" xr:uid="{772BEAD4-E241-4183-BF74-CDD6594F6D82}"/>
    <cellStyle name="Normal 2 3 3" xfId="4084" xr:uid="{D7D085DD-B1AB-4CE5-8D7A-31645E4285A1}"/>
    <cellStyle name="Normal 2 3 3 2" xfId="13427" xr:uid="{98158BF1-6CCB-4B09-86D2-F6248FDB48E2}"/>
    <cellStyle name="Normal 2 3 3 2 2" xfId="25997" xr:uid="{FD299A94-ED3C-4E0A-A53A-FF8F1A75D557}"/>
    <cellStyle name="Normal 2 3 3 3" xfId="18118" xr:uid="{C2E9792A-054F-452F-B561-84D9013DCD40}"/>
    <cellStyle name="Normal 2 3 3 4" xfId="25996" xr:uid="{8CEEA139-C1E6-499E-BBAE-036A5C7E0232}"/>
    <cellStyle name="Normal 2 3 3 5" xfId="11486" xr:uid="{A6AB8E3A-5686-4443-A265-D8B2781E7F9B}"/>
    <cellStyle name="Normal 2 3 4" xfId="25998" xr:uid="{4AA8527F-C4FE-4DAD-97D8-5399B401DE69}"/>
    <cellStyle name="Normal 2 3 4 2" xfId="25999" xr:uid="{642C894A-B37C-472B-8062-52DAC1B3F9A6}"/>
    <cellStyle name="Normal 2 3 5" xfId="26000" xr:uid="{DC089020-0012-42E5-B8E3-6A91DE12ADA4}"/>
    <cellStyle name="Normal 2 3 5 2" xfId="26001" xr:uid="{7D0D9B92-C802-4380-8CDA-A1082FDE7E6D}"/>
    <cellStyle name="Normal 2 3 6" xfId="26002" xr:uid="{F9DECC90-7CDC-4651-9E12-AF4A2E40F8A1}"/>
    <cellStyle name="Normal 2 3 6 2" xfId="26003" xr:uid="{6EB5872D-D7A6-4984-9CDF-4D584A005E08}"/>
    <cellStyle name="Normal 2 3 7" xfId="26004" xr:uid="{067EB478-9EFF-4CA3-9191-1AE297CCE443}"/>
    <cellStyle name="Normal 2 3 7 2" xfId="26005" xr:uid="{2DE1E3F5-CB64-4FA4-A046-0596E9CAB737}"/>
    <cellStyle name="Normal 2 3 8" xfId="26006" xr:uid="{67755135-496A-4D62-8022-335EB740ED42}"/>
    <cellStyle name="Normal 2 3 8 2" xfId="48940" xr:uid="{54C27EA9-684B-4419-B792-6A434532F325}"/>
    <cellStyle name="Normal 2 3 9" xfId="26007" xr:uid="{FD7E849E-97A2-4C4A-888A-6AE7BCC9A19E}"/>
    <cellStyle name="Normal 2 3 9 2" xfId="48941" xr:uid="{907A3753-22E0-4D7F-B23D-B42821DD2360}"/>
    <cellStyle name="Normal 2 4" xfId="555" xr:uid="{00000000-0005-0000-0000-000008050000}"/>
    <cellStyle name="Normal 2 4 2" xfId="1985" xr:uid="{00000000-0005-0000-0000-000009050000}"/>
    <cellStyle name="Normal 2 4 2 2" xfId="1986" xr:uid="{00000000-0005-0000-0000-00000A050000}"/>
    <cellStyle name="Normal 2 4 2 2 2" xfId="26008" xr:uid="{C7747BCB-E01A-4EBA-95E7-1A4BB63D9AC2}"/>
    <cellStyle name="Normal 2 4 2 2 3" xfId="17806" xr:uid="{63A3E9A6-E78F-43C3-AEBA-A230F7807F9C}"/>
    <cellStyle name="Normal 2 4 2 3" xfId="12135" xr:uid="{991CF921-EFE7-4A2B-AE49-EC1856999C67}"/>
    <cellStyle name="Normal 2 4 2 3 2" xfId="26010" xr:uid="{3CD747CA-A7E8-4C92-A212-A168BB1B0CFB}"/>
    <cellStyle name="Normal 2 4 2 3 3" xfId="26009" xr:uid="{29139BFD-D2AD-4FCD-80BB-6A6E2B658A97}"/>
    <cellStyle name="Normal 2 4 2 4" xfId="11652" xr:uid="{E5C8CC66-F4D4-41E3-BC3A-F4F2EF5CCC78}"/>
    <cellStyle name="Normal 2 4 2 4 2" xfId="26011" xr:uid="{C6E6DADA-54AA-4F23-BDB5-3B7BCB91595C}"/>
    <cellStyle name="Normal 2 4 2 5" xfId="11047" xr:uid="{6A3BB9DF-F2DE-4E2B-A07F-98994FF168BF}"/>
    <cellStyle name="Normal 2 4 2 5 2" xfId="26012" xr:uid="{E4739F95-5DE2-45F1-B801-852F59AB41C3}"/>
    <cellStyle name="Normal 2 4 2 6" xfId="26013" xr:uid="{7E9508BB-497A-46B3-B1BA-3DA34CAE2AB5}"/>
    <cellStyle name="Normal 2 4 2 7" xfId="17805" xr:uid="{092EA9CC-DE07-4669-91A3-7CFD57318BB8}"/>
    <cellStyle name="Normal 2 4 2 8" xfId="9230" xr:uid="{2DBA7BA7-8EEF-47D1-9D37-91839F511EBA}"/>
    <cellStyle name="Normal 2 4 3" xfId="1987" xr:uid="{00000000-0005-0000-0000-00000B050000}"/>
    <cellStyle name="Normal 2 4 3 2" xfId="26014" xr:uid="{2B0D404A-4121-451C-8A27-A17B8707670C}"/>
    <cellStyle name="Normal 2 4 3 3" xfId="17807" xr:uid="{98A64F62-51D9-4DCF-B41F-7B2B578AA75B}"/>
    <cellStyle name="Normal 2 4 4" xfId="12136" xr:uid="{F2E46824-49A4-41C4-9A2A-D22B48D38697}"/>
    <cellStyle name="Normal 2 4 4 2" xfId="26016" xr:uid="{EE66411F-5E1D-44BB-A8AB-FABC8540B013}"/>
    <cellStyle name="Normal 2 4 4 3" xfId="26015" xr:uid="{4207EB4D-8B29-490F-9C70-AA2507804D25}"/>
    <cellStyle name="Normal 2 4 5" xfId="26017" xr:uid="{27F28F2F-8A21-4412-8F24-3442F50B9691}"/>
    <cellStyle name="Normal 2 4 5 2" xfId="26018" xr:uid="{B20D9811-78FA-4032-B226-F43DDCEAC2D2}"/>
    <cellStyle name="Normal 2 4 6" xfId="26019" xr:uid="{5590BAB7-C03B-4E65-9DDA-761DAAA6F6F8}"/>
    <cellStyle name="Normal 2 4 6 2" xfId="26020" xr:uid="{34969C06-FA0C-4FA8-9F57-3D99D1DDE42D}"/>
    <cellStyle name="Normal 2 4 7" xfId="26021" xr:uid="{E574CB89-0DB3-44ED-849D-447983BBAC3D}"/>
    <cellStyle name="Normal 2 4 7 2" xfId="26022" xr:uid="{1C09A6B1-9DDE-4B90-80A1-B9D4798C19C6}"/>
    <cellStyle name="Normal 2 4 8" xfId="26023" xr:uid="{0188285F-D1C0-476A-AC94-53D0D8396279}"/>
    <cellStyle name="Normal 2 4 8 2" xfId="48942" xr:uid="{BA1EC366-A556-4563-B618-1A1A2F351764}"/>
    <cellStyle name="Normal 2 4 9" xfId="26024" xr:uid="{6893BEB8-0F63-453A-B8E6-3A6379E77034}"/>
    <cellStyle name="Normal 2 5" xfId="1988" xr:uid="{00000000-0005-0000-0000-00000C050000}"/>
    <cellStyle name="Normal 2 5 10" xfId="26025" xr:uid="{64CEA76E-E188-4296-BEC7-532935CC326A}"/>
    <cellStyle name="Normal 2 5 11" xfId="48943" xr:uid="{4E6F6B81-3633-49B5-9337-6DC238605601}"/>
    <cellStyle name="Normal 2 5 2" xfId="26026" xr:uid="{DEE0193F-6DE4-4D29-A5B5-2CA302366216}"/>
    <cellStyle name="Normal 2 5 2 2" xfId="26027" xr:uid="{442918E7-C9BA-47F2-ADC0-E1E153EFA80F}"/>
    <cellStyle name="Normal 2 5 2 2 2" xfId="26028" xr:uid="{89A647BF-61B6-49B9-A039-4A8A545AC1EF}"/>
    <cellStyle name="Normal 2 5 2 3" xfId="26029" xr:uid="{5AC786D3-E109-4DA4-A76D-C3840EAAC9F6}"/>
    <cellStyle name="Normal 2 5 2 3 2" xfId="26030" xr:uid="{1682CEFA-9DC7-47FE-9B29-87FDF39F831B}"/>
    <cellStyle name="Normal 2 5 2 4" xfId="26031" xr:uid="{CFA0A103-EB14-44B7-9886-D3D3648E2C5B}"/>
    <cellStyle name="Normal 2 5 3" xfId="26032" xr:uid="{5D36008F-E0C8-4C8F-B9FC-1531C0A48E5A}"/>
    <cellStyle name="Normal 2 5 3 2" xfId="26033" xr:uid="{AEE75CE0-3C93-4D70-A24C-2A6A83F207D7}"/>
    <cellStyle name="Normal 2 5 4" xfId="26034" xr:uid="{73673140-FC5A-4803-9A4D-360F754AEF11}"/>
    <cellStyle name="Normal 2 5 4 2" xfId="26035" xr:uid="{62FC8F9F-67E0-4890-9DBF-6B43FF6474CB}"/>
    <cellStyle name="Normal 2 5 5" xfId="26036" xr:uid="{634A8158-42B7-4D1B-AC03-711F4E1B1EEF}"/>
    <cellStyle name="Normal 2 5 5 2" xfId="26037" xr:uid="{A09565EC-DA60-4F5C-A077-5E39E31F9226}"/>
    <cellStyle name="Normal 2 5 6" xfId="26038" xr:uid="{D5AD8542-129A-498A-AEA7-C06436E66FAC}"/>
    <cellStyle name="Normal 2 5 6 2" xfId="26039" xr:uid="{E4EE9A77-A3AF-445F-A614-07F1C080B56F}"/>
    <cellStyle name="Normal 2 5 7" xfId="26040" xr:uid="{C3947C20-D269-43BD-832D-FFC6A08687A7}"/>
    <cellStyle name="Normal 2 5 7 2" xfId="48944" xr:uid="{0738BB52-5FD1-4DDB-BFDA-9223A3ADADA7}"/>
    <cellStyle name="Normal 2 5 8" xfId="26041" xr:uid="{D5FB66C6-0C06-48F4-8458-28DA2983901C}"/>
    <cellStyle name="Normal 2 5 8 2" xfId="48945" xr:uid="{6CB50DAC-7ABD-4ADA-92CD-9AE50BC627EC}"/>
    <cellStyle name="Normal 2 5 9" xfId="26042" xr:uid="{20E8148E-3E93-41A6-9AED-3FC1309A62BE}"/>
    <cellStyle name="Normal 2 6" xfId="26043" xr:uid="{340B750A-ED53-4DD0-86D1-1A7AAFBE2E87}"/>
    <cellStyle name="Normal 2 6 2" xfId="26044" xr:uid="{28BC664B-603D-48F4-91FE-53302B361D3A}"/>
    <cellStyle name="Normal 2 6 2 2" xfId="26045" xr:uid="{47CE0404-E7C6-4E64-878E-C221DA3A12B4}"/>
    <cellStyle name="Normal 2 6 2 2 2" xfId="26046" xr:uid="{3891D583-5021-4D3A-B9BB-2CDC2323B448}"/>
    <cellStyle name="Normal 2 6 2 3" xfId="26047" xr:uid="{434718F8-96EC-45C1-AFD6-9B95F1E6EAFE}"/>
    <cellStyle name="Normal 2 6 2 3 2" xfId="26048" xr:uid="{8B476A28-5C49-4198-8967-3BDF28D4A8CD}"/>
    <cellStyle name="Normal 2 6 2 4" xfId="26049" xr:uid="{E69DDEF5-D081-40AE-B548-C72101B823BE}"/>
    <cellStyle name="Normal 2 6 3" xfId="26050" xr:uid="{FE778A85-1EEE-404C-B6A5-2C323BF76B4F}"/>
    <cellStyle name="Normal 2 6 3 2" xfId="26051" xr:uid="{8A99DB48-23CF-43F3-9793-47E8785BC354}"/>
    <cellStyle name="Normal 2 6 4" xfId="26052" xr:uid="{3052A629-D98D-4A10-B7FC-E94550880021}"/>
    <cellStyle name="Normal 2 6 4 2" xfId="26053" xr:uid="{356E1B8B-82F8-41C2-B218-11CCF3A6AACB}"/>
    <cellStyle name="Normal 2 6 5" xfId="26054" xr:uid="{73DA08F9-3F21-4A9F-BA71-23172A851B5A}"/>
    <cellStyle name="Normal 2 6 5 2" xfId="26055" xr:uid="{24A2DB09-0421-4B1E-98BF-C41284C37494}"/>
    <cellStyle name="Normal 2 6 6" xfId="26056" xr:uid="{EFBFFB47-1411-49E2-A2D6-9316263FADA2}"/>
    <cellStyle name="Normal 2 6 6 2" xfId="26057" xr:uid="{5A1B7310-577B-4FBB-8D89-CEAB212D3FA6}"/>
    <cellStyle name="Normal 2 6 7" xfId="48946" xr:uid="{360798C8-9116-479F-B41A-FB4D957646E4}"/>
    <cellStyle name="Normal 2 7" xfId="26058" xr:uid="{0F55875A-DD73-4703-89C7-B55EF670BFBC}"/>
    <cellStyle name="Normal 2 7 2" xfId="26059" xr:uid="{70E15297-A8CD-4626-924E-7238DC8EC9B3}"/>
    <cellStyle name="Normal 2 7 2 2" xfId="26060" xr:uid="{E0A43B54-6AC2-4947-90EB-615D7DD044D7}"/>
    <cellStyle name="Normal 2 7 2 2 2" xfId="26061" xr:uid="{1346773B-F252-4A4E-9C8F-F3E1AE3EB187}"/>
    <cellStyle name="Normal 2 7 2 3" xfId="26062" xr:uid="{9052ABA2-7C99-45C9-A813-26A21FBECD7F}"/>
    <cellStyle name="Normal 2 7 2 3 2" xfId="26063" xr:uid="{DAE1855D-250A-46A6-A683-442EF17D6AD2}"/>
    <cellStyle name="Normal 2 7 2 4" xfId="26064" xr:uid="{274791D3-1CB9-4D64-8736-5ED87C4FA9A3}"/>
    <cellStyle name="Normal 2 7 3" xfId="26065" xr:uid="{FE4B02AF-7439-4DCA-B661-F088944D352C}"/>
    <cellStyle name="Normal 2 7 3 2" xfId="26066" xr:uid="{84632C96-75AE-4F18-8D20-EA4D0C62B008}"/>
    <cellStyle name="Normal 2 7 4" xfId="26067" xr:uid="{B9201B52-5125-4463-BF35-D1D420C3280B}"/>
    <cellStyle name="Normal 2 7 4 2" xfId="26068" xr:uid="{4F936754-32F5-4897-B7C6-B1BC442D49F9}"/>
    <cellStyle name="Normal 2 7 5" xfId="26069" xr:uid="{AF6E041C-1B75-4092-816D-63F27D128645}"/>
    <cellStyle name="Normal 2 7 5 2" xfId="26070" xr:uid="{455AFAA7-99C2-443B-BAC6-947E9B2861E0}"/>
    <cellStyle name="Normal 2 7 6" xfId="26071" xr:uid="{AF66AD4F-26D8-4515-B8BE-7D892E8407AF}"/>
    <cellStyle name="Normal 2 8" xfId="26072" xr:uid="{2A31173D-6808-4061-A961-32FFACDA3538}"/>
    <cellStyle name="Normal 2 8 2" xfId="26073" xr:uid="{503A469C-78FA-47E2-A743-88A1CFF97F14}"/>
    <cellStyle name="Normal 2 8 2 2" xfId="26074" xr:uid="{04A301DA-8ADB-4186-9D74-0762D647F888}"/>
    <cellStyle name="Normal 2 8 2 2 2" xfId="26075" xr:uid="{7C61FADD-9292-4ABA-A913-E3814626F474}"/>
    <cellStyle name="Normal 2 8 2 3" xfId="26076" xr:uid="{19E51D8B-6EE3-4A7A-BE75-B6114D1D3A50}"/>
    <cellStyle name="Normal 2 8 2 3 2" xfId="26077" xr:uid="{F8196CAE-3425-4D0F-88E7-79C4DBEE14ED}"/>
    <cellStyle name="Normal 2 8 2 4" xfId="26078" xr:uid="{0AC2FE7A-10AF-4E38-8150-8E2EA2F62361}"/>
    <cellStyle name="Normal 2 8 3" xfId="26079" xr:uid="{7CE01C13-F18D-4918-A2BE-527112C81A99}"/>
    <cellStyle name="Normal 2 8 3 2" xfId="26080" xr:uid="{DBD499B2-DD3B-43AC-80F4-F318D63D3F24}"/>
    <cellStyle name="Normal 2 8 4" xfId="26081" xr:uid="{221E8F1D-2788-4F2E-A732-17CE8606B67B}"/>
    <cellStyle name="Normal 2 8 4 2" xfId="26082" xr:uid="{BF222C33-2692-478E-91DB-61F53B1344CC}"/>
    <cellStyle name="Normal 2 8 5" xfId="26083" xr:uid="{9E34F5F7-31FD-4520-84FB-7FA3654E0861}"/>
    <cellStyle name="Normal 2 8 5 2" xfId="26084" xr:uid="{472185FF-F297-45B4-97BD-8C59FAE0BDE4}"/>
    <cellStyle name="Normal 2 8 6" xfId="26085" xr:uid="{7398CE4D-4ADA-4E2B-9938-80761A023040}"/>
    <cellStyle name="Normal 2 9" xfId="26086" xr:uid="{48C4C14B-6DD5-4333-BAA1-408481DB4940}"/>
    <cellStyle name="Normal 2 9 2" xfId="26087" xr:uid="{559DAC64-32D8-406A-AFE1-8C407B2BA389}"/>
    <cellStyle name="Normal 2 9 2 2" xfId="26088" xr:uid="{DB2603C3-D16C-43F3-876E-4E00B32B060D}"/>
    <cellStyle name="Normal 2 9 2 2 2" xfId="26089" xr:uid="{B7815A8C-E674-41CA-9CFA-63E1C5A47701}"/>
    <cellStyle name="Normal 2 9 2 3" xfId="26090" xr:uid="{047140B3-17F7-442C-9EAD-0FDD76FFDFC4}"/>
    <cellStyle name="Normal 2 9 2 3 2" xfId="26091" xr:uid="{0B24C816-2515-402B-8191-45284C68F863}"/>
    <cellStyle name="Normal 2 9 2 4" xfId="26092" xr:uid="{3E46BF7B-9560-4DC0-A5D9-8AEABE1BF510}"/>
    <cellStyle name="Normal 2 9 3" xfId="26093" xr:uid="{38829973-3567-4C0A-B0E0-96B11D7D4B2F}"/>
    <cellStyle name="Normal 2 9 3 2" xfId="26094" xr:uid="{6045CB2A-994A-4528-B483-F7889FEFC2BD}"/>
    <cellStyle name="Normal 2 9 4" xfId="26095" xr:uid="{BBA5644B-D314-421B-B094-5EFD0FFE8836}"/>
    <cellStyle name="Normal 2 9 4 2" xfId="26096" xr:uid="{E61F07F2-8ADA-42A5-A3C6-65435AAA455E}"/>
    <cellStyle name="Normal 2 9 5" xfId="26097" xr:uid="{B68AD298-10F4-4912-8B9C-3DC8343A9B91}"/>
    <cellStyle name="Normal 2_Plants" xfId="1989" xr:uid="{00000000-0005-0000-0000-00000D050000}"/>
    <cellStyle name="Normal 20" xfId="1990" xr:uid="{00000000-0005-0000-0000-00000E050000}"/>
    <cellStyle name="Normal 20 2" xfId="26099" xr:uid="{7DAD4F89-7828-4077-A27F-C9DF273B4B1A}"/>
    <cellStyle name="Normal 20 3" xfId="26100" xr:uid="{6AAFDE01-538E-45C6-80DA-5CAABDC385D9}"/>
    <cellStyle name="Normal 20 4" xfId="26098" xr:uid="{B1A09895-80F2-4E72-912F-A1AFC793CC7C}"/>
    <cellStyle name="Normal 21" xfId="1991" xr:uid="{00000000-0005-0000-0000-00000F050000}"/>
    <cellStyle name="Normal 21 2" xfId="26102" xr:uid="{2DE83324-6114-4ABF-AAB8-BFDBF2DFDE1D}"/>
    <cellStyle name="Normal 21 3" xfId="26103" xr:uid="{32E77219-CCDC-4D27-8B35-CBF583B075B7}"/>
    <cellStyle name="Normal 21 4" xfId="26101" xr:uid="{B5C5B7A7-ECA1-47AA-832A-13270CA09764}"/>
    <cellStyle name="Normal 22" xfId="1992" xr:uid="{00000000-0005-0000-0000-000010050000}"/>
    <cellStyle name="Normal 22 2" xfId="26105" xr:uid="{8BFA613A-F53A-4658-BFDF-7BA5171DEF6C}"/>
    <cellStyle name="Normal 22 3" xfId="26106" xr:uid="{5A8A9220-9760-4062-BBE2-610BC6063976}"/>
    <cellStyle name="Normal 22 4" xfId="26104" xr:uid="{FB2B9904-809D-4DA8-A99D-FA016E02FD52}"/>
    <cellStyle name="Normal 23" xfId="1993" xr:uid="{00000000-0005-0000-0000-000011050000}"/>
    <cellStyle name="Normal 23 2" xfId="26108" xr:uid="{49549CFF-0D7D-443E-A419-72B520196363}"/>
    <cellStyle name="Normal 23 3" xfId="26109" xr:uid="{9F097735-9F0D-4CDE-A116-C4B29D133384}"/>
    <cellStyle name="Normal 23 4" xfId="26107" xr:uid="{3615E7CD-78D9-47AB-8C68-DC9A4273A8B6}"/>
    <cellStyle name="Normal 24" xfId="1994" xr:uid="{00000000-0005-0000-0000-000012050000}"/>
    <cellStyle name="Normal 24 2" xfId="26111" xr:uid="{72FC3CEE-E588-40BB-8F27-DF4DF6963571}"/>
    <cellStyle name="Normal 24 3" xfId="26110" xr:uid="{47F1950F-5A16-4D92-8FAF-F499157DAB17}"/>
    <cellStyle name="Normal 24 4" xfId="48947" xr:uid="{8EE6DDF0-BD63-44E3-BB8A-F32CBE25882F}"/>
    <cellStyle name="Normal 25" xfId="1995" xr:uid="{00000000-0005-0000-0000-000013050000}"/>
    <cellStyle name="Normal 25 2" xfId="26113" xr:uid="{1AA6E246-B68E-44CD-9518-48A984A2D1ED}"/>
    <cellStyle name="Normal 25 3" xfId="26112" xr:uid="{47654DE6-AE74-4C39-B3F1-932A91CF4B22}"/>
    <cellStyle name="Normal 25 4" xfId="48948" xr:uid="{A2E26FD0-F89A-4E26-AC81-7984A6EA89FC}"/>
    <cellStyle name="Normal 26" xfId="1996" xr:uid="{00000000-0005-0000-0000-000014050000}"/>
    <cellStyle name="Normal 26 2" xfId="26115" xr:uid="{8EF6F8E0-50BF-4524-9328-C8BB4FD560A2}"/>
    <cellStyle name="Normal 26 3" xfId="26114" xr:uid="{AB7AC8C4-6198-45E3-998D-DAFB70D8FAAE}"/>
    <cellStyle name="Normal 26 4" xfId="48949" xr:uid="{EFF6C202-D407-480A-B0C1-33A7FCD3123F}"/>
    <cellStyle name="Normal 27" xfId="1997" xr:uid="{00000000-0005-0000-0000-000015050000}"/>
    <cellStyle name="Normal 27 2" xfId="26117" xr:uid="{F4F8FD33-7A99-4A04-B9BB-EB378E930646}"/>
    <cellStyle name="Normal 27 3" xfId="26116" xr:uid="{44B8E0F7-16CC-4A1F-8293-390DD17302E3}"/>
    <cellStyle name="Normal 27 4" xfId="48950" xr:uid="{7B06B54B-C9CF-449A-8547-F26E4A3E079C}"/>
    <cellStyle name="Normal 28" xfId="1998" xr:uid="{00000000-0005-0000-0000-000016050000}"/>
    <cellStyle name="Normal 28 2" xfId="26119" xr:uid="{7D72CD25-B0A3-406D-AE92-C69AE5E07D4E}"/>
    <cellStyle name="Normal 28 3" xfId="26118" xr:uid="{77F762D9-B064-4EAC-9B46-F3F8F41BD873}"/>
    <cellStyle name="Normal 28 4" xfId="48951" xr:uid="{BA575035-D3ED-4E3F-969B-AA821232FD04}"/>
    <cellStyle name="Normal 29" xfId="1999" xr:uid="{00000000-0005-0000-0000-000017050000}"/>
    <cellStyle name="Normal 29 2" xfId="2000" xr:uid="{00000000-0005-0000-0000-000018050000}"/>
    <cellStyle name="Normal 29 2 2" xfId="17809" xr:uid="{D8ED0CC1-ED96-4FC7-A383-CBC11E54F242}"/>
    <cellStyle name="Normal 29 3" xfId="26120" xr:uid="{6C6AAF8E-33A8-47D8-8B6D-8438A687D024}"/>
    <cellStyle name="Normal 29 4" xfId="48952" xr:uid="{53A13280-1074-4701-97DF-A707FE842019}"/>
    <cellStyle name="Normal 29 5" xfId="17808" xr:uid="{1BAE3121-0A18-4382-8488-672FB576C753}"/>
    <cellStyle name="Normal 3" xfId="556" xr:uid="{00000000-0005-0000-0000-000019050000}"/>
    <cellStyle name="Normal 3 10" xfId="2001" xr:uid="{00000000-0005-0000-0000-00001A050000}"/>
    <cellStyle name="Normal 3 10 2" xfId="12660" xr:uid="{04441DE3-9016-4CB4-AB7D-C8EA31BE87B1}"/>
    <cellStyle name="Normal 3 10 2 2" xfId="26121" xr:uid="{E3B80F01-F35C-454D-AF42-17EA80FE55E8}"/>
    <cellStyle name="Normal 3 10 2 3" xfId="18833" xr:uid="{7609301A-A385-4FCA-9856-E63D5374D4A6}"/>
    <cellStyle name="Normal 3 10 3" xfId="11048" xr:uid="{2483506D-07B3-411D-AA9C-9F23DC54E47A}"/>
    <cellStyle name="Normal 3 10 3 2" xfId="37518" xr:uid="{46ED8552-3A56-4E26-9F53-3B16385D0728}"/>
    <cellStyle name="Normal 3 10 3 3" xfId="26122" xr:uid="{EF85DE27-6B47-4486-A60A-A3C10BE72B1A}"/>
    <cellStyle name="Normal 3 10 4" xfId="26123" xr:uid="{EAA9913F-FABD-45CD-93EC-1A40291F91C4}"/>
    <cellStyle name="Normal 3 10 5" xfId="10207" xr:uid="{43E65694-37F5-4B19-9AB6-A0BD2F09B1B0}"/>
    <cellStyle name="Normal 3 11" xfId="2002" xr:uid="{00000000-0005-0000-0000-00001B050000}"/>
    <cellStyle name="Normal 3 11 2" xfId="12974" xr:uid="{29E2F27F-42B0-49BD-8E60-69A7057540F6}"/>
    <cellStyle name="Normal 3 11 2 2" xfId="18995" xr:uid="{0478C803-1793-46B0-AAB4-2A7FDAFC31C8}"/>
    <cellStyle name="Normal 3 11 3" xfId="11049" xr:uid="{86591EE1-BFB7-4666-A385-BCED4A36E93A}"/>
    <cellStyle name="Normal 3 11 3 2" xfId="48092" xr:uid="{B9BC2659-251C-486A-B489-DAE0F1B3F55D}"/>
    <cellStyle name="Normal 3 11 3 3" xfId="26124" xr:uid="{C848C920-A3FD-4D49-9779-73623CC34E09}"/>
    <cellStyle name="Normal 3 11 4" xfId="10521" xr:uid="{62EAE520-58D1-4789-8E1A-E1D039C6F0BF}"/>
    <cellStyle name="Normal 3 12" xfId="2003" xr:uid="{00000000-0005-0000-0000-00001C050000}"/>
    <cellStyle name="Normal 3 12 2" xfId="26126" xr:uid="{666B767D-DC19-4925-9B1F-623D0E10472B}"/>
    <cellStyle name="Normal 3 12 3" xfId="26127" xr:uid="{BA6EF3D4-B56D-409E-AC72-44635D06B2CC}"/>
    <cellStyle name="Normal 3 12 4" xfId="26125" xr:uid="{795EFC74-09E5-4B3D-9FD7-A83114032C6B}"/>
    <cellStyle name="Normal 3 13" xfId="2004" xr:uid="{00000000-0005-0000-0000-00001D050000}"/>
    <cellStyle name="Normal 3 13 2" xfId="26129" xr:uid="{35D92CD5-75F8-480E-BF0E-A8F934A1699D}"/>
    <cellStyle name="Normal 3 13 3" xfId="26130" xr:uid="{8DE988D7-5743-4ED9-B545-7904BEC9B260}"/>
    <cellStyle name="Normal 3 13 4" xfId="26128" xr:uid="{F512C8D0-5CFA-42A6-AE54-30D5936FC880}"/>
    <cellStyle name="Normal 3 14" xfId="2005" xr:uid="{00000000-0005-0000-0000-00001E050000}"/>
    <cellStyle name="Normal 3 14 2" xfId="26132" xr:uid="{F9C6EF2C-EA5D-45B0-945D-B9BE930FAB37}"/>
    <cellStyle name="Normal 3 14 3" xfId="26133" xr:uid="{33B940BF-C50E-4B6E-8CEB-38033FACC52A}"/>
    <cellStyle name="Normal 3 14 4" xfId="26131" xr:uid="{9853AD6F-AFF3-424F-9C55-B4D0C56AB956}"/>
    <cellStyle name="Normal 3 15" xfId="2006" xr:uid="{00000000-0005-0000-0000-00001F050000}"/>
    <cellStyle name="Normal 3 15 2" xfId="26135" xr:uid="{FE0AE2CB-D626-4FE6-80BE-DF4B1A485A82}"/>
    <cellStyle name="Normal 3 15 3" xfId="26134" xr:uid="{16F7872C-FE7A-4382-AE51-766383C0D1C2}"/>
    <cellStyle name="Normal 3 15 4" xfId="48953" xr:uid="{C997B44B-A72A-44A5-8A42-B1872A758FFD}"/>
    <cellStyle name="Normal 3 16" xfId="2007" xr:uid="{00000000-0005-0000-0000-000020050000}"/>
    <cellStyle name="Normal 3 16 2" xfId="26136" xr:uid="{5266C609-1BE6-4785-BCB4-0F40F03F2D1D}"/>
    <cellStyle name="Normal 3 16 3" xfId="48954" xr:uid="{E791E01B-1883-44CB-8137-F1124BC79BDF}"/>
    <cellStyle name="Normal 3 16 4" xfId="17810" xr:uid="{71A080E3-29E1-4033-9653-34316683CE58}"/>
    <cellStyle name="Normal 3 17" xfId="10605" xr:uid="{ACF6057F-FC24-40DD-B093-A275D02C7222}"/>
    <cellStyle name="Normal 3 17 2" xfId="46158" xr:uid="{A847BDCF-C006-4C21-890A-71423908245C}"/>
    <cellStyle name="Normal 3 18" xfId="16973" xr:uid="{35B24204-008E-4E44-BC7B-57019416F3AF}"/>
    <cellStyle name="Normal 3 2" xfId="557" xr:uid="{00000000-0005-0000-0000-000021050000}"/>
    <cellStyle name="Normal 3 2 10" xfId="10606" xr:uid="{6EB48CD1-6488-4BEB-B76E-BC1F0FE91E00}"/>
    <cellStyle name="Normal 3 2 10 2" xfId="47295" xr:uid="{7D67BA51-BB66-4DBD-8BBA-44551B4BD656}"/>
    <cellStyle name="Normal 3 2 11" xfId="16974" xr:uid="{93D4542A-56C2-4916-A40D-1D4883A8C181}"/>
    <cellStyle name="Normal 3 2 2" xfId="558" xr:uid="{00000000-0005-0000-0000-000022050000}"/>
    <cellStyle name="Normal 3 2 2 2" xfId="2008" xr:uid="{00000000-0005-0000-0000-000023050000}"/>
    <cellStyle name="Normal 3 2 2 2 2" xfId="4085" xr:uid="{20EFB8C9-9949-4054-98E5-B71FE73FB663}"/>
    <cellStyle name="Normal 3 2 2 2 2 2" xfId="10309" xr:uid="{97079813-CA6F-4D52-B25D-54C3F8818E5B}"/>
    <cellStyle name="Normal 3 2 2 2 2 2 2" xfId="12762" xr:uid="{4B87800D-3687-46B4-B3E0-C25E8933A727}"/>
    <cellStyle name="Normal 3 2 2 2 2 2 2 2" xfId="48273" xr:uid="{381EDA03-26A1-464B-A2C4-22C1456E8F2B}"/>
    <cellStyle name="Normal 3 2 2 2 2 2 3" xfId="18891" xr:uid="{FFE6792C-B1D1-4FDA-BEB5-74A633BADD87}"/>
    <cellStyle name="Normal 3 2 2 2 2 3" xfId="12461" xr:uid="{4AA39EAA-F9C9-47FE-A99E-14E1E838C054}"/>
    <cellStyle name="Normal 3 2 2 2 2 3 2" xfId="46309" xr:uid="{D545C542-3FB2-433E-9C7A-A9619DEE0798}"/>
    <cellStyle name="Normal 3 2 2 2 2 4" xfId="18742" xr:uid="{AB7E0D20-1E08-4C72-A6FA-A0EAD2460628}"/>
    <cellStyle name="Normal 3 2 2 2 3" xfId="10076" xr:uid="{21982FB5-F980-4039-B82E-6737687A3317}"/>
    <cellStyle name="Normal 3 2 2 2 3 2" xfId="10388" xr:uid="{306AC40D-F6D3-4D6E-8518-2FE7C2680F0A}"/>
    <cellStyle name="Normal 3 2 2 2 3 2 2" xfId="12841" xr:uid="{6F447464-87F4-428D-9967-D02B54FA5C98}"/>
    <cellStyle name="Normal 3 2 2 2 3 2 2 2" xfId="46362" xr:uid="{CDBB03F2-ACAD-468E-91AC-197726C1CD18}"/>
    <cellStyle name="Normal 3 2 2 2 3 2 3" xfId="18932" xr:uid="{2E260D67-E698-442E-AA83-F0B4EEC4C9DE}"/>
    <cellStyle name="Normal 3 2 2 2 3 3" xfId="12533" xr:uid="{3E7D13F5-B41D-4ADE-B202-510A158513E2}"/>
    <cellStyle name="Normal 3 2 2 2 3 3 2" xfId="48335" xr:uid="{DC70115C-2939-426F-BDE6-E3A35EDEB5AB}"/>
    <cellStyle name="Normal 3 2 2 2 3 4" xfId="18776" xr:uid="{CD7C024D-81AA-48FA-BCBB-7F9BB30CC54D}"/>
    <cellStyle name="Normal 3 2 2 2 4" xfId="10154" xr:uid="{5FE54D2D-47E2-4A6F-9AC3-E60B69EAE1FA}"/>
    <cellStyle name="Normal 3 2 2 2 4 2" xfId="10468" xr:uid="{2640CB69-50E8-4D5C-8BE7-BF7047CB40BA}"/>
    <cellStyle name="Normal 3 2 2 2 4 2 2" xfId="12921" xr:uid="{1A734615-A55D-4116-8400-C955242F8C37}"/>
    <cellStyle name="Normal 3 2 2 2 4 2 2 2" xfId="32421" xr:uid="{53B9F37C-52C2-4546-A4FD-A93FAFC7D179}"/>
    <cellStyle name="Normal 3 2 2 2 4 2 3" xfId="18974" xr:uid="{1A1F3C58-10D4-4CD0-AD08-D720A6574023}"/>
    <cellStyle name="Normal 3 2 2 2 4 3" xfId="12608" xr:uid="{B6D02529-1A55-41AE-B4E2-FD180E9E6F8D}"/>
    <cellStyle name="Normal 3 2 2 2 4 3 2" xfId="47916" xr:uid="{05107D5D-BF27-4CA5-8424-25C6B120FE75}"/>
    <cellStyle name="Normal 3 2 2 2 4 4" xfId="18813" xr:uid="{8DCE3C07-33F0-4BA9-B43E-390462187CEA}"/>
    <cellStyle name="Normal 3 2 2 2 5" xfId="10234" xr:uid="{33D15470-8665-4DEB-A840-5E71DA9824F9}"/>
    <cellStyle name="Normal 3 2 2 2 5 2" xfId="12687" xr:uid="{6CA69017-288C-421C-9D6E-329F87EA2534}"/>
    <cellStyle name="Normal 3 2 2 2 5 2 2" xfId="48093" xr:uid="{011543A7-641C-46CA-B219-9B8F911719F8}"/>
    <cellStyle name="Normal 3 2 2 2 5 3" xfId="18854" xr:uid="{0AFC4699-7CA1-48E0-AB0A-8A0D4351B49F}"/>
    <cellStyle name="Normal 3 2 2 2 6" xfId="10548" xr:uid="{9BF4E79A-29B5-45DA-9655-65EDC9627DDC}"/>
    <cellStyle name="Normal 3 2 2 2 6 2" xfId="13001" xr:uid="{8640394B-EB45-4E29-9E79-A8544342FAE5}"/>
    <cellStyle name="Normal 3 2 2 2 6 2 2" xfId="48341" xr:uid="{6EB24D71-2023-4BD3-A6A3-F9D6513B7CC7}"/>
    <cellStyle name="Normal 3 2 2 2 6 3" xfId="19016" xr:uid="{EAC6F4A9-100F-4B61-8959-8EB46069682A}"/>
    <cellStyle name="Normal 3 2 2 2 7" xfId="12318" xr:uid="{E2CFD978-B662-40DB-B49A-2800C4C2FACE}"/>
    <cellStyle name="Normal 3 2 2 2 7 2" xfId="18631" xr:uid="{E9ED9127-F197-41B8-A8AF-BBDEBEB77ABC}"/>
    <cellStyle name="Normal 3 2 2 2 8" xfId="11050" xr:uid="{2915DC79-E216-4085-90A5-0912E62B3652}"/>
    <cellStyle name="Normal 3 2 2 2 9" xfId="16976" xr:uid="{0E2D17F0-87BA-4B00-83B8-4708C9E51E2A}"/>
    <cellStyle name="Normal 3 2 2 3" xfId="2009" xr:uid="{00000000-0005-0000-0000-000024050000}"/>
    <cellStyle name="Normal 3 2 2 3 2" xfId="2010" xr:uid="{00000000-0005-0000-0000-000025050000}"/>
    <cellStyle name="Normal 3 2 2 3 2 2" xfId="14068" xr:uid="{A0CFA564-A352-4D66-9CE1-CC883C84E94B}"/>
    <cellStyle name="Normal 3 2 2 3 2 3" xfId="17812" xr:uid="{50036E50-CD3B-42B3-8E2C-B662CEB3A820}"/>
    <cellStyle name="Normal 3 2 2 3 3" xfId="11132" xr:uid="{6A89020C-3FEE-4112-BC4C-37A9023BAF33}"/>
    <cellStyle name="Normal 3 2 2 3 3 2" xfId="26137" xr:uid="{161850D8-AD52-4BAE-823A-A2F997270BB0}"/>
    <cellStyle name="Normal 3 2 2 3 4" xfId="11051" xr:uid="{DBD9F86C-9475-4B33-98B8-B981A4E80B03}"/>
    <cellStyle name="Normal 3 2 2 3 4 2" xfId="17811" xr:uid="{2CEEE4E3-8CAD-4B8B-874E-09A5F46AB4A4}"/>
    <cellStyle name="Normal 3 2 2 3 5" xfId="8067" xr:uid="{2B3B3DF3-3A7D-44FF-A4CF-5E717423559B}"/>
    <cellStyle name="Normal 3 2 2 4" xfId="2011" xr:uid="{00000000-0005-0000-0000-000026050000}"/>
    <cellStyle name="Normal 3 2 2 4 2" xfId="10295" xr:uid="{F74B0D49-92A1-4610-9B87-CCEBBA805736}"/>
    <cellStyle name="Normal 3 2 2 4 2 2" xfId="12748" xr:uid="{5279744D-03AE-4C23-8B3E-DF2BE83982EA}"/>
    <cellStyle name="Normal 3 2 2 4 2 2 2" xfId="46348" xr:uid="{9313C41D-1C3B-4A20-86D0-22C50A091019}"/>
    <cellStyle name="Normal 3 2 2 4 2 3" xfId="18879" xr:uid="{24FFDE9E-D52E-4679-B695-3CCC46AF5044}"/>
    <cellStyle name="Normal 3 2 2 4 3" xfId="11052" xr:uid="{A18650FD-E249-4C0F-BD1A-DFAF5BD0CE26}"/>
    <cellStyle name="Normal 3 2 2 4 3 2" xfId="32540" xr:uid="{10C5E935-BCA3-4E28-B962-757D3B154E06}"/>
    <cellStyle name="Normal 3 2 2 4 4" xfId="17813" xr:uid="{14B12029-1008-4267-AE83-B3C66093FC3A}"/>
    <cellStyle name="Normal 3 2 2 5" xfId="10061" xr:uid="{C59533FC-1B5D-4389-BF22-D5A5048A9525}"/>
    <cellStyle name="Normal 3 2 2 5 2" xfId="10369" xr:uid="{79EF18AC-A864-45B8-AC49-02072EEC5857}"/>
    <cellStyle name="Normal 3 2 2 5 2 2" xfId="12822" xr:uid="{98C19FD8-6326-439A-A73A-7073065DB7CD}"/>
    <cellStyle name="Normal 3 2 2 5 2 2 2" xfId="46358" xr:uid="{BEAB1A32-2020-43AD-A66B-05A3092F39A9}"/>
    <cellStyle name="Normal 3 2 2 5 2 3" xfId="18915" xr:uid="{9023FED3-F09C-4CDC-B5BB-F71041E5602B}"/>
    <cellStyle name="Normal 3 2 2 5 3" xfId="12520" xr:uid="{BA1356DD-8D0F-472C-8C05-110737685AAD}"/>
    <cellStyle name="Normal 3 2 2 5 3 2" xfId="46763" xr:uid="{4B33AACA-1D2D-46F9-9CCB-6E0909FF8F4F}"/>
    <cellStyle name="Normal 3 2 2 5 4" xfId="18765" xr:uid="{AE55F90C-7D0B-4D0B-9935-470E5AC93167}"/>
    <cellStyle name="Normal 3 2 2 6" xfId="10135" xr:uid="{04DC7B54-A4E7-4DDC-BD8F-38204D79F8A2}"/>
    <cellStyle name="Normal 3 2 2 6 2" xfId="10449" xr:uid="{4B6EF139-920B-48AF-8276-A316725A6028}"/>
    <cellStyle name="Normal 3 2 2 6 2 2" xfId="12902" xr:uid="{5B13C51A-C56C-4CC8-BC77-C2F34CE35B52}"/>
    <cellStyle name="Normal 3 2 2 6 2 2 2" xfId="46367" xr:uid="{C7A80337-506C-4DDB-89E2-4202808A287F}"/>
    <cellStyle name="Normal 3 2 2 6 2 3" xfId="18957" xr:uid="{4F03C8B7-64AA-40DE-AFD5-D29448F1B691}"/>
    <cellStyle name="Normal 3 2 2 6 3" xfId="12592" xr:uid="{2F87AE5D-0FD4-4E77-9400-F1AACCC4CE8D}"/>
    <cellStyle name="Normal 3 2 2 6 3 2" xfId="46327" xr:uid="{F393D580-A550-406E-87B8-A8A5BEE319B3}"/>
    <cellStyle name="Normal 3 2 2 6 4" xfId="18799" xr:uid="{5A5986EA-2A73-4AB8-8F1E-DE077B454E75}"/>
    <cellStyle name="Normal 3 2 2 7" xfId="10215" xr:uid="{AAC45652-BFAA-415D-B988-602A89A2B12B}"/>
    <cellStyle name="Normal 3 2 2 7 2" xfId="12668" xr:uid="{83392A4A-CF46-489E-BB2F-60B941F0F671}"/>
    <cellStyle name="Normal 3 2 2 7 2 2" xfId="25065" xr:uid="{43C37D24-0FBB-4A14-A8F0-A2201F22DD31}"/>
    <cellStyle name="Normal 3 2 2 7 3" xfId="18837" xr:uid="{9D754360-CE2F-40DC-BE3F-8B3C97141A9E}"/>
    <cellStyle name="Normal 3 2 2 8" xfId="10529" xr:uid="{6188F8EF-3C19-48E9-B09E-AF34E629D1BC}"/>
    <cellStyle name="Normal 3 2 2 8 2" xfId="12982" xr:uid="{AA4AA0D9-A840-432D-A588-88F750B71E3F}"/>
    <cellStyle name="Normal 3 2 2 8 2 2" xfId="46818" xr:uid="{286AF498-3BBB-4AA7-AEA9-87E0982AB098}"/>
    <cellStyle name="Normal 3 2 2 8 3" xfId="18999" xr:uid="{5C212349-1DC7-4FE0-990E-2C73B8F0B923}"/>
    <cellStyle name="Normal 3 2 2 9" xfId="16975" xr:uid="{59F3C6DD-5A81-45A1-A95F-BF29D070957F}"/>
    <cellStyle name="Normal 3 2 3" xfId="559" xr:uid="{00000000-0005-0000-0000-000027050000}"/>
    <cellStyle name="Normal 3 2 3 2" xfId="2012" xr:uid="{00000000-0005-0000-0000-000028050000}"/>
    <cellStyle name="Normal 3 2 3 2 2" xfId="2013" xr:uid="{00000000-0005-0000-0000-000029050000}"/>
    <cellStyle name="Normal 3 2 3 2 2 2" xfId="11054" xr:uid="{C6422F01-33F0-4D40-9B26-4ED6FE94A0E5}"/>
    <cellStyle name="Normal 3 2 3 2 2 2 2" xfId="47413" xr:uid="{D61A08B1-4B02-43ED-8D79-63A5983087A1}"/>
    <cellStyle name="Normal 3 2 3 2 2 3" xfId="17815" xr:uid="{35B191F3-91CC-44B0-93E0-427B83FB83B8}"/>
    <cellStyle name="Normal 3 2 3 2 3" xfId="11053" xr:uid="{A91562C1-5BA0-47B8-A93A-86705DCD682C}"/>
    <cellStyle name="Normal 3 2 3 2 3 2" xfId="47459" xr:uid="{EE3CEF5E-5103-4A63-9338-1F04669CD2C6}"/>
    <cellStyle name="Normal 3 2 3 2 4" xfId="17814" xr:uid="{29833302-D880-4259-B07F-F2214280CF8D}"/>
    <cellStyle name="Normal 3 2 3 3" xfId="2014" xr:uid="{00000000-0005-0000-0000-00002A050000}"/>
    <cellStyle name="Normal 3 2 3 3 2" xfId="10379" xr:uid="{4CE29ECE-506F-44C2-9BBD-BF3AF5A93B31}"/>
    <cellStyle name="Normal 3 2 3 3 2 2" xfId="12832" xr:uid="{5CED1565-C79B-428C-A7B7-09D7EA0C3E01}"/>
    <cellStyle name="Normal 3 2 3 3 2 2 2" xfId="46800" xr:uid="{3A2B08D3-13BE-47D7-8A4B-763EC7FDEE32}"/>
    <cellStyle name="Normal 3 2 3 3 2 3" xfId="18924" xr:uid="{D4D1A545-5292-418A-8DA9-4C63B95C2F2E}"/>
    <cellStyle name="Normal 3 2 3 3 3" xfId="11055" xr:uid="{B3CB2F14-91C9-4254-B226-46E3301ECB09}"/>
    <cellStyle name="Normal 3 2 3 3 3 2" xfId="25174" xr:uid="{FCE2E93F-51E2-4533-8CF0-508BA7BFAA80}"/>
    <cellStyle name="Normal 3 2 3 3 4" xfId="17816" xr:uid="{C0927E91-9B2B-446E-A55A-0D9336838E87}"/>
    <cellStyle name="Normal 3 2 3 4" xfId="10145" xr:uid="{F82806DA-E80B-4FF2-AD94-DCFC52C119A5}"/>
    <cellStyle name="Normal 3 2 3 4 2" xfId="10459" xr:uid="{E7F73BC9-0D21-43B4-9BEC-CA8E08456B5D}"/>
    <cellStyle name="Normal 3 2 3 4 2 2" xfId="12912" xr:uid="{0B81CBDC-F0EE-41CB-84C2-C8B9D3063C90}"/>
    <cellStyle name="Normal 3 2 3 4 2 2 2" xfId="48344" xr:uid="{0E8513C6-942A-492F-AF2D-63556630EC64}"/>
    <cellStyle name="Normal 3 2 3 4 2 3" xfId="18966" xr:uid="{28885040-83C9-420D-9BDA-BDAB75EFB67A}"/>
    <cellStyle name="Normal 3 2 3 4 3" xfId="12137" xr:uid="{994FF669-B81C-4C8C-B396-E32B1B1BFF78}"/>
    <cellStyle name="Normal 3 2 3 4 3 2" xfId="48012" xr:uid="{5EDF6345-6271-4738-B01E-48691AEA5056}"/>
    <cellStyle name="Normal 3 2 3 4 4" xfId="18545" xr:uid="{173EC239-AC9E-4EBF-9AD4-59EB65018170}"/>
    <cellStyle name="Normal 3 2 3 5" xfId="10225" xr:uid="{CEF81111-7B72-4E84-A467-BB84BCA49C4C}"/>
    <cellStyle name="Normal 3 2 3 5 2" xfId="12678" xr:uid="{0A477308-3314-4C58-A200-E9798BC1823D}"/>
    <cellStyle name="Normal 3 2 3 5 2 2" xfId="47918" xr:uid="{97304F9B-B302-44D8-87E1-2A0EDF2BECB2}"/>
    <cellStyle name="Normal 3 2 3 5 3" xfId="18846" xr:uid="{F4C02379-EA55-4221-978C-48BC41BB7EC7}"/>
    <cellStyle name="Normal 3 2 3 6" xfId="10539" xr:uid="{158C5B28-CBD7-446A-BFA0-AAC55D8823C9}"/>
    <cellStyle name="Normal 3 2 3 6 2" xfId="12992" xr:uid="{45577E25-D364-4D9F-BFCF-9AD99BD3922D}"/>
    <cellStyle name="Normal 3 2 3 6 2 2" xfId="47215" xr:uid="{F0916E8E-8D30-4DAA-9628-157F6AD0DE57}"/>
    <cellStyle name="Normal 3 2 3 6 3" xfId="19008" xr:uid="{53B4E278-E80B-406E-9AEC-9B9870EB870A}"/>
    <cellStyle name="Normal 3 2 3 7" xfId="10607" xr:uid="{3EA83C3A-E8E7-4511-96CE-392030CF60EC}"/>
    <cellStyle name="Normal 3 2 3 7 2" xfId="47410" xr:uid="{41AEE0B2-CDBF-4D8E-AE8D-93ADC87891ED}"/>
    <cellStyle name="Normal 3 2 3 8" xfId="16977" xr:uid="{7BA72C5E-A6F8-400D-85B4-0366B4746B8D}"/>
    <cellStyle name="Normal 3 2 4" xfId="2015" xr:uid="{00000000-0005-0000-0000-00002B050000}"/>
    <cellStyle name="Normal 3 2 4 2" xfId="2016" xr:uid="{00000000-0005-0000-0000-00002C050000}"/>
    <cellStyle name="Normal 3 2 4 2 2" xfId="10302" xr:uid="{54D44F06-0F0A-4F79-8068-DA29FED3FF03}"/>
    <cellStyle name="Normal 3 2 4 2 2 2" xfId="12755" xr:uid="{02D34694-2892-485F-BE62-B5CCC4B85945}"/>
    <cellStyle name="Normal 3 2 4 2 2 2 2" xfId="25059" xr:uid="{B0F7C8B2-19AF-4652-9E67-44B535483C93}"/>
    <cellStyle name="Normal 3 2 4 2 2 3" xfId="18885" xr:uid="{ED59A7F5-72C4-49AA-BB84-EC818E40E34B}"/>
    <cellStyle name="Normal 3 2 4 2 3" xfId="11057" xr:uid="{E0FBFB23-164B-4D1B-9E4D-C080A32664F5}"/>
    <cellStyle name="Normal 3 2 4 2 3 2" xfId="46718" xr:uid="{8C68F667-9156-4C44-A401-BCD3FCB167BD}"/>
    <cellStyle name="Normal 3 2 4 2 4" xfId="17817" xr:uid="{5BE9E6F1-CD63-4F99-89AF-E507A3E864D6}"/>
    <cellStyle name="Normal 3 2 4 3" xfId="10068" xr:uid="{3427040F-1CDB-4FFC-88D2-469D2841E0CF}"/>
    <cellStyle name="Normal 3 2 4 3 2" xfId="10378" xr:uid="{B4041505-FE23-4688-9BD9-78639EDC18F6}"/>
    <cellStyle name="Normal 3 2 4 3 2 2" xfId="12831" xr:uid="{686904FD-8F7A-4299-B082-1ECA200B4BD5}"/>
    <cellStyle name="Normal 3 2 4 3 2 2 2" xfId="48108" xr:uid="{6B750345-E736-44FB-B153-FEFD6FBEF568}"/>
    <cellStyle name="Normal 3 2 4 3 2 3" xfId="18923" xr:uid="{70E740C7-14EE-433E-9F43-BEE689EFE5A3}"/>
    <cellStyle name="Normal 3 2 4 3 3" xfId="12527" xr:uid="{07647A0D-B236-4C84-ACD9-7190131B6519}"/>
    <cellStyle name="Normal 3 2 4 3 3 2" xfId="47757" xr:uid="{ED1D5BE3-D7C7-4D34-9A85-A997AC605593}"/>
    <cellStyle name="Normal 3 2 4 3 4" xfId="18771" xr:uid="{5D159D1B-8C23-41B5-AFCD-298CB71558BF}"/>
    <cellStyle name="Normal 3 2 4 4" xfId="10144" xr:uid="{22ED4862-37C2-4A1F-AC80-214C2936F665}"/>
    <cellStyle name="Normal 3 2 4 4 2" xfId="10458" xr:uid="{4FC736F8-5BB8-4409-B5B7-9AC4A0BB7812}"/>
    <cellStyle name="Normal 3 2 4 4 2 2" xfId="12911" xr:uid="{C2B88CF5-E779-40F9-8084-670CDFE570E7}"/>
    <cellStyle name="Normal 3 2 4 4 2 2 2" xfId="46810" xr:uid="{ED745C6D-4483-480E-9692-CE153F94CC67}"/>
    <cellStyle name="Normal 3 2 4 4 2 3" xfId="18965" xr:uid="{D912F64B-5981-44B4-A688-7B6006636D4A}"/>
    <cellStyle name="Normal 3 2 4 4 3" xfId="12600" xr:uid="{F800B506-7A1B-4E99-A8F2-11E1F1BA6A11}"/>
    <cellStyle name="Normal 3 2 4 4 3 2" xfId="46771" xr:uid="{05BB1907-AB30-436E-BB14-85781C1DC03D}"/>
    <cellStyle name="Normal 3 2 4 4 4" xfId="18806" xr:uid="{4911EB8A-9436-4A84-9BAD-0CD3704D230A}"/>
    <cellStyle name="Normal 3 2 4 5" xfId="10224" xr:uid="{51D5C71D-B838-458F-8383-293A14FC776F}"/>
    <cellStyle name="Normal 3 2 4 5 2" xfId="12677" xr:uid="{170E3560-1161-4A69-BBFE-0AEFCCDAD4E7}"/>
    <cellStyle name="Normal 3 2 4 5 2 2" xfId="48338" xr:uid="{C422F38A-E1A9-4DFC-9608-D9591C24C326}"/>
    <cellStyle name="Normal 3 2 4 5 3" xfId="18845" xr:uid="{01A0838F-9F8C-4B5E-806E-09C2C1342872}"/>
    <cellStyle name="Normal 3 2 4 6" xfId="10538" xr:uid="{70094AAF-5501-4F0A-8B7E-13A5A99DE90C}"/>
    <cellStyle name="Normal 3 2 4 6 2" xfId="12991" xr:uid="{7B2768B6-0083-435D-9788-938333EC5C88}"/>
    <cellStyle name="Normal 3 2 4 6 2 2" xfId="32464" xr:uid="{CD924B37-5E33-49EF-8D56-A35D878C1FA6}"/>
    <cellStyle name="Normal 3 2 4 6 3" xfId="19007" xr:uid="{E3063396-EC96-43DE-90CC-0C35184E6B83}"/>
    <cellStyle name="Normal 3 2 4 7" xfId="11056" xr:uid="{AC257383-14A1-4FE6-B5BE-E87B660D0758}"/>
    <cellStyle name="Normal 3 2 4 7 2" xfId="47688" xr:uid="{5F555792-EE12-45EB-9E3C-CE4A52CE1AAF}"/>
    <cellStyle name="Normal 3 2 4 8" xfId="16978" xr:uid="{5FA44F41-1529-4D76-84F4-FA8F8D016197}"/>
    <cellStyle name="Normal 3 2 5" xfId="2017" xr:uid="{00000000-0005-0000-0000-00002D050000}"/>
    <cellStyle name="Normal 3 2 5 2" xfId="10288" xr:uid="{E4A64D2A-8653-4C6C-90C5-99EA77BD416D}"/>
    <cellStyle name="Normal 3 2 5 2 2" xfId="12741" xr:uid="{94A807F3-9AEF-4A23-8FE3-A6DEDB727660}"/>
    <cellStyle name="Normal 3 2 5 2 2 2" xfId="25324" xr:uid="{A16E4384-2652-492A-9527-E5034DA334BD}"/>
    <cellStyle name="Normal 3 2 5 2 3" xfId="18876" xr:uid="{99FC5848-125C-4B58-9D3A-E3794C84F7CE}"/>
    <cellStyle name="Normal 3 2 5 3" xfId="11058" xr:uid="{0C6335F5-4BD3-445C-858F-238826B017DA}"/>
    <cellStyle name="Normal 3 2 5 3 2" xfId="26138" xr:uid="{F2F01B62-BAA8-421A-93C8-76D6DEFAD4A2}"/>
    <cellStyle name="Normal 3 2 5 4" xfId="17818" xr:uid="{7239B199-6728-4523-8E1E-BBBD12EBEB22}"/>
    <cellStyle name="Normal 3 2 6" xfId="10054" xr:uid="{21C6132E-2393-4238-B5D0-14D7B04852A2}"/>
    <cellStyle name="Normal 3 2 6 2" xfId="10362" xr:uid="{1BC3CF14-C617-4315-9AD8-B28E612449B4}"/>
    <cellStyle name="Normal 3 2 6 2 2" xfId="12815" xr:uid="{ECE69015-CE5E-412D-9FAB-248640CF67FF}"/>
    <cellStyle name="Normal 3 2 6 2 2 2" xfId="46357" xr:uid="{13BD3EE1-CD52-4347-9C90-0BE7021ED0FC}"/>
    <cellStyle name="Normal 3 2 6 2 3" xfId="18912" xr:uid="{8DB01723-E88F-4C7F-B596-4AE316BB7217}"/>
    <cellStyle name="Normal 3 2 6 3" xfId="12138" xr:uid="{2B6BE014-5F48-4DE3-B8B4-2FF6F5B842B5}"/>
    <cellStyle name="Normal 3 2 6 3 2" xfId="47088" xr:uid="{0B5DA8E4-DE14-4DB7-AE74-ADC9DDD5B1D5}"/>
    <cellStyle name="Normal 3 2 6 4" xfId="18546" xr:uid="{050F3ACE-48AA-4712-B4F0-82A50D26AB08}"/>
    <cellStyle name="Normal 3 2 7" xfId="10128" xr:uid="{02F08D3B-5787-4B88-85D0-F90167A565E8}"/>
    <cellStyle name="Normal 3 2 7 2" xfId="10442" xr:uid="{164AE200-F138-4632-A632-41356F1C45C3}"/>
    <cellStyle name="Normal 3 2 7 2 2" xfId="12895" xr:uid="{B5C9CCF5-9DCD-4ABD-A693-9FE2AF408DE4}"/>
    <cellStyle name="Normal 3 2 7 2 2 2" xfId="46366" xr:uid="{5F1FE77F-1943-4F69-8838-7AFFD2542215}"/>
    <cellStyle name="Normal 3 2 7 2 3" xfId="18954" xr:uid="{D959D8F8-B73F-4CD7-846F-2E59D5EA4971}"/>
    <cellStyle name="Normal 3 2 7 3" xfId="12585" xr:uid="{45E6C338-10CE-48E5-9618-9514B71D7EF1}"/>
    <cellStyle name="Normal 3 2 7 3 2" xfId="25330" xr:uid="{21C45FD1-4192-476A-8760-5AE199B61D0F}"/>
    <cellStyle name="Normal 3 2 7 4" xfId="18796" xr:uid="{EE4CB540-C5ED-429A-838F-2AA5FF01717C}"/>
    <cellStyle name="Normal 3 2 8" xfId="10208" xr:uid="{49D3050D-1C9C-43A1-AE04-9B910AB21C02}"/>
    <cellStyle name="Normal 3 2 8 2" xfId="12661" xr:uid="{A2F1DD4A-F00A-4E51-A19F-485F7C55A9A8}"/>
    <cellStyle name="Normal 3 2 8 2 2" xfId="47094" xr:uid="{4E13E985-3EB2-4064-8C26-E824E1D9D111}"/>
    <cellStyle name="Normal 3 2 8 3" xfId="48955" xr:uid="{9F6F426E-7D2B-47FD-8CB4-FFB457BDBB26}"/>
    <cellStyle name="Normal 3 2 8 4" xfId="18834" xr:uid="{1F226EA0-3159-4568-A177-9FC401A3B8CC}"/>
    <cellStyle name="Normal 3 2 9" xfId="10522" xr:uid="{4A4B5765-0F52-4C4B-AB28-9EA060995F42}"/>
    <cellStyle name="Normal 3 2 9 2" xfId="12975" xr:uid="{DEA67BE3-6C0B-4372-841F-862810066460}"/>
    <cellStyle name="Normal 3 2 9 2 2" xfId="48561" xr:uid="{8405B6FD-A0F3-4F74-8805-0581CA8C0FFC}"/>
    <cellStyle name="Normal 3 2 9 3" xfId="18996" xr:uid="{E46801CB-705C-4D43-A49F-3BD87F79B720}"/>
    <cellStyle name="Normal 3 3" xfId="560" xr:uid="{00000000-0005-0000-0000-00002E050000}"/>
    <cellStyle name="Normal 3 3 2" xfId="2018" xr:uid="{00000000-0005-0000-0000-00002F050000}"/>
    <cellStyle name="Normal 3 3 2 2" xfId="2019" xr:uid="{00000000-0005-0000-0000-000030050000}"/>
    <cellStyle name="Normal 3 3 2 2 2" xfId="2020" xr:uid="{00000000-0005-0000-0000-000031050000}"/>
    <cellStyle name="Normal 3 3 2 2 2 2" xfId="11061" xr:uid="{8A4ABD6D-0C14-4B20-91A2-4274D592ED4F}"/>
    <cellStyle name="Normal 3 3 2 2 2 2 2" xfId="47007" xr:uid="{76F50B4F-13A7-40BB-9DC0-54C4898108FF}"/>
    <cellStyle name="Normal 3 3 2 2 2 3" xfId="17820" xr:uid="{F55A21E8-CBE8-46E4-AB14-95FF951F0363}"/>
    <cellStyle name="Normal 3 3 2 2 3" xfId="11060" xr:uid="{FD676D40-43B8-488B-B670-768859643336}"/>
    <cellStyle name="Normal 3 3 2 2 3 2" xfId="26139" xr:uid="{8D978203-DA79-47BB-B27F-E318D2DF41D6}"/>
    <cellStyle name="Normal 3 3 2 2 4" xfId="17819" xr:uid="{AA74505C-D3DE-4F4D-AF86-AAFFFE34232C}"/>
    <cellStyle name="Normal 3 3 2 3" xfId="2021" xr:uid="{00000000-0005-0000-0000-000032050000}"/>
    <cellStyle name="Normal 3 3 2 3 2" xfId="10380" xr:uid="{3307ECC6-B609-42E1-8275-18E3651F8975}"/>
    <cellStyle name="Normal 3 3 2 3 2 2" xfId="12833" xr:uid="{D74DB17A-4F8F-419C-ACE6-3C57477E1304}"/>
    <cellStyle name="Normal 3 3 2 3 2 2 2" xfId="47473" xr:uid="{A3CF96E7-599F-4217-93A9-F35C4FFF0ADC}"/>
    <cellStyle name="Normal 3 3 2 3 2 3" xfId="18925" xr:uid="{671DCC0C-3D8F-4CF6-8282-55CE7AAAA237}"/>
    <cellStyle name="Normal 3 3 2 3 3" xfId="11062" xr:uid="{B419E045-FF3A-459A-9E0B-38719EA2DB0C}"/>
    <cellStyle name="Normal 3 3 2 3 3 2" xfId="48269" xr:uid="{4629FBE4-CBA5-4E3D-A454-F5275D4BDCBA}"/>
    <cellStyle name="Normal 3 3 2 3 4" xfId="17821" xr:uid="{B650CAE3-35D2-4D9C-AF0F-943C05F9F59C}"/>
    <cellStyle name="Normal 3 3 2 4" xfId="10146" xr:uid="{6E658A4A-C2AA-4BD8-91C4-DFA4D3263DA9}"/>
    <cellStyle name="Normal 3 3 2 4 2" xfId="10460" xr:uid="{91C6E2DA-0846-43DB-968F-D2AF3E0AFBF6}"/>
    <cellStyle name="Normal 3 3 2 4 2 2" xfId="12913" xr:uid="{7DEA705A-D581-4B8C-9313-9B7E291CF6F8}"/>
    <cellStyle name="Normal 3 3 2 4 2 2 2" xfId="47923" xr:uid="{BEC22676-5575-4D03-842A-EACEAC70E3CB}"/>
    <cellStyle name="Normal 3 3 2 4 2 3" xfId="18967" xr:uid="{C192569D-E9BF-4D6E-A763-C0E1A732B2AE}"/>
    <cellStyle name="Normal 3 3 2 4 3" xfId="12139" xr:uid="{2A0252CB-7F13-49AD-A53C-E4893D1A6341}"/>
    <cellStyle name="Normal 3 3 2 4 3 2" xfId="32467" xr:uid="{9A971025-7E86-4ED0-BF82-52CA24632688}"/>
    <cellStyle name="Normal 3 3 2 4 4" xfId="18547" xr:uid="{48AD91B9-9DDB-48B2-99D8-947609DA75CC}"/>
    <cellStyle name="Normal 3 3 2 5" xfId="10226" xr:uid="{14E04B5F-DB54-4BF0-B955-9316BD2EAE86}"/>
    <cellStyle name="Normal 3 3 2 5 2" xfId="12679" xr:uid="{949E858C-7CC9-42FC-B807-54CD8AD419D5}"/>
    <cellStyle name="Normal 3 3 2 5 2 2" xfId="25329" xr:uid="{FB7E9E4B-1A6D-49F8-9D68-266DA9674176}"/>
    <cellStyle name="Normal 3 3 2 5 3" xfId="18847" xr:uid="{22088A59-85CC-4C64-9AB1-8B185E388555}"/>
    <cellStyle name="Normal 3 3 2 6" xfId="10540" xr:uid="{71A8A5A2-975B-4295-8F94-0CA81CE0B3EB}"/>
    <cellStyle name="Normal 3 3 2 6 2" xfId="12993" xr:uid="{F22A8B87-92DC-4D6C-A029-F1FABE778E54}"/>
    <cellStyle name="Normal 3 3 2 6 2 2" xfId="46674" xr:uid="{1FFAC18B-D0BE-4499-B4A4-C9CE1E6F9F93}"/>
    <cellStyle name="Normal 3 3 2 6 3" xfId="19009" xr:uid="{331662FA-1DAC-498D-ACEB-9ACCAB837C57}"/>
    <cellStyle name="Normal 3 3 2 7" xfId="11059" xr:uid="{19D28FA9-914C-49BE-96AB-EC0822E5B2C4}"/>
    <cellStyle name="Normal 3 3 2 7 2" xfId="48180" xr:uid="{E722C68F-CADE-4680-BB2A-F48D97100DD2}"/>
    <cellStyle name="Normal 3 3 2 8" xfId="16980" xr:uid="{1E654AED-B58E-4E1E-B487-C18CBEB96637}"/>
    <cellStyle name="Normal 3 3 3" xfId="2022" xr:uid="{00000000-0005-0000-0000-000033050000}"/>
    <cellStyle name="Normal 3 3 3 2" xfId="2023" xr:uid="{00000000-0005-0000-0000-000034050000}"/>
    <cellStyle name="Normal 3 3 3 2 2" xfId="11064" xr:uid="{8F4A6B30-87F6-4F6A-8EF8-EE806FC11C94}"/>
    <cellStyle name="Normal 3 3 3 2 2 2" xfId="47156" xr:uid="{5B7AD9D6-B28A-4B3A-BB55-025BBEEC851F}"/>
    <cellStyle name="Normal 3 3 3 2 3" xfId="17823" xr:uid="{588798CB-8EBD-4AF2-9FED-9055803973A6}"/>
    <cellStyle name="Normal 3 3 3 3" xfId="11063" xr:uid="{5E78B465-7275-46A5-A499-9E92683AA57C}"/>
    <cellStyle name="Normal 3 3 3 3 2" xfId="26140" xr:uid="{7475B5DD-2C94-47D9-8E2D-20B34058E7E8}"/>
    <cellStyle name="Normal 3 3 3 4" xfId="17822" xr:uid="{56A12C50-982B-417B-9BD7-5E5918036EEC}"/>
    <cellStyle name="Normal 3 3 4" xfId="2024" xr:uid="{00000000-0005-0000-0000-000035050000}"/>
    <cellStyle name="Normal 3 3 4 2" xfId="10370" xr:uid="{EFD716B1-A43C-4116-ADFA-7B7441B082AF}"/>
    <cellStyle name="Normal 3 3 4 2 2" xfId="12823" xr:uid="{3F8265C1-C86F-49DA-BEBB-CF935DD85423}"/>
    <cellStyle name="Normal 3 3 4 2 2 2" xfId="46359" xr:uid="{092B0CDF-6A51-4BEB-A475-0267660F2B37}"/>
    <cellStyle name="Normal 3 3 4 2 3" xfId="18916" xr:uid="{91C51D28-E7EA-4E33-966D-1E0410A57DDC}"/>
    <cellStyle name="Normal 3 3 4 3" xfId="11065" xr:uid="{41E7FCBF-FAE3-45B6-B92F-9B22EB82DE00}"/>
    <cellStyle name="Normal 3 3 4 3 2" xfId="26141" xr:uid="{533A8FA8-3596-4E09-AAC4-52941B6E3CF5}"/>
    <cellStyle name="Normal 3 3 4 4" xfId="17824" xr:uid="{3675B459-0D12-43FF-850D-A02B404852FD}"/>
    <cellStyle name="Normal 3 3 5" xfId="6972" xr:uid="{A63F98B2-E092-4EBD-8D68-52731810AA8E}"/>
    <cellStyle name="Normal 3 3 5 2" xfId="10450" xr:uid="{E4D183F6-D50F-44E5-A0F7-CAD28FC1DD23}"/>
    <cellStyle name="Normal 3 3 5 2 2" xfId="12903" xr:uid="{E6EC10CF-5670-4B4A-85B5-ADBED117F6DF}"/>
    <cellStyle name="Normal 3 3 5 2 2 2" xfId="25042" xr:uid="{D98DCB5C-8F63-406C-8BA2-0F321B4C9704}"/>
    <cellStyle name="Normal 3 3 5 2 3" xfId="18958" xr:uid="{6ED179D0-ED2B-435F-8090-B0EE5F923035}"/>
    <cellStyle name="Normal 3 3 5 3" xfId="12141" xr:uid="{F98947DA-960B-40D6-BDC6-B0903722EA2A}"/>
    <cellStyle name="Normal 3 3 5 3 2" xfId="46660" xr:uid="{28B2F1A5-9150-4A23-80C7-5FD65BB3D93A}"/>
    <cellStyle name="Normal 3 3 5 4" xfId="18548" xr:uid="{EBC06D00-1FD9-437C-B30A-B1A2943F1C35}"/>
    <cellStyle name="Normal 3 3 5 5" xfId="10136" xr:uid="{E8D789BF-E14D-4BBA-890B-24F37A247B5B}"/>
    <cellStyle name="Normal 3 3 6" xfId="10216" xr:uid="{32C08230-EC63-45E3-A880-CBEC8C6C768C}"/>
    <cellStyle name="Normal 3 3 6 2" xfId="12669" xr:uid="{28B1C55D-11E7-4856-81BD-D0106E5069D0}"/>
    <cellStyle name="Normal 3 3 6 2 2" xfId="26142" xr:uid="{8F8355F0-71BB-4A56-862A-298CFB5DD4D1}"/>
    <cellStyle name="Normal 3 3 6 3" xfId="18838" xr:uid="{F1DDB537-BCB5-4978-8763-E849E3F55AF0}"/>
    <cellStyle name="Normal 3 3 7" xfId="10530" xr:uid="{C8BDA6D2-BF86-4AF7-8C6D-8DF5E187A324}"/>
    <cellStyle name="Normal 3 3 7 2" xfId="12983" xr:uid="{98BA8C2C-D9BE-48CF-8ED1-BD37371AACF0}"/>
    <cellStyle name="Normal 3 3 7 2 2" xfId="47170" xr:uid="{C0D590CC-952A-4EF0-9EE7-71292925575F}"/>
    <cellStyle name="Normal 3 3 7 3" xfId="19000" xr:uid="{8F3AA57C-BC5B-4B56-A4E0-B0B2053D5FCF}"/>
    <cellStyle name="Normal 3 3 8" xfId="10608" xr:uid="{85B51ABF-10AD-440D-8EC9-185D1430271B}"/>
    <cellStyle name="Normal 3 3 8 2" xfId="26143" xr:uid="{F2063373-6200-4B28-9216-D56F0D03026B}"/>
    <cellStyle name="Normal 3 3 9" xfId="16979" xr:uid="{455024A0-5163-44E1-8822-957FBB636131}"/>
    <cellStyle name="Normal 3 4" xfId="561" xr:uid="{00000000-0005-0000-0000-000036050000}"/>
    <cellStyle name="Normal 3 4 10" xfId="16981" xr:uid="{C604B1A7-1CFB-4375-B9DD-1DA971C87E97}"/>
    <cellStyle name="Normal 3 4 2" xfId="2025" xr:uid="{00000000-0005-0000-0000-000037050000}"/>
    <cellStyle name="Normal 3 4 2 2" xfId="4086" xr:uid="{982A97FA-4A6D-48BC-BB6D-A5B7619499EB}"/>
    <cellStyle name="Normal 3 4 2 2 2" xfId="10308" xr:uid="{A829F642-6C4E-4CCF-8951-A7F810E8578F}"/>
    <cellStyle name="Normal 3 4 2 2 2 2" xfId="12761" xr:uid="{3FC46C51-C77C-4ADD-96EE-15774FE7D12A}"/>
    <cellStyle name="Normal 3 4 2 2 2 2 2" xfId="25057" xr:uid="{D0F46D73-1E77-45D2-9AAF-7DCA44A5185E}"/>
    <cellStyle name="Normal 3 4 2 2 2 3" xfId="18890" xr:uid="{1322A6E3-D458-4C60-9069-BC86F32128FD}"/>
    <cellStyle name="Normal 3 4 2 2 3" xfId="12460" xr:uid="{125F3050-E868-46F0-A357-A64EE4EC56AE}"/>
    <cellStyle name="Normal 3 4 2 2 3 2" xfId="48013" xr:uid="{7196B7A3-C2B3-429B-B098-C8B71DE078A3}"/>
    <cellStyle name="Normal 3 4 2 2 4" xfId="18741" xr:uid="{9A12EC44-28F5-475B-9637-11AB20D535B6}"/>
    <cellStyle name="Normal 3 4 2 3" xfId="10075" xr:uid="{4226AAC1-5969-425E-8D5B-84129A42CA70}"/>
    <cellStyle name="Normal 3 4 2 3 2" xfId="10387" xr:uid="{2C74D0E8-B1F2-46F2-9F5C-F7307B6F09FE}"/>
    <cellStyle name="Normal 3 4 2 3 2 2" xfId="12840" xr:uid="{96496C4E-E97B-4149-8ED9-771DFAFC9311}"/>
    <cellStyle name="Normal 3 4 2 3 2 2 2" xfId="47621" xr:uid="{E4E52E2C-2031-4108-A4B6-FFF63BF48216}"/>
    <cellStyle name="Normal 3 4 2 3 2 3" xfId="18931" xr:uid="{73671A91-2468-4B6A-B8C2-C8E0C2DB5622}"/>
    <cellStyle name="Normal 3 4 2 3 3" xfId="12532" xr:uid="{B311FEB9-BE65-45E0-9C5C-6FBBE10D12A5}"/>
    <cellStyle name="Normal 3 4 2 3 3 2" xfId="46765" xr:uid="{F726D0F5-FC44-454D-91AA-F9F9CCD96898}"/>
    <cellStyle name="Normal 3 4 2 3 4" xfId="18775" xr:uid="{1F8DB5B5-A6C7-461A-ABF5-0C3743357B9A}"/>
    <cellStyle name="Normal 3 4 2 4" xfId="10153" xr:uid="{A242BF8A-C7F0-4673-AC64-171799D2E9D6}"/>
    <cellStyle name="Normal 3 4 2 4 2" xfId="10467" xr:uid="{74EAD9A6-A7F7-4D65-9204-05693361C721}"/>
    <cellStyle name="Normal 3 4 2 4 2 2" xfId="12920" xr:uid="{5569E045-B211-4E7F-9558-060B5DDA4C4A}"/>
    <cellStyle name="Normal 3 4 2 4 2 2 2" xfId="46370" xr:uid="{E18CCDDE-9A36-4340-9CE4-8DEB0BE6436C}"/>
    <cellStyle name="Normal 3 4 2 4 2 3" xfId="18973" xr:uid="{2024D201-EC07-49B5-8A1A-EF29392B630D}"/>
    <cellStyle name="Normal 3 4 2 4 3" xfId="12607" xr:uid="{714E647E-54EB-454F-A936-C47A405FD274}"/>
    <cellStyle name="Normal 3 4 2 4 3 2" xfId="48336" xr:uid="{69703FEB-BC0D-4BB1-B1E5-A6C621BB8F94}"/>
    <cellStyle name="Normal 3 4 2 4 4" xfId="18812" xr:uid="{F5BB4133-F7EB-4C99-90DA-21DD7CA4E108}"/>
    <cellStyle name="Normal 3 4 2 5" xfId="10233" xr:uid="{77589AED-98A9-4460-9A51-150D56A86229}"/>
    <cellStyle name="Normal 3 4 2 5 2" xfId="12686" xr:uid="{90C72FF9-B51D-4843-8CE5-46405BB765A8}"/>
    <cellStyle name="Normal 3 4 2 5 2 2" xfId="25325" xr:uid="{943CFC2A-A8F6-41C8-9BCC-06DD121829E4}"/>
    <cellStyle name="Normal 3 4 2 5 3" xfId="18853" xr:uid="{0A521745-B407-4C5B-9865-6CBA7956AE54}"/>
    <cellStyle name="Normal 3 4 2 6" xfId="10547" xr:uid="{BD516B81-D860-45C2-BAFA-333C96597CC3}"/>
    <cellStyle name="Normal 3 4 2 6 2" xfId="13000" xr:uid="{32C1B685-CD9A-4D8E-8117-98E88C00938D}"/>
    <cellStyle name="Normal 3 4 2 6 2 2" xfId="46820" xr:uid="{1EC0A7E2-23E6-4B28-ABAD-1D9FEFE2681F}"/>
    <cellStyle name="Normal 3 4 2 6 3" xfId="19015" xr:uid="{C1754B61-BE41-4953-83B2-8831A6A3999C}"/>
    <cellStyle name="Normal 3 4 2 7" xfId="11492" xr:uid="{06C4F2F1-63DA-4D8D-BA03-4E7EC26172F7}"/>
    <cellStyle name="Normal 3 4 2 7 2" xfId="18121" xr:uid="{9DFB13B7-557D-4D11-913F-119D140BB699}"/>
    <cellStyle name="Normal 3 4 2 8" xfId="11066" xr:uid="{A1542CA1-CF74-40F5-90F3-9636D68EA2D4}"/>
    <cellStyle name="Normal 3 4 2 9" xfId="16982" xr:uid="{C21144CC-96BE-4B6F-A043-62C8E645011B}"/>
    <cellStyle name="Normal 3 4 3" xfId="8068" xr:uid="{5629B4EE-DD19-404C-995D-F156322B7CF9}"/>
    <cellStyle name="Normal 3 4 3 2" xfId="11661" xr:uid="{2D983834-7BDC-408B-948C-B4D01911366C}"/>
    <cellStyle name="Normal 3 4 3 2 2" xfId="26145" xr:uid="{F421AD24-1D49-4B53-8DA9-D6531E66D0DD}"/>
    <cellStyle name="Normal 3 4 3 3" xfId="11487" xr:uid="{55A547B1-6C57-40AA-ABF5-F89DB94D7927}"/>
    <cellStyle name="Normal 3 4 3 4" xfId="26144" xr:uid="{9829F2CA-C384-4C2F-8FF2-9730389D62C1}"/>
    <cellStyle name="Normal 3 4 4" xfId="9766" xr:uid="{89841084-E306-41E1-8969-11C83DF6C645}"/>
    <cellStyle name="Normal 3 4 4 2" xfId="10294" xr:uid="{CB8C576E-7A22-42FC-AB27-3B33726E18A4}"/>
    <cellStyle name="Normal 3 4 4 2 2" xfId="12747" xr:uid="{7E842B8A-3FD7-47B1-911D-5A83752DFC64}"/>
    <cellStyle name="Normal 3 4 4 2 2 2" xfId="47962" xr:uid="{C17407C9-A3A5-429D-9BA2-71B662D89D21}"/>
    <cellStyle name="Normal 3 4 4 2 3" xfId="18878" xr:uid="{572D6CB7-4DD2-4D03-8A7C-003AA83062D7}"/>
    <cellStyle name="Normal 3 4 4 3" xfId="12452" xr:uid="{364C1ED4-E4BE-4967-B5BE-0A8B7460CCB4}"/>
    <cellStyle name="Normal 3 4 4 3 2" xfId="46756" xr:uid="{F0E816A0-8CA2-4A40-889F-7265FFF62431}"/>
    <cellStyle name="Normal 3 4 4 4" xfId="18734" xr:uid="{7F8A54BD-7A5A-43D2-BEF0-56959CABF4CF}"/>
    <cellStyle name="Normal 3 4 5" xfId="10060" xr:uid="{DD45D6FD-4102-4DEF-B99E-01B4F0C846BB}"/>
    <cellStyle name="Normal 3 4 5 2" xfId="10368" xr:uid="{0B58E21C-A08A-4357-AA6C-4CE7C8F5BE91}"/>
    <cellStyle name="Normal 3 4 5 2 2" xfId="12821" xr:uid="{7A128275-E30D-40B9-9E36-D0553A7BB1E2}"/>
    <cellStyle name="Normal 3 4 5 2 2 2" xfId="47098" xr:uid="{0C7A9C01-A3DA-4273-B55F-EF52542E3D59}"/>
    <cellStyle name="Normal 3 4 5 2 3" xfId="18914" xr:uid="{8DA9866B-DB1C-430D-AB9D-8CC41C7B1F6A}"/>
    <cellStyle name="Normal 3 4 5 3" xfId="12519" xr:uid="{80648298-A2CD-48A4-A8C5-41B7E75E7923}"/>
    <cellStyle name="Normal 3 4 5 3 2" xfId="48104" xr:uid="{3CEA7BEC-84AC-4C97-975C-278AD07322D4}"/>
    <cellStyle name="Normal 3 4 5 4" xfId="18764" xr:uid="{17754154-FEAC-41C8-BCCB-D05DF85158EC}"/>
    <cellStyle name="Normal 3 4 6" xfId="10134" xr:uid="{ECCF33F1-2ABA-4436-9C0E-40BA4238CFE4}"/>
    <cellStyle name="Normal 3 4 6 2" xfId="10448" xr:uid="{39C98205-0BFD-4393-A3AE-04678889ECEC}"/>
    <cellStyle name="Normal 3 4 6 2 2" xfId="12901" xr:uid="{37C10A97-45F2-45D8-9032-73AA7F4964E6}"/>
    <cellStyle name="Normal 3 4 6 2 2 2" xfId="32289" xr:uid="{35026EB0-7C92-4053-8C1E-3A83490B6A6C}"/>
    <cellStyle name="Normal 3 4 6 2 3" xfId="18956" xr:uid="{94CA15E6-BCB6-4369-B078-CC5A08E3D942}"/>
    <cellStyle name="Normal 3 4 6 3" xfId="12591" xr:uid="{AA3CDA29-B905-4711-8C94-C371E89531CA}"/>
    <cellStyle name="Normal 3 4 6 3 2" xfId="47961" xr:uid="{D75DB446-6DC7-4034-9850-9F5F56E405C1}"/>
    <cellStyle name="Normal 3 4 6 4" xfId="18798" xr:uid="{0C3D6A4B-314C-48A8-ACB8-FFBD4EE4E481}"/>
    <cellStyle name="Normal 3 4 7" xfId="10214" xr:uid="{7F17FB2E-30D6-4A42-A50E-242C390CC632}"/>
    <cellStyle name="Normal 3 4 7 2" xfId="12667" xr:uid="{F6DEDA23-521B-480C-8076-A6A0A72A76B1}"/>
    <cellStyle name="Normal 3 4 7 2 2" xfId="46339" xr:uid="{A94B4896-7E51-4EFF-ACDD-ED90AF9A9D26}"/>
    <cellStyle name="Normal 3 4 7 3" xfId="18836" xr:uid="{512ECA1E-46A9-4D15-97B4-BE68705D754F}"/>
    <cellStyle name="Normal 3 4 8" xfId="10528" xr:uid="{A1192634-8AA3-49CE-A047-94114E74415F}"/>
    <cellStyle name="Normal 3 4 8 2" xfId="12981" xr:uid="{DC1D680E-5C64-4D1A-83D2-0B18E6D6DA1F}"/>
    <cellStyle name="Normal 3 4 8 2 2" xfId="47694" xr:uid="{7F1CE5E1-B713-4758-AD27-11817A5F83BD}"/>
    <cellStyle name="Normal 3 4 8 3" xfId="18998" xr:uid="{973DFEA2-3696-40D4-8166-147D5AB3BD7C}"/>
    <cellStyle name="Normal 3 4 9" xfId="12267" xr:uid="{1670B404-4DF1-4435-B883-5159A1F11F06}"/>
    <cellStyle name="Normal 3 4 9 2" xfId="18624" xr:uid="{54BBAEB0-367A-417D-BED4-E9DC29655768}"/>
    <cellStyle name="Normal 3 5" xfId="562" xr:uid="{00000000-0005-0000-0000-000038050000}"/>
    <cellStyle name="Normal 3 5 10" xfId="48956" xr:uid="{53F50C19-4920-4F33-8DEA-558ADC978472}"/>
    <cellStyle name="Normal 3 5 2" xfId="4087" xr:uid="{D50390D2-3E3E-43F5-8220-10DC2BBCACB8}"/>
    <cellStyle name="Normal 3 5 2 2" xfId="26148" xr:uid="{72E55F7D-33AA-424D-A64A-3AF104D8C4D1}"/>
    <cellStyle name="Normal 3 5 2 2 2" xfId="26149" xr:uid="{4A0CBA7A-690A-495A-AD48-7305A61BD7EA}"/>
    <cellStyle name="Normal 3 5 2 3" xfId="26150" xr:uid="{38F89E72-9B89-4278-B790-02F2B47E779B}"/>
    <cellStyle name="Normal 3 5 2 3 2" xfId="26151" xr:uid="{855CE5F6-CEEC-4E59-89B8-8DF0A29B4BFB}"/>
    <cellStyle name="Normal 3 5 2 4" xfId="26152" xr:uid="{2490173E-8867-424A-8B15-CC319242EA13}"/>
    <cellStyle name="Normal 3 5 2 5" xfId="26147" xr:uid="{0922B9AB-0F2E-43F6-9FFC-A4AD07ED9CFC}"/>
    <cellStyle name="Normal 3 5 3" xfId="8069" xr:uid="{31C77FFB-D94E-402D-B347-03BE6375886C}"/>
    <cellStyle name="Normal 3 5 3 2" xfId="26154" xr:uid="{2BA2E33D-9CA9-409C-9919-8E9B6B28CC62}"/>
    <cellStyle name="Normal 3 5 3 3" xfId="26153" xr:uid="{7F6E1363-74A6-4B6C-95B9-A4B93DB02CEA}"/>
    <cellStyle name="Normal 3 5 4" xfId="12161" xr:uid="{DD165294-7C12-4B0C-872D-67CFD66ED538}"/>
    <cellStyle name="Normal 3 5 4 2" xfId="26156" xr:uid="{B3267777-3D8C-4BA4-8261-7F094E0CEC69}"/>
    <cellStyle name="Normal 3 5 4 3" xfId="26155" xr:uid="{521EFD84-6249-45A3-B2B3-DCCCBB16B806}"/>
    <cellStyle name="Normal 3 5 5" xfId="26157" xr:uid="{81CC1442-77FC-454B-9C6F-72ACDD7EDF59}"/>
    <cellStyle name="Normal 3 5 5 2" xfId="26158" xr:uid="{08E520F3-FA13-4A9A-8053-287DD1DF2AA7}"/>
    <cellStyle name="Normal 3 5 6" xfId="26159" xr:uid="{A0806662-D658-4A75-A37D-0961D365667C}"/>
    <cellStyle name="Normal 3 5 7" xfId="26160" xr:uid="{328E01C4-6311-4CE9-9BEA-41BE4D45E0D0}"/>
    <cellStyle name="Normal 3 5 8" xfId="26161" xr:uid="{58C8159E-3847-4116-B697-211BC8D49B2C}"/>
    <cellStyle name="Normal 3 5 9" xfId="26146" xr:uid="{10586F55-6CFA-4D3C-AA6E-01C133D41B56}"/>
    <cellStyle name="Normal 3 6" xfId="2026" xr:uid="{00000000-0005-0000-0000-000039050000}"/>
    <cellStyle name="Normal 3 6 10" xfId="16983" xr:uid="{2452EC57-91C4-4AD7-B8A2-1B7F60589CDE}"/>
    <cellStyle name="Normal 3 6 2" xfId="2027" xr:uid="{00000000-0005-0000-0000-00003A050000}"/>
    <cellStyle name="Normal 3 6 2 2" xfId="10301" xr:uid="{51C998F9-AF0E-4D3F-9602-D38571B18BF3}"/>
    <cellStyle name="Normal 3 6 2 2 2" xfId="12754" xr:uid="{0F3F700D-3297-4140-B924-F73F545BB8A8}"/>
    <cellStyle name="Normal 3 6 2 2 2 2" xfId="26162" xr:uid="{0CA467FB-77C2-4C6E-A850-3C275EC9517B}"/>
    <cellStyle name="Normal 3 6 2 2 3" xfId="18884" xr:uid="{136C29BC-1DC9-4322-887A-38DBA8629E9A}"/>
    <cellStyle name="Normal 3 6 2 3" xfId="11068" xr:uid="{04109416-18AD-4218-89F0-0AE7F342C42A}"/>
    <cellStyle name="Normal 3 6 2 3 2" xfId="26164" xr:uid="{ACBFC6A1-584A-4421-B12A-945BFCF1B65B}"/>
    <cellStyle name="Normal 3 6 2 3 3" xfId="26163" xr:uid="{DD6291F8-05F8-4786-8B6C-A18D5954B3CE}"/>
    <cellStyle name="Normal 3 6 2 4" xfId="26165" xr:uid="{B8B5CF62-D4DA-4D8D-B3F0-120612BEE1CA}"/>
    <cellStyle name="Normal 3 6 2 5" xfId="17825" xr:uid="{8EAAA564-0161-41F7-8200-86695A4A6345}"/>
    <cellStyle name="Normal 3 6 3" xfId="10067" xr:uid="{65DE7A3B-3429-410A-A304-6B866A358FE1}"/>
    <cellStyle name="Normal 3 6 3 2" xfId="10377" xr:uid="{23E5B567-313A-48BC-AC09-E4E134D1CC0E}"/>
    <cellStyle name="Normal 3 6 3 2 2" xfId="12830" xr:uid="{71FCFF28-C92F-41DD-8A8E-6BFEDEB1F38F}"/>
    <cellStyle name="Normal 3 6 3 2 2 2" xfId="32424" xr:uid="{B4AD5C7F-7052-4A4E-AA63-2D32130563A3}"/>
    <cellStyle name="Normal 3 6 3 2 3" xfId="18922" xr:uid="{C6E3328A-FA98-4B0D-9B30-E214D0409158}"/>
    <cellStyle name="Normal 3 6 3 3" xfId="12526" xr:uid="{D6C80F7C-33E5-474E-9943-9C2757F40FBE}"/>
    <cellStyle name="Normal 3 6 3 3 2" xfId="46764" xr:uid="{9985495A-4207-45DB-BA09-1A91D3981C50}"/>
    <cellStyle name="Normal 3 6 3 4" xfId="18770" xr:uid="{06DB7F1F-8BDB-4E82-8729-3FE5652EDCC9}"/>
    <cellStyle name="Normal 3 6 4" xfId="10143" xr:uid="{FE5C4048-12DB-4F41-AE73-5137CBE61378}"/>
    <cellStyle name="Normal 3 6 4 2" xfId="10457" xr:uid="{000CC181-4FF5-48BC-B050-D84DAB99C095}"/>
    <cellStyle name="Normal 3 6 4 2 2" xfId="12910" xr:uid="{95C1090E-E2E8-4081-A902-09CF601D0A6C}"/>
    <cellStyle name="Normal 3 6 4 2 2 2" xfId="47528" xr:uid="{EF8E565B-C7B2-43E2-98CB-788BC5523E65}"/>
    <cellStyle name="Normal 3 6 4 2 3" xfId="18964" xr:uid="{7A2B7516-7336-4380-A372-318C271E03F1}"/>
    <cellStyle name="Normal 3 6 4 3" xfId="12599" xr:uid="{69ACA978-9067-4359-9483-9855BBF6D29A}"/>
    <cellStyle name="Normal 3 6 4 3 2" xfId="47820" xr:uid="{2630D599-54C7-4666-BDB0-F3E0E8D5FD91}"/>
    <cellStyle name="Normal 3 6 4 4" xfId="18805" xr:uid="{16CD8C56-DA89-4517-BC97-5B2BA539CC30}"/>
    <cellStyle name="Normal 3 6 5" xfId="10223" xr:uid="{0EF1880A-78E2-4AD7-B7D5-08F14F2388EF}"/>
    <cellStyle name="Normal 3 6 5 2" xfId="12676" xr:uid="{3DF9BF87-8A52-4251-B31E-DE61A4F78E60}"/>
    <cellStyle name="Normal 3 6 5 2 2" xfId="26166" xr:uid="{0B397C39-34E1-4764-90AD-79F01AF862E0}"/>
    <cellStyle name="Normal 3 6 5 3" xfId="18844" xr:uid="{F94C2DE7-F7EE-473C-955C-B97D867E7769}"/>
    <cellStyle name="Normal 3 6 6" xfId="10537" xr:uid="{787C8CAC-DCB2-439B-9486-EBF488136C8B}"/>
    <cellStyle name="Normal 3 6 6 2" xfId="12990" xr:uid="{336FE612-AEEC-4463-89BE-E6ECBFFB8816}"/>
    <cellStyle name="Normal 3 6 6 2 2" xfId="47078" xr:uid="{AA66CECA-4A77-4095-AC11-C4A8BF19821D}"/>
    <cellStyle name="Normal 3 6 6 3" xfId="19006" xr:uid="{D525BC79-1BFB-4BB6-8780-2E6698963F3F}"/>
    <cellStyle name="Normal 3 6 7" xfId="11067" xr:uid="{4B7A7AD0-1473-4174-A8E7-CF05CD30248D}"/>
    <cellStyle name="Normal 3 6 7 2" xfId="26167" xr:uid="{CCC69704-3A76-470D-A7C0-6718AE9F28C0}"/>
    <cellStyle name="Normal 3 6 8" xfId="26168" xr:uid="{1C3C3F18-4B97-471A-80E5-0B8F87EC8883}"/>
    <cellStyle name="Normal 3 6 9" xfId="48957" xr:uid="{D07BEB68-AB94-4436-B91A-42589FDCDDBA}"/>
    <cellStyle name="Normal 3 7" xfId="2028" xr:uid="{00000000-0005-0000-0000-00003B050000}"/>
    <cellStyle name="Normal 3 7 2" xfId="10287" xr:uid="{00DD26A2-5952-4039-9397-45E392F7209B}"/>
    <cellStyle name="Normal 3 7 2 2" xfId="12740" xr:uid="{BA2570EC-6F56-4AD8-8CC0-EF820728C05A}"/>
    <cellStyle name="Normal 3 7 2 2 2" xfId="26170" xr:uid="{38DDC089-849E-4C50-91D1-625C9242B786}"/>
    <cellStyle name="Normal 3 7 2 2 3" xfId="26169" xr:uid="{5B488BBF-8AA4-4B8A-A192-EDBA2DBDD1A9}"/>
    <cellStyle name="Normal 3 7 2 3" xfId="26171" xr:uid="{E821CE5C-8707-4E46-9D39-D996557D16EC}"/>
    <cellStyle name="Normal 3 7 2 3 2" xfId="26172" xr:uid="{DC428333-74C9-4A6C-B2D6-7245DE04203E}"/>
    <cellStyle name="Normal 3 7 2 4" xfId="26173" xr:uid="{05D1F44C-E1BF-4C10-810A-DC105FA5A53B}"/>
    <cellStyle name="Normal 3 7 2 5" xfId="18875" xr:uid="{5F8B2335-A0CD-4A7E-90B6-269DE4108B38}"/>
    <cellStyle name="Normal 3 7 3" xfId="12448" xr:uid="{FCEBAF92-FF86-4841-B7B9-A83DCF86121E}"/>
    <cellStyle name="Normal 3 7 3 2" xfId="26174" xr:uid="{E555909D-B63B-4FC0-86B1-952CE2F9A21D}"/>
    <cellStyle name="Normal 3 7 3 3" xfId="18733" xr:uid="{2AD2F008-A73B-44BA-B8BF-5AB97898A8A2}"/>
    <cellStyle name="Normal 3 7 4" xfId="11069" xr:uid="{E21B2B3F-0A1D-493F-B5F7-3A1F74DADB13}"/>
    <cellStyle name="Normal 3 7 4 2" xfId="26176" xr:uid="{FB955EDC-2E2D-4B17-82A6-A4CE137BE1E6}"/>
    <cellStyle name="Normal 3 7 4 3" xfId="46719" xr:uid="{9322FE1A-5874-4F6F-A5ED-2005DEBE010C}"/>
    <cellStyle name="Normal 3 7 4 4" xfId="26175" xr:uid="{6F523392-FD9D-451A-BC4F-71ACB24A2050}"/>
    <cellStyle name="Normal 3 7 5" xfId="26177" xr:uid="{3EBCAA6E-2B47-4345-8E5A-69C0438FEC0A}"/>
    <cellStyle name="Normal 3 7 5 2" xfId="26178" xr:uid="{E2270388-B05F-44BC-8B3B-4F76AEBF8C19}"/>
    <cellStyle name="Normal 3 7 6" xfId="26179" xr:uid="{F0CF014E-A284-4652-937E-1A9F30057764}"/>
    <cellStyle name="Normal 3 7 7" xfId="26180" xr:uid="{458ECE91-C8E9-4D76-BA3E-BFE2BF314174}"/>
    <cellStyle name="Normal 3 7 8" xfId="9595" xr:uid="{53122765-ABA1-4418-A35B-EDD440CB1095}"/>
    <cellStyle name="Normal 3 8" xfId="2029" xr:uid="{00000000-0005-0000-0000-00003C050000}"/>
    <cellStyle name="Normal 3 8 2" xfId="10361" xr:uid="{072C4DAE-5E7A-4F7D-BFDD-4A251D7D6ACB}"/>
    <cellStyle name="Normal 3 8 2 2" xfId="12814" xr:uid="{329682CF-E4E2-4268-BE59-977F960BAC13}"/>
    <cellStyle name="Normal 3 8 2 2 2" xfId="26182" xr:uid="{5FD82C94-C19A-4D10-A7F4-7092EE8B61E5}"/>
    <cellStyle name="Normal 3 8 2 2 3" xfId="26181" xr:uid="{34DFC214-53C2-4E6C-A228-8E8EA8FAAF29}"/>
    <cellStyle name="Normal 3 8 2 3" xfId="26183" xr:uid="{99138770-46D8-4D76-BE3D-2BA6195B261C}"/>
    <cellStyle name="Normal 3 8 2 3 2" xfId="26184" xr:uid="{8E7EA34D-20A8-40ED-B8C6-034E2A61CECF}"/>
    <cellStyle name="Normal 3 8 2 4" xfId="26185" xr:uid="{DF510C69-E4AB-4D61-8705-98B7827E667A}"/>
    <cellStyle name="Normal 3 8 2 5" xfId="18911" xr:uid="{7972704C-F519-4CA1-85A9-9CCFB1A932D8}"/>
    <cellStyle name="Normal 3 8 3" xfId="12513" xr:uid="{17BA11A4-07BF-4FD1-9F71-884E576CE098}"/>
    <cellStyle name="Normal 3 8 3 2" xfId="26186" xr:uid="{FB5DCCFD-64FF-43A6-BE7A-F3C62AE296FA}"/>
    <cellStyle name="Normal 3 8 3 3" xfId="18762" xr:uid="{C7A3EAF6-C0FC-46D0-A11F-CFF889C4F646}"/>
    <cellStyle name="Normal 3 8 4" xfId="11070" xr:uid="{7B1A2E0F-4D29-4D6F-A6A3-8E03A8FD257B}"/>
    <cellStyle name="Normal 3 8 4 2" xfId="26188" xr:uid="{582733BD-4776-4198-AF84-33D16FBCF62F}"/>
    <cellStyle name="Normal 3 8 4 3" xfId="47749" xr:uid="{3DBF1DE5-580B-4669-A464-9ED8B5497E40}"/>
    <cellStyle name="Normal 3 8 4 4" xfId="26187" xr:uid="{116FF335-F4DA-4BBE-8C19-589387A4C638}"/>
    <cellStyle name="Normal 3 8 5" xfId="26189" xr:uid="{DDAE4C33-AF3D-4DEB-9C94-770BE748A486}"/>
    <cellStyle name="Normal 3 8 5 2" xfId="26190" xr:uid="{0E489BA5-3F2C-490A-B947-8A1BDA974701}"/>
    <cellStyle name="Normal 3 8 6" xfId="26191" xr:uid="{24E93ACE-8AA6-4926-B1F8-328A15A55158}"/>
    <cellStyle name="Normal 3 8 7" xfId="26192" xr:uid="{2DC4ECA2-0273-4D45-B063-E0B370447816}"/>
    <cellStyle name="Normal 3 8 8" xfId="10053" xr:uid="{C8242F87-BE94-4573-9649-796C328B3A5A}"/>
    <cellStyle name="Normal 3 9" xfId="2030" xr:uid="{00000000-0005-0000-0000-00003D050000}"/>
    <cellStyle name="Normal 3 9 2" xfId="10441" xr:uid="{85FF29B7-7F3C-4402-8F7D-CB3030660282}"/>
    <cellStyle name="Normal 3 9 2 2" xfId="12894" xr:uid="{FA8641DE-CFC8-41C8-BE11-AA612A5EAAC7}"/>
    <cellStyle name="Normal 3 9 2 2 2" xfId="26193" xr:uid="{5C0B06CC-DEC5-40A9-B604-05D4B2ABFD1D}"/>
    <cellStyle name="Normal 3 9 2 3" xfId="18953" xr:uid="{1A1FC2F8-0398-42EA-B079-0FD3C0674352}"/>
    <cellStyle name="Normal 3 9 3" xfId="12584" xr:uid="{F5DA07F7-4679-4BA6-90A4-6AA2AF4006C0}"/>
    <cellStyle name="Normal 3 9 3 2" xfId="26194" xr:uid="{0D376E36-2F60-4774-899F-8107DD3E6CA7}"/>
    <cellStyle name="Normal 3 9 3 3" xfId="18795" xr:uid="{FD424412-13AC-4559-B746-99A92403CAAF}"/>
    <cellStyle name="Normal 3 9 4" xfId="11071" xr:uid="{92F9207A-1B0B-45D8-9D51-3B2F66CA77D8}"/>
    <cellStyle name="Normal 3 9 4 2" xfId="47073" xr:uid="{E3993960-841E-4AFD-8D75-199EA66A1C28}"/>
    <cellStyle name="Normal 3 9 4 3" xfId="26195" xr:uid="{95FBC2A3-2D85-4367-96F6-1C6E28E44564}"/>
    <cellStyle name="Normal 3 9 5" xfId="26196" xr:uid="{F116705D-81B5-485F-9EE4-8C6C2AEC1168}"/>
    <cellStyle name="Normal 3 9 6" xfId="10127" xr:uid="{2E53637E-F7BF-455C-8216-810097A4947C}"/>
    <cellStyle name="Normal 30" xfId="6970" xr:uid="{DDE9929B-9114-4C93-83CE-163391D71162}"/>
    <cellStyle name="Normal 30 2" xfId="26197" xr:uid="{4FA0161A-2F6D-417C-B049-C8F2C004C8CD}"/>
    <cellStyle name="Normal 30 3" xfId="48958" xr:uid="{19584C80-D0BC-44E6-8E6F-573D8B05E629}"/>
    <cellStyle name="Normal 30 4" xfId="18549" xr:uid="{06AC6D4D-AD3F-4C9B-A58A-F14A740B0AA5}"/>
    <cellStyle name="Normal 30 5" xfId="12142" xr:uid="{FFDE2A04-6EC2-4409-BBE0-7E781B116DC1}"/>
    <cellStyle name="Normal 31" xfId="2031" xr:uid="{00000000-0005-0000-0000-00003E050000}"/>
    <cellStyle name="Normal 31 2" xfId="26199" xr:uid="{3575A1B8-5F12-4CB9-99CA-C0710850BF7C}"/>
    <cellStyle name="Normal 31 3" xfId="26198" xr:uid="{BCE97F7F-33C7-4AEA-AF6B-A49444DAFD73}"/>
    <cellStyle name="Normal 31 4" xfId="48959" xr:uid="{1EFE0EC4-6557-45E6-B205-971423B54A49}"/>
    <cellStyle name="Normal 32" xfId="2032" xr:uid="{00000000-0005-0000-0000-00003F050000}"/>
    <cellStyle name="Normal 32 2" xfId="26201" xr:uid="{7F1FF435-4A74-4230-8918-F8B81221A457}"/>
    <cellStyle name="Normal 32 3" xfId="26200" xr:uid="{523AE943-F955-4615-A5B0-DA41920C856A}"/>
    <cellStyle name="Normal 32 4" xfId="48960" xr:uid="{F7F326A2-2B0A-4BC0-8A73-3AFF150BA595}"/>
    <cellStyle name="Normal 33" xfId="2033" xr:uid="{00000000-0005-0000-0000-000040050000}"/>
    <cellStyle name="Normal 33 2" xfId="26203" xr:uid="{F62C9027-1EE4-4E9A-A821-C1B56B6CE2A1}"/>
    <cellStyle name="Normal 33 3" xfId="26202" xr:uid="{7F235298-953A-47E6-B64C-317956F0F7BE}"/>
    <cellStyle name="Normal 33 4" xfId="48961" xr:uid="{58430EB5-AE46-4B05-A823-BE5A98F9009A}"/>
    <cellStyle name="Normal 34" xfId="2034" xr:uid="{00000000-0005-0000-0000-000041050000}"/>
    <cellStyle name="Normal 34 2" xfId="26204" xr:uid="{92FB3DC9-6B80-4FB1-A621-B4EDAFA73443}"/>
    <cellStyle name="Normal 35" xfId="6974" xr:uid="{61E3DF63-488D-4424-8D6F-7278F25B36BD}"/>
    <cellStyle name="Normal 35 2" xfId="30229" xr:uid="{40570083-4441-4AED-A2D7-3938C10AA2B1}"/>
    <cellStyle name="Normal 35 3" xfId="18731" xr:uid="{ABA01B6D-45FF-4154-ABD9-CC246EF08FD8}"/>
    <cellStyle name="Normal 35 4" xfId="12445" xr:uid="{9138A7C9-A537-4140-A6BC-308DD13C424B}"/>
    <cellStyle name="Normal 36" xfId="14485" xr:uid="{A2C7C234-B336-42BA-BF14-C7050AA5FB05}"/>
    <cellStyle name="Normal 36 2" xfId="35053" xr:uid="{017F5CDA-0E2B-431B-90EF-69C1D0E7ACF8}"/>
    <cellStyle name="Normal 36 3" xfId="30240" xr:uid="{C5898641-DA7B-4C42-A8F8-98B712007BF9}"/>
    <cellStyle name="Normal 36 4" xfId="19039" xr:uid="{F4C0C16B-6548-437D-B7AE-AF8582F99DA1}"/>
    <cellStyle name="Normal 37" xfId="14963" xr:uid="{3E781280-C7D7-438A-8A7D-D7D3059F5BE1}"/>
    <cellStyle name="Normal 37 2" xfId="19175" xr:uid="{53CA7C2B-941C-4F2E-9B7E-B73FFC734E76}"/>
    <cellStyle name="Normal 38" xfId="14965" xr:uid="{960CAE37-57EB-4C1E-BE97-88B7A3DF8B87}"/>
    <cellStyle name="Normal 38 2" xfId="19177" xr:uid="{99F3020E-C4BE-41B9-8E15-018C7E084286}"/>
    <cellStyle name="Normal 39" xfId="14970" xr:uid="{B1832F46-6084-409D-95D0-D705F0F702E1}"/>
    <cellStyle name="Normal 39 2" xfId="19178" xr:uid="{0997A15B-7983-4627-B66A-D582E60FFC95}"/>
    <cellStyle name="Normal 4" xfId="563" xr:uid="{00000000-0005-0000-0000-000042050000}"/>
    <cellStyle name="Normal 4 10" xfId="2035" xr:uid="{00000000-0005-0000-0000-000043050000}"/>
    <cellStyle name="Normal 4 10 2" xfId="26206" xr:uid="{4765D7AC-F7D1-41BD-960A-42290B03AD37}"/>
    <cellStyle name="Normal 4 11" xfId="2036" xr:uid="{00000000-0005-0000-0000-000044050000}"/>
    <cellStyle name="Normal 4 11 2" xfId="26207" xr:uid="{A66FFEE4-D876-4312-9BB0-74851E4D1E3E}"/>
    <cellStyle name="Normal 4 12" xfId="2037" xr:uid="{00000000-0005-0000-0000-000045050000}"/>
    <cellStyle name="Normal 4 12 2" xfId="26208" xr:uid="{CBE8B420-5D46-411B-84C8-0DC95D72C98B}"/>
    <cellStyle name="Normal 4 13" xfId="2038" xr:uid="{00000000-0005-0000-0000-000046050000}"/>
    <cellStyle name="Normal 4 13 2" xfId="26209" xr:uid="{DDC18EF2-509D-48D1-9758-014B4E4E4ABE}"/>
    <cellStyle name="Normal 4 14" xfId="2039" xr:uid="{00000000-0005-0000-0000-000047050000}"/>
    <cellStyle name="Normal 4 14 2" xfId="26210" xr:uid="{E3B01482-7F73-4662-96C1-0322AE43F2AC}"/>
    <cellStyle name="Normal 4 15" xfId="2040" xr:uid="{00000000-0005-0000-0000-000048050000}"/>
    <cellStyle name="Normal 4 15 2" xfId="26211" xr:uid="{45E695AD-F4CA-4E1B-AE56-BA0E1C21869C}"/>
    <cellStyle name="Normal 4 16" xfId="6977" xr:uid="{F6311D08-4CDB-4E16-B683-74129D6E834B}"/>
    <cellStyle name="Normal 4 17" xfId="26205" xr:uid="{3D035143-A0C6-4050-939D-CD07AB6CF5F0}"/>
    <cellStyle name="Normal 4 2" xfId="564" xr:uid="{00000000-0005-0000-0000-000049050000}"/>
    <cellStyle name="Normal 4 2 2" xfId="6976" xr:uid="{68268B91-3FBB-47FE-A29D-3196BE23EECF}"/>
    <cellStyle name="Normal 4 2 2 2" xfId="26213" xr:uid="{90D0E8CA-5642-4A2E-B32F-08AE1C82E4DE}"/>
    <cellStyle name="Normal 4 2 2 3" xfId="9231" xr:uid="{3277EE4B-B63D-478A-BB3B-B95498D6FC51}"/>
    <cellStyle name="Normal 4 2 3" xfId="26214" xr:uid="{3A496885-46BD-429E-B5C1-E4AF774DF5F2}"/>
    <cellStyle name="Normal 4 2 3 2" xfId="48962" xr:uid="{D6750E53-A079-47DC-9216-2C429A16A000}"/>
    <cellStyle name="Normal 4 2 4" xfId="26215" xr:uid="{C514DC07-9844-4C35-A462-8C2BF59737E6}"/>
    <cellStyle name="Normal 4 2 4 2" xfId="48963" xr:uid="{0D909273-85DA-4A81-A23F-35FAD528F6F0}"/>
    <cellStyle name="Normal 4 2 5" xfId="26212" xr:uid="{D7FC0F05-1E3E-42DD-A7EE-A5679C831877}"/>
    <cellStyle name="Normal 4 3" xfId="565" xr:uid="{00000000-0005-0000-0000-00004A050000}"/>
    <cellStyle name="Normal 4 3 2" xfId="26217" xr:uid="{D84DF192-4FBB-4899-AE5C-2491C235973F}"/>
    <cellStyle name="Normal 4 3 2 2" xfId="26218" xr:uid="{B73ADA63-93CD-4C0A-AFC3-F620285BF425}"/>
    <cellStyle name="Normal 4 3 3" xfId="26219" xr:uid="{978E391A-4B4D-4F0E-BBFF-70791CF601D5}"/>
    <cellStyle name="Normal 4 3 3 2" xfId="26220" xr:uid="{84C346B6-2B39-42EA-ADFF-3A2EBEF0D190}"/>
    <cellStyle name="Normal 4 3 4" xfId="26221" xr:uid="{4F61A8C5-3294-4DBE-A65A-5406FF3090E2}"/>
    <cellStyle name="Normal 4 3 4 2" xfId="48965" xr:uid="{1AB04E86-A7CB-4B60-ADA4-7E4D71E8D6A0}"/>
    <cellStyle name="Normal 4 3 5" xfId="26222" xr:uid="{BE274B72-0F55-403B-8837-3118120D33A9}"/>
    <cellStyle name="Normal 4 3 6" xfId="26223" xr:uid="{4735D3E5-A420-47E0-BE7E-DCCA1011D0EC}"/>
    <cellStyle name="Normal 4 3 7" xfId="26224" xr:uid="{D8F2E8FF-BE8D-4D55-804F-3FAA79CA98DC}"/>
    <cellStyle name="Normal 4 3 8" xfId="26216" xr:uid="{19AA330F-D72A-4C91-A941-E16BAD4A1AE9}"/>
    <cellStyle name="Normal 4 3 9" xfId="48964" xr:uid="{1E8363B4-8B4C-47A3-A814-796B1194C303}"/>
    <cellStyle name="Normal 4 4" xfId="566" xr:uid="{00000000-0005-0000-0000-00004B050000}"/>
    <cellStyle name="Normal 4 4 2" xfId="12144" xr:uid="{579F263B-944E-4446-BF19-E28875F07733}"/>
    <cellStyle name="Normal 4 4 2 2" xfId="26226" xr:uid="{99E1C4A3-B0F1-4F3C-AE67-357B0828B5E8}"/>
    <cellStyle name="Normal 4 4 3" xfId="26227" xr:uid="{0F0FAD41-DFCB-4738-AB74-4346036C09E0}"/>
    <cellStyle name="Normal 4 4 4" xfId="26225" xr:uid="{C5851707-9F73-47FD-BE48-56AF2CFD97EF}"/>
    <cellStyle name="Normal 4 5" xfId="2041" xr:uid="{00000000-0005-0000-0000-00004C050000}"/>
    <cellStyle name="Normal 4 5 2" xfId="14069" xr:uid="{5A1DC99C-BE5B-47F4-A73B-6C7C4AA48089}"/>
    <cellStyle name="Normal 4 5 2 2" xfId="26229" xr:uid="{7006E006-AE89-4F71-B840-A2A56EC9C3A4}"/>
    <cellStyle name="Normal 4 5 3" xfId="26230" xr:uid="{4ACA1189-01B0-4101-9A18-00660504E16A}"/>
    <cellStyle name="Normal 4 5 4" xfId="26228" xr:uid="{B996CBC4-20ED-4B94-9AE0-4740489259B4}"/>
    <cellStyle name="Normal 4 6" xfId="2042" xr:uid="{00000000-0005-0000-0000-00004D050000}"/>
    <cellStyle name="Normal 4 6 2" xfId="26231" xr:uid="{A9DBD876-E4DE-448F-B924-4FFB4E2D521E}"/>
    <cellStyle name="Normal 4 7" xfId="2043" xr:uid="{00000000-0005-0000-0000-00004E050000}"/>
    <cellStyle name="Normal 4 7 2" xfId="26233" xr:uid="{86C12B79-28CC-4AF9-9032-2770B2AD82D6}"/>
    <cellStyle name="Normal 4 7 3" xfId="26232" xr:uid="{5F727EAC-7589-44F1-BB63-587D538C5C36}"/>
    <cellStyle name="Normal 4 8" xfId="2044" xr:uid="{00000000-0005-0000-0000-00004F050000}"/>
    <cellStyle name="Normal 4 8 2" xfId="26235" xr:uid="{AA60170C-208F-4153-8B87-D959C9790DE1}"/>
    <cellStyle name="Normal 4 8 3" xfId="26234" xr:uid="{066759D0-3C5F-4D57-B056-1F3A1D89B4EA}"/>
    <cellStyle name="Normal 4 9" xfId="2045" xr:uid="{00000000-0005-0000-0000-000050050000}"/>
    <cellStyle name="Normal 4 9 2" xfId="26236" xr:uid="{F44FDFFA-D307-4151-AEC1-A9232471C8D8}"/>
    <cellStyle name="Normal 40" xfId="14964" xr:uid="{4F3AD861-3F3F-4D83-93EE-293878E7F982}"/>
    <cellStyle name="Normal 40 2" xfId="19176" xr:uid="{A69B0833-F2E7-459D-8065-079CB06BE7EB}"/>
    <cellStyle name="Normal 41" xfId="14971" xr:uid="{900838C4-802C-4F77-AF6A-186F3E99B72C}"/>
    <cellStyle name="Normal 41 2" xfId="19179" xr:uid="{6711411C-020E-4BA8-823E-2A71D7DD6EFF}"/>
    <cellStyle name="Normal 42" xfId="15076" xr:uid="{B5EA68C3-EEEA-41BC-B59C-324FDEFC71FC}"/>
    <cellStyle name="Normal 42 2" xfId="19212" xr:uid="{F1942FE4-2FA2-45F0-9CE4-10ECD6D6082C}"/>
    <cellStyle name="Normal 43" xfId="14975" xr:uid="{DD14D125-F022-4E67-9B34-F8FEEE575103}"/>
    <cellStyle name="Normal 43 2" xfId="19182" xr:uid="{1D3AE33A-1676-4881-8AB4-368E6A935925}"/>
    <cellStyle name="Normal 44" xfId="14977" xr:uid="{C1D91347-7954-4D7D-87D3-8030E4D40B70}"/>
    <cellStyle name="Normal 44 2" xfId="19183" xr:uid="{8B128D5A-5333-41D5-9A52-00893F0A8CD4}"/>
    <cellStyle name="Normal 45" xfId="15448" xr:uid="{912F9288-5177-4C38-8E55-B83CFD8E7017}"/>
    <cellStyle name="Normal 45 2" xfId="19318" xr:uid="{9B3963B9-BA0A-47B8-9D45-2D2E32168F51}"/>
    <cellStyle name="Normal 46" xfId="15451" xr:uid="{1293A573-FFAA-45EE-A4D6-6153411D57E2}"/>
    <cellStyle name="Normal 46 2" xfId="19321" xr:uid="{F708DE25-8E8D-4AE4-A52A-B775BA2211E6}"/>
    <cellStyle name="Normal 47" xfId="15456" xr:uid="{C0050DE5-40A1-45C3-AD40-65816DCE1FAE}"/>
    <cellStyle name="Normal 47 2" xfId="19322" xr:uid="{F1A050AF-F0C1-4A09-A995-96B9FEE33BA0}"/>
    <cellStyle name="Normal 48" xfId="15450" xr:uid="{F6ADAD53-7B55-454D-A1D8-13F6A9662126}"/>
    <cellStyle name="Normal 48 2" xfId="19320" xr:uid="{A234AFC5-D645-442E-A2AF-8D91D9AFD5F4}"/>
    <cellStyle name="Normal 49" xfId="15457" xr:uid="{2318E72D-DF3C-491E-8C15-463C555B9CE7}"/>
    <cellStyle name="Normal 49 2" xfId="19323" xr:uid="{01779194-6120-4C5E-959F-BB6B7CCE9E15}"/>
    <cellStyle name="Normal 5" xfId="567" xr:uid="{00000000-0005-0000-0000-000051050000}"/>
    <cellStyle name="Normal 5 10" xfId="26238" xr:uid="{6E1EA525-5FA4-44B8-9404-BDE53F7100FF}"/>
    <cellStyle name="Normal 5 10 2" xfId="26239" xr:uid="{03245E41-8AA4-4E40-8DE1-E8DD7DBF1A6B}"/>
    <cellStyle name="Normal 5 11" xfId="26240" xr:uid="{30763912-CD09-4A12-8080-EF677E9BBF3E}"/>
    <cellStyle name="Normal 5 11 2" xfId="26241" xr:uid="{28785CAF-0EEA-4C0C-B98A-EE5AFC4E3FA5}"/>
    <cellStyle name="Normal 5 12" xfId="26242" xr:uid="{77E42813-3479-4EB2-87FF-BA431F106E13}"/>
    <cellStyle name="Normal 5 12 2" xfId="26243" xr:uid="{2FB35BDB-5B6D-436C-A996-EAD59DF142E6}"/>
    <cellStyle name="Normal 5 13" xfId="26244" xr:uid="{1749EA97-A6C3-484C-B267-20EBF03C326D}"/>
    <cellStyle name="Normal 5 13 2" xfId="26245" xr:uid="{CFFEB22C-4BFB-41E2-885C-FA69C4E928E2}"/>
    <cellStyle name="Normal 5 14" xfId="26246" xr:uid="{D7D0F12A-1DA9-4349-84E3-CBF37FC9B4CE}"/>
    <cellStyle name="Normal 5 14 2" xfId="48966" xr:uid="{D9E40CDF-1C64-4D33-A5CF-65864F980B1A}"/>
    <cellStyle name="Normal 5 15" xfId="26247" xr:uid="{64EDA396-A88E-4F68-AA85-0FB4681EEEF7}"/>
    <cellStyle name="Normal 5 15 2" xfId="48967" xr:uid="{0D350CF0-CB49-4E82-ABF6-5643FEFD60BF}"/>
    <cellStyle name="Normal 5 16" xfId="26237" xr:uid="{864B46B1-5AE1-4A2D-86DA-A7929E941F17}"/>
    <cellStyle name="Normal 5 2" xfId="568" xr:uid="{00000000-0005-0000-0000-000052050000}"/>
    <cellStyle name="Normal 5 2 10" xfId="26248" xr:uid="{4EA74DC4-7A96-4F10-A40A-1CC44971FB65}"/>
    <cellStyle name="Normal 5 2 2" xfId="569" xr:uid="{00000000-0005-0000-0000-000053050000}"/>
    <cellStyle name="Normal 5 2 2 2" xfId="570" xr:uid="{00000000-0005-0000-0000-000054050000}"/>
    <cellStyle name="Normal 5 2 2 2 2" xfId="26251" xr:uid="{DBB825F0-A3A5-42A2-B0B6-B939ACE4B9C0}"/>
    <cellStyle name="Normal 5 2 2 2 3" xfId="26252" xr:uid="{33E9196B-C93C-4754-A017-D418C35C50CE}"/>
    <cellStyle name="Normal 5 2 2 2 4" xfId="26250" xr:uid="{036FB0A7-1CA4-415F-94B1-4A4A39D3672D}"/>
    <cellStyle name="Normal 5 2 2 3" xfId="2046" xr:uid="{00000000-0005-0000-0000-000055050000}"/>
    <cellStyle name="Normal 5 2 2 3 2" xfId="26254" xr:uid="{C322D886-C93A-4888-93E7-C3BAF9B41F01}"/>
    <cellStyle name="Normal 5 2 2 3 3" xfId="26255" xr:uid="{4FFBDC05-DB2E-48D3-BF0F-470D5BA1DAAC}"/>
    <cellStyle name="Normal 5 2 2 3 4" xfId="26253" xr:uid="{085C300F-6EB5-46AB-8A9F-25EC641E3912}"/>
    <cellStyle name="Normal 5 2 2 4" xfId="26256" xr:uid="{169DDAFE-AD64-473B-8711-35B17D307A67}"/>
    <cellStyle name="Normal 5 2 2 5" xfId="26257" xr:uid="{E7646EF8-4A01-4ED0-98A5-59ABACE0C332}"/>
    <cellStyle name="Normal 5 2 2 6" xfId="26249" xr:uid="{64E86DEC-5B7D-46E5-8950-6033AF741AE1}"/>
    <cellStyle name="Normal 5 2 3" xfId="2047" xr:uid="{00000000-0005-0000-0000-000056050000}"/>
    <cellStyle name="Normal 5 2 3 2" xfId="2048" xr:uid="{00000000-0005-0000-0000-000057050000}"/>
    <cellStyle name="Normal 5 2 3 2 2" xfId="26260" xr:uid="{8FB6ABAB-7EF7-47FC-9A88-AD6B0A7FDE28}"/>
    <cellStyle name="Normal 5 2 3 2 3" xfId="26259" xr:uid="{EA8DE149-86D7-4A1C-A2AC-C568D18B030A}"/>
    <cellStyle name="Normal 5 2 3 3" xfId="26261" xr:uid="{64941242-771F-4FE2-95E0-675A80892AA3}"/>
    <cellStyle name="Normal 5 2 3 4" xfId="26258" xr:uid="{B91A6BB0-3118-4421-896A-C8B7C23F13B6}"/>
    <cellStyle name="Normal 5 2 4" xfId="26262" xr:uid="{4CDD19F8-DA49-461B-B0E4-11EBC2D97754}"/>
    <cellStyle name="Normal 5 2 4 2" xfId="26263" xr:uid="{A3ADF8DB-0E6B-4469-8C05-974D67EC1C1F}"/>
    <cellStyle name="Normal 5 2 5" xfId="26264" xr:uid="{2C2B0AF3-EE65-44CA-A67B-7FAB4075A506}"/>
    <cellStyle name="Normal 5 2 5 2" xfId="26265" xr:uid="{57A66AFA-C584-4808-8758-58C954A7B270}"/>
    <cellStyle name="Normal 5 2 6" xfId="26266" xr:uid="{66420660-D274-48B3-9456-F3C6596E05A8}"/>
    <cellStyle name="Normal 5 2 6 2" xfId="26267" xr:uid="{594ADB93-F417-4F95-B270-21F93A2E965B}"/>
    <cellStyle name="Normal 5 2 7" xfId="26268" xr:uid="{4687A1A7-C4D8-4D9C-8B4D-782EC3554738}"/>
    <cellStyle name="Normal 5 2 7 2" xfId="26269" xr:uid="{9334C8AA-F2EC-457C-9BA3-2077E1593952}"/>
    <cellStyle name="Normal 5 2 8" xfId="26270" xr:uid="{7EDEA3CF-D277-4196-B069-BC54B122A991}"/>
    <cellStyle name="Normal 5 2 8 2" xfId="48968" xr:uid="{382D1140-618D-443A-BCDD-606074E69526}"/>
    <cellStyle name="Normal 5 2 9" xfId="26271" xr:uid="{3EFDB36B-7449-44A9-A73D-89DABAB1D697}"/>
    <cellStyle name="Normal 5 2 9 2" xfId="48969" xr:uid="{1FF56289-64FA-414F-BD9E-2B19FFC53B85}"/>
    <cellStyle name="Normal 5 3" xfId="2049" xr:uid="{00000000-0005-0000-0000-000058050000}"/>
    <cellStyle name="Normal 5 3 10" xfId="26272" xr:uid="{76035AAD-9476-42A0-B1FC-183B420F4792}"/>
    <cellStyle name="Normal 5 3 11" xfId="48970" xr:uid="{AAD28A2B-AEEB-4A73-8ADB-B0CB52BE31CA}"/>
    <cellStyle name="Normal 5 3 2" xfId="26273" xr:uid="{E3860411-2F76-4A2C-B322-59EB5D1B151F}"/>
    <cellStyle name="Normal 5 3 2 2" xfId="26274" xr:uid="{9A336E04-9A13-42B2-A13E-61B9684E53DC}"/>
    <cellStyle name="Normal 5 3 2 2 2" xfId="26275" xr:uid="{0BC52C49-F69F-4A4F-B5A1-6990DF556BD4}"/>
    <cellStyle name="Normal 5 3 2 3" xfId="26276" xr:uid="{F3E70D7A-8081-41F5-8ECA-46349EC5E076}"/>
    <cellStyle name="Normal 5 3 2 3 2" xfId="26277" xr:uid="{918300BB-C156-41BA-9015-85040381C5D8}"/>
    <cellStyle name="Normal 5 3 2 4" xfId="26278" xr:uid="{C70F6F45-53A4-4FE8-A965-54B44A229C33}"/>
    <cellStyle name="Normal 5 3 3" xfId="26279" xr:uid="{89CA4812-2F99-46EC-BEF9-5437AD5D67E5}"/>
    <cellStyle name="Normal 5 3 3 2" xfId="26280" xr:uid="{6FD3E08D-8EFA-4C62-AB55-3E0B9218DE85}"/>
    <cellStyle name="Normal 5 3 4" xfId="26281" xr:uid="{B5A2A17C-AB10-48F7-9742-79DD63145CF9}"/>
    <cellStyle name="Normal 5 3 4 2" xfId="26282" xr:uid="{862599BC-2866-4776-976A-BCE62D7E1E7A}"/>
    <cellStyle name="Normal 5 3 5" xfId="26283" xr:uid="{85D64586-D534-4024-917F-96A02F25AD30}"/>
    <cellStyle name="Normal 5 3 5 2" xfId="26284" xr:uid="{A9147402-CF5D-412B-ABB1-DF02CDD2A4C4}"/>
    <cellStyle name="Normal 5 3 6" xfId="26285" xr:uid="{BEBA495E-FD16-49A5-8E8D-50CFF388948B}"/>
    <cellStyle name="Normal 5 3 6 2" xfId="26286" xr:uid="{D50AD1B8-BAF0-4B74-B2FF-926CCD895891}"/>
    <cellStyle name="Normal 5 3 7" xfId="26287" xr:uid="{20D686DE-20D5-4E3F-A7FC-A6570E8133B3}"/>
    <cellStyle name="Normal 5 3 8" xfId="26288" xr:uid="{6B8B35A3-8D27-41BF-A789-333EA0FC0B14}"/>
    <cellStyle name="Normal 5 3 9" xfId="26289" xr:uid="{7999E148-C081-43B7-AF89-425BFD479161}"/>
    <cellStyle name="Normal 5 4" xfId="26290" xr:uid="{F0E32636-D19B-4198-A73E-1BE2285D1438}"/>
    <cellStyle name="Normal 5 4 2" xfId="26291" xr:uid="{02C3D07F-E04C-4A04-A0FD-97D01EB7A6F6}"/>
    <cellStyle name="Normal 5 4 2 2" xfId="26292" xr:uid="{19840EAA-17BC-444D-B74D-58AD0BE5D3AB}"/>
    <cellStyle name="Normal 5 4 2 2 2" xfId="26293" xr:uid="{CB0FDC83-34B9-4991-A3D9-BECF500B9778}"/>
    <cellStyle name="Normal 5 4 2 3" xfId="26294" xr:uid="{66CD1C24-0455-4CB2-8C87-2C60A42A7943}"/>
    <cellStyle name="Normal 5 4 2 3 2" xfId="26295" xr:uid="{C184C129-BFA3-4D6B-B1EA-62AEC68DEAB2}"/>
    <cellStyle name="Normal 5 4 2 4" xfId="26296" xr:uid="{3A5DEF3A-CBF7-4E07-8E97-C92FCDF1C813}"/>
    <cellStyle name="Normal 5 4 3" xfId="26297" xr:uid="{97FEDD41-7B91-41F8-B782-F1375BE7ABFF}"/>
    <cellStyle name="Normal 5 4 3 2" xfId="26298" xr:uid="{7D013A4A-AA5B-460D-918E-B8A30368E456}"/>
    <cellStyle name="Normal 5 4 4" xfId="26299" xr:uid="{6B711529-5DC9-4826-ADF2-9D17C0A9118F}"/>
    <cellStyle name="Normal 5 4 4 2" xfId="26300" xr:uid="{51EB0342-AC5F-48CB-80D3-7839D87ED9BB}"/>
    <cellStyle name="Normal 5 4 5" xfId="26301" xr:uid="{2E71DE11-D178-46EF-B068-0D934BEB98BD}"/>
    <cellStyle name="Normal 5 4 5 2" xfId="26302" xr:uid="{A60EECFA-9E8E-4521-87F7-CF472917618D}"/>
    <cellStyle name="Normal 5 4 6" xfId="26303" xr:uid="{F973F083-581C-4F8F-902C-AE2F2006BD69}"/>
    <cellStyle name="Normal 5 5" xfId="26304" xr:uid="{7884412B-3C27-48E0-B545-EE7587066676}"/>
    <cellStyle name="Normal 5 5 2" xfId="26305" xr:uid="{ED3F05ED-AA75-4213-929D-F25E1F1DDC5D}"/>
    <cellStyle name="Normal 5 5 2 2" xfId="26306" xr:uid="{52679342-43E5-4632-AE15-7E64B78E11D7}"/>
    <cellStyle name="Normal 5 5 2 2 2" xfId="26307" xr:uid="{AA5CADED-C313-4751-9E1B-7CD206B9EC59}"/>
    <cellStyle name="Normal 5 5 2 3" xfId="26308" xr:uid="{EBA4795C-FE2F-4BD7-B67D-BD98E2C7CE86}"/>
    <cellStyle name="Normal 5 5 2 3 2" xfId="26309" xr:uid="{5D791DF4-E64D-4855-8CAC-61CF5D6CEC71}"/>
    <cellStyle name="Normal 5 5 2 4" xfId="26310" xr:uid="{DC289FFD-D0AE-4F89-92A1-3F7516236A66}"/>
    <cellStyle name="Normal 5 5 3" xfId="26311" xr:uid="{E161AA34-A2AE-4753-A779-2D6731B88B1F}"/>
    <cellStyle name="Normal 5 5 3 2" xfId="26312" xr:uid="{F7EAC9A6-8A04-4776-874C-44F1124079BD}"/>
    <cellStyle name="Normal 5 5 4" xfId="26313" xr:uid="{70FDEE04-BB9D-4FD9-80F0-D8E62B673EE1}"/>
    <cellStyle name="Normal 5 5 4 2" xfId="26314" xr:uid="{6250D197-998A-4873-9284-3ED86B52D560}"/>
    <cellStyle name="Normal 5 5 5" xfId="26315" xr:uid="{AECB6C8C-FE17-4CE6-AEA9-66BB878E59BB}"/>
    <cellStyle name="Normal 5 5 5 2" xfId="26316" xr:uid="{A326A580-9543-417A-9CB8-DF8A470B73F8}"/>
    <cellStyle name="Normal 5 5 6" xfId="26317" xr:uid="{5E24069C-DA95-4860-AAE0-99801BD60A68}"/>
    <cellStyle name="Normal 5 6" xfId="26318" xr:uid="{9D4B2A21-C09D-4911-9112-3D042AEE5991}"/>
    <cellStyle name="Normal 5 6 2" xfId="26319" xr:uid="{9D201994-93AB-4E29-8B9D-2533092B924F}"/>
    <cellStyle name="Normal 5 6 2 2" xfId="26320" xr:uid="{0DA478B0-B504-4518-BBD4-E0176A313115}"/>
    <cellStyle name="Normal 5 6 2 2 2" xfId="26321" xr:uid="{33B52B06-61B0-43F6-8A60-774CB046CB58}"/>
    <cellStyle name="Normal 5 6 2 3" xfId="26322" xr:uid="{F588AD04-87BC-48AB-9EAC-8DFFFF2623C2}"/>
    <cellStyle name="Normal 5 6 2 3 2" xfId="26323" xr:uid="{9110817E-9E74-4024-A50A-6F015F77C76D}"/>
    <cellStyle name="Normal 5 6 2 4" xfId="26324" xr:uid="{946278A4-A10D-471A-8140-AE9DA6DFFB68}"/>
    <cellStyle name="Normal 5 6 3" xfId="26325" xr:uid="{44BA34CE-021C-4D35-9B8D-E43891B083AF}"/>
    <cellStyle name="Normal 5 6 3 2" xfId="26326" xr:uid="{4A868DB7-7671-4C35-98F8-9DE58774D7AE}"/>
    <cellStyle name="Normal 5 6 4" xfId="26327" xr:uid="{0CD9DBEF-3BE5-45B4-B7DE-C1E579B3DB93}"/>
    <cellStyle name="Normal 5 6 4 2" xfId="26328" xr:uid="{FD510D97-AC44-4401-B60F-ADC596A9DEAE}"/>
    <cellStyle name="Normal 5 6 5" xfId="26329" xr:uid="{F4EEE548-3CB9-4AE4-90B4-ECD392C74E3D}"/>
    <cellStyle name="Normal 5 6 5 2" xfId="26330" xr:uid="{759121B3-D978-4337-B433-E5CA79EA066A}"/>
    <cellStyle name="Normal 5 6 6" xfId="26331" xr:uid="{CE8BDCAB-BEB2-42AA-943F-74EBCBF854D9}"/>
    <cellStyle name="Normal 5 7" xfId="26332" xr:uid="{F51B4660-BD19-4FBB-A2DE-42FD13FEB5F5}"/>
    <cellStyle name="Normal 5 7 2" xfId="26333" xr:uid="{FB90D1CF-E71B-42E1-A822-7C8BBFF4B7A2}"/>
    <cellStyle name="Normal 5 7 2 2" xfId="26334" xr:uid="{EF4055C5-1B27-45BF-A748-3ACD021456A6}"/>
    <cellStyle name="Normal 5 7 2 2 2" xfId="26335" xr:uid="{F287068C-66A2-4051-B677-F240186191FA}"/>
    <cellStyle name="Normal 5 7 2 3" xfId="26336" xr:uid="{54D9556D-E867-4471-B1F2-8FC1E78AECEA}"/>
    <cellStyle name="Normal 5 7 2 3 2" xfId="26337" xr:uid="{4080845C-DA2C-4898-9884-F0C971139D35}"/>
    <cellStyle name="Normal 5 7 2 4" xfId="26338" xr:uid="{24A8E32F-E2ED-4AE5-B0D2-96956589ACE9}"/>
    <cellStyle name="Normal 5 7 3" xfId="26339" xr:uid="{6138244D-FF1C-4CE6-AC43-73A9FF561C79}"/>
    <cellStyle name="Normal 5 7 3 2" xfId="26340" xr:uid="{24146285-D80F-4F14-9A01-699A0F0B081F}"/>
    <cellStyle name="Normal 5 7 4" xfId="26341" xr:uid="{B98D8903-2B43-401E-9BF1-75D4A56C90CF}"/>
    <cellStyle name="Normal 5 7 4 2" xfId="26342" xr:uid="{8D7488B2-493A-410D-B4E7-6744531547D6}"/>
    <cellStyle name="Normal 5 7 5" xfId="26343" xr:uid="{008ECD04-71A3-4C04-9EE4-BA118232E8AD}"/>
    <cellStyle name="Normal 5 7 5 2" xfId="26344" xr:uid="{2B2A4763-3F94-4000-91CA-3AB3256FBA39}"/>
    <cellStyle name="Normal 5 7 6" xfId="26345" xr:uid="{3D63B4D8-4B8B-4927-BF71-DBFC8D8704B4}"/>
    <cellStyle name="Normal 5 8" xfId="26346" xr:uid="{7D7DDDCD-1674-4F38-ABA5-BB7165135439}"/>
    <cellStyle name="Normal 5 8 2" xfId="26347" xr:uid="{E299573A-70D3-4EBF-A381-B35C35C2FF78}"/>
    <cellStyle name="Normal 5 8 2 2" xfId="26348" xr:uid="{8EE8BCF0-F1D7-41B3-8E6A-A8C85CC9FB4D}"/>
    <cellStyle name="Normal 5 8 3" xfId="26349" xr:uid="{3CB5385E-99BF-4B6C-AF3E-6C806F125AF7}"/>
    <cellStyle name="Normal 5 8 3 2" xfId="26350" xr:uid="{4ACE2183-17B0-4D84-A7CE-DEE9097FA50D}"/>
    <cellStyle name="Normal 5 8 4" xfId="26351" xr:uid="{CA199265-9113-4718-BA75-9F224206A9A4}"/>
    <cellStyle name="Normal 5 9" xfId="26352" xr:uid="{FE0E0D18-A396-473F-AE2F-BA710F848020}"/>
    <cellStyle name="Normal 5 9 2" xfId="26353" xr:uid="{E8A63647-BDF9-4FA1-BD0E-1F88409D8681}"/>
    <cellStyle name="Normal 5 9 2 2" xfId="26354" xr:uid="{6ECD4B1C-C6AE-4BF3-A214-40CBC86AF645}"/>
    <cellStyle name="Normal 5 9 3" xfId="26355" xr:uid="{F63E7C38-98EF-43C9-8A06-2EDBBB75A90C}"/>
    <cellStyle name="Normal 50" xfId="15563" xr:uid="{5DCD23B2-F215-4CB1-97FB-14DEEA29C464}"/>
    <cellStyle name="Normal 50 2" xfId="19357" xr:uid="{8ED4985F-BF8D-4ABD-96B5-E30F5EEC49DB}"/>
    <cellStyle name="Normal 51" xfId="15462" xr:uid="{4315286A-5345-479E-AD49-C5431AAEBC6F}"/>
    <cellStyle name="Normal 51 2" xfId="19327" xr:uid="{6DD4432E-2593-4CAF-AC9F-824ECFDECE1D}"/>
    <cellStyle name="Normal 52" xfId="15464" xr:uid="{916E0E3C-DF36-4A74-B321-1EAF520C89B0}"/>
    <cellStyle name="Normal 52 2" xfId="19328" xr:uid="{04163A9E-36B3-480E-976B-67442CC5A4E3}"/>
    <cellStyle name="Normal 53" xfId="15449" xr:uid="{5B0ECCDD-D560-4085-9972-6081D4302797}"/>
    <cellStyle name="Normal 53 2" xfId="19319" xr:uid="{5321A1BB-C9C6-44BB-B499-CAD41B6002E6}"/>
    <cellStyle name="Normal 54" xfId="15458" xr:uid="{2714B744-F764-4378-AAAB-6AAE7838F4A5}"/>
    <cellStyle name="Normal 54 2" xfId="19324" xr:uid="{F52AB8CA-4362-4E19-907A-CFA2B8CB1383}"/>
    <cellStyle name="Normal 55" xfId="15886" xr:uid="{DECF5C4D-959A-4743-9084-C954409E7A1E}"/>
    <cellStyle name="Normal 55 2" xfId="19448" xr:uid="{FEFCB092-BE7C-4191-8A02-F2D5555CAD41}"/>
    <cellStyle name="Normal 56" xfId="15937" xr:uid="{1996EF94-0A35-441D-ADA0-69EDCBC416ED}"/>
    <cellStyle name="Normal 56 2" xfId="19465" xr:uid="{90C111CB-C9F7-47E9-88B0-E5D1822BC2ED}"/>
    <cellStyle name="Normal 57" xfId="15936" xr:uid="{4B69DC09-5956-41C5-BE25-EDC1CDBF7C3C}"/>
    <cellStyle name="Normal 57 2" xfId="19464" xr:uid="{31B6B1C6-20A8-47E5-BC7C-D37665866B79}"/>
    <cellStyle name="Normal 58" xfId="10601" xr:uid="{6EAE8DFA-CCA6-4EBA-829D-75374FEC1592}"/>
    <cellStyle name="Normal 58 2" xfId="47735" xr:uid="{09691AD0-FF16-4FD9-B7A0-BADE2DC9BF61}"/>
    <cellStyle name="Normal 59" xfId="48250" xr:uid="{77C0ABAF-DF0F-4A16-8B91-EB36DA9913D8}"/>
    <cellStyle name="Normal 6" xfId="571" xr:uid="{00000000-0005-0000-0000-000059050000}"/>
    <cellStyle name="Normal 6 10" xfId="10609" xr:uid="{02C30CED-C610-40DF-BA3A-58CE6CBC772D}"/>
    <cellStyle name="Normal 6 10 2" xfId="26357" xr:uid="{07D8E242-3CD1-4F42-A6B8-48DC3AFAA484}"/>
    <cellStyle name="Normal 6 10 3" xfId="26356" xr:uid="{94644688-9BCC-4A0A-9E0D-4BBD8A751BF6}"/>
    <cellStyle name="Normal 6 11" xfId="26358" xr:uid="{F82A1944-49EA-4D6A-89A0-F9FBEB1A1A67}"/>
    <cellStyle name="Normal 6 11 2" xfId="26359" xr:uid="{2BBA9B37-ECB1-4295-8584-89BF56DE6729}"/>
    <cellStyle name="Normal 6 12" xfId="26360" xr:uid="{E6913783-1C9B-42ED-B0CE-6408671D58B9}"/>
    <cellStyle name="Normal 6 12 2" xfId="26361" xr:uid="{7F4B0BC3-E83E-40BA-AB54-0D053267A524}"/>
    <cellStyle name="Normal 6 13" xfId="26362" xr:uid="{E40A0EFA-F000-46A4-8CBC-F671B3256A57}"/>
    <cellStyle name="Normal 6 13 2" xfId="26363" xr:uid="{6878FB9F-3F84-4895-9FFC-8D8CF1732D35}"/>
    <cellStyle name="Normal 6 14" xfId="26364" xr:uid="{171FFB99-83D4-4ACD-8792-66B65FFB1899}"/>
    <cellStyle name="Normal 6 15" xfId="26365" xr:uid="{97ACF207-F2E1-46A7-80A2-DF639F4DF011}"/>
    <cellStyle name="Normal 6 16" xfId="16984" xr:uid="{225B633C-CD6C-4EDA-8A11-ADB2ACCCA9E3}"/>
    <cellStyle name="Normal 6 2" xfId="572" xr:uid="{00000000-0005-0000-0000-00005A050000}"/>
    <cellStyle name="Normal 6 2 10" xfId="26366" xr:uid="{9ABB9C0B-DE45-48E0-9556-966A79C592BD}"/>
    <cellStyle name="Normal 6 2 10 2" xfId="48971" xr:uid="{37D1B535-2825-4924-A3ED-C33970507572}"/>
    <cellStyle name="Normal 6 2 11" xfId="16985" xr:uid="{A2A1A7A6-171B-4464-AFF2-2DC4DF1D7555}"/>
    <cellStyle name="Normal 6 2 2" xfId="2050" xr:uid="{00000000-0005-0000-0000-00005B050000}"/>
    <cellStyle name="Normal 6 2 2 2" xfId="4088" xr:uid="{60083ED1-180F-4F02-BB0F-6635A2563F18}"/>
    <cellStyle name="Normal 6 2 2 2 2" xfId="10310" xr:uid="{02A2C0EE-20CC-42A7-A149-76C002ABE55A}"/>
    <cellStyle name="Normal 6 2 2 2 2 2" xfId="12763" xr:uid="{14D7F4EC-35C0-44F1-AB07-01C1ADD6D63B}"/>
    <cellStyle name="Normal 6 2 2 2 2 2 2" xfId="46790" xr:uid="{03FE353B-F98A-49D7-A64A-0851B223E06F}"/>
    <cellStyle name="Normal 6 2 2 2 2 3" xfId="18892" xr:uid="{1B454EF4-C1F9-48DA-9D01-CC38ADFDE66D}"/>
    <cellStyle name="Normal 6 2 2 2 3" xfId="12462" xr:uid="{5E38A481-AB6E-4F6F-A784-FB4B3CB4675D}"/>
    <cellStyle name="Normal 6 2 2 2 3 2" xfId="32431" xr:uid="{373B5F4C-115B-4BA3-9B60-6978E3096B26}"/>
    <cellStyle name="Normal 6 2 2 2 4" xfId="18743" xr:uid="{6B9C8128-E67D-400A-A7FC-CA9A3C72706E}"/>
    <cellStyle name="Normal 6 2 2 3" xfId="10077" xr:uid="{AF88B393-8D68-47E8-AD17-D0C93986EB2C}"/>
    <cellStyle name="Normal 6 2 2 3 2" xfId="10389" xr:uid="{55EC623E-8EC1-472F-A6B8-41A231756863}"/>
    <cellStyle name="Normal 6 2 2 3 2 2" xfId="12842" xr:uid="{B299605A-9226-4340-BDDF-33F6A1FD22BF}"/>
    <cellStyle name="Normal 6 2 2 3 2 2 2" xfId="47022" xr:uid="{687398E3-6B44-4F79-8C86-D5D409355781}"/>
    <cellStyle name="Normal 6 2 2 3 2 3" xfId="18933" xr:uid="{002EC377-DA55-4BC7-8022-1898FC6111BF}"/>
    <cellStyle name="Normal 6 2 2 3 3" xfId="12534" xr:uid="{CB8135EE-57C5-4F90-A7EF-F1C848C0B26F}"/>
    <cellStyle name="Normal 6 2 2 3 3 2" xfId="32291" xr:uid="{7E7F5E2F-14A8-4916-9DA2-78D1E5F597E2}"/>
    <cellStyle name="Normal 6 2 2 3 4" xfId="18777" xr:uid="{7723B284-0282-45AF-9B90-73E9C2A76594}"/>
    <cellStyle name="Normal 6 2 2 4" xfId="10155" xr:uid="{6FDEA96A-177A-480F-B1BE-2739B0AE92E4}"/>
    <cellStyle name="Normal 6 2 2 4 2" xfId="10469" xr:uid="{EED58D87-26EA-40D3-812D-C1915C697A75}"/>
    <cellStyle name="Normal 6 2 2 4 2 2" xfId="12922" xr:uid="{494ECBB7-A69F-4FB4-80BD-78C3D7007029}"/>
    <cellStyle name="Normal 6 2 2 4 2 2 2" xfId="24478" xr:uid="{3C2F495C-2DE1-4492-A9CE-5840A1774C1A}"/>
    <cellStyle name="Normal 6 2 2 4 2 3" xfId="18975" xr:uid="{F8E48DB4-6DFD-4812-8B90-94212277B367}"/>
    <cellStyle name="Normal 6 2 2 4 3" xfId="12609" xr:uid="{3D4DE4CD-43B7-4876-B527-03E520C17922}"/>
    <cellStyle name="Normal 6 2 2 4 3 2" xfId="46329" xr:uid="{AD8392F9-FC04-4EE7-A388-129C7135DB08}"/>
    <cellStyle name="Normal 6 2 2 4 4" xfId="18814" xr:uid="{D4783D55-87F8-4853-B1DA-D9B114129BB3}"/>
    <cellStyle name="Normal 6 2 2 5" xfId="10235" xr:uid="{2A1DD66D-6373-4840-9AF9-DA2ACE19F203}"/>
    <cellStyle name="Normal 6 2 2 5 2" xfId="12688" xr:uid="{3A964658-51D0-49BE-912E-F5DD8410D9DC}"/>
    <cellStyle name="Normal 6 2 2 5 2 2" xfId="46666" xr:uid="{0EF4EF00-FA08-4ECA-8CD3-D175ACFAC4A2}"/>
    <cellStyle name="Normal 6 2 2 5 3" xfId="18855" xr:uid="{2BA88494-4798-4751-825A-8DF971B366A5}"/>
    <cellStyle name="Normal 6 2 2 6" xfId="10549" xr:uid="{71D533F3-5DD9-4FDB-984D-8FDC88FE6AC9}"/>
    <cellStyle name="Normal 6 2 2 6 2" xfId="13002" xr:uid="{3FD5F73D-A49B-485E-B954-1119B2A5F504}"/>
    <cellStyle name="Normal 6 2 2 6 2 2" xfId="47079" xr:uid="{3079F85F-2B22-4188-A2B3-9C99995C6055}"/>
    <cellStyle name="Normal 6 2 2 6 3" xfId="19017" xr:uid="{E1BC9A4C-3E94-4B09-8D35-7C7C16CDAB6B}"/>
    <cellStyle name="Normal 6 2 2 7" xfId="11493" xr:uid="{35BB2119-4B49-4847-B1F5-D661BEE3C131}"/>
    <cellStyle name="Normal 6 2 2 7 2" xfId="18122" xr:uid="{CD9DF533-4125-462A-95D0-079E151AD93A}"/>
    <cellStyle name="Normal 6 2 2 8" xfId="11072" xr:uid="{18438AC8-E498-4B3D-AB50-E672643D74A0}"/>
    <cellStyle name="Normal 6 2 2 9" xfId="16986" xr:uid="{66A12BE4-F7E9-4303-BF56-76E7965D3FF9}"/>
    <cellStyle name="Normal 6 2 3" xfId="2051" xr:uid="{00000000-0005-0000-0000-00005C050000}"/>
    <cellStyle name="Normal 6 2 3 2" xfId="2052" xr:uid="{00000000-0005-0000-0000-00005D050000}"/>
    <cellStyle name="Normal 6 2 3 2 2" xfId="14070" xr:uid="{2424B98D-EB6E-446E-90ED-23AE433944F4}"/>
    <cellStyle name="Normal 6 2 3 2 2 2" xfId="26367" xr:uid="{F40A7D20-09CB-4CC7-BEB2-2AE552D1A39E}"/>
    <cellStyle name="Normal 6 2 3 2 3" xfId="17827" xr:uid="{43ECE267-AD5A-48FE-BA14-BEE8C588E583}"/>
    <cellStyle name="Normal 6 2 3 3" xfId="11110" xr:uid="{7752FDBC-2021-47C0-9142-68A5D8560E3E}"/>
    <cellStyle name="Normal 6 2 3 3 2" xfId="26368" xr:uid="{92D944FE-DF38-46F6-84C4-02097DC7B6E0}"/>
    <cellStyle name="Normal 6 2 3 4" xfId="11073" xr:uid="{3D0DEDD2-82B0-40E1-B8F8-BAC90DA1F22B}"/>
    <cellStyle name="Normal 6 2 3 4 2" xfId="17826" xr:uid="{384D3E07-17A1-48DA-B038-E6F4463CA386}"/>
    <cellStyle name="Normal 6 2 3 5" xfId="8070" xr:uid="{1EC41DA4-3548-4779-8ACA-68D760C0349B}"/>
    <cellStyle name="Normal 6 2 4" xfId="2053" xr:uid="{00000000-0005-0000-0000-00005E050000}"/>
    <cellStyle name="Normal 6 2 4 2" xfId="10296" xr:uid="{AB24E985-BCD1-4996-B551-96930159F456}"/>
    <cellStyle name="Normal 6 2 4 2 2" xfId="12749" xr:uid="{E4739E04-BAA9-46FA-9F70-DF47B32F28E1}"/>
    <cellStyle name="Normal 6 2 4 2 2 2" xfId="25060" xr:uid="{74250D35-E25E-404E-B7C4-2C2138C41033}"/>
    <cellStyle name="Normal 6 2 4 2 3" xfId="18880" xr:uid="{18D36F6B-D6C4-4345-B30A-0135A59483CA}"/>
    <cellStyle name="Normal 6 2 4 3" xfId="11074" xr:uid="{2ACD1806-6D19-46A9-86E6-B749CE196867}"/>
    <cellStyle name="Normal 6 2 4 3 2" xfId="47689" xr:uid="{7B9F6DD4-46AA-48E6-BE2B-8E6E6DB40862}"/>
    <cellStyle name="Normal 6 2 4 4" xfId="17828" xr:uid="{764B910F-E8B2-4410-887E-95D19BC4302E}"/>
    <cellStyle name="Normal 6 2 5" xfId="10062" xr:uid="{40E9C109-96B1-410C-A909-F02281BACC46}"/>
    <cellStyle name="Normal 6 2 5 2" xfId="10371" xr:uid="{3E96248A-4B7E-49DF-A951-CA775398114C}"/>
    <cellStyle name="Normal 6 2 5 2 2" xfId="12824" xr:uid="{EABE3A47-8AA0-4E78-8B02-83C39BEF872C}"/>
    <cellStyle name="Normal 6 2 5 2 2 2" xfId="25048" xr:uid="{7FEDCFFF-4810-4FE3-B176-5DA4A43190C6}"/>
    <cellStyle name="Normal 6 2 5 2 3" xfId="18917" xr:uid="{B1568EBE-A39F-4213-9287-3238915266B9}"/>
    <cellStyle name="Normal 6 2 5 3" xfId="12521" xr:uid="{FAF3BA2B-FD21-46E3-A994-6306B2599CB1}"/>
    <cellStyle name="Normal 6 2 5 3 2" xfId="47164" xr:uid="{9F5897A8-F30C-4007-8073-18027E57B64C}"/>
    <cellStyle name="Normal 6 2 5 4" xfId="18766" xr:uid="{C9D3C138-49BC-4369-B0CD-4234CACB5942}"/>
    <cellStyle name="Normal 6 2 6" xfId="10137" xr:uid="{55AECC5B-C051-445D-8CFA-9B0741C66067}"/>
    <cellStyle name="Normal 6 2 6 2" xfId="10451" xr:uid="{9783613E-B10F-4C2E-8567-67A401A5BD1A}"/>
    <cellStyle name="Normal 6 2 6 2 2" xfId="12904" xr:uid="{778546F2-4B7D-40DF-BFC7-352D2E017579}"/>
    <cellStyle name="Normal 6 2 6 2 2 2" xfId="48399" xr:uid="{2B1153A4-C9CD-498E-B5B7-EBF8696745DB}"/>
    <cellStyle name="Normal 6 2 6 2 3" xfId="18959" xr:uid="{713090A2-853B-4C74-B934-03AAC03913F2}"/>
    <cellStyle name="Normal 6 2 6 3" xfId="12593" xr:uid="{37CC4A4D-9590-4221-8B72-6BC3E47BD7A5}"/>
    <cellStyle name="Normal 6 2 6 3 2" xfId="25072" xr:uid="{C7B27CC2-0120-4C23-BBD1-AEA3B8D74B70}"/>
    <cellStyle name="Normal 6 2 6 4" xfId="18800" xr:uid="{A6FA8DE5-C047-49F9-8899-26043F51B7B3}"/>
    <cellStyle name="Normal 6 2 7" xfId="10217" xr:uid="{C9A54947-227D-44A8-81BB-E8446F5AA722}"/>
    <cellStyle name="Normal 6 2 7 2" xfId="12670" xr:uid="{7A9F96F6-6F7E-4457-9E14-D24058194936}"/>
    <cellStyle name="Normal 6 2 7 2 2" xfId="26369" xr:uid="{42602055-88A8-4A40-8F5B-5588A28275D5}"/>
    <cellStyle name="Normal 6 2 7 3" xfId="18839" xr:uid="{27B36202-1770-426C-BC02-1846C5E9B351}"/>
    <cellStyle name="Normal 6 2 8" xfId="10531" xr:uid="{82A74E40-AA8E-412E-8B97-A53D28ABFDE4}"/>
    <cellStyle name="Normal 6 2 8 2" xfId="12984" xr:uid="{21B47E0A-F7FA-436D-B902-2BAEF64B3CA7}"/>
    <cellStyle name="Normal 6 2 8 2 2" xfId="24211" xr:uid="{103C0A93-C27E-4931-B9F3-388811261325}"/>
    <cellStyle name="Normal 6 2 8 3" xfId="19001" xr:uid="{656CE997-FB7F-4B0E-9F23-C638EAB3BCF9}"/>
    <cellStyle name="Normal 6 2 9" xfId="26370" xr:uid="{438E1D79-6D89-45DA-BD96-CCB31F7253C8}"/>
    <cellStyle name="Normal 6 3" xfId="573" xr:uid="{00000000-0005-0000-0000-00005F050000}"/>
    <cellStyle name="Normal 6 3 10" xfId="16987" xr:uid="{82EFB4A7-10A2-4F4C-8CBD-49AA5604F47E}"/>
    <cellStyle name="Normal 6 3 2" xfId="2054" xr:uid="{00000000-0005-0000-0000-000060050000}"/>
    <cellStyle name="Normal 6 3 2 2" xfId="2055" xr:uid="{00000000-0005-0000-0000-000061050000}"/>
    <cellStyle name="Normal 6 3 2 2 2" xfId="2056" xr:uid="{00000000-0005-0000-0000-000062050000}"/>
    <cellStyle name="Normal 6 3 2 2 2 2" xfId="17831" xr:uid="{69A48F6C-1A82-4ADD-A1BC-5C24B6489015}"/>
    <cellStyle name="Normal 6 3 2 2 3" xfId="11076" xr:uid="{95E519DE-9DE3-490E-87B8-9524C532B6DD}"/>
    <cellStyle name="Normal 6 3 2 2 3 2" xfId="47747" xr:uid="{59D32853-0E74-4FB1-AEDE-704F09FE4119}"/>
    <cellStyle name="Normal 6 3 2 2 4" xfId="17830" xr:uid="{8A820FE8-0D5E-4E7F-9D8D-8BE29DE75492}"/>
    <cellStyle name="Normal 6 3 2 3" xfId="2057" xr:uid="{00000000-0005-0000-0000-000063050000}"/>
    <cellStyle name="Normal 6 3 2 3 2" xfId="26371" xr:uid="{9E8BCCCD-816B-43BF-B27B-C80C69AEC92A}"/>
    <cellStyle name="Normal 6 3 2 3 3" xfId="17832" xr:uid="{4E0A2E98-8945-4492-9153-FF85DCC3F5DC}"/>
    <cellStyle name="Normal 6 3 2 4" xfId="11075" xr:uid="{63401A67-F0EE-4D95-9A41-ED8E0596C39A}"/>
    <cellStyle name="Normal 6 3 2 4 2" xfId="26372" xr:uid="{B305B268-8265-4164-8E36-1177806E9859}"/>
    <cellStyle name="Normal 6 3 2 5" xfId="26373" xr:uid="{BECCF119-89A3-4D09-98A6-DE1CD1613830}"/>
    <cellStyle name="Normal 6 3 2 6" xfId="17829" xr:uid="{E93AF44F-F1CA-4398-BEAD-45C6DCE6C7A1}"/>
    <cellStyle name="Normal 6 3 3" xfId="10070" xr:uid="{9C475D89-F04F-405B-B2D4-A63624070335}"/>
    <cellStyle name="Normal 6 3 3 2" xfId="10382" xr:uid="{B8DB2697-7780-454A-BF54-5C80B56E1579}"/>
    <cellStyle name="Normal 6 3 3 2 2" xfId="12835" xr:uid="{59A42511-FB05-4A4C-B512-400A32030B85}"/>
    <cellStyle name="Normal 6 3 3 2 2 2" xfId="46361" xr:uid="{95F5FBED-4FD8-45C5-84DC-DB578A6FA5A0}"/>
    <cellStyle name="Normal 6 3 3 2 3" xfId="18927" xr:uid="{8397FF70-710E-4F3B-A7AF-997A1358F36E}"/>
    <cellStyle name="Normal 6 3 3 3" xfId="12145" xr:uid="{1085D662-D079-48AB-94DA-E40D447F35EE}"/>
    <cellStyle name="Normal 6 3 3 3 2" xfId="25105" xr:uid="{149B04BE-CD1E-4B90-BB4A-1DE62A3C45FC}"/>
    <cellStyle name="Normal 6 3 3 4" xfId="18550" xr:uid="{C28C2977-55C9-4095-9C20-2928C8FACB77}"/>
    <cellStyle name="Normal 6 3 4" xfId="10148" xr:uid="{379612C7-6C9D-4D18-9C29-22834E36D7D8}"/>
    <cellStyle name="Normal 6 3 4 2" xfId="10462" xr:uid="{63C08EBD-BD97-4707-87D7-29AC99D6F520}"/>
    <cellStyle name="Normal 6 3 4 2 2" xfId="12915" xr:uid="{3F5A5B75-441C-436B-A4B4-601C1D0ED8FD}"/>
    <cellStyle name="Normal 6 3 4 2 2 2" xfId="25041" xr:uid="{47BD88CD-44E2-44E2-A2CC-F513D3F7359A}"/>
    <cellStyle name="Normal 6 3 4 2 3" xfId="18969" xr:uid="{88FAD949-EC4E-48EF-A042-FECCFECEB43E}"/>
    <cellStyle name="Normal 6 3 4 3" xfId="12602" xr:uid="{C117E380-46FF-4392-9084-44B404E8B320}"/>
    <cellStyle name="Normal 6 3 4 3 2" xfId="47318" xr:uid="{07206F6A-851D-405A-96F6-312EE645372A}"/>
    <cellStyle name="Normal 6 3 4 4" xfId="18808" xr:uid="{E5BAAC09-0246-4BCE-A1F8-3BC8E42D4936}"/>
    <cellStyle name="Normal 6 3 5" xfId="10228" xr:uid="{70FF8ED0-5543-46D6-883B-978A693F8433}"/>
    <cellStyle name="Normal 6 3 5 2" xfId="12681" xr:uid="{D794CF9A-2F72-4A2F-82B5-BD10866AAC02}"/>
    <cellStyle name="Normal 6 3 5 2 2" xfId="26374" xr:uid="{5A1A46DD-A197-4D59-AF3E-CCA734C86062}"/>
    <cellStyle name="Normal 6 3 5 3" xfId="18849" xr:uid="{005ABF8A-407F-4801-92B8-1A2E18D2E040}"/>
    <cellStyle name="Normal 6 3 6" xfId="10542" xr:uid="{4902B039-B411-4AB3-BEC1-09A558B7F8F2}"/>
    <cellStyle name="Normal 6 3 6 2" xfId="12995" xr:uid="{1EE5C68A-5EA2-4A06-B427-52D1CA119A22}"/>
    <cellStyle name="Normal 6 3 6 2 2" xfId="26375" xr:uid="{DA3E9F0F-4A9D-433F-B510-093D765C42BE}"/>
    <cellStyle name="Normal 6 3 6 3" xfId="19011" xr:uid="{A0B40885-1F69-474C-B844-E207C575D009}"/>
    <cellStyle name="Normal 6 3 7" xfId="10610" xr:uid="{DEFE9A28-D569-4D64-A9CD-FBE3B85FFCF8}"/>
    <cellStyle name="Normal 6 3 7 2" xfId="26377" xr:uid="{50CFA442-3443-4A21-B131-29BE71A2863F}"/>
    <cellStyle name="Normal 6 3 7 3" xfId="26376" xr:uid="{C07332AA-3467-45F0-A138-515C9B9B15E4}"/>
    <cellStyle name="Normal 6 3 8" xfId="26378" xr:uid="{B9184DC7-8BC2-4113-BF56-CB11ADE90864}"/>
    <cellStyle name="Normal 6 3 9" xfId="26379" xr:uid="{034B3FE6-7E7C-45DE-880E-2A79325020B3}"/>
    <cellStyle name="Normal 6 4" xfId="2058" xr:uid="{00000000-0005-0000-0000-000064050000}"/>
    <cellStyle name="Normal 6 4 2" xfId="2059" xr:uid="{00000000-0005-0000-0000-000065050000}"/>
    <cellStyle name="Normal 6 4 2 2" xfId="10303" xr:uid="{8E1DDB58-E4E6-4BB7-9692-53873CF68BCE}"/>
    <cellStyle name="Normal 6 4 2 2 2" xfId="12756" xr:uid="{75A26AFC-77FA-4F7F-802A-6533FAA9D412}"/>
    <cellStyle name="Normal 6 4 2 2 2 2" xfId="26380" xr:uid="{2677EB2A-FE3E-4917-8DED-EB071223AAC0}"/>
    <cellStyle name="Normal 6 4 2 2 3" xfId="18886" xr:uid="{61E8405F-2FBE-4E68-B088-48D43A7BE319}"/>
    <cellStyle name="Normal 6 4 2 3" xfId="11078" xr:uid="{F0BA996F-2080-400E-8EDE-311A5155A06C}"/>
    <cellStyle name="Normal 6 4 2 3 2" xfId="26382" xr:uid="{B3A46E5A-1E4B-4915-A5EC-76332BF8D44F}"/>
    <cellStyle name="Normal 6 4 2 3 3" xfId="26381" xr:uid="{B6501462-323A-44EB-818E-15114F456DFF}"/>
    <cellStyle name="Normal 6 4 2 4" xfId="26383" xr:uid="{2114D988-20E7-4C9C-B58D-92CFB6681F8E}"/>
    <cellStyle name="Normal 6 4 2 5" xfId="17833" xr:uid="{D23E21A8-9C6B-4912-A547-152C44844AD8}"/>
    <cellStyle name="Normal 6 4 3" xfId="10069" xr:uid="{E54C84B3-8A60-4E31-8EC5-A3015DB600B2}"/>
    <cellStyle name="Normal 6 4 3 2" xfId="10381" xr:uid="{BEA7B2A0-6B60-4D13-BB6B-CB5168300F7C}"/>
    <cellStyle name="Normal 6 4 3 2 2" xfId="12834" xr:uid="{C5DC0C63-E065-46E8-A985-09881C32EADB}"/>
    <cellStyle name="Normal 6 4 3 2 2 2" xfId="48496" xr:uid="{5E59A3FB-9249-479F-8A1D-AC8AE64AD9CC}"/>
    <cellStyle name="Normal 6 4 3 2 3" xfId="18926" xr:uid="{FE9C42DC-4ABF-44F7-9456-76C030B9D4E9}"/>
    <cellStyle name="Normal 6 4 3 3" xfId="12146" xr:uid="{CCEF2DD4-DE2B-440F-81B7-67B1C371E6C5}"/>
    <cellStyle name="Normal 6 4 3 3 2" xfId="47522" xr:uid="{826E092B-5A1C-4F64-998A-0AAE6279164F}"/>
    <cellStyle name="Normal 6 4 3 4" xfId="18551" xr:uid="{63FD1A32-077C-42A2-AA30-6F034DFF13E3}"/>
    <cellStyle name="Normal 6 4 4" xfId="10147" xr:uid="{2B7D382F-581B-45D9-90CA-1A54886E186B}"/>
    <cellStyle name="Normal 6 4 4 2" xfId="10461" xr:uid="{75C5A3D3-3283-478A-A65B-14DF981DC0A0}"/>
    <cellStyle name="Normal 6 4 4 2 2" xfId="12914" xr:uid="{5850B6CB-56EF-402D-8594-76B80A8C96B8}"/>
    <cellStyle name="Normal 6 4 4 2 2 2" xfId="46369" xr:uid="{A771FBF4-33D4-4A80-A2B7-17C372D08FB6}"/>
    <cellStyle name="Normal 6 4 4 2 3" xfId="18968" xr:uid="{F313E93F-B335-4D1F-9E39-C491BB0D2547}"/>
    <cellStyle name="Normal 6 4 4 3" xfId="12601" xr:uid="{C0548005-C6CA-4CBF-A8D9-B03B47B64B97}"/>
    <cellStyle name="Normal 6 4 4 3 2" xfId="47758" xr:uid="{3080CF5C-34E3-45E5-ADCC-44346804B591}"/>
    <cellStyle name="Normal 6 4 4 4" xfId="18807" xr:uid="{3860A266-AAE4-4DA4-BE0F-A1631FABB721}"/>
    <cellStyle name="Normal 6 4 5" xfId="10227" xr:uid="{18C5A83C-FE51-4E6F-895E-2EDBBE6FA1A6}"/>
    <cellStyle name="Normal 6 4 5 2" xfId="12680" xr:uid="{576A0A46-AECB-4A48-83B3-FE79F4C73CC9}"/>
    <cellStyle name="Normal 6 4 5 2 2" xfId="26384" xr:uid="{7E02840C-DB11-4C89-A6E6-6B076D8DF276}"/>
    <cellStyle name="Normal 6 4 5 3" xfId="18848" xr:uid="{896A32CD-2262-4DE1-BA70-C048E351CDB4}"/>
    <cellStyle name="Normal 6 4 6" xfId="10541" xr:uid="{32E2F1BB-824A-4FA4-8741-E8D783451A0A}"/>
    <cellStyle name="Normal 6 4 6 2" xfId="12994" xr:uid="{DC528CE5-28A1-4139-B197-49FB0EC3A096}"/>
    <cellStyle name="Normal 6 4 6 2 2" xfId="26385" xr:uid="{9FFA5DBD-C6F0-4EBE-AF59-B138C3F5872A}"/>
    <cellStyle name="Normal 6 4 6 3" xfId="19010" xr:uid="{1F8B6F25-11AB-4081-8292-D28AD811564A}"/>
    <cellStyle name="Normal 6 4 7" xfId="11077" xr:uid="{79B20DCF-9365-4056-B398-A0DB65404188}"/>
    <cellStyle name="Normal 6 4 7 2" xfId="26386" xr:uid="{CE61761B-AB3A-4C3F-BEC5-685A7457C4A8}"/>
    <cellStyle name="Normal 6 4 8" xfId="26387" xr:uid="{54524788-8F24-4AE9-A1B6-359A8014DC6B}"/>
    <cellStyle name="Normal 6 4 9" xfId="16988" xr:uid="{A168CE59-B2CA-4B67-AA3C-D54D8EAAC31F}"/>
    <cellStyle name="Normal 6 5" xfId="2060" xr:uid="{00000000-0005-0000-0000-000066050000}"/>
    <cellStyle name="Normal 6 5 2" xfId="10289" xr:uid="{8FA67956-864D-4DED-95C5-B1C7E51F2CB3}"/>
    <cellStyle name="Normal 6 5 2 2" xfId="12742" xr:uid="{56CBE741-026D-41F6-81B6-FEC9225DE227}"/>
    <cellStyle name="Normal 6 5 2 2 2" xfId="26389" xr:uid="{14CFAFAD-A486-49FE-B2EA-DB0B04E644DB}"/>
    <cellStyle name="Normal 6 5 2 2 3" xfId="26388" xr:uid="{83D09A6B-53E6-4321-82DD-DECE4D2B1322}"/>
    <cellStyle name="Normal 6 5 2 3" xfId="26390" xr:uid="{A7C89D78-09FB-4179-8EEC-9EF2C14F2BE7}"/>
    <cellStyle name="Normal 6 5 2 3 2" xfId="26391" xr:uid="{DFF13529-0F78-48C9-8A70-B8676855C84E}"/>
    <cellStyle name="Normal 6 5 2 4" xfId="26392" xr:uid="{F60D5B1C-107E-4346-B5F6-0A7AF895FC46}"/>
    <cellStyle name="Normal 6 5 2 5" xfId="18877" xr:uid="{7C97A051-FE7C-4A3B-A085-ACA3FEDFFA6F}"/>
    <cellStyle name="Normal 6 5 3" xfId="11079" xr:uid="{563EA0D8-378B-4FC8-A1EA-15EF640D7FE6}"/>
    <cellStyle name="Normal 6 5 3 2" xfId="26394" xr:uid="{9E0DE7A6-5A74-4B5E-BD67-E6F216EBCD13}"/>
    <cellStyle name="Normal 6 5 3 3" xfId="26393" xr:uid="{30605F59-61AD-4748-920C-824A47B22D2A}"/>
    <cellStyle name="Normal 6 5 4" xfId="26395" xr:uid="{FD41804A-74AB-4189-BF7D-5A97B815CC63}"/>
    <cellStyle name="Normal 6 5 4 2" xfId="26396" xr:uid="{C3787F2D-4D23-4650-BFA9-266E942CE5D7}"/>
    <cellStyle name="Normal 6 5 5" xfId="26397" xr:uid="{AD805A88-ECBA-4156-99CA-22DFA1D007DC}"/>
    <cellStyle name="Normal 6 5 5 2" xfId="26398" xr:uid="{80F5F740-ABD3-4AD6-B798-9A122A374A75}"/>
    <cellStyle name="Normal 6 5 6" xfId="26399" xr:uid="{A617F684-E86E-4DFE-9725-70AD7A8A70FF}"/>
    <cellStyle name="Normal 6 5 7" xfId="26400" xr:uid="{A3336C83-962B-4285-84D5-D6F489B619DA}"/>
    <cellStyle name="Normal 6 5 8" xfId="17834" xr:uid="{1C6F0C99-778D-4742-AB70-3DF9ACB17860}"/>
    <cellStyle name="Normal 6 6" xfId="6971" xr:uid="{8B4346A7-17DA-465F-BCDC-6962E3534189}"/>
    <cellStyle name="Normal 6 6 2" xfId="10363" xr:uid="{0EF0D14F-B331-47C8-8E09-0B29983B9A3C}"/>
    <cellStyle name="Normal 6 6 2 2" xfId="12816" xr:uid="{768BB3AA-9F4C-4A1C-A444-4AE894EE91B4}"/>
    <cellStyle name="Normal 6 6 2 2 2" xfId="26402" xr:uid="{E4B8E7BE-2D96-4E63-912B-085D46E2AE9F}"/>
    <cellStyle name="Normal 6 6 2 2 3" xfId="26401" xr:uid="{13436F56-6D28-4DF0-BDCE-C934027DBB31}"/>
    <cellStyle name="Normal 6 6 2 3" xfId="26403" xr:uid="{AB1B95C7-04F8-4574-8FE8-8168C0EB6ADE}"/>
    <cellStyle name="Normal 6 6 2 3 2" xfId="26404" xr:uid="{F51D148D-9517-4A0E-A1B8-8004318C836B}"/>
    <cellStyle name="Normal 6 6 2 4" xfId="26405" xr:uid="{82375810-0F28-427A-8B76-A736D340C1E4}"/>
    <cellStyle name="Normal 6 6 2 5" xfId="18913" xr:uid="{971EC556-BD3C-467E-ACF8-9F770B688765}"/>
    <cellStyle name="Normal 6 6 3" xfId="12514" xr:uid="{E94E0211-84D9-4A72-B44B-1354910CFE83}"/>
    <cellStyle name="Normal 6 6 3 2" xfId="26407" xr:uid="{F8A391C9-DC04-48E4-A8D7-A91C0C0BE954}"/>
    <cellStyle name="Normal 6 6 3 3" xfId="26406" xr:uid="{3A2B67D5-B608-4A90-A584-FB56AB82E2D1}"/>
    <cellStyle name="Normal 6 6 4" xfId="26408" xr:uid="{71D76A10-CB35-4500-B5B7-5563C07A2C92}"/>
    <cellStyle name="Normal 6 6 4 2" xfId="26409" xr:uid="{68228758-28C3-417B-8697-5668645A43A9}"/>
    <cellStyle name="Normal 6 6 5" xfId="26410" xr:uid="{AF9E2812-24D8-4609-9F82-37ED7234FA19}"/>
    <cellStyle name="Normal 6 6 5 2" xfId="26411" xr:uid="{3E7A12F8-D0A8-49AD-8840-21757F2E7BED}"/>
    <cellStyle name="Normal 6 6 6" xfId="26412" xr:uid="{686F323E-2938-46D5-A531-14B9E13C001A}"/>
    <cellStyle name="Normal 6 6 7" xfId="18763" xr:uid="{691202EE-E9AF-4A53-A46E-ED599FB7FCC5}"/>
    <cellStyle name="Normal 6 6 8" xfId="10055" xr:uid="{8948630A-4AC9-491A-B7B7-000C6E50727E}"/>
    <cellStyle name="Normal 6 7" xfId="10129" xr:uid="{BDD2A34F-E3DA-42EF-AC0C-8DA02CA709E6}"/>
    <cellStyle name="Normal 6 7 2" xfId="10443" xr:uid="{4AD616B7-D134-4439-80FF-F098326A4303}"/>
    <cellStyle name="Normal 6 7 2 2" xfId="12896" xr:uid="{FEF5855E-6C13-4D98-A8AA-94CCAF9283EC}"/>
    <cellStyle name="Normal 6 7 2 2 2" xfId="26414" xr:uid="{3465426A-6E83-4584-B27A-5E8496E9A7A0}"/>
    <cellStyle name="Normal 6 7 2 2 3" xfId="26413" xr:uid="{D7BC1A91-74B6-4A36-A2A0-B0771E24BA68}"/>
    <cellStyle name="Normal 6 7 2 3" xfId="26415" xr:uid="{9D495409-7965-4D2F-ADFB-83A93F3958C5}"/>
    <cellStyle name="Normal 6 7 2 3 2" xfId="26416" xr:uid="{C19CAC34-FD7C-4E7E-B5FA-4565884D65E0}"/>
    <cellStyle name="Normal 6 7 2 4" xfId="26417" xr:uid="{65265849-C2AA-4141-8BDB-1FA6490E0208}"/>
    <cellStyle name="Normal 6 7 2 5" xfId="18955" xr:uid="{FF86B0F8-21D0-4555-96A6-B654A5DA6B0C}"/>
    <cellStyle name="Normal 6 7 3" xfId="12586" xr:uid="{96EB0ABF-3F59-415C-85A7-983ED2242C94}"/>
    <cellStyle name="Normal 6 7 3 2" xfId="26419" xr:uid="{36B27C1A-7121-4076-8FB8-A03BACF15C55}"/>
    <cellStyle name="Normal 6 7 3 3" xfId="26418" xr:uid="{8152E69B-A70C-4356-8F2E-2DDCE39E2DDB}"/>
    <cellStyle name="Normal 6 7 4" xfId="26420" xr:uid="{61879B0F-B9A3-4F2C-B653-1111BE2792D4}"/>
    <cellStyle name="Normal 6 7 4 2" xfId="26421" xr:uid="{61A93638-9266-47F9-9EFD-44CAF8C9D017}"/>
    <cellStyle name="Normal 6 7 5" xfId="26422" xr:uid="{975616A6-94EA-45D1-BACD-0D3CCE8ADE6D}"/>
    <cellStyle name="Normal 6 7 5 2" xfId="26423" xr:uid="{383C0101-5A9B-4D2D-A91A-8A1E2D20DB9E}"/>
    <cellStyle name="Normal 6 7 6" xfId="26424" xr:uid="{DF4E975F-7013-403A-AF22-DD5CD0CF69A9}"/>
    <cellStyle name="Normal 6 7 7" xfId="18797" xr:uid="{D94BEC1D-DA57-48FA-9522-81ABF501A583}"/>
    <cellStyle name="Normal 6 8" xfId="10209" xr:uid="{48D2E025-C2B7-4E88-9D70-68C20FDEC7FA}"/>
    <cellStyle name="Normal 6 8 2" xfId="12662" xr:uid="{C822F596-33EE-4867-8863-CD90012BAE90}"/>
    <cellStyle name="Normal 6 8 2 2" xfId="26426" xr:uid="{0E1E89F3-C76C-457F-BE58-FAD069FC93D9}"/>
    <cellStyle name="Normal 6 8 2 3" xfId="26425" xr:uid="{9424A334-990A-47B4-B6C4-68921FA44C57}"/>
    <cellStyle name="Normal 6 8 3" xfId="26427" xr:uid="{55D2E8C9-CAC9-4CE5-8184-3136265D58DE}"/>
    <cellStyle name="Normal 6 8 3 2" xfId="26428" xr:uid="{71EF1CEA-956C-4F2B-BA66-95CD2E6A1D38}"/>
    <cellStyle name="Normal 6 8 4" xfId="26429" xr:uid="{5556CD0E-2F32-472D-AED9-28B679843923}"/>
    <cellStyle name="Normal 6 8 5" xfId="18835" xr:uid="{20C51072-6B69-40C9-871A-A9E1395C9BC0}"/>
    <cellStyle name="Normal 6 9" xfId="10523" xr:uid="{813A251D-D6BF-432D-8A47-F74BDE5D2E04}"/>
    <cellStyle name="Normal 6 9 2" xfId="12976" xr:uid="{54324D75-33E5-4E94-9FA3-75DC5F60A187}"/>
    <cellStyle name="Normal 6 9 2 2" xfId="26431" xr:uid="{06747E47-4D17-48F2-A019-65B9801E850B}"/>
    <cellStyle name="Normal 6 9 2 3" xfId="26430" xr:uid="{F911045E-07B7-45B8-B83B-9A1E86BFAF01}"/>
    <cellStyle name="Normal 6 9 3" xfId="26432" xr:uid="{006029F3-AE81-40A6-86DE-E419D4A46E6E}"/>
    <cellStyle name="Normal 6 9 4" xfId="18997" xr:uid="{CA24DEAC-B6B4-4574-BD41-2E64456AF45D}"/>
    <cellStyle name="Normal 60" xfId="47377" xr:uid="{DF2D57BF-BC59-45F1-BAF7-2703EA455FDC}"/>
    <cellStyle name="Normal 61" xfId="48251" xr:uid="{282DCB4B-FF59-48E6-AD68-023D913938FE}"/>
    <cellStyle name="Normal 62" xfId="46659" xr:uid="{864DD4AC-6158-4164-9CDC-89583BE19741}"/>
    <cellStyle name="Normal 63" xfId="47086" xr:uid="{2955FC5A-D292-4C29-A612-8D44416F0072}"/>
    <cellStyle name="Normal 64" xfId="47420" xr:uid="{60D62603-170C-4F9E-B31B-87B0ED52BF26}"/>
    <cellStyle name="Normal 65" xfId="49787" xr:uid="{8967BE25-767B-4C3F-AD09-DCA8A64B5159}"/>
    <cellStyle name="Normal 66" xfId="52802" xr:uid="{456E5176-DF68-4EE0-B2E9-91CB75ED3596}"/>
    <cellStyle name="Normal 67" xfId="52856" xr:uid="{6B60E35B-9A1B-4769-A2E4-FA886956D044}"/>
    <cellStyle name="Normal 68" xfId="15938" xr:uid="{5DECD1E5-7A00-4393-9A67-B06FF4EA45AA}"/>
    <cellStyle name="Normal 69" xfId="55818" xr:uid="{D931C62E-F484-4422-9861-063264948975}"/>
    <cellStyle name="Normal 7" xfId="574" xr:uid="{00000000-0005-0000-0000-000067050000}"/>
    <cellStyle name="Normal 7 10" xfId="26433" xr:uid="{0A60B9F6-7B5A-4E05-ADD6-1D8B5F4E8339}"/>
    <cellStyle name="Normal 7 2" xfId="575" xr:uid="{00000000-0005-0000-0000-000068050000}"/>
    <cellStyle name="Normal 7 2 2" xfId="12147" xr:uid="{48EAB45B-F868-4BE2-BC8F-8DE573F274F3}"/>
    <cellStyle name="Normal 7 2 2 2" xfId="26436" xr:uid="{9D97A880-7519-4552-9791-E4FB2E2C4CB5}"/>
    <cellStyle name="Normal 7 2 2 2 2" xfId="48973" xr:uid="{53F4BB7C-BB78-41B4-8516-B0E73631109C}"/>
    <cellStyle name="Normal 7 2 2 3" xfId="26437" xr:uid="{B3141F78-D837-4A5B-9BCD-9D738777EE41}"/>
    <cellStyle name="Normal 7 2 2 4" xfId="26438" xr:uid="{EDFB468B-E565-4C76-BA9B-F752AD150077}"/>
    <cellStyle name="Normal 7 2 2 5" xfId="26435" xr:uid="{286638B5-A80F-4801-9163-099023772AB0}"/>
    <cellStyle name="Normal 7 2 2 6" xfId="48972" xr:uid="{126638AD-534E-4545-99E5-08324F65E010}"/>
    <cellStyle name="Normal 7 2 3" xfId="11488" xr:uid="{089021D9-763A-44C4-BB4F-01F7B4EDDB0E}"/>
    <cellStyle name="Normal 7 2 3 2" xfId="26440" xr:uid="{9B651D8F-9156-4BDD-986D-60411744607C}"/>
    <cellStyle name="Normal 7 2 3 2 2" xfId="26441" xr:uid="{54892DF3-9DF9-4966-B1A2-A9A2E9D51E1D}"/>
    <cellStyle name="Normal 7 2 3 3" xfId="26442" xr:uid="{DD48B2E4-DE69-40A2-826E-1DFF9A4BADFF}"/>
    <cellStyle name="Normal 7 2 3 4" xfId="26439" xr:uid="{E8E2575C-AA44-43F3-8B2A-BC58B4BC0448}"/>
    <cellStyle name="Normal 7 2 4" xfId="26443" xr:uid="{A0BF5C59-C39C-4F92-BC95-70B4481AA48E}"/>
    <cellStyle name="Normal 7 2 4 2" xfId="48974" xr:uid="{A65D60A6-F1CD-4429-8129-2704C03DD292}"/>
    <cellStyle name="Normal 7 2 5" xfId="26444" xr:uid="{BD1D00C9-257F-4B9E-93EB-85EDEA78155A}"/>
    <cellStyle name="Normal 7 2 6" xfId="26445" xr:uid="{F39C00CF-23A3-4DB4-93B8-A8A9888B229D}"/>
    <cellStyle name="Normal 7 2 7" xfId="26434" xr:uid="{F9536466-B65F-4A1B-90AD-C41294DC48B5}"/>
    <cellStyle name="Normal 7 3" xfId="576" xr:uid="{00000000-0005-0000-0000-000069050000}"/>
    <cellStyle name="Normal 7 3 2" xfId="2061" xr:uid="{00000000-0005-0000-0000-00006A050000}"/>
    <cellStyle name="Normal 7 3 2 2" xfId="2062" xr:uid="{00000000-0005-0000-0000-00006B050000}"/>
    <cellStyle name="Normal 7 3 2 2 2" xfId="17836" xr:uid="{1A23F4CE-D8B6-4281-ABFA-40A879D56E98}"/>
    <cellStyle name="Normal 7 3 2 3" xfId="17835" xr:uid="{21D69EE0-BF65-4438-A9C3-7EE9FD042D58}"/>
    <cellStyle name="Normal 7 3 3" xfId="2063" xr:uid="{00000000-0005-0000-0000-00006C050000}"/>
    <cellStyle name="Normal 7 3 3 2" xfId="26446" xr:uid="{22636D6D-B1E8-4C45-A4E1-788CE1F0D943}"/>
    <cellStyle name="Normal 7 3 3 3" xfId="17837" xr:uid="{6BCCD087-2D98-4178-B7A1-82CD743635A5}"/>
    <cellStyle name="Normal 7 3 4" xfId="26447" xr:uid="{63D9695A-153D-47DF-91CE-060A9DFC90E7}"/>
    <cellStyle name="Normal 7 3 4 2" xfId="26448" xr:uid="{B4DA271A-FCDE-4C1A-BF8A-9430179A39A9}"/>
    <cellStyle name="Normal 7 3 5" xfId="26449" xr:uid="{0A77C418-99C6-4890-A172-0BC4598B8D5A}"/>
    <cellStyle name="Normal 7 4" xfId="4089" xr:uid="{29E4B45E-5ECC-409A-A027-13BD41D9D817}"/>
    <cellStyle name="Normal 7 4 2" xfId="26451" xr:uid="{030DC6D0-839C-44C7-A5D1-1ED444B8D9F7}"/>
    <cellStyle name="Normal 7 4 2 2" xfId="26452" xr:uid="{27197995-0510-4343-A0B7-FD1794220897}"/>
    <cellStyle name="Normal 7 4 3" xfId="26453" xr:uid="{CDA3FD78-746B-4FE8-9958-F0C40938683D}"/>
    <cellStyle name="Normal 7 4 3 2" xfId="26454" xr:uid="{2B953990-0EA6-4942-B31A-BE9A7F773032}"/>
    <cellStyle name="Normal 7 4 4" xfId="26455" xr:uid="{80D90590-CE09-4A7F-8B5A-8CD141CD1A96}"/>
    <cellStyle name="Normal 7 4 5" xfId="26450" xr:uid="{1BA0485F-995A-46FE-912B-40C8E2E8CC46}"/>
    <cellStyle name="Normal 7 5" xfId="26456" xr:uid="{4D4DB772-FCA6-4363-B627-D4365EF07CD6}"/>
    <cellStyle name="Normal 7 5 2" xfId="26457" xr:uid="{85A7C645-FDED-4BE0-8CD7-69F418C8679E}"/>
    <cellStyle name="Normal 7 6" xfId="26458" xr:uid="{1A41C6FC-EC9B-4E5B-871B-5EEFC4FF8EC0}"/>
    <cellStyle name="Normal 7 6 2" xfId="26459" xr:uid="{7E8A52A5-C87B-424F-8B33-81BA6D235A38}"/>
    <cellStyle name="Normal 7 7" xfId="26460" xr:uid="{6962534F-5ECA-4282-A82C-7CFBD5A05371}"/>
    <cellStyle name="Normal 7 7 2" xfId="26461" xr:uid="{4713DDB2-824B-4837-B45D-4C966B529FAF}"/>
    <cellStyle name="Normal 7 8" xfId="26462" xr:uid="{E292AE8C-0188-494F-888F-6A4B05176325}"/>
    <cellStyle name="Normal 7 8 2" xfId="26463" xr:uid="{13A7D4D7-EE91-4801-8B1A-A4546AFBE8E1}"/>
    <cellStyle name="Normal 7 9" xfId="26464" xr:uid="{260EEADE-AAC5-4020-8521-3FB345D846B5}"/>
    <cellStyle name="Normal 70" xfId="6980" xr:uid="{A0BB5359-37AC-431F-A43B-5A746E9EE210}"/>
    <cellStyle name="Normal 72" xfId="55821" xr:uid="{690D8D4A-6C7D-4CB1-B8AC-A2DBD7C6B101}"/>
    <cellStyle name="Normal 8" xfId="577" xr:uid="{00000000-0005-0000-0000-00006D050000}"/>
    <cellStyle name="Normal 8 2" xfId="578" xr:uid="{00000000-0005-0000-0000-00006E050000}"/>
    <cellStyle name="Normal 8 2 2" xfId="2064" xr:uid="{00000000-0005-0000-0000-00006F050000}"/>
    <cellStyle name="Normal 8 2 2 2" xfId="2065" xr:uid="{00000000-0005-0000-0000-000070050000}"/>
    <cellStyle name="Normal 8 2 2 2 2" xfId="2066" xr:uid="{00000000-0005-0000-0000-000071050000}"/>
    <cellStyle name="Normal 8 2 2 2 2 2" xfId="11082" xr:uid="{CB1B1BA2-7ACF-410E-9681-D855CE1DCF52}"/>
    <cellStyle name="Normal 8 2 2 2 2 2 2" xfId="46720" xr:uid="{F7D78A7E-9E13-4A6B-A0AB-7C81E42A64E7}"/>
    <cellStyle name="Normal 8 2 2 2 2 3" xfId="17840" xr:uid="{417993D1-1791-4DE1-ABE0-074F2A769826}"/>
    <cellStyle name="Normal 8 2 2 2 3" xfId="11081" xr:uid="{2F986DD7-BB98-4E11-B650-2395B5483DE0}"/>
    <cellStyle name="Normal 8 2 2 2 3 2" xfId="47221" xr:uid="{FEB3699E-3849-4D4F-AD1D-C971D5F9CFBD}"/>
    <cellStyle name="Normal 8 2 2 2 4" xfId="17839" xr:uid="{747511E6-044B-49DC-ADBC-3DC64CDA1DE5}"/>
    <cellStyle name="Normal 8 2 2 3" xfId="2067" xr:uid="{00000000-0005-0000-0000-000072050000}"/>
    <cellStyle name="Normal 8 2 2 3 2" xfId="10438" xr:uid="{3ECFF2DA-B5FE-41A1-ADEE-21F314A570B6}"/>
    <cellStyle name="Normal 8 2 2 3 2 2" xfId="12891" xr:uid="{99CAD355-9A8B-4CD0-B91E-366420F7F9E7}"/>
    <cellStyle name="Normal 8 2 2 3 2 2 2" xfId="48110" xr:uid="{ABEF63A4-C443-4830-A67A-CD257F3626FC}"/>
    <cellStyle name="Normal 8 2 2 3 2 3" xfId="18950" xr:uid="{6A01524C-4D29-41A9-B9B4-772A9DBD0828}"/>
    <cellStyle name="Normal 8 2 2 3 3" xfId="11083" xr:uid="{886A7AAE-F399-40BD-8C2E-5C59A99211A2}"/>
    <cellStyle name="Normal 8 2 2 3 3 2" xfId="47457" xr:uid="{9A95FB72-8C7C-4A24-A7EE-CC1F085556B6}"/>
    <cellStyle name="Normal 8 2 2 3 4" xfId="17841" xr:uid="{7600C262-86E0-4CEA-9EA8-3ED44604D075}"/>
    <cellStyle name="Normal 8 2 2 4" xfId="10204" xr:uid="{D95A78DB-C421-4F61-B554-F715C8BA2476}"/>
    <cellStyle name="Normal 8 2 2 4 2" xfId="10518" xr:uid="{BEF6C333-FF98-42BF-AF29-2B2AB8AF9E43}"/>
    <cellStyle name="Normal 8 2 2 4 2 2" xfId="12971" xr:uid="{19DF8EE1-B132-4249-893F-FE6427ED08D7}"/>
    <cellStyle name="Normal 8 2 2 4 2 2 2" xfId="46378" xr:uid="{6200E318-F82D-497E-B0D6-59CED374A715}"/>
    <cellStyle name="Normal 8 2 2 4 2 3" xfId="18992" xr:uid="{52C0E963-51C2-4D98-958B-2EA80B40551C}"/>
    <cellStyle name="Normal 8 2 2 4 3" xfId="12148" xr:uid="{D260ACC9-52DC-4B19-8B05-CD6322DEFACF}"/>
    <cellStyle name="Normal 8 2 2 4 3 2" xfId="47161" xr:uid="{1A0B4350-7CB7-47B3-8118-AA62C9EBE931}"/>
    <cellStyle name="Normal 8 2 2 4 4" xfId="18552" xr:uid="{D4ED6C5C-84D2-4DB7-930F-9C468891882A}"/>
    <cellStyle name="Normal 8 2 2 5" xfId="10284" xr:uid="{DCB99F5D-3E67-470E-B6DB-159D7ACCD8B9}"/>
    <cellStyle name="Normal 8 2 2 5 2" xfId="12737" xr:uid="{B61F9311-3ABE-47C0-88AF-7198C495047C}"/>
    <cellStyle name="Normal 8 2 2 5 2 2" xfId="47989" xr:uid="{4988269A-43CA-4A21-BAF8-258C1FD84370}"/>
    <cellStyle name="Normal 8 2 2 5 3" xfId="18872" xr:uid="{DEDF9B36-8837-4212-BB5F-E7A9B168979B}"/>
    <cellStyle name="Normal 8 2 2 6" xfId="10598" xr:uid="{4F594B56-2146-4779-B323-B1C37C157C23}"/>
    <cellStyle name="Normal 8 2 2 6 2" xfId="13051" xr:uid="{FF185220-A97B-4E22-A15B-EB5D290FC610}"/>
    <cellStyle name="Normal 8 2 2 6 2 2" xfId="47327" xr:uid="{77A88CC1-AFFA-4220-9026-9443B5FDC18F}"/>
    <cellStyle name="Normal 8 2 2 6 3" xfId="19034" xr:uid="{C084F1E8-6067-4C45-B250-4CD1C92832B1}"/>
    <cellStyle name="Normal 8 2 2 7" xfId="11080" xr:uid="{DB4C0ED5-F7E0-434A-B2EF-C2BADDE2983B}"/>
    <cellStyle name="Normal 8 2 2 7 2" xfId="25170" xr:uid="{B24ABF8B-1CF9-435D-8154-634BDA525A34}"/>
    <cellStyle name="Normal 8 2 2 8" xfId="17838" xr:uid="{D318347C-B4A6-47FE-A975-EA13B2E6DF5F}"/>
    <cellStyle name="Normal 8 2 3" xfId="9879" xr:uid="{BE3E7035-B716-4EF3-8755-9470C9457CFC}"/>
    <cellStyle name="Normal 8 2 3 2" xfId="10305" xr:uid="{190BE5E1-846E-4E96-8561-62FBBBE8F5E9}"/>
    <cellStyle name="Normal 8 2 3 2 2" xfId="12758" xr:uid="{4BBDEDE3-BF4B-43F4-A701-009C0FB8B985}"/>
    <cellStyle name="Normal 8 2 3 2 2 2" xfId="48051" xr:uid="{AF619FC9-576B-4625-B7CD-1D0B49C1B2D9}"/>
    <cellStyle name="Normal 8 2 3 2 3" xfId="18888" xr:uid="{73A9E24F-74CD-4256-A477-DCA22956483F}"/>
    <cellStyle name="Normal 8 2 3 3" xfId="12149" xr:uid="{2AB76305-B645-4660-BC21-7E6911FC194D}"/>
    <cellStyle name="Normal 8 2 3 3 2" xfId="26465" xr:uid="{F02E2129-C793-4017-9566-B4C5278A37F5}"/>
    <cellStyle name="Normal 8 2 3 4" xfId="18553" xr:uid="{7FEFE07B-0B75-4BD5-B98A-7A979A532D1F}"/>
    <cellStyle name="Normal 8 2 4" xfId="10072" xr:uid="{6B922791-70F3-4860-BCD4-0A96616BCF39}"/>
    <cellStyle name="Normal 8 2 4 2" xfId="10384" xr:uid="{EE7D9FEF-6C3A-4364-8181-50A6AB94ED52}"/>
    <cellStyle name="Normal 8 2 4 2 2" xfId="12837" xr:uid="{BDE9DCB7-0458-45ED-BC61-7DB6E438B778}"/>
    <cellStyle name="Normal 8 2 4 2 2 2" xfId="24479" xr:uid="{9603E27C-9046-4E4F-AEF6-A974DF6E9601}"/>
    <cellStyle name="Normal 8 2 4 2 3" xfId="18929" xr:uid="{AB9BEC53-EBB0-41CF-A335-7EFFF55B5AF0}"/>
    <cellStyle name="Normal 8 2 4 3" xfId="12529" xr:uid="{C3D04978-607C-41E9-A9CB-45C13580829E}"/>
    <cellStyle name="Normal 8 2 4 3 2" xfId="46319" xr:uid="{3B89B05D-611B-4EA8-8325-D609563EFEF3}"/>
    <cellStyle name="Normal 8 2 4 4" xfId="18773" xr:uid="{D53D7925-CACC-4518-86CA-05884EFA1ADE}"/>
    <cellStyle name="Normal 8 2 5" xfId="10150" xr:uid="{BAE3663F-D168-47B9-9435-123997C4792E}"/>
    <cellStyle name="Normal 8 2 5 2" xfId="10464" xr:uid="{9D80DFFA-7BED-45D9-A3CD-2B6A88261904}"/>
    <cellStyle name="Normal 8 2 5 2 2" xfId="12917" xr:uid="{C589C281-0F5B-48CC-A4EF-6FAADB92BB7F}"/>
    <cellStyle name="Normal 8 2 5 2 2 2" xfId="46811" xr:uid="{06979C03-69FB-4AE9-850D-3F639516382B}"/>
    <cellStyle name="Normal 8 2 5 2 3" xfId="18971" xr:uid="{959144B5-3A62-4ADF-93E4-FB3B66239233}"/>
    <cellStyle name="Normal 8 2 5 3" xfId="12604" xr:uid="{8500877E-EA07-40C9-B7BC-B89EF90500BD}"/>
    <cellStyle name="Normal 8 2 5 3 2" xfId="47016" xr:uid="{89F61657-9484-4D39-8F13-2D8032F9B368}"/>
    <cellStyle name="Normal 8 2 5 4" xfId="18810" xr:uid="{BCD1D9FE-DAD2-4514-BFA7-3A2188A2DA0F}"/>
    <cellStyle name="Normal 8 2 6" xfId="10230" xr:uid="{5F1598C3-905D-419A-BC98-F3B9DDDE2A90}"/>
    <cellStyle name="Normal 8 2 6 2" xfId="12683" xr:uid="{2B45560D-29B6-4770-B96C-228B3C11694A}"/>
    <cellStyle name="Normal 8 2 6 2 2" xfId="48141" xr:uid="{024DAC7E-F0E2-4ADC-BBD3-A1FA379D70DD}"/>
    <cellStyle name="Normal 8 2 6 3" xfId="18851" xr:uid="{17439E58-E06F-4070-A07F-FBD1857AE3C5}"/>
    <cellStyle name="Normal 8 2 7" xfId="10544" xr:uid="{19B905A4-72EF-4D24-ACC2-EDBCC1A57E91}"/>
    <cellStyle name="Normal 8 2 7 2" xfId="12997" xr:uid="{EB600B75-ABE5-4227-B2F7-75EE960369D9}"/>
    <cellStyle name="Normal 8 2 7 2 2" xfId="46381" xr:uid="{A45858F2-9126-4452-81A1-9EAA857E6C0F}"/>
    <cellStyle name="Normal 8 2 7 3" xfId="19013" xr:uid="{A874EBE3-ACDB-43C4-872D-CE5995E22C03}"/>
    <cellStyle name="Normal 8 2 8" xfId="10612" xr:uid="{B52AC69B-6F95-488B-AF97-786B7CA1C6DA}"/>
    <cellStyle name="Normal 8 2 8 2" xfId="46159" xr:uid="{431B0032-7568-4176-9566-C3682F590C8F}"/>
    <cellStyle name="Normal 8 2 9" xfId="16989" xr:uid="{3AEA64ED-E62A-437F-8B88-715B33E980A3}"/>
    <cellStyle name="Normal 8 3" xfId="579" xr:uid="{00000000-0005-0000-0000-000073050000}"/>
    <cellStyle name="Normal 8 3 2" xfId="12150" xr:uid="{17854968-3F09-4A5F-A9BA-B7E09C2CCF74}"/>
    <cellStyle name="Normal 8 3 2 2" xfId="14071" xr:uid="{F1999DFD-6C5B-41AD-99CA-83E58606AB8A}"/>
    <cellStyle name="Normal 8 3 2 2 2" xfId="26468" xr:uid="{3ECDB313-9626-4E84-9A45-0EF07C3AFEA7}"/>
    <cellStyle name="Normal 8 3 2 3" xfId="26467" xr:uid="{FCB94746-CDA0-4083-8CC3-E5263CD214D7}"/>
    <cellStyle name="Normal 8 3 3" xfId="26469" xr:uid="{77811CDB-B2B5-4C64-9659-5A2AAF3CC9B4}"/>
    <cellStyle name="Normal 8 3 3 2" xfId="26470" xr:uid="{1EB8FD36-BE71-44E0-A881-B05E74E86951}"/>
    <cellStyle name="Normal 8 3 4" xfId="26471" xr:uid="{03BBBDEF-2A2D-43C9-9D69-4E66AE1DE678}"/>
    <cellStyle name="Normal 8 3 5" xfId="26472" xr:uid="{A51A18CB-2241-4389-8D3B-47AD2DAA20E3}"/>
    <cellStyle name="Normal 8 3 6" xfId="26473" xr:uid="{6C6F343B-DCF0-41AC-92DB-1DF605D97AF6}"/>
    <cellStyle name="Normal 8 3 7" xfId="26466" xr:uid="{38CF106E-8BA9-4CD9-AA3C-FBDB58A52AD4}"/>
    <cellStyle name="Normal 8 4" xfId="4090" xr:uid="{1C3B8848-506F-4067-8C6C-B7CD2EF24ACC}"/>
    <cellStyle name="Normal 8 4 2" xfId="26475" xr:uid="{A316A215-B2A0-4071-90B3-215468DA9138}"/>
    <cellStyle name="Normal 8 4 3" xfId="26474" xr:uid="{E948F184-9078-4708-AB5A-F76DF2ED3642}"/>
    <cellStyle name="Normal 8 5" xfId="8071" xr:uid="{0ADAD2C6-0344-4189-ADCF-CEBDE01CAB67}"/>
    <cellStyle name="Normal 8 5 2" xfId="9878" xr:uid="{FDBCCF74-5594-4AE9-A6F5-4A71393E6731}"/>
    <cellStyle name="Normal 8 5 2 2" xfId="10304" xr:uid="{8A2BF9BE-B0FE-4B96-94B2-4B28BCD08349}"/>
    <cellStyle name="Normal 8 5 2 2 2" xfId="12757" xr:uid="{9413CF4A-8180-45D5-8D4A-37BB62C70995}"/>
    <cellStyle name="Normal 8 5 2 2 2 2" xfId="46789" xr:uid="{631E1F2E-AED1-4D60-9005-D00D7A517B4D}"/>
    <cellStyle name="Normal 8 5 2 2 3" xfId="18887" xr:uid="{647E9590-9D9B-4BD1-8147-8AE5D4CD7BB8}"/>
    <cellStyle name="Normal 8 5 2 3" xfId="12457" xr:uid="{65D22D6C-8BF3-4C3B-A875-319D9E1B29D7}"/>
    <cellStyle name="Normal 8 5 2 3 2" xfId="46662" xr:uid="{4626EE72-81DD-4B15-8D51-1B8A7610A21F}"/>
    <cellStyle name="Normal 8 5 2 4" xfId="18739" xr:uid="{F6D8E0C0-9B8E-4B89-A6F5-047CE1E25C8E}"/>
    <cellStyle name="Normal 8 5 3" xfId="10071" xr:uid="{5F8DE068-47E4-4BED-9953-D368A74F781D}"/>
    <cellStyle name="Normal 8 5 3 2" xfId="10383" xr:uid="{CDE92345-2F85-49E1-9DD2-717BF19DFEA9}"/>
    <cellStyle name="Normal 8 5 3 2 2" xfId="12836" xr:uid="{5E6040EE-468D-4077-B21C-BFCDBDA04130}"/>
    <cellStyle name="Normal 8 5 3 2 2 2" xfId="47021" xr:uid="{DD1E83BC-47AD-4DD8-96BA-739D71F59068}"/>
    <cellStyle name="Normal 8 5 3 2 3" xfId="18928" xr:uid="{47790DBF-29C3-4DBC-848F-486F5AE38265}"/>
    <cellStyle name="Normal 8 5 3 3" xfId="12528" xr:uid="{E8C99E73-F5BC-4A97-A2ED-E055274481F0}"/>
    <cellStyle name="Normal 8 5 3 3 2" xfId="24219" xr:uid="{168BD876-D34D-4069-9D26-F89D2CBB1FED}"/>
    <cellStyle name="Normal 8 5 3 4" xfId="18772" xr:uid="{4FED5467-BCD7-42FE-8C0C-CEAFB136D907}"/>
    <cellStyle name="Normal 8 5 4" xfId="10149" xr:uid="{D12A06CD-8BE8-46C0-BFB5-F1E28AAA88B5}"/>
    <cellStyle name="Normal 8 5 4 2" xfId="10463" xr:uid="{5F39F319-6810-4667-B7C2-53A3328CA016}"/>
    <cellStyle name="Normal 8 5 4 2 2" xfId="12916" xr:uid="{37168783-089B-421D-AF69-7C801B02EF44}"/>
    <cellStyle name="Normal 8 5 4 2 2 2" xfId="48109" xr:uid="{3EA2C0BC-F277-41AA-B3A3-B5C51897FFD6}"/>
    <cellStyle name="Normal 8 5 4 2 3" xfId="18970" xr:uid="{F0F75265-60D4-4DEA-BD1A-C151E65631B8}"/>
    <cellStyle name="Normal 8 5 4 3" xfId="12603" xr:uid="{091FCEBC-D33E-46F0-96C3-DB11E91A5816}"/>
    <cellStyle name="Normal 8 5 4 3 2" xfId="46328" xr:uid="{4B202ECF-7CB2-4721-9355-C23984B3553D}"/>
    <cellStyle name="Normal 8 5 4 4" xfId="18809" xr:uid="{CC460B56-E975-4D58-BF58-F5E4340154F8}"/>
    <cellStyle name="Normal 8 5 5" xfId="10229" xr:uid="{AA256D91-E6A7-4C63-95E4-5345F99563CF}"/>
    <cellStyle name="Normal 8 5 5 2" xfId="12682" xr:uid="{883AFF74-3F90-493E-97FE-BE4A2713EC03}"/>
    <cellStyle name="Normal 8 5 5 2 2" xfId="47451" xr:uid="{5ADD9018-B84C-4DE4-8372-0BB371311399}"/>
    <cellStyle name="Normal 8 5 5 3" xfId="18850" xr:uid="{321C26E1-9242-4C93-984E-A59DBE2D929A}"/>
    <cellStyle name="Normal 8 5 6" xfId="10543" xr:uid="{7C0D61B3-8EDB-46FD-A406-491C95CF9318}"/>
    <cellStyle name="Normal 8 5 6 2" xfId="12996" xr:uid="{BCF6E3FC-BC28-4DB7-BAB0-7BCEE2D170D9}"/>
    <cellStyle name="Normal 8 5 6 2 2" xfId="47963" xr:uid="{EAB58E3F-6D53-43E2-B5BF-E5F8B390A30F}"/>
    <cellStyle name="Normal 8 5 6 3" xfId="19012" xr:uid="{0EDAB7BF-207B-48D5-89F9-36225A01AAE3}"/>
    <cellStyle name="Normal 8 5 7" xfId="11662" xr:uid="{BBFCA1C6-3528-4EDF-B205-42A017717E18}"/>
    <cellStyle name="Normal 8 5 7 2" xfId="32338" xr:uid="{2938418F-8041-42E8-836A-852BFB19C309}"/>
    <cellStyle name="Normal 8 5 8" xfId="16990" xr:uid="{22993E2E-927D-4683-95BF-F4F9AF18FEF7}"/>
    <cellStyle name="Normal 8 6" xfId="10611" xr:uid="{1B020316-DB53-466B-B8FF-FA374DEE0783}"/>
    <cellStyle name="Normal 8 6 2" xfId="26477" xr:uid="{16526E75-A083-4717-9B44-258E5BE13552}"/>
    <cellStyle name="Normal 8 6 3" xfId="26476" xr:uid="{4F1DD762-2A5D-4090-8800-AEDB7EE42CD0}"/>
    <cellStyle name="Normal 8 7" xfId="26478" xr:uid="{8C9ABA2A-3F57-4B82-B040-9C42B29DF974}"/>
    <cellStyle name="Normal 8 7 2" xfId="26479" xr:uid="{1C3509E8-F6AE-48BA-ADFA-871836E6DCEC}"/>
    <cellStyle name="Normal 8 8" xfId="26480" xr:uid="{4700F530-F0AB-4460-89FC-A0D88B968022}"/>
    <cellStyle name="Normal 8 8 2" xfId="48975" xr:uid="{F4DEDDB3-4447-402A-B2A0-41B19ED95BB6}"/>
    <cellStyle name="Normal 9" xfId="580" xr:uid="{00000000-0005-0000-0000-000074050000}"/>
    <cellStyle name="Normal 9 2" xfId="2068" xr:uid="{00000000-0005-0000-0000-000075050000}"/>
    <cellStyle name="Normal 9 2 2" xfId="2069" xr:uid="{00000000-0005-0000-0000-000076050000}"/>
    <cellStyle name="Normal 9 2 2 2" xfId="26481" xr:uid="{53FCDD5E-0096-48F3-9752-A0D223698512}"/>
    <cellStyle name="Normal 9 2 2 3" xfId="17843" xr:uid="{296352D5-EC86-4936-BCA9-886966DF4B6F}"/>
    <cellStyle name="Normal 9 2 3" xfId="12143" xr:uid="{C71861E1-66C3-4325-857A-35A44634D5A4}"/>
    <cellStyle name="Normal 9 2 3 2" xfId="26483" xr:uid="{ABAC6EA5-09C8-4921-A75F-38094E4383EA}"/>
    <cellStyle name="Normal 9 2 3 3" xfId="26482" xr:uid="{DD54985A-BA7B-4EAD-94FB-0A8A965D43EE}"/>
    <cellStyle name="Normal 9 2 4" xfId="26484" xr:uid="{766DFA55-F55C-44F7-82F8-BEE539765AB8}"/>
    <cellStyle name="Normal 9 2 5" xfId="26485" xr:uid="{18FFE733-1BD6-493F-88F9-8213B2B738AF}"/>
    <cellStyle name="Normal 9 2 6" xfId="26486" xr:uid="{D8754571-5EFA-465F-9076-72F41B26075B}"/>
    <cellStyle name="Normal 9 2 7" xfId="17842" xr:uid="{E3444206-9157-4173-97DC-0001A3D391B2}"/>
    <cellStyle name="Normal 9 3" xfId="12151" xr:uid="{6AAF5E20-941B-40A7-812C-6B0D1E47AB7B}"/>
    <cellStyle name="Normal 9 3 2" xfId="26488" xr:uid="{56872304-334E-45E7-B188-B66639501B17}"/>
    <cellStyle name="Normal 9 3 3" xfId="26487" xr:uid="{8D14E640-8752-42C5-B273-F543564FBF08}"/>
    <cellStyle name="Normal 9 4" xfId="11489" xr:uid="{547DC85F-0157-4315-BB37-97AFAE6F0598}"/>
    <cellStyle name="Normal 9 4 2" xfId="26490" xr:uid="{E515A5A8-7764-4CA0-8DB5-E01D679C8F40}"/>
    <cellStyle name="Normal 9 4 3" xfId="26489" xr:uid="{897790D7-294F-472A-B6C7-3AFF351652BB}"/>
    <cellStyle name="Normal 9 5" xfId="12447" xr:uid="{46287A36-2F0C-40C1-99C8-B4147A89C820}"/>
    <cellStyle name="Normal 9 5 2" xfId="26492" xr:uid="{03EB9533-029F-42C5-94C2-CD44306DFB72}"/>
    <cellStyle name="Normal 9 5 3" xfId="26491" xr:uid="{A4FCBB26-5E68-4BEB-BCF2-80BFD02901CA}"/>
    <cellStyle name="Normal 9 6" xfId="26493" xr:uid="{DB8D255D-18CE-4C4E-ADFB-3F20C3136249}"/>
    <cellStyle name="Normal 9 7" xfId="26494" xr:uid="{988375E0-A9C9-438E-861D-0C4EC9E8F8CA}"/>
    <cellStyle name="Normal 9 8" xfId="26495" xr:uid="{6DB24E8C-601D-4332-AD7C-C0FAC7E95DBA}"/>
    <cellStyle name="Normal 9 8 2" xfId="48976" xr:uid="{E9C5DA2B-B977-4E04-8A7E-2F1F6A3898B4}"/>
    <cellStyle name="Normal GHG Numbers (0.00)" xfId="581" xr:uid="{00000000-0005-0000-0000-000077050000}"/>
    <cellStyle name="Normal GHG Numbers (0.00) 2" xfId="582" xr:uid="{00000000-0005-0000-0000-000078050000}"/>
    <cellStyle name="Normal GHG Numbers (0.00) 2 2" xfId="17445" xr:uid="{BD47A0C5-8A28-4917-A79E-BA9282F1857D}"/>
    <cellStyle name="Normal GHG Numbers (0.00) 2 2 2" xfId="32633" xr:uid="{F3294AA4-BB9B-4366-A1E9-61ACBE217987}"/>
    <cellStyle name="Normal GHG Numbers (0.00) 2 2 2 2" xfId="35585" xr:uid="{2BA6B7DD-CE13-4495-A1CC-2C4D04DFC2FB}"/>
    <cellStyle name="Normal GHG Numbers (0.00) 2 2 3" xfId="26498" xr:uid="{D81E02CA-A8BA-499C-B177-E9BDC69D740F}"/>
    <cellStyle name="Normal GHG Numbers (0.00) 2 3" xfId="26499" xr:uid="{E0BEDF66-72CA-4880-9883-8B9F85687D5D}"/>
    <cellStyle name="Normal GHG Numbers (0.00) 2 3 2" xfId="32634" xr:uid="{E09B3E2E-74EB-401F-9E9D-5531401992E9}"/>
    <cellStyle name="Normal GHG Numbers (0.00) 2 3 2 2" xfId="35586" xr:uid="{F934241E-C138-4DB7-BDC4-FDDD7881F880}"/>
    <cellStyle name="Normal GHG Numbers (0.00) 2 4" xfId="26500" xr:uid="{98C03C01-66E8-4654-860C-D90E484B4A0E}"/>
    <cellStyle name="Normal GHG Numbers (0.00) 2 4 2" xfId="32635" xr:uid="{A53DA7C0-FCAF-4A5B-9A75-37C1A4F9350F}"/>
    <cellStyle name="Normal GHG Numbers (0.00) 2 4 2 2" xfId="35587" xr:uid="{8355F2AB-F990-4E3F-8FE6-FC749B5148B2}"/>
    <cellStyle name="Normal GHG Numbers (0.00) 2 5" xfId="26501" xr:uid="{447E1FCA-2F1A-42EA-B7B5-F8A0A81A0F27}"/>
    <cellStyle name="Normal GHG Numbers (0.00) 2 5 2" xfId="32636" xr:uid="{4F476894-FC06-4E89-8D40-F97181CD3EDB}"/>
    <cellStyle name="Normal GHG Numbers (0.00) 2 5 2 2" xfId="35588" xr:uid="{58332B06-8BC6-45CE-AB9A-D8E4ECEC88E6}"/>
    <cellStyle name="Normal GHG Numbers (0.00) 2 6" xfId="32637" xr:uid="{0BFE0D60-0FE2-4102-BCA1-3152D05DCDB1}"/>
    <cellStyle name="Normal GHG Numbers (0.00) 2 6 2" xfId="35589" xr:uid="{7D921EAC-9A9E-455B-AF22-CF2967367D5E}"/>
    <cellStyle name="Normal GHG Numbers (0.00) 2 7" xfId="26497" xr:uid="{06CF0D8B-2241-4C23-A39B-3C1D862A2862}"/>
    <cellStyle name="Normal GHG Numbers (0.00) 3" xfId="583" xr:uid="{00000000-0005-0000-0000-000079050000}"/>
    <cellStyle name="Normal GHG Numbers (0.00) 3 2" xfId="17446" xr:uid="{37BE8050-0A93-4999-AAB8-58A620B10AC0}"/>
    <cellStyle name="Normal GHG Numbers (0.00) 3 2 2" xfId="35550" xr:uid="{8CFA723A-94B6-4B35-BFFE-AC2A5976E08A}"/>
    <cellStyle name="Normal GHG Numbers (0.00) 3 2 3" xfId="32497" xr:uid="{F90A5AC0-61FE-4BBD-87B8-DB0ECAD5E5CE}"/>
    <cellStyle name="Normal GHG Numbers (0.00) 3 3" xfId="26502" xr:uid="{EF81281A-5340-42AD-BC57-7D1F5B561867}"/>
    <cellStyle name="Normal GHG Numbers (0.00) 4" xfId="4091" xr:uid="{10A23B8A-311A-4A12-A912-77C16296408E}"/>
    <cellStyle name="Normal GHG Numbers (0.00) 4 2" xfId="32638" xr:uid="{55BBC4BE-8815-4F2B-B54B-BE48812E0CBB}"/>
    <cellStyle name="Normal GHG Numbers (0.00) 4 2 2" xfId="35590" xr:uid="{F1985A30-17DC-4C83-ADC7-E25523304496}"/>
    <cellStyle name="Normal GHG Numbers (0.00) 4 3" xfId="26503" xr:uid="{65C2E355-9F9E-4482-8C86-F6BCB8C0FFA5}"/>
    <cellStyle name="Normal GHG Numbers (0.00) 5" xfId="17706" xr:uid="{E7DE17BA-2821-44E7-B27E-AA2BCC452059}"/>
    <cellStyle name="Normal GHG Numbers (0.00) 5 2" xfId="21246" xr:uid="{F4944E17-99C8-4D55-B9EC-F627F1F0996E}"/>
    <cellStyle name="Normal GHG Numbers (0.00) 5 2 2" xfId="35591" xr:uid="{8958DFF7-EAF3-45CE-8035-5716C403BB1E}"/>
    <cellStyle name="Normal GHG Numbers (0.00) 5 2 3" xfId="32639" xr:uid="{7B4CC9E7-AC08-4393-ADC5-135FAC47D884}"/>
    <cellStyle name="Normal GHG Numbers (0.00) 5 3" xfId="26504" xr:uid="{CB57077F-CBC9-4AFA-9F5A-8D7FF449F4EA}"/>
    <cellStyle name="Normal GHG Numbers (0.00) 6" xfId="17685" xr:uid="{0879C2EB-DCD9-419A-AA87-DE6F2673B09B}"/>
    <cellStyle name="Normal GHG Numbers (0.00) 6 2" xfId="21245" xr:uid="{0703DEEF-07DD-4C1B-8209-9B78F66926EC}"/>
    <cellStyle name="Normal GHG Numbers (0.00) 6 2 2" xfId="35592" xr:uid="{7916F402-3370-4BA9-A746-C3E8CC3BEFEC}"/>
    <cellStyle name="Normal GHG Numbers (0.00) 6 2 3" xfId="32640" xr:uid="{92738244-76A2-4CE7-886D-7D95AD40AD8D}"/>
    <cellStyle name="Normal GHG Numbers (0.00) 6 3" xfId="26505" xr:uid="{E0595E94-E489-4356-94CF-AD7A0CAC2056}"/>
    <cellStyle name="Normal GHG Numbers (0.00) 7" xfId="32641" xr:uid="{A12EEFAA-8363-4C99-B537-7EA06C16DB5E}"/>
    <cellStyle name="Normal GHG Numbers (0.00) 7 2" xfId="35593" xr:uid="{5A66DF18-F999-4824-8A4B-CBFC22E653EF}"/>
    <cellStyle name="Normal GHG Numbers (0.00) 8" xfId="26496" xr:uid="{EF068D45-AEED-4372-8948-41797086F7ED}"/>
    <cellStyle name="Normal GHG Textfiels Bold" xfId="584" xr:uid="{00000000-0005-0000-0000-00007A050000}"/>
    <cellStyle name="Normal GHG Textfiels Bold 2" xfId="26506" xr:uid="{69837BAD-6FD6-469D-A305-03990C78BE20}"/>
    <cellStyle name="Normal GHG-Shade" xfId="585" xr:uid="{00000000-0005-0000-0000-00007B050000}"/>
    <cellStyle name="Normal GHG-Shade 2" xfId="4092" xr:uid="{959B814D-7EEC-4E72-8777-A08A97C06CCB}"/>
    <cellStyle name="Normal GHG-Shade 2 2" xfId="13428" xr:uid="{F21440D1-9CFB-40A7-81D2-51CFE2C76985}"/>
    <cellStyle name="Normal GHG-Shade 2 3" xfId="26508" xr:uid="{CFF1B33A-BC84-42D4-8E4E-0B94AC4D384F}"/>
    <cellStyle name="Normal GHG-Shade 3" xfId="13165" xr:uid="{28A6E3DE-4F36-4571-88C4-C9CCBF985E31}"/>
    <cellStyle name="Normal GHG-Shade 4" xfId="26507" xr:uid="{6CC6F1F0-D977-45CE-83F0-301492DA5255}"/>
    <cellStyle name="Normale 10" xfId="586" xr:uid="{00000000-0005-0000-0000-00007C050000}"/>
    <cellStyle name="Normale 10 2" xfId="587" xr:uid="{00000000-0005-0000-0000-00007D050000}"/>
    <cellStyle name="Normale 10 2 2" xfId="588" xr:uid="{00000000-0005-0000-0000-00007E050000}"/>
    <cellStyle name="Normale 10 2 2 2" xfId="13430" xr:uid="{A8F814CE-677F-4DDE-B980-30BFBD464B62}"/>
    <cellStyle name="Normale 10 2 2 3" xfId="26511" xr:uid="{BED1DA27-E3B6-43A1-8C3E-117D92C99B17}"/>
    <cellStyle name="Normale 10 2 3" xfId="13167" xr:uid="{EDA28762-69F2-4E8C-A5A6-776A4A7E0B88}"/>
    <cellStyle name="Normale 10 2 4" xfId="26510" xr:uid="{C2DA16A9-0235-4C3A-B002-4C95EB9C58BC}"/>
    <cellStyle name="Normale 10 3" xfId="589" xr:uid="{00000000-0005-0000-0000-00007F050000}"/>
    <cellStyle name="Normale 10 3 2" xfId="590" xr:uid="{00000000-0005-0000-0000-000080050000}"/>
    <cellStyle name="Normale 10 3 2 2" xfId="13431" xr:uid="{79488E86-4CCC-4E8A-8FA9-D62EDD2BD9F0}"/>
    <cellStyle name="Normale 10 3 2 3" xfId="26513" xr:uid="{C68BC043-813E-4EE5-8AA7-F27CC2E4C94D}"/>
    <cellStyle name="Normale 10 3 3" xfId="13168" xr:uid="{2F4AB1FE-2D79-456B-AC8D-217B75EF554B}"/>
    <cellStyle name="Normale 10 3 4" xfId="26512" xr:uid="{4D823D0B-4979-4718-8CF4-256DA22A9C58}"/>
    <cellStyle name="Normale 10 4" xfId="591" xr:uid="{00000000-0005-0000-0000-000081050000}"/>
    <cellStyle name="Normale 10 4 2" xfId="13429" xr:uid="{449188AD-2286-405C-80BA-9BD53794AB26}"/>
    <cellStyle name="Normale 10 4 3" xfId="26514" xr:uid="{8FA91A47-0B0F-46C5-A0AE-961D1BE5FBC0}"/>
    <cellStyle name="Normale 10 5" xfId="13166" xr:uid="{F05634E0-5124-47A8-92C5-94644FC9B92F}"/>
    <cellStyle name="Normale 10 6" xfId="26509" xr:uid="{5F16C0E1-1000-4414-B21A-A28B45D8C5F6}"/>
    <cellStyle name="Normale 10_EDEN industria 2008 rev" xfId="592" xr:uid="{00000000-0005-0000-0000-000082050000}"/>
    <cellStyle name="Normale 11" xfId="593" xr:uid="{00000000-0005-0000-0000-000083050000}"/>
    <cellStyle name="Normale 11 2" xfId="594" xr:uid="{00000000-0005-0000-0000-000084050000}"/>
    <cellStyle name="Normale 11 2 2" xfId="595" xr:uid="{00000000-0005-0000-0000-000085050000}"/>
    <cellStyle name="Normale 11 2 2 2" xfId="13433" xr:uid="{0F28DB52-3707-4C4C-A7E6-AF2A232A7DFB}"/>
    <cellStyle name="Normale 11 2 2 3" xfId="26517" xr:uid="{BBC5790E-EDCD-4E3B-BFE3-2FE9962DDEB5}"/>
    <cellStyle name="Normale 11 2 3" xfId="13170" xr:uid="{B8C58875-8A14-456B-8CEC-43FCF9B8024E}"/>
    <cellStyle name="Normale 11 2 4" xfId="26516" xr:uid="{ED8FEE1F-FF9D-4BD3-86D1-49F9DD8659E5}"/>
    <cellStyle name="Normale 11 3" xfId="596" xr:uid="{00000000-0005-0000-0000-000086050000}"/>
    <cellStyle name="Normale 11 3 2" xfId="597" xr:uid="{00000000-0005-0000-0000-000087050000}"/>
    <cellStyle name="Normale 11 3 2 2" xfId="13434" xr:uid="{50D54E64-B74E-435C-B8E5-32E91F5E5257}"/>
    <cellStyle name="Normale 11 3 2 3" xfId="26519" xr:uid="{697547EC-C453-44C0-A2B9-37F96253EE83}"/>
    <cellStyle name="Normale 11 3 3" xfId="13171" xr:uid="{0150E4F6-7895-4CC0-93A0-541F965744A0}"/>
    <cellStyle name="Normale 11 3 4" xfId="26518" xr:uid="{C3FE82D5-424F-4D41-9F82-BE6C08F6C3D6}"/>
    <cellStyle name="Normale 11 4" xfId="598" xr:uid="{00000000-0005-0000-0000-000088050000}"/>
    <cellStyle name="Normale 11 4 2" xfId="13432" xr:uid="{4057CC1B-3C43-4F39-8424-54911BA17976}"/>
    <cellStyle name="Normale 11 4 3" xfId="26520" xr:uid="{3BD80AB2-432D-4B43-9B4D-4C85EBC4BC76}"/>
    <cellStyle name="Normale 11 5" xfId="13169" xr:uid="{0BB85EFD-EAA8-46E4-A4D1-82A0FE242CA6}"/>
    <cellStyle name="Normale 11 6" xfId="26515" xr:uid="{FD79BD93-FA36-47DE-889B-F42E7E9815EC}"/>
    <cellStyle name="Normale 11_EDEN industria 2008 rev" xfId="599" xr:uid="{00000000-0005-0000-0000-000089050000}"/>
    <cellStyle name="Normale 12" xfId="600" xr:uid="{00000000-0005-0000-0000-00008A050000}"/>
    <cellStyle name="Normale 12 2" xfId="601" xr:uid="{00000000-0005-0000-0000-00008B050000}"/>
    <cellStyle name="Normale 12 2 2" xfId="602" xr:uid="{00000000-0005-0000-0000-00008C050000}"/>
    <cellStyle name="Normale 12 2 2 2" xfId="13436" xr:uid="{90A134F4-F01B-4202-8EB5-985F4C4DDD8C}"/>
    <cellStyle name="Normale 12 2 2 3" xfId="26523" xr:uid="{64987905-6D46-4AED-BBA5-42B537538F7B}"/>
    <cellStyle name="Normale 12 2 3" xfId="13173" xr:uid="{F0FA5086-254C-4312-97F5-E767C612F93F}"/>
    <cellStyle name="Normale 12 2 4" xfId="26522" xr:uid="{9FBC366A-C47E-4AA3-9FBB-929534B2D99D}"/>
    <cellStyle name="Normale 12 3" xfId="603" xr:uid="{00000000-0005-0000-0000-00008D050000}"/>
    <cellStyle name="Normale 12 3 2" xfId="604" xr:uid="{00000000-0005-0000-0000-00008E050000}"/>
    <cellStyle name="Normale 12 3 2 2" xfId="13437" xr:uid="{E4AA6FF7-14BF-4404-AEF9-F85765563D2C}"/>
    <cellStyle name="Normale 12 3 2 3" xfId="26525" xr:uid="{46E4479D-6EE6-40F0-ACCD-49A69A3FEE04}"/>
    <cellStyle name="Normale 12 3 3" xfId="13174" xr:uid="{B610E0A5-EBA5-43D4-8E86-579C88BFBEBB}"/>
    <cellStyle name="Normale 12 3 4" xfId="26524" xr:uid="{6E974B70-7533-4A47-BE95-7E01059CA4F8}"/>
    <cellStyle name="Normale 12 4" xfId="605" xr:uid="{00000000-0005-0000-0000-00008F050000}"/>
    <cellStyle name="Normale 12 4 2" xfId="13435" xr:uid="{01F07CC9-422C-498E-ADCA-17A05AE414B9}"/>
    <cellStyle name="Normale 12 4 3" xfId="26526" xr:uid="{24A43135-6178-47D8-9D46-8DA648EDA76F}"/>
    <cellStyle name="Normale 12 5" xfId="13172" xr:uid="{0824D37E-DCFF-4EEA-9E49-A8A0E401F3DE}"/>
    <cellStyle name="Normale 12 6" xfId="26521" xr:uid="{BD468766-C76E-4F7F-9642-BA1C35FBE218}"/>
    <cellStyle name="Normale 12_EDEN industria 2008 rev" xfId="606" xr:uid="{00000000-0005-0000-0000-000090050000}"/>
    <cellStyle name="Normale 13" xfId="607" xr:uid="{00000000-0005-0000-0000-000091050000}"/>
    <cellStyle name="Normale 13 2" xfId="608" xr:uid="{00000000-0005-0000-0000-000092050000}"/>
    <cellStyle name="Normale 13 2 2" xfId="609" xr:uid="{00000000-0005-0000-0000-000093050000}"/>
    <cellStyle name="Normale 13 2 2 2" xfId="13439" xr:uid="{1497CA83-6410-4D77-82C4-76EE319FBEC3}"/>
    <cellStyle name="Normale 13 2 2 3" xfId="26529" xr:uid="{46A6329A-B40C-4AE6-B9B8-C221C797260D}"/>
    <cellStyle name="Normale 13 2 3" xfId="13176" xr:uid="{D251ADA3-4F28-47F1-8A28-FBB15FC33FC6}"/>
    <cellStyle name="Normale 13 2 4" xfId="26528" xr:uid="{8A7493FA-1C76-4D92-B2F4-BCA42C7276AA}"/>
    <cellStyle name="Normale 13 3" xfId="610" xr:uid="{00000000-0005-0000-0000-000094050000}"/>
    <cellStyle name="Normale 13 3 2" xfId="611" xr:uid="{00000000-0005-0000-0000-000095050000}"/>
    <cellStyle name="Normale 13 3 2 2" xfId="13440" xr:uid="{4FA898AC-C893-4C1C-A2DD-B1B3A124B788}"/>
    <cellStyle name="Normale 13 3 2 3" xfId="26531" xr:uid="{937F3FDD-19AE-4E84-B0BA-CEBDA3597FBC}"/>
    <cellStyle name="Normale 13 3 3" xfId="13177" xr:uid="{68566AEC-2580-4354-95DB-C2AD26FAB1F8}"/>
    <cellStyle name="Normale 13 3 4" xfId="26530" xr:uid="{A2DF840E-BF99-4D59-AA2B-D0ED7A3BAFA9}"/>
    <cellStyle name="Normale 13 4" xfId="612" xr:uid="{00000000-0005-0000-0000-000096050000}"/>
    <cellStyle name="Normale 13 4 2" xfId="13438" xr:uid="{73572DD7-A7F6-4D6B-BE92-AAA27D9F3F84}"/>
    <cellStyle name="Normale 13 4 3" xfId="26532" xr:uid="{246512EF-EF1F-46A6-B865-07BAFC22E35E}"/>
    <cellStyle name="Normale 13 5" xfId="13175" xr:uid="{709C50D5-CEAD-4688-B0B3-EE2E6D755F7C}"/>
    <cellStyle name="Normale 13 6" xfId="26527" xr:uid="{FAF379F8-8F97-4122-BCF4-10FA4AB50A87}"/>
    <cellStyle name="Normale 13_EDEN industria 2008 rev" xfId="613" xr:uid="{00000000-0005-0000-0000-000097050000}"/>
    <cellStyle name="Normale 14" xfId="614" xr:uid="{00000000-0005-0000-0000-000098050000}"/>
    <cellStyle name="Normale 14 2" xfId="615" xr:uid="{00000000-0005-0000-0000-000099050000}"/>
    <cellStyle name="Normale 14 2 2" xfId="616" xr:uid="{00000000-0005-0000-0000-00009A050000}"/>
    <cellStyle name="Normale 14 2 2 2" xfId="13442" xr:uid="{4B6518FD-65CA-45AF-82FB-8DB7FA4B607A}"/>
    <cellStyle name="Normale 14 2 2 3" xfId="26535" xr:uid="{5FAFF940-F491-49C8-BAE9-6F0CF2D3FF9E}"/>
    <cellStyle name="Normale 14 2 3" xfId="13179" xr:uid="{07112093-510A-4FD5-A62A-F5E5D6FDD2DB}"/>
    <cellStyle name="Normale 14 2 4" xfId="26534" xr:uid="{505F60F3-ECEF-4720-B286-804A51B6E715}"/>
    <cellStyle name="Normale 14 3" xfId="617" xr:uid="{00000000-0005-0000-0000-00009B050000}"/>
    <cellStyle name="Normale 14 3 2" xfId="618" xr:uid="{00000000-0005-0000-0000-00009C050000}"/>
    <cellStyle name="Normale 14 3 2 2" xfId="13443" xr:uid="{43C532F8-571C-4D59-941D-05FB29D968F6}"/>
    <cellStyle name="Normale 14 3 2 3" xfId="26537" xr:uid="{FAF3C4AC-B17E-4C23-8A96-37D6DA8C57DE}"/>
    <cellStyle name="Normale 14 3 3" xfId="13180" xr:uid="{926746C1-1F17-45D5-9FC2-451EB14B1B1A}"/>
    <cellStyle name="Normale 14 3 4" xfId="26536" xr:uid="{2A91D37B-64FF-459A-B493-CDB0B189AA9D}"/>
    <cellStyle name="Normale 14 4" xfId="619" xr:uid="{00000000-0005-0000-0000-00009D050000}"/>
    <cellStyle name="Normale 14 4 2" xfId="13441" xr:uid="{A2C49144-D12C-4D3C-B780-A422F5A5E982}"/>
    <cellStyle name="Normale 14 4 3" xfId="26538" xr:uid="{C2BC9F7F-28D6-46E3-BAB9-16FACB9D9C42}"/>
    <cellStyle name="Normale 14 5" xfId="13178" xr:uid="{7B2DE2E4-1441-4B20-AA31-5A8AC93310C5}"/>
    <cellStyle name="Normale 14 6" xfId="26533" xr:uid="{CC2A1AFB-A9BD-4D59-B1F7-C98DBD3E6527}"/>
    <cellStyle name="Normale 14_EDEN industria 2008 rev" xfId="620" xr:uid="{00000000-0005-0000-0000-00009E050000}"/>
    <cellStyle name="Normale 15" xfId="621" xr:uid="{00000000-0005-0000-0000-00009F050000}"/>
    <cellStyle name="Normale 15 2" xfId="622" xr:uid="{00000000-0005-0000-0000-0000A0050000}"/>
    <cellStyle name="Normale 15 2 2" xfId="623" xr:uid="{00000000-0005-0000-0000-0000A1050000}"/>
    <cellStyle name="Normale 15 2 2 2" xfId="13445" xr:uid="{D2DD63EC-E465-4434-BF3D-5B0AA39A11D5}"/>
    <cellStyle name="Normale 15 2 2 3" xfId="26541" xr:uid="{91818688-A175-4C19-8A72-6C9D10508C7D}"/>
    <cellStyle name="Normale 15 2 3" xfId="13182" xr:uid="{A2957F15-0712-4DF3-830C-1A36047E2240}"/>
    <cellStyle name="Normale 15 2 4" xfId="26540" xr:uid="{AC3C4A84-F2A6-4DE0-AABE-38FD38A1CB9E}"/>
    <cellStyle name="Normale 15 3" xfId="624" xr:uid="{00000000-0005-0000-0000-0000A2050000}"/>
    <cellStyle name="Normale 15 3 2" xfId="625" xr:uid="{00000000-0005-0000-0000-0000A3050000}"/>
    <cellStyle name="Normale 15 3 2 2" xfId="13446" xr:uid="{C898F81D-6D8A-41A1-8065-788AAAB74E36}"/>
    <cellStyle name="Normale 15 3 2 3" xfId="26543" xr:uid="{AEB50399-380B-49D6-B737-982E9D0A2774}"/>
    <cellStyle name="Normale 15 3 3" xfId="13183" xr:uid="{CBB89086-7DFB-425C-830E-0E0BEFAE2FEA}"/>
    <cellStyle name="Normale 15 3 4" xfId="26542" xr:uid="{16E22B8B-A27A-4779-AE65-BAF5E3E54158}"/>
    <cellStyle name="Normale 15 4" xfId="626" xr:uid="{00000000-0005-0000-0000-0000A4050000}"/>
    <cellStyle name="Normale 15 4 2" xfId="13444" xr:uid="{32D117D2-8FD8-4039-8C3D-D0871840B3E1}"/>
    <cellStyle name="Normale 15 4 3" xfId="26544" xr:uid="{60964F35-DE73-4FE4-A4DA-58CB032D2D58}"/>
    <cellStyle name="Normale 15 5" xfId="13181" xr:uid="{FB52FEC8-AE76-45B2-A1C5-4163DA3B7354}"/>
    <cellStyle name="Normale 15 6" xfId="26539" xr:uid="{916935EA-51E7-4B68-9271-2FD314A911A5}"/>
    <cellStyle name="Normale 15_EDEN industria 2008 rev" xfId="627" xr:uid="{00000000-0005-0000-0000-0000A5050000}"/>
    <cellStyle name="Normale 16" xfId="628" xr:uid="{00000000-0005-0000-0000-0000A6050000}"/>
    <cellStyle name="Normale 16 2" xfId="629" xr:uid="{00000000-0005-0000-0000-0000A7050000}"/>
    <cellStyle name="Normale 16 2 2" xfId="13447" xr:uid="{E1B343A3-B255-4F7A-BA5B-B848C61127FF}"/>
    <cellStyle name="Normale 16 2 3" xfId="26546" xr:uid="{3F7262AB-EB56-4CDD-8020-3177E3A16E28}"/>
    <cellStyle name="Normale 16 3" xfId="13184" xr:uid="{E03B9BD5-7899-43D3-88A9-D7BAEAD7DFBE}"/>
    <cellStyle name="Normale 16 4" xfId="26545" xr:uid="{5EE6994D-0BD9-4286-9284-71077A4947C3}"/>
    <cellStyle name="Normale 17" xfId="630" xr:uid="{00000000-0005-0000-0000-0000A8050000}"/>
    <cellStyle name="Normale 17 2" xfId="631" xr:uid="{00000000-0005-0000-0000-0000A9050000}"/>
    <cellStyle name="Normale 17 2 2" xfId="13448" xr:uid="{A2A1FF0A-E339-4EE0-9902-31D33B85BE14}"/>
    <cellStyle name="Normale 17 2 3" xfId="26548" xr:uid="{6C59727B-7798-45DB-B444-89005A33B882}"/>
    <cellStyle name="Normale 17 3" xfId="13185" xr:uid="{BC368B59-2C74-4265-B3DE-09D20A2B155E}"/>
    <cellStyle name="Normale 17 4" xfId="26547" xr:uid="{0F70E433-03C1-4793-BB5A-08C9D54F0734}"/>
    <cellStyle name="Normale 18" xfId="632" xr:uid="{00000000-0005-0000-0000-0000AA050000}"/>
    <cellStyle name="Normale 18 2" xfId="633" xr:uid="{00000000-0005-0000-0000-0000AB050000}"/>
    <cellStyle name="Normale 18 2 2" xfId="26550" xr:uid="{9BA62BD7-AEDC-4C63-A635-6AD9D9795387}"/>
    <cellStyle name="Normale 18 3" xfId="26549" xr:uid="{76569935-51CA-4DF8-8E88-FFBBAC7FE55A}"/>
    <cellStyle name="Normale 19" xfId="634" xr:uid="{00000000-0005-0000-0000-0000AC050000}"/>
    <cellStyle name="Normale 19 2" xfId="635" xr:uid="{00000000-0005-0000-0000-0000AD050000}"/>
    <cellStyle name="Normale 19 2 2" xfId="26552" xr:uid="{7274C602-D9AD-4DC1-B298-BDB8068134D3}"/>
    <cellStyle name="Normale 19 3" xfId="26551" xr:uid="{7653A989-E6B5-48B7-B1A8-D105C40C7B25}"/>
    <cellStyle name="Normale 2" xfId="636" xr:uid="{00000000-0005-0000-0000-0000AE050000}"/>
    <cellStyle name="Normale 2 2" xfId="637" xr:uid="{00000000-0005-0000-0000-0000AF050000}"/>
    <cellStyle name="Normale 2 2 2" xfId="638" xr:uid="{00000000-0005-0000-0000-0000B0050000}"/>
    <cellStyle name="Normale 2 2 2 2" xfId="13450" xr:uid="{A3C9A395-95E5-42E2-B360-973A1256CC0D}"/>
    <cellStyle name="Normale 2 2 2 3" xfId="26555" xr:uid="{37983C18-83C5-49AA-96F0-22D2BD427A4A}"/>
    <cellStyle name="Normale 2 2 3" xfId="13187" xr:uid="{5E24BF66-221C-4205-B79A-02EADCD602B7}"/>
    <cellStyle name="Normale 2 2 4" xfId="26554" xr:uid="{84314B29-E5B5-48E8-A9B8-3543C3CBD564}"/>
    <cellStyle name="Normale 2 3" xfId="639" xr:uid="{00000000-0005-0000-0000-0000B1050000}"/>
    <cellStyle name="Normale 2 3 2" xfId="13449" xr:uid="{9DD5D0CF-F276-4A2F-907F-D9C2DA6485EA}"/>
    <cellStyle name="Normale 2 3 3" xfId="26556" xr:uid="{C8BD1E10-DDB0-484B-BCD6-CC70F329F69F}"/>
    <cellStyle name="Normale 2 4" xfId="13186" xr:uid="{D9A4E2FB-50B6-472E-A4E5-9F7D306C7D4C}"/>
    <cellStyle name="Normale 2 5" xfId="26553" xr:uid="{8DBF76EF-41EB-41D4-9F52-54846C130A05}"/>
    <cellStyle name="Normale 2_EDEN industria 2008 rev" xfId="640" xr:uid="{00000000-0005-0000-0000-0000B2050000}"/>
    <cellStyle name="Normale 20" xfId="641" xr:uid="{00000000-0005-0000-0000-0000B3050000}"/>
    <cellStyle name="Normale 20 2" xfId="642" xr:uid="{00000000-0005-0000-0000-0000B4050000}"/>
    <cellStyle name="Normale 20 2 2" xfId="13451" xr:uid="{4B1D49A2-7BA2-437F-B30C-114FF73F1667}"/>
    <cellStyle name="Normale 20 2 3" xfId="26558" xr:uid="{AB4471DA-18F4-46E1-8D0F-D9C701693A09}"/>
    <cellStyle name="Normale 20 3" xfId="13188" xr:uid="{9BAC3C4D-3A99-4167-B3FD-836F06A872BA}"/>
    <cellStyle name="Normale 20 4" xfId="26557" xr:uid="{B36434F7-028F-468B-98E9-B2BFADDE7C83}"/>
    <cellStyle name="Normale 21" xfId="643" xr:uid="{00000000-0005-0000-0000-0000B5050000}"/>
    <cellStyle name="Normale 21 2" xfId="644" xr:uid="{00000000-0005-0000-0000-0000B6050000}"/>
    <cellStyle name="Normale 21 2 2" xfId="13452" xr:uid="{3DC14ED4-BBF9-43FE-B0DC-8026AC26DC6B}"/>
    <cellStyle name="Normale 21 2 3" xfId="26560" xr:uid="{F3BE4475-8FC4-4B80-9551-1F3D3DF8E8F3}"/>
    <cellStyle name="Normale 21 3" xfId="13189" xr:uid="{7E66DBC6-C94A-4FC1-8046-CED6E75C280F}"/>
    <cellStyle name="Normale 21 4" xfId="26559" xr:uid="{519016B2-42F7-4830-9168-B31054299CB9}"/>
    <cellStyle name="Normale 22" xfId="645" xr:uid="{00000000-0005-0000-0000-0000B7050000}"/>
    <cellStyle name="Normale 22 2" xfId="646" xr:uid="{00000000-0005-0000-0000-0000B8050000}"/>
    <cellStyle name="Normale 22 2 2" xfId="13453" xr:uid="{7D06C3E6-FE28-45A0-91A9-7E9B58F60A41}"/>
    <cellStyle name="Normale 22 2 3" xfId="26562" xr:uid="{92A2C325-7B8B-4B3E-8E9E-C2ED359E3FAB}"/>
    <cellStyle name="Normale 22 3" xfId="13190" xr:uid="{9ABFBB53-E322-4E3B-9E04-D8EC56A5876D}"/>
    <cellStyle name="Normale 22 4" xfId="26561" xr:uid="{C950FA08-7814-4155-961D-CF4FCF603567}"/>
    <cellStyle name="Normale 23" xfId="647" xr:uid="{00000000-0005-0000-0000-0000B9050000}"/>
    <cellStyle name="Normale 23 2" xfId="648" xr:uid="{00000000-0005-0000-0000-0000BA050000}"/>
    <cellStyle name="Normale 23 2 2" xfId="13454" xr:uid="{24E6EA32-9118-4D36-9C41-131A90F7A225}"/>
    <cellStyle name="Normale 23 2 3" xfId="26564" xr:uid="{A3F7A614-8EC7-41D7-8BE3-256F975CAFB9}"/>
    <cellStyle name="Normale 23 3" xfId="13191" xr:uid="{42F3F59B-8DCA-4679-A977-3E8F0894A2F4}"/>
    <cellStyle name="Normale 23 4" xfId="26563" xr:uid="{06F70293-C0CE-48B8-BC08-90ED73428AD6}"/>
    <cellStyle name="Normale 24" xfId="649" xr:uid="{00000000-0005-0000-0000-0000BB050000}"/>
    <cellStyle name="Normale 24 2" xfId="650" xr:uid="{00000000-0005-0000-0000-0000BC050000}"/>
    <cellStyle name="Normale 24 2 2" xfId="13455" xr:uid="{597A6BED-2672-4916-A749-3FB129869431}"/>
    <cellStyle name="Normale 24 2 3" xfId="26566" xr:uid="{0FFDB4A6-8E93-4CC1-B633-436FB4AE0744}"/>
    <cellStyle name="Normale 24 3" xfId="13192" xr:uid="{3AC85107-C59E-4D5B-B02E-5953B9D08746}"/>
    <cellStyle name="Normale 24 4" xfId="26565" xr:uid="{594C8761-F496-445B-BC7F-CEEB319E3600}"/>
    <cellStyle name="Normale 25" xfId="651" xr:uid="{00000000-0005-0000-0000-0000BD050000}"/>
    <cellStyle name="Normale 25 2" xfId="652" xr:uid="{00000000-0005-0000-0000-0000BE050000}"/>
    <cellStyle name="Normale 25 2 2" xfId="13456" xr:uid="{60A12DCF-DF4B-4D68-AC75-7FA0F6A17E0F}"/>
    <cellStyle name="Normale 25 2 3" xfId="26568" xr:uid="{1571B6F9-EA38-43A2-9C57-FDB05291E187}"/>
    <cellStyle name="Normale 25 3" xfId="13193" xr:uid="{FB2689FF-529A-41AB-82A1-3FD3C2E806D3}"/>
    <cellStyle name="Normale 25 4" xfId="26567" xr:uid="{5F01B50B-0E78-46B4-A6D4-DC2796F8A15E}"/>
    <cellStyle name="Normale 26" xfId="653" xr:uid="{00000000-0005-0000-0000-0000BF050000}"/>
    <cellStyle name="Normale 26 2" xfId="654" xr:uid="{00000000-0005-0000-0000-0000C0050000}"/>
    <cellStyle name="Normale 26 2 2" xfId="13457" xr:uid="{4D4085C1-981A-4F7D-8CA1-F8EBEAF78DC1}"/>
    <cellStyle name="Normale 26 2 3" xfId="26570" xr:uid="{ADD0F4FA-A653-4F3B-B23A-4714F709DE13}"/>
    <cellStyle name="Normale 26 3" xfId="13194" xr:uid="{B13ADFA6-824B-440A-A766-8BB30468256D}"/>
    <cellStyle name="Normale 26 4" xfId="26569" xr:uid="{63B05BE0-FA98-4592-86DE-CD9E5C7F22F3}"/>
    <cellStyle name="Normale 27" xfId="655" xr:uid="{00000000-0005-0000-0000-0000C1050000}"/>
    <cellStyle name="Normale 27 2" xfId="656" xr:uid="{00000000-0005-0000-0000-0000C2050000}"/>
    <cellStyle name="Normale 27 2 2" xfId="13458" xr:uid="{E91D0C35-4D1F-4574-A619-A9A503987993}"/>
    <cellStyle name="Normale 27 2 3" xfId="26572" xr:uid="{EE1EE963-F0AD-4954-AA9C-3B37FCE081CF}"/>
    <cellStyle name="Normale 27 3" xfId="13195" xr:uid="{2445B2FE-A74B-4799-B848-087DB7ACDC14}"/>
    <cellStyle name="Normale 27 4" xfId="26571" xr:uid="{E3A0A7B3-93A6-42E4-A5D4-7DB5F155C674}"/>
    <cellStyle name="Normale 28" xfId="657" xr:uid="{00000000-0005-0000-0000-0000C3050000}"/>
    <cellStyle name="Normale 28 2" xfId="658" xr:uid="{00000000-0005-0000-0000-0000C4050000}"/>
    <cellStyle name="Normale 28 2 2" xfId="13459" xr:uid="{FC6FA0DD-DA60-44D4-A5F6-9C9CF60035A3}"/>
    <cellStyle name="Normale 28 2 3" xfId="26574" xr:uid="{3796901C-3072-4908-B77D-6C840AA15E0B}"/>
    <cellStyle name="Normale 28 3" xfId="13196" xr:uid="{C617E7F1-276A-4168-830A-3AACDEF6ED85}"/>
    <cellStyle name="Normale 28 4" xfId="26573" xr:uid="{B0AA0E24-5CF4-4B88-9D3A-99A447156076}"/>
    <cellStyle name="Normale 29" xfId="659" xr:uid="{00000000-0005-0000-0000-0000C5050000}"/>
    <cellStyle name="Normale 29 2" xfId="660" xr:uid="{00000000-0005-0000-0000-0000C6050000}"/>
    <cellStyle name="Normale 29 2 2" xfId="13460" xr:uid="{6D4D0D1B-268A-487C-8EC9-B4438F3A305F}"/>
    <cellStyle name="Normale 29 2 3" xfId="26576" xr:uid="{F6C676C5-94E8-4032-9980-760A7AB7DE04}"/>
    <cellStyle name="Normale 29 3" xfId="13197" xr:uid="{D9CB8B9F-04AB-40A1-9870-B362B65D04CE}"/>
    <cellStyle name="Normale 29 4" xfId="26575" xr:uid="{8DC24EB9-2D4B-48AC-BDED-9C50314D71F6}"/>
    <cellStyle name="Normale 3" xfId="661" xr:uid="{00000000-0005-0000-0000-0000C7050000}"/>
    <cellStyle name="Normale 3 2" xfId="662" xr:uid="{00000000-0005-0000-0000-0000C8050000}"/>
    <cellStyle name="Normale 3 2 2" xfId="663" xr:uid="{00000000-0005-0000-0000-0000C9050000}"/>
    <cellStyle name="Normale 3 2 2 2" xfId="13462" xr:uid="{247AC841-C745-404C-93BC-C2D80AF2F55B}"/>
    <cellStyle name="Normale 3 2 2 3" xfId="26579" xr:uid="{87575125-529A-4223-B134-FC600669B16D}"/>
    <cellStyle name="Normale 3 2 3" xfId="13199" xr:uid="{A773C592-E38D-490F-A091-C51FC4426D3A}"/>
    <cellStyle name="Normale 3 2 4" xfId="26578" xr:uid="{E3108FE4-C323-4413-BA03-32A852CD6BE8}"/>
    <cellStyle name="Normale 3 3" xfId="664" xr:uid="{00000000-0005-0000-0000-0000CA050000}"/>
    <cellStyle name="Normale 3 3 2" xfId="665" xr:uid="{00000000-0005-0000-0000-0000CB050000}"/>
    <cellStyle name="Normale 3 3 2 2" xfId="13463" xr:uid="{F128BF2E-8C9E-4A10-8EFD-0502D1AFBCD9}"/>
    <cellStyle name="Normale 3 3 2 3" xfId="26581" xr:uid="{55AAA1BB-46D6-477F-BE33-6AEB1AF7A46E}"/>
    <cellStyle name="Normale 3 3 3" xfId="13200" xr:uid="{9B5102B5-E738-454B-9803-14320FB0F6B7}"/>
    <cellStyle name="Normale 3 3 4" xfId="26580" xr:uid="{E7B36EC1-63FC-4E27-8333-CA3DC0CED956}"/>
    <cellStyle name="Normale 3 4" xfId="666" xr:uid="{00000000-0005-0000-0000-0000CC050000}"/>
    <cellStyle name="Normale 3 4 2" xfId="13461" xr:uid="{BAC910FA-D0CF-4BC9-BA02-44A640EBE3A2}"/>
    <cellStyle name="Normale 3 4 3" xfId="26582" xr:uid="{92A2007A-1EEA-4BA6-A0F3-10FA2EC1EC5E}"/>
    <cellStyle name="Normale 3 5" xfId="13198" xr:uid="{04464832-00A0-4AA2-96C5-6D351EBDC169}"/>
    <cellStyle name="Normale 3 6" xfId="26577" xr:uid="{FBA0418D-88A0-4AB8-B352-E654092E6694}"/>
    <cellStyle name="Normale 3_EDEN industria 2008 rev" xfId="667" xr:uid="{00000000-0005-0000-0000-0000CD050000}"/>
    <cellStyle name="Normale 30" xfId="668" xr:uid="{00000000-0005-0000-0000-0000CE050000}"/>
    <cellStyle name="Normale 30 2" xfId="669" xr:uid="{00000000-0005-0000-0000-0000CF050000}"/>
    <cellStyle name="Normale 30 2 2" xfId="13464" xr:uid="{6F7D5461-789B-4952-B569-D4373037BDD8}"/>
    <cellStyle name="Normale 30 2 3" xfId="26584" xr:uid="{0D5CBFE0-E662-4598-9418-30F4423C34C4}"/>
    <cellStyle name="Normale 30 3" xfId="13201" xr:uid="{E49AA84F-3D5A-43F2-95FF-527BD98EFD81}"/>
    <cellStyle name="Normale 30 4" xfId="26583" xr:uid="{7421E45F-E05E-403F-846A-2DCCD9583BD5}"/>
    <cellStyle name="Normale 31" xfId="670" xr:uid="{00000000-0005-0000-0000-0000D0050000}"/>
    <cellStyle name="Normale 31 2" xfId="671" xr:uid="{00000000-0005-0000-0000-0000D1050000}"/>
    <cellStyle name="Normale 31 2 2" xfId="13465" xr:uid="{4772882B-9A95-4A37-88C8-2F5AA0AFB942}"/>
    <cellStyle name="Normale 31 2 3" xfId="26586" xr:uid="{925C03BD-3A6B-4675-9B4B-EC388543CDC5}"/>
    <cellStyle name="Normale 31 3" xfId="13202" xr:uid="{95D0A218-9A43-434B-A664-D321CBE01A91}"/>
    <cellStyle name="Normale 31 4" xfId="26585" xr:uid="{DDD315F5-FD86-4B02-A20E-E4EBCE38D3E4}"/>
    <cellStyle name="Normale 32" xfId="672" xr:uid="{00000000-0005-0000-0000-0000D2050000}"/>
    <cellStyle name="Normale 32 2" xfId="673" xr:uid="{00000000-0005-0000-0000-0000D3050000}"/>
    <cellStyle name="Normale 32 2 2" xfId="13466" xr:uid="{2BA985A0-9C66-4DEE-9F10-993EE27C18EE}"/>
    <cellStyle name="Normale 32 2 3" xfId="26588" xr:uid="{BD5AABF2-ECD3-453E-B444-1181453551AB}"/>
    <cellStyle name="Normale 32 3" xfId="13203" xr:uid="{547A135E-C0E2-4F94-88E8-43FAFB204776}"/>
    <cellStyle name="Normale 32 4" xfId="26587" xr:uid="{DE83427D-A242-4C66-808D-78CC8C27E456}"/>
    <cellStyle name="Normale 33" xfId="674" xr:uid="{00000000-0005-0000-0000-0000D4050000}"/>
    <cellStyle name="Normale 33 2" xfId="675" xr:uid="{00000000-0005-0000-0000-0000D5050000}"/>
    <cellStyle name="Normale 33 2 2" xfId="13467" xr:uid="{09C2A5C7-2E9C-41F7-955B-E7715A7C6CB6}"/>
    <cellStyle name="Normale 33 2 3" xfId="26590" xr:uid="{92E4D345-C9FC-4348-8681-B0D815B96E2C}"/>
    <cellStyle name="Normale 33 3" xfId="13204" xr:uid="{D548BC84-DEDA-4F11-850F-989B19868ADE}"/>
    <cellStyle name="Normale 33 4" xfId="26589" xr:uid="{36AB3790-E040-4E39-8C94-1601D4C9E6B9}"/>
    <cellStyle name="Normale 34" xfId="676" xr:uid="{00000000-0005-0000-0000-0000D6050000}"/>
    <cellStyle name="Normale 34 2" xfId="677" xr:uid="{00000000-0005-0000-0000-0000D7050000}"/>
    <cellStyle name="Normale 34 2 2" xfId="13468" xr:uid="{BA69115A-5CC3-44EC-9521-771689369BBC}"/>
    <cellStyle name="Normale 34 2 3" xfId="26592" xr:uid="{AD5EFD83-0C42-4A49-8BEA-94BFAB859344}"/>
    <cellStyle name="Normale 34 3" xfId="13205" xr:uid="{D0A8A2B4-8AF8-4FDA-9162-E6A0883802AB}"/>
    <cellStyle name="Normale 34 4" xfId="26591" xr:uid="{A65E25F2-7EA0-40FE-9DCF-00CB74CC32B0}"/>
    <cellStyle name="Normale 35" xfId="678" xr:uid="{00000000-0005-0000-0000-0000D8050000}"/>
    <cellStyle name="Normale 35 2" xfId="679" xr:uid="{00000000-0005-0000-0000-0000D9050000}"/>
    <cellStyle name="Normale 35 2 2" xfId="13469" xr:uid="{1F38A2AE-AA26-446F-8798-BE36920D8271}"/>
    <cellStyle name="Normale 35 2 3" xfId="26594" xr:uid="{E4DB0D3C-2F90-42CE-B37D-CB5FE87C814B}"/>
    <cellStyle name="Normale 35 3" xfId="13206" xr:uid="{33778B17-EA0E-4511-8728-D1C8EADBF6A9}"/>
    <cellStyle name="Normale 35 4" xfId="26593" xr:uid="{E2582F64-BD84-4945-A6EB-21DBC591F54F}"/>
    <cellStyle name="Normale 36" xfId="680" xr:uid="{00000000-0005-0000-0000-0000DA050000}"/>
    <cellStyle name="Normale 36 2" xfId="681" xr:uid="{00000000-0005-0000-0000-0000DB050000}"/>
    <cellStyle name="Normale 36 2 2" xfId="13470" xr:uid="{B18F6F9E-FA21-4F43-B4D9-6E8D4EF71501}"/>
    <cellStyle name="Normale 36 2 3" xfId="26596" xr:uid="{B3EBE7B9-5BC3-4F0D-A965-4921ED2A5F45}"/>
    <cellStyle name="Normale 36 3" xfId="13207" xr:uid="{F2B72FDC-37BB-4F43-A950-07870BE9CEC5}"/>
    <cellStyle name="Normale 36 4" xfId="26595" xr:uid="{D6CBF05B-29AB-41F6-842B-D10C26B2C01E}"/>
    <cellStyle name="Normale 37" xfId="682" xr:uid="{00000000-0005-0000-0000-0000DC050000}"/>
    <cellStyle name="Normale 37 2" xfId="683" xr:uid="{00000000-0005-0000-0000-0000DD050000}"/>
    <cellStyle name="Normale 37 2 2" xfId="13471" xr:uid="{D41DBB45-8DC4-4F81-824B-59F1F5733D8C}"/>
    <cellStyle name="Normale 37 2 3" xfId="26598" xr:uid="{AC2B8F44-4F90-4FDB-91F2-68548EB65937}"/>
    <cellStyle name="Normale 37 3" xfId="13208" xr:uid="{1B0CF4B2-DA42-4DBB-99C5-27C4626C65EC}"/>
    <cellStyle name="Normale 37 4" xfId="26597" xr:uid="{E9820BF5-1EF1-4EF0-90EB-0F5E1E0CA973}"/>
    <cellStyle name="Normale 38" xfId="684" xr:uid="{00000000-0005-0000-0000-0000DE050000}"/>
    <cellStyle name="Normale 38 2" xfId="685" xr:uid="{00000000-0005-0000-0000-0000DF050000}"/>
    <cellStyle name="Normale 38 2 2" xfId="13472" xr:uid="{A6567DD6-237A-4D16-B24D-19D3ACA329B4}"/>
    <cellStyle name="Normale 38 2 3" xfId="26600" xr:uid="{707A4CBC-46BD-455F-A918-A0CF12602BF6}"/>
    <cellStyle name="Normale 38 3" xfId="13209" xr:uid="{1F8620F4-E287-4365-982B-0B21840D3321}"/>
    <cellStyle name="Normale 38 4" xfId="26599" xr:uid="{EFEB3358-7E0A-4DBB-9A35-911AEB062C08}"/>
    <cellStyle name="Normale 39" xfId="686" xr:uid="{00000000-0005-0000-0000-0000E0050000}"/>
    <cellStyle name="Normale 39 2" xfId="687" xr:uid="{00000000-0005-0000-0000-0000E1050000}"/>
    <cellStyle name="Normale 39 2 2" xfId="13473" xr:uid="{9A8671F2-D800-4723-AAFA-D91C24A3BB1C}"/>
    <cellStyle name="Normale 39 2 3" xfId="26602" xr:uid="{F44DE2D0-C4BF-4D42-A65D-56FCA7468D42}"/>
    <cellStyle name="Normale 39 3" xfId="13210" xr:uid="{74C29E2E-D0C0-4AE3-8008-104904969037}"/>
    <cellStyle name="Normale 39 4" xfId="26601" xr:uid="{B546FA44-627B-4A5B-8E49-D19199274BDD}"/>
    <cellStyle name="Normale 4" xfId="688" xr:uid="{00000000-0005-0000-0000-0000E2050000}"/>
    <cellStyle name="Normale 4 2" xfId="689" xr:uid="{00000000-0005-0000-0000-0000E3050000}"/>
    <cellStyle name="Normale 4 2 2" xfId="690" xr:uid="{00000000-0005-0000-0000-0000E4050000}"/>
    <cellStyle name="Normale 4 2 2 2" xfId="13475" xr:uid="{F590C70F-1272-4F42-BB33-05BC383122C4}"/>
    <cellStyle name="Normale 4 2 2 3" xfId="26605" xr:uid="{D93B1EE2-7296-46EF-ACF5-E2958A3F4373}"/>
    <cellStyle name="Normale 4 2 3" xfId="13212" xr:uid="{46436C78-6CAA-4F93-8702-91091BC5AD92}"/>
    <cellStyle name="Normale 4 2 4" xfId="26604" xr:uid="{CC7AA46C-70ED-4593-B8EF-454875CBCF54}"/>
    <cellStyle name="Normale 4 3" xfId="691" xr:uid="{00000000-0005-0000-0000-0000E5050000}"/>
    <cellStyle name="Normale 4 3 2" xfId="692" xr:uid="{00000000-0005-0000-0000-0000E6050000}"/>
    <cellStyle name="Normale 4 3 2 2" xfId="13476" xr:uid="{CF203EDC-E6D4-46D1-B5FF-95284ECA3F2C}"/>
    <cellStyle name="Normale 4 3 2 3" xfId="26607" xr:uid="{E9D1B159-5FCD-4CC1-A765-F122041E8DEF}"/>
    <cellStyle name="Normale 4 3 3" xfId="13213" xr:uid="{FC2851AA-19C8-4400-BF1F-AB1551683FF2}"/>
    <cellStyle name="Normale 4 3 4" xfId="26606" xr:uid="{421C6C32-C814-42FB-9837-1AE8F1F95BB2}"/>
    <cellStyle name="Normale 4 4" xfId="693" xr:uid="{00000000-0005-0000-0000-0000E7050000}"/>
    <cellStyle name="Normale 4 4 2" xfId="13474" xr:uid="{5E576451-1E28-4DE1-A942-A9CA16E06697}"/>
    <cellStyle name="Normale 4 4 3" xfId="26608" xr:uid="{D016AB1D-8F53-42F9-8BBF-33D5A764804D}"/>
    <cellStyle name="Normale 4 5" xfId="13211" xr:uid="{04AA19F3-F320-401E-9208-D477D91BAA95}"/>
    <cellStyle name="Normale 4 6" xfId="26603" xr:uid="{DCBFD719-E43F-438F-8C94-B884CCD0B241}"/>
    <cellStyle name="Normale 4_EDEN industria 2008 rev" xfId="694" xr:uid="{00000000-0005-0000-0000-0000E8050000}"/>
    <cellStyle name="Normale 40" xfId="695" xr:uid="{00000000-0005-0000-0000-0000E9050000}"/>
    <cellStyle name="Normale 40 2" xfId="696" xr:uid="{00000000-0005-0000-0000-0000EA050000}"/>
    <cellStyle name="Normale 40 2 2" xfId="13477" xr:uid="{7F5C26D0-A35C-44CB-A44A-5A994D0346EA}"/>
    <cellStyle name="Normale 40 2 3" xfId="26610" xr:uid="{F53B8403-D06A-4DEA-9194-3AC9BA912FF0}"/>
    <cellStyle name="Normale 40 3" xfId="13214" xr:uid="{8B7FE2E9-85D5-46D4-A6F0-381E5372D3FA}"/>
    <cellStyle name="Normale 40 4" xfId="26609" xr:uid="{494264C1-60D2-4DBA-B77B-39727AABAE59}"/>
    <cellStyle name="Normale 41" xfId="697" xr:uid="{00000000-0005-0000-0000-0000EB050000}"/>
    <cellStyle name="Normale 41 2" xfId="698" xr:uid="{00000000-0005-0000-0000-0000EC050000}"/>
    <cellStyle name="Normale 41 2 2" xfId="13478" xr:uid="{7B2B4A0D-C9C3-4D91-AFA2-C3499553FCD0}"/>
    <cellStyle name="Normale 41 2 3" xfId="26612" xr:uid="{59402AF0-7CCB-4BB2-B960-F101E87BDA56}"/>
    <cellStyle name="Normale 41 3" xfId="13215" xr:uid="{51556CC9-DD63-4F68-995E-7B361F87E1B9}"/>
    <cellStyle name="Normale 41 4" xfId="26611" xr:uid="{D5504061-5FB6-4A90-9EEB-93F1596C75A3}"/>
    <cellStyle name="Normale 42" xfId="699" xr:uid="{00000000-0005-0000-0000-0000ED050000}"/>
    <cellStyle name="Normale 42 2" xfId="700" xr:uid="{00000000-0005-0000-0000-0000EE050000}"/>
    <cellStyle name="Normale 42 2 2" xfId="13479" xr:uid="{260413BA-CF84-446E-B242-B67A0ED72C09}"/>
    <cellStyle name="Normale 42 2 3" xfId="26614" xr:uid="{B3A0B1DF-8685-404E-8F1C-6A2ED32FECDC}"/>
    <cellStyle name="Normale 42 3" xfId="13216" xr:uid="{447CDD61-8ADF-49C0-8C50-2DA1B2FF409F}"/>
    <cellStyle name="Normale 42 4" xfId="26613" xr:uid="{0A244961-C325-4658-AF3D-C60C1B20D46C}"/>
    <cellStyle name="Normale 43" xfId="701" xr:uid="{00000000-0005-0000-0000-0000EF050000}"/>
    <cellStyle name="Normale 43 2" xfId="702" xr:uid="{00000000-0005-0000-0000-0000F0050000}"/>
    <cellStyle name="Normale 43 2 2" xfId="13480" xr:uid="{FE25C291-52CA-4B9F-A551-A449264CC5BD}"/>
    <cellStyle name="Normale 43 2 3" xfId="26616" xr:uid="{BE24CD83-9101-4016-996B-18015BB0D213}"/>
    <cellStyle name="Normale 43 3" xfId="13217" xr:uid="{D86B0AA1-0358-4887-9312-09F61CB0B690}"/>
    <cellStyle name="Normale 43 4" xfId="26615" xr:uid="{51DA3DD5-C6D7-418D-A2A0-858990C5771E}"/>
    <cellStyle name="Normale 44" xfId="703" xr:uid="{00000000-0005-0000-0000-0000F1050000}"/>
    <cellStyle name="Normale 44 2" xfId="704" xr:uid="{00000000-0005-0000-0000-0000F2050000}"/>
    <cellStyle name="Normale 44 2 2" xfId="13481" xr:uid="{591F5399-43AE-40DE-A54C-37BC48A93159}"/>
    <cellStyle name="Normale 44 2 3" xfId="26618" xr:uid="{0BBA10A7-1F13-4531-B97F-ABA3BB2E8527}"/>
    <cellStyle name="Normale 44 3" xfId="13218" xr:uid="{2F338E19-08AB-43FF-B642-771850C100B8}"/>
    <cellStyle name="Normale 44 4" xfId="26617" xr:uid="{FD379033-34FA-4B2E-A222-36865BDCAC49}"/>
    <cellStyle name="Normale 45" xfId="705" xr:uid="{00000000-0005-0000-0000-0000F3050000}"/>
    <cellStyle name="Normale 45 2" xfId="706" xr:uid="{00000000-0005-0000-0000-0000F4050000}"/>
    <cellStyle name="Normale 45 2 2" xfId="13482" xr:uid="{420A11D4-1D05-4E5B-8B46-AFC41C87CAA7}"/>
    <cellStyle name="Normale 45 2 3" xfId="26620" xr:uid="{6E5DEDE9-8909-42BE-BF42-C6D405A1724A}"/>
    <cellStyle name="Normale 45 3" xfId="13219" xr:uid="{B247D582-9AAD-403E-88A5-DC00FB7460C7}"/>
    <cellStyle name="Normale 45 4" xfId="26619" xr:uid="{5E57785E-CEE1-459F-BF16-2060B73D042F}"/>
    <cellStyle name="Normale 46" xfId="707" xr:uid="{00000000-0005-0000-0000-0000F5050000}"/>
    <cellStyle name="Normale 46 2" xfId="708" xr:uid="{00000000-0005-0000-0000-0000F6050000}"/>
    <cellStyle name="Normale 46 2 2" xfId="13483" xr:uid="{BDEF8E50-3275-4E09-B180-7E89C0514CBF}"/>
    <cellStyle name="Normale 46 2 3" xfId="26622" xr:uid="{F7C5C21F-2D14-4431-956B-D08AC78EF4D4}"/>
    <cellStyle name="Normale 46 3" xfId="13220" xr:uid="{C00EEB14-A10E-498D-8C63-8615B972D92D}"/>
    <cellStyle name="Normale 46 4" xfId="26621" xr:uid="{F2B061E2-F4D2-4981-9595-656CBF83610B}"/>
    <cellStyle name="Normale 47" xfId="709" xr:uid="{00000000-0005-0000-0000-0000F7050000}"/>
    <cellStyle name="Normale 47 2" xfId="710" xr:uid="{00000000-0005-0000-0000-0000F8050000}"/>
    <cellStyle name="Normale 47 2 2" xfId="13484" xr:uid="{2331FB6B-AC39-4E28-9ECF-58862BFBF721}"/>
    <cellStyle name="Normale 47 2 3" xfId="26624" xr:uid="{015EBC96-081C-43CB-A2C5-5D2083A54FC3}"/>
    <cellStyle name="Normale 47 3" xfId="13221" xr:uid="{CB9DDA30-E822-4CD8-B232-C8B834AA8580}"/>
    <cellStyle name="Normale 47 4" xfId="26623" xr:uid="{FC854A77-5616-4776-AE52-9875C3B609DA}"/>
    <cellStyle name="Normale 48" xfId="711" xr:uid="{00000000-0005-0000-0000-0000F9050000}"/>
    <cellStyle name="Normale 48 2" xfId="712" xr:uid="{00000000-0005-0000-0000-0000FA050000}"/>
    <cellStyle name="Normale 48 2 2" xfId="13485" xr:uid="{4E2D3CA8-4636-4FD0-B93C-40338977A4D6}"/>
    <cellStyle name="Normale 48 2 3" xfId="26626" xr:uid="{4C9F14AB-9816-49E1-A4A1-7DEF8484E313}"/>
    <cellStyle name="Normale 48 3" xfId="13222" xr:uid="{D8E67EA3-71B1-41B5-A571-2283C7294099}"/>
    <cellStyle name="Normale 48 4" xfId="26625" xr:uid="{00233539-FE60-4286-B3BF-3C9929C5A429}"/>
    <cellStyle name="Normale 49" xfId="713" xr:uid="{00000000-0005-0000-0000-0000FB050000}"/>
    <cellStyle name="Normale 49 2" xfId="714" xr:uid="{00000000-0005-0000-0000-0000FC050000}"/>
    <cellStyle name="Normale 49 2 2" xfId="13486" xr:uid="{221B7582-5024-47C4-B397-53E9523F04BB}"/>
    <cellStyle name="Normale 49 2 3" xfId="26628" xr:uid="{570F714E-4C12-4498-849D-964F08A35610}"/>
    <cellStyle name="Normale 49 3" xfId="13223" xr:uid="{3223E72B-9C28-4D27-9690-590392A2DC26}"/>
    <cellStyle name="Normale 49 4" xfId="26627" xr:uid="{83F89BEE-EEEB-4EAF-832D-E50A8B70F9EA}"/>
    <cellStyle name="Normale 5" xfId="715" xr:uid="{00000000-0005-0000-0000-0000FD050000}"/>
    <cellStyle name="Normale 5 2" xfId="716" xr:uid="{00000000-0005-0000-0000-0000FE050000}"/>
    <cellStyle name="Normale 5 2 2" xfId="717" xr:uid="{00000000-0005-0000-0000-0000FF050000}"/>
    <cellStyle name="Normale 5 2 2 2" xfId="13488" xr:uid="{8D04A784-10DE-41ED-ACE7-69FF2DCBE52B}"/>
    <cellStyle name="Normale 5 2 2 3" xfId="26631" xr:uid="{CCEC3E95-3FBD-4FDD-B547-D05DD8F1C4DB}"/>
    <cellStyle name="Normale 5 2 3" xfId="13225" xr:uid="{04BEEB42-892A-456B-B0A9-7CF60F5FFBEA}"/>
    <cellStyle name="Normale 5 2 4" xfId="26630" xr:uid="{C571386B-9A81-4C38-89D0-CE5AC587A5D9}"/>
    <cellStyle name="Normale 5 3" xfId="718" xr:uid="{00000000-0005-0000-0000-000000060000}"/>
    <cellStyle name="Normale 5 3 2" xfId="719" xr:uid="{00000000-0005-0000-0000-000001060000}"/>
    <cellStyle name="Normale 5 3 2 2" xfId="13489" xr:uid="{75B5FF28-DC4B-4E1C-B694-9CF85AB5BE42}"/>
    <cellStyle name="Normale 5 3 2 3" xfId="26633" xr:uid="{6E4C05AE-C585-43E9-9902-461892D1F772}"/>
    <cellStyle name="Normale 5 3 3" xfId="13226" xr:uid="{7710BD57-51CE-4CB8-BBC8-B87DFC7DC6E9}"/>
    <cellStyle name="Normale 5 3 4" xfId="26632" xr:uid="{8A6821B3-4895-49E9-9511-9AD566926758}"/>
    <cellStyle name="Normale 5 4" xfId="720" xr:uid="{00000000-0005-0000-0000-000002060000}"/>
    <cellStyle name="Normale 5 4 2" xfId="13487" xr:uid="{403A58D7-8FCF-4A91-B9B2-762D708383EE}"/>
    <cellStyle name="Normale 5 4 3" xfId="26634" xr:uid="{1E0AA705-082C-4844-A626-5CA6EABABE8F}"/>
    <cellStyle name="Normale 5 5" xfId="13224" xr:uid="{C826482C-894C-4020-8801-20598B716A5E}"/>
    <cellStyle name="Normale 5 6" xfId="26629" xr:uid="{1E069F9C-BFF7-405A-AE0F-56CEA4A6128B}"/>
    <cellStyle name="Normale 5_EDEN industria 2008 rev" xfId="721" xr:uid="{00000000-0005-0000-0000-000003060000}"/>
    <cellStyle name="Normale 50" xfId="722" xr:uid="{00000000-0005-0000-0000-000004060000}"/>
    <cellStyle name="Normale 50 2" xfId="723" xr:uid="{00000000-0005-0000-0000-000005060000}"/>
    <cellStyle name="Normale 50 2 2" xfId="13490" xr:uid="{330A4027-4058-46AE-B900-F886C66FC741}"/>
    <cellStyle name="Normale 50 2 3" xfId="26636" xr:uid="{BE276201-9BB5-4612-A086-690212E65F45}"/>
    <cellStyle name="Normale 50 3" xfId="13227" xr:uid="{07A6FE91-0915-4884-B4A1-545DAC3D09EC}"/>
    <cellStyle name="Normale 50 4" xfId="26635" xr:uid="{9305BDBD-9191-4318-9C9A-3CD09EE82925}"/>
    <cellStyle name="Normale 51" xfId="724" xr:uid="{00000000-0005-0000-0000-000006060000}"/>
    <cellStyle name="Normale 51 2" xfId="725" xr:uid="{00000000-0005-0000-0000-000007060000}"/>
    <cellStyle name="Normale 51 2 2" xfId="13491" xr:uid="{DC7FDAD1-EE6B-4637-8362-227352A2CB1E}"/>
    <cellStyle name="Normale 51 2 3" xfId="26638" xr:uid="{00231BC9-835E-4AAB-84D0-4DA15BC35F77}"/>
    <cellStyle name="Normale 51 3" xfId="13228" xr:uid="{4C561223-633A-415F-BD5D-741189D6B129}"/>
    <cellStyle name="Normale 51 4" xfId="26637" xr:uid="{0E4FF3F7-DFBF-43AF-8902-4C33EFC15B98}"/>
    <cellStyle name="Normale 52" xfId="726" xr:uid="{00000000-0005-0000-0000-000008060000}"/>
    <cellStyle name="Normale 52 2" xfId="727" xr:uid="{00000000-0005-0000-0000-000009060000}"/>
    <cellStyle name="Normale 52 2 2" xfId="13492" xr:uid="{EBBCE616-B87D-41E5-B7B3-179CCB59670D}"/>
    <cellStyle name="Normale 52 2 3" xfId="26640" xr:uid="{645A77CA-64B4-472E-94D2-44D100026721}"/>
    <cellStyle name="Normale 52 3" xfId="13229" xr:uid="{B957CE43-648D-4895-8DE6-4ECB8DF15C03}"/>
    <cellStyle name="Normale 52 4" xfId="26639" xr:uid="{A388E880-18E7-4AC8-84D5-8ADA4EA61B2A}"/>
    <cellStyle name="Normale 53" xfId="728" xr:uid="{00000000-0005-0000-0000-00000A060000}"/>
    <cellStyle name="Normale 53 2" xfId="729" xr:uid="{00000000-0005-0000-0000-00000B060000}"/>
    <cellStyle name="Normale 53 2 2" xfId="13493" xr:uid="{8838C5E5-3C24-482E-A2A0-36239DB40844}"/>
    <cellStyle name="Normale 53 2 3" xfId="26642" xr:uid="{14F8EDAE-4B9B-4BBC-A95F-9E60FFEF9202}"/>
    <cellStyle name="Normale 53 3" xfId="13230" xr:uid="{DA7F9812-9AD7-46D1-BF4D-E6BE0F3D868D}"/>
    <cellStyle name="Normale 53 4" xfId="26641" xr:uid="{B4DCA91C-5C3C-4188-8357-463448989F0B}"/>
    <cellStyle name="Normale 54" xfId="730" xr:uid="{00000000-0005-0000-0000-00000C060000}"/>
    <cellStyle name="Normale 54 2" xfId="731" xr:uid="{00000000-0005-0000-0000-00000D060000}"/>
    <cellStyle name="Normale 54 2 2" xfId="13494" xr:uid="{D62A902D-3311-483F-82B6-D3DDC87C5EAF}"/>
    <cellStyle name="Normale 54 2 3" xfId="26644" xr:uid="{3C9D1953-9A02-4314-B7AB-B46B1E3E0E9F}"/>
    <cellStyle name="Normale 54 3" xfId="13231" xr:uid="{03A6CA82-261A-4353-BA38-FBB94BDF92DA}"/>
    <cellStyle name="Normale 54 4" xfId="26643" xr:uid="{D30A2773-21FF-493A-AC64-F27C49FD2867}"/>
    <cellStyle name="Normale 55" xfId="732" xr:uid="{00000000-0005-0000-0000-00000E060000}"/>
    <cellStyle name="Normale 55 2" xfId="733" xr:uid="{00000000-0005-0000-0000-00000F060000}"/>
    <cellStyle name="Normale 55 2 2" xfId="13495" xr:uid="{92AB5C51-BA00-4A0F-879A-262D90239856}"/>
    <cellStyle name="Normale 55 2 3" xfId="26646" xr:uid="{B7968E9B-B8C3-41FC-B15A-75FCEF093D58}"/>
    <cellStyle name="Normale 55 3" xfId="13232" xr:uid="{5D5F3DB1-BEF8-45D4-8AC2-D52D7E0705EF}"/>
    <cellStyle name="Normale 55 4" xfId="26645" xr:uid="{49853305-EA00-45A6-9847-287B605567C1}"/>
    <cellStyle name="Normale 56" xfId="734" xr:uid="{00000000-0005-0000-0000-000010060000}"/>
    <cellStyle name="Normale 56 2" xfId="735" xr:uid="{00000000-0005-0000-0000-000011060000}"/>
    <cellStyle name="Normale 56 2 2" xfId="13496" xr:uid="{D57E23FC-E656-4FC9-AEA3-1BAF420877F8}"/>
    <cellStyle name="Normale 56 2 3" xfId="26648" xr:uid="{5CD9B61F-7239-48E8-A5D0-AD7E703742E9}"/>
    <cellStyle name="Normale 56 3" xfId="13233" xr:uid="{76EBB083-8FEE-48A5-8F27-D82A3B982658}"/>
    <cellStyle name="Normale 56 4" xfId="26647" xr:uid="{5851B607-FCE1-4401-BA91-567778B3DD25}"/>
    <cellStyle name="Normale 57" xfId="736" xr:uid="{00000000-0005-0000-0000-000012060000}"/>
    <cellStyle name="Normale 57 2" xfId="737" xr:uid="{00000000-0005-0000-0000-000013060000}"/>
    <cellStyle name="Normale 57 2 2" xfId="13497" xr:uid="{8100225D-9F66-4197-BB3B-600E1F4050CA}"/>
    <cellStyle name="Normale 57 2 3" xfId="26650" xr:uid="{AA94115A-1F67-439B-B327-401EC7674CEC}"/>
    <cellStyle name="Normale 57 3" xfId="13234" xr:uid="{679841F2-7761-4DE5-954A-A50FDCF05FB0}"/>
    <cellStyle name="Normale 57 4" xfId="26649" xr:uid="{0B87B7F3-63F2-478E-9A43-3F174BD85033}"/>
    <cellStyle name="Normale 58" xfId="738" xr:uid="{00000000-0005-0000-0000-000014060000}"/>
    <cellStyle name="Normale 58 2" xfId="739" xr:uid="{00000000-0005-0000-0000-000015060000}"/>
    <cellStyle name="Normale 58 2 2" xfId="13498" xr:uid="{37F14728-C790-4D2A-ACAC-F0BCC3B9B059}"/>
    <cellStyle name="Normale 58 2 3" xfId="26652" xr:uid="{5C3F5FC6-E2D5-4A78-B8E0-A45A4BBEEE90}"/>
    <cellStyle name="Normale 58 3" xfId="13235" xr:uid="{FAAEE55B-70CD-4FC1-B220-48C5E3A2882F}"/>
    <cellStyle name="Normale 58 4" xfId="26651" xr:uid="{A8085905-1835-46DB-A372-8CA1A5F6B7DE}"/>
    <cellStyle name="Normale 59" xfId="740" xr:uid="{00000000-0005-0000-0000-000016060000}"/>
    <cellStyle name="Normale 59 2" xfId="741" xr:uid="{00000000-0005-0000-0000-000017060000}"/>
    <cellStyle name="Normale 59 2 2" xfId="13499" xr:uid="{7694778A-C900-42FE-B0FF-FC36DA974273}"/>
    <cellStyle name="Normale 59 2 3" xfId="26654" xr:uid="{FDA36CBB-757A-4BAA-BDBE-CA207EB9E1F3}"/>
    <cellStyle name="Normale 59 3" xfId="13236" xr:uid="{9A0FFC13-A8B0-4BD3-955C-B93EC50496D1}"/>
    <cellStyle name="Normale 59 4" xfId="26653" xr:uid="{2618A925-B9D7-4F4C-B2DB-7E1D6F4A3BF5}"/>
    <cellStyle name="Normale 6" xfId="742" xr:uid="{00000000-0005-0000-0000-000018060000}"/>
    <cellStyle name="Normale 6 2" xfId="743" xr:uid="{00000000-0005-0000-0000-000019060000}"/>
    <cellStyle name="Normale 6 2 2" xfId="744" xr:uid="{00000000-0005-0000-0000-00001A060000}"/>
    <cellStyle name="Normale 6 2 2 2" xfId="13501" xr:uid="{23637299-61F3-43A1-A0E3-66814ED5C94C}"/>
    <cellStyle name="Normale 6 2 2 3" xfId="26657" xr:uid="{D75EFE8A-9EEE-4E16-A470-ED4D302387B3}"/>
    <cellStyle name="Normale 6 2 3" xfId="13238" xr:uid="{90D26A6F-4B8E-43D0-B19F-266DF5A24ACC}"/>
    <cellStyle name="Normale 6 2 4" xfId="26656" xr:uid="{DEBCFE88-3D6A-4F30-B542-09983819A368}"/>
    <cellStyle name="Normale 6 3" xfId="745" xr:uid="{00000000-0005-0000-0000-00001B060000}"/>
    <cellStyle name="Normale 6 3 2" xfId="746" xr:uid="{00000000-0005-0000-0000-00001C060000}"/>
    <cellStyle name="Normale 6 3 2 2" xfId="13502" xr:uid="{0A18FCA2-8122-42A1-B040-922F49A22CC5}"/>
    <cellStyle name="Normale 6 3 2 3" xfId="26659" xr:uid="{CB201946-EFDC-461F-BB4E-E8CABA85612A}"/>
    <cellStyle name="Normale 6 3 3" xfId="13239" xr:uid="{53B5C6C1-8392-4CE1-AE92-C7B280B88277}"/>
    <cellStyle name="Normale 6 3 4" xfId="26658" xr:uid="{11F9A046-FB61-49C4-AF29-269CC1B7824E}"/>
    <cellStyle name="Normale 6 4" xfId="747" xr:uid="{00000000-0005-0000-0000-00001D060000}"/>
    <cellStyle name="Normale 6 4 2" xfId="13500" xr:uid="{BC6BE46F-92C9-4D7B-939F-07B8BF5AB7FB}"/>
    <cellStyle name="Normale 6 4 3" xfId="26660" xr:uid="{0E9B995E-C7F1-425A-8C1B-73C73D5C3B52}"/>
    <cellStyle name="Normale 6 5" xfId="13237" xr:uid="{2AEECFC7-B94F-479B-83C7-952ACE8A6023}"/>
    <cellStyle name="Normale 6 6" xfId="26655" xr:uid="{0CC986AF-BC33-421B-8134-59F823881FB5}"/>
    <cellStyle name="Normale 6_EDEN industria 2008 rev" xfId="748" xr:uid="{00000000-0005-0000-0000-00001E060000}"/>
    <cellStyle name="Normale 60" xfId="749" xr:uid="{00000000-0005-0000-0000-00001F060000}"/>
    <cellStyle name="Normale 60 2" xfId="750" xr:uid="{00000000-0005-0000-0000-000020060000}"/>
    <cellStyle name="Normale 60 2 2" xfId="13503" xr:uid="{CD903034-8011-4EED-BAA7-64BEF015DF72}"/>
    <cellStyle name="Normale 60 2 3" xfId="26662" xr:uid="{7A49EFF3-C5E0-421B-A898-29BD09F53726}"/>
    <cellStyle name="Normale 60 3" xfId="13240" xr:uid="{8E49CA04-DCAE-43B4-9A56-25B99A8A8F36}"/>
    <cellStyle name="Normale 60 4" xfId="26661" xr:uid="{93E29BF5-115C-402F-A2AB-9BF1A0F64A24}"/>
    <cellStyle name="Normale 61" xfId="751" xr:uid="{00000000-0005-0000-0000-000021060000}"/>
    <cellStyle name="Normale 61 2" xfId="752" xr:uid="{00000000-0005-0000-0000-000022060000}"/>
    <cellStyle name="Normale 61 2 2" xfId="13504" xr:uid="{3B1D6171-E077-445E-B238-A662014E920B}"/>
    <cellStyle name="Normale 61 2 3" xfId="26664" xr:uid="{050AFDB1-4634-4A69-8FD2-AE7E0BC1A721}"/>
    <cellStyle name="Normale 61 3" xfId="13241" xr:uid="{DF93C380-F5A8-4109-A824-EA874CA0B635}"/>
    <cellStyle name="Normale 61 4" xfId="26663" xr:uid="{B6843D0D-9EC3-480B-BE15-E61885BEEAC3}"/>
    <cellStyle name="Normale 62" xfId="753" xr:uid="{00000000-0005-0000-0000-000023060000}"/>
    <cellStyle name="Normale 62 2" xfId="754" xr:uid="{00000000-0005-0000-0000-000024060000}"/>
    <cellStyle name="Normale 62 2 2" xfId="13505" xr:uid="{8EC4782A-76ED-40D9-B574-EB1745EB52FF}"/>
    <cellStyle name="Normale 62 2 3" xfId="26666" xr:uid="{5616E69A-A4D2-467A-B99B-6BA2D6DF07CA}"/>
    <cellStyle name="Normale 62 3" xfId="13242" xr:uid="{808B16E4-57C0-4231-8CBB-EA7825D69179}"/>
    <cellStyle name="Normale 62 4" xfId="26665" xr:uid="{4688096E-0065-4122-B780-042A08748171}"/>
    <cellStyle name="Normale 63" xfId="755" xr:uid="{00000000-0005-0000-0000-000025060000}"/>
    <cellStyle name="Normale 63 2" xfId="756" xr:uid="{00000000-0005-0000-0000-000026060000}"/>
    <cellStyle name="Normale 63 2 2" xfId="13506" xr:uid="{82F22B25-53BA-4334-9034-3F113A73B044}"/>
    <cellStyle name="Normale 63 2 3" xfId="26668" xr:uid="{1D7B3264-2147-4BC7-BFC5-7939A5B1258B}"/>
    <cellStyle name="Normale 63 3" xfId="13243" xr:uid="{35AD0FB8-8CD3-427E-B3EC-3009FB8E4EE4}"/>
    <cellStyle name="Normale 63 4" xfId="26667" xr:uid="{C8F0C85C-ADBC-489E-A3AF-44BE81F3AB59}"/>
    <cellStyle name="Normale 64" xfId="757" xr:uid="{00000000-0005-0000-0000-000027060000}"/>
    <cellStyle name="Normale 64 2" xfId="758" xr:uid="{00000000-0005-0000-0000-000028060000}"/>
    <cellStyle name="Normale 64 2 2" xfId="13507" xr:uid="{A7E7D7BA-2A2D-41B4-B686-25962F3BB9ED}"/>
    <cellStyle name="Normale 64 2 3" xfId="26670" xr:uid="{FF396A60-8D44-4FA0-8760-614F534B9D65}"/>
    <cellStyle name="Normale 64 3" xfId="13244" xr:uid="{EEDC1192-D15F-46C4-8B5A-605402FE735E}"/>
    <cellStyle name="Normale 64 4" xfId="26669" xr:uid="{767612A6-840B-47FF-A091-000A184F0D2E}"/>
    <cellStyle name="Normale 65" xfId="759" xr:uid="{00000000-0005-0000-0000-000029060000}"/>
    <cellStyle name="Normale 65 2" xfId="760" xr:uid="{00000000-0005-0000-0000-00002A060000}"/>
    <cellStyle name="Normale 65 2 2" xfId="13508" xr:uid="{3E049862-8BA0-44E8-9F42-9CE3228BC978}"/>
    <cellStyle name="Normale 65 2 3" xfId="26672" xr:uid="{4699D664-7761-4BC4-8D95-4563F11FB602}"/>
    <cellStyle name="Normale 65 3" xfId="13245" xr:uid="{30F72BAC-E6C4-443A-A67A-7B19395CCF98}"/>
    <cellStyle name="Normale 65 4" xfId="26671" xr:uid="{90A3B9AC-3637-4DCC-B0BB-C40CCC07887F}"/>
    <cellStyle name="Normale 7" xfId="761" xr:uid="{00000000-0005-0000-0000-00002B060000}"/>
    <cellStyle name="Normale 7 2" xfId="762" xr:uid="{00000000-0005-0000-0000-00002C060000}"/>
    <cellStyle name="Normale 7 2 2" xfId="763" xr:uid="{00000000-0005-0000-0000-00002D060000}"/>
    <cellStyle name="Normale 7 2 2 2" xfId="13510" xr:uid="{4AA6D427-35D4-4C4A-99E7-A56C00887211}"/>
    <cellStyle name="Normale 7 2 2 3" xfId="26675" xr:uid="{FA38BE2A-7973-4C8A-83C4-5AAF02F15842}"/>
    <cellStyle name="Normale 7 2 3" xfId="13247" xr:uid="{63D06842-063F-4A70-9131-C48E31119C5D}"/>
    <cellStyle name="Normale 7 2 4" xfId="26674" xr:uid="{72AC0559-C485-4D9E-B3B9-B5DC2BC7A14B}"/>
    <cellStyle name="Normale 7 3" xfId="764" xr:uid="{00000000-0005-0000-0000-00002E060000}"/>
    <cellStyle name="Normale 7 3 2" xfId="765" xr:uid="{00000000-0005-0000-0000-00002F060000}"/>
    <cellStyle name="Normale 7 3 2 2" xfId="13511" xr:uid="{462257A5-CE34-4319-B1F2-320AE8D4A8DD}"/>
    <cellStyle name="Normale 7 3 2 3" xfId="26677" xr:uid="{07047716-0616-418B-B6EF-51DD46555977}"/>
    <cellStyle name="Normale 7 3 3" xfId="13248" xr:uid="{809CB64F-D444-4D65-A0A0-B1B70160917D}"/>
    <cellStyle name="Normale 7 3 4" xfId="26676" xr:uid="{D76DC9BA-893F-4DAA-955D-780C63AA541A}"/>
    <cellStyle name="Normale 7 4" xfId="766" xr:uid="{00000000-0005-0000-0000-000030060000}"/>
    <cellStyle name="Normale 7 4 2" xfId="13509" xr:uid="{EC5D3C1D-1745-4D1F-8061-5A19772FE9F6}"/>
    <cellStyle name="Normale 7 4 3" xfId="26678" xr:uid="{F60E4C47-C215-4769-8649-79D0CD0D134B}"/>
    <cellStyle name="Normale 7 5" xfId="13246" xr:uid="{5C554234-610C-4FDB-B5EC-1D7B1E926A23}"/>
    <cellStyle name="Normale 7 6" xfId="26673" xr:uid="{E9351115-4E59-4198-A5B7-0C749D4DD1DC}"/>
    <cellStyle name="Normale 7_EDEN industria 2008 rev" xfId="767" xr:uid="{00000000-0005-0000-0000-000031060000}"/>
    <cellStyle name="Normale 8" xfId="768" xr:uid="{00000000-0005-0000-0000-000032060000}"/>
    <cellStyle name="Normale 8 2" xfId="769" xr:uid="{00000000-0005-0000-0000-000033060000}"/>
    <cellStyle name="Normale 8 2 2" xfId="770" xr:uid="{00000000-0005-0000-0000-000034060000}"/>
    <cellStyle name="Normale 8 2 2 2" xfId="13513" xr:uid="{ECDA71A5-010C-48E0-936B-416A85258921}"/>
    <cellStyle name="Normale 8 2 2 3" xfId="26681" xr:uid="{CD16C241-39C5-4995-A566-A7EA67E5E28F}"/>
    <cellStyle name="Normale 8 2 3" xfId="13250" xr:uid="{F6953B84-F527-43FA-BD2B-7E55BDA66F70}"/>
    <cellStyle name="Normale 8 2 4" xfId="26680" xr:uid="{23B5C6D1-6107-4244-BDAF-4AC8AA002A92}"/>
    <cellStyle name="Normale 8 3" xfId="771" xr:uid="{00000000-0005-0000-0000-000035060000}"/>
    <cellStyle name="Normale 8 3 2" xfId="772" xr:uid="{00000000-0005-0000-0000-000036060000}"/>
    <cellStyle name="Normale 8 3 2 2" xfId="13514" xr:uid="{D1FD96E8-CB85-4973-A87D-818B9056CEE4}"/>
    <cellStyle name="Normale 8 3 2 3" xfId="26683" xr:uid="{D74F93A8-5195-4066-A432-00D896C6E0D8}"/>
    <cellStyle name="Normale 8 3 3" xfId="13251" xr:uid="{906E6ADA-8BBA-46CC-9084-4B3D540A4717}"/>
    <cellStyle name="Normale 8 3 4" xfId="26682" xr:uid="{632094EB-D509-435A-9270-6DECB005E4D2}"/>
    <cellStyle name="Normale 8 4" xfId="773" xr:uid="{00000000-0005-0000-0000-000037060000}"/>
    <cellStyle name="Normale 8 4 2" xfId="13512" xr:uid="{FBBE6D52-311E-43D7-8C0A-B2201B60B1B0}"/>
    <cellStyle name="Normale 8 4 3" xfId="26684" xr:uid="{52CBCD97-1ED4-4D7A-AB9C-B363B15E0EB9}"/>
    <cellStyle name="Normale 8 5" xfId="13249" xr:uid="{D945D9A3-1F2C-4638-B96D-BA6EC9CD2269}"/>
    <cellStyle name="Normale 8 6" xfId="26679" xr:uid="{7CE9BC07-1F23-4990-A43D-F59B16E1F266}"/>
    <cellStyle name="Normale 8_EDEN industria 2008 rev" xfId="774" xr:uid="{00000000-0005-0000-0000-000038060000}"/>
    <cellStyle name="Normale 9" xfId="775" xr:uid="{00000000-0005-0000-0000-000039060000}"/>
    <cellStyle name="Normale 9 2" xfId="776" xr:uid="{00000000-0005-0000-0000-00003A060000}"/>
    <cellStyle name="Normale 9 2 2" xfId="777" xr:uid="{00000000-0005-0000-0000-00003B060000}"/>
    <cellStyle name="Normale 9 2 2 2" xfId="13516" xr:uid="{18236570-8E28-425E-95C9-6F37E58357DE}"/>
    <cellStyle name="Normale 9 2 2 3" xfId="26687" xr:uid="{DCE445A9-42BE-4949-80B8-197E158BF5A8}"/>
    <cellStyle name="Normale 9 2 3" xfId="13253" xr:uid="{3F2AEBA2-D101-469D-A155-E419D2A493E2}"/>
    <cellStyle name="Normale 9 2 4" xfId="26686" xr:uid="{2E4BA16B-CD62-4A65-B2A9-9F2E0AEC2856}"/>
    <cellStyle name="Normale 9 3" xfId="778" xr:uid="{00000000-0005-0000-0000-00003C060000}"/>
    <cellStyle name="Normale 9 3 2" xfId="779" xr:uid="{00000000-0005-0000-0000-00003D060000}"/>
    <cellStyle name="Normale 9 3 2 2" xfId="13517" xr:uid="{A4758B9C-1133-4C9F-833E-1C9716CF4B1A}"/>
    <cellStyle name="Normale 9 3 2 3" xfId="26689" xr:uid="{0762319C-789C-444D-A19A-72213EC99B2E}"/>
    <cellStyle name="Normale 9 3 3" xfId="13254" xr:uid="{B6AD9C70-BCDA-4883-A9D6-865F6B23CDAF}"/>
    <cellStyle name="Normale 9 3 4" xfId="26688" xr:uid="{3CCB2BB5-B789-4F76-A5FB-1CE85261139F}"/>
    <cellStyle name="Normale 9 4" xfId="780" xr:uid="{00000000-0005-0000-0000-00003E060000}"/>
    <cellStyle name="Normale 9 4 2" xfId="13515" xr:uid="{96AF77B0-AA0D-47D1-999F-42091EDFC4BD}"/>
    <cellStyle name="Normale 9 4 3" xfId="26690" xr:uid="{3A7AB1E5-72ED-4320-811D-27241223C1B5}"/>
    <cellStyle name="Normale 9 5" xfId="13252" xr:uid="{3EC5706B-2B75-4D6E-9527-97E9D93F88E9}"/>
    <cellStyle name="Normale 9 6" xfId="26685" xr:uid="{51519371-6BBF-4B6E-8569-40ACFD562EFC}"/>
    <cellStyle name="Normale 9_EDEN industria 2008 rev" xfId="781" xr:uid="{00000000-0005-0000-0000-00003F060000}"/>
    <cellStyle name="Normale_B2020" xfId="782" xr:uid="{00000000-0005-0000-0000-000040060000}"/>
    <cellStyle name="Nota" xfId="783" xr:uid="{00000000-0005-0000-0000-000041060000}"/>
    <cellStyle name="Nota 10" xfId="9232" xr:uid="{17604FBB-0533-42AF-8385-274CE8EF9671}"/>
    <cellStyle name="Nota 10 2" xfId="26692" xr:uid="{D1E1B6F1-03D3-4620-9BB4-2AFB92CAF242}"/>
    <cellStyle name="Nota 11" xfId="26691" xr:uid="{952B7A6A-215C-492A-9215-FFFE9DDCFA0B}"/>
    <cellStyle name="Nota 2" xfId="784" xr:uid="{00000000-0005-0000-0000-000042060000}"/>
    <cellStyle name="Nota 2 2" xfId="2070" xr:uid="{00000000-0005-0000-0000-000043060000}"/>
    <cellStyle name="Nota 2 2 2" xfId="13518" xr:uid="{1F71E99E-FDB1-4671-AD7B-0C935F9CD678}"/>
    <cellStyle name="Nota 2 2 2 2" xfId="19037" xr:uid="{71FC2C49-5FA9-4B8B-B04E-6BC8F82B8A83}"/>
    <cellStyle name="Nota 2 2 3" xfId="17710" xr:uid="{A1DC160B-A197-41C0-858C-CC92A5A47BF1}"/>
    <cellStyle name="Nota 2 2 4" xfId="26694" xr:uid="{DA5E8CCE-2E23-4570-8466-C473B01E4337}"/>
    <cellStyle name="Nota 2 3" xfId="9233" xr:uid="{7575769A-D1A9-42DC-AA59-45745CB90D93}"/>
    <cellStyle name="Nota 2 3 2" xfId="18625" xr:uid="{E5801005-2221-4E10-9606-18DF0FEFB912}"/>
    <cellStyle name="Nota 2 3 3" xfId="26695" xr:uid="{719E3BC8-FA75-45A4-9218-98EEED09DE91}"/>
    <cellStyle name="Nota 2 4" xfId="9234" xr:uid="{CA99AD1C-5A50-4D5E-8F68-B652326DA694}"/>
    <cellStyle name="Nota 2 4 2" xfId="26696" xr:uid="{8191615F-E1C9-40C1-B708-3B503A0E0091}"/>
    <cellStyle name="Nota 2 5" xfId="9235" xr:uid="{5A9D2A33-B521-45FB-824F-3369B83D1BFB}"/>
    <cellStyle name="Nota 2 5 2" xfId="26697" xr:uid="{AD2CF813-8DE3-42BF-AEE1-325C431F3004}"/>
    <cellStyle name="Nota 2 6" xfId="9236" xr:uid="{1D167E10-5408-4F68-8D3C-66D64B15804A}"/>
    <cellStyle name="Nota 2 6 2" xfId="26698" xr:uid="{F9CEB985-BEA3-4EF8-86F9-0351CBC83BF0}"/>
    <cellStyle name="Nota 2 7" xfId="26693" xr:uid="{A795E788-9130-45D0-863E-D625FE7A3EF5}"/>
    <cellStyle name="Nota 3" xfId="785" xr:uid="{00000000-0005-0000-0000-000044060000}"/>
    <cellStyle name="Nota 3 2" xfId="786" xr:uid="{00000000-0005-0000-0000-000045060000}"/>
    <cellStyle name="Nota 3 2 2" xfId="2071" xr:uid="{00000000-0005-0000-0000-000046060000}"/>
    <cellStyle name="Nota 3 2 2 2" xfId="2072" xr:uid="{00000000-0005-0000-0000-000047060000}"/>
    <cellStyle name="Nota 3 2 2 2 2" xfId="17844" xr:uid="{7A81B047-270C-4E49-AC07-3CFDBEE31E91}"/>
    <cellStyle name="Nota 3 2 2 2 3" xfId="26702" xr:uid="{76779240-1689-41A6-9A9E-CD9AA7F42E28}"/>
    <cellStyle name="Nota 3 2 2 3" xfId="17712" xr:uid="{F978474E-0BAF-45EE-92D8-71A57A631A5D}"/>
    <cellStyle name="Nota 3 2 2 4" xfId="26701" xr:uid="{C440A37F-1CDD-4309-9890-37C4782494D2}"/>
    <cellStyle name="Nota 3 2 3" xfId="2073" xr:uid="{00000000-0005-0000-0000-000048060000}"/>
    <cellStyle name="Nota 3 2 3 2" xfId="14072" xr:uid="{19E015DD-216D-42D3-89F4-5A7CD0DCEBC0}"/>
    <cellStyle name="Nota 3 2 3 2 2" xfId="26704" xr:uid="{DFD72275-BDD2-450E-80DB-9156A129820F}"/>
    <cellStyle name="Nota 3 2 3 3" xfId="17845" xr:uid="{D70A0E09-CE77-49E9-B475-509B31D730C0}"/>
    <cellStyle name="Nota 3 2 3 4" xfId="26703" xr:uid="{951468D8-B1DE-433D-AACE-1EA984F0D8AE}"/>
    <cellStyle name="Nota 3 2 3 5" xfId="48977" xr:uid="{CAC5C9AB-E216-4797-8FB3-4DD712CDD3B5}"/>
    <cellStyle name="Nota 3 2 4" xfId="9237" xr:uid="{16B53B15-4EB9-49EC-9851-AC74B812650E}"/>
    <cellStyle name="Nota 3 2 4 2" xfId="18149" xr:uid="{06E3589D-D937-4A01-A261-9087664652F8}"/>
    <cellStyle name="Nota 3 2 4 3" xfId="21242" xr:uid="{19E7B223-C810-41CF-B90A-B6CEB987D8AA}"/>
    <cellStyle name="Nota 3 2 4 4" xfId="26705" xr:uid="{F089EE80-1436-4CF2-BF44-B276B9495CE4}"/>
    <cellStyle name="Nota 3 2 4 5" xfId="17468" xr:uid="{80385EB8-B28C-4445-AC91-C2563B8FCF06}"/>
    <cellStyle name="Nota 3 2 5" xfId="9238" xr:uid="{FF665BE5-482D-4B13-AD74-C7BCA3A7AB59}"/>
    <cellStyle name="Nota 3 2 5 2" xfId="18567" xr:uid="{F7D0A4ED-3814-46C8-AE53-D0CDDC34E891}"/>
    <cellStyle name="Nota 3 2 5 3" xfId="26706" xr:uid="{E2846075-349D-4D93-9D6A-865C2743C5A9}"/>
    <cellStyle name="Nota 3 2 5 4" xfId="17462" xr:uid="{5DB7A828-99F6-48AA-A74A-3228593EF56D}"/>
    <cellStyle name="Nota 3 2 6" xfId="9239" xr:uid="{83FCB1D8-A46B-4FFE-B770-3154B56545A1}"/>
    <cellStyle name="Nota 3 2 6 2" xfId="26707" xr:uid="{8B7AF7C2-986F-436B-8DE7-18755A157E19}"/>
    <cellStyle name="Nota 3 2 7" xfId="26700" xr:uid="{EE1488C7-48DF-4B66-A57B-3EFA5294306F}"/>
    <cellStyle name="Nota 3 3" xfId="2074" xr:uid="{00000000-0005-0000-0000-000049060000}"/>
    <cellStyle name="Nota 3 3 2" xfId="9240" xr:uid="{A6528DA4-4FD2-442B-95E3-7557C16125E6}"/>
    <cellStyle name="Nota 3 3 2 2" xfId="18296" xr:uid="{CF1D5370-3246-4BCA-9C14-C78198320995}"/>
    <cellStyle name="Nota 3 3 2 3" xfId="26709" xr:uid="{00F19E2E-CEB8-400F-BC15-97EC7325942C}"/>
    <cellStyle name="Nota 3 3 3" xfId="17711" xr:uid="{2DA72051-3388-4061-9363-1FFF4CA82FFC}"/>
    <cellStyle name="Nota 3 3 4" xfId="26708" xr:uid="{5AA55BB6-F6A4-4A99-9833-2C0CA00DBE33}"/>
    <cellStyle name="Nota 3 4" xfId="4093" xr:uid="{5AAEDC52-1C55-42E7-B8E6-D0223E699AC7}"/>
    <cellStyle name="Nota 3 4 2" xfId="13732" xr:uid="{7B32ADA0-FD7F-41C9-9E52-C8641C5B21EE}"/>
    <cellStyle name="Nota 3 4 2 2" xfId="19038" xr:uid="{E5C77765-DC44-4EB7-9E7A-D0835B6465A4}"/>
    <cellStyle name="Nota 3 4 3" xfId="17713" xr:uid="{5F7DD80F-1591-4FDA-AF53-B42728335F8D}"/>
    <cellStyle name="Nota 3 4 4" xfId="26710" xr:uid="{CE92B5E9-C99D-4C59-87F8-1FEEBC2E707C}"/>
    <cellStyle name="Nota 3 5" xfId="9241" xr:uid="{43053810-B8CA-4486-A66F-D81DF4B5AAD2}"/>
    <cellStyle name="Nota 3 5 2" xfId="18141" xr:uid="{9FE4B626-DA12-4D30-ACE2-DEEA8EC88B84}"/>
    <cellStyle name="Nota 3 5 3" xfId="26711" xr:uid="{1492A781-0580-4AA0-BCF0-AD7A797A0312}"/>
    <cellStyle name="Nota 3 6" xfId="9242" xr:uid="{CFFB3110-1C3A-456D-BE5B-CEAC37110583}"/>
    <cellStyle name="Nota 3 6 2" xfId="26712" xr:uid="{7E7A8CD8-12DE-4EC6-B0A9-A7C7AFB69FCA}"/>
    <cellStyle name="Nota 3 7" xfId="9243" xr:uid="{0EC9B1EA-B60A-4602-931C-FD8612FA430E}"/>
    <cellStyle name="Nota 3 7 2" xfId="26713" xr:uid="{85A69E0D-590F-4A4D-A5CB-574198C9D25E}"/>
    <cellStyle name="Nota 3 8" xfId="26699" xr:uid="{D938E483-79DA-4998-BE83-3281C8E32F26}"/>
    <cellStyle name="Nota 4" xfId="787" xr:uid="{00000000-0005-0000-0000-00004A060000}"/>
    <cellStyle name="Nota 4 2" xfId="2075" xr:uid="{00000000-0005-0000-0000-00004B060000}"/>
    <cellStyle name="Nota 4 2 2" xfId="2076" xr:uid="{00000000-0005-0000-0000-00004C060000}"/>
    <cellStyle name="Nota 4 2 2 2" xfId="26716" xr:uid="{370B8D88-92F6-46E8-A7FE-16B9EBFD3B27}"/>
    <cellStyle name="Nota 4 2 3" xfId="17846" xr:uid="{C326065A-21AC-4244-9747-5D5AF4D25C1E}"/>
    <cellStyle name="Nota 4 2 4" xfId="21239" xr:uid="{B7F2738B-C2BB-4ED1-A1B7-83E02FAC80F4}"/>
    <cellStyle name="Nota 4 2 5" xfId="26715" xr:uid="{87436515-FCBE-442D-8897-85DADEFD6720}"/>
    <cellStyle name="Nota 4 2 6" xfId="17009" xr:uid="{2AFE020A-3A33-4CF1-8497-C80ED43B0727}"/>
    <cellStyle name="Nota 4 3" xfId="2077" xr:uid="{00000000-0005-0000-0000-00004D060000}"/>
    <cellStyle name="Nota 4 3 2" xfId="17847" xr:uid="{3D8AC9A8-EC7B-4DD9-98C9-59B3DCD6ADD6}"/>
    <cellStyle name="Nota 4 3 3" xfId="26717" xr:uid="{8AD539DA-2427-4CE0-A72C-64EFF765F2FB}"/>
    <cellStyle name="Nota 4 4" xfId="9244" xr:uid="{1CD62225-FF8A-4008-A05C-CD2288FA3637}"/>
    <cellStyle name="Nota 4 4 2" xfId="26718" xr:uid="{A3DE78C5-7C5C-4814-B64E-B3AF17361434}"/>
    <cellStyle name="Nota 4 5" xfId="9245" xr:uid="{A870E056-F11E-48AD-B093-C05F76C700AE}"/>
    <cellStyle name="Nota 4 5 2" xfId="26719" xr:uid="{D835BED8-E6B2-4901-A346-157A0C31ACD7}"/>
    <cellStyle name="Nota 4 6" xfId="9246" xr:uid="{FE8106DE-A971-4567-A6B4-88CB2C10EB0F}"/>
    <cellStyle name="Nota 4 6 2" xfId="26720" xr:uid="{1FCB8216-8DA4-4540-8AF9-066E5BFFEC04}"/>
    <cellStyle name="Nota 4 7" xfId="26714" xr:uid="{9457E34D-3801-4864-8A87-CE8EA9C18F95}"/>
    <cellStyle name="Nota 5" xfId="2078" xr:uid="{00000000-0005-0000-0000-00004E060000}"/>
    <cellStyle name="Nota 5 2" xfId="2079" xr:uid="{00000000-0005-0000-0000-00004F060000}"/>
    <cellStyle name="Nota 5 2 2" xfId="17848" xr:uid="{004DEDFB-9831-47A9-A361-AC71165420F9}"/>
    <cellStyle name="Nota 5 2 3" xfId="26722" xr:uid="{451BA248-87EC-43BA-A117-01F750A75346}"/>
    <cellStyle name="Nota 5 3" xfId="9247" xr:uid="{DC476628-7F8B-41BE-B6F3-62E751348284}"/>
    <cellStyle name="Nota 5 3 2" xfId="26723" xr:uid="{E118D133-3AC6-41C7-B66B-6D6330ECB059}"/>
    <cellStyle name="Nota 5 4" xfId="9248" xr:uid="{7EBB9226-B7F2-4FC1-ABA7-E31A413970E1}"/>
    <cellStyle name="Nota 5 4 2" xfId="26724" xr:uid="{CE72DB18-1512-4C63-993C-D1131F0C5B16}"/>
    <cellStyle name="Nota 5 5" xfId="9249" xr:uid="{F6481A90-0286-4633-AEDD-FDF877302B17}"/>
    <cellStyle name="Nota 5 5 2" xfId="26725" xr:uid="{62569D9F-B5DF-44D1-827C-AE36335551C1}"/>
    <cellStyle name="Nota 5 6" xfId="9250" xr:uid="{B461005B-8CDF-4F21-B710-442790950A5A}"/>
    <cellStyle name="Nota 5 6 2" xfId="26726" xr:uid="{E66E7BAB-E553-4FAF-81F0-DC2566D364B8}"/>
    <cellStyle name="Nota 5 7" xfId="26721" xr:uid="{5283CCBD-83DB-4584-993B-5D02FEFCD2A8}"/>
    <cellStyle name="Nota 6" xfId="2080" xr:uid="{00000000-0005-0000-0000-000050060000}"/>
    <cellStyle name="Nota 6 2" xfId="9767" xr:uid="{F8021FA0-C8C3-43A5-B9EA-96B20A84D8B3}"/>
    <cellStyle name="Nota 6 2 2" xfId="18735" xr:uid="{0B9CE564-B019-43DA-905A-C57DE42DB3E4}"/>
    <cellStyle name="Nota 6 3" xfId="17709" xr:uid="{5217F364-F39D-47DE-93B2-451DE1882013}"/>
    <cellStyle name="Nota 6 4" xfId="26727" xr:uid="{6412B124-13FA-4FE2-BAF3-D278C8A6EF74}"/>
    <cellStyle name="Nota 7" xfId="4094" xr:uid="{B8D2523C-DF13-48FA-A53C-8A3604A97DB6}"/>
    <cellStyle name="Nota 7 2" xfId="17515" xr:uid="{E57C4B43-D62F-4324-8C88-C3E4FA9A3AF9}"/>
    <cellStyle name="Nota 7 3" xfId="26728" xr:uid="{768ADD7F-0CBD-46BE-ACDC-661DC2AB3085}"/>
    <cellStyle name="Nota 8" xfId="9251" xr:uid="{75DD9BC4-F3CB-4615-B6DD-3E5904F5275C}"/>
    <cellStyle name="Nota 8 2" xfId="26729" xr:uid="{6CDFC767-6317-446B-950C-9D35DE08AFA3}"/>
    <cellStyle name="Nota 9" xfId="9252" xr:uid="{5DFFDE3E-CB86-4B13-B77C-70189DF1B1BE}"/>
    <cellStyle name="Nota 9 2" xfId="26730" xr:uid="{576FBDFF-8B80-4E88-80B5-10FEF1FFED61}"/>
    <cellStyle name="Note 2" xfId="2081" xr:uid="{00000000-0005-0000-0000-000051060000}"/>
    <cellStyle name="Note 2 2" xfId="2082" xr:uid="{00000000-0005-0000-0000-000052060000}"/>
    <cellStyle name="Note 2 2 2" xfId="2083" xr:uid="{00000000-0005-0000-0000-000053060000}"/>
    <cellStyle name="Note 2 2 2 2" xfId="26733" xr:uid="{B5D38532-EA04-4E3D-900E-9BD0797EEC61}"/>
    <cellStyle name="Note 2 2 2 3" xfId="17851" xr:uid="{728127E1-D783-48D9-8028-370D222C09DF}"/>
    <cellStyle name="Note 2 2 3" xfId="26734" xr:uid="{64349127-6E69-4227-8E11-A6B1CE87DE1F}"/>
    <cellStyle name="Note 2 2 4" xfId="26732" xr:uid="{F2C60866-2989-4D4A-AF3B-1375B12D0C08}"/>
    <cellStyle name="Note 2 2 5" xfId="48979" xr:uid="{F413384D-A0DA-4271-B1CB-1B20C27FEAF3}"/>
    <cellStyle name="Note 2 2 6" xfId="17850" xr:uid="{483E6FA9-DEE5-4883-86B1-4C39AA8B01A0}"/>
    <cellStyle name="Note 2 3" xfId="2084" xr:uid="{00000000-0005-0000-0000-000054060000}"/>
    <cellStyle name="Note 2 3 2" xfId="26735" xr:uid="{51457BD8-B0D6-442A-8E85-C3098DCEEEEE}"/>
    <cellStyle name="Note 2 3 3" xfId="17852" xr:uid="{5DFD9276-F9AD-48F2-BE8E-2283B3278473}"/>
    <cellStyle name="Note 2 4" xfId="26736" xr:uid="{67F3A8EB-F3B6-4AD1-8402-68EDF2C09C60}"/>
    <cellStyle name="Note 2 5" xfId="26731" xr:uid="{11EE935D-4488-4368-AF98-AAF49639AFA2}"/>
    <cellStyle name="Note 2 6" xfId="48978" xr:uid="{61456FD9-A1E5-44EF-B7A4-749E4CE1FC2C}"/>
    <cellStyle name="Note 2 7" xfId="17849" xr:uid="{8C67D7D7-6E5C-4D91-9413-AB9B7AE265F0}"/>
    <cellStyle name="Note 3" xfId="26737" xr:uid="{BE9DDFBE-0C62-4FD4-9B8A-639AD67A94BC}"/>
    <cellStyle name="Note 3 2" xfId="48980" xr:uid="{50D51BF1-1A86-47D4-A41C-1E51E0A22DC9}"/>
    <cellStyle name="Note 4" xfId="26738" xr:uid="{95299712-E502-49D8-B228-6518B8855A4C}"/>
    <cellStyle name="Note 4 2" xfId="48981" xr:uid="{3009F920-F1A1-412B-9073-3E1CCE6D60B4}"/>
    <cellStyle name="Nuovo" xfId="788" xr:uid="{00000000-0005-0000-0000-000055060000}"/>
    <cellStyle name="Nuovo 10" xfId="789" xr:uid="{00000000-0005-0000-0000-000056060000}"/>
    <cellStyle name="Nuovo 10 2" xfId="790" xr:uid="{00000000-0005-0000-0000-000057060000}"/>
    <cellStyle name="Nuovo 10 2 2" xfId="4095" xr:uid="{723A12F6-28DB-44D7-B59B-154C35212950}"/>
    <cellStyle name="Nuovo 10 2 2 2" xfId="13519" xr:uid="{3DDF913E-21EA-494D-ACB5-27AE16723BC0}"/>
    <cellStyle name="Nuovo 10 2 2 3" xfId="26742" xr:uid="{670C7151-4A39-4863-86DF-D5FCA124DCE3}"/>
    <cellStyle name="Nuovo 10 2 3" xfId="13255" xr:uid="{FC9B2A64-AC16-4873-9537-4C80F78CA456}"/>
    <cellStyle name="Nuovo 10 2 4" xfId="26741" xr:uid="{4458848A-5F79-4A25-90AC-864AB900AC1B}"/>
    <cellStyle name="Nuovo 10 3" xfId="791" xr:uid="{00000000-0005-0000-0000-000058060000}"/>
    <cellStyle name="Nuovo 10 3 2" xfId="792" xr:uid="{00000000-0005-0000-0000-000059060000}"/>
    <cellStyle name="Nuovo 10 3 2 2" xfId="2085" xr:uid="{00000000-0005-0000-0000-00005A060000}"/>
    <cellStyle name="Nuovo 10 3 2 2 2" xfId="26745" xr:uid="{061443BB-794F-4D35-93A2-442FF3CBD9C7}"/>
    <cellStyle name="Nuovo 10 3 2 3" xfId="8072" xr:uid="{F570F39B-A7C8-4C67-B54F-3A91C0DB0185}"/>
    <cellStyle name="Nuovo 10 3 2 3 2" xfId="14073" xr:uid="{C486105F-A458-44F7-94B6-D8E201917BE7}"/>
    <cellStyle name="Nuovo 10 3 2 4" xfId="26744" xr:uid="{461A24A3-76C8-4114-B5C6-D310C907E7DE}"/>
    <cellStyle name="Nuovo 10 3 3" xfId="4096" xr:uid="{F075B04C-37FC-401E-BD8C-3E355D86CC7C}"/>
    <cellStyle name="Nuovo 10 3 3 2" xfId="9253" xr:uid="{CFA04913-5CC5-46CB-9533-5586659724D8}"/>
    <cellStyle name="Nuovo 10 3 3 2 2" xfId="26747" xr:uid="{6E0240D3-EEC3-4DE2-B28A-193DF9C0184A}"/>
    <cellStyle name="Nuovo 10 3 3 3" xfId="26746" xr:uid="{8C368F65-4293-4EFC-B737-A8CE112CC546}"/>
    <cellStyle name="Nuovo 10 3 4" xfId="4097" xr:uid="{E024607C-4B24-4063-8375-7852027ADA13}"/>
    <cellStyle name="Nuovo 10 3 4 2" xfId="13733" xr:uid="{06432194-A02B-49F3-B065-FBF7B5DCC179}"/>
    <cellStyle name="Nuovo 10 3 4 3" xfId="26748" xr:uid="{9F2F0693-5771-4DD9-8E77-FD237EBB32C0}"/>
    <cellStyle name="Nuovo 10 3 5" xfId="12288" xr:uid="{24A3CC10-267B-4CD8-9CD8-C05C72D58AEB}"/>
    <cellStyle name="Nuovo 10 3 6" xfId="26743" xr:uid="{F71DCA7D-5CDF-4683-9BF0-053D18337D86}"/>
    <cellStyle name="Nuovo 10 4" xfId="2086" xr:uid="{00000000-0005-0000-0000-00005B060000}"/>
    <cellStyle name="Nuovo 10 4 2" xfId="2087" xr:uid="{00000000-0005-0000-0000-00005C060000}"/>
    <cellStyle name="Nuovo 10 4 2 2" xfId="9254" xr:uid="{36E878D6-CAAE-4DC9-BBB8-676D0F4EA900}"/>
    <cellStyle name="Nuovo 10 4 2 2 2" xfId="26751" xr:uid="{AC0C1D0A-9119-4F5D-A0C7-41C201E25E32}"/>
    <cellStyle name="Nuovo 10 4 2 3" xfId="17853" xr:uid="{D9AE4C95-B27D-45F2-A10F-C7ACF3164BAD}"/>
    <cellStyle name="Nuovo 10 4 2 4" xfId="26750" xr:uid="{3BE9728F-D3DC-4771-9486-510F73150F1B}"/>
    <cellStyle name="Nuovo 10 4 2 5" xfId="17008" xr:uid="{865E42A3-DC86-471C-9297-728CAC097BAC}"/>
    <cellStyle name="Nuovo 10 4 3" xfId="9255" xr:uid="{E82EEBFA-06E0-4310-9617-6CD6F4222BC2}"/>
    <cellStyle name="Nuovo 10 4 3 2" xfId="26752" xr:uid="{7AFF745F-B412-45FD-8400-060DA0324C21}"/>
    <cellStyle name="Nuovo 10 4 4" xfId="26749" xr:uid="{DBBE18D3-2ABD-484A-B127-E5E5A7B212EE}"/>
    <cellStyle name="Nuovo 10 5" xfId="2088" xr:uid="{00000000-0005-0000-0000-00005D060000}"/>
    <cellStyle name="Nuovo 10 5 2" xfId="26753" xr:uid="{B3B2E7E6-B4CB-44D0-86C6-BCC15F5845A6}"/>
    <cellStyle name="Nuovo 10 6" xfId="4098" xr:uid="{3455894D-00B6-4B93-9B16-2A725F420E69}"/>
    <cellStyle name="Nuovo 10 6 2" xfId="9769" xr:uid="{7CE52E3E-7D3B-4751-8967-4F8B654D924F}"/>
    <cellStyle name="Nuovo 10 7" xfId="26740" xr:uid="{75A05192-91BB-4EBB-AAD4-D3907035078C}"/>
    <cellStyle name="Nuovo 11" xfId="793" xr:uid="{00000000-0005-0000-0000-00005E060000}"/>
    <cellStyle name="Nuovo 11 2" xfId="794" xr:uid="{00000000-0005-0000-0000-00005F060000}"/>
    <cellStyle name="Nuovo 11 2 2" xfId="4099" xr:uid="{0A1E126E-5882-483B-9E07-21B2D77FA1AB}"/>
    <cellStyle name="Nuovo 11 2 2 2" xfId="13520" xr:uid="{3CC22825-B816-4D1A-B5B2-A1AA16D97635}"/>
    <cellStyle name="Nuovo 11 2 2 3" xfId="26756" xr:uid="{7DD647E0-7980-4D7A-812C-7D4747703F09}"/>
    <cellStyle name="Nuovo 11 2 3" xfId="13256" xr:uid="{D780665E-4735-409C-B91F-E3D16DD92DF0}"/>
    <cellStyle name="Nuovo 11 2 4" xfId="26755" xr:uid="{094ECED3-5840-4730-8E69-BE199D16E3D6}"/>
    <cellStyle name="Nuovo 11 3" xfId="795" xr:uid="{00000000-0005-0000-0000-000060060000}"/>
    <cellStyle name="Nuovo 11 3 2" xfId="796" xr:uid="{00000000-0005-0000-0000-000061060000}"/>
    <cellStyle name="Nuovo 11 3 2 2" xfId="2089" xr:uid="{00000000-0005-0000-0000-000062060000}"/>
    <cellStyle name="Nuovo 11 3 2 2 2" xfId="26759" xr:uid="{CF619BA6-A031-4BB4-B8CB-1E5EBB5C2361}"/>
    <cellStyle name="Nuovo 11 3 2 3" xfId="8073" xr:uid="{D76B8C5A-4BF3-4491-95C8-039CF6EF2E00}"/>
    <cellStyle name="Nuovo 11 3 2 3 2" xfId="14074" xr:uid="{5B5FBC4F-283F-4734-B14D-0F9F799A304A}"/>
    <cellStyle name="Nuovo 11 3 2 4" xfId="26758" xr:uid="{4BFBA962-E788-4D99-A8F2-8590DCAD9AA8}"/>
    <cellStyle name="Nuovo 11 3 3" xfId="4100" xr:uid="{103F5CDB-A1C1-41D3-9E40-6F0FDD65AABA}"/>
    <cellStyle name="Nuovo 11 3 3 2" xfId="9256" xr:uid="{1B2B4762-5E1C-4DAA-8D32-0F3F1EA98EA7}"/>
    <cellStyle name="Nuovo 11 3 3 2 2" xfId="26761" xr:uid="{44F1DD7A-395F-4F45-AD05-6A6B721476F9}"/>
    <cellStyle name="Nuovo 11 3 3 3" xfId="26760" xr:uid="{45AA8E7A-1FDA-416E-894E-4AF9BFA382D5}"/>
    <cellStyle name="Nuovo 11 3 4" xfId="4101" xr:uid="{C08DC5C1-4605-439C-BBFD-14A18D78FADF}"/>
    <cellStyle name="Nuovo 11 3 4 2" xfId="13734" xr:uid="{52AF50FA-2486-4316-961E-E5FB2403A24D}"/>
    <cellStyle name="Nuovo 11 3 4 3" xfId="26762" xr:uid="{A671DBF7-3A64-4219-A50D-B42A78677F96}"/>
    <cellStyle name="Nuovo 11 3 5" xfId="11527" xr:uid="{394963BF-513C-4F37-A172-62CB25F13A8F}"/>
    <cellStyle name="Nuovo 11 3 6" xfId="26757" xr:uid="{A6B8E787-928A-4A3B-970E-D12114F92EB7}"/>
    <cellStyle name="Nuovo 11 4" xfId="2090" xr:uid="{00000000-0005-0000-0000-000063060000}"/>
    <cellStyle name="Nuovo 11 4 2" xfId="2091" xr:uid="{00000000-0005-0000-0000-000064060000}"/>
    <cellStyle name="Nuovo 11 4 2 2" xfId="9257" xr:uid="{7468D6CF-6013-4412-995A-B8EC0F7E5B46}"/>
    <cellStyle name="Nuovo 11 4 2 2 2" xfId="26765" xr:uid="{4881E6FB-5F48-4346-92A3-D41BA051F285}"/>
    <cellStyle name="Nuovo 11 4 2 3" xfId="17854" xr:uid="{5F0BFFD4-80CC-4194-8716-C1CC41FBD414}"/>
    <cellStyle name="Nuovo 11 4 2 4" xfId="26764" xr:uid="{6527456B-2DE8-4015-86EE-C1A8AD3438FD}"/>
    <cellStyle name="Nuovo 11 4 2 5" xfId="17007" xr:uid="{DC3B97B2-8A7D-4FA0-A6F6-328FEF820980}"/>
    <cellStyle name="Nuovo 11 4 3" xfId="9258" xr:uid="{98561E7A-D31F-4487-A372-BF04E692AB26}"/>
    <cellStyle name="Nuovo 11 4 3 2" xfId="26766" xr:uid="{8F5F2385-1F5C-4D18-8D19-BB6764D77FBC}"/>
    <cellStyle name="Nuovo 11 4 4" xfId="26763" xr:uid="{9584B009-E7A3-48E9-BF2E-FE3C7C2956DF}"/>
    <cellStyle name="Nuovo 11 5" xfId="2092" xr:uid="{00000000-0005-0000-0000-000065060000}"/>
    <cellStyle name="Nuovo 11 5 2" xfId="26767" xr:uid="{F6214029-5E1E-443C-A4E0-6853756B80B0}"/>
    <cellStyle name="Nuovo 11 6" xfId="4102" xr:uid="{7DC4FA71-46B2-4A44-B776-322E5564491C}"/>
    <cellStyle name="Nuovo 11 6 2" xfId="9770" xr:uid="{60915CE5-A156-4137-9E5B-AA33920CC38A}"/>
    <cellStyle name="Nuovo 11 7" xfId="26754" xr:uid="{5D38CA62-2887-41C3-8FAE-05F4ABE719E7}"/>
    <cellStyle name="Nuovo 12" xfId="797" xr:uid="{00000000-0005-0000-0000-000066060000}"/>
    <cellStyle name="Nuovo 12 2" xfId="798" xr:uid="{00000000-0005-0000-0000-000067060000}"/>
    <cellStyle name="Nuovo 12 2 2" xfId="4103" xr:uid="{CE9F6DA8-2307-4B1F-8EE0-D0903E3B7D3F}"/>
    <cellStyle name="Nuovo 12 2 2 2" xfId="13521" xr:uid="{FD97A397-A6F4-4677-A979-AE05CC6CBA8E}"/>
    <cellStyle name="Nuovo 12 2 2 3" xfId="26770" xr:uid="{AB1BC61A-B479-43E4-B74A-5818CBC4995C}"/>
    <cellStyle name="Nuovo 12 2 3" xfId="13257" xr:uid="{91AC9634-50F9-47E1-ADD3-0DDA32EF53BB}"/>
    <cellStyle name="Nuovo 12 2 4" xfId="26769" xr:uid="{B057237E-DC8E-4CF4-A06A-460680346ED1}"/>
    <cellStyle name="Nuovo 12 3" xfId="799" xr:uid="{00000000-0005-0000-0000-000068060000}"/>
    <cellStyle name="Nuovo 12 3 2" xfId="800" xr:uid="{00000000-0005-0000-0000-000069060000}"/>
    <cellStyle name="Nuovo 12 3 2 2" xfId="2093" xr:uid="{00000000-0005-0000-0000-00006A060000}"/>
    <cellStyle name="Nuovo 12 3 2 2 2" xfId="26773" xr:uid="{7F4D5554-EDC8-4C33-94F8-6E00BF34AD59}"/>
    <cellStyle name="Nuovo 12 3 2 3" xfId="8074" xr:uid="{5B238DB2-0828-4CA1-B48B-E2120CC635DB}"/>
    <cellStyle name="Nuovo 12 3 2 3 2" xfId="14075" xr:uid="{800CA528-1DEA-4A7D-AD89-26E81F916C2B}"/>
    <cellStyle name="Nuovo 12 3 2 4" xfId="26772" xr:uid="{3B72E384-AB63-49BA-B16A-9CBD291AC55B}"/>
    <cellStyle name="Nuovo 12 3 3" xfId="4104" xr:uid="{5EE056CA-855F-427E-9B21-25D361241825}"/>
    <cellStyle name="Nuovo 12 3 3 2" xfId="9259" xr:uid="{39836A22-9243-4BB7-B505-8549BF4804A3}"/>
    <cellStyle name="Nuovo 12 3 3 2 2" xfId="26775" xr:uid="{D7706CA5-50D9-4B25-804F-B04DFE3397F1}"/>
    <cellStyle name="Nuovo 12 3 3 3" xfId="26774" xr:uid="{986052D1-833E-409B-ADC8-CEBCB91FEED6}"/>
    <cellStyle name="Nuovo 12 3 4" xfId="4105" xr:uid="{52F7B937-3D51-4B64-96EC-BA61D5C9C092}"/>
    <cellStyle name="Nuovo 12 3 4 2" xfId="13735" xr:uid="{82D5FB87-4DA7-4F7D-9B6F-BFD436CE25C4}"/>
    <cellStyle name="Nuovo 12 3 4 3" xfId="26776" xr:uid="{FCB18BD0-BEC9-42F7-B654-002DCDD9FFF4}"/>
    <cellStyle name="Nuovo 12 3 5" xfId="11214" xr:uid="{077EB9D7-B08D-4A48-B25F-E43206E240D4}"/>
    <cellStyle name="Nuovo 12 3 6" xfId="26771" xr:uid="{EE6CA4C6-ABA6-43FC-A3BC-D34054399F6B}"/>
    <cellStyle name="Nuovo 12 4" xfId="2094" xr:uid="{00000000-0005-0000-0000-00006B060000}"/>
    <cellStyle name="Nuovo 12 4 2" xfId="2095" xr:uid="{00000000-0005-0000-0000-00006C060000}"/>
    <cellStyle name="Nuovo 12 4 2 2" xfId="9260" xr:uid="{B17C5DF4-4A13-46D3-A10B-2E27AFA59D6F}"/>
    <cellStyle name="Nuovo 12 4 2 2 2" xfId="26779" xr:uid="{FA3D81D3-4A42-4BF9-BBF4-FDD510D2B1C0}"/>
    <cellStyle name="Nuovo 12 4 2 3" xfId="17855" xr:uid="{3D9B6291-96FD-4D73-B022-DE6C7F0BB922}"/>
    <cellStyle name="Nuovo 12 4 2 4" xfId="26778" xr:uid="{3FF85937-F612-4798-8662-00EFB6D28D5F}"/>
    <cellStyle name="Nuovo 12 4 2 5" xfId="17006" xr:uid="{540DD186-DEAA-4F0B-8C1E-2E10239D388A}"/>
    <cellStyle name="Nuovo 12 4 3" xfId="9261" xr:uid="{B9C85AB7-B505-4260-BA7F-B88058E831BA}"/>
    <cellStyle name="Nuovo 12 4 3 2" xfId="26780" xr:uid="{5D4BF611-ED69-4F39-954B-1DC8D4D559C8}"/>
    <cellStyle name="Nuovo 12 4 4" xfId="26777" xr:uid="{7057C2FB-ED42-4455-BA68-880FE01CD95F}"/>
    <cellStyle name="Nuovo 12 5" xfId="2096" xr:uid="{00000000-0005-0000-0000-00006D060000}"/>
    <cellStyle name="Nuovo 12 5 2" xfId="26781" xr:uid="{AA1AFE88-DDA1-4373-8580-0D301B7DE326}"/>
    <cellStyle name="Nuovo 12 6" xfId="4106" xr:uid="{3730AC5A-78BB-47C2-9940-80600D3C069C}"/>
    <cellStyle name="Nuovo 12 6 2" xfId="9771" xr:uid="{DF7BDED5-1DBB-4345-8BC2-741752C68838}"/>
    <cellStyle name="Nuovo 12 7" xfId="26768" xr:uid="{55B3D81F-853A-4B15-8E5D-69D0CB4626E3}"/>
    <cellStyle name="Nuovo 13" xfId="801" xr:uid="{00000000-0005-0000-0000-00006E060000}"/>
    <cellStyle name="Nuovo 13 2" xfId="802" xr:uid="{00000000-0005-0000-0000-00006F060000}"/>
    <cellStyle name="Nuovo 13 2 2" xfId="4107" xr:uid="{B3462424-B903-4D82-A94E-BCECF8331C67}"/>
    <cellStyle name="Nuovo 13 2 2 2" xfId="13522" xr:uid="{8FAC9277-9C7E-4BA8-A58C-D4397947D95C}"/>
    <cellStyle name="Nuovo 13 2 2 3" xfId="26784" xr:uid="{F99144CC-9601-4CE1-9030-2E8E6D85D8D3}"/>
    <cellStyle name="Nuovo 13 2 3" xfId="13258" xr:uid="{4DA01CB3-1817-4DE0-804B-957DB3C12410}"/>
    <cellStyle name="Nuovo 13 2 4" xfId="26783" xr:uid="{9DC1F15C-ACDE-4E68-9ADE-C6CF57E1EDC1}"/>
    <cellStyle name="Nuovo 13 3" xfId="803" xr:uid="{00000000-0005-0000-0000-000070060000}"/>
    <cellStyle name="Nuovo 13 3 2" xfId="804" xr:uid="{00000000-0005-0000-0000-000071060000}"/>
    <cellStyle name="Nuovo 13 3 2 2" xfId="2097" xr:uid="{00000000-0005-0000-0000-000072060000}"/>
    <cellStyle name="Nuovo 13 3 2 2 2" xfId="26787" xr:uid="{876B868F-303F-4F2E-9307-2407FC5A9655}"/>
    <cellStyle name="Nuovo 13 3 2 3" xfId="8075" xr:uid="{313A5975-6E81-497D-A0D9-29A4C47EB2EF}"/>
    <cellStyle name="Nuovo 13 3 2 3 2" xfId="14076" xr:uid="{7E800E01-5931-4363-B899-7C6CA386FBFA}"/>
    <cellStyle name="Nuovo 13 3 2 4" xfId="26786" xr:uid="{B74CD543-C158-4CE4-B492-6C3B12597B99}"/>
    <cellStyle name="Nuovo 13 3 3" xfId="4108" xr:uid="{8C85CC36-9D93-48FB-9F67-A21796D5E438}"/>
    <cellStyle name="Nuovo 13 3 3 2" xfId="9262" xr:uid="{435A33B8-648E-4CA1-BFC1-C67A4E013C4F}"/>
    <cellStyle name="Nuovo 13 3 3 2 2" xfId="26789" xr:uid="{AC060B3B-DE0C-4C95-B7B6-6C52CC4D8AE4}"/>
    <cellStyle name="Nuovo 13 3 3 3" xfId="26788" xr:uid="{9BFE8DA2-35B4-4A47-A9C9-C825195D2E83}"/>
    <cellStyle name="Nuovo 13 3 4" xfId="4109" xr:uid="{0EADFF64-4EF5-46E4-B7E2-5C5D69BB536C}"/>
    <cellStyle name="Nuovo 13 3 4 2" xfId="13736" xr:uid="{4E768A53-0479-4F15-B05B-2CD38AEAA32F}"/>
    <cellStyle name="Nuovo 13 3 4 3" xfId="26790" xr:uid="{A947F57C-151D-4E56-89C1-D0100B90F22B}"/>
    <cellStyle name="Nuovo 13 3 5" xfId="12254" xr:uid="{B1808459-2124-4FD0-8245-61EA411F58BA}"/>
    <cellStyle name="Nuovo 13 3 6" xfId="26785" xr:uid="{188194A9-60DA-4B9E-BD3E-C09D9EF52655}"/>
    <cellStyle name="Nuovo 13 4" xfId="2098" xr:uid="{00000000-0005-0000-0000-000073060000}"/>
    <cellStyle name="Nuovo 13 4 2" xfId="2099" xr:uid="{00000000-0005-0000-0000-000074060000}"/>
    <cellStyle name="Nuovo 13 4 2 2" xfId="9263" xr:uid="{04C39DD4-D347-4679-8D4A-075A73C67DE1}"/>
    <cellStyle name="Nuovo 13 4 2 2 2" xfId="26793" xr:uid="{FDBBDB7B-E66F-4860-A9B9-94801E413C1D}"/>
    <cellStyle name="Nuovo 13 4 2 3" xfId="17856" xr:uid="{18C6BCE1-508B-41CE-A240-0DD50F3E9B53}"/>
    <cellStyle name="Nuovo 13 4 2 4" xfId="26792" xr:uid="{5C9DF202-8451-49ED-85C7-AFB45CBB3154}"/>
    <cellStyle name="Nuovo 13 4 2 5" xfId="17005" xr:uid="{3C82AC3C-B550-48B0-B431-9EAEC9ABF5EA}"/>
    <cellStyle name="Nuovo 13 4 3" xfId="9264" xr:uid="{FF42DEC1-6622-47F0-BE8B-2D4101A1F59B}"/>
    <cellStyle name="Nuovo 13 4 3 2" xfId="26794" xr:uid="{97DAFC4C-55BE-49A4-9C87-CF646FDEE778}"/>
    <cellStyle name="Nuovo 13 4 4" xfId="26791" xr:uid="{47CD00BD-3689-4667-A2F2-ED003F072873}"/>
    <cellStyle name="Nuovo 13 5" xfId="2100" xr:uid="{00000000-0005-0000-0000-000075060000}"/>
    <cellStyle name="Nuovo 13 5 2" xfId="26795" xr:uid="{2EFB7276-F1A2-4BF5-AB34-B118DE2AAD58}"/>
    <cellStyle name="Nuovo 13 6" xfId="4110" xr:uid="{A1EA4960-875F-47FA-B5CE-F431BDC81CF2}"/>
    <cellStyle name="Nuovo 13 6 2" xfId="9772" xr:uid="{78BBC712-D163-4802-82B6-F5B64A1DE003}"/>
    <cellStyle name="Nuovo 13 7" xfId="26782" xr:uid="{457F099B-D566-43D8-B53D-0202A3569CCA}"/>
    <cellStyle name="Nuovo 14" xfId="805" xr:uid="{00000000-0005-0000-0000-000076060000}"/>
    <cellStyle name="Nuovo 14 2" xfId="806" xr:uid="{00000000-0005-0000-0000-000077060000}"/>
    <cellStyle name="Nuovo 14 2 2" xfId="4111" xr:uid="{D6A59815-0321-4B32-8EC5-0E679D9B4B50}"/>
    <cellStyle name="Nuovo 14 2 2 2" xfId="13523" xr:uid="{3B99CDEE-6C9E-45E2-855C-55AB00C200B8}"/>
    <cellStyle name="Nuovo 14 2 2 3" xfId="26798" xr:uid="{1B7B0488-2649-4382-AAA1-4FBE66305D9B}"/>
    <cellStyle name="Nuovo 14 2 3" xfId="13259" xr:uid="{A929E4E3-A0A6-465A-AA4C-3DF468D912BF}"/>
    <cellStyle name="Nuovo 14 2 4" xfId="26797" xr:uid="{3ACF895C-0DC0-47E6-AABA-2E29E005CA1F}"/>
    <cellStyle name="Nuovo 14 3" xfId="807" xr:uid="{00000000-0005-0000-0000-000078060000}"/>
    <cellStyle name="Nuovo 14 3 2" xfId="808" xr:uid="{00000000-0005-0000-0000-000079060000}"/>
    <cellStyle name="Nuovo 14 3 2 2" xfId="2101" xr:uid="{00000000-0005-0000-0000-00007A060000}"/>
    <cellStyle name="Nuovo 14 3 2 2 2" xfId="26801" xr:uid="{AF5D2E07-9C4F-469A-9C49-7DD3FAED533C}"/>
    <cellStyle name="Nuovo 14 3 2 3" xfId="8076" xr:uid="{A02A803D-0DE6-477B-9920-03E3CB3A468F}"/>
    <cellStyle name="Nuovo 14 3 2 3 2" xfId="14077" xr:uid="{1935A461-CA2A-4D5C-9A77-7F4DC89825B8}"/>
    <cellStyle name="Nuovo 14 3 2 4" xfId="26800" xr:uid="{912A36F2-CE30-4DA4-BC69-C92EAB5E9D86}"/>
    <cellStyle name="Nuovo 14 3 3" xfId="4112" xr:uid="{297A7DB0-45E5-415E-870B-5D0B90C128A3}"/>
    <cellStyle name="Nuovo 14 3 3 2" xfId="9265" xr:uid="{6FFE195A-EDD2-4817-BE07-F4C93951AA38}"/>
    <cellStyle name="Nuovo 14 3 3 2 2" xfId="26803" xr:uid="{71E554E7-3286-4928-B2D7-F650E97248C2}"/>
    <cellStyle name="Nuovo 14 3 3 3" xfId="26802" xr:uid="{19855C95-E8D5-4ECE-BA26-730F55D99C66}"/>
    <cellStyle name="Nuovo 14 3 4" xfId="4113" xr:uid="{740D2CAD-EB4C-448A-AB31-17E15720012C}"/>
    <cellStyle name="Nuovo 14 3 4 2" xfId="13737" xr:uid="{EDFECB3E-24C9-4760-B8E5-8B81E1DD8981}"/>
    <cellStyle name="Nuovo 14 3 4 3" xfId="26804" xr:uid="{DC49F379-BF69-4000-83F0-E97DC1374C2B}"/>
    <cellStyle name="Nuovo 14 3 5" xfId="12165" xr:uid="{50EA7597-6F8E-4B60-8CDD-D7A35DAD393A}"/>
    <cellStyle name="Nuovo 14 3 6" xfId="26799" xr:uid="{AD1A064F-00B6-4E17-AF72-08FBBB8BD425}"/>
    <cellStyle name="Nuovo 14 4" xfId="2102" xr:uid="{00000000-0005-0000-0000-00007B060000}"/>
    <cellStyle name="Nuovo 14 4 2" xfId="2103" xr:uid="{00000000-0005-0000-0000-00007C060000}"/>
    <cellStyle name="Nuovo 14 4 2 2" xfId="9266" xr:uid="{C6A7768E-72DA-4119-8402-01A7D39F53C4}"/>
    <cellStyle name="Nuovo 14 4 2 2 2" xfId="26807" xr:uid="{C53B601F-2C46-4A13-B62B-C1089E7E2DCC}"/>
    <cellStyle name="Nuovo 14 4 2 3" xfId="17857" xr:uid="{C57F1EF2-442D-4F25-9C35-5D2046677F29}"/>
    <cellStyle name="Nuovo 14 4 2 4" xfId="26806" xr:uid="{6A25BE5A-2F33-4747-A68A-AE9AC4BDEFA6}"/>
    <cellStyle name="Nuovo 14 4 2 5" xfId="17004" xr:uid="{5257A9A7-57EB-4AB7-8110-074A78A7F75D}"/>
    <cellStyle name="Nuovo 14 4 3" xfId="9267" xr:uid="{2EE604C0-3F1D-4230-A041-BFB9640B3647}"/>
    <cellStyle name="Nuovo 14 4 3 2" xfId="26808" xr:uid="{D54C1E61-1AB0-490C-88F6-1823397CBDE3}"/>
    <cellStyle name="Nuovo 14 4 4" xfId="26805" xr:uid="{E8ED559B-D14C-4400-AD16-F706C426C077}"/>
    <cellStyle name="Nuovo 14 5" xfId="2104" xr:uid="{00000000-0005-0000-0000-00007D060000}"/>
    <cellStyle name="Nuovo 14 5 2" xfId="26809" xr:uid="{ECBACA2C-B3DF-4B2E-B189-5C83C5E310B6}"/>
    <cellStyle name="Nuovo 14 6" xfId="4114" xr:uid="{DB155427-2CA2-4D2B-A63C-86F196AD5154}"/>
    <cellStyle name="Nuovo 14 6 2" xfId="9773" xr:uid="{A8670B5D-025B-4595-B2F5-1A0523F845BD}"/>
    <cellStyle name="Nuovo 14 7" xfId="26796" xr:uid="{6FB5CC97-0BFD-4BDB-B4C2-E80A314D9FBE}"/>
    <cellStyle name="Nuovo 15" xfId="809" xr:uid="{00000000-0005-0000-0000-00007E060000}"/>
    <cellStyle name="Nuovo 15 2" xfId="810" xr:uid="{00000000-0005-0000-0000-00007F060000}"/>
    <cellStyle name="Nuovo 15 2 2" xfId="4115" xr:uid="{B6450B25-85C1-410F-94F3-6F3C3EE65A91}"/>
    <cellStyle name="Nuovo 15 2 2 2" xfId="13524" xr:uid="{63ED82C3-0436-4568-AD97-BD1E46D2CDA3}"/>
    <cellStyle name="Nuovo 15 2 2 3" xfId="26812" xr:uid="{215729D3-1ADD-40F2-87D0-9E8B4F955538}"/>
    <cellStyle name="Nuovo 15 2 3" xfId="13260" xr:uid="{D4CE24B7-DA08-4EA6-8436-ECF7379C0553}"/>
    <cellStyle name="Nuovo 15 2 4" xfId="26811" xr:uid="{7CC9756F-E66A-4C51-B61A-9195CC556C37}"/>
    <cellStyle name="Nuovo 15 3" xfId="811" xr:uid="{00000000-0005-0000-0000-000080060000}"/>
    <cellStyle name="Nuovo 15 3 2" xfId="812" xr:uid="{00000000-0005-0000-0000-000081060000}"/>
    <cellStyle name="Nuovo 15 3 2 2" xfId="2105" xr:uid="{00000000-0005-0000-0000-000082060000}"/>
    <cellStyle name="Nuovo 15 3 2 2 2" xfId="26815" xr:uid="{3888F2C6-898B-41CA-8E09-4514944CC2EA}"/>
    <cellStyle name="Nuovo 15 3 2 3" xfId="8077" xr:uid="{E33F15C0-B8EF-4DE3-9972-5D1764918CC8}"/>
    <cellStyle name="Nuovo 15 3 2 3 2" xfId="14078" xr:uid="{DF6BDEE3-2D2A-418F-BC7B-4B8B3A1A32E0}"/>
    <cellStyle name="Nuovo 15 3 2 4" xfId="26814" xr:uid="{F83252AF-F7F5-4139-B5CD-F9B2E3AF004F}"/>
    <cellStyle name="Nuovo 15 3 3" xfId="4116" xr:uid="{D1C30CCD-9832-4582-BED6-A70C5191CA94}"/>
    <cellStyle name="Nuovo 15 3 3 2" xfId="9268" xr:uid="{0E3AD4E6-9F84-48ED-89A8-53257D84B1C8}"/>
    <cellStyle name="Nuovo 15 3 3 2 2" xfId="26817" xr:uid="{1C636180-9805-4C73-B4E4-58A6042BEDFC}"/>
    <cellStyle name="Nuovo 15 3 3 3" xfId="26816" xr:uid="{5D624AF0-6F80-4741-8860-5642A7DDD85F}"/>
    <cellStyle name="Nuovo 15 3 4" xfId="4117" xr:uid="{8AEAE1A3-272A-4158-A711-3BB33F95F417}"/>
    <cellStyle name="Nuovo 15 3 4 2" xfId="13738" xr:uid="{693FA69D-CED0-41EF-B8ED-39913784792E}"/>
    <cellStyle name="Nuovo 15 3 4 3" xfId="26818" xr:uid="{F21AF9A9-5DCD-41F8-9ECD-E0B677D52C6C}"/>
    <cellStyle name="Nuovo 15 3 5" xfId="11526" xr:uid="{B17050D1-8CED-4D4D-9604-E64F69964961}"/>
    <cellStyle name="Nuovo 15 3 6" xfId="26813" xr:uid="{8FD6D04B-0600-4268-B380-BAC4746629EA}"/>
    <cellStyle name="Nuovo 15 4" xfId="2106" xr:uid="{00000000-0005-0000-0000-000083060000}"/>
    <cellStyle name="Nuovo 15 4 2" xfId="2107" xr:uid="{00000000-0005-0000-0000-000084060000}"/>
    <cellStyle name="Nuovo 15 4 2 2" xfId="9269" xr:uid="{2CFBF946-815D-4756-A19A-D7C98599DBDB}"/>
    <cellStyle name="Nuovo 15 4 2 2 2" xfId="26821" xr:uid="{663B764A-EF13-4CE8-B778-11395218367A}"/>
    <cellStyle name="Nuovo 15 4 2 3" xfId="17858" xr:uid="{08D7E112-7585-4976-B0D7-1160780BABFC}"/>
    <cellStyle name="Nuovo 15 4 2 4" xfId="26820" xr:uid="{F1CEAACD-E809-455D-AF69-66926260B027}"/>
    <cellStyle name="Nuovo 15 4 2 5" xfId="17003" xr:uid="{1116C68F-F7F1-4708-B2C3-E58583D37E94}"/>
    <cellStyle name="Nuovo 15 4 3" xfId="9270" xr:uid="{F696F87C-B2FF-464D-8C5D-8C9241FD2963}"/>
    <cellStyle name="Nuovo 15 4 3 2" xfId="26822" xr:uid="{B06D3ED0-A8D5-491F-8E00-B425AB67E897}"/>
    <cellStyle name="Nuovo 15 4 4" xfId="26819" xr:uid="{5D4204A4-ABA8-4DE7-8704-EB9496436DF4}"/>
    <cellStyle name="Nuovo 15 5" xfId="2108" xr:uid="{00000000-0005-0000-0000-000085060000}"/>
    <cellStyle name="Nuovo 15 5 2" xfId="26823" xr:uid="{EE66ADCC-5AE4-42D5-A6E9-93004A1CE1A9}"/>
    <cellStyle name="Nuovo 15 6" xfId="4118" xr:uid="{EAC982BB-9C75-41FB-80A2-09932D31C774}"/>
    <cellStyle name="Nuovo 15 6 2" xfId="9774" xr:uid="{2B860115-CBF0-4D87-956A-02E8FBF80344}"/>
    <cellStyle name="Nuovo 15 7" xfId="26810" xr:uid="{3D4E834E-3F6D-428E-8DB9-EC3D210CC8C0}"/>
    <cellStyle name="Nuovo 16" xfId="813" xr:uid="{00000000-0005-0000-0000-000086060000}"/>
    <cellStyle name="Nuovo 16 2" xfId="814" xr:uid="{00000000-0005-0000-0000-000087060000}"/>
    <cellStyle name="Nuovo 16 2 2" xfId="4119" xr:uid="{674E81C1-15FC-48CE-82A3-C9A86B0EC722}"/>
    <cellStyle name="Nuovo 16 2 2 2" xfId="13525" xr:uid="{0BFA7FE3-6E2E-46F2-84BC-9B3F8F8A390C}"/>
    <cellStyle name="Nuovo 16 2 2 3" xfId="26826" xr:uid="{E826885B-CAC9-4E83-B0CF-B27DB64FCDF3}"/>
    <cellStyle name="Nuovo 16 2 3" xfId="13261" xr:uid="{BD0C9426-3D6B-4B4A-8E81-01F31D6668DF}"/>
    <cellStyle name="Nuovo 16 2 4" xfId="26825" xr:uid="{31062CA0-4CE9-49DE-8961-DAFA0B4A3810}"/>
    <cellStyle name="Nuovo 16 3" xfId="815" xr:uid="{00000000-0005-0000-0000-000088060000}"/>
    <cellStyle name="Nuovo 16 3 2" xfId="816" xr:uid="{00000000-0005-0000-0000-000089060000}"/>
    <cellStyle name="Nuovo 16 3 2 2" xfId="2109" xr:uid="{00000000-0005-0000-0000-00008A060000}"/>
    <cellStyle name="Nuovo 16 3 2 2 2" xfId="26829" xr:uid="{49AADD98-BCE9-453F-9C5F-2972B7C149DF}"/>
    <cellStyle name="Nuovo 16 3 2 3" xfId="8078" xr:uid="{CF5F2C7F-99CE-4926-B34C-539D24E85646}"/>
    <cellStyle name="Nuovo 16 3 2 3 2" xfId="14079" xr:uid="{914D4537-29C0-47F8-BD21-6B2310C99250}"/>
    <cellStyle name="Nuovo 16 3 2 4" xfId="26828" xr:uid="{92B3EF71-987C-4D60-8DAA-30A5862697B5}"/>
    <cellStyle name="Nuovo 16 3 3" xfId="4120" xr:uid="{732E2F74-9831-459D-996F-B14AB6D6AA93}"/>
    <cellStyle name="Nuovo 16 3 3 2" xfId="9271" xr:uid="{A404155A-8959-4121-B33E-8AC1EF9D4F8C}"/>
    <cellStyle name="Nuovo 16 3 3 2 2" xfId="26831" xr:uid="{CCCC3D13-E4ED-4848-8E74-DBC5A3E2248E}"/>
    <cellStyle name="Nuovo 16 3 3 3" xfId="26830" xr:uid="{FAC76E03-198D-4146-9BE4-69B7DFDC66EA}"/>
    <cellStyle name="Nuovo 16 3 4" xfId="4121" xr:uid="{D0C9F8CE-B331-4CEC-BA70-E5E2AF66290F}"/>
    <cellStyle name="Nuovo 16 3 4 2" xfId="13739" xr:uid="{BCD7D23E-15AA-40C3-88BC-F884AE3D2B7E}"/>
    <cellStyle name="Nuovo 16 3 4 3" xfId="26832" xr:uid="{CDEF79EE-FB9D-4A55-B32D-5CE7896FC532}"/>
    <cellStyle name="Nuovo 16 3 5" xfId="11124" xr:uid="{38D30BF8-A156-4DB7-9749-5325AAE2DB84}"/>
    <cellStyle name="Nuovo 16 3 6" xfId="26827" xr:uid="{5466334B-6D0F-4F46-9604-531FEE379345}"/>
    <cellStyle name="Nuovo 16 4" xfId="2110" xr:uid="{00000000-0005-0000-0000-00008B060000}"/>
    <cellStyle name="Nuovo 16 4 2" xfId="2111" xr:uid="{00000000-0005-0000-0000-00008C060000}"/>
    <cellStyle name="Nuovo 16 4 2 2" xfId="9272" xr:uid="{37A7AEC5-4E71-485B-84D7-12BF6BBF592C}"/>
    <cellStyle name="Nuovo 16 4 2 2 2" xfId="26835" xr:uid="{2FB9223B-D8FE-4E06-A2BE-1E8CF1B1C38A}"/>
    <cellStyle name="Nuovo 16 4 2 3" xfId="17859" xr:uid="{E4B0FACB-31B1-408D-90E0-74F628AF3094}"/>
    <cellStyle name="Nuovo 16 4 2 4" xfId="26834" xr:uid="{0D6E15ED-9569-4EAD-8902-4D8476BA1034}"/>
    <cellStyle name="Nuovo 16 4 2 5" xfId="17000" xr:uid="{71E8DCA5-67E5-40EB-BD32-0CD54A94B997}"/>
    <cellStyle name="Nuovo 16 4 3" xfId="9273" xr:uid="{C886ED95-3103-4DC6-9982-51AFC6CEFD2A}"/>
    <cellStyle name="Nuovo 16 4 3 2" xfId="26836" xr:uid="{7D28022C-0AD7-4085-95E8-AC9BA4E6EE28}"/>
    <cellStyle name="Nuovo 16 4 4" xfId="26833" xr:uid="{FC46FC3C-484C-4055-BEB4-C7BE21417500}"/>
    <cellStyle name="Nuovo 16 5" xfId="2112" xr:uid="{00000000-0005-0000-0000-00008D060000}"/>
    <cellStyle name="Nuovo 16 5 2" xfId="26837" xr:uid="{DF1271FD-2234-4C87-A573-46054AAA56EA}"/>
    <cellStyle name="Nuovo 16 6" xfId="4122" xr:uid="{6A3142C1-60C7-4085-8046-8BB8F78E1344}"/>
    <cellStyle name="Nuovo 16 6 2" xfId="9775" xr:uid="{FDB0036C-4369-4CA3-B688-64B2DE287A72}"/>
    <cellStyle name="Nuovo 16 7" xfId="26824" xr:uid="{0E8A1D69-B479-4BE3-B5C7-E7A1B0889293}"/>
    <cellStyle name="Nuovo 17" xfId="817" xr:uid="{00000000-0005-0000-0000-00008E060000}"/>
    <cellStyle name="Nuovo 17 2" xfId="818" xr:uid="{00000000-0005-0000-0000-00008F060000}"/>
    <cellStyle name="Nuovo 17 2 2" xfId="4123" xr:uid="{5680E20D-068A-478C-92E7-F135E9BF847C}"/>
    <cellStyle name="Nuovo 17 2 2 2" xfId="13526" xr:uid="{B9A90D01-2691-4386-BBC2-574AEBB4AB03}"/>
    <cellStyle name="Nuovo 17 2 2 3" xfId="26840" xr:uid="{3DA4EFCF-9789-4852-9D8C-06FD1C73252B}"/>
    <cellStyle name="Nuovo 17 2 3" xfId="13262" xr:uid="{64F3475B-DC25-49DE-A9DE-9DEDEBCF66D9}"/>
    <cellStyle name="Nuovo 17 2 4" xfId="26839" xr:uid="{386A8292-AF3E-4839-BD94-CE458B00352F}"/>
    <cellStyle name="Nuovo 17 3" xfId="819" xr:uid="{00000000-0005-0000-0000-000090060000}"/>
    <cellStyle name="Nuovo 17 3 2" xfId="820" xr:uid="{00000000-0005-0000-0000-000091060000}"/>
    <cellStyle name="Nuovo 17 3 2 2" xfId="2113" xr:uid="{00000000-0005-0000-0000-000092060000}"/>
    <cellStyle name="Nuovo 17 3 2 2 2" xfId="26843" xr:uid="{56E082A9-2329-4B2E-8012-A727DE988668}"/>
    <cellStyle name="Nuovo 17 3 2 3" xfId="8079" xr:uid="{22749D5B-D498-44DE-9DD0-569619B7EE33}"/>
    <cellStyle name="Nuovo 17 3 2 3 2" xfId="14080" xr:uid="{ED25BF14-5C7A-406F-9D3D-B1D5EDB3BBA7}"/>
    <cellStyle name="Nuovo 17 3 2 4" xfId="26842" xr:uid="{9415B1BC-D2CF-4865-908F-CEB36BD187C1}"/>
    <cellStyle name="Nuovo 17 3 3" xfId="4124" xr:uid="{6E633A86-78F0-48E6-A391-B054F0BF6D9A}"/>
    <cellStyle name="Nuovo 17 3 3 2" xfId="9274" xr:uid="{0E562992-A542-445C-94CB-2D3F7B98FDA4}"/>
    <cellStyle name="Nuovo 17 3 3 2 2" xfId="26845" xr:uid="{324D4E74-4DE5-4073-A101-56B0E7D66508}"/>
    <cellStyle name="Nuovo 17 3 3 3" xfId="26844" xr:uid="{25DCA003-27B8-4B81-B549-117447310214}"/>
    <cellStyle name="Nuovo 17 3 4" xfId="4125" xr:uid="{540D7934-7F25-4A18-B460-B6BA43E1E95E}"/>
    <cellStyle name="Nuovo 17 3 4 2" xfId="13740" xr:uid="{9D7B899C-7FA4-42AD-8C14-29E2EBD52C43}"/>
    <cellStyle name="Nuovo 17 3 4 3" xfId="26846" xr:uid="{9DF310C7-50B2-4C17-8864-EB38A63D2CEB}"/>
    <cellStyle name="Nuovo 17 3 5" xfId="12255" xr:uid="{66D6BFDC-4D1A-481C-A0B3-00A568E424BF}"/>
    <cellStyle name="Nuovo 17 3 6" xfId="26841" xr:uid="{D367C54E-DF59-4C72-B0EA-02CD522D50E3}"/>
    <cellStyle name="Nuovo 17 4" xfId="2114" xr:uid="{00000000-0005-0000-0000-000093060000}"/>
    <cellStyle name="Nuovo 17 4 2" xfId="2115" xr:uid="{00000000-0005-0000-0000-000094060000}"/>
    <cellStyle name="Nuovo 17 4 2 2" xfId="9275" xr:uid="{B7D72153-BBDD-4612-884E-B6C25E637A81}"/>
    <cellStyle name="Nuovo 17 4 2 2 2" xfId="26849" xr:uid="{90CAFA27-2605-4743-8440-79F7CF803FBB}"/>
    <cellStyle name="Nuovo 17 4 2 3" xfId="17860" xr:uid="{6C72D77F-20CD-4A69-854C-8B0AED43D0CD}"/>
    <cellStyle name="Nuovo 17 4 2 4" xfId="26848" xr:uid="{6A9181B2-4892-4523-AF14-27C35C16CC65}"/>
    <cellStyle name="Nuovo 17 4 2 5" xfId="16999" xr:uid="{C85BF479-FFE8-4464-9ECE-20071E35EEEB}"/>
    <cellStyle name="Nuovo 17 4 3" xfId="9276" xr:uid="{FC923EB8-9BEC-4EF9-B12D-C011A2EAFDAA}"/>
    <cellStyle name="Nuovo 17 4 3 2" xfId="26850" xr:uid="{896B88F7-E541-41C1-AE56-A67ECDB11B85}"/>
    <cellStyle name="Nuovo 17 4 4" xfId="26847" xr:uid="{93C7EB35-EFF8-4A62-8BA1-476CF484B611}"/>
    <cellStyle name="Nuovo 17 5" xfId="2116" xr:uid="{00000000-0005-0000-0000-000095060000}"/>
    <cellStyle name="Nuovo 17 5 2" xfId="26851" xr:uid="{1EB9EE26-08FA-4304-BA7A-BF0F969D8475}"/>
    <cellStyle name="Nuovo 17 6" xfId="4126" xr:uid="{685BADFE-6FEA-4AF5-852B-24E28B30987F}"/>
    <cellStyle name="Nuovo 17 6 2" xfId="9776" xr:uid="{B106A9A8-3012-452E-95D6-07DF7FEB9FC4}"/>
    <cellStyle name="Nuovo 17 7" xfId="26838" xr:uid="{82D1893F-8EAA-42C9-AA67-CD5381DE10A6}"/>
    <cellStyle name="Nuovo 18" xfId="821" xr:uid="{00000000-0005-0000-0000-000096060000}"/>
    <cellStyle name="Nuovo 18 2" xfId="822" xr:uid="{00000000-0005-0000-0000-000097060000}"/>
    <cellStyle name="Nuovo 18 2 2" xfId="4127" xr:uid="{16C23854-7301-45A9-A809-4071B3DB4052}"/>
    <cellStyle name="Nuovo 18 2 2 2" xfId="13527" xr:uid="{9768A9CE-6474-4FFC-AE6A-294E34508D64}"/>
    <cellStyle name="Nuovo 18 2 2 3" xfId="26854" xr:uid="{D85E5B60-EFB8-4363-A8E2-D2711A47650E}"/>
    <cellStyle name="Nuovo 18 2 3" xfId="13263" xr:uid="{0E7FAC49-7F66-4521-AC23-E3DEE0FD6280}"/>
    <cellStyle name="Nuovo 18 2 4" xfId="26853" xr:uid="{73B1D0CD-E1E2-412C-9815-286335A29032}"/>
    <cellStyle name="Nuovo 18 3" xfId="823" xr:uid="{00000000-0005-0000-0000-000098060000}"/>
    <cellStyle name="Nuovo 18 3 2" xfId="824" xr:uid="{00000000-0005-0000-0000-000099060000}"/>
    <cellStyle name="Nuovo 18 3 2 2" xfId="2117" xr:uid="{00000000-0005-0000-0000-00009A060000}"/>
    <cellStyle name="Nuovo 18 3 2 2 2" xfId="26857" xr:uid="{15A88CE9-3D55-427E-8F77-9DE6419F3A02}"/>
    <cellStyle name="Nuovo 18 3 2 3" xfId="8080" xr:uid="{1F9CCCD2-B19A-41BA-9A17-C6DF2044982A}"/>
    <cellStyle name="Nuovo 18 3 2 3 2" xfId="14081" xr:uid="{66A866B8-195A-48B4-B993-457A25ED944F}"/>
    <cellStyle name="Nuovo 18 3 2 4" xfId="26856" xr:uid="{A5905077-9D5B-4A1F-A2B2-2406AC1B4898}"/>
    <cellStyle name="Nuovo 18 3 3" xfId="4128" xr:uid="{E7417115-6237-478F-BE88-ABFB7AE2A3E1}"/>
    <cellStyle name="Nuovo 18 3 3 2" xfId="9277" xr:uid="{BF06A6A8-2F31-4E0E-BFB2-791EE3A98C6F}"/>
    <cellStyle name="Nuovo 18 3 3 2 2" xfId="26859" xr:uid="{C9808807-8068-4A17-914E-81330856D67B}"/>
    <cellStyle name="Nuovo 18 3 3 3" xfId="26858" xr:uid="{BD8B7010-B6FB-42B4-AE6B-9B6F53F36666}"/>
    <cellStyle name="Nuovo 18 3 4" xfId="4129" xr:uid="{12395711-7F7B-41F0-A4FD-E716E0CD77AD}"/>
    <cellStyle name="Nuovo 18 3 4 2" xfId="13741" xr:uid="{F6369F1C-BAAC-447C-A394-B604C62D95C0}"/>
    <cellStyle name="Nuovo 18 3 4 3" xfId="26860" xr:uid="{C0ABE044-CD93-478D-8F0A-41A9FC4AA8C6}"/>
    <cellStyle name="Nuovo 18 3 5" xfId="12290" xr:uid="{51E97831-DE30-4F67-B249-638A3449A4E8}"/>
    <cellStyle name="Nuovo 18 3 6" xfId="26855" xr:uid="{E738C5C2-9464-421E-BE24-0A8255F4A9A0}"/>
    <cellStyle name="Nuovo 18 4" xfId="2118" xr:uid="{00000000-0005-0000-0000-00009B060000}"/>
    <cellStyle name="Nuovo 18 4 2" xfId="2119" xr:uid="{00000000-0005-0000-0000-00009C060000}"/>
    <cellStyle name="Nuovo 18 4 2 2" xfId="9278" xr:uid="{D967E8D8-5884-439D-BD7F-DD5773323B10}"/>
    <cellStyle name="Nuovo 18 4 2 2 2" xfId="26863" xr:uid="{0703A6D8-6774-4119-8864-05B53A96F8FB}"/>
    <cellStyle name="Nuovo 18 4 2 3" xfId="17861" xr:uid="{56281425-C6F4-4229-A553-044764CC93EC}"/>
    <cellStyle name="Nuovo 18 4 2 4" xfId="26862" xr:uid="{ED5F36BC-EA8D-4E26-B144-EE6990728A4C}"/>
    <cellStyle name="Nuovo 18 4 2 5" xfId="16998" xr:uid="{B51137B3-D72C-4E7E-8341-0AC6CC6D1C87}"/>
    <cellStyle name="Nuovo 18 4 3" xfId="9279" xr:uid="{A4290608-DE32-4FB1-89C0-D213BF4A7FA4}"/>
    <cellStyle name="Nuovo 18 4 3 2" xfId="26864" xr:uid="{93825D5A-812D-4CB1-B778-EC7FF73455CE}"/>
    <cellStyle name="Nuovo 18 4 4" xfId="26861" xr:uid="{4D653D8A-C343-4870-865E-BCB38569F991}"/>
    <cellStyle name="Nuovo 18 5" xfId="2120" xr:uid="{00000000-0005-0000-0000-00009D060000}"/>
    <cellStyle name="Nuovo 18 5 2" xfId="26865" xr:uid="{B07D87C7-FCDE-4F77-82A2-780242742D21}"/>
    <cellStyle name="Nuovo 18 6" xfId="4130" xr:uid="{97BBC2CC-FD9F-4A01-82CE-0168A96D7A4B}"/>
    <cellStyle name="Nuovo 18 6 2" xfId="9777" xr:uid="{F2588A6C-4E2A-42E2-AB5A-3135F836BD23}"/>
    <cellStyle name="Nuovo 18 7" xfId="26852" xr:uid="{9A96B299-920D-4D6E-8A3B-371F13CE1C8B}"/>
    <cellStyle name="Nuovo 19" xfId="825" xr:uid="{00000000-0005-0000-0000-00009E060000}"/>
    <cellStyle name="Nuovo 19 2" xfId="826" xr:uid="{00000000-0005-0000-0000-00009F060000}"/>
    <cellStyle name="Nuovo 19 2 2" xfId="4131" xr:uid="{0469468D-0A85-41AA-881E-0E4239FFFFB2}"/>
    <cellStyle name="Nuovo 19 2 2 2" xfId="13528" xr:uid="{A9383297-0837-4399-A982-21BFFC973597}"/>
    <cellStyle name="Nuovo 19 2 2 3" xfId="26868" xr:uid="{B2754FAB-AA69-4DAE-BD82-5046063B0173}"/>
    <cellStyle name="Nuovo 19 2 3" xfId="13264" xr:uid="{0A66C863-075A-4702-A359-FFF1659E2DFC}"/>
    <cellStyle name="Nuovo 19 2 4" xfId="26867" xr:uid="{AC207970-DCF2-42FD-B586-7042F1ABEEF0}"/>
    <cellStyle name="Nuovo 19 3" xfId="827" xr:uid="{00000000-0005-0000-0000-0000A0060000}"/>
    <cellStyle name="Nuovo 19 3 2" xfId="828" xr:uid="{00000000-0005-0000-0000-0000A1060000}"/>
    <cellStyle name="Nuovo 19 3 2 2" xfId="2121" xr:uid="{00000000-0005-0000-0000-0000A2060000}"/>
    <cellStyle name="Nuovo 19 3 2 2 2" xfId="26871" xr:uid="{6DA514FB-F091-45E7-B4CC-158E6058686C}"/>
    <cellStyle name="Nuovo 19 3 2 3" xfId="8081" xr:uid="{8554760E-C743-41A6-863D-6FA0D653F441}"/>
    <cellStyle name="Nuovo 19 3 2 3 2" xfId="14082" xr:uid="{64E414CB-3AE7-4CD6-8A48-E5DE4811C721}"/>
    <cellStyle name="Nuovo 19 3 2 4" xfId="26870" xr:uid="{8264C23A-BEED-4C4F-B12F-89039CF980C4}"/>
    <cellStyle name="Nuovo 19 3 3" xfId="4132" xr:uid="{3527E782-8BAD-4E82-B406-EAA2BB25A9BC}"/>
    <cellStyle name="Nuovo 19 3 3 2" xfId="9280" xr:uid="{197C0E0F-3E47-4D9F-B92E-DF42AC41BF72}"/>
    <cellStyle name="Nuovo 19 3 3 2 2" xfId="26873" xr:uid="{F8E282C5-5696-4610-8B34-2A8FDA110222}"/>
    <cellStyle name="Nuovo 19 3 3 3" xfId="26872" xr:uid="{002AF38F-B9D6-457D-B8C1-5315DD0F9B76}"/>
    <cellStyle name="Nuovo 19 3 4" xfId="4133" xr:uid="{48E805F6-9715-4CBD-AC54-5C6A713CB2F7}"/>
    <cellStyle name="Nuovo 19 3 4 2" xfId="13742" xr:uid="{028E0C8A-7258-413F-813D-E8B09C237F78}"/>
    <cellStyle name="Nuovo 19 3 4 3" xfId="26874" xr:uid="{785C1D9F-5D28-4E4F-B29D-B0EA91310E65}"/>
    <cellStyle name="Nuovo 19 3 5" xfId="12253" xr:uid="{0A2C0C76-2656-4DD5-B9F3-1400D0805DD6}"/>
    <cellStyle name="Nuovo 19 3 6" xfId="26869" xr:uid="{92464BFB-AE89-48DE-8BE1-D78533CD2558}"/>
    <cellStyle name="Nuovo 19 4" xfId="2122" xr:uid="{00000000-0005-0000-0000-0000A3060000}"/>
    <cellStyle name="Nuovo 19 4 2" xfId="2123" xr:uid="{00000000-0005-0000-0000-0000A4060000}"/>
    <cellStyle name="Nuovo 19 4 2 2" xfId="9281" xr:uid="{4BEAAB3B-E061-493C-99AA-9B65B476AD21}"/>
    <cellStyle name="Nuovo 19 4 2 2 2" xfId="26877" xr:uid="{E7138712-F1DB-49F4-A0F2-9509BCF2F21F}"/>
    <cellStyle name="Nuovo 19 4 2 3" xfId="17862" xr:uid="{E15C583D-4508-43F6-AA2A-4878D49D2FC2}"/>
    <cellStyle name="Nuovo 19 4 2 4" xfId="26876" xr:uid="{0D6FA945-9A3B-4376-86F0-3F5450DF661F}"/>
    <cellStyle name="Nuovo 19 4 2 5" xfId="16997" xr:uid="{CBBBDF0C-FF1E-467C-8431-B0BE9ACC9FD8}"/>
    <cellStyle name="Nuovo 19 4 3" xfId="9282" xr:uid="{CCBA7983-C22F-40B1-81E7-A434A0B0399E}"/>
    <cellStyle name="Nuovo 19 4 3 2" xfId="26878" xr:uid="{66E37BA2-8819-4A09-A2BF-E5D6E3815D85}"/>
    <cellStyle name="Nuovo 19 4 4" xfId="26875" xr:uid="{DB556F40-0D41-4028-8E78-B3CB529FF6BB}"/>
    <cellStyle name="Nuovo 19 5" xfId="2124" xr:uid="{00000000-0005-0000-0000-0000A5060000}"/>
    <cellStyle name="Nuovo 19 5 2" xfId="26879" xr:uid="{2C8BD08C-060D-4C58-9255-3F3AB50D16DF}"/>
    <cellStyle name="Nuovo 19 6" xfId="4134" xr:uid="{2523D6B6-F43D-4715-946F-6ED9B7ED078C}"/>
    <cellStyle name="Nuovo 19 6 2" xfId="9778" xr:uid="{E6E07AF0-555D-4F0B-AB66-0937EF185238}"/>
    <cellStyle name="Nuovo 19 7" xfId="26866" xr:uid="{5351655E-5ADA-481A-B4B2-433AD41D51F0}"/>
    <cellStyle name="Nuovo 2" xfId="829" xr:uid="{00000000-0005-0000-0000-0000A6060000}"/>
    <cellStyle name="Nuovo 2 2" xfId="830" xr:uid="{00000000-0005-0000-0000-0000A7060000}"/>
    <cellStyle name="Nuovo 2 2 2" xfId="4135" xr:uid="{E53EEAB2-42F8-43AC-A993-346B1C133123}"/>
    <cellStyle name="Nuovo 2 2 2 2" xfId="13529" xr:uid="{CF3AACCE-B9B6-47B1-A5F2-CC41BB7EAD18}"/>
    <cellStyle name="Nuovo 2 2 2 3" xfId="26882" xr:uid="{E28B7FDF-C241-46C8-83AD-08B4D5C320B2}"/>
    <cellStyle name="Nuovo 2 2 3" xfId="13265" xr:uid="{C5071D0A-4695-4A4E-9868-FB2197466240}"/>
    <cellStyle name="Nuovo 2 2 4" xfId="26881" xr:uid="{E27EF1DD-8F45-4BA8-9727-909EF930F38F}"/>
    <cellStyle name="Nuovo 2 3" xfId="831" xr:uid="{00000000-0005-0000-0000-0000A8060000}"/>
    <cellStyle name="Nuovo 2 3 2" xfId="832" xr:uid="{00000000-0005-0000-0000-0000A9060000}"/>
    <cellStyle name="Nuovo 2 3 2 2" xfId="2125" xr:uid="{00000000-0005-0000-0000-0000AA060000}"/>
    <cellStyle name="Nuovo 2 3 2 2 2" xfId="26885" xr:uid="{D3CA7663-8E75-4FE8-8381-12B0859E8069}"/>
    <cellStyle name="Nuovo 2 3 2 3" xfId="8082" xr:uid="{83B0C817-DCB3-4FF9-A76E-1D2A582D6FD9}"/>
    <cellStyle name="Nuovo 2 3 2 3 2" xfId="14083" xr:uid="{B217C8EA-5ED2-4824-9010-3C768CED4CCC}"/>
    <cellStyle name="Nuovo 2 3 2 4" xfId="26884" xr:uid="{0AD56391-B97F-411C-A4E8-196209FB4A11}"/>
    <cellStyle name="Nuovo 2 3 3" xfId="4136" xr:uid="{71E8C56B-7BD8-4CA0-A7C2-ABF6955CB7A2}"/>
    <cellStyle name="Nuovo 2 3 3 2" xfId="9283" xr:uid="{8750224F-C0C4-4599-9536-C10AA28672EB}"/>
    <cellStyle name="Nuovo 2 3 3 2 2" xfId="26887" xr:uid="{F82082E3-4BA4-4B74-9ECD-4E0EAED9EFC8}"/>
    <cellStyle name="Nuovo 2 3 3 3" xfId="26886" xr:uid="{5CFDC2CE-D9F7-4588-ADD8-4569503B0561}"/>
    <cellStyle name="Nuovo 2 3 4" xfId="4137" xr:uid="{D5F7A0F4-288E-43E4-AA47-4F708922E956}"/>
    <cellStyle name="Nuovo 2 3 4 2" xfId="13743" xr:uid="{123B02DF-E764-422E-8FA5-04F51B773FFF}"/>
    <cellStyle name="Nuovo 2 3 4 3" xfId="26888" xr:uid="{75E28F60-BDF5-4D5F-9668-A240F7256F71}"/>
    <cellStyle name="Nuovo 2 3 5" xfId="11705" xr:uid="{4A301821-E690-4E74-80BE-47144F62E6F1}"/>
    <cellStyle name="Nuovo 2 3 6" xfId="26883" xr:uid="{9A012426-037C-4DB6-9D95-CD72B0E3E122}"/>
    <cellStyle name="Nuovo 2 4" xfId="2126" xr:uid="{00000000-0005-0000-0000-0000AB060000}"/>
    <cellStyle name="Nuovo 2 4 2" xfId="2127" xr:uid="{00000000-0005-0000-0000-0000AC060000}"/>
    <cellStyle name="Nuovo 2 4 2 2" xfId="9284" xr:uid="{FA05B748-F6D7-4282-9417-4068F646F139}"/>
    <cellStyle name="Nuovo 2 4 2 2 2" xfId="26891" xr:uid="{DDD0B65B-87EA-45F8-9D64-D9929CA99D61}"/>
    <cellStyle name="Nuovo 2 4 2 3" xfId="17863" xr:uid="{9AE4382F-14BC-4335-A131-58090E4F73F8}"/>
    <cellStyle name="Nuovo 2 4 2 4" xfId="26890" xr:uid="{89826831-9964-4BF2-A8F7-FC1ACC6F1FEA}"/>
    <cellStyle name="Nuovo 2 4 2 5" xfId="16996" xr:uid="{88C0F7C6-D9EC-4FA3-AC73-8C14321B5380}"/>
    <cellStyle name="Nuovo 2 4 3" xfId="9285" xr:uid="{E4183768-FDAB-4EF7-AD79-5B4F984A82DE}"/>
    <cellStyle name="Nuovo 2 4 3 2" xfId="26892" xr:uid="{53DD65C1-2657-41F8-A4A3-60CC8DB33E2F}"/>
    <cellStyle name="Nuovo 2 4 4" xfId="26889" xr:uid="{E9D5446B-6F5E-445C-9C70-0439090B9A4D}"/>
    <cellStyle name="Nuovo 2 5" xfId="2128" xr:uid="{00000000-0005-0000-0000-0000AD060000}"/>
    <cellStyle name="Nuovo 2 5 2" xfId="26893" xr:uid="{87D010B8-706E-41A4-B875-2A707925782E}"/>
    <cellStyle name="Nuovo 2 6" xfId="4138" xr:uid="{9DAE8486-7251-47E8-B4DF-8963FA0B0B0F}"/>
    <cellStyle name="Nuovo 2 6 2" xfId="9779" xr:uid="{8700AF4E-9784-4C1E-B031-75C25C430442}"/>
    <cellStyle name="Nuovo 2 7" xfId="26880" xr:uid="{DA15F51C-0E02-4CE8-BBE3-DBFE9E0F5B5C}"/>
    <cellStyle name="Nuovo 20" xfId="833" xr:uid="{00000000-0005-0000-0000-0000AE060000}"/>
    <cellStyle name="Nuovo 20 2" xfId="834" xr:uid="{00000000-0005-0000-0000-0000AF060000}"/>
    <cellStyle name="Nuovo 20 2 2" xfId="4139" xr:uid="{E2D7AAF1-48E6-4223-98C5-DFB33D211CC2}"/>
    <cellStyle name="Nuovo 20 2 2 2" xfId="13530" xr:uid="{8BF1B432-129D-48CF-A50D-5607533991EC}"/>
    <cellStyle name="Nuovo 20 2 2 3" xfId="26896" xr:uid="{F38F6526-C50E-4A76-AE03-E4483014EBD5}"/>
    <cellStyle name="Nuovo 20 2 3" xfId="13266" xr:uid="{0B30220A-1F9E-4E08-8F15-D20E91FAE283}"/>
    <cellStyle name="Nuovo 20 2 4" xfId="26895" xr:uid="{E08AB5F9-2E38-489F-91A2-EE369D784F2A}"/>
    <cellStyle name="Nuovo 20 3" xfId="835" xr:uid="{00000000-0005-0000-0000-0000B0060000}"/>
    <cellStyle name="Nuovo 20 3 2" xfId="836" xr:uid="{00000000-0005-0000-0000-0000B1060000}"/>
    <cellStyle name="Nuovo 20 3 2 2" xfId="2129" xr:uid="{00000000-0005-0000-0000-0000B2060000}"/>
    <cellStyle name="Nuovo 20 3 2 2 2" xfId="26899" xr:uid="{3618DAC7-7F62-47A0-8C54-B88540EA02C2}"/>
    <cellStyle name="Nuovo 20 3 2 3" xfId="8083" xr:uid="{A8ECA68B-3215-4EA5-B83B-2291D676F514}"/>
    <cellStyle name="Nuovo 20 3 2 3 2" xfId="14084" xr:uid="{9959E310-618B-4A5C-B3A9-88C8FC874783}"/>
    <cellStyle name="Nuovo 20 3 2 4" xfId="26898" xr:uid="{6BBB6A8B-5694-4982-9847-13FF85E23600}"/>
    <cellStyle name="Nuovo 20 3 3" xfId="4140" xr:uid="{FA7120B4-F2EA-4B18-8870-925291E037C3}"/>
    <cellStyle name="Nuovo 20 3 3 2" xfId="9286" xr:uid="{FD3C2A68-023C-46C8-8AAD-642351264874}"/>
    <cellStyle name="Nuovo 20 3 3 2 2" xfId="26901" xr:uid="{2D2055F6-487D-423B-9B1B-5CBCB0967270}"/>
    <cellStyle name="Nuovo 20 3 3 3" xfId="26900" xr:uid="{1E0D7019-C07E-46E7-921B-F182AD9E194F}"/>
    <cellStyle name="Nuovo 20 3 4" xfId="4141" xr:uid="{F4742C02-B8A7-4197-A3B4-02427543E0C7}"/>
    <cellStyle name="Nuovo 20 3 4 2" xfId="13744" xr:uid="{CD21DF07-F5DC-4D35-9AE3-12E37CF8CD68}"/>
    <cellStyle name="Nuovo 20 3 4 3" xfId="26902" xr:uid="{32E4E636-CED1-4E71-A661-B2F2D3B1C432}"/>
    <cellStyle name="Nuovo 20 3 5" xfId="11168" xr:uid="{3EE3E568-510F-42D6-9790-C17ADD78C17B}"/>
    <cellStyle name="Nuovo 20 3 6" xfId="26897" xr:uid="{3FE60A8F-DDE9-42FE-9BF7-AB44906ACFFD}"/>
    <cellStyle name="Nuovo 20 4" xfId="2130" xr:uid="{00000000-0005-0000-0000-0000B3060000}"/>
    <cellStyle name="Nuovo 20 4 2" xfId="2131" xr:uid="{00000000-0005-0000-0000-0000B4060000}"/>
    <cellStyle name="Nuovo 20 4 2 2" xfId="9287" xr:uid="{62FC077E-DA6A-47AF-8B2A-E12DEA9C67F2}"/>
    <cellStyle name="Nuovo 20 4 2 2 2" xfId="26905" xr:uid="{DD39E68C-E667-4605-A11A-DCAC649C3DA8}"/>
    <cellStyle name="Nuovo 20 4 2 3" xfId="17864" xr:uid="{0D52ADBE-578F-46BB-8D57-D99C8345F69B}"/>
    <cellStyle name="Nuovo 20 4 2 4" xfId="26904" xr:uid="{543502C6-69B4-48C2-A9F3-8275C97ED810}"/>
    <cellStyle name="Nuovo 20 4 2 5" xfId="16995" xr:uid="{20FE1FC0-9B62-419C-9E4B-ADB49F63BB7E}"/>
    <cellStyle name="Nuovo 20 4 3" xfId="9288" xr:uid="{ECA4473F-0CA1-4471-BA38-F328B4EB9B11}"/>
    <cellStyle name="Nuovo 20 4 3 2" xfId="26906" xr:uid="{11A63F4B-4DA8-47CA-B334-6C8553A4957A}"/>
    <cellStyle name="Nuovo 20 4 4" xfId="26903" xr:uid="{19CFF423-01F7-481A-8FDE-F0AECF6F67A6}"/>
    <cellStyle name="Nuovo 20 5" xfId="2132" xr:uid="{00000000-0005-0000-0000-0000B5060000}"/>
    <cellStyle name="Nuovo 20 5 2" xfId="26907" xr:uid="{E66D1887-23AA-47A1-AAFE-0EF26071BE00}"/>
    <cellStyle name="Nuovo 20 6" xfId="4142" xr:uid="{042B3763-822C-4B3D-ADD5-8D2060976542}"/>
    <cellStyle name="Nuovo 20 6 2" xfId="9780" xr:uid="{8C1202AE-9BA0-43DC-8421-157D25E60532}"/>
    <cellStyle name="Nuovo 20 7" xfId="26894" xr:uid="{AF5E165B-FBC5-4473-8E10-B8A7993C81FB}"/>
    <cellStyle name="Nuovo 21" xfId="837" xr:uid="{00000000-0005-0000-0000-0000B6060000}"/>
    <cellStyle name="Nuovo 21 2" xfId="838" xr:uid="{00000000-0005-0000-0000-0000B7060000}"/>
    <cellStyle name="Nuovo 21 2 2" xfId="4143" xr:uid="{4FCC9E5D-23AC-4097-858A-DEEE69DC2237}"/>
    <cellStyle name="Nuovo 21 2 2 2" xfId="13531" xr:uid="{3835966C-FDB5-4943-BD00-9211BD5AB32E}"/>
    <cellStyle name="Nuovo 21 2 2 3" xfId="26910" xr:uid="{61E02F47-4534-4B55-8BF1-BF4DD57C4213}"/>
    <cellStyle name="Nuovo 21 2 3" xfId="13267" xr:uid="{4C348923-1D27-417F-93DB-27E3F01A6285}"/>
    <cellStyle name="Nuovo 21 2 4" xfId="26909" xr:uid="{9FFB159F-4D4E-4238-A5BB-964D9D6D7ACB}"/>
    <cellStyle name="Nuovo 21 3" xfId="839" xr:uid="{00000000-0005-0000-0000-0000B8060000}"/>
    <cellStyle name="Nuovo 21 3 2" xfId="840" xr:uid="{00000000-0005-0000-0000-0000B9060000}"/>
    <cellStyle name="Nuovo 21 3 2 2" xfId="2133" xr:uid="{00000000-0005-0000-0000-0000BA060000}"/>
    <cellStyle name="Nuovo 21 3 2 2 2" xfId="26913" xr:uid="{3DBCF29A-390A-4D35-9DA1-464543FE763B}"/>
    <cellStyle name="Nuovo 21 3 2 3" xfId="8084" xr:uid="{46DF2E57-C185-40BA-9F13-C4058784610C}"/>
    <cellStyle name="Nuovo 21 3 2 3 2" xfId="14085" xr:uid="{82321EDC-29F2-404D-B662-A5AD67256190}"/>
    <cellStyle name="Nuovo 21 3 2 4" xfId="26912" xr:uid="{D6FE727E-59AC-4F8D-95BD-5A3B960D08F6}"/>
    <cellStyle name="Nuovo 21 3 3" xfId="4144" xr:uid="{E46D2CAC-B7D0-43C9-892D-D9B54741D312}"/>
    <cellStyle name="Nuovo 21 3 3 2" xfId="9289" xr:uid="{E56BD314-6953-433B-8B6C-ECCEB3328936}"/>
    <cellStyle name="Nuovo 21 3 3 2 2" xfId="26915" xr:uid="{DFEC5A0F-A653-4BB7-997E-DDA0127E14A1}"/>
    <cellStyle name="Nuovo 21 3 3 3" xfId="26914" xr:uid="{7DE7B663-308E-4FD2-9BCB-C0A8D95A5859}"/>
    <cellStyle name="Nuovo 21 3 4" xfId="4145" xr:uid="{6FE9A12F-CFE3-4CC9-9C01-DDF910E5B743}"/>
    <cellStyle name="Nuovo 21 3 4 2" xfId="13745" xr:uid="{D9894C71-5ADF-4AC2-8FCE-F5106C77095C}"/>
    <cellStyle name="Nuovo 21 3 4 3" xfId="26916" xr:uid="{2C3C9C46-1B22-492B-A19B-3D88FFF69669}"/>
    <cellStyle name="Nuovo 21 3 5" xfId="11213" xr:uid="{D1017293-AA7A-433E-A7C1-0E300E6135F3}"/>
    <cellStyle name="Nuovo 21 3 6" xfId="26911" xr:uid="{496FBD82-649A-44B5-9AA9-B8353F5BC381}"/>
    <cellStyle name="Nuovo 21 4" xfId="2134" xr:uid="{00000000-0005-0000-0000-0000BB060000}"/>
    <cellStyle name="Nuovo 21 4 2" xfId="2135" xr:uid="{00000000-0005-0000-0000-0000BC060000}"/>
    <cellStyle name="Nuovo 21 4 2 2" xfId="9290" xr:uid="{88541B4E-2E4C-4E7B-8FD9-12E06D4A53F6}"/>
    <cellStyle name="Nuovo 21 4 2 2 2" xfId="26919" xr:uid="{DCAA7E5C-5026-4A6A-8C3B-3740C3B2478C}"/>
    <cellStyle name="Nuovo 21 4 2 3" xfId="17865" xr:uid="{865A2B65-72B9-4F43-B859-046D7D5C1801}"/>
    <cellStyle name="Nuovo 21 4 2 4" xfId="26918" xr:uid="{A7D3E78A-4501-4C4B-B716-9B2839DC5E83}"/>
    <cellStyle name="Nuovo 21 4 2 5" xfId="16994" xr:uid="{4B2E93D3-6DAA-4BAB-99C6-FB8842C9A926}"/>
    <cellStyle name="Nuovo 21 4 3" xfId="9291" xr:uid="{B97FC420-B54C-4D0F-A299-763C7407E88A}"/>
    <cellStyle name="Nuovo 21 4 3 2" xfId="26920" xr:uid="{4E855A64-67C8-4527-B36F-DAC1CF7211D5}"/>
    <cellStyle name="Nuovo 21 4 4" xfId="26917" xr:uid="{8896FAFE-07B8-4783-A3B2-055DB3C698D6}"/>
    <cellStyle name="Nuovo 21 5" xfId="2136" xr:uid="{00000000-0005-0000-0000-0000BD060000}"/>
    <cellStyle name="Nuovo 21 5 2" xfId="26921" xr:uid="{C4117D1C-6A8B-46B4-ACAC-47140F1A7383}"/>
    <cellStyle name="Nuovo 21 6" xfId="4146" xr:uid="{3A3FB840-1EB6-4965-9D89-22B6DB6D0BD6}"/>
    <cellStyle name="Nuovo 21 6 2" xfId="9781" xr:uid="{10DCCE7E-9FE7-4129-9DF0-F8F2516E710D}"/>
    <cellStyle name="Nuovo 21 7" xfId="26908" xr:uid="{A314BAD9-69F3-4976-8115-0D05E8089570}"/>
    <cellStyle name="Nuovo 22" xfId="841" xr:uid="{00000000-0005-0000-0000-0000BE060000}"/>
    <cellStyle name="Nuovo 22 2" xfId="842" xr:uid="{00000000-0005-0000-0000-0000BF060000}"/>
    <cellStyle name="Nuovo 22 2 2" xfId="4147" xr:uid="{190D5F54-5CAE-4DBC-A781-BFE482AAF63F}"/>
    <cellStyle name="Nuovo 22 2 2 2" xfId="13532" xr:uid="{AF42D2DE-DAC3-4CEC-A96C-1A73DBF8F076}"/>
    <cellStyle name="Nuovo 22 2 2 3" xfId="26924" xr:uid="{3EE2EC7F-2CC2-45E0-A74D-633A54A6BC2E}"/>
    <cellStyle name="Nuovo 22 2 3" xfId="13268" xr:uid="{3D651447-71A3-4153-AE09-1BF8F82C1AAF}"/>
    <cellStyle name="Nuovo 22 2 4" xfId="26923" xr:uid="{5F4ACDB5-3114-4A6E-AE62-855145B97412}"/>
    <cellStyle name="Nuovo 22 3" xfId="843" xr:uid="{00000000-0005-0000-0000-0000C0060000}"/>
    <cellStyle name="Nuovo 22 3 2" xfId="844" xr:uid="{00000000-0005-0000-0000-0000C1060000}"/>
    <cellStyle name="Nuovo 22 3 2 2" xfId="2137" xr:uid="{00000000-0005-0000-0000-0000C2060000}"/>
    <cellStyle name="Nuovo 22 3 2 2 2" xfId="26927" xr:uid="{9F64602D-7D66-4BAA-A21C-ADC74727261A}"/>
    <cellStyle name="Nuovo 22 3 2 3" xfId="8085" xr:uid="{4D90E068-A7A7-458D-BE60-D68B9E8953A6}"/>
    <cellStyle name="Nuovo 22 3 2 3 2" xfId="14086" xr:uid="{0F66BCF0-91A4-4352-9943-79FECC0924A4}"/>
    <cellStyle name="Nuovo 22 3 2 4" xfId="26926" xr:uid="{4AAFE26C-1190-4A25-8585-0A7628830735}"/>
    <cellStyle name="Nuovo 22 3 3" xfId="4148" xr:uid="{C98F360E-D3DB-4833-9FCC-FBFA2AB35062}"/>
    <cellStyle name="Nuovo 22 3 3 2" xfId="9292" xr:uid="{DDED313F-0434-41E3-9272-6EC311D80A73}"/>
    <cellStyle name="Nuovo 22 3 3 2 2" xfId="26929" xr:uid="{B236D636-28E3-494D-BC34-A5C3DAE17452}"/>
    <cellStyle name="Nuovo 22 3 3 3" xfId="26928" xr:uid="{8523AE93-D8BA-4286-8DEB-20584BCD25E2}"/>
    <cellStyle name="Nuovo 22 3 4" xfId="4149" xr:uid="{978C556F-C091-4EF3-A925-EB25B90AD6F3}"/>
    <cellStyle name="Nuovo 22 3 4 2" xfId="13746" xr:uid="{0AB1F027-3125-45CC-9446-4C07978D4D14}"/>
    <cellStyle name="Nuovo 22 3 4 3" xfId="26930" xr:uid="{F4EC456B-80DF-4FE3-8E84-D262DC1D0394}"/>
    <cellStyle name="Nuovo 22 3 5" xfId="12441" xr:uid="{DA71808A-93B4-46F5-9A6B-05B2CAC30642}"/>
    <cellStyle name="Nuovo 22 3 6" xfId="26925" xr:uid="{D6FBD180-A1F6-4420-9FCD-404B5942E0CB}"/>
    <cellStyle name="Nuovo 22 4" xfId="2138" xr:uid="{00000000-0005-0000-0000-0000C3060000}"/>
    <cellStyle name="Nuovo 22 4 2" xfId="2139" xr:uid="{00000000-0005-0000-0000-0000C4060000}"/>
    <cellStyle name="Nuovo 22 4 2 2" xfId="9293" xr:uid="{3BEB77F3-B40E-4DBF-9C32-144E1756DD50}"/>
    <cellStyle name="Nuovo 22 4 2 2 2" xfId="26933" xr:uid="{F73D5991-F436-4771-9B41-2C3458285F4C}"/>
    <cellStyle name="Nuovo 22 4 2 3" xfId="17866" xr:uid="{4C74D2E4-6664-48A8-840F-B7B04F438A18}"/>
    <cellStyle name="Nuovo 22 4 2 4" xfId="26932" xr:uid="{99595AE8-085C-4373-A851-98EA2F64CD6B}"/>
    <cellStyle name="Nuovo 22 4 2 5" xfId="16993" xr:uid="{3D3E100A-85C6-4CA9-A5E0-D03F4B7F05A8}"/>
    <cellStyle name="Nuovo 22 4 3" xfId="9294" xr:uid="{1A612FEE-693C-40A0-A36B-69102887DF72}"/>
    <cellStyle name="Nuovo 22 4 3 2" xfId="26934" xr:uid="{4E9CC583-B40A-43F6-82A5-2D032522A11C}"/>
    <cellStyle name="Nuovo 22 4 4" xfId="26931" xr:uid="{73F00FF1-A9B2-449C-A73C-39FBA2D16A75}"/>
    <cellStyle name="Nuovo 22 5" xfId="2140" xr:uid="{00000000-0005-0000-0000-0000C5060000}"/>
    <cellStyle name="Nuovo 22 5 2" xfId="26935" xr:uid="{7FF71506-D332-41BF-BCFC-67BAE9DE9987}"/>
    <cellStyle name="Nuovo 22 6" xfId="4150" xr:uid="{22ED8B9C-7D0C-44A3-B896-1D738241FB86}"/>
    <cellStyle name="Nuovo 22 6 2" xfId="9782" xr:uid="{AC88AF60-74BD-49E4-B7C8-97724859F800}"/>
    <cellStyle name="Nuovo 22 7" xfId="26922" xr:uid="{8C620ABC-984B-4D9D-87E2-2167F64FC60F}"/>
    <cellStyle name="Nuovo 23" xfId="845" xr:uid="{00000000-0005-0000-0000-0000C6060000}"/>
    <cellStyle name="Nuovo 23 2" xfId="846" xr:uid="{00000000-0005-0000-0000-0000C7060000}"/>
    <cellStyle name="Nuovo 23 2 2" xfId="4151" xr:uid="{7157CD31-4BAF-4EF6-839C-1BF23EFCA065}"/>
    <cellStyle name="Nuovo 23 2 2 2" xfId="13533" xr:uid="{427B8CFC-F87B-46D2-AA55-D09ADFC68975}"/>
    <cellStyle name="Nuovo 23 2 2 3" xfId="26938" xr:uid="{3FD1B108-CD1A-4DE2-BF36-31D72573611E}"/>
    <cellStyle name="Nuovo 23 2 3" xfId="13269" xr:uid="{7E809C5C-A02E-46FA-BB0C-C3EFCD1BAD14}"/>
    <cellStyle name="Nuovo 23 2 4" xfId="26937" xr:uid="{E6DCC4F0-B566-4394-9854-95886E56FFC7}"/>
    <cellStyle name="Nuovo 23 3" xfId="847" xr:uid="{00000000-0005-0000-0000-0000C8060000}"/>
    <cellStyle name="Nuovo 23 3 2" xfId="848" xr:uid="{00000000-0005-0000-0000-0000C9060000}"/>
    <cellStyle name="Nuovo 23 3 2 2" xfId="2141" xr:uid="{00000000-0005-0000-0000-0000CA060000}"/>
    <cellStyle name="Nuovo 23 3 2 2 2" xfId="26941" xr:uid="{C23081FC-61C7-4497-8328-045615CC728F}"/>
    <cellStyle name="Nuovo 23 3 2 3" xfId="8086" xr:uid="{532FE1A5-7649-4ADC-ABC9-8C60E9F8EEE6}"/>
    <cellStyle name="Nuovo 23 3 2 3 2" xfId="14087" xr:uid="{36FE240C-B563-49C5-8A61-6630A4B9D235}"/>
    <cellStyle name="Nuovo 23 3 2 4" xfId="26940" xr:uid="{54508881-C1C0-42F6-B055-0964718B9835}"/>
    <cellStyle name="Nuovo 23 3 3" xfId="4152" xr:uid="{14F9BE04-39CB-446F-93DE-2163740E8775}"/>
    <cellStyle name="Nuovo 23 3 3 2" xfId="9295" xr:uid="{AD1592CB-D337-4A8E-A738-874B40F32EA1}"/>
    <cellStyle name="Nuovo 23 3 3 2 2" xfId="26943" xr:uid="{620FECFA-4C72-4E93-BF73-8ACB0F07F12E}"/>
    <cellStyle name="Nuovo 23 3 3 3" xfId="26942" xr:uid="{BF90D167-7ADE-4CE1-8AB8-2B083DB9328B}"/>
    <cellStyle name="Nuovo 23 3 4" xfId="4153" xr:uid="{9DDA326C-DB94-4779-89B3-F731903B993B}"/>
    <cellStyle name="Nuovo 23 3 4 2" xfId="13747" xr:uid="{89D9B1C4-511D-4886-B0C9-BEA4965E9D11}"/>
    <cellStyle name="Nuovo 23 3 4 3" xfId="26944" xr:uid="{83EA0422-BA57-4AF4-ACB6-E940857373CD}"/>
    <cellStyle name="Nuovo 23 3 5" xfId="12257" xr:uid="{CD96B730-31F5-4CC8-9408-319B10E57DEC}"/>
    <cellStyle name="Nuovo 23 3 6" xfId="26939" xr:uid="{758A672E-CC6B-45BE-9042-85735A3062F4}"/>
    <cellStyle name="Nuovo 23 4" xfId="2142" xr:uid="{00000000-0005-0000-0000-0000CB060000}"/>
    <cellStyle name="Nuovo 23 4 2" xfId="2143" xr:uid="{00000000-0005-0000-0000-0000CC060000}"/>
    <cellStyle name="Nuovo 23 4 2 2" xfId="9296" xr:uid="{208A6234-EB87-467E-91D6-FDEDB8A15D78}"/>
    <cellStyle name="Nuovo 23 4 2 2 2" xfId="26947" xr:uid="{A3613FF5-942E-4482-8610-93EA81298BA0}"/>
    <cellStyle name="Nuovo 23 4 2 3" xfId="17867" xr:uid="{726438BD-E924-42F2-904C-E90E8F8743CC}"/>
    <cellStyle name="Nuovo 23 4 2 4" xfId="26946" xr:uid="{85D1FF94-AEB5-4973-85CF-509361A62265}"/>
    <cellStyle name="Nuovo 23 4 2 5" xfId="17479" xr:uid="{D1A88F4F-51F2-42BA-B7E0-208206310B85}"/>
    <cellStyle name="Nuovo 23 4 3" xfId="9297" xr:uid="{A79C7BD6-A2EB-4C6E-97E5-68E7DDF26468}"/>
    <cellStyle name="Nuovo 23 4 3 2" xfId="26948" xr:uid="{091A4766-522A-4997-87FC-7B5E641D71F2}"/>
    <cellStyle name="Nuovo 23 4 4" xfId="26945" xr:uid="{4CBCF245-1CA5-4DA8-9641-B24D824C4FB1}"/>
    <cellStyle name="Nuovo 23 5" xfId="2144" xr:uid="{00000000-0005-0000-0000-0000CD060000}"/>
    <cellStyle name="Nuovo 23 5 2" xfId="26949" xr:uid="{53F1E59F-ABA9-45BC-BF24-058DAB0B2D06}"/>
    <cellStyle name="Nuovo 23 6" xfId="4154" xr:uid="{D23FF2C2-A02C-4783-990C-742974AB7F70}"/>
    <cellStyle name="Nuovo 23 6 2" xfId="9783" xr:uid="{18ADBEE7-2A09-4C08-8F38-F5A7FD24D0D5}"/>
    <cellStyle name="Nuovo 23 7" xfId="26936" xr:uid="{8144A409-EE30-49AF-932A-24EF93D1949F}"/>
    <cellStyle name="Nuovo 24" xfId="849" xr:uid="{00000000-0005-0000-0000-0000CE060000}"/>
    <cellStyle name="Nuovo 24 2" xfId="850" xr:uid="{00000000-0005-0000-0000-0000CF060000}"/>
    <cellStyle name="Nuovo 24 2 2" xfId="4155" xr:uid="{07EF2E84-99D0-417C-8416-17D77CA7FEFD}"/>
    <cellStyle name="Nuovo 24 2 2 2" xfId="13534" xr:uid="{3D19811E-A749-4874-8EA7-176C1B7566DE}"/>
    <cellStyle name="Nuovo 24 2 2 3" xfId="26952" xr:uid="{C556097A-7E58-4C4A-8292-DB10169655BB}"/>
    <cellStyle name="Nuovo 24 2 3" xfId="13270" xr:uid="{3199F6F0-16DC-43F8-BEE6-784D690BFB98}"/>
    <cellStyle name="Nuovo 24 2 4" xfId="26951" xr:uid="{95E1236B-EA71-485D-A9FE-A4800B99BB2B}"/>
    <cellStyle name="Nuovo 24 3" xfId="851" xr:uid="{00000000-0005-0000-0000-0000D0060000}"/>
    <cellStyle name="Nuovo 24 3 2" xfId="852" xr:uid="{00000000-0005-0000-0000-0000D1060000}"/>
    <cellStyle name="Nuovo 24 3 2 2" xfId="2145" xr:uid="{00000000-0005-0000-0000-0000D2060000}"/>
    <cellStyle name="Nuovo 24 3 2 2 2" xfId="26955" xr:uid="{2EC2882D-EC61-4476-B42B-42690D5F8B56}"/>
    <cellStyle name="Nuovo 24 3 2 3" xfId="8087" xr:uid="{1BBBACE9-D904-4197-8444-F3BB646EE5A9}"/>
    <cellStyle name="Nuovo 24 3 2 3 2" xfId="14088" xr:uid="{4A581B01-9885-4DA2-B187-9ACDFC4739FD}"/>
    <cellStyle name="Nuovo 24 3 2 4" xfId="26954" xr:uid="{3C8CD56F-B18B-4D40-BCF3-5CD7BC4BCA3A}"/>
    <cellStyle name="Nuovo 24 3 3" xfId="4156" xr:uid="{56D43F84-2932-4CD3-BA6E-BF4F10A37A82}"/>
    <cellStyle name="Nuovo 24 3 3 2" xfId="9298" xr:uid="{E319618B-EF8F-470E-90C9-74A3F7100A43}"/>
    <cellStyle name="Nuovo 24 3 3 2 2" xfId="26957" xr:uid="{2555E9DC-14DF-4BF0-A90E-15E3065889F8}"/>
    <cellStyle name="Nuovo 24 3 3 3" xfId="26956" xr:uid="{FB91A124-528A-4F70-8824-3D8D01B30646}"/>
    <cellStyle name="Nuovo 24 3 4" xfId="4157" xr:uid="{470A1564-651A-4F1E-8B49-BC23ECDFCF37}"/>
    <cellStyle name="Nuovo 24 3 4 2" xfId="13748" xr:uid="{7252FCA1-AFC4-4B89-847A-334395A576BD}"/>
    <cellStyle name="Nuovo 24 3 4 3" xfId="26958" xr:uid="{1F943625-1B52-43DB-907B-BA3300D7A66C}"/>
    <cellStyle name="Nuovo 24 3 5" xfId="11127" xr:uid="{8FBA518D-FA75-4C37-B3FC-68937CAACC0D}"/>
    <cellStyle name="Nuovo 24 3 6" xfId="26953" xr:uid="{D7857E65-CE03-4CDF-9FE5-B60C11FAF06F}"/>
    <cellStyle name="Nuovo 24 4" xfId="2146" xr:uid="{00000000-0005-0000-0000-0000D3060000}"/>
    <cellStyle name="Nuovo 24 4 2" xfId="2147" xr:uid="{00000000-0005-0000-0000-0000D4060000}"/>
    <cellStyle name="Nuovo 24 4 2 2" xfId="9299" xr:uid="{51F42825-DAAC-46EF-A0B5-26D9C14FB498}"/>
    <cellStyle name="Nuovo 24 4 2 2 2" xfId="26961" xr:uid="{F2F8F5C6-4DEE-4A34-97D8-46DCCFDA7AC0}"/>
    <cellStyle name="Nuovo 24 4 2 3" xfId="17868" xr:uid="{67071843-D935-46FE-A6EF-79FC172B36C3}"/>
    <cellStyle name="Nuovo 24 4 2 4" xfId="26960" xr:uid="{A3B0CFAE-8897-44B9-9D06-0C69F2623849}"/>
    <cellStyle name="Nuovo 24 4 2 5" xfId="17481" xr:uid="{17E735F9-0AAE-40C6-A0D8-74D9930580C5}"/>
    <cellStyle name="Nuovo 24 4 3" xfId="9300" xr:uid="{21C4C983-F336-4523-91F9-01EE8E1A3C54}"/>
    <cellStyle name="Nuovo 24 4 3 2" xfId="26962" xr:uid="{4823D8C7-1344-430F-B66E-F24D7A2A649C}"/>
    <cellStyle name="Nuovo 24 4 4" xfId="26959" xr:uid="{7B237A87-2426-425B-9276-59C40410DF16}"/>
    <cellStyle name="Nuovo 24 5" xfId="2148" xr:uid="{00000000-0005-0000-0000-0000D5060000}"/>
    <cellStyle name="Nuovo 24 5 2" xfId="26963" xr:uid="{2DEACB00-F916-4EEA-819E-FFFE0DEF8255}"/>
    <cellStyle name="Nuovo 24 6" xfId="4158" xr:uid="{0962563C-1A01-4B00-B3AD-1CE8D47F7A08}"/>
    <cellStyle name="Nuovo 24 6 2" xfId="9784" xr:uid="{C16A3C2E-2ADD-4D9C-A467-B653D77E9348}"/>
    <cellStyle name="Nuovo 24 7" xfId="26950" xr:uid="{89225950-EDA2-4B72-BBF1-06B43CF715E7}"/>
    <cellStyle name="Nuovo 25" xfId="853" xr:uid="{00000000-0005-0000-0000-0000D6060000}"/>
    <cellStyle name="Nuovo 25 2" xfId="854" xr:uid="{00000000-0005-0000-0000-0000D7060000}"/>
    <cellStyle name="Nuovo 25 2 2" xfId="4159" xr:uid="{D8170EE6-B489-4C48-990E-0EA828ED6D8B}"/>
    <cellStyle name="Nuovo 25 2 2 2" xfId="13535" xr:uid="{9F5FAB29-339A-485F-91DA-C74F41D0F175}"/>
    <cellStyle name="Nuovo 25 2 2 3" xfId="26966" xr:uid="{017F06E5-A4FE-414D-AE3C-13697F768A5C}"/>
    <cellStyle name="Nuovo 25 2 3" xfId="13271" xr:uid="{3DCCCFC5-0996-4963-909A-C8BCFEBEBEDD}"/>
    <cellStyle name="Nuovo 25 2 4" xfId="26965" xr:uid="{4BAB185A-1348-4D36-8ED6-DF2D9112A9FB}"/>
    <cellStyle name="Nuovo 25 3" xfId="855" xr:uid="{00000000-0005-0000-0000-0000D8060000}"/>
    <cellStyle name="Nuovo 25 3 2" xfId="856" xr:uid="{00000000-0005-0000-0000-0000D9060000}"/>
    <cellStyle name="Nuovo 25 3 2 2" xfId="2149" xr:uid="{00000000-0005-0000-0000-0000DA060000}"/>
    <cellStyle name="Nuovo 25 3 2 2 2" xfId="26969" xr:uid="{EA5FFE06-443E-4A8B-B368-CBD854B77467}"/>
    <cellStyle name="Nuovo 25 3 2 3" xfId="8088" xr:uid="{CE1E4BED-43CE-4C49-8B2A-D01A356EB35E}"/>
    <cellStyle name="Nuovo 25 3 2 3 2" xfId="14089" xr:uid="{92220596-EC5C-4F70-B01B-74DEDE0E8ADF}"/>
    <cellStyle name="Nuovo 25 3 2 4" xfId="26968" xr:uid="{C9E43AD9-5728-4B27-B8A8-5B7AFE41B552}"/>
    <cellStyle name="Nuovo 25 3 3" xfId="4160" xr:uid="{76D5FDE6-7908-477A-B000-AC5DEAA09139}"/>
    <cellStyle name="Nuovo 25 3 3 2" xfId="9301" xr:uid="{C1997639-D819-4441-8F2B-2296D4F0F47B}"/>
    <cellStyle name="Nuovo 25 3 3 2 2" xfId="26971" xr:uid="{BE54E165-90C2-4D5B-991F-5071F315955E}"/>
    <cellStyle name="Nuovo 25 3 3 3" xfId="26970" xr:uid="{BA8552D3-F79E-41B0-86D4-FE3E1881B850}"/>
    <cellStyle name="Nuovo 25 3 4" xfId="4161" xr:uid="{A6A4EB4B-270C-43EE-B8BA-36DEC1EAEC6B}"/>
    <cellStyle name="Nuovo 25 3 4 2" xfId="13749" xr:uid="{D27E7559-59D4-4EA4-AF54-D1170C85BCCD}"/>
    <cellStyle name="Nuovo 25 3 4 3" xfId="26972" xr:uid="{28FCC7F2-3FAE-44E2-BA40-AB909C47C160}"/>
    <cellStyle name="Nuovo 25 3 5" xfId="11212" xr:uid="{37229BE2-A995-4B2A-A638-621B3A42E422}"/>
    <cellStyle name="Nuovo 25 3 6" xfId="26967" xr:uid="{6C0CE3EC-25A3-4675-BCC8-BE3861A5E9A0}"/>
    <cellStyle name="Nuovo 25 4" xfId="2150" xr:uid="{00000000-0005-0000-0000-0000DB060000}"/>
    <cellStyle name="Nuovo 25 4 2" xfId="2151" xr:uid="{00000000-0005-0000-0000-0000DC060000}"/>
    <cellStyle name="Nuovo 25 4 2 2" xfId="9302" xr:uid="{C7DEDADA-7E6C-44AD-BB82-9872BC911F01}"/>
    <cellStyle name="Nuovo 25 4 2 2 2" xfId="26975" xr:uid="{1FFD4884-956D-4D13-A7AB-5D32E23F3271}"/>
    <cellStyle name="Nuovo 25 4 2 3" xfId="17869" xr:uid="{E8247006-6F2E-4563-A2C9-425ED3727F4B}"/>
    <cellStyle name="Nuovo 25 4 2 4" xfId="26974" xr:uid="{821890DF-3CF0-4A0F-B1BC-2F3000802409}"/>
    <cellStyle name="Nuovo 25 4 2 5" xfId="17482" xr:uid="{B0E86E53-D7B5-4B5F-BF16-DB5F83A075EC}"/>
    <cellStyle name="Nuovo 25 4 3" xfId="9303" xr:uid="{DF6A0FA5-0BC6-4C90-A318-B078CF48A6BA}"/>
    <cellStyle name="Nuovo 25 4 3 2" xfId="26976" xr:uid="{EDA163A3-5717-493E-B4C6-D77030A5A4DC}"/>
    <cellStyle name="Nuovo 25 4 4" xfId="26973" xr:uid="{9AB378B0-E4C6-4E40-9A60-8937B8C37E1E}"/>
    <cellStyle name="Nuovo 25 5" xfId="2152" xr:uid="{00000000-0005-0000-0000-0000DD060000}"/>
    <cellStyle name="Nuovo 25 5 2" xfId="26977" xr:uid="{78B82A02-3059-4A38-AEC0-F19EF4F93B47}"/>
    <cellStyle name="Nuovo 25 6" xfId="4162" xr:uid="{74402205-FB7F-4276-8DFE-E6124C7D96FD}"/>
    <cellStyle name="Nuovo 25 6 2" xfId="9785" xr:uid="{26265561-0006-46BB-ABF2-ADBCCF2B0883}"/>
    <cellStyle name="Nuovo 25 7" xfId="26964" xr:uid="{2297E1B2-BF69-43F5-8D7D-F1C6B3747FE6}"/>
    <cellStyle name="Nuovo 26" xfId="857" xr:uid="{00000000-0005-0000-0000-0000DE060000}"/>
    <cellStyle name="Nuovo 26 2" xfId="858" xr:uid="{00000000-0005-0000-0000-0000DF060000}"/>
    <cellStyle name="Nuovo 26 2 2" xfId="4163" xr:uid="{EF14F0FD-8A37-4CE3-A40E-3CE8534B8C5B}"/>
    <cellStyle name="Nuovo 26 2 2 2" xfId="13536" xr:uid="{2217D1C9-EA97-4996-9322-2BD6E797FEFE}"/>
    <cellStyle name="Nuovo 26 2 2 3" xfId="26980" xr:uid="{DFF117F4-1366-45C8-BF2D-EBE80C57BF72}"/>
    <cellStyle name="Nuovo 26 2 3" xfId="13272" xr:uid="{D4156714-7C64-4C2C-8E3A-F7D7D426A896}"/>
    <cellStyle name="Nuovo 26 2 4" xfId="26979" xr:uid="{90798280-258D-498B-A420-EB576C538EE1}"/>
    <cellStyle name="Nuovo 26 3" xfId="859" xr:uid="{00000000-0005-0000-0000-0000E0060000}"/>
    <cellStyle name="Nuovo 26 3 2" xfId="860" xr:uid="{00000000-0005-0000-0000-0000E1060000}"/>
    <cellStyle name="Nuovo 26 3 2 2" xfId="2153" xr:uid="{00000000-0005-0000-0000-0000E2060000}"/>
    <cellStyle name="Nuovo 26 3 2 2 2" xfId="26983" xr:uid="{AABF13E1-B45F-4E4B-A059-B4F8AD127FB0}"/>
    <cellStyle name="Nuovo 26 3 2 3" xfId="8089" xr:uid="{94E36746-D424-467D-A2C1-8F1930F09992}"/>
    <cellStyle name="Nuovo 26 3 2 3 2" xfId="14090" xr:uid="{E0D52043-4D25-4F7F-A00A-D55598B2447B}"/>
    <cellStyle name="Nuovo 26 3 2 3 3" xfId="26984" xr:uid="{8C5F94D3-BE10-459A-BA03-50EDAB9623D0}"/>
    <cellStyle name="Nuovo 26 3 2 4" xfId="26982" xr:uid="{28E170CB-4ADD-4545-8699-4F692FC81332}"/>
    <cellStyle name="Nuovo 26 3 3" xfId="4164" xr:uid="{D276A25C-4144-498C-9A7D-2D275B778B96}"/>
    <cellStyle name="Nuovo 26 3 3 2" xfId="9304" xr:uid="{2A2F734C-D9D5-4D7A-96E3-9C052A0EBB52}"/>
    <cellStyle name="Nuovo 26 3 3 2 2" xfId="26986" xr:uid="{64566191-182C-48FD-9228-FA59C38F1C9E}"/>
    <cellStyle name="Nuovo 26 3 3 3" xfId="26987" xr:uid="{7A2044E9-5CB3-4E1F-9DBD-5257BF253A5A}"/>
    <cellStyle name="Nuovo 26 3 3 3 2" xfId="48982" xr:uid="{1C5B3DCB-C0A0-4D0B-8815-02129E5717A8}"/>
    <cellStyle name="Nuovo 26 3 3 4" xfId="26985" xr:uid="{76903C65-BE79-4711-AC88-2513F2B772A0}"/>
    <cellStyle name="Nuovo 26 3 4" xfId="4165" xr:uid="{6B877239-17AA-4D20-8268-EBA90573F64C}"/>
    <cellStyle name="Nuovo 26 3 4 2" xfId="13750" xr:uid="{D18D1676-DA70-4BCD-8045-2A7FB9680B90}"/>
    <cellStyle name="Nuovo 26 3 4 3" xfId="26988" xr:uid="{4A98CBFB-EC72-423B-AC1A-C643791D1B48}"/>
    <cellStyle name="Nuovo 26 3 5" xfId="11525" xr:uid="{D694070D-B0ED-4A0C-81F8-7E336C4C7110}"/>
    <cellStyle name="Nuovo 26 3 6" xfId="26981" xr:uid="{06D89117-333E-47BA-9FDC-77497AE221FE}"/>
    <cellStyle name="Nuovo 26 4" xfId="2154" xr:uid="{00000000-0005-0000-0000-0000E3060000}"/>
    <cellStyle name="Nuovo 26 4 2" xfId="2155" xr:uid="{00000000-0005-0000-0000-0000E4060000}"/>
    <cellStyle name="Nuovo 26 4 2 2" xfId="9305" xr:uid="{2EFBC1D8-521B-4D92-8BED-05A2E96DD197}"/>
    <cellStyle name="Nuovo 26 4 2 2 2" xfId="26991" xr:uid="{95ADC8BB-BD55-4E72-AE9B-06198DF6F369}"/>
    <cellStyle name="Nuovo 26 4 2 3" xfId="17870" xr:uid="{01A8D4E6-B6B0-4D70-B7D5-E0D948E2E1A7}"/>
    <cellStyle name="Nuovo 26 4 2 3 2" xfId="26992" xr:uid="{F1C808A6-3305-4F8A-8AF6-CB0910926AC6}"/>
    <cellStyle name="Nuovo 26 4 2 4" xfId="26990" xr:uid="{410497B3-B2E5-4245-A106-6B65F46962C7}"/>
    <cellStyle name="Nuovo 26 4 2 5" xfId="17483" xr:uid="{1C3EFE3D-E838-4085-A428-5E081D7FECB9}"/>
    <cellStyle name="Nuovo 26 4 3" xfId="9306" xr:uid="{5C6B8450-F27D-49B8-948B-D0FB2C2C4D31}"/>
    <cellStyle name="Nuovo 26 4 3 2" xfId="26993" xr:uid="{06769474-708F-4B0B-B66C-3FCECFAEC92E}"/>
    <cellStyle name="Nuovo 26 4 4" xfId="26994" xr:uid="{B6A5D8C9-5A39-46B4-8051-DF98D31DBD56}"/>
    <cellStyle name="Nuovo 26 4 4 2" xfId="48983" xr:uid="{EEDD10D2-1B28-4FC2-9050-F2F61054D30E}"/>
    <cellStyle name="Nuovo 26 4 5" xfId="26995" xr:uid="{D28E0155-EED8-4C32-8585-BC3A3EA79288}"/>
    <cellStyle name="Nuovo 26 4 6" xfId="26989" xr:uid="{CD9D3ED0-B880-42ED-9B0A-9EE3EA0D9FCC}"/>
    <cellStyle name="Nuovo 26 5" xfId="2156" xr:uid="{00000000-0005-0000-0000-0000E5060000}"/>
    <cellStyle name="Nuovo 26 5 2" xfId="26997" xr:uid="{90C97666-E77D-4A07-A65A-08ACF63A96D7}"/>
    <cellStyle name="Nuovo 26 5 2 2" xfId="48984" xr:uid="{3675AF6A-7347-4FEC-AD77-C5470B62BF08}"/>
    <cellStyle name="Nuovo 26 5 3" xfId="26998" xr:uid="{42BB239D-EBB1-4562-BFDF-41F5F2D329AB}"/>
    <cellStyle name="Nuovo 26 5 4" xfId="26996" xr:uid="{DD69BD77-B63C-4DC8-BD8F-AA37A0E6CD68}"/>
    <cellStyle name="Nuovo 26 6" xfId="4166" xr:uid="{BFD5F675-45CF-4014-BDC9-8E5281593A98}"/>
    <cellStyle name="Nuovo 26 6 2" xfId="9786" xr:uid="{06822B21-48A3-4B92-BDBC-E68AAE961D52}"/>
    <cellStyle name="Nuovo 26 7" xfId="26978" xr:uid="{73D118E2-7B80-41EE-AA10-8DF3A342FE98}"/>
    <cellStyle name="Nuovo 27" xfId="861" xr:uid="{00000000-0005-0000-0000-0000E6060000}"/>
    <cellStyle name="Nuovo 27 2" xfId="862" xr:uid="{00000000-0005-0000-0000-0000E7060000}"/>
    <cellStyle name="Nuovo 27 2 2" xfId="4167" xr:uid="{1F728945-5824-486B-9260-438B6B452C93}"/>
    <cellStyle name="Nuovo 27 2 2 2" xfId="13537" xr:uid="{ADC6E738-3D29-43C2-8AF6-D9D060A280E5}"/>
    <cellStyle name="Nuovo 27 2 2 3" xfId="27001" xr:uid="{29B249B4-AB44-4ADA-A952-246358690BA8}"/>
    <cellStyle name="Nuovo 27 2 3" xfId="13273" xr:uid="{3B9E0D04-55A2-43A1-94C3-38810649E02D}"/>
    <cellStyle name="Nuovo 27 2 3 2" xfId="27002" xr:uid="{DF7C1C4C-DB32-4505-9A96-2F598154F937}"/>
    <cellStyle name="Nuovo 27 2 4" xfId="27003" xr:uid="{19BD68A2-98C0-4C0E-B74A-FCC35D3C684C}"/>
    <cellStyle name="Nuovo 27 2 5" xfId="27000" xr:uid="{D32CBADF-9E1A-48E4-8DF2-F4FF033B8BFD}"/>
    <cellStyle name="Nuovo 27 3" xfId="863" xr:uid="{00000000-0005-0000-0000-0000E8060000}"/>
    <cellStyle name="Nuovo 27 3 2" xfId="864" xr:uid="{00000000-0005-0000-0000-0000E9060000}"/>
    <cellStyle name="Nuovo 27 3 2 2" xfId="2157" xr:uid="{00000000-0005-0000-0000-0000EA060000}"/>
    <cellStyle name="Nuovo 27 3 2 2 2" xfId="27006" xr:uid="{43A580AF-16BC-4A2B-B87A-27D227A1BA35}"/>
    <cellStyle name="Nuovo 27 3 2 3" xfId="8090" xr:uid="{7E9E3C4F-E111-4718-A1CD-22198948FB71}"/>
    <cellStyle name="Nuovo 27 3 2 3 2" xfId="14091" xr:uid="{AE34A3A1-F6DA-4ACF-B43A-FE1B6FA52A7C}"/>
    <cellStyle name="Nuovo 27 3 2 3 3" xfId="27007" xr:uid="{3C4B8813-F57E-4AE9-9005-51B9B89BF5BD}"/>
    <cellStyle name="Nuovo 27 3 2 4" xfId="27005" xr:uid="{2260AE4F-94E4-457F-9641-96D226346A59}"/>
    <cellStyle name="Nuovo 27 3 3" xfId="4168" xr:uid="{3D8CBF6F-3206-4603-B160-2B5A35715C28}"/>
    <cellStyle name="Nuovo 27 3 3 2" xfId="9307" xr:uid="{C789D64D-E054-48DD-ABC2-8826B9B861E4}"/>
    <cellStyle name="Nuovo 27 3 3 2 2" xfId="27009" xr:uid="{B194616D-5E8E-47C6-9B69-C8B3B98034BE}"/>
    <cellStyle name="Nuovo 27 3 3 3" xfId="27010" xr:uid="{D66AE1AE-8A38-419F-A542-8D54C08D90F1}"/>
    <cellStyle name="Nuovo 27 3 3 3 2" xfId="48985" xr:uid="{E2A5282C-CA1C-441F-8C8B-1C8B73C5AC4E}"/>
    <cellStyle name="Nuovo 27 3 3 4" xfId="27008" xr:uid="{DE7A8F8F-673F-4373-AF41-D921738AEB70}"/>
    <cellStyle name="Nuovo 27 3 4" xfId="4169" xr:uid="{87E1DEC4-2B49-4E49-8D5C-702822A341A5}"/>
    <cellStyle name="Nuovo 27 3 4 2" xfId="13751" xr:uid="{DEE0B21C-87CD-4B55-B4EB-7ACE770698FA}"/>
    <cellStyle name="Nuovo 27 3 4 3" xfId="27011" xr:uid="{10064725-131E-435B-BCB8-456295D14AF0}"/>
    <cellStyle name="Nuovo 27 3 5" xfId="12292" xr:uid="{D36D05FE-8DDF-4F01-8C98-6CFD84875D48}"/>
    <cellStyle name="Nuovo 27 3 5 2" xfId="27012" xr:uid="{C52B07CA-CCE0-4E56-97FE-0256ACE83794}"/>
    <cellStyle name="Nuovo 27 3 6" xfId="27013" xr:uid="{DA4ACAFF-5669-4949-AA49-F32F31FFA7DD}"/>
    <cellStyle name="Nuovo 27 3 7" xfId="27004" xr:uid="{E7B00F36-0258-4EAC-9027-36DF98AEF0E0}"/>
    <cellStyle name="Nuovo 27 4" xfId="2158" xr:uid="{00000000-0005-0000-0000-0000EB060000}"/>
    <cellStyle name="Nuovo 27 4 2" xfId="2159" xr:uid="{00000000-0005-0000-0000-0000EC060000}"/>
    <cellStyle name="Nuovo 27 4 2 2" xfId="9308" xr:uid="{CD1D1EF6-CCDD-45D5-9894-EF4F46638985}"/>
    <cellStyle name="Nuovo 27 4 2 2 2" xfId="27016" xr:uid="{4833EFD1-03DA-4B4C-8362-D221C871D2C8}"/>
    <cellStyle name="Nuovo 27 4 2 3" xfId="17871" xr:uid="{82AA1000-B2A1-42D2-AFA4-E54AE547BE3D}"/>
    <cellStyle name="Nuovo 27 4 2 3 2" xfId="27017" xr:uid="{F3EA65CC-B299-4BD2-8900-8E0C0C60DCA0}"/>
    <cellStyle name="Nuovo 27 4 2 4" xfId="27015" xr:uid="{F6C8BE89-4D81-4D62-8655-2815EF72E4C9}"/>
    <cellStyle name="Nuovo 27 4 2 5" xfId="17484" xr:uid="{CE95577F-FF77-485E-8065-0A4D6691A69D}"/>
    <cellStyle name="Nuovo 27 4 3" xfId="9309" xr:uid="{648FEC54-3B69-4191-882A-7807F0390925}"/>
    <cellStyle name="Nuovo 27 4 3 2" xfId="27018" xr:uid="{EB5BF957-9667-4A41-BFCC-6A41C2C84882}"/>
    <cellStyle name="Nuovo 27 4 4" xfId="27019" xr:uid="{BE3BBB84-825C-4212-8256-3D23E8778705}"/>
    <cellStyle name="Nuovo 27 4 4 2" xfId="48986" xr:uid="{F495EC05-5524-4BAC-B164-1BF72F9BBED2}"/>
    <cellStyle name="Nuovo 27 4 5" xfId="27020" xr:uid="{F1432F30-CBB2-418E-9088-F76ECD6149D7}"/>
    <cellStyle name="Nuovo 27 4 6" xfId="27014" xr:uid="{9E3E4A5D-B36E-4883-9A9F-0611C9BBBF20}"/>
    <cellStyle name="Nuovo 27 5" xfId="2160" xr:uid="{00000000-0005-0000-0000-0000ED060000}"/>
    <cellStyle name="Nuovo 27 5 2" xfId="27022" xr:uid="{98CB5B47-7351-4B1B-B936-6F3F207406B1}"/>
    <cellStyle name="Nuovo 27 5 2 2" xfId="48987" xr:uid="{7F35B425-7281-4465-9480-433ECDC5B41A}"/>
    <cellStyle name="Nuovo 27 5 3" xfId="27023" xr:uid="{76C2F13C-79C8-4F36-A936-B075BD0D61C0}"/>
    <cellStyle name="Nuovo 27 5 4" xfId="27021" xr:uid="{7D6D5053-83E9-466C-B9B4-862B54B6784B}"/>
    <cellStyle name="Nuovo 27 6" xfId="4170" xr:uid="{82E0C6F6-CF92-44FB-A4C7-EA23D3D1C610}"/>
    <cellStyle name="Nuovo 27 6 2" xfId="9787" xr:uid="{2CFC2FD0-10D9-4F6E-A850-ACA13D6FA110}"/>
    <cellStyle name="Nuovo 27 6 3" xfId="27024" xr:uid="{34C42F56-7767-49F2-ACED-B5D3CDFDB34B}"/>
    <cellStyle name="Nuovo 27 7" xfId="26999" xr:uid="{EC3ADD76-CA6D-4CCB-8E44-A6C1BF96ABD1}"/>
    <cellStyle name="Nuovo 28" xfId="865" xr:uid="{00000000-0005-0000-0000-0000EE060000}"/>
    <cellStyle name="Nuovo 28 2" xfId="866" xr:uid="{00000000-0005-0000-0000-0000EF060000}"/>
    <cellStyle name="Nuovo 28 2 2" xfId="4171" xr:uid="{9DE10C6A-FE3D-43FF-946A-165F4E283575}"/>
    <cellStyle name="Nuovo 28 2 2 2" xfId="13538" xr:uid="{EDCE01BA-E4DF-4651-B0F1-26BF1DD3CBB0}"/>
    <cellStyle name="Nuovo 28 2 2 3" xfId="27027" xr:uid="{68CAE817-C56D-48BD-8912-C7B9B16EC53D}"/>
    <cellStyle name="Nuovo 28 2 3" xfId="13274" xr:uid="{A2973573-094F-44BE-BBDA-9D25EABE9D1E}"/>
    <cellStyle name="Nuovo 28 2 3 2" xfId="27028" xr:uid="{1BDE885C-C5DA-47F7-A7A1-C72EC0C36AF6}"/>
    <cellStyle name="Nuovo 28 2 4" xfId="27029" xr:uid="{64B6D246-DFC2-4A32-A73B-9638DB746B25}"/>
    <cellStyle name="Nuovo 28 2 5" xfId="27026" xr:uid="{459FABE7-F54C-4FB2-B271-129DA9D0D736}"/>
    <cellStyle name="Nuovo 28 3" xfId="867" xr:uid="{00000000-0005-0000-0000-0000F0060000}"/>
    <cellStyle name="Nuovo 28 3 2" xfId="868" xr:uid="{00000000-0005-0000-0000-0000F1060000}"/>
    <cellStyle name="Nuovo 28 3 2 2" xfId="2161" xr:uid="{00000000-0005-0000-0000-0000F2060000}"/>
    <cellStyle name="Nuovo 28 3 2 2 2" xfId="27032" xr:uid="{FFD89313-B6FC-4B87-B1A7-B375BAB190CB}"/>
    <cellStyle name="Nuovo 28 3 2 3" xfId="8091" xr:uid="{1F771462-38B1-455D-AE2E-C354033B478A}"/>
    <cellStyle name="Nuovo 28 3 2 3 2" xfId="14092" xr:uid="{01E14D76-B450-40B7-AA77-A613F146F358}"/>
    <cellStyle name="Nuovo 28 3 2 3 3" xfId="27033" xr:uid="{A63EE8C3-B05F-4B54-9F00-70FBE8832751}"/>
    <cellStyle name="Nuovo 28 3 2 4" xfId="27031" xr:uid="{EA6DCFB0-4E23-4AA3-9049-22758FF7D985}"/>
    <cellStyle name="Nuovo 28 3 3" xfId="4172" xr:uid="{3D0B2B9F-C859-40DC-818C-F674FD5D97AC}"/>
    <cellStyle name="Nuovo 28 3 3 2" xfId="9310" xr:uid="{04E1E97C-4D13-4B96-8A05-E3B6D4260140}"/>
    <cellStyle name="Nuovo 28 3 3 2 2" xfId="27035" xr:uid="{0ED43991-74D4-4D44-9807-35F0E07216EC}"/>
    <cellStyle name="Nuovo 28 3 3 3" xfId="27036" xr:uid="{6FD50CA1-7918-45FA-9FE3-23E59E8C4255}"/>
    <cellStyle name="Nuovo 28 3 3 3 2" xfId="48988" xr:uid="{581B5636-19E7-47AC-935B-D826152DC248}"/>
    <cellStyle name="Nuovo 28 3 3 4" xfId="27034" xr:uid="{669272D9-7827-4C11-AAD7-366AF43BAAF8}"/>
    <cellStyle name="Nuovo 28 3 4" xfId="4173" xr:uid="{3E3BC6D1-600C-4056-BFE1-E2376EFB2EBF}"/>
    <cellStyle name="Nuovo 28 3 4 2" xfId="13752" xr:uid="{21A086AD-99BB-4CF1-8E14-9491E4F2BB3C}"/>
    <cellStyle name="Nuovo 28 3 4 3" xfId="27037" xr:uid="{270DF688-092C-4488-A5B4-E2A24B9ADF29}"/>
    <cellStyle name="Nuovo 28 3 5" xfId="12291" xr:uid="{7A77D1A4-DBC3-4942-AC1E-42245EA9035A}"/>
    <cellStyle name="Nuovo 28 3 5 2" xfId="27038" xr:uid="{ED24C9F9-449A-4BBB-AE7C-22D5B67DF35D}"/>
    <cellStyle name="Nuovo 28 3 6" xfId="27039" xr:uid="{2D6CA83D-645A-4F2A-A5DD-575F2A25DC74}"/>
    <cellStyle name="Nuovo 28 3 7" xfId="27030" xr:uid="{B6E15135-F125-435C-AEE4-9FACE4BF58DB}"/>
    <cellStyle name="Nuovo 28 4" xfId="2162" xr:uid="{00000000-0005-0000-0000-0000F3060000}"/>
    <cellStyle name="Nuovo 28 4 2" xfId="2163" xr:uid="{00000000-0005-0000-0000-0000F4060000}"/>
    <cellStyle name="Nuovo 28 4 2 2" xfId="9311" xr:uid="{CB292B8B-67FA-495F-8896-ABC62D287F52}"/>
    <cellStyle name="Nuovo 28 4 2 2 2" xfId="27042" xr:uid="{86E44C93-E077-41D8-8469-7D7E545CDD07}"/>
    <cellStyle name="Nuovo 28 4 2 3" xfId="17872" xr:uid="{29A91B33-18FB-4BEB-9F2D-8EF923DAD7D1}"/>
    <cellStyle name="Nuovo 28 4 2 3 2" xfId="27043" xr:uid="{CBF5F259-7CDF-4B0C-9AAB-5D858F12217A}"/>
    <cellStyle name="Nuovo 28 4 2 4" xfId="27041" xr:uid="{E1444A47-24B7-489F-AF63-EF5D64058008}"/>
    <cellStyle name="Nuovo 28 4 2 5" xfId="17485" xr:uid="{6D551685-EA9E-49BC-A073-422F363DD6B8}"/>
    <cellStyle name="Nuovo 28 4 3" xfId="9312" xr:uid="{5069DDCD-D354-4A47-829C-AEDE85C75C82}"/>
    <cellStyle name="Nuovo 28 4 3 2" xfId="27044" xr:uid="{6E9B80A0-27DC-4109-A70E-3FB2D35ADA35}"/>
    <cellStyle name="Nuovo 28 4 4" xfId="27045" xr:uid="{4B8E075A-EB00-4A1C-B7D9-306211032246}"/>
    <cellStyle name="Nuovo 28 4 4 2" xfId="48989" xr:uid="{70C45A30-7BE2-41A4-9839-70796AA4A29A}"/>
    <cellStyle name="Nuovo 28 4 5" xfId="27046" xr:uid="{8890A385-35A1-48E9-AF58-3F52A23B4453}"/>
    <cellStyle name="Nuovo 28 4 6" xfId="27040" xr:uid="{66084D60-3E47-4041-B4B7-36E8E1DE79CF}"/>
    <cellStyle name="Nuovo 28 5" xfId="2164" xr:uid="{00000000-0005-0000-0000-0000F5060000}"/>
    <cellStyle name="Nuovo 28 5 2" xfId="27048" xr:uid="{80D85BDA-4BD8-466F-A728-687E9A95E43B}"/>
    <cellStyle name="Nuovo 28 5 2 2" xfId="48990" xr:uid="{BE3009F8-D243-4001-A46D-9B77DBA2FB39}"/>
    <cellStyle name="Nuovo 28 5 3" xfId="27049" xr:uid="{4CFD1199-C71F-44D9-AA46-BBE09A4FDF4A}"/>
    <cellStyle name="Nuovo 28 5 4" xfId="27047" xr:uid="{98FAA14E-0A80-4198-96DC-26308CAF7E87}"/>
    <cellStyle name="Nuovo 28 6" xfId="4174" xr:uid="{98B1C2A4-D4FE-41D6-8D83-6ED5CDB8F70C}"/>
    <cellStyle name="Nuovo 28 6 2" xfId="9788" xr:uid="{809C2581-0581-430C-A89B-E14CCA585737}"/>
    <cellStyle name="Nuovo 28 6 3" xfId="27050" xr:uid="{95FE7660-F940-4909-9445-6537E7C363A2}"/>
    <cellStyle name="Nuovo 28 7" xfId="27025" xr:uid="{053DF3EA-3C3A-4CD7-9707-BB12CB2C79AD}"/>
    <cellStyle name="Nuovo 29" xfId="869" xr:uid="{00000000-0005-0000-0000-0000F6060000}"/>
    <cellStyle name="Nuovo 29 2" xfId="870" xr:uid="{00000000-0005-0000-0000-0000F7060000}"/>
    <cellStyle name="Nuovo 29 2 2" xfId="4175" xr:uid="{F435162C-D3E3-4A9E-AA6A-5B0C3198D196}"/>
    <cellStyle name="Nuovo 29 2 2 2" xfId="13539" xr:uid="{12B77F1A-7FF1-4CBD-980A-EABC675C94C1}"/>
    <cellStyle name="Nuovo 29 2 2 3" xfId="27053" xr:uid="{56F2E217-1D85-4889-A1BB-2F59E247C6A4}"/>
    <cellStyle name="Nuovo 29 2 3" xfId="13275" xr:uid="{D2202FDF-7420-4E5B-A95A-BB99CE5F028B}"/>
    <cellStyle name="Nuovo 29 2 3 2" xfId="27054" xr:uid="{D94AEA0E-ECF5-4E4B-BFBE-B711342DD453}"/>
    <cellStyle name="Nuovo 29 2 4" xfId="27055" xr:uid="{AE1510D8-E5E8-4DA2-8254-B63FB2B7A2DD}"/>
    <cellStyle name="Nuovo 29 2 5" xfId="27052" xr:uid="{CA163873-39F8-46C9-A5EA-448543F2B683}"/>
    <cellStyle name="Nuovo 29 3" xfId="871" xr:uid="{00000000-0005-0000-0000-0000F8060000}"/>
    <cellStyle name="Nuovo 29 3 2" xfId="872" xr:uid="{00000000-0005-0000-0000-0000F9060000}"/>
    <cellStyle name="Nuovo 29 3 2 2" xfId="2165" xr:uid="{00000000-0005-0000-0000-0000FA060000}"/>
    <cellStyle name="Nuovo 29 3 2 2 2" xfId="27058" xr:uid="{0780EC9E-09B2-44C8-B1DB-F412C6F66746}"/>
    <cellStyle name="Nuovo 29 3 2 3" xfId="8092" xr:uid="{FAED8526-9FD9-4E37-9F42-8756C64D71E2}"/>
    <cellStyle name="Nuovo 29 3 2 3 2" xfId="14093" xr:uid="{1D00A76A-401B-4A69-9D69-A2F82DA42D76}"/>
    <cellStyle name="Nuovo 29 3 2 3 3" xfId="27059" xr:uid="{8B328D4C-2BE6-4CD6-8DBF-63766DC54725}"/>
    <cellStyle name="Nuovo 29 3 2 4" xfId="27057" xr:uid="{9919B9D8-A1B7-4926-A456-109E39CBBC67}"/>
    <cellStyle name="Nuovo 29 3 3" xfId="4176" xr:uid="{5E205E26-4F26-47BD-A075-68C265ED28E6}"/>
    <cellStyle name="Nuovo 29 3 3 2" xfId="9313" xr:uid="{DCB942EB-66D6-4A3E-819B-F7DB68915B58}"/>
    <cellStyle name="Nuovo 29 3 3 2 2" xfId="27061" xr:uid="{4F72C81A-7B22-4466-B3BD-0D45810D2298}"/>
    <cellStyle name="Nuovo 29 3 3 3" xfId="27062" xr:uid="{6FB506F1-2CC2-4029-A2CA-7EC4A5D3862C}"/>
    <cellStyle name="Nuovo 29 3 3 3 2" xfId="48991" xr:uid="{E6FC0753-6999-4571-B733-35E2240B0EB5}"/>
    <cellStyle name="Nuovo 29 3 3 4" xfId="27060" xr:uid="{1E366760-D3D4-46A1-AD51-F7C17B786138}"/>
    <cellStyle name="Nuovo 29 3 4" xfId="4177" xr:uid="{A702743B-FFF0-4DA4-AE77-ABC8D8146F26}"/>
    <cellStyle name="Nuovo 29 3 4 2" xfId="13753" xr:uid="{2164E247-DA34-41CA-B376-B43769D5DD3F}"/>
    <cellStyle name="Nuovo 29 3 4 3" xfId="27063" xr:uid="{221E72DD-6DD6-49C2-B160-99745C98FBB8}"/>
    <cellStyle name="Nuovo 29 3 5" xfId="11524" xr:uid="{57D55DA6-CD8F-42E4-AF02-F2FC4BF9061B}"/>
    <cellStyle name="Nuovo 29 3 5 2" xfId="27064" xr:uid="{0ED34D48-DE25-44A4-95FF-1B3747337F11}"/>
    <cellStyle name="Nuovo 29 3 6" xfId="27065" xr:uid="{67C01637-9EAB-41E8-98A4-7340D100D8AF}"/>
    <cellStyle name="Nuovo 29 3 7" xfId="27056" xr:uid="{2FDD8740-ED1F-46CB-AE42-FEFCD84E6C13}"/>
    <cellStyle name="Nuovo 29 4" xfId="2166" xr:uid="{00000000-0005-0000-0000-0000FB060000}"/>
    <cellStyle name="Nuovo 29 4 2" xfId="2167" xr:uid="{00000000-0005-0000-0000-0000FC060000}"/>
    <cellStyle name="Nuovo 29 4 2 2" xfId="9314" xr:uid="{6AA47B0A-7018-4255-9330-FBADE8DE6F51}"/>
    <cellStyle name="Nuovo 29 4 2 2 2" xfId="27068" xr:uid="{BA424540-2468-46C9-B27E-8EA482E2EDAF}"/>
    <cellStyle name="Nuovo 29 4 2 3" xfId="17873" xr:uid="{4A0A6548-ECF7-4967-8A95-4D2B41BC4370}"/>
    <cellStyle name="Nuovo 29 4 2 3 2" xfId="27069" xr:uid="{BF20B2F0-F200-4CC8-97F4-8BB3DA1618C0}"/>
    <cellStyle name="Nuovo 29 4 2 4" xfId="27067" xr:uid="{DD0240C9-CB60-41A0-882B-43F891D03106}"/>
    <cellStyle name="Nuovo 29 4 2 5" xfId="17486" xr:uid="{839FA5B3-B92D-4489-BF14-BAC1CE69F644}"/>
    <cellStyle name="Nuovo 29 4 3" xfId="9315" xr:uid="{70ECB1F7-6A6B-4A0A-BF34-122713F3E35C}"/>
    <cellStyle name="Nuovo 29 4 3 2" xfId="27070" xr:uid="{9A182BFC-B220-4B1A-AFE0-CF84539C09C0}"/>
    <cellStyle name="Nuovo 29 4 4" xfId="27071" xr:uid="{BBD6AAE2-4A66-404A-8DAA-CFA2AE61195B}"/>
    <cellStyle name="Nuovo 29 4 4 2" xfId="48992" xr:uid="{8CDF61EB-B64B-4A38-8E1B-FF3C9CD5733B}"/>
    <cellStyle name="Nuovo 29 4 5" xfId="27072" xr:uid="{CDF0B523-65FE-4E2C-B2BA-F7CA4D774720}"/>
    <cellStyle name="Nuovo 29 4 6" xfId="27066" xr:uid="{43EC8547-3EBF-48DC-A2C8-1A5898F49A1A}"/>
    <cellStyle name="Nuovo 29 5" xfId="2168" xr:uid="{00000000-0005-0000-0000-0000FD060000}"/>
    <cellStyle name="Nuovo 29 5 2" xfId="27074" xr:uid="{00699010-7B76-4B83-BEF7-E3694EEE4D30}"/>
    <cellStyle name="Nuovo 29 5 2 2" xfId="48993" xr:uid="{FDE3D809-1BAA-4D00-BFA9-FAA6477DB64F}"/>
    <cellStyle name="Nuovo 29 5 3" xfId="27075" xr:uid="{A64257BC-32D7-47DA-807C-0E50CB8E1913}"/>
    <cellStyle name="Nuovo 29 5 4" xfId="27073" xr:uid="{DB2BEFFB-4B62-46CA-8079-8FAA9E877BD9}"/>
    <cellStyle name="Nuovo 29 6" xfId="4178" xr:uid="{7BD67813-54AA-4A51-803B-115A1461BE48}"/>
    <cellStyle name="Nuovo 29 6 2" xfId="9789" xr:uid="{3387D594-E7A4-485C-831C-41C67CFC3E80}"/>
    <cellStyle name="Nuovo 29 6 3" xfId="27076" xr:uid="{B5B349DA-C672-4EE7-AFD3-2BFA0DD6186C}"/>
    <cellStyle name="Nuovo 29 7" xfId="27051" xr:uid="{D0C24B72-89C7-4AB5-9CD4-C2BDC30CF520}"/>
    <cellStyle name="Nuovo 3" xfId="873" xr:uid="{00000000-0005-0000-0000-0000FE060000}"/>
    <cellStyle name="Nuovo 3 2" xfId="874" xr:uid="{00000000-0005-0000-0000-0000FF060000}"/>
    <cellStyle name="Nuovo 3 2 2" xfId="4179" xr:uid="{B7732E74-5E32-47C5-9255-120C3F735E80}"/>
    <cellStyle name="Nuovo 3 2 2 2" xfId="13540" xr:uid="{8B584F29-6802-4F6C-911A-42AC34E16BAF}"/>
    <cellStyle name="Nuovo 3 2 2 3" xfId="27079" xr:uid="{660B5E1D-4317-4CC1-A2A5-402C6A821E66}"/>
    <cellStyle name="Nuovo 3 2 3" xfId="13276" xr:uid="{81104CD3-5064-497F-B476-92447DC261FD}"/>
    <cellStyle name="Nuovo 3 2 3 2" xfId="27080" xr:uid="{5A873772-086F-4DE5-8415-61EAC4FFA962}"/>
    <cellStyle name="Nuovo 3 2 4" xfId="27081" xr:uid="{DC63CA28-8184-469A-89ED-B600163F027D}"/>
    <cellStyle name="Nuovo 3 2 5" xfId="27078" xr:uid="{9AC86300-9197-4A35-947D-E0A17B08A14F}"/>
    <cellStyle name="Nuovo 3 3" xfId="875" xr:uid="{00000000-0005-0000-0000-000000070000}"/>
    <cellStyle name="Nuovo 3 3 2" xfId="876" xr:uid="{00000000-0005-0000-0000-000001070000}"/>
    <cellStyle name="Nuovo 3 3 2 2" xfId="2169" xr:uid="{00000000-0005-0000-0000-000002070000}"/>
    <cellStyle name="Nuovo 3 3 2 2 2" xfId="27084" xr:uid="{137E65E0-906C-4C27-8E6B-878A2A3BE240}"/>
    <cellStyle name="Nuovo 3 3 2 3" xfId="8093" xr:uid="{A34B6EF5-63C3-40E2-A0FB-6AD732FED9A0}"/>
    <cellStyle name="Nuovo 3 3 2 3 2" xfId="14094" xr:uid="{EA62BB25-E173-4026-A3B9-7AB40AF1BFC4}"/>
    <cellStyle name="Nuovo 3 3 2 3 3" xfId="27085" xr:uid="{79868F73-6D21-44A8-86FF-3A745DCD3ED9}"/>
    <cellStyle name="Nuovo 3 3 2 4" xfId="27083" xr:uid="{FC76A9C0-8F60-4851-B793-4843CFE00538}"/>
    <cellStyle name="Nuovo 3 3 3" xfId="4180" xr:uid="{9744309A-C547-42CE-8175-02E4C23E7535}"/>
    <cellStyle name="Nuovo 3 3 3 2" xfId="9316" xr:uid="{13562002-BF8F-4447-B699-6DD7DB814D71}"/>
    <cellStyle name="Nuovo 3 3 3 2 2" xfId="27087" xr:uid="{8909DE2F-6FB3-4DAF-891C-33C57394DB2B}"/>
    <cellStyle name="Nuovo 3 3 3 3" xfId="27088" xr:uid="{AAF17F9E-001F-40D4-BBBE-E4B7C347389C}"/>
    <cellStyle name="Nuovo 3 3 3 3 2" xfId="48994" xr:uid="{DB6FB91E-F351-49F6-BCDC-71D58E797A4B}"/>
    <cellStyle name="Nuovo 3 3 3 4" xfId="27086" xr:uid="{8C9E9B9F-2A93-41E9-B445-EE25C6FCC0B0}"/>
    <cellStyle name="Nuovo 3 3 4" xfId="4181" xr:uid="{EFAD7141-6CE2-487E-9383-987D46DE267F}"/>
    <cellStyle name="Nuovo 3 3 4 2" xfId="13754" xr:uid="{B0609979-CDF4-47BA-8E3C-D78C1ED7BB99}"/>
    <cellStyle name="Nuovo 3 3 4 3" xfId="27089" xr:uid="{84B36260-F5C0-49BB-93D1-F9AD96F3D2B8}"/>
    <cellStyle name="Nuovo 3 3 5" xfId="11151" xr:uid="{A25707B0-C13F-41EE-B58B-B55F73979D0C}"/>
    <cellStyle name="Nuovo 3 3 5 2" xfId="27090" xr:uid="{D74A6D82-4FB2-4AF1-8BE7-3534D25F30AC}"/>
    <cellStyle name="Nuovo 3 3 6" xfId="27091" xr:uid="{018C7DE8-DD61-48EF-B99F-465858BDEF66}"/>
    <cellStyle name="Nuovo 3 3 7" xfId="27082" xr:uid="{51A35C29-891B-40FE-9636-7D7DF885A1D7}"/>
    <cellStyle name="Nuovo 3 4" xfId="2170" xr:uid="{00000000-0005-0000-0000-000003070000}"/>
    <cellStyle name="Nuovo 3 4 2" xfId="2171" xr:uid="{00000000-0005-0000-0000-000004070000}"/>
    <cellStyle name="Nuovo 3 4 2 2" xfId="9317" xr:uid="{ACBDFD2A-6662-4C88-B4B3-40275280BD07}"/>
    <cellStyle name="Nuovo 3 4 2 2 2" xfId="27094" xr:uid="{FDECEA14-CAFA-4E5F-8324-99C64A40883B}"/>
    <cellStyle name="Nuovo 3 4 2 3" xfId="17874" xr:uid="{1959E11B-B3F9-4BF0-94E8-69BBCDA2B461}"/>
    <cellStyle name="Nuovo 3 4 2 3 2" xfId="27095" xr:uid="{596C7552-E433-4B0C-AD71-B61E2C913868}"/>
    <cellStyle name="Nuovo 3 4 2 4" xfId="27093" xr:uid="{B60BD6C6-838B-49A4-9975-81AB9FB81BF6}"/>
    <cellStyle name="Nuovo 3 4 2 5" xfId="17487" xr:uid="{0229D477-C565-40E4-B4AC-3276FB7B2981}"/>
    <cellStyle name="Nuovo 3 4 3" xfId="9318" xr:uid="{AA6C6428-3ACD-4B2A-9C56-3DDFE4108B41}"/>
    <cellStyle name="Nuovo 3 4 3 2" xfId="27096" xr:uid="{85649D8C-75E6-420B-AFBC-2751B8504C04}"/>
    <cellStyle name="Nuovo 3 4 4" xfId="27097" xr:uid="{C5886140-E960-4745-BD29-6D5888871D5F}"/>
    <cellStyle name="Nuovo 3 4 4 2" xfId="48995" xr:uid="{C074807C-E136-4E38-955C-5E6E1F3439AA}"/>
    <cellStyle name="Nuovo 3 4 5" xfId="27098" xr:uid="{F358EA1A-CF1D-4811-91A8-F6CC3194BAB1}"/>
    <cellStyle name="Nuovo 3 4 6" xfId="27092" xr:uid="{00F38E65-57E9-44FF-AAEC-EC35FFEE1D71}"/>
    <cellStyle name="Nuovo 3 5" xfId="2172" xr:uid="{00000000-0005-0000-0000-000005070000}"/>
    <cellStyle name="Nuovo 3 5 2" xfId="27100" xr:uid="{4FD5FC88-D8E9-4F0F-994B-A893DDB914E1}"/>
    <cellStyle name="Nuovo 3 5 2 2" xfId="48996" xr:uid="{39FE75D6-1562-46ED-A371-F2BF3B6B8A3A}"/>
    <cellStyle name="Nuovo 3 5 3" xfId="27101" xr:uid="{D7132089-BD57-43F7-96D7-786ECAFD6DEA}"/>
    <cellStyle name="Nuovo 3 5 4" xfId="27099" xr:uid="{07D27B1A-5660-4493-B333-F9EB2AB9FB6C}"/>
    <cellStyle name="Nuovo 3 6" xfId="4182" xr:uid="{38791E31-885B-4766-B109-B252BEE0E935}"/>
    <cellStyle name="Nuovo 3 6 2" xfId="9790" xr:uid="{8436F9AD-1ED2-49FE-9B0E-1EF7EAF8CBF4}"/>
    <cellStyle name="Nuovo 3 6 3" xfId="27102" xr:uid="{BBA92BF8-1B8C-4A9F-A89A-94B16125B325}"/>
    <cellStyle name="Nuovo 3 7" xfId="27077" xr:uid="{C3B21BE5-8861-4B6E-BCA4-1AEE49C0D2C4}"/>
    <cellStyle name="Nuovo 30" xfId="877" xr:uid="{00000000-0005-0000-0000-000006070000}"/>
    <cellStyle name="Nuovo 30 2" xfId="878" xr:uid="{00000000-0005-0000-0000-000007070000}"/>
    <cellStyle name="Nuovo 30 2 2" xfId="4183" xr:uid="{FDDDBA86-EDE1-4E4A-BF91-2E8C2901BE3C}"/>
    <cellStyle name="Nuovo 30 2 2 2" xfId="13541" xr:uid="{9785960D-A04C-4154-9CC9-C44A459D52D3}"/>
    <cellStyle name="Nuovo 30 2 2 3" xfId="27105" xr:uid="{F722DC2C-2516-43F5-B1F1-6ADE98D39902}"/>
    <cellStyle name="Nuovo 30 2 3" xfId="13277" xr:uid="{301201DF-0FC5-49CD-BC52-C0355FD082EF}"/>
    <cellStyle name="Nuovo 30 2 3 2" xfId="27106" xr:uid="{B5D35993-FDA5-4CDC-8191-322BD73AA02F}"/>
    <cellStyle name="Nuovo 30 2 4" xfId="27107" xr:uid="{27120E87-5EBC-4506-9264-E47EBAD7091B}"/>
    <cellStyle name="Nuovo 30 2 5" xfId="27104" xr:uid="{6C494895-BBB5-4DB1-A80D-847191BED4E5}"/>
    <cellStyle name="Nuovo 30 3" xfId="879" xr:uid="{00000000-0005-0000-0000-000008070000}"/>
    <cellStyle name="Nuovo 30 3 2" xfId="880" xr:uid="{00000000-0005-0000-0000-000009070000}"/>
    <cellStyle name="Nuovo 30 3 2 2" xfId="2173" xr:uid="{00000000-0005-0000-0000-00000A070000}"/>
    <cellStyle name="Nuovo 30 3 2 2 2" xfId="27110" xr:uid="{58CB00EB-CA3A-4B33-8DF5-331A83925EEA}"/>
    <cellStyle name="Nuovo 30 3 2 3" xfId="8094" xr:uid="{4AC88854-BB0F-44B1-A4A4-E15D072AC66F}"/>
    <cellStyle name="Nuovo 30 3 2 3 2" xfId="14095" xr:uid="{9119FA69-E811-4816-BCAF-FDBE7173EEDF}"/>
    <cellStyle name="Nuovo 30 3 2 3 3" xfId="27111" xr:uid="{56BB9BF1-1498-43D5-898F-9EBA1D43EC40}"/>
    <cellStyle name="Nuovo 30 3 2 4" xfId="27109" xr:uid="{CB3C50CD-C82C-40A0-91D2-D738AD2BC834}"/>
    <cellStyle name="Nuovo 30 3 3" xfId="4184" xr:uid="{465EDB66-FB94-4FF7-8B14-18C1B4E6070A}"/>
    <cellStyle name="Nuovo 30 3 3 2" xfId="9319" xr:uid="{83B6B7F5-BA52-4BB3-BC97-B9A67BFEE564}"/>
    <cellStyle name="Nuovo 30 3 3 2 2" xfId="27113" xr:uid="{9F37583B-9997-496F-9702-53C99D7D524C}"/>
    <cellStyle name="Nuovo 30 3 3 3" xfId="27114" xr:uid="{5D752706-8113-4896-9057-584287ED57BB}"/>
    <cellStyle name="Nuovo 30 3 3 3 2" xfId="48997" xr:uid="{84718A53-3D1C-4098-BAC7-B74AA92DA661}"/>
    <cellStyle name="Nuovo 30 3 3 4" xfId="27112" xr:uid="{E8ABA294-83B0-4BAE-8209-9AF9C21D4A2E}"/>
    <cellStyle name="Nuovo 30 3 4" xfId="4185" xr:uid="{02347DE2-C03F-465F-A55C-73A80116BC11}"/>
    <cellStyle name="Nuovo 30 3 4 2" xfId="13755" xr:uid="{3DF574E3-2694-427F-875D-81A46C531A23}"/>
    <cellStyle name="Nuovo 30 3 4 3" xfId="27115" xr:uid="{6ADC1C3E-24EA-48AD-A7D1-8FDB219D901D}"/>
    <cellStyle name="Nuovo 30 3 5" xfId="12258" xr:uid="{D88614A1-594E-42DA-94D0-02549FB25C11}"/>
    <cellStyle name="Nuovo 30 3 5 2" xfId="27116" xr:uid="{2D9AAA43-067E-40BE-9225-ADE0163D712A}"/>
    <cellStyle name="Nuovo 30 3 6" xfId="27117" xr:uid="{3C07120D-307A-44C2-B500-53CDC07A020C}"/>
    <cellStyle name="Nuovo 30 3 7" xfId="27108" xr:uid="{BF025DD4-7CAA-4AD5-8AC0-9FB02253C973}"/>
    <cellStyle name="Nuovo 30 4" xfId="2174" xr:uid="{00000000-0005-0000-0000-00000B070000}"/>
    <cellStyle name="Nuovo 30 4 2" xfId="2175" xr:uid="{00000000-0005-0000-0000-00000C070000}"/>
    <cellStyle name="Nuovo 30 4 2 2" xfId="9320" xr:uid="{AC721AE7-6732-40B0-8331-93E3091A4439}"/>
    <cellStyle name="Nuovo 30 4 2 2 2" xfId="27120" xr:uid="{AE96A513-5D96-45AA-BB0B-4E412C9EAE80}"/>
    <cellStyle name="Nuovo 30 4 2 3" xfId="17875" xr:uid="{990354C8-F2DB-404A-BEAE-9196DEE3E108}"/>
    <cellStyle name="Nuovo 30 4 2 3 2" xfId="27121" xr:uid="{08958A1D-84AE-4433-B38E-90C7F62F9E5C}"/>
    <cellStyle name="Nuovo 30 4 2 4" xfId="27119" xr:uid="{7973A965-8F83-443E-8CCE-429E8F29273D}"/>
    <cellStyle name="Nuovo 30 4 2 5" xfId="17488" xr:uid="{E8EF0141-1EED-440D-A889-9295C6805654}"/>
    <cellStyle name="Nuovo 30 4 3" xfId="9321" xr:uid="{0474AF8B-223F-430E-AE45-11AFA663A22E}"/>
    <cellStyle name="Nuovo 30 4 3 2" xfId="27122" xr:uid="{64D62BF9-D572-4DF7-AE30-4911CC233906}"/>
    <cellStyle name="Nuovo 30 4 4" xfId="27123" xr:uid="{1B9F00EB-FF20-48F3-8DEF-2978B30A7CDE}"/>
    <cellStyle name="Nuovo 30 4 4 2" xfId="48998" xr:uid="{3E8E7918-C52A-47A5-80B2-209650CF6D3E}"/>
    <cellStyle name="Nuovo 30 4 5" xfId="27124" xr:uid="{3900FEE6-AE1E-4C00-86E2-892A04FFDB47}"/>
    <cellStyle name="Nuovo 30 4 6" xfId="27118" xr:uid="{FECAEC8B-20F6-46DF-A293-49CD60B905AC}"/>
    <cellStyle name="Nuovo 30 5" xfId="2176" xr:uid="{00000000-0005-0000-0000-00000D070000}"/>
    <cellStyle name="Nuovo 30 5 2" xfId="27126" xr:uid="{48B0FCC9-838E-4FF6-817B-B9043D382DB8}"/>
    <cellStyle name="Nuovo 30 5 2 2" xfId="48999" xr:uid="{90B9BC6E-DDBC-48B9-B17B-D385A06A89A4}"/>
    <cellStyle name="Nuovo 30 5 3" xfId="27127" xr:uid="{4B3D0FE6-8E24-4C96-8BBD-9C403BE9589E}"/>
    <cellStyle name="Nuovo 30 5 4" xfId="27125" xr:uid="{DBA9255F-E1DC-41FB-A245-618698CB2403}"/>
    <cellStyle name="Nuovo 30 6" xfId="4186" xr:uid="{E3B22F56-BF24-467E-BF96-5333ECD8B194}"/>
    <cellStyle name="Nuovo 30 6 2" xfId="9791" xr:uid="{2F0D4FAC-6A9F-4F05-9924-899B173D59E2}"/>
    <cellStyle name="Nuovo 30 6 3" xfId="27128" xr:uid="{50F6B7AF-3160-4808-A790-A781283A6689}"/>
    <cellStyle name="Nuovo 30 7" xfId="27103" xr:uid="{A59FDA06-1C8C-47C4-B7ED-52001EC4255D}"/>
    <cellStyle name="Nuovo 31" xfId="881" xr:uid="{00000000-0005-0000-0000-00000E070000}"/>
    <cellStyle name="Nuovo 31 2" xfId="882" xr:uid="{00000000-0005-0000-0000-00000F070000}"/>
    <cellStyle name="Nuovo 31 2 2" xfId="4187" xr:uid="{E9E1DCB1-4C5F-4D84-B38A-F351F78CC572}"/>
    <cellStyle name="Nuovo 31 2 2 2" xfId="13542" xr:uid="{37622C64-1894-4239-8BA1-AE3FF61ECBAE}"/>
    <cellStyle name="Nuovo 31 2 2 3" xfId="27131" xr:uid="{1640E42F-69AB-4272-82A4-8B185A50A1FB}"/>
    <cellStyle name="Nuovo 31 2 3" xfId="13278" xr:uid="{CBE1FC21-7727-4B56-9BEA-B99FE1AF3C6B}"/>
    <cellStyle name="Nuovo 31 2 3 2" xfId="27132" xr:uid="{0147F21C-31F0-4F51-BA31-65A6022FABCB}"/>
    <cellStyle name="Nuovo 31 2 4" xfId="27133" xr:uid="{E7E3B89A-CE69-4DDB-BC43-8D8084FEDE5F}"/>
    <cellStyle name="Nuovo 31 2 5" xfId="27130" xr:uid="{BF3F1BEC-F592-4007-A984-388E149A8AB5}"/>
    <cellStyle name="Nuovo 31 3" xfId="883" xr:uid="{00000000-0005-0000-0000-000010070000}"/>
    <cellStyle name="Nuovo 31 3 2" xfId="884" xr:uid="{00000000-0005-0000-0000-000011070000}"/>
    <cellStyle name="Nuovo 31 3 2 2" xfId="2177" xr:uid="{00000000-0005-0000-0000-000012070000}"/>
    <cellStyle name="Nuovo 31 3 2 2 2" xfId="27136" xr:uid="{5BB90CEB-3047-40FD-9A27-A246F5417454}"/>
    <cellStyle name="Nuovo 31 3 2 3" xfId="8095" xr:uid="{B0F16EDA-58C8-4484-B287-8EC7871D243B}"/>
    <cellStyle name="Nuovo 31 3 2 3 2" xfId="14096" xr:uid="{14D6FD21-0330-48E9-B4F2-D214A29A064B}"/>
    <cellStyle name="Nuovo 31 3 2 3 3" xfId="27137" xr:uid="{36EA4428-E291-4287-932E-6A222C0E1BD5}"/>
    <cellStyle name="Nuovo 31 3 2 4" xfId="27135" xr:uid="{CEABFF9E-0508-47B3-81CF-2C95D2EDBD14}"/>
    <cellStyle name="Nuovo 31 3 3" xfId="4188" xr:uid="{9037ED7C-BA02-401F-845D-0144FB6019FC}"/>
    <cellStyle name="Nuovo 31 3 3 2" xfId="9322" xr:uid="{71754337-5EEC-4331-9342-7BBF3DBE9AB4}"/>
    <cellStyle name="Nuovo 31 3 3 2 2" xfId="27139" xr:uid="{6E5308AD-40DD-431F-9C8C-32C78D584385}"/>
    <cellStyle name="Nuovo 31 3 3 3" xfId="27140" xr:uid="{48075BA7-12DC-4661-8B2D-439AB617C266}"/>
    <cellStyle name="Nuovo 31 3 3 3 2" xfId="49000" xr:uid="{275F38C9-5E03-4A3E-9EDA-441E74CE0536}"/>
    <cellStyle name="Nuovo 31 3 3 4" xfId="27138" xr:uid="{43EF8886-98C9-429D-B59F-B18E05E3CE71}"/>
    <cellStyle name="Nuovo 31 3 4" xfId="4189" xr:uid="{B65D84CB-B22C-4FE3-806F-168847179C1E}"/>
    <cellStyle name="Nuovo 31 3 4 2" xfId="13756" xr:uid="{27381C3C-10B3-4A0F-9C0D-76B160088216}"/>
    <cellStyle name="Nuovo 31 3 4 3" xfId="27141" xr:uid="{05DC2052-8434-45D9-A45C-44D01441D539}"/>
    <cellStyle name="Nuovo 31 3 5" xfId="11093" xr:uid="{387F2B93-D10A-4290-A3F3-2DF721B40726}"/>
    <cellStyle name="Nuovo 31 3 5 2" xfId="27142" xr:uid="{FF412BAD-010B-4D05-A858-75FF78C8F1FF}"/>
    <cellStyle name="Nuovo 31 3 6" xfId="27143" xr:uid="{894C7A40-226D-4969-901A-798874C02D4B}"/>
    <cellStyle name="Nuovo 31 3 7" xfId="27134" xr:uid="{BBB18440-1F08-4DFA-939A-8A740692122D}"/>
    <cellStyle name="Nuovo 31 4" xfId="2178" xr:uid="{00000000-0005-0000-0000-000013070000}"/>
    <cellStyle name="Nuovo 31 4 2" xfId="2179" xr:uid="{00000000-0005-0000-0000-000014070000}"/>
    <cellStyle name="Nuovo 31 4 2 2" xfId="9323" xr:uid="{ECC86338-7718-431A-8064-A6AE81A6AE21}"/>
    <cellStyle name="Nuovo 31 4 2 2 2" xfId="27146" xr:uid="{3F4AB99D-FDB0-4459-82FE-9D3D55403E7C}"/>
    <cellStyle name="Nuovo 31 4 2 3" xfId="17876" xr:uid="{9BD2F7CE-F9EF-49C2-A4C1-5C952BAA359B}"/>
    <cellStyle name="Nuovo 31 4 2 3 2" xfId="27147" xr:uid="{09174108-CFDA-4F9E-8451-7AC90B5757C3}"/>
    <cellStyle name="Nuovo 31 4 2 4" xfId="27145" xr:uid="{57A2112D-4D8A-4094-B6DD-51DE38AA80FF}"/>
    <cellStyle name="Nuovo 31 4 2 5" xfId="17489" xr:uid="{EAFEFA9C-5006-41CD-BB96-8695623A5580}"/>
    <cellStyle name="Nuovo 31 4 3" xfId="9324" xr:uid="{4777369C-21EB-4756-A3E2-CA51F86F560C}"/>
    <cellStyle name="Nuovo 31 4 3 2" xfId="27148" xr:uid="{45DD7763-BECD-4EAB-BB40-D257ACA30547}"/>
    <cellStyle name="Nuovo 31 4 4" xfId="27149" xr:uid="{0F423BA6-93F4-4CED-9CAE-38821B555D40}"/>
    <cellStyle name="Nuovo 31 4 4 2" xfId="49001" xr:uid="{6C486599-C44D-4C61-863B-384D7E8CA082}"/>
    <cellStyle name="Nuovo 31 4 5" xfId="27150" xr:uid="{ACA7AD7E-CB1E-4EB0-BB81-E08B2F2B5112}"/>
    <cellStyle name="Nuovo 31 4 6" xfId="27144" xr:uid="{8137556F-E1E1-4460-A0F2-79B798B6B20D}"/>
    <cellStyle name="Nuovo 31 5" xfId="2180" xr:uid="{00000000-0005-0000-0000-000015070000}"/>
    <cellStyle name="Nuovo 31 5 2" xfId="27152" xr:uid="{58F762C6-0629-4CD3-B283-454C16AE3F07}"/>
    <cellStyle name="Nuovo 31 5 2 2" xfId="49002" xr:uid="{9442B76D-B9D7-4871-8D31-33946B296863}"/>
    <cellStyle name="Nuovo 31 5 3" xfId="27153" xr:uid="{F23CB5C0-A160-415E-9814-939F1BFB1C47}"/>
    <cellStyle name="Nuovo 31 5 4" xfId="27151" xr:uid="{88E49587-CC4B-4317-8D8A-17544A7A758C}"/>
    <cellStyle name="Nuovo 31 6" xfId="4190" xr:uid="{1D018E73-AF8A-407F-873F-7FE11FCAD5A8}"/>
    <cellStyle name="Nuovo 31 6 2" xfId="9792" xr:uid="{84E6DAD2-9C12-4361-B04F-E10BECECF9D1}"/>
    <cellStyle name="Nuovo 31 6 3" xfId="27154" xr:uid="{6A05D25C-95B7-4762-8F7E-6E7FC463D423}"/>
    <cellStyle name="Nuovo 31 7" xfId="27129" xr:uid="{2E6CDBE2-F231-4B24-A555-2525F2238083}"/>
    <cellStyle name="Nuovo 32" xfId="885" xr:uid="{00000000-0005-0000-0000-000016070000}"/>
    <cellStyle name="Nuovo 32 2" xfId="886" xr:uid="{00000000-0005-0000-0000-000017070000}"/>
    <cellStyle name="Nuovo 32 2 2" xfId="4191" xr:uid="{8073B24D-5183-4C64-A33C-1EAB1CCE37F9}"/>
    <cellStyle name="Nuovo 32 2 2 2" xfId="13543" xr:uid="{708F25F9-FE27-4125-A040-A964AFAC6ECC}"/>
    <cellStyle name="Nuovo 32 2 2 3" xfId="27157" xr:uid="{C856EFC0-9799-4983-83B1-714E99E54903}"/>
    <cellStyle name="Nuovo 32 2 3" xfId="13279" xr:uid="{AF0A1A35-DF2E-41E2-83EE-501FDB2CC999}"/>
    <cellStyle name="Nuovo 32 2 3 2" xfId="27158" xr:uid="{515CDF23-1D51-4818-84FD-60B187F44BF1}"/>
    <cellStyle name="Nuovo 32 2 4" xfId="27159" xr:uid="{B65287E0-E631-40DD-920F-4234C2B480D6}"/>
    <cellStyle name="Nuovo 32 2 5" xfId="27156" xr:uid="{F982DA15-D038-4EC9-83C6-15579D0C7622}"/>
    <cellStyle name="Nuovo 32 3" xfId="887" xr:uid="{00000000-0005-0000-0000-000018070000}"/>
    <cellStyle name="Nuovo 32 3 2" xfId="888" xr:uid="{00000000-0005-0000-0000-000019070000}"/>
    <cellStyle name="Nuovo 32 3 2 2" xfId="2181" xr:uid="{00000000-0005-0000-0000-00001A070000}"/>
    <cellStyle name="Nuovo 32 3 2 2 2" xfId="27162" xr:uid="{63D5D95B-BDCE-4F71-93DC-3C50FE7D5C86}"/>
    <cellStyle name="Nuovo 32 3 2 3" xfId="8096" xr:uid="{CE1D831E-4BD3-4D4C-B4E1-362AD3FF6B55}"/>
    <cellStyle name="Nuovo 32 3 2 3 2" xfId="14097" xr:uid="{579F7EF1-BC4F-40AA-9FB1-3F1485C0136B}"/>
    <cellStyle name="Nuovo 32 3 2 3 3" xfId="27163" xr:uid="{CFE364A6-E1A7-481C-9902-B9898ECF9C6D}"/>
    <cellStyle name="Nuovo 32 3 2 4" xfId="27161" xr:uid="{A3F0C5CE-B492-400B-B8BE-2BCDA95791D5}"/>
    <cellStyle name="Nuovo 32 3 3" xfId="4192" xr:uid="{BD37E39D-AB41-4F8B-BF68-5F6FBE80EE1A}"/>
    <cellStyle name="Nuovo 32 3 3 2" xfId="9325" xr:uid="{30462EE7-087D-4E24-8083-8B50BBB8007B}"/>
    <cellStyle name="Nuovo 32 3 3 2 2" xfId="27165" xr:uid="{D825B2F2-31BA-4BEA-8B3B-8798C2136217}"/>
    <cellStyle name="Nuovo 32 3 3 3" xfId="27166" xr:uid="{F53F43F8-611E-432F-AAD8-77C72EA69250}"/>
    <cellStyle name="Nuovo 32 3 3 3 2" xfId="49003" xr:uid="{1A9FFA1E-8E4B-495F-B238-946FFA9A6878}"/>
    <cellStyle name="Nuovo 32 3 3 4" xfId="27164" xr:uid="{0E6CF306-58B8-4565-8323-ADDAE86AFF83}"/>
    <cellStyle name="Nuovo 32 3 4" xfId="4193" xr:uid="{F612A47E-9F57-463F-AFC0-6F060DFC7345}"/>
    <cellStyle name="Nuovo 32 3 4 2" xfId="13757" xr:uid="{93ECAD73-61FB-47A6-985E-A3D7308FB392}"/>
    <cellStyle name="Nuovo 32 3 4 3" xfId="27167" xr:uid="{7969DC61-2A47-41C0-A5BC-8AE9A963DEA6}"/>
    <cellStyle name="Nuovo 32 3 5" xfId="12256" xr:uid="{85C910E9-81D8-45F7-914A-68407EC6B5B8}"/>
    <cellStyle name="Nuovo 32 3 5 2" xfId="27168" xr:uid="{956BB4AF-1AB8-4AF2-A49D-6EE7746472C5}"/>
    <cellStyle name="Nuovo 32 3 6" xfId="27169" xr:uid="{AD1B6D85-B639-4520-B584-8B18C02F2FA2}"/>
    <cellStyle name="Nuovo 32 3 7" xfId="27160" xr:uid="{D216D338-728D-4A02-8967-BC94F30C6A1D}"/>
    <cellStyle name="Nuovo 32 4" xfId="2182" xr:uid="{00000000-0005-0000-0000-00001B070000}"/>
    <cellStyle name="Nuovo 32 4 2" xfId="2183" xr:uid="{00000000-0005-0000-0000-00001C070000}"/>
    <cellStyle name="Nuovo 32 4 2 2" xfId="9326" xr:uid="{EBD2F2DD-0D9D-4320-905F-9D6258FC8FA4}"/>
    <cellStyle name="Nuovo 32 4 2 2 2" xfId="27172" xr:uid="{26B64F80-8D0F-45BE-BDE5-A1C9109B19BE}"/>
    <cellStyle name="Nuovo 32 4 2 3" xfId="17877" xr:uid="{9B8F42FF-A2BE-47CA-A8E3-C54F940A25D8}"/>
    <cellStyle name="Nuovo 32 4 2 3 2" xfId="27173" xr:uid="{B12F05D6-7240-4B51-9A11-FBCFDDC4F7ED}"/>
    <cellStyle name="Nuovo 32 4 2 4" xfId="27171" xr:uid="{B0C4C5CB-A274-4481-97C5-CC6B6E1DEB9C}"/>
    <cellStyle name="Nuovo 32 4 2 5" xfId="17490" xr:uid="{E190F978-AE8C-4E6A-B0BF-E95E21614763}"/>
    <cellStyle name="Nuovo 32 4 3" xfId="9327" xr:uid="{AC99EA2A-9B5F-48FA-BCBB-899C026D8F92}"/>
    <cellStyle name="Nuovo 32 4 3 2" xfId="27174" xr:uid="{3257A2EA-B72A-4A4B-9E8F-F8C1C5FC1B3C}"/>
    <cellStyle name="Nuovo 32 4 4" xfId="27175" xr:uid="{5BFA4F7D-5CC7-4E60-8521-3BB8A3D9917C}"/>
    <cellStyle name="Nuovo 32 4 4 2" xfId="49004" xr:uid="{FC488498-D9C2-4B02-96FC-E2893E81AE7E}"/>
    <cellStyle name="Nuovo 32 4 5" xfId="27176" xr:uid="{09036DCD-EEEB-40FA-A10F-ADF8212FC3CE}"/>
    <cellStyle name="Nuovo 32 4 6" xfId="27170" xr:uid="{66B4F4CC-BAD1-4C8C-A634-80767886E980}"/>
    <cellStyle name="Nuovo 32 5" xfId="2184" xr:uid="{00000000-0005-0000-0000-00001D070000}"/>
    <cellStyle name="Nuovo 32 5 2" xfId="27178" xr:uid="{99B96F78-33F2-455D-A3D6-B3F7293806D6}"/>
    <cellStyle name="Nuovo 32 5 2 2" xfId="49005" xr:uid="{F35F360E-8B3E-4F52-90DD-6F77A872A3A2}"/>
    <cellStyle name="Nuovo 32 5 3" xfId="27179" xr:uid="{259BE631-B074-4C34-9647-098A35FEAB2D}"/>
    <cellStyle name="Nuovo 32 5 4" xfId="27177" xr:uid="{98DFD118-AE84-4099-A663-2E11094F6377}"/>
    <cellStyle name="Nuovo 32 6" xfId="4194" xr:uid="{EE24F8B6-634D-49B3-B532-AEA4C0175AEF}"/>
    <cellStyle name="Nuovo 32 6 2" xfId="9793" xr:uid="{DED478D7-7FD6-4821-8599-5BADD0A862F3}"/>
    <cellStyle name="Nuovo 32 6 3" xfId="27180" xr:uid="{26A4975C-5B0C-4F86-ADCF-7CB40A2DB21C}"/>
    <cellStyle name="Nuovo 32 7" xfId="27155" xr:uid="{954A0EA4-115B-4755-AF5B-35061BECE65E}"/>
    <cellStyle name="Nuovo 33" xfId="889" xr:uid="{00000000-0005-0000-0000-00001E070000}"/>
    <cellStyle name="Nuovo 33 2" xfId="890" xr:uid="{00000000-0005-0000-0000-00001F070000}"/>
    <cellStyle name="Nuovo 33 2 2" xfId="4195" xr:uid="{62ADB340-5E6B-4703-81F7-D70A6E1E35DC}"/>
    <cellStyle name="Nuovo 33 2 2 2" xfId="13544" xr:uid="{50AB1A74-AAB2-4682-94C3-906C8AFAB373}"/>
    <cellStyle name="Nuovo 33 2 2 3" xfId="27183" xr:uid="{3EB330F9-EE70-4FF2-9B28-97487C0CEE01}"/>
    <cellStyle name="Nuovo 33 2 3" xfId="13280" xr:uid="{0ED4FD4D-2DB1-4F96-B31F-E517AF68EDB5}"/>
    <cellStyle name="Nuovo 33 2 3 2" xfId="27184" xr:uid="{B6D2BD3D-28B3-488E-A740-AA9D5D08EE4E}"/>
    <cellStyle name="Nuovo 33 2 4" xfId="27185" xr:uid="{CEBD66E1-6FBB-4C08-95B5-F45E01C05C53}"/>
    <cellStyle name="Nuovo 33 2 5" xfId="27182" xr:uid="{F4E63E77-239F-41FE-AE8F-5E959B3F439E}"/>
    <cellStyle name="Nuovo 33 3" xfId="891" xr:uid="{00000000-0005-0000-0000-000020070000}"/>
    <cellStyle name="Nuovo 33 3 2" xfId="892" xr:uid="{00000000-0005-0000-0000-000021070000}"/>
    <cellStyle name="Nuovo 33 3 2 2" xfId="2185" xr:uid="{00000000-0005-0000-0000-000022070000}"/>
    <cellStyle name="Nuovo 33 3 2 2 2" xfId="27188" xr:uid="{2EE5AE18-774D-455D-A7FD-29FE48EC3529}"/>
    <cellStyle name="Nuovo 33 3 2 3" xfId="8097" xr:uid="{5066487D-A056-4DA8-B9B8-8CA876BC288B}"/>
    <cellStyle name="Nuovo 33 3 2 3 2" xfId="14098" xr:uid="{BE435E32-8C59-4209-97D6-240E5DF52D67}"/>
    <cellStyle name="Nuovo 33 3 2 3 3" xfId="27189" xr:uid="{7C86C599-CAEB-49B5-B622-90DCF51F28D3}"/>
    <cellStyle name="Nuovo 33 3 2 4" xfId="27187" xr:uid="{B92B5FC1-306E-4F00-B07F-87D9EBEC3FA5}"/>
    <cellStyle name="Nuovo 33 3 3" xfId="4196" xr:uid="{9F85EC94-8A08-4689-A3AB-00452B12ECE7}"/>
    <cellStyle name="Nuovo 33 3 3 2" xfId="9328" xr:uid="{64CE5116-176C-468E-8FA6-01AB98C0F993}"/>
    <cellStyle name="Nuovo 33 3 3 2 2" xfId="27191" xr:uid="{2058D5D1-591F-4F33-8C03-9A5FA159377A}"/>
    <cellStyle name="Nuovo 33 3 3 3" xfId="27192" xr:uid="{16C75CFC-F516-4513-ADBC-A7187DE67A2B}"/>
    <cellStyle name="Nuovo 33 3 3 3 2" xfId="49006" xr:uid="{A3676BE7-62D7-4165-812D-12897B82B232}"/>
    <cellStyle name="Nuovo 33 3 3 4" xfId="27190" xr:uid="{DB273DEE-56D1-4660-A6A6-553182B28855}"/>
    <cellStyle name="Nuovo 33 3 4" xfId="4197" xr:uid="{754AD26F-2146-4481-BF38-22CA85809A56}"/>
    <cellStyle name="Nuovo 33 3 4 2" xfId="13758" xr:uid="{7F19D354-C6FA-4C50-B567-1935AACC51B3}"/>
    <cellStyle name="Nuovo 33 3 4 3" xfId="27193" xr:uid="{9B249BD8-5668-4878-9582-E4E3AE91ACB1}"/>
    <cellStyle name="Nuovo 33 3 5" xfId="12294" xr:uid="{A312C3AE-2B69-4089-A545-FC39FCF757CE}"/>
    <cellStyle name="Nuovo 33 3 5 2" xfId="27194" xr:uid="{58561CA9-86FF-4C21-B06F-50AFC32D354D}"/>
    <cellStyle name="Nuovo 33 3 6" xfId="27195" xr:uid="{555CF545-F60B-4EE6-B6ED-87080D63E6EF}"/>
    <cellStyle name="Nuovo 33 3 7" xfId="27186" xr:uid="{14F20FD0-EC4C-437B-AE9D-C608357F643E}"/>
    <cellStyle name="Nuovo 33 4" xfId="2186" xr:uid="{00000000-0005-0000-0000-000023070000}"/>
    <cellStyle name="Nuovo 33 4 2" xfId="2187" xr:uid="{00000000-0005-0000-0000-000024070000}"/>
    <cellStyle name="Nuovo 33 4 2 2" xfId="9329" xr:uid="{F7000AFD-087D-426D-8578-3DC1017F8008}"/>
    <cellStyle name="Nuovo 33 4 2 2 2" xfId="27198" xr:uid="{A1B2F0BB-C321-49B8-ADFC-1D0AB73DB746}"/>
    <cellStyle name="Nuovo 33 4 2 3" xfId="17878" xr:uid="{D9B58261-394B-445A-8346-DE74570AF915}"/>
    <cellStyle name="Nuovo 33 4 2 3 2" xfId="27199" xr:uid="{42EFF72D-FCAC-4E5C-B35E-A9ECF28F65BD}"/>
    <cellStyle name="Nuovo 33 4 2 4" xfId="27197" xr:uid="{F65A87E1-8D7D-45CA-B637-799BD1137587}"/>
    <cellStyle name="Nuovo 33 4 2 5" xfId="17491" xr:uid="{66F51640-F46B-4E22-B921-3C6756ECE9AB}"/>
    <cellStyle name="Nuovo 33 4 3" xfId="9330" xr:uid="{68B102D0-1F83-4117-B3FA-5C5D89621DE3}"/>
    <cellStyle name="Nuovo 33 4 3 2" xfId="27200" xr:uid="{5AEBF1E6-CA1B-4458-B6DB-1AA9B74E7C5D}"/>
    <cellStyle name="Nuovo 33 4 4" xfId="27201" xr:uid="{3B2DD171-B62D-4651-AAA2-9E6047F74279}"/>
    <cellStyle name="Nuovo 33 4 4 2" xfId="49007" xr:uid="{877590C9-FB73-49E4-9A1D-369AA6AD4489}"/>
    <cellStyle name="Nuovo 33 4 5" xfId="27202" xr:uid="{D5FE7A98-A47A-40C1-AEA8-7E6DEB11A978}"/>
    <cellStyle name="Nuovo 33 4 6" xfId="27196" xr:uid="{EA834F2A-E98E-4AE8-9FE0-0AA7AB7FDFAF}"/>
    <cellStyle name="Nuovo 33 5" xfId="2188" xr:uid="{00000000-0005-0000-0000-000025070000}"/>
    <cellStyle name="Nuovo 33 5 2" xfId="27204" xr:uid="{36012286-C7D2-4F08-8AAF-F8D2AB33AEF5}"/>
    <cellStyle name="Nuovo 33 5 2 2" xfId="49008" xr:uid="{FC69466D-41E1-4890-8FF6-909966B78A1A}"/>
    <cellStyle name="Nuovo 33 5 3" xfId="27205" xr:uid="{F8FC96DA-A744-4560-8D11-491A3CB24A68}"/>
    <cellStyle name="Nuovo 33 5 4" xfId="27203" xr:uid="{542A594D-2389-4DCA-8057-D565FD217EFF}"/>
    <cellStyle name="Nuovo 33 6" xfId="4198" xr:uid="{FBED8D55-7227-4078-840F-0D474F8727B7}"/>
    <cellStyle name="Nuovo 33 6 2" xfId="9794" xr:uid="{8C95B018-7B18-463B-9CB0-AAB5CB15E477}"/>
    <cellStyle name="Nuovo 33 6 3" xfId="27206" xr:uid="{4BBBF63F-09B0-40D3-A152-5A1A9246083E}"/>
    <cellStyle name="Nuovo 33 7" xfId="27181" xr:uid="{53614CDA-4915-4972-B974-D6890C6FB978}"/>
    <cellStyle name="Nuovo 34" xfId="893" xr:uid="{00000000-0005-0000-0000-000026070000}"/>
    <cellStyle name="Nuovo 34 2" xfId="894" xr:uid="{00000000-0005-0000-0000-000027070000}"/>
    <cellStyle name="Nuovo 34 2 2" xfId="4199" xr:uid="{4760C67D-B602-4944-B63E-417E03357B6B}"/>
    <cellStyle name="Nuovo 34 2 2 2" xfId="13545" xr:uid="{C44D2FA2-D668-43ED-A5B4-BBF5ADDB3182}"/>
    <cellStyle name="Nuovo 34 2 2 3" xfId="27209" xr:uid="{9F5ABEDF-EC36-403A-9823-7C344A1C26AE}"/>
    <cellStyle name="Nuovo 34 2 3" xfId="13281" xr:uid="{E68759C0-081C-463D-8764-7DDAC910CB20}"/>
    <cellStyle name="Nuovo 34 2 3 2" xfId="27210" xr:uid="{B7549B9E-CFAA-4B63-AA52-25D3D8580156}"/>
    <cellStyle name="Nuovo 34 2 4" xfId="27211" xr:uid="{61A281B4-4C8F-4627-AC07-4B4A6B4A7305}"/>
    <cellStyle name="Nuovo 34 2 5" xfId="27208" xr:uid="{D4DF9D50-24D7-4975-8F89-FD8928F4092C}"/>
    <cellStyle name="Nuovo 34 3" xfId="895" xr:uid="{00000000-0005-0000-0000-000028070000}"/>
    <cellStyle name="Nuovo 34 3 2" xfId="896" xr:uid="{00000000-0005-0000-0000-000029070000}"/>
    <cellStyle name="Nuovo 34 3 2 2" xfId="2189" xr:uid="{00000000-0005-0000-0000-00002A070000}"/>
    <cellStyle name="Nuovo 34 3 2 2 2" xfId="27214" xr:uid="{21DAD0F5-1BB7-4357-B475-1087327BFA0F}"/>
    <cellStyle name="Nuovo 34 3 2 3" xfId="8098" xr:uid="{4F7FA860-F1F6-4C53-9A99-A395FE36FA46}"/>
    <cellStyle name="Nuovo 34 3 2 3 2" xfId="14099" xr:uid="{B67569B9-200C-4C05-8461-1CC17D040097}"/>
    <cellStyle name="Nuovo 34 3 2 3 3" xfId="27215" xr:uid="{4AD66738-49D2-474B-B1DA-496BE59D3C8A}"/>
    <cellStyle name="Nuovo 34 3 2 4" xfId="27213" xr:uid="{B07F219F-EF7E-4183-84F6-DBAB0FF17EAF}"/>
    <cellStyle name="Nuovo 34 3 3" xfId="4200" xr:uid="{D0EF8D5A-0058-465E-BCC6-BFEED23F1AF9}"/>
    <cellStyle name="Nuovo 34 3 3 2" xfId="9331" xr:uid="{AED031EE-BEFC-44A0-BB19-830202603881}"/>
    <cellStyle name="Nuovo 34 3 3 2 2" xfId="27217" xr:uid="{0679097B-32C5-4C19-BBE9-F37594A8B57D}"/>
    <cellStyle name="Nuovo 34 3 3 3" xfId="27218" xr:uid="{B3122453-FF9B-4AFB-9270-8959AA2B4B73}"/>
    <cellStyle name="Nuovo 34 3 3 3 2" xfId="49009" xr:uid="{95A6C1BC-D684-4277-8A53-19472303F7F8}"/>
    <cellStyle name="Nuovo 34 3 3 4" xfId="27216" xr:uid="{845A3798-AE6B-4A3E-AC6F-59685C534423}"/>
    <cellStyle name="Nuovo 34 3 4" xfId="4201" xr:uid="{3F8DD797-F9E4-468E-95F0-FC1E5EE53A73}"/>
    <cellStyle name="Nuovo 34 3 4 2" xfId="13759" xr:uid="{F49E5246-F1F4-4457-A006-682DB7760200}"/>
    <cellStyle name="Nuovo 34 3 4 3" xfId="27219" xr:uid="{9D46EAD2-DC7A-49D1-B156-F7F83E027802}"/>
    <cellStyle name="Nuovo 34 3 5" xfId="11523" xr:uid="{BF0C249E-E8EF-4D40-8C1A-F68B4F857B9E}"/>
    <cellStyle name="Nuovo 34 3 5 2" xfId="27220" xr:uid="{D9ED0A95-41AE-45B0-AA08-C45A0C13BDAC}"/>
    <cellStyle name="Nuovo 34 3 6" xfId="27221" xr:uid="{37F17EA5-380D-42CD-B4D7-B3A50548A2C5}"/>
    <cellStyle name="Nuovo 34 3 7" xfId="27212" xr:uid="{3CA0B4EF-AE5B-46F1-AE40-8D8AF965E545}"/>
    <cellStyle name="Nuovo 34 4" xfId="2190" xr:uid="{00000000-0005-0000-0000-00002B070000}"/>
    <cellStyle name="Nuovo 34 4 2" xfId="2191" xr:uid="{00000000-0005-0000-0000-00002C070000}"/>
    <cellStyle name="Nuovo 34 4 2 2" xfId="9332" xr:uid="{A3208215-197D-4879-BC0B-3DE5D8FD960F}"/>
    <cellStyle name="Nuovo 34 4 2 2 2" xfId="27224" xr:uid="{218A7458-F481-4855-948F-25DED7A1FB05}"/>
    <cellStyle name="Nuovo 34 4 2 3" xfId="17879" xr:uid="{80EB1D46-1C1E-4D10-A6F9-DC87B4835F7D}"/>
    <cellStyle name="Nuovo 34 4 2 3 2" xfId="27225" xr:uid="{D3B8F0A8-91DA-49A2-AFB9-E1229F31CDA4}"/>
    <cellStyle name="Nuovo 34 4 2 4" xfId="27223" xr:uid="{D2FCDD28-C7D2-4725-8038-3D87601EB4BB}"/>
    <cellStyle name="Nuovo 34 4 2 5" xfId="17492" xr:uid="{562B0D64-39BE-4395-9662-2F1595DD6FDD}"/>
    <cellStyle name="Nuovo 34 4 3" xfId="9333" xr:uid="{792E2068-7B49-4B27-83A8-841C8C770348}"/>
    <cellStyle name="Nuovo 34 4 3 2" xfId="27226" xr:uid="{1A2B48CA-5055-48A2-BB02-7AB2AA13A7D8}"/>
    <cellStyle name="Nuovo 34 4 4" xfId="27227" xr:uid="{F3A15C62-1B13-4133-9437-C7D569ADB996}"/>
    <cellStyle name="Nuovo 34 4 4 2" xfId="49010" xr:uid="{80E1A729-BB91-4ADB-B609-57754AFC6A35}"/>
    <cellStyle name="Nuovo 34 4 5" xfId="27228" xr:uid="{AF551834-E82F-416F-91D4-BAA0EF221AA1}"/>
    <cellStyle name="Nuovo 34 4 6" xfId="27222" xr:uid="{733D0E1D-8759-46AF-A422-88CE342DCBFE}"/>
    <cellStyle name="Nuovo 34 5" xfId="2192" xr:uid="{00000000-0005-0000-0000-00002D070000}"/>
    <cellStyle name="Nuovo 34 5 2" xfId="27230" xr:uid="{93B71085-518C-4934-B49B-8719272EF676}"/>
    <cellStyle name="Nuovo 34 5 2 2" xfId="49011" xr:uid="{E31D8145-9F6E-4170-BE91-D6F032F967CF}"/>
    <cellStyle name="Nuovo 34 5 3" xfId="27231" xr:uid="{6BF96C64-37EE-4894-8297-DAB936FCD9C3}"/>
    <cellStyle name="Nuovo 34 5 4" xfId="27229" xr:uid="{34AFEFBF-52B8-4030-965C-2B4A15A5C2C0}"/>
    <cellStyle name="Nuovo 34 6" xfId="4202" xr:uid="{6F1E2B6F-DB7F-49B8-BFCE-7D6C72323D19}"/>
    <cellStyle name="Nuovo 34 6 2" xfId="9795" xr:uid="{76CB15C1-AD00-4DF9-AF38-6CBE77320AAA}"/>
    <cellStyle name="Nuovo 34 6 3" xfId="27232" xr:uid="{95C0648A-B0E5-4428-A8D4-9719AEF4687D}"/>
    <cellStyle name="Nuovo 34 7" xfId="27207" xr:uid="{E03ECC80-CA1F-430B-9806-8299C17875FD}"/>
    <cellStyle name="Nuovo 35" xfId="897" xr:uid="{00000000-0005-0000-0000-00002E070000}"/>
    <cellStyle name="Nuovo 35 2" xfId="898" xr:uid="{00000000-0005-0000-0000-00002F070000}"/>
    <cellStyle name="Nuovo 35 2 2" xfId="4203" xr:uid="{3C68626D-0530-49F3-9A9F-8B05D0D1F455}"/>
    <cellStyle name="Nuovo 35 2 2 2" xfId="13546" xr:uid="{F4FE96F9-C04C-47BC-B6E7-6539BE77FB87}"/>
    <cellStyle name="Nuovo 35 2 2 3" xfId="27235" xr:uid="{833DF92F-FDA7-4F34-9A57-79AD959C0FCD}"/>
    <cellStyle name="Nuovo 35 2 3" xfId="13282" xr:uid="{E56E96C8-643F-41DA-8D28-A9ECA2F6D81C}"/>
    <cellStyle name="Nuovo 35 2 3 2" xfId="27236" xr:uid="{EBA50F5A-5C58-4126-9290-AACE2705BB9F}"/>
    <cellStyle name="Nuovo 35 2 4" xfId="27237" xr:uid="{B9073B77-D877-41C3-A63D-D5AF98415DB4}"/>
    <cellStyle name="Nuovo 35 2 5" xfId="27234" xr:uid="{55B3D2B0-77BB-4D47-9BCB-AAEE9542BFF8}"/>
    <cellStyle name="Nuovo 35 3" xfId="899" xr:uid="{00000000-0005-0000-0000-000030070000}"/>
    <cellStyle name="Nuovo 35 3 2" xfId="900" xr:uid="{00000000-0005-0000-0000-000031070000}"/>
    <cellStyle name="Nuovo 35 3 2 2" xfId="2193" xr:uid="{00000000-0005-0000-0000-000032070000}"/>
    <cellStyle name="Nuovo 35 3 2 2 2" xfId="27240" xr:uid="{2325484B-C178-4DE2-9E5F-9C96832C6ACF}"/>
    <cellStyle name="Nuovo 35 3 2 3" xfId="8099" xr:uid="{A0572E57-CBFA-4DA2-BA5E-5D98696789FD}"/>
    <cellStyle name="Nuovo 35 3 2 3 2" xfId="14100" xr:uid="{BB401603-18B0-4E57-9ECB-840073667616}"/>
    <cellStyle name="Nuovo 35 3 2 3 3" xfId="27241" xr:uid="{02903AF1-33CC-41D6-98B1-019C98492852}"/>
    <cellStyle name="Nuovo 35 3 2 4" xfId="27239" xr:uid="{198D4E41-F6A3-413D-9CE4-2DE6951467AF}"/>
    <cellStyle name="Nuovo 35 3 3" xfId="4204" xr:uid="{D3ABC173-4E1D-4ED0-B63C-0D64734FEE24}"/>
    <cellStyle name="Nuovo 35 3 3 2" xfId="9334" xr:uid="{D187EA62-D9BD-485E-BC18-514FE9131EB4}"/>
    <cellStyle name="Nuovo 35 3 3 2 2" xfId="27243" xr:uid="{C0CF2C0C-AE35-49E1-920F-BCB2E39D8E3D}"/>
    <cellStyle name="Nuovo 35 3 3 3" xfId="27244" xr:uid="{97766AEE-1D8D-47AF-BCBE-D2F08EC6DFA4}"/>
    <cellStyle name="Nuovo 35 3 3 3 2" xfId="49012" xr:uid="{DAB825AD-4423-49F2-8D52-CAAC6C3C90B0}"/>
    <cellStyle name="Nuovo 35 3 3 4" xfId="27242" xr:uid="{10BE030E-5610-4A57-BB09-1DB992382EF5}"/>
    <cellStyle name="Nuovo 35 3 4" xfId="4205" xr:uid="{4D1924AE-1D26-48C5-89BA-E0C03E0815B4}"/>
    <cellStyle name="Nuovo 35 3 4 2" xfId="13760" xr:uid="{DD9989AC-E89D-4E39-B23D-DA8838F2FD5E}"/>
    <cellStyle name="Nuovo 35 3 4 3" xfId="27245" xr:uid="{7A9FDA2A-2114-425E-80CC-C818F5E7AE9F}"/>
    <cellStyle name="Nuovo 35 3 5" xfId="12293" xr:uid="{385DEBF5-8E47-4BD8-971F-478C2399551A}"/>
    <cellStyle name="Nuovo 35 3 5 2" xfId="27246" xr:uid="{C6C435DF-76AF-4EF3-98AC-797AA14C72A5}"/>
    <cellStyle name="Nuovo 35 3 6" xfId="27247" xr:uid="{630C00AB-3761-436B-8A1C-DC1C38C643F2}"/>
    <cellStyle name="Nuovo 35 3 7" xfId="27238" xr:uid="{59D8FF75-E591-41B9-9461-6982995DB784}"/>
    <cellStyle name="Nuovo 35 4" xfId="2194" xr:uid="{00000000-0005-0000-0000-000033070000}"/>
    <cellStyle name="Nuovo 35 4 2" xfId="2195" xr:uid="{00000000-0005-0000-0000-000034070000}"/>
    <cellStyle name="Nuovo 35 4 2 2" xfId="9335" xr:uid="{EBA84BC7-37D3-4AEE-B865-8FC9853D31F3}"/>
    <cellStyle name="Nuovo 35 4 2 2 2" xfId="27250" xr:uid="{8719544B-5D12-4E37-8A37-6EC4D2FF55B9}"/>
    <cellStyle name="Nuovo 35 4 2 3" xfId="17880" xr:uid="{3B328E38-3E27-46DB-9C3C-C34DC60DFC3A}"/>
    <cellStyle name="Nuovo 35 4 2 3 2" xfId="27251" xr:uid="{002330BE-80B0-4351-B9A5-98136BFCD4CD}"/>
    <cellStyle name="Nuovo 35 4 2 4" xfId="27249" xr:uid="{84984614-2027-40D0-97C7-B29589073C79}"/>
    <cellStyle name="Nuovo 35 4 2 5" xfId="17493" xr:uid="{FF85A63D-3256-494E-A7B6-4D11BDFC8A42}"/>
    <cellStyle name="Nuovo 35 4 3" xfId="9336" xr:uid="{ACD4AA53-8D27-4AD3-93DF-C7867EC62402}"/>
    <cellStyle name="Nuovo 35 4 3 2" xfId="27252" xr:uid="{9160050D-D164-42E7-B414-5F0279C22023}"/>
    <cellStyle name="Nuovo 35 4 4" xfId="27253" xr:uid="{BC5F70AF-6370-44E1-A513-BF6F17F2F76F}"/>
    <cellStyle name="Nuovo 35 4 4 2" xfId="49013" xr:uid="{73AE7455-EF64-40AC-BBA5-7CFE441B8D4F}"/>
    <cellStyle name="Nuovo 35 4 5" xfId="27254" xr:uid="{51875896-46B2-4A59-954E-9F6A37BE292A}"/>
    <cellStyle name="Nuovo 35 4 6" xfId="27248" xr:uid="{27B8C873-CD0C-4945-9BC0-785D9B23E7AA}"/>
    <cellStyle name="Nuovo 35 5" xfId="2196" xr:uid="{00000000-0005-0000-0000-000035070000}"/>
    <cellStyle name="Nuovo 35 5 2" xfId="27256" xr:uid="{CF857EBD-B595-47F2-9AFC-BA5825C30305}"/>
    <cellStyle name="Nuovo 35 5 2 2" xfId="49014" xr:uid="{7C923DEF-FA17-41B2-985B-28EB3BE02D94}"/>
    <cellStyle name="Nuovo 35 5 3" xfId="27257" xr:uid="{58D343D5-13A8-4D8E-AFE8-7417DEC797CF}"/>
    <cellStyle name="Nuovo 35 5 4" xfId="27255" xr:uid="{57CB669C-F40E-46CF-AE3C-B0C73C8FD5C6}"/>
    <cellStyle name="Nuovo 35 6" xfId="4206" xr:uid="{A00A477E-7DA4-4521-8B51-E29DF5333F8A}"/>
    <cellStyle name="Nuovo 35 6 2" xfId="9796" xr:uid="{6CCA797E-296E-44F5-919D-77A3936F437D}"/>
    <cellStyle name="Nuovo 35 6 3" xfId="27258" xr:uid="{F9B26A35-6ACD-4222-9678-C452817B53B3}"/>
    <cellStyle name="Nuovo 35 7" xfId="27233" xr:uid="{F80F16F1-EB8B-4A4B-87D9-87EE53E5DBF5}"/>
    <cellStyle name="Nuovo 36" xfId="901" xr:uid="{00000000-0005-0000-0000-000036070000}"/>
    <cellStyle name="Nuovo 36 2" xfId="902" xr:uid="{00000000-0005-0000-0000-000037070000}"/>
    <cellStyle name="Nuovo 36 2 2" xfId="4207" xr:uid="{BAB3A3CA-3D4A-489D-AE94-AA1754033E98}"/>
    <cellStyle name="Nuovo 36 2 2 2" xfId="13547" xr:uid="{68BDEC0F-745C-49A5-97FE-97B58B7260D5}"/>
    <cellStyle name="Nuovo 36 2 2 3" xfId="27261" xr:uid="{5B14F0B3-0E37-44D7-A444-E1BFD3475BF1}"/>
    <cellStyle name="Nuovo 36 2 3" xfId="13283" xr:uid="{66748A89-6206-406D-9191-1854C7E4A55E}"/>
    <cellStyle name="Nuovo 36 2 3 2" xfId="27262" xr:uid="{3C16ABF0-9E4C-4105-9F54-9C3026D5DEA5}"/>
    <cellStyle name="Nuovo 36 2 4" xfId="27263" xr:uid="{1AE642CD-3C56-4A3A-80AB-E4B1098BB351}"/>
    <cellStyle name="Nuovo 36 2 5" xfId="27260" xr:uid="{942C864B-5F9C-4BB8-9C38-328068CA356C}"/>
    <cellStyle name="Nuovo 36 3" xfId="903" xr:uid="{00000000-0005-0000-0000-000038070000}"/>
    <cellStyle name="Nuovo 36 3 2" xfId="904" xr:uid="{00000000-0005-0000-0000-000039070000}"/>
    <cellStyle name="Nuovo 36 3 2 2" xfId="2197" xr:uid="{00000000-0005-0000-0000-00003A070000}"/>
    <cellStyle name="Nuovo 36 3 2 2 2" xfId="27266" xr:uid="{8D001364-04CC-449B-A0DF-0020F8C44CDB}"/>
    <cellStyle name="Nuovo 36 3 2 3" xfId="8100" xr:uid="{6B885DB8-483A-4A4B-8179-87C183F91748}"/>
    <cellStyle name="Nuovo 36 3 2 3 2" xfId="14101" xr:uid="{10B2A099-2DDF-49E9-8E9F-3CFA8928145D}"/>
    <cellStyle name="Nuovo 36 3 2 3 3" xfId="27267" xr:uid="{BE8B8FB5-2C1F-49A3-9904-4D1A2352FB28}"/>
    <cellStyle name="Nuovo 36 3 2 4" xfId="27265" xr:uid="{7BD93DA0-FBC8-45FE-9804-77E0FDC46DB8}"/>
    <cellStyle name="Nuovo 36 3 3" xfId="4208" xr:uid="{1A6BB515-873D-4047-B086-90A7F6DAD89A}"/>
    <cellStyle name="Nuovo 36 3 3 2" xfId="9337" xr:uid="{D92DA56D-7839-4070-A440-3DB93589BF04}"/>
    <cellStyle name="Nuovo 36 3 3 2 2" xfId="27269" xr:uid="{EA70AF1D-365D-4F7E-A4B1-1B0EEF1A305A}"/>
    <cellStyle name="Nuovo 36 3 3 3" xfId="27270" xr:uid="{BC055A74-BFDF-4452-A8B8-0A327E43C95E}"/>
    <cellStyle name="Nuovo 36 3 3 3 2" xfId="49015" xr:uid="{28E4ABFF-1404-4585-AACA-4DA5FE6BA1DE}"/>
    <cellStyle name="Nuovo 36 3 3 4" xfId="27268" xr:uid="{5CCEAF92-3ADF-4775-A04B-21454658042C}"/>
    <cellStyle name="Nuovo 36 3 4" xfId="4209" xr:uid="{348D861D-3051-4B69-A74B-58B7624BB565}"/>
    <cellStyle name="Nuovo 36 3 4 2" xfId="13761" xr:uid="{71A37468-4F6C-4EB0-9217-37F929FCAD78}"/>
    <cellStyle name="Nuovo 36 3 4 3" xfId="27271" xr:uid="{59271178-8E4A-4F4E-A4A4-E510B9389DBD}"/>
    <cellStyle name="Nuovo 36 3 5" xfId="11159" xr:uid="{51FE554E-3909-4EE5-8D39-5EAAA78E8AE9}"/>
    <cellStyle name="Nuovo 36 3 5 2" xfId="27272" xr:uid="{9AA71921-D11F-471C-A6EB-0B08112D2558}"/>
    <cellStyle name="Nuovo 36 3 6" xfId="27273" xr:uid="{AA3AEF3E-4DE2-46E8-93E3-450C01152F52}"/>
    <cellStyle name="Nuovo 36 3 7" xfId="27264" xr:uid="{9C48865C-5A4D-442C-9CA8-12A04AD1586F}"/>
    <cellStyle name="Nuovo 36 4" xfId="2198" xr:uid="{00000000-0005-0000-0000-00003B070000}"/>
    <cellStyle name="Nuovo 36 4 2" xfId="2199" xr:uid="{00000000-0005-0000-0000-00003C070000}"/>
    <cellStyle name="Nuovo 36 4 2 2" xfId="9338" xr:uid="{3584AA7C-FF76-4F52-A05C-FC4F4AC699EA}"/>
    <cellStyle name="Nuovo 36 4 2 2 2" xfId="27276" xr:uid="{11D42E05-3795-425A-8E26-78B040A5E643}"/>
    <cellStyle name="Nuovo 36 4 2 3" xfId="17881" xr:uid="{26CDCDD3-C842-404E-9B89-187CCE8CD2D5}"/>
    <cellStyle name="Nuovo 36 4 2 3 2" xfId="27277" xr:uid="{93AC6444-0834-4D0E-89B0-B0A50FC412F7}"/>
    <cellStyle name="Nuovo 36 4 2 4" xfId="27275" xr:uid="{FD6550FA-0386-42C3-B875-322C734FD08E}"/>
    <cellStyle name="Nuovo 36 4 2 5" xfId="17494" xr:uid="{5843FF36-F4EC-4188-95C5-9D4FCDCF774C}"/>
    <cellStyle name="Nuovo 36 4 3" xfId="9339" xr:uid="{66FFB423-8454-4DFA-8CE8-3391FB109B3A}"/>
    <cellStyle name="Nuovo 36 4 3 2" xfId="27278" xr:uid="{9101A21E-AB0A-4D60-A873-FF86035DC60B}"/>
    <cellStyle name="Nuovo 36 4 4" xfId="27279" xr:uid="{AAD892AB-8627-4AD3-AD1F-7922F3E2387D}"/>
    <cellStyle name="Nuovo 36 4 4 2" xfId="49016" xr:uid="{29A1643B-1430-44DA-9755-7A35118D7540}"/>
    <cellStyle name="Nuovo 36 4 5" xfId="27280" xr:uid="{960C0113-3E7E-43E4-AB7E-C67A9BA8A7F9}"/>
    <cellStyle name="Nuovo 36 4 6" xfId="27274" xr:uid="{8D5DE362-6DC1-4ADF-A218-9775BD6812A8}"/>
    <cellStyle name="Nuovo 36 5" xfId="2200" xr:uid="{00000000-0005-0000-0000-00003D070000}"/>
    <cellStyle name="Nuovo 36 5 2" xfId="27282" xr:uid="{85C24804-1692-492C-997C-0B1F91B9A4CC}"/>
    <cellStyle name="Nuovo 36 5 2 2" xfId="49017" xr:uid="{EA240E77-63FD-4985-A8E4-200C1C271D24}"/>
    <cellStyle name="Nuovo 36 5 3" xfId="27283" xr:uid="{FE0F2D3B-4FB4-44B6-8629-8503203BCE7C}"/>
    <cellStyle name="Nuovo 36 5 4" xfId="27281" xr:uid="{5F2B8A92-8F32-47B4-B73F-6130D5BBE552}"/>
    <cellStyle name="Nuovo 36 6" xfId="4210" xr:uid="{9EB4B771-343D-4179-846D-2C6EB25139AB}"/>
    <cellStyle name="Nuovo 36 6 2" xfId="9797" xr:uid="{D6026942-016B-4B9A-8B65-9F0D1AF2FDF4}"/>
    <cellStyle name="Nuovo 36 6 3" xfId="27284" xr:uid="{237D0C3E-FBDA-4DCC-9841-9521C9DCC51B}"/>
    <cellStyle name="Nuovo 36 7" xfId="27259" xr:uid="{3809480F-D2BC-4AB3-829B-C056122C5920}"/>
    <cellStyle name="Nuovo 37" xfId="905" xr:uid="{00000000-0005-0000-0000-00003E070000}"/>
    <cellStyle name="Nuovo 37 2" xfId="906" xr:uid="{00000000-0005-0000-0000-00003F070000}"/>
    <cellStyle name="Nuovo 37 2 2" xfId="4211" xr:uid="{451C8C83-4265-4C80-897F-9F90B06ACB10}"/>
    <cellStyle name="Nuovo 37 2 2 2" xfId="13548" xr:uid="{8FF510A7-8449-4F2C-A187-CDFDD943F7CA}"/>
    <cellStyle name="Nuovo 37 2 2 3" xfId="27287" xr:uid="{9418FE32-D825-4663-848F-3CB7BE0EDF04}"/>
    <cellStyle name="Nuovo 37 2 3" xfId="13284" xr:uid="{CDE741B1-6954-4F4F-9BE2-7B8A2F76C731}"/>
    <cellStyle name="Nuovo 37 2 3 2" xfId="27288" xr:uid="{211FEE41-F345-4399-989E-CC8E1594F4C5}"/>
    <cellStyle name="Nuovo 37 2 4" xfId="27289" xr:uid="{EA2546FB-7C56-4760-AB30-A7D602F678C1}"/>
    <cellStyle name="Nuovo 37 2 5" xfId="27286" xr:uid="{F3CA66AE-E43B-492D-AB56-6360650718B8}"/>
    <cellStyle name="Nuovo 37 3" xfId="907" xr:uid="{00000000-0005-0000-0000-000040070000}"/>
    <cellStyle name="Nuovo 37 3 2" xfId="908" xr:uid="{00000000-0005-0000-0000-000041070000}"/>
    <cellStyle name="Nuovo 37 3 2 2" xfId="2201" xr:uid="{00000000-0005-0000-0000-000042070000}"/>
    <cellStyle name="Nuovo 37 3 2 2 2" xfId="27292" xr:uid="{4ED65A9B-E4F9-446A-86BC-35EC784D90B6}"/>
    <cellStyle name="Nuovo 37 3 2 3" xfId="8101" xr:uid="{74744676-D7D3-4088-8BF1-E6AE5E150F50}"/>
    <cellStyle name="Nuovo 37 3 2 3 2" xfId="14102" xr:uid="{A63372C9-38E8-43D2-A053-4030A20ECF19}"/>
    <cellStyle name="Nuovo 37 3 2 3 3" xfId="27293" xr:uid="{1C150145-47C5-4C65-848B-5E100A3443CB}"/>
    <cellStyle name="Nuovo 37 3 2 4" xfId="27291" xr:uid="{DD77FE7E-CB94-4714-BD1A-1C6A399EB4D4}"/>
    <cellStyle name="Nuovo 37 3 3" xfId="4212" xr:uid="{709C5631-21BA-463E-ABE6-53AAADF9E01E}"/>
    <cellStyle name="Nuovo 37 3 3 2" xfId="9340" xr:uid="{B78E1A1E-8669-424D-865E-C0F0B351116D}"/>
    <cellStyle name="Nuovo 37 3 3 2 2" xfId="27295" xr:uid="{906B7EC4-4C1C-4BA6-9F48-E9EB0063A09D}"/>
    <cellStyle name="Nuovo 37 3 3 3" xfId="27296" xr:uid="{57D578E5-6C7C-4A5F-8F97-A3816240425E}"/>
    <cellStyle name="Nuovo 37 3 3 3 2" xfId="49018" xr:uid="{D7EA5D61-1D51-4599-BD42-80E3BEBEB135}"/>
    <cellStyle name="Nuovo 37 3 3 4" xfId="27294" xr:uid="{816DA027-8356-4CED-B02D-D54DFBCD2E42}"/>
    <cellStyle name="Nuovo 37 3 4" xfId="4213" xr:uid="{E14B18BF-3A3A-4791-B319-5A5A89AF164F}"/>
    <cellStyle name="Nuovo 37 3 4 2" xfId="13762" xr:uid="{EC0B03A5-41FA-4C95-BA67-756600455CA6}"/>
    <cellStyle name="Nuovo 37 3 4 3" xfId="27297" xr:uid="{E2C54552-5A01-4235-82F0-B59C5C326C37}"/>
    <cellStyle name="Nuovo 37 3 5" xfId="11211" xr:uid="{88701065-F8B7-4254-8D91-DAC47CEAD6A6}"/>
    <cellStyle name="Nuovo 37 3 5 2" xfId="27298" xr:uid="{ED218180-DA8E-4C95-B8C9-0234E056D26C}"/>
    <cellStyle name="Nuovo 37 3 6" xfId="27299" xr:uid="{84044522-4E91-4028-ABF0-86FDA4ACA927}"/>
    <cellStyle name="Nuovo 37 3 7" xfId="27290" xr:uid="{58F32333-1549-40CC-9114-E4D67D226801}"/>
    <cellStyle name="Nuovo 37 4" xfId="2202" xr:uid="{00000000-0005-0000-0000-000043070000}"/>
    <cellStyle name="Nuovo 37 4 2" xfId="2203" xr:uid="{00000000-0005-0000-0000-000044070000}"/>
    <cellStyle name="Nuovo 37 4 2 2" xfId="9341" xr:uid="{C1D6E32C-608B-49EF-9D71-2CD606168399}"/>
    <cellStyle name="Nuovo 37 4 2 2 2" xfId="27302" xr:uid="{B4B46885-9B01-4289-9219-59A22B15E6DC}"/>
    <cellStyle name="Nuovo 37 4 2 3" xfId="17882" xr:uid="{297FA0F4-5AD3-473A-827C-B657B98D0C0D}"/>
    <cellStyle name="Nuovo 37 4 2 3 2" xfId="27303" xr:uid="{9ADAAF37-B8EF-41E5-AFFD-6C81A48A6BD9}"/>
    <cellStyle name="Nuovo 37 4 2 4" xfId="27301" xr:uid="{A73D1DF8-1831-4694-B46E-A04F59B8A983}"/>
    <cellStyle name="Nuovo 37 4 2 5" xfId="17495" xr:uid="{EDB606B6-5318-4A1E-AE25-C7690FC5DC7F}"/>
    <cellStyle name="Nuovo 37 4 3" xfId="9342" xr:uid="{88FB8414-3692-4FA8-AF72-CA71124927BC}"/>
    <cellStyle name="Nuovo 37 4 3 2" xfId="27304" xr:uid="{BCC96947-F6C2-42A9-9844-2FBF31F6A95B}"/>
    <cellStyle name="Nuovo 37 4 4" xfId="27305" xr:uid="{1D0A1468-4536-49B1-A3AC-421535DC015C}"/>
    <cellStyle name="Nuovo 37 4 4 2" xfId="49019" xr:uid="{2EFAC234-D12A-4573-ADEF-5A9A40CB66C5}"/>
    <cellStyle name="Nuovo 37 4 5" xfId="27306" xr:uid="{55838139-EF42-4DE8-804A-5627AD39ADD9}"/>
    <cellStyle name="Nuovo 37 4 6" xfId="27300" xr:uid="{C509B4E1-1CCB-4B25-881B-2E830E2874D5}"/>
    <cellStyle name="Nuovo 37 5" xfId="2204" xr:uid="{00000000-0005-0000-0000-000045070000}"/>
    <cellStyle name="Nuovo 37 5 2" xfId="27308" xr:uid="{11B2EC6C-878E-4582-812E-405DAC955122}"/>
    <cellStyle name="Nuovo 37 5 2 2" xfId="49020" xr:uid="{B22353DA-B4EE-4188-A525-3632D609AC4C}"/>
    <cellStyle name="Nuovo 37 5 3" xfId="27309" xr:uid="{49C9CD0E-6090-41FD-BAD8-E3E1889A8D54}"/>
    <cellStyle name="Nuovo 37 5 4" xfId="27307" xr:uid="{4D4A73CB-F448-441E-A9CA-951626857D6F}"/>
    <cellStyle name="Nuovo 37 6" xfId="4214" xr:uid="{755877FC-1C24-4FEF-A1CD-1F4E95F8A063}"/>
    <cellStyle name="Nuovo 37 6 2" xfId="9798" xr:uid="{0C547E96-0FBA-490C-A298-196EEE77D30A}"/>
    <cellStyle name="Nuovo 37 6 3" xfId="27310" xr:uid="{DD31F1C5-6D9D-476A-B0F4-2388DD487633}"/>
    <cellStyle name="Nuovo 37 7" xfId="27285" xr:uid="{ABC330D2-11D5-414E-9E3D-53853BF03E05}"/>
    <cellStyle name="Nuovo 38" xfId="909" xr:uid="{00000000-0005-0000-0000-000046070000}"/>
    <cellStyle name="Nuovo 38 2" xfId="910" xr:uid="{00000000-0005-0000-0000-000047070000}"/>
    <cellStyle name="Nuovo 38 2 2" xfId="4215" xr:uid="{857CA0DB-A952-4D08-A180-C69C09EBF2FA}"/>
    <cellStyle name="Nuovo 38 2 2 2" xfId="13549" xr:uid="{212EA283-B1E2-4512-A9AD-E0D5B20E8AD4}"/>
    <cellStyle name="Nuovo 38 2 2 3" xfId="27313" xr:uid="{539A2166-0B1F-4802-BCC5-C84D34EFC1C5}"/>
    <cellStyle name="Nuovo 38 2 3" xfId="13285" xr:uid="{86B415F9-3E34-4288-82AF-997214192512}"/>
    <cellStyle name="Nuovo 38 2 3 2" xfId="27314" xr:uid="{EB3ECC36-7FC2-4A7A-B43D-C94C506562D6}"/>
    <cellStyle name="Nuovo 38 2 4" xfId="27315" xr:uid="{328E90C4-687F-44D5-A68C-19C0D447B547}"/>
    <cellStyle name="Nuovo 38 2 5" xfId="27312" xr:uid="{C8CE8A74-EBC9-4D54-9EC2-C7AF8D5A627E}"/>
    <cellStyle name="Nuovo 38 3" xfId="911" xr:uid="{00000000-0005-0000-0000-000048070000}"/>
    <cellStyle name="Nuovo 38 3 2" xfId="912" xr:uid="{00000000-0005-0000-0000-000049070000}"/>
    <cellStyle name="Nuovo 38 3 2 2" xfId="2205" xr:uid="{00000000-0005-0000-0000-00004A070000}"/>
    <cellStyle name="Nuovo 38 3 2 2 2" xfId="27318" xr:uid="{DEDB8531-4C79-4145-B970-EBF407AEAB18}"/>
    <cellStyle name="Nuovo 38 3 2 3" xfId="8102" xr:uid="{4D077069-81DE-4CCF-9A1C-26441F4089ED}"/>
    <cellStyle name="Nuovo 38 3 2 3 2" xfId="14103" xr:uid="{FAB01DAC-51C3-4953-B851-2D011F1266BD}"/>
    <cellStyle name="Nuovo 38 3 2 3 3" xfId="27319" xr:uid="{C88955ED-FED5-4E8B-80AC-1D212F1E9AC9}"/>
    <cellStyle name="Nuovo 38 3 2 4" xfId="27317" xr:uid="{CD803731-0A8A-4C9C-BFC3-9EBFAC7B53F8}"/>
    <cellStyle name="Nuovo 38 3 3" xfId="4216" xr:uid="{8E2433B2-F028-445A-9123-AF98EDF70BD8}"/>
    <cellStyle name="Nuovo 38 3 3 2" xfId="9343" xr:uid="{70FB8AA2-0BEA-4467-8960-58FC820B40F3}"/>
    <cellStyle name="Nuovo 38 3 3 2 2" xfId="27321" xr:uid="{D402D7AE-F280-423D-8104-A9E7FA28AAE9}"/>
    <cellStyle name="Nuovo 38 3 3 3" xfId="27322" xr:uid="{615D1B7C-3597-43D5-9264-9F13DA7C6EB7}"/>
    <cellStyle name="Nuovo 38 3 3 3 2" xfId="49021" xr:uid="{9D6E82D4-80B2-4745-84CE-C1D58EB3FD05}"/>
    <cellStyle name="Nuovo 38 3 3 4" xfId="27320" xr:uid="{DB5E77EC-AE71-4794-8AED-1BB4EA655937}"/>
    <cellStyle name="Nuovo 38 3 4" xfId="4217" xr:uid="{2AB2AD28-91AE-46D4-AF6B-DC30B0D982D8}"/>
    <cellStyle name="Nuovo 38 3 4 2" xfId="13763" xr:uid="{FDBFBF46-C933-4BBD-8DA0-EAC528319EAF}"/>
    <cellStyle name="Nuovo 38 3 4 3" xfId="27323" xr:uid="{13B35CB4-1A62-4175-A1A9-9937AB061E21}"/>
    <cellStyle name="Nuovo 38 3 5" xfId="12166" xr:uid="{3495FD65-535B-43D1-BD94-5C8180DB9AA8}"/>
    <cellStyle name="Nuovo 38 3 5 2" xfId="27324" xr:uid="{F7F70BFA-DAC3-4AE0-8818-8492B880525D}"/>
    <cellStyle name="Nuovo 38 3 6" xfId="27325" xr:uid="{E3F5AAD4-A859-4A69-AA9D-BE682B7F0F10}"/>
    <cellStyle name="Nuovo 38 3 7" xfId="27316" xr:uid="{5A04C8EC-4DDF-439D-AF84-F150BAD69CA6}"/>
    <cellStyle name="Nuovo 38 4" xfId="2206" xr:uid="{00000000-0005-0000-0000-00004B070000}"/>
    <cellStyle name="Nuovo 38 4 2" xfId="2207" xr:uid="{00000000-0005-0000-0000-00004C070000}"/>
    <cellStyle name="Nuovo 38 4 2 2" xfId="9344" xr:uid="{82E2E064-7EA6-4CFB-B2F6-D133DBADDE7C}"/>
    <cellStyle name="Nuovo 38 4 2 2 2" xfId="27328" xr:uid="{78DF7F13-5EED-4059-BD29-8A53758CCD12}"/>
    <cellStyle name="Nuovo 38 4 2 3" xfId="17883" xr:uid="{219C4AA9-C937-491B-9404-257DA9CFDC10}"/>
    <cellStyle name="Nuovo 38 4 2 3 2" xfId="27329" xr:uid="{8052CB63-865D-4589-A917-A86415C45D7D}"/>
    <cellStyle name="Nuovo 38 4 2 4" xfId="27327" xr:uid="{08049F89-5AF9-4B92-BD8A-CFA8EF457B9B}"/>
    <cellStyle name="Nuovo 38 4 2 5" xfId="17496" xr:uid="{4950C5CD-CC6E-40AD-84F0-F6E444A8EA1B}"/>
    <cellStyle name="Nuovo 38 4 3" xfId="9345" xr:uid="{1A269A71-F28A-4AD7-8140-F54F5858D5B2}"/>
    <cellStyle name="Nuovo 38 4 3 2" xfId="27330" xr:uid="{BBD301DF-3267-4D3F-8DEA-13D3432EA64B}"/>
    <cellStyle name="Nuovo 38 4 4" xfId="27331" xr:uid="{97B22414-D356-4F02-84D5-8004DB566752}"/>
    <cellStyle name="Nuovo 38 4 4 2" xfId="49022" xr:uid="{27D0EC1D-EB0C-4DFC-8603-D8F08ABE9B1E}"/>
    <cellStyle name="Nuovo 38 4 5" xfId="27332" xr:uid="{AFCAD945-1D8B-4862-9390-7DE97C29A140}"/>
    <cellStyle name="Nuovo 38 4 6" xfId="27326" xr:uid="{42BF52F5-0008-4484-B6B2-918EEB9DD1D3}"/>
    <cellStyle name="Nuovo 38 5" xfId="2208" xr:uid="{00000000-0005-0000-0000-00004D070000}"/>
    <cellStyle name="Nuovo 38 5 2" xfId="27334" xr:uid="{62CFD9EC-492F-4C60-A851-23A075CCF487}"/>
    <cellStyle name="Nuovo 38 5 2 2" xfId="49023" xr:uid="{D27E00E0-71FF-473F-BA80-12340D262CE4}"/>
    <cellStyle name="Nuovo 38 5 3" xfId="27335" xr:uid="{5C8F73D6-856A-41CC-B8D4-40C1BD7625F9}"/>
    <cellStyle name="Nuovo 38 5 4" xfId="27333" xr:uid="{34DF1E85-FDD2-4C4F-AC2A-316F57F9EB51}"/>
    <cellStyle name="Nuovo 38 6" xfId="4218" xr:uid="{8D70B16F-9F06-48CE-B7E4-B3E2D2BA6946}"/>
    <cellStyle name="Nuovo 38 6 2" xfId="9799" xr:uid="{64EE41C2-8EEC-4C11-B490-39858E53B766}"/>
    <cellStyle name="Nuovo 38 6 3" xfId="27336" xr:uid="{0675A832-8230-4939-8379-978717077623}"/>
    <cellStyle name="Nuovo 38 7" xfId="27311" xr:uid="{F706656D-7672-4831-8314-306650A395EA}"/>
    <cellStyle name="Nuovo 39" xfId="913" xr:uid="{00000000-0005-0000-0000-00004E070000}"/>
    <cellStyle name="Nuovo 39 2" xfId="914" xr:uid="{00000000-0005-0000-0000-00004F070000}"/>
    <cellStyle name="Nuovo 39 2 2" xfId="4219" xr:uid="{BF9C7FF7-BD0C-441F-9DA4-F117A547FE12}"/>
    <cellStyle name="Nuovo 39 2 2 2" xfId="13550" xr:uid="{9F9DBFB2-A7FA-49AD-9C5E-54946DDDA4D3}"/>
    <cellStyle name="Nuovo 39 2 2 3" xfId="27339" xr:uid="{0C524C89-8FC6-496C-BBB2-614FCF056AD6}"/>
    <cellStyle name="Nuovo 39 2 3" xfId="13286" xr:uid="{76E3B4F6-3EE2-4534-9B62-3A9AC5421079}"/>
    <cellStyle name="Nuovo 39 2 3 2" xfId="27340" xr:uid="{B61EDB77-62D0-4605-8641-FD5E3CA89171}"/>
    <cellStyle name="Nuovo 39 2 4" xfId="27341" xr:uid="{92B74338-9F15-47D3-AC74-0A6A1A715944}"/>
    <cellStyle name="Nuovo 39 2 5" xfId="27338" xr:uid="{FA3650C5-3754-41D0-82D0-0357FD063214}"/>
    <cellStyle name="Nuovo 39 3" xfId="915" xr:uid="{00000000-0005-0000-0000-000050070000}"/>
    <cellStyle name="Nuovo 39 3 2" xfId="916" xr:uid="{00000000-0005-0000-0000-000051070000}"/>
    <cellStyle name="Nuovo 39 3 2 2" xfId="2209" xr:uid="{00000000-0005-0000-0000-000052070000}"/>
    <cellStyle name="Nuovo 39 3 2 2 2" xfId="27344" xr:uid="{48225E26-C82C-465A-B9C3-480EBEFDFEBA}"/>
    <cellStyle name="Nuovo 39 3 2 3" xfId="8103" xr:uid="{596C5E91-F4A9-4FAD-BA3C-9884D92EE564}"/>
    <cellStyle name="Nuovo 39 3 2 3 2" xfId="14104" xr:uid="{61E68AF7-9A0D-4130-A60D-C84D86349C28}"/>
    <cellStyle name="Nuovo 39 3 2 3 3" xfId="27345" xr:uid="{66B3CCA7-3BFF-44FA-B2D0-9E869C17D5B7}"/>
    <cellStyle name="Nuovo 39 3 2 4" xfId="27343" xr:uid="{1D514E32-1C3E-4992-9829-FE1E29F5C761}"/>
    <cellStyle name="Nuovo 39 3 3" xfId="4220" xr:uid="{84BD995A-CF21-444C-BEE3-8301AA9C3CB4}"/>
    <cellStyle name="Nuovo 39 3 3 2" xfId="9346" xr:uid="{0DC2E48D-07AA-487D-BF51-597EE3B54941}"/>
    <cellStyle name="Nuovo 39 3 3 2 2" xfId="27347" xr:uid="{47DDC783-2CF7-4A54-B04A-C1418579194F}"/>
    <cellStyle name="Nuovo 39 3 3 3" xfId="27348" xr:uid="{EA130F99-81B6-4E1F-8994-0738F51BCD79}"/>
    <cellStyle name="Nuovo 39 3 3 3 2" xfId="49024" xr:uid="{1538ECC1-4F6C-4850-BEDC-721DC361AB40}"/>
    <cellStyle name="Nuovo 39 3 3 4" xfId="27346" xr:uid="{4EEE07AB-45FA-4FB4-8773-A7BB5483BBFF}"/>
    <cellStyle name="Nuovo 39 3 4" xfId="4221" xr:uid="{06B3BC52-BED8-486D-894F-576CCD3B75FA}"/>
    <cellStyle name="Nuovo 39 3 4 2" xfId="13764" xr:uid="{1473B520-3F3D-4716-A1A0-C5CE5FE6E77D}"/>
    <cellStyle name="Nuovo 39 3 4 3" xfId="27349" xr:uid="{30A07C10-11D4-4035-8D33-FE6A4F0DB50C}"/>
    <cellStyle name="Nuovo 39 3 5" xfId="11517" xr:uid="{83EA8FE6-18CC-4A1E-A33E-43D1BC64DC49}"/>
    <cellStyle name="Nuovo 39 3 5 2" xfId="27350" xr:uid="{2BA2AAD6-3A66-457E-BBDC-5D0193E8CB59}"/>
    <cellStyle name="Nuovo 39 3 6" xfId="27351" xr:uid="{AEA6FD27-AA64-4264-A7BF-81F309E926E2}"/>
    <cellStyle name="Nuovo 39 3 7" xfId="27342" xr:uid="{EB139388-6C43-4955-BEB9-11BEC697A78A}"/>
    <cellStyle name="Nuovo 39 4" xfId="2210" xr:uid="{00000000-0005-0000-0000-000053070000}"/>
    <cellStyle name="Nuovo 39 4 2" xfId="2211" xr:uid="{00000000-0005-0000-0000-000054070000}"/>
    <cellStyle name="Nuovo 39 4 2 2" xfId="9347" xr:uid="{DF0E42F9-576C-47D5-92E0-5F9C03F62513}"/>
    <cellStyle name="Nuovo 39 4 2 2 2" xfId="27354" xr:uid="{BAA68EB5-9ECD-4DA1-8B5F-53CD6AA3F157}"/>
    <cellStyle name="Nuovo 39 4 2 3" xfId="17884" xr:uid="{596D9FD1-7C5B-4D10-87D4-A637BCCAF0C5}"/>
    <cellStyle name="Nuovo 39 4 2 3 2" xfId="27355" xr:uid="{00AAE152-CF37-4924-B3B0-31D06838F153}"/>
    <cellStyle name="Nuovo 39 4 2 4" xfId="27353" xr:uid="{1ED75F13-4DEA-4AF2-9BAC-B5CF49DF7002}"/>
    <cellStyle name="Nuovo 39 4 2 5" xfId="17497" xr:uid="{EBED77DE-40C6-492E-8C34-A1DC4B4BCF6D}"/>
    <cellStyle name="Nuovo 39 4 3" xfId="9348" xr:uid="{6EB26866-CA1F-49BD-A129-887F45E328AF}"/>
    <cellStyle name="Nuovo 39 4 3 2" xfId="27356" xr:uid="{E7892FC2-DBB0-4143-BAC2-7E352502DC5B}"/>
    <cellStyle name="Nuovo 39 4 4" xfId="27357" xr:uid="{3C06FE52-0CAF-4241-AE85-628A7E70A82E}"/>
    <cellStyle name="Nuovo 39 4 4 2" xfId="49025" xr:uid="{79217679-4E68-4A61-B91A-D59ABDCDEE96}"/>
    <cellStyle name="Nuovo 39 4 5" xfId="27358" xr:uid="{6750D8B4-B573-4F54-AFB3-A27797A91DB7}"/>
    <cellStyle name="Nuovo 39 4 6" xfId="27352" xr:uid="{413040E0-C874-4AB7-B917-FAAB6D0F4E93}"/>
    <cellStyle name="Nuovo 39 5" xfId="2212" xr:uid="{00000000-0005-0000-0000-000055070000}"/>
    <cellStyle name="Nuovo 39 5 2" xfId="27360" xr:uid="{670BB942-C5C9-48FC-B1B3-849FE3DDF47C}"/>
    <cellStyle name="Nuovo 39 5 2 2" xfId="49026" xr:uid="{9A241577-2823-493A-90AC-DF36CE6F18C7}"/>
    <cellStyle name="Nuovo 39 5 3" xfId="27361" xr:uid="{1EB36258-BA26-4D64-8D18-28D5FE7B5A70}"/>
    <cellStyle name="Nuovo 39 5 4" xfId="27359" xr:uid="{B057090B-57A5-4E05-B235-B6521CEB8E2F}"/>
    <cellStyle name="Nuovo 39 6" xfId="4222" xr:uid="{983A5BD4-589B-4E00-AFAF-446FEB0DF76C}"/>
    <cellStyle name="Nuovo 39 6 2" xfId="9800" xr:uid="{03A714E9-0030-4266-A524-2F25E8291BB7}"/>
    <cellStyle name="Nuovo 39 6 3" xfId="27362" xr:uid="{6CB410D2-6CF6-43E1-BCD0-5302BC72FF80}"/>
    <cellStyle name="Nuovo 39 7" xfId="27337" xr:uid="{306B3D4F-3480-483C-9A69-59CA3E6549DB}"/>
    <cellStyle name="Nuovo 4" xfId="917" xr:uid="{00000000-0005-0000-0000-000056070000}"/>
    <cellStyle name="Nuovo 4 2" xfId="918" xr:uid="{00000000-0005-0000-0000-000057070000}"/>
    <cellStyle name="Nuovo 4 2 2" xfId="4223" xr:uid="{FCC138C4-366E-47A8-87F8-7E63EDD151A2}"/>
    <cellStyle name="Nuovo 4 2 2 2" xfId="13551" xr:uid="{6989DE48-9085-47CF-B2D9-13D9559C0758}"/>
    <cellStyle name="Nuovo 4 2 2 3" xfId="27365" xr:uid="{5FD48D02-60FC-444C-8AE6-A255BC3C8FC3}"/>
    <cellStyle name="Nuovo 4 2 3" xfId="13287" xr:uid="{C042C07A-34BB-4886-B92B-8A415E6F8CD0}"/>
    <cellStyle name="Nuovo 4 2 3 2" xfId="27366" xr:uid="{9DB79B1B-3F20-421C-B2CC-D4B5643D28E0}"/>
    <cellStyle name="Nuovo 4 2 4" xfId="27367" xr:uid="{6A925CE1-C356-453A-BB32-FAC4E39B08F0}"/>
    <cellStyle name="Nuovo 4 2 5" xfId="27364" xr:uid="{241F2536-4275-4084-8924-F0B68DA94107}"/>
    <cellStyle name="Nuovo 4 3" xfId="919" xr:uid="{00000000-0005-0000-0000-000058070000}"/>
    <cellStyle name="Nuovo 4 3 2" xfId="920" xr:uid="{00000000-0005-0000-0000-000059070000}"/>
    <cellStyle name="Nuovo 4 3 2 2" xfId="2213" xr:uid="{00000000-0005-0000-0000-00005A070000}"/>
    <cellStyle name="Nuovo 4 3 2 2 2" xfId="27370" xr:uid="{2DD331DB-D3CF-4062-A24D-86F935D31330}"/>
    <cellStyle name="Nuovo 4 3 2 3" xfId="8104" xr:uid="{8C1C30B2-ACC7-4465-9416-06BA63FA33D7}"/>
    <cellStyle name="Nuovo 4 3 2 3 2" xfId="14105" xr:uid="{75F21795-BDF1-4453-8DFC-30458AB5B3A5}"/>
    <cellStyle name="Nuovo 4 3 2 3 3" xfId="27371" xr:uid="{3F702709-90AB-4484-939A-CAA8B180A017}"/>
    <cellStyle name="Nuovo 4 3 2 4" xfId="27369" xr:uid="{85D3DC13-1825-4D19-9D46-0F5C46EBED4C}"/>
    <cellStyle name="Nuovo 4 3 3" xfId="4224" xr:uid="{5574D065-638B-4D74-B8E5-18B7E011A848}"/>
    <cellStyle name="Nuovo 4 3 3 2" xfId="9349" xr:uid="{22E1D41A-A102-4519-9C19-A1CFD7702EA7}"/>
    <cellStyle name="Nuovo 4 3 3 2 2" xfId="27373" xr:uid="{88B27AB4-BD5E-4310-8F1F-FA1504F19B6F}"/>
    <cellStyle name="Nuovo 4 3 3 3" xfId="27374" xr:uid="{32DF1EA7-5AC1-428D-8875-3AEA31C4AA2B}"/>
    <cellStyle name="Nuovo 4 3 3 3 2" xfId="49027" xr:uid="{5A412A1A-FB2E-428F-9ADD-A05DC7AB6C9D}"/>
    <cellStyle name="Nuovo 4 3 3 4" xfId="27372" xr:uid="{F4B3FEB7-F2C6-47AE-B20F-795550FD4A34}"/>
    <cellStyle name="Nuovo 4 3 4" xfId="4225" xr:uid="{F8DC0B41-B601-49DC-8830-DFCBEB854319}"/>
    <cellStyle name="Nuovo 4 3 4 2" xfId="13765" xr:uid="{80F7F3D9-E92F-42A1-9A2D-7005F1238A8A}"/>
    <cellStyle name="Nuovo 4 3 4 3" xfId="27375" xr:uid="{15031EA8-E82A-4350-ACB6-600E28C55AE2}"/>
    <cellStyle name="Nuovo 4 3 5" xfId="11125" xr:uid="{625E87B1-E496-4D26-9E3B-809016D040DF}"/>
    <cellStyle name="Nuovo 4 3 5 2" xfId="27376" xr:uid="{5CACAF69-1413-4527-B125-AE8D33AEB4A5}"/>
    <cellStyle name="Nuovo 4 3 6" xfId="27377" xr:uid="{36E9A1E1-4021-4F21-9752-4D8272666CA4}"/>
    <cellStyle name="Nuovo 4 3 7" xfId="27368" xr:uid="{21F630F4-EC82-4982-8D6C-1B822F7E45F3}"/>
    <cellStyle name="Nuovo 4 4" xfId="2214" xr:uid="{00000000-0005-0000-0000-00005B070000}"/>
    <cellStyle name="Nuovo 4 4 2" xfId="2215" xr:uid="{00000000-0005-0000-0000-00005C070000}"/>
    <cellStyle name="Nuovo 4 4 2 2" xfId="9350" xr:uid="{5C308950-2226-4F71-9AB2-83C73093596E}"/>
    <cellStyle name="Nuovo 4 4 2 2 2" xfId="27380" xr:uid="{30D579F7-D724-4703-B9DB-38AF7079A727}"/>
    <cellStyle name="Nuovo 4 4 2 3" xfId="17885" xr:uid="{58B8A53D-7EBE-49DC-8D9E-C39C70DD4D2B}"/>
    <cellStyle name="Nuovo 4 4 2 3 2" xfId="27381" xr:uid="{27446D1F-C032-4FCA-8454-0F18A8BBF5CD}"/>
    <cellStyle name="Nuovo 4 4 2 4" xfId="27379" xr:uid="{301C064A-2854-4EAD-B726-FB939FA1E421}"/>
    <cellStyle name="Nuovo 4 4 2 5" xfId="17498" xr:uid="{392F37BF-BB32-4049-BDA5-9E769657E8EA}"/>
    <cellStyle name="Nuovo 4 4 3" xfId="9351" xr:uid="{EB7D0048-36BB-44F1-B295-451D13F87053}"/>
    <cellStyle name="Nuovo 4 4 3 2" xfId="27382" xr:uid="{FF71786A-05E7-4B77-89CC-22A3755B187A}"/>
    <cellStyle name="Nuovo 4 4 4" xfId="27383" xr:uid="{7489607A-C702-463A-A701-8580DB983F13}"/>
    <cellStyle name="Nuovo 4 4 4 2" xfId="49028" xr:uid="{7F028850-EB7A-461E-9664-B97658F59B85}"/>
    <cellStyle name="Nuovo 4 4 5" xfId="27384" xr:uid="{1A36E2B4-901E-4936-AE5E-A8C26F923DD4}"/>
    <cellStyle name="Nuovo 4 4 6" xfId="27378" xr:uid="{E55E154A-9140-40F9-9942-54D7DB3FBC2B}"/>
    <cellStyle name="Nuovo 4 5" xfId="2216" xr:uid="{00000000-0005-0000-0000-00005D070000}"/>
    <cellStyle name="Nuovo 4 5 2" xfId="27386" xr:uid="{5AAF7EF2-789E-44E1-8649-33A502F5455B}"/>
    <cellStyle name="Nuovo 4 5 2 2" xfId="49029" xr:uid="{BF983976-3173-4463-B3A3-CB8890172176}"/>
    <cellStyle name="Nuovo 4 5 3" xfId="27387" xr:uid="{96B19299-26D0-41A8-9BF9-D6F99B40FC13}"/>
    <cellStyle name="Nuovo 4 5 4" xfId="27385" xr:uid="{D81BEFBD-EC4F-4AC4-BB91-43DEF691DC7A}"/>
    <cellStyle name="Nuovo 4 6" xfId="4226" xr:uid="{C431B80A-2152-4ED3-9A4F-8782E172FAD0}"/>
    <cellStyle name="Nuovo 4 6 2" xfId="9801" xr:uid="{481234EE-22B1-4B81-A0C8-42A442EE1FF2}"/>
    <cellStyle name="Nuovo 4 6 3" xfId="27388" xr:uid="{6F0BC83C-9708-48BD-B613-C30E647C7FF1}"/>
    <cellStyle name="Nuovo 4 7" xfId="27363" xr:uid="{626347A4-2C50-4794-976F-8BCA4597F5AF}"/>
    <cellStyle name="Nuovo 40" xfId="921" xr:uid="{00000000-0005-0000-0000-00005E070000}"/>
    <cellStyle name="Nuovo 40 2" xfId="922" xr:uid="{00000000-0005-0000-0000-00005F070000}"/>
    <cellStyle name="Nuovo 40 2 2" xfId="4227" xr:uid="{F2C6464D-D72D-4FEC-80EE-67679F85F15C}"/>
    <cellStyle name="Nuovo 40 2 2 2" xfId="13552" xr:uid="{641FF729-9083-404C-8293-22F2E47ECFEC}"/>
    <cellStyle name="Nuovo 40 2 2 3" xfId="27391" xr:uid="{8BFE84E9-0269-412C-9BD7-8815B4A7F5FB}"/>
    <cellStyle name="Nuovo 40 2 3" xfId="13288" xr:uid="{28081397-1405-46F7-8929-4FC76BABFBDB}"/>
    <cellStyle name="Nuovo 40 2 3 2" xfId="27392" xr:uid="{D7373CF7-7177-4041-ACAE-12591350268A}"/>
    <cellStyle name="Nuovo 40 2 4" xfId="27393" xr:uid="{D116166A-439A-43A2-99FF-DC159869F775}"/>
    <cellStyle name="Nuovo 40 2 5" xfId="27390" xr:uid="{600FF025-1B0B-4FFB-B02D-8791F7C594AA}"/>
    <cellStyle name="Nuovo 40 3" xfId="923" xr:uid="{00000000-0005-0000-0000-000060070000}"/>
    <cellStyle name="Nuovo 40 3 2" xfId="924" xr:uid="{00000000-0005-0000-0000-000061070000}"/>
    <cellStyle name="Nuovo 40 3 2 2" xfId="2217" xr:uid="{00000000-0005-0000-0000-000062070000}"/>
    <cellStyle name="Nuovo 40 3 2 2 2" xfId="27396" xr:uid="{2A018241-500D-404F-84DB-64F07DC2B4E1}"/>
    <cellStyle name="Nuovo 40 3 2 3" xfId="8105" xr:uid="{644E6713-AEF1-4401-BCC8-BDC2ADC6688B}"/>
    <cellStyle name="Nuovo 40 3 2 3 2" xfId="14106" xr:uid="{4398B1CF-0471-44C1-AB0F-ABACE171D439}"/>
    <cellStyle name="Nuovo 40 3 2 3 3" xfId="27397" xr:uid="{DD7C0C3C-2027-4872-86E3-07F35BB81DE4}"/>
    <cellStyle name="Nuovo 40 3 2 4" xfId="27395" xr:uid="{0CA8AEE9-0F15-4B7C-BD7F-3A923DD5311C}"/>
    <cellStyle name="Nuovo 40 3 3" xfId="4228" xr:uid="{9D55557E-02EB-43F2-8E75-AE93BAEA0100}"/>
    <cellStyle name="Nuovo 40 3 3 2" xfId="9352" xr:uid="{9C4AD7ED-3BAF-48FB-9CA8-A39C65467B21}"/>
    <cellStyle name="Nuovo 40 3 3 2 2" xfId="27399" xr:uid="{3CE32D1A-88B8-4F70-9F2E-73B3063A923B}"/>
    <cellStyle name="Nuovo 40 3 3 3" xfId="27400" xr:uid="{33D3B0D8-125E-45F1-A543-0C3CA79647C7}"/>
    <cellStyle name="Nuovo 40 3 3 3 2" xfId="49030" xr:uid="{9F96F28A-C801-4045-9268-9213969F7E86}"/>
    <cellStyle name="Nuovo 40 3 3 4" xfId="27398" xr:uid="{46B8D835-10E3-4773-BE9F-29D2C9A823F1}"/>
    <cellStyle name="Nuovo 40 3 4" xfId="4229" xr:uid="{B1FDBF2D-E656-426E-97B4-F901BE4B45F3}"/>
    <cellStyle name="Nuovo 40 3 4 2" xfId="13766" xr:uid="{96AF1580-1502-469C-8B41-B935196BD228}"/>
    <cellStyle name="Nuovo 40 3 4 3" xfId="27401" xr:uid="{6298F553-CFC8-49BB-A441-D015AB937868}"/>
    <cellStyle name="Nuovo 40 3 5" xfId="11506" xr:uid="{0EBD3E00-2A0A-48F4-81FE-570ED6D09A5E}"/>
    <cellStyle name="Nuovo 40 3 5 2" xfId="27402" xr:uid="{4CF57DB2-7A94-4698-86C9-5D6BF42D57AC}"/>
    <cellStyle name="Nuovo 40 3 6" xfId="27403" xr:uid="{65321793-F32F-41BB-AB73-BE6D29C839D1}"/>
    <cellStyle name="Nuovo 40 3 7" xfId="27394" xr:uid="{D780DBF1-2945-4B1A-B005-4A18B27AB8BA}"/>
    <cellStyle name="Nuovo 40 4" xfId="2218" xr:uid="{00000000-0005-0000-0000-000063070000}"/>
    <cellStyle name="Nuovo 40 4 2" xfId="2219" xr:uid="{00000000-0005-0000-0000-000064070000}"/>
    <cellStyle name="Nuovo 40 4 2 2" xfId="9353" xr:uid="{5FDC19C4-F9C6-408B-86BA-330176A1943A}"/>
    <cellStyle name="Nuovo 40 4 2 2 2" xfId="27406" xr:uid="{6FB0081A-EE4B-4666-9199-0072038B4210}"/>
    <cellStyle name="Nuovo 40 4 2 3" xfId="17886" xr:uid="{76C6EAA4-B5DE-418D-A2AE-9E89DC0B5A30}"/>
    <cellStyle name="Nuovo 40 4 2 3 2" xfId="27407" xr:uid="{7D32BBD2-C6A7-4BC2-AC59-A5F48E1F4238}"/>
    <cellStyle name="Nuovo 40 4 2 4" xfId="27405" xr:uid="{8A9C3579-0002-466C-902A-DB282C859ACD}"/>
    <cellStyle name="Nuovo 40 4 2 5" xfId="17499" xr:uid="{3361396E-B125-4E8F-9F67-D6DA398C4061}"/>
    <cellStyle name="Nuovo 40 4 3" xfId="9354" xr:uid="{5A96451D-FE77-4EF6-AD19-AC673B8CFE51}"/>
    <cellStyle name="Nuovo 40 4 3 2" xfId="27408" xr:uid="{7112FA63-B991-4C91-AFD4-A38B92B590FD}"/>
    <cellStyle name="Nuovo 40 4 4" xfId="27409" xr:uid="{A45F98B2-6EB8-411C-8D0C-59A13DD14183}"/>
    <cellStyle name="Nuovo 40 4 4 2" xfId="49031" xr:uid="{174B56E4-128B-4AA0-A9EF-74E36A2D98CD}"/>
    <cellStyle name="Nuovo 40 4 5" xfId="27410" xr:uid="{4B16595E-C7C2-46EF-BA87-898971D64972}"/>
    <cellStyle name="Nuovo 40 4 6" xfId="27404" xr:uid="{9B3923D2-301D-4DB3-812E-1F87626D308C}"/>
    <cellStyle name="Nuovo 40 5" xfId="2220" xr:uid="{00000000-0005-0000-0000-000065070000}"/>
    <cellStyle name="Nuovo 40 5 2" xfId="27412" xr:uid="{0AAC9643-2087-4C99-8D82-092EB4B9623E}"/>
    <cellStyle name="Nuovo 40 5 2 2" xfId="49032" xr:uid="{391BB20D-2969-4888-A68B-12EAE4BEFB91}"/>
    <cellStyle name="Nuovo 40 5 3" xfId="27413" xr:uid="{15941032-2F47-4B72-BDDA-9BF28A109E73}"/>
    <cellStyle name="Nuovo 40 5 4" xfId="27411" xr:uid="{D287FDF7-97E6-486B-B4DB-6A9C015F57D3}"/>
    <cellStyle name="Nuovo 40 6" xfId="4230" xr:uid="{B86B75D1-C360-480C-91C7-B9FA73136C2E}"/>
    <cellStyle name="Nuovo 40 6 2" xfId="9802" xr:uid="{A8EB0168-A74C-4590-8624-9D4F637194C3}"/>
    <cellStyle name="Nuovo 40 6 3" xfId="27414" xr:uid="{381972C9-BD9A-4F3E-83C0-41B697150258}"/>
    <cellStyle name="Nuovo 40 7" xfId="27389" xr:uid="{B595D215-CAA8-4ABF-B265-CE9308656E1B}"/>
    <cellStyle name="Nuovo 41" xfId="925" xr:uid="{00000000-0005-0000-0000-000066070000}"/>
    <cellStyle name="Nuovo 41 2" xfId="926" xr:uid="{00000000-0005-0000-0000-000067070000}"/>
    <cellStyle name="Nuovo 41 2 2" xfId="4231" xr:uid="{47F07A4F-570A-42E1-B5AE-FF8155903F97}"/>
    <cellStyle name="Nuovo 41 2 2 2" xfId="13553" xr:uid="{C853AF0B-2642-474A-8ECC-397A8B5AEAAB}"/>
    <cellStyle name="Nuovo 41 2 2 3" xfId="27417" xr:uid="{B28820B4-170B-4F2B-8627-04874A83AB2F}"/>
    <cellStyle name="Nuovo 41 2 3" xfId="13289" xr:uid="{21B4CF05-BA85-44E0-B404-A925686077B7}"/>
    <cellStyle name="Nuovo 41 2 3 2" xfId="27418" xr:uid="{4309EB0A-91DE-473C-91E5-F86A5BBB4552}"/>
    <cellStyle name="Nuovo 41 2 4" xfId="27419" xr:uid="{DE1462F9-126C-41B1-998C-EFE37B7D3DB2}"/>
    <cellStyle name="Nuovo 41 2 5" xfId="27416" xr:uid="{115E62B4-6265-44A5-B0EC-733ACDA71297}"/>
    <cellStyle name="Nuovo 41 3" xfId="927" xr:uid="{00000000-0005-0000-0000-000068070000}"/>
    <cellStyle name="Nuovo 41 3 2" xfId="928" xr:uid="{00000000-0005-0000-0000-000069070000}"/>
    <cellStyle name="Nuovo 41 3 2 2" xfId="2221" xr:uid="{00000000-0005-0000-0000-00006A070000}"/>
    <cellStyle name="Nuovo 41 3 2 2 2" xfId="27422" xr:uid="{7558402F-C6CE-4208-B5BA-ECD6C3710531}"/>
    <cellStyle name="Nuovo 41 3 2 3" xfId="8106" xr:uid="{83451AEA-E4DF-42FE-A94D-6384AD85904E}"/>
    <cellStyle name="Nuovo 41 3 2 3 2" xfId="14107" xr:uid="{B64C4CB0-0400-420C-9B54-A93F342A56DE}"/>
    <cellStyle name="Nuovo 41 3 2 3 3" xfId="27423" xr:uid="{E80C1A22-523C-4140-A688-F7A1A2591BF8}"/>
    <cellStyle name="Nuovo 41 3 2 4" xfId="27421" xr:uid="{71C95623-FD24-41F0-9FAE-922F7F96C690}"/>
    <cellStyle name="Nuovo 41 3 3" xfId="4232" xr:uid="{D662131F-5360-44BD-B5DA-E1DC1C354A71}"/>
    <cellStyle name="Nuovo 41 3 3 2" xfId="9355" xr:uid="{3F0CA7AE-4E26-4519-86CA-4E031824DA2E}"/>
    <cellStyle name="Nuovo 41 3 3 2 2" xfId="27425" xr:uid="{A287A994-3655-4DB6-9DA4-B4D9B8A417F1}"/>
    <cellStyle name="Nuovo 41 3 3 3" xfId="27426" xr:uid="{B6C5576F-91A0-46DA-8F9F-1BE4F0BC3616}"/>
    <cellStyle name="Nuovo 41 3 3 3 2" xfId="49033" xr:uid="{108EB885-3008-4337-8259-4C733523E210}"/>
    <cellStyle name="Nuovo 41 3 3 4" xfId="27424" xr:uid="{A85B5BB7-D7E7-45DE-A65B-1E96919D69D4}"/>
    <cellStyle name="Nuovo 41 3 4" xfId="4233" xr:uid="{1E350850-1D2C-4188-B57A-68067EDA607A}"/>
    <cellStyle name="Nuovo 41 3 4 2" xfId="13767" xr:uid="{8E41E019-9F09-471C-B24A-C02E5CDAB0B9}"/>
    <cellStyle name="Nuovo 41 3 4 3" xfId="27427" xr:uid="{BD3EBB48-6D61-449B-97F8-E7F61E0C36F0}"/>
    <cellStyle name="Nuovo 41 3 5" xfId="12259" xr:uid="{AF51816D-BCAD-4706-AB37-AE7F62B3BABB}"/>
    <cellStyle name="Nuovo 41 3 5 2" xfId="27428" xr:uid="{C0774907-4B5E-4F93-B1A9-D2E8D0A89140}"/>
    <cellStyle name="Nuovo 41 3 6" xfId="27429" xr:uid="{AEC9A3EE-8FC4-4859-B4D0-66FC035F9075}"/>
    <cellStyle name="Nuovo 41 3 7" xfId="27420" xr:uid="{3115FF8C-6E3F-4FB1-8C12-622D7322BBBB}"/>
    <cellStyle name="Nuovo 41 4" xfId="2222" xr:uid="{00000000-0005-0000-0000-00006B070000}"/>
    <cellStyle name="Nuovo 41 4 2" xfId="2223" xr:uid="{00000000-0005-0000-0000-00006C070000}"/>
    <cellStyle name="Nuovo 41 4 2 2" xfId="9356" xr:uid="{DED4A323-089D-4B33-B4E7-A02702D99FD7}"/>
    <cellStyle name="Nuovo 41 4 2 2 2" xfId="27432" xr:uid="{6B3DE1F5-D48A-4D24-A242-642FD0F0ED58}"/>
    <cellStyle name="Nuovo 41 4 2 3" xfId="17887" xr:uid="{092DDAD1-6223-4EF5-BAA7-54DFEA312294}"/>
    <cellStyle name="Nuovo 41 4 2 3 2" xfId="27433" xr:uid="{6EE94C29-5CE0-4F12-96D0-BC813A193CE3}"/>
    <cellStyle name="Nuovo 41 4 2 4" xfId="27431" xr:uid="{B3497F9D-A00E-42DA-9A0F-5518A19E4C4B}"/>
    <cellStyle name="Nuovo 41 4 2 5" xfId="17500" xr:uid="{BB1E8136-4D04-4D3A-8440-DDAD05081416}"/>
    <cellStyle name="Nuovo 41 4 3" xfId="9357" xr:uid="{293282FC-7E3B-4ECB-89E3-4996658B321D}"/>
    <cellStyle name="Nuovo 41 4 3 2" xfId="27434" xr:uid="{59191DD1-00D8-4DCC-B918-FA5F70E6AEAB}"/>
    <cellStyle name="Nuovo 41 4 4" xfId="27435" xr:uid="{FD40547F-8ADE-4387-AA57-6AF2688B8FB3}"/>
    <cellStyle name="Nuovo 41 4 4 2" xfId="49034" xr:uid="{A2D7B7AD-5A02-499E-8D91-01815BBA87CC}"/>
    <cellStyle name="Nuovo 41 4 5" xfId="27436" xr:uid="{531EF71D-DB82-423B-8B0A-FDA9F459E812}"/>
    <cellStyle name="Nuovo 41 4 6" xfId="27430" xr:uid="{1384EB83-3199-4EFD-B00D-2E17C6683525}"/>
    <cellStyle name="Nuovo 41 5" xfId="2224" xr:uid="{00000000-0005-0000-0000-00006D070000}"/>
    <cellStyle name="Nuovo 41 5 2" xfId="27438" xr:uid="{A45ADB5F-127F-428A-B6FE-0DABB271D3F9}"/>
    <cellStyle name="Nuovo 41 5 2 2" xfId="49035" xr:uid="{91A8A6AB-8A82-4258-B425-4871409502F7}"/>
    <cellStyle name="Nuovo 41 5 3" xfId="27439" xr:uid="{BCDC39B3-26E9-4F54-8C0B-572A220FB3B5}"/>
    <cellStyle name="Nuovo 41 5 4" xfId="27437" xr:uid="{8CD44681-4113-44AD-95A6-8596B702E830}"/>
    <cellStyle name="Nuovo 41 6" xfId="4234" xr:uid="{B50168E3-ED89-4D6F-9970-96210F30D562}"/>
    <cellStyle name="Nuovo 41 6 2" xfId="9803" xr:uid="{BBFF2EE1-771F-4D13-B9A4-DFE19BE6E679}"/>
    <cellStyle name="Nuovo 41 6 3" xfId="27440" xr:uid="{C70DF693-3DD2-4425-9B04-1C51AD129502}"/>
    <cellStyle name="Nuovo 41 7" xfId="27415" xr:uid="{0D903C38-07C1-496D-A1DC-30B5ADB231F9}"/>
    <cellStyle name="Nuovo 42" xfId="929" xr:uid="{00000000-0005-0000-0000-00006E070000}"/>
    <cellStyle name="Nuovo 42 2" xfId="930" xr:uid="{00000000-0005-0000-0000-00006F070000}"/>
    <cellStyle name="Nuovo 42 2 2" xfId="4235" xr:uid="{E983E35F-B760-4232-8485-B35E3A0B314F}"/>
    <cellStyle name="Nuovo 42 2 2 2" xfId="13554" xr:uid="{7D5FB86A-512E-4769-B527-EFB032311013}"/>
    <cellStyle name="Nuovo 42 2 2 3" xfId="27443" xr:uid="{0E167F37-5FA6-4503-B1B9-F47188600826}"/>
    <cellStyle name="Nuovo 42 2 3" xfId="13290" xr:uid="{4F39CCC8-1BDE-4B7F-BEC0-5269851E6453}"/>
    <cellStyle name="Nuovo 42 2 3 2" xfId="27444" xr:uid="{2D8D6DAC-27C5-4215-BD16-F292D9D60821}"/>
    <cellStyle name="Nuovo 42 2 4" xfId="27445" xr:uid="{DC2B5CF4-35B3-4AFC-BC14-1CD3BCAA2748}"/>
    <cellStyle name="Nuovo 42 2 5" xfId="27442" xr:uid="{70898D5D-92DD-475D-BC35-FDDDCC391511}"/>
    <cellStyle name="Nuovo 42 3" xfId="931" xr:uid="{00000000-0005-0000-0000-000070070000}"/>
    <cellStyle name="Nuovo 42 3 2" xfId="932" xr:uid="{00000000-0005-0000-0000-000071070000}"/>
    <cellStyle name="Nuovo 42 3 2 2" xfId="2225" xr:uid="{00000000-0005-0000-0000-000072070000}"/>
    <cellStyle name="Nuovo 42 3 2 2 2" xfId="27448" xr:uid="{166BE200-0829-4491-99B0-7EAA7C12E89C}"/>
    <cellStyle name="Nuovo 42 3 2 3" xfId="8107" xr:uid="{DE62A838-4C33-498D-951E-0584D374EF0E}"/>
    <cellStyle name="Nuovo 42 3 2 3 2" xfId="14108" xr:uid="{F4079A6B-6753-4F70-A1D7-77BE75BC1125}"/>
    <cellStyle name="Nuovo 42 3 2 3 3" xfId="27449" xr:uid="{E64296F4-42DB-4669-9FAD-40EF731B3E09}"/>
    <cellStyle name="Nuovo 42 3 2 4" xfId="27447" xr:uid="{C3A22AFE-FDED-4764-A68A-E58717D1E294}"/>
    <cellStyle name="Nuovo 42 3 3" xfId="4236" xr:uid="{E383CD04-E6AC-4A24-9C9C-944607354ADF}"/>
    <cellStyle name="Nuovo 42 3 3 2" xfId="9358" xr:uid="{2FC40068-3828-41E1-8A22-0727CCF89246}"/>
    <cellStyle name="Nuovo 42 3 3 2 2" xfId="27451" xr:uid="{584815B8-90B2-486D-81A7-4CEFB6EED023}"/>
    <cellStyle name="Nuovo 42 3 3 3" xfId="27452" xr:uid="{F33E1D25-32B5-4626-BBB3-E57EC0BB8AA0}"/>
    <cellStyle name="Nuovo 42 3 3 3 2" xfId="49036" xr:uid="{92024D4F-A20A-48BB-B0EE-2C0A70995B6C}"/>
    <cellStyle name="Nuovo 42 3 3 4" xfId="27450" xr:uid="{B9344DC7-251B-42C7-841D-270E725150ED}"/>
    <cellStyle name="Nuovo 42 3 4" xfId="4237" xr:uid="{186D1FFC-3361-4697-A5B2-B054656489ED}"/>
    <cellStyle name="Nuovo 42 3 4 2" xfId="13768" xr:uid="{16CD5B62-2A82-4175-87D0-F5BB843F7DB6}"/>
    <cellStyle name="Nuovo 42 3 4 3" xfId="27453" xr:uid="{74E12FAE-732F-4A39-BBC9-D8FEA56119ED}"/>
    <cellStyle name="Nuovo 42 3 5" xfId="12295" xr:uid="{4D92CF54-9553-4EAA-B5A3-229EDA109AE5}"/>
    <cellStyle name="Nuovo 42 3 5 2" xfId="27454" xr:uid="{163B304D-2A8D-4532-AB94-9D3C41B4CC77}"/>
    <cellStyle name="Nuovo 42 3 6" xfId="27455" xr:uid="{EBC7E1F8-2226-4936-95A2-B2ACC902C589}"/>
    <cellStyle name="Nuovo 42 3 7" xfId="27446" xr:uid="{D08BB18F-0A3C-4D21-8C82-C531FBA99409}"/>
    <cellStyle name="Nuovo 42 4" xfId="2226" xr:uid="{00000000-0005-0000-0000-000073070000}"/>
    <cellStyle name="Nuovo 42 4 2" xfId="2227" xr:uid="{00000000-0005-0000-0000-000074070000}"/>
    <cellStyle name="Nuovo 42 4 2 2" xfId="9359" xr:uid="{FDC3C202-C10A-4AF3-AA96-C93485D76368}"/>
    <cellStyle name="Nuovo 42 4 2 2 2" xfId="27458" xr:uid="{4587DE43-42FE-44AB-9F4D-04AAFA48FB01}"/>
    <cellStyle name="Nuovo 42 4 2 3" xfId="17888" xr:uid="{690F8A2A-C076-4CE7-BE1A-114AC6E80BF5}"/>
    <cellStyle name="Nuovo 42 4 2 3 2" xfId="27459" xr:uid="{09ACE294-5C24-4A51-A1BE-E330A8BB9853}"/>
    <cellStyle name="Nuovo 42 4 2 4" xfId="27457" xr:uid="{76542AD5-FD54-44E5-93EC-F1F109AF0A7C}"/>
    <cellStyle name="Nuovo 42 4 2 5" xfId="17501" xr:uid="{BACBB7F8-6190-4D9E-AC05-47EC0F298641}"/>
    <cellStyle name="Nuovo 42 4 3" xfId="9360" xr:uid="{1F345309-C5AD-4BFE-9C77-3DE7BFA50E1D}"/>
    <cellStyle name="Nuovo 42 4 3 2" xfId="27460" xr:uid="{DD775CE3-2930-4400-989F-7CFC588EEC25}"/>
    <cellStyle name="Nuovo 42 4 4" xfId="27461" xr:uid="{A68B0A32-DA95-4E28-9602-C0AE7F45B093}"/>
    <cellStyle name="Nuovo 42 4 4 2" xfId="49037" xr:uid="{A5B2E487-1A5D-4158-9F04-31125035D89F}"/>
    <cellStyle name="Nuovo 42 4 5" xfId="27462" xr:uid="{B57D27D0-06BA-4E39-B7A4-8D50AFB9DA7B}"/>
    <cellStyle name="Nuovo 42 4 6" xfId="27456" xr:uid="{41C583D3-0CAE-491A-9ACB-0BA232A6C116}"/>
    <cellStyle name="Nuovo 42 5" xfId="2228" xr:uid="{00000000-0005-0000-0000-000075070000}"/>
    <cellStyle name="Nuovo 42 5 2" xfId="27464" xr:uid="{0989BFB6-44F7-4848-8055-BB2C93223E69}"/>
    <cellStyle name="Nuovo 42 5 2 2" xfId="49038" xr:uid="{20376ECA-4A80-4DC7-A9C7-0797BD873803}"/>
    <cellStyle name="Nuovo 42 5 3" xfId="27465" xr:uid="{3F37C983-EE1F-4B3B-80EE-53C91CA136CB}"/>
    <cellStyle name="Nuovo 42 5 4" xfId="27463" xr:uid="{41209F0C-58BE-42B9-A504-B4DBAEEA1888}"/>
    <cellStyle name="Nuovo 42 6" xfId="4238" xr:uid="{FD1B599A-9539-4DB2-96AA-B6E53B61EDBD}"/>
    <cellStyle name="Nuovo 42 6 2" xfId="9804" xr:uid="{E9CCB6CE-3D9D-4310-AEAA-2AD8BFBFC8F6}"/>
    <cellStyle name="Nuovo 42 6 3" xfId="27466" xr:uid="{81096BD0-2126-41F9-9C6F-20D81E28B10C}"/>
    <cellStyle name="Nuovo 42 7" xfId="27441" xr:uid="{82D8D53F-3477-45D2-8830-83BF5BA80788}"/>
    <cellStyle name="Nuovo 43" xfId="933" xr:uid="{00000000-0005-0000-0000-000076070000}"/>
    <cellStyle name="Nuovo 43 2" xfId="934" xr:uid="{00000000-0005-0000-0000-000077070000}"/>
    <cellStyle name="Nuovo 43 2 2" xfId="4239" xr:uid="{F58D121A-CAED-4167-B93F-F720212665F9}"/>
    <cellStyle name="Nuovo 43 2 2 2" xfId="13555" xr:uid="{AE490368-1864-4FE1-A75B-5DF315B3FD1B}"/>
    <cellStyle name="Nuovo 43 2 2 3" xfId="27469" xr:uid="{753E1CA8-507E-4AE8-B15B-C437F5B78490}"/>
    <cellStyle name="Nuovo 43 2 3" xfId="13291" xr:uid="{20B09CE2-78A3-47E7-829C-2C683CF4B4B7}"/>
    <cellStyle name="Nuovo 43 2 3 2" xfId="27470" xr:uid="{997ADE05-B6C7-451A-A2F2-E88D4A6BA76F}"/>
    <cellStyle name="Nuovo 43 2 4" xfId="27471" xr:uid="{4E86F120-EF84-410E-A5C6-AFE7C026F52B}"/>
    <cellStyle name="Nuovo 43 2 5" xfId="27468" xr:uid="{D9E08842-55F3-4093-9F7A-A152EC940D1E}"/>
    <cellStyle name="Nuovo 43 3" xfId="935" xr:uid="{00000000-0005-0000-0000-000078070000}"/>
    <cellStyle name="Nuovo 43 3 2" xfId="936" xr:uid="{00000000-0005-0000-0000-000079070000}"/>
    <cellStyle name="Nuovo 43 3 2 2" xfId="2229" xr:uid="{00000000-0005-0000-0000-00007A070000}"/>
    <cellStyle name="Nuovo 43 3 2 2 2" xfId="27474" xr:uid="{D8F0E5BA-7B1C-4153-B675-42582EA8B63C}"/>
    <cellStyle name="Nuovo 43 3 2 3" xfId="8108" xr:uid="{70D9CF10-C145-4085-803E-B6C61C04C305}"/>
    <cellStyle name="Nuovo 43 3 2 3 2" xfId="14109" xr:uid="{CBD3043A-0F64-4B85-AE33-5A59EFD0D461}"/>
    <cellStyle name="Nuovo 43 3 2 3 3" xfId="27475" xr:uid="{52FEC4AE-B9B0-4035-9B46-055BB6CB1CA1}"/>
    <cellStyle name="Nuovo 43 3 2 4" xfId="27473" xr:uid="{76405459-541F-4576-BD39-48467ACF7F73}"/>
    <cellStyle name="Nuovo 43 3 3" xfId="4240" xr:uid="{60C1BE02-10F5-414A-AD7C-02D87E30FDC6}"/>
    <cellStyle name="Nuovo 43 3 3 2" xfId="9361" xr:uid="{E61EAD8B-F1B1-45E7-A3D4-DBF92215A21B}"/>
    <cellStyle name="Nuovo 43 3 3 2 2" xfId="27477" xr:uid="{3E5C25D7-EB4B-481E-B0A9-CD601CD63361}"/>
    <cellStyle name="Nuovo 43 3 3 3" xfId="27478" xr:uid="{AB37D76D-15AE-404A-A62B-10241409871A}"/>
    <cellStyle name="Nuovo 43 3 3 3 2" xfId="49039" xr:uid="{8B6955BA-C69D-4FC4-8E1A-1165A17C1F68}"/>
    <cellStyle name="Nuovo 43 3 3 4" xfId="27476" xr:uid="{40CDC631-9A4A-4DBD-9516-5424E64BEDC9}"/>
    <cellStyle name="Nuovo 43 3 4" xfId="4241" xr:uid="{1395E531-5F25-4717-A8AD-37407DC09562}"/>
    <cellStyle name="Nuovo 43 3 4 2" xfId="13769" xr:uid="{456DD57F-3372-4B60-89EA-CDB74AB33E92}"/>
    <cellStyle name="Nuovo 43 3 4 3" xfId="27479" xr:uid="{EA997B1F-3059-4E81-8A0F-C40C3FD12895}"/>
    <cellStyle name="Nuovo 43 3 5" xfId="11102" xr:uid="{4677E653-CBA2-4807-A6BB-5FFC1C40B254}"/>
    <cellStyle name="Nuovo 43 3 5 2" xfId="27480" xr:uid="{71DF3EDE-1EA1-45B4-BC7E-EBA8855FFAE7}"/>
    <cellStyle name="Nuovo 43 3 6" xfId="27481" xr:uid="{36A95138-AB1B-4F86-A82F-EE2458636E43}"/>
    <cellStyle name="Nuovo 43 3 7" xfId="27472" xr:uid="{6E9F1C09-9E1E-4C16-A763-80A6929935CF}"/>
    <cellStyle name="Nuovo 43 4" xfId="2230" xr:uid="{00000000-0005-0000-0000-00007B070000}"/>
    <cellStyle name="Nuovo 43 4 2" xfId="2231" xr:uid="{00000000-0005-0000-0000-00007C070000}"/>
    <cellStyle name="Nuovo 43 4 2 2" xfId="9362" xr:uid="{52A84AF0-F21D-4902-ADA8-567321904766}"/>
    <cellStyle name="Nuovo 43 4 2 2 2" xfId="27484" xr:uid="{95268933-A2F7-47DD-AA21-177304E04F69}"/>
    <cellStyle name="Nuovo 43 4 2 3" xfId="17889" xr:uid="{C2F85690-C1F6-420C-AAD7-66A56CDF39E2}"/>
    <cellStyle name="Nuovo 43 4 2 3 2" xfId="27485" xr:uid="{2B007F46-C06B-403F-89C4-D37A7110C8A2}"/>
    <cellStyle name="Nuovo 43 4 2 4" xfId="27483" xr:uid="{D8B44857-973D-4E98-86D4-B1114F75D989}"/>
    <cellStyle name="Nuovo 43 4 2 5" xfId="17502" xr:uid="{E57068BC-9B90-45E1-A2A8-53E76B0BBD25}"/>
    <cellStyle name="Nuovo 43 4 3" xfId="9363" xr:uid="{079E685D-D719-49FC-A122-6B2EC6F39E73}"/>
    <cellStyle name="Nuovo 43 4 3 2" xfId="27486" xr:uid="{0486B805-D3ED-42EE-B4BD-FF671908D776}"/>
    <cellStyle name="Nuovo 43 4 4" xfId="27487" xr:uid="{1988EF15-A932-4972-AE82-21BD77DBA9D7}"/>
    <cellStyle name="Nuovo 43 4 4 2" xfId="49040" xr:uid="{CEA64891-8B8F-4353-94D0-C0874E78D418}"/>
    <cellStyle name="Nuovo 43 4 5" xfId="27488" xr:uid="{73FBC8E5-A076-4840-82C5-4986C959D394}"/>
    <cellStyle name="Nuovo 43 4 6" xfId="27482" xr:uid="{32C7E86C-7F0E-4CC3-BF9F-6E6BC8954FCA}"/>
    <cellStyle name="Nuovo 43 5" xfId="2232" xr:uid="{00000000-0005-0000-0000-00007D070000}"/>
    <cellStyle name="Nuovo 43 5 2" xfId="27490" xr:uid="{83762256-9B0E-4844-90AE-D850B69048FF}"/>
    <cellStyle name="Nuovo 43 5 2 2" xfId="49041" xr:uid="{F991EBFD-B9CC-4A87-BB5B-810D8D0E568E}"/>
    <cellStyle name="Nuovo 43 5 3" xfId="27491" xr:uid="{ED17ECA7-03BD-4012-98F1-372B41AFB70F}"/>
    <cellStyle name="Nuovo 43 5 4" xfId="27489" xr:uid="{19470A84-63C3-44FF-AE60-B62A00E9E3AF}"/>
    <cellStyle name="Nuovo 43 6" xfId="4242" xr:uid="{E49E4BD8-4582-4D5D-8EC1-8DC7BA72CDD2}"/>
    <cellStyle name="Nuovo 43 6 2" xfId="9805" xr:uid="{60896836-9774-4628-9542-BB11C2F82338}"/>
    <cellStyle name="Nuovo 43 6 3" xfId="27492" xr:uid="{40A439D6-BA56-462C-9F19-D5583D9912AE}"/>
    <cellStyle name="Nuovo 43 7" xfId="27467" xr:uid="{A491DA48-F8DB-46D6-8CB3-5BC12CDFE1D9}"/>
    <cellStyle name="Nuovo 44" xfId="937" xr:uid="{00000000-0005-0000-0000-00007E070000}"/>
    <cellStyle name="Nuovo 44 2" xfId="938" xr:uid="{00000000-0005-0000-0000-00007F070000}"/>
    <cellStyle name="Nuovo 44 2 2" xfId="4243" xr:uid="{725E2A75-4E69-4022-A8F2-DC2F4886D07F}"/>
    <cellStyle name="Nuovo 44 2 2 2" xfId="13556" xr:uid="{A6BB7DD5-39E8-4AE6-9D9D-BF650C178D12}"/>
    <cellStyle name="Nuovo 44 2 2 3" xfId="27495" xr:uid="{0C8E9BF5-7336-417A-BCE0-6D5829D89E56}"/>
    <cellStyle name="Nuovo 44 2 3" xfId="13292" xr:uid="{83F2D722-8ACF-4D9B-8DD9-C7795F429F91}"/>
    <cellStyle name="Nuovo 44 2 3 2" xfId="27496" xr:uid="{36C6DD71-BA58-406B-9B86-5DA32789CB1D}"/>
    <cellStyle name="Nuovo 44 2 4" xfId="27497" xr:uid="{D720A89A-A338-424F-8B85-655424650389}"/>
    <cellStyle name="Nuovo 44 2 5" xfId="27494" xr:uid="{488D46FA-B7D6-4974-8BC7-2B14393E5B77}"/>
    <cellStyle name="Nuovo 44 3" xfId="939" xr:uid="{00000000-0005-0000-0000-000080070000}"/>
    <cellStyle name="Nuovo 44 3 2" xfId="940" xr:uid="{00000000-0005-0000-0000-000081070000}"/>
    <cellStyle name="Nuovo 44 3 2 2" xfId="2233" xr:uid="{00000000-0005-0000-0000-000082070000}"/>
    <cellStyle name="Nuovo 44 3 2 2 2" xfId="27500" xr:uid="{5D781ACC-66FF-4AF1-8FB3-76009FD0EC3A}"/>
    <cellStyle name="Nuovo 44 3 2 3" xfId="8109" xr:uid="{35BF3E47-869C-404F-8404-0116363EB7EF}"/>
    <cellStyle name="Nuovo 44 3 2 3 2" xfId="14110" xr:uid="{0957E4E4-6E90-4067-B4A1-2EFB5207A47B}"/>
    <cellStyle name="Nuovo 44 3 2 3 3" xfId="27501" xr:uid="{15D72809-3C6F-4129-BDC2-5A93A2345DDB}"/>
    <cellStyle name="Nuovo 44 3 2 4" xfId="27499" xr:uid="{7461EFC0-A5F0-4B67-BF9A-17012898673D}"/>
    <cellStyle name="Nuovo 44 3 3" xfId="4244" xr:uid="{1442BC76-35CB-4B68-9136-1160ABA90BE2}"/>
    <cellStyle name="Nuovo 44 3 3 2" xfId="9364" xr:uid="{2DC2299A-AD06-474E-985E-271F8E80C913}"/>
    <cellStyle name="Nuovo 44 3 3 2 2" xfId="27503" xr:uid="{0C3DF488-331D-44DB-96AE-14F05D39E6FB}"/>
    <cellStyle name="Nuovo 44 3 3 3" xfId="27504" xr:uid="{0427BE10-E3F6-45E2-9097-AEA59E9C56EA}"/>
    <cellStyle name="Nuovo 44 3 3 3 2" xfId="49042" xr:uid="{9D1985B6-4810-4789-B80D-7F907FFD1594}"/>
    <cellStyle name="Nuovo 44 3 3 4" xfId="27502" xr:uid="{70B8E45E-5644-483D-8479-889566833D64}"/>
    <cellStyle name="Nuovo 44 3 4" xfId="4245" xr:uid="{C416F728-FC04-462E-98EE-9FF7C36164B7}"/>
    <cellStyle name="Nuovo 44 3 4 2" xfId="13770" xr:uid="{B7032E34-3B1A-435F-AFE7-9C37B330F641}"/>
    <cellStyle name="Nuovo 44 3 4 3" xfId="27505" xr:uid="{6A0264AA-F385-4E38-91D8-AE1416820352}"/>
    <cellStyle name="Nuovo 44 3 5" xfId="11210" xr:uid="{E6EB8D2C-5F30-43FC-9F72-B4AF445824F5}"/>
    <cellStyle name="Nuovo 44 3 5 2" xfId="27506" xr:uid="{A771024C-CF25-4449-9930-2583F4812185}"/>
    <cellStyle name="Nuovo 44 3 6" xfId="27507" xr:uid="{53E95EC2-5022-430B-A6EB-1D3E1B89D5DC}"/>
    <cellStyle name="Nuovo 44 3 7" xfId="27498" xr:uid="{64771E2D-E491-4D33-A3E8-4CF8A73B1E20}"/>
    <cellStyle name="Nuovo 44 4" xfId="2234" xr:uid="{00000000-0005-0000-0000-000083070000}"/>
    <cellStyle name="Nuovo 44 4 2" xfId="2235" xr:uid="{00000000-0005-0000-0000-000084070000}"/>
    <cellStyle name="Nuovo 44 4 2 2" xfId="9365" xr:uid="{3F002460-1D34-489E-9018-0BB1E51167FF}"/>
    <cellStyle name="Nuovo 44 4 2 2 2" xfId="27510" xr:uid="{1F85B9E7-13A4-4D2A-9478-FC3E3554266D}"/>
    <cellStyle name="Nuovo 44 4 2 3" xfId="17890" xr:uid="{17FE5F1A-F071-45AD-B66C-1BF6440ED857}"/>
    <cellStyle name="Nuovo 44 4 2 3 2" xfId="27511" xr:uid="{ADAEA5C9-124F-4221-9BC2-446C376D1F04}"/>
    <cellStyle name="Nuovo 44 4 2 4" xfId="27509" xr:uid="{A4655556-0198-48E4-9FD1-4E3917D418A0}"/>
    <cellStyle name="Nuovo 44 4 2 5" xfId="17503" xr:uid="{6E9B35F0-AF9B-41BD-B34C-E1A3A6E021FC}"/>
    <cellStyle name="Nuovo 44 4 3" xfId="9366" xr:uid="{EECE90A9-8685-4C89-A76B-48AD110A9AD4}"/>
    <cellStyle name="Nuovo 44 4 3 2" xfId="27512" xr:uid="{800C5257-B624-43C7-B1D3-9F8B7340FDF8}"/>
    <cellStyle name="Nuovo 44 4 4" xfId="27513" xr:uid="{BE68038C-C321-4593-9177-9394D85DED7F}"/>
    <cellStyle name="Nuovo 44 4 4 2" xfId="49043" xr:uid="{23958D2F-D4A7-41C7-B693-0BDF260DEAD8}"/>
    <cellStyle name="Nuovo 44 4 5" xfId="27514" xr:uid="{CFFD085B-6621-4EB4-94D4-FF4DC79F459E}"/>
    <cellStyle name="Nuovo 44 4 6" xfId="27508" xr:uid="{57CFE911-90DE-4D47-A8C9-A047A0CC3210}"/>
    <cellStyle name="Nuovo 44 5" xfId="2236" xr:uid="{00000000-0005-0000-0000-000085070000}"/>
    <cellStyle name="Nuovo 44 5 2" xfId="27516" xr:uid="{3B20BCF9-C663-4EE9-B156-3C47A87EBBDA}"/>
    <cellStyle name="Nuovo 44 5 2 2" xfId="49044" xr:uid="{756A358E-D020-45C3-9944-5FA7968BF8E9}"/>
    <cellStyle name="Nuovo 44 5 3" xfId="27517" xr:uid="{EAB32B0D-3618-4592-A356-A70BE7B6AF5B}"/>
    <cellStyle name="Nuovo 44 5 4" xfId="27515" xr:uid="{090F1EA8-95C5-4A5B-908B-899A9A855FF5}"/>
    <cellStyle name="Nuovo 44 6" xfId="4246" xr:uid="{551B11CE-2F5D-4A4E-85E5-B9BA6FA0AD87}"/>
    <cellStyle name="Nuovo 44 6 2" xfId="9806" xr:uid="{A13A3F3D-4C4E-4EBA-B3D5-18AE4643C5FA}"/>
    <cellStyle name="Nuovo 44 6 3" xfId="27518" xr:uid="{17D4B1E0-9401-4EBD-855B-CDF7F07CA469}"/>
    <cellStyle name="Nuovo 44 7" xfId="27493" xr:uid="{36314486-03D7-40B0-B1E2-EBCB72420120}"/>
    <cellStyle name="Nuovo 45" xfId="941" xr:uid="{00000000-0005-0000-0000-000086070000}"/>
    <cellStyle name="Nuovo 45 2" xfId="4247" xr:uid="{51B4E3DC-427A-4DD9-8464-9980F714BA31}"/>
    <cellStyle name="Nuovo 45 2 2" xfId="13557" xr:uid="{7BE65B03-CB10-41D8-B07D-33F0E606DF61}"/>
    <cellStyle name="Nuovo 45 2 3" xfId="27520" xr:uid="{668C6937-6AFF-43C3-ADC0-2FF2D7062BB4}"/>
    <cellStyle name="Nuovo 45 3" xfId="13293" xr:uid="{AE0FD160-5D37-486E-A623-3B942587BCE9}"/>
    <cellStyle name="Nuovo 45 3 2" xfId="27521" xr:uid="{BAF08B12-8837-4EA4-AFEA-67A0736A20CE}"/>
    <cellStyle name="Nuovo 45 4" xfId="27522" xr:uid="{89D81CE0-10A5-4376-9465-1A57E982F507}"/>
    <cellStyle name="Nuovo 45 5" xfId="27519" xr:uid="{EF8878F4-8720-478A-813A-313BC825D93D}"/>
    <cellStyle name="Nuovo 46" xfId="942" xr:uid="{00000000-0005-0000-0000-000087070000}"/>
    <cellStyle name="Nuovo 46 2" xfId="943" xr:uid="{00000000-0005-0000-0000-000088070000}"/>
    <cellStyle name="Nuovo 46 2 2" xfId="2237" xr:uid="{00000000-0005-0000-0000-000089070000}"/>
    <cellStyle name="Nuovo 46 2 2 2" xfId="27525" xr:uid="{9BC0BE86-6414-40E3-AA1E-F9486CF569B4}"/>
    <cellStyle name="Nuovo 46 2 3" xfId="8110" xr:uid="{A5DE3B68-B3E9-4B97-9E35-911C22E0F2A4}"/>
    <cellStyle name="Nuovo 46 2 3 2" xfId="14111" xr:uid="{29C7520E-6E27-4968-8AB3-E24163B1A435}"/>
    <cellStyle name="Nuovo 46 2 3 3" xfId="27526" xr:uid="{DBC272F3-EAFD-43B3-B43B-9347E1859E6E}"/>
    <cellStyle name="Nuovo 46 2 4" xfId="27524" xr:uid="{2E47C198-8FBA-43E3-BB96-6DCF9ADF6F7D}"/>
    <cellStyle name="Nuovo 46 3" xfId="4248" xr:uid="{A95D3D39-4DC9-4775-81EB-EDF330EE94AC}"/>
    <cellStyle name="Nuovo 46 3 2" xfId="9367" xr:uid="{BF05284E-C478-49D7-8C50-7DE500BC6DBF}"/>
    <cellStyle name="Nuovo 46 3 2 2" xfId="27528" xr:uid="{93BD987E-974A-407E-8896-A4E96C8770CD}"/>
    <cellStyle name="Nuovo 46 3 3" xfId="27529" xr:uid="{6AB144F1-583A-4FE7-9101-D17CA0129A4C}"/>
    <cellStyle name="Nuovo 46 3 3 2" xfId="49045" xr:uid="{0E3DC7C1-A0C4-4362-B0CE-BA72F6A4D401}"/>
    <cellStyle name="Nuovo 46 3 4" xfId="27527" xr:uid="{64C224F3-B78B-4888-ADC7-BC5A37D1C1D0}"/>
    <cellStyle name="Nuovo 46 4" xfId="4249" xr:uid="{74D4AFBE-8B66-454D-B78A-7016B6B581AA}"/>
    <cellStyle name="Nuovo 46 4 2" xfId="13771" xr:uid="{207D6CFE-BCBA-4919-890F-A4B709774235}"/>
    <cellStyle name="Nuovo 46 4 3" xfId="27530" xr:uid="{694702D6-2718-4518-9EEA-0AE3024C8FE5}"/>
    <cellStyle name="Nuovo 46 5" xfId="11431" xr:uid="{961D22AD-51FB-4DD0-A569-915EEE7E9BB0}"/>
    <cellStyle name="Nuovo 46 5 2" xfId="27531" xr:uid="{DEBC53D1-7B51-4213-BFFF-AAB925634188}"/>
    <cellStyle name="Nuovo 46 6" xfId="27532" xr:uid="{8F764D14-68C7-4BEC-A5A4-AD53CB0454D5}"/>
    <cellStyle name="Nuovo 46 7" xfId="27523" xr:uid="{905E0ECE-9E70-434B-B31B-DEE8E2AFA90F}"/>
    <cellStyle name="Nuovo 47" xfId="2238" xr:uid="{00000000-0005-0000-0000-00008A070000}"/>
    <cellStyle name="Nuovo 47 2" xfId="2239" xr:uid="{00000000-0005-0000-0000-00008B070000}"/>
    <cellStyle name="Nuovo 47 2 2" xfId="9368" xr:uid="{B96EE238-344F-4A65-B40B-E8D42606D229}"/>
    <cellStyle name="Nuovo 47 2 2 2" xfId="27535" xr:uid="{59A34169-96D2-4D9D-8924-161558F550C1}"/>
    <cellStyle name="Nuovo 47 2 3" xfId="17891" xr:uid="{EFE66F63-18B6-49A9-8678-4E465ABECFDF}"/>
    <cellStyle name="Nuovo 47 2 3 2" xfId="27536" xr:uid="{BC2AA4FA-3A20-4996-853A-E4497C08DE3C}"/>
    <cellStyle name="Nuovo 47 2 4" xfId="27534" xr:uid="{791387FF-EB1E-4C7C-9DFD-91A068CE979A}"/>
    <cellStyle name="Nuovo 47 2 5" xfId="17504" xr:uid="{0BDAB4A5-EEBB-4534-B20A-C2EA1516B5FB}"/>
    <cellStyle name="Nuovo 47 3" xfId="9369" xr:uid="{E90871A8-9ADD-49AE-A286-E4B696A3899A}"/>
    <cellStyle name="Nuovo 47 3 2" xfId="27537" xr:uid="{DCC9C453-95ED-4C4F-9DBE-9E8B42F23EAB}"/>
    <cellStyle name="Nuovo 47 4" xfId="27538" xr:uid="{A853EE9D-E419-4BFA-8908-18350E111D90}"/>
    <cellStyle name="Nuovo 47 4 2" xfId="49046" xr:uid="{9A701349-1F3C-494F-BA04-879F1B7E88DE}"/>
    <cellStyle name="Nuovo 47 5" xfId="27539" xr:uid="{81596562-53DB-471D-AE0A-38391DF2CC39}"/>
    <cellStyle name="Nuovo 47 6" xfId="27533" xr:uid="{09535227-7D5F-4378-B243-9D3CADD702DF}"/>
    <cellStyle name="Nuovo 48" xfId="2240" xr:uid="{00000000-0005-0000-0000-00008C070000}"/>
    <cellStyle name="Nuovo 48 2" xfId="27541" xr:uid="{E014B888-6D01-4CFA-A18E-E755BADFE3BF}"/>
    <cellStyle name="Nuovo 48 2 2" xfId="49047" xr:uid="{470BFD08-BFF1-42C8-A7CB-6C9E77459DD3}"/>
    <cellStyle name="Nuovo 48 3" xfId="27542" xr:uid="{8A7BFBE8-F7D6-4718-A20E-5D93CF4EC811}"/>
    <cellStyle name="Nuovo 48 4" xfId="27540" xr:uid="{C206980C-508E-4055-89D1-D3FC8AAC8645}"/>
    <cellStyle name="Nuovo 49" xfId="4250" xr:uid="{D584F898-B09F-4EE0-BA51-80009E1C7D50}"/>
    <cellStyle name="Nuovo 49 2" xfId="9768" xr:uid="{B65EBE59-533F-49E7-BB12-002DB451CF4A}"/>
    <cellStyle name="Nuovo 5" xfId="944" xr:uid="{00000000-0005-0000-0000-00008D070000}"/>
    <cellStyle name="Nuovo 5 2" xfId="945" xr:uid="{00000000-0005-0000-0000-00008E070000}"/>
    <cellStyle name="Nuovo 5 2 2" xfId="4251" xr:uid="{C9D2D1BE-103A-4ABA-BD46-8DB596B4AEBC}"/>
    <cellStyle name="Nuovo 5 2 2 2" xfId="13558" xr:uid="{CE61E862-8304-4592-9CE1-FE857DE7BB11}"/>
    <cellStyle name="Nuovo 5 2 2 3" xfId="27545" xr:uid="{0F128794-D2B9-46A7-86D3-EFF2D1799161}"/>
    <cellStyle name="Nuovo 5 2 3" xfId="13294" xr:uid="{0B9C6A03-6883-4F7E-9ADA-DCC40FC3E9A2}"/>
    <cellStyle name="Nuovo 5 2 3 2" xfId="27546" xr:uid="{CD23A9CA-8195-4841-BD85-55A0394C5907}"/>
    <cellStyle name="Nuovo 5 2 4" xfId="27547" xr:uid="{FB81FE35-E253-47C9-B8EA-242EC3B4C11D}"/>
    <cellStyle name="Nuovo 5 2 5" xfId="27544" xr:uid="{76973505-648B-46A3-8678-D5CB17F2308D}"/>
    <cellStyle name="Nuovo 5 3" xfId="946" xr:uid="{00000000-0005-0000-0000-00008F070000}"/>
    <cellStyle name="Nuovo 5 3 2" xfId="947" xr:uid="{00000000-0005-0000-0000-000090070000}"/>
    <cellStyle name="Nuovo 5 3 2 2" xfId="2241" xr:uid="{00000000-0005-0000-0000-000091070000}"/>
    <cellStyle name="Nuovo 5 3 2 2 2" xfId="27550" xr:uid="{79B27388-C558-4C2A-86D8-A52EB8314802}"/>
    <cellStyle name="Nuovo 5 3 2 3" xfId="8111" xr:uid="{A89EFCB1-7A63-4EC4-B790-B24CB4ECC627}"/>
    <cellStyle name="Nuovo 5 3 2 3 2" xfId="14112" xr:uid="{16D2DB01-703C-4BAA-81A8-A1E48CEB35B8}"/>
    <cellStyle name="Nuovo 5 3 2 3 3" xfId="27551" xr:uid="{446FDB79-98DA-4CD8-A921-51A535A9FD1C}"/>
    <cellStyle name="Nuovo 5 3 2 4" xfId="27549" xr:uid="{2E2D8E5A-3323-4CBD-9CB6-6DF2351AB903}"/>
    <cellStyle name="Nuovo 5 3 3" xfId="4252" xr:uid="{1EBC5A5F-FCDC-4CEA-BC01-804D469B4A94}"/>
    <cellStyle name="Nuovo 5 3 3 2" xfId="9370" xr:uid="{A85F899E-BB67-4AA1-8048-AD18AD0B5206}"/>
    <cellStyle name="Nuovo 5 3 3 2 2" xfId="27553" xr:uid="{36FBD4CB-FE7E-4985-BE3B-AA15B7B7AEDB}"/>
    <cellStyle name="Nuovo 5 3 3 3" xfId="27554" xr:uid="{D72F6C4A-DB62-4E0D-98E0-9EE95D45BD38}"/>
    <cellStyle name="Nuovo 5 3 3 3 2" xfId="49048" xr:uid="{DEAF9AB6-D58B-4191-8B2A-0B0CD969506D}"/>
    <cellStyle name="Nuovo 5 3 3 4" xfId="27552" xr:uid="{31CCA164-4B1F-485D-B541-986D3890710C}"/>
    <cellStyle name="Nuovo 5 3 4" xfId="4253" xr:uid="{646838B4-BA06-47DF-8AA6-417C13BD827C}"/>
    <cellStyle name="Nuovo 5 3 4 2" xfId="13772" xr:uid="{A410DAD1-E9C5-49A6-BFBE-20696A78F8D5}"/>
    <cellStyle name="Nuovo 5 3 4 3" xfId="27555" xr:uid="{08D6F9F0-4F2C-43D7-A41A-5FB9B2ADB667}"/>
    <cellStyle name="Nuovo 5 3 5" xfId="11209" xr:uid="{03E14634-5CC8-4CC5-9304-74D812FFC581}"/>
    <cellStyle name="Nuovo 5 3 5 2" xfId="27556" xr:uid="{8CA150FA-301C-4A73-8BC2-D004F798135D}"/>
    <cellStyle name="Nuovo 5 3 6" xfId="27557" xr:uid="{4C4AF041-9E0B-4956-91A9-6F28404D2E6A}"/>
    <cellStyle name="Nuovo 5 3 7" xfId="27548" xr:uid="{902422A1-6D7E-4674-BD4F-2B3C930D625D}"/>
    <cellStyle name="Nuovo 5 4" xfId="2242" xr:uid="{00000000-0005-0000-0000-000092070000}"/>
    <cellStyle name="Nuovo 5 4 2" xfId="2243" xr:uid="{00000000-0005-0000-0000-000093070000}"/>
    <cellStyle name="Nuovo 5 4 2 2" xfId="9371" xr:uid="{4B4093E6-5E13-43CB-A682-CAE0AC0E9126}"/>
    <cellStyle name="Nuovo 5 4 2 2 2" xfId="27560" xr:uid="{4EBAFC53-2C29-4052-A1F9-3BB1C7D5EA60}"/>
    <cellStyle name="Nuovo 5 4 2 3" xfId="17892" xr:uid="{356E20D0-C182-4B3B-B188-A32CE38C7149}"/>
    <cellStyle name="Nuovo 5 4 2 3 2" xfId="27561" xr:uid="{2C7F3790-7198-43AE-A118-B7B64BAD8D97}"/>
    <cellStyle name="Nuovo 5 4 2 4" xfId="27559" xr:uid="{86DDCC4C-4A33-4F33-A2EF-62C1D1720431}"/>
    <cellStyle name="Nuovo 5 4 2 5" xfId="17505" xr:uid="{323838BC-A503-469D-A9EA-4287B9036DC3}"/>
    <cellStyle name="Nuovo 5 4 3" xfId="9372" xr:uid="{F1928F7E-C99E-4A50-8A63-42D0C846ACA7}"/>
    <cellStyle name="Nuovo 5 4 3 2" xfId="27562" xr:uid="{70B3854A-5020-4F7E-B5A5-A8BB9A094CBC}"/>
    <cellStyle name="Nuovo 5 4 4" xfId="27563" xr:uid="{7ABE1074-434D-4295-8185-C25DD23EBAFD}"/>
    <cellStyle name="Nuovo 5 4 4 2" xfId="49049" xr:uid="{E3C902FE-D9A3-463C-990A-C673BE9B01D7}"/>
    <cellStyle name="Nuovo 5 4 5" xfId="27564" xr:uid="{A4718FF0-FF86-4C4E-BBF2-39C47F5FD496}"/>
    <cellStyle name="Nuovo 5 4 6" xfId="27558" xr:uid="{D2F77BAD-821F-4604-8D6C-C1A26A5ADE37}"/>
    <cellStyle name="Nuovo 5 5" xfId="2244" xr:uid="{00000000-0005-0000-0000-000094070000}"/>
    <cellStyle name="Nuovo 5 5 2" xfId="27566" xr:uid="{2D62E0E2-83FF-4ED4-8263-1F71FE0DA7B6}"/>
    <cellStyle name="Nuovo 5 5 2 2" xfId="49050" xr:uid="{3FBB0A4B-5EEC-498D-8228-B3DE53A8663D}"/>
    <cellStyle name="Nuovo 5 5 3" xfId="27567" xr:uid="{C0E9EFB5-EE3B-4958-9C3E-0594D85E9FD3}"/>
    <cellStyle name="Nuovo 5 5 4" xfId="27565" xr:uid="{F5C3DBCC-A883-4307-BF65-6AADF5B5A5A0}"/>
    <cellStyle name="Nuovo 5 6" xfId="4254" xr:uid="{2B6B3E87-CB89-4B76-A64C-941635A9A278}"/>
    <cellStyle name="Nuovo 5 6 2" xfId="9807" xr:uid="{91F5DE2D-7263-4144-A2EC-FB8976CC0A42}"/>
    <cellStyle name="Nuovo 5 6 3" xfId="27568" xr:uid="{ADF3C345-A0D9-4A9C-8598-BA3569DE914A}"/>
    <cellStyle name="Nuovo 5 7" xfId="27543" xr:uid="{6D72D656-E0F2-4255-A6F9-FF5460C0594D}"/>
    <cellStyle name="Nuovo 50" xfId="26739" xr:uid="{BF661738-37B7-4F6E-80CB-34F8716D60AD}"/>
    <cellStyle name="Nuovo 6" xfId="948" xr:uid="{00000000-0005-0000-0000-000095070000}"/>
    <cellStyle name="Nuovo 6 2" xfId="949" xr:uid="{00000000-0005-0000-0000-000096070000}"/>
    <cellStyle name="Nuovo 6 2 2" xfId="4255" xr:uid="{A16280CF-C1D4-4D43-9678-4CB49D308F39}"/>
    <cellStyle name="Nuovo 6 2 2 2" xfId="13559" xr:uid="{4A00C849-6038-4B7F-9E09-0A6551EEA2AB}"/>
    <cellStyle name="Nuovo 6 2 2 3" xfId="27571" xr:uid="{F1480303-89E6-4431-92E6-CAB859ACF801}"/>
    <cellStyle name="Nuovo 6 2 3" xfId="13295" xr:uid="{23706738-B054-489B-944A-DEE078A9FAD1}"/>
    <cellStyle name="Nuovo 6 2 3 2" xfId="27572" xr:uid="{37EDE959-D3AE-4770-BD4D-61763B15C338}"/>
    <cellStyle name="Nuovo 6 2 4" xfId="27573" xr:uid="{5F54A842-6950-4DD0-B85F-E0B1EFA0E364}"/>
    <cellStyle name="Nuovo 6 2 5" xfId="27570" xr:uid="{D799C99B-98EB-4BD7-8AF8-22D875B16F44}"/>
    <cellStyle name="Nuovo 6 3" xfId="950" xr:uid="{00000000-0005-0000-0000-000097070000}"/>
    <cellStyle name="Nuovo 6 3 2" xfId="951" xr:uid="{00000000-0005-0000-0000-000098070000}"/>
    <cellStyle name="Nuovo 6 3 2 2" xfId="2245" xr:uid="{00000000-0005-0000-0000-000099070000}"/>
    <cellStyle name="Nuovo 6 3 2 2 2" xfId="27576" xr:uid="{BE01D72C-1DF8-4F5D-AB3B-364D90824056}"/>
    <cellStyle name="Nuovo 6 3 2 3" xfId="8112" xr:uid="{D2FB17E4-2953-4130-9C91-49279761E671}"/>
    <cellStyle name="Nuovo 6 3 2 3 2" xfId="14113" xr:uid="{60EB3245-2713-4508-B855-B5A48B120EC6}"/>
    <cellStyle name="Nuovo 6 3 2 3 3" xfId="27577" xr:uid="{C3737989-E023-4DF7-B19A-EE34B37A34AF}"/>
    <cellStyle name="Nuovo 6 3 2 4" xfId="27575" xr:uid="{A1A21810-73C4-4CB3-B1D8-77A6A20EBD47}"/>
    <cellStyle name="Nuovo 6 3 3" xfId="4256" xr:uid="{7EB22C18-A38E-4F93-B665-29C8D5D77733}"/>
    <cellStyle name="Nuovo 6 3 3 2" xfId="9373" xr:uid="{0E0E96BF-EDCC-4D35-B70F-A15490C00BDC}"/>
    <cellStyle name="Nuovo 6 3 3 2 2" xfId="27579" xr:uid="{EA7B6230-6C1A-4336-8A84-8F2009BD0FC2}"/>
    <cellStyle name="Nuovo 6 3 3 3" xfId="27580" xr:uid="{3CE787CF-15F9-42B3-A755-7E11A9B3141A}"/>
    <cellStyle name="Nuovo 6 3 3 3 2" xfId="49051" xr:uid="{C1000D78-746C-4CE2-8D69-64B9E06BEB50}"/>
    <cellStyle name="Nuovo 6 3 3 4" xfId="27578" xr:uid="{A2AF7156-53C5-450C-98A2-02921E6F24D3}"/>
    <cellStyle name="Nuovo 6 3 4" xfId="4257" xr:uid="{9B83DCD6-2BEA-429B-AAED-A8F73C5D282E}"/>
    <cellStyle name="Nuovo 6 3 4 2" xfId="13773" xr:uid="{2CB50CA4-6DE3-4593-A247-0C44269B3054}"/>
    <cellStyle name="Nuovo 6 3 4 3" xfId="27581" xr:uid="{94AF759C-F3B3-433A-9004-D73EDD85DEBD}"/>
    <cellStyle name="Nuovo 6 3 5" xfId="12442" xr:uid="{56F268BC-BCD2-4973-AD13-4DB732345241}"/>
    <cellStyle name="Nuovo 6 3 5 2" xfId="27582" xr:uid="{9443FFE6-0884-4006-9304-72661BA86B56}"/>
    <cellStyle name="Nuovo 6 3 6" xfId="27583" xr:uid="{C6EB6DD6-78CB-4A7C-B1D6-5CB15D5DC333}"/>
    <cellStyle name="Nuovo 6 3 7" xfId="27574" xr:uid="{8A79E714-7705-4B36-B968-25FB34DFBDF2}"/>
    <cellStyle name="Nuovo 6 4" xfId="2246" xr:uid="{00000000-0005-0000-0000-00009A070000}"/>
    <cellStyle name="Nuovo 6 4 2" xfId="2247" xr:uid="{00000000-0005-0000-0000-00009B070000}"/>
    <cellStyle name="Nuovo 6 4 2 2" xfId="9374" xr:uid="{9D913E4B-5449-44E1-926B-7B85A2854643}"/>
    <cellStyle name="Nuovo 6 4 2 2 2" xfId="27586" xr:uid="{1757BCB3-F4A8-4A00-B017-751740FF1994}"/>
    <cellStyle name="Nuovo 6 4 2 3" xfId="17893" xr:uid="{E92D80BC-3FCA-4D8B-AA8E-043E49BA7046}"/>
    <cellStyle name="Nuovo 6 4 2 3 2" xfId="27587" xr:uid="{B31C68BC-9AA7-45F3-B248-9F5DDB51148F}"/>
    <cellStyle name="Nuovo 6 4 2 4" xfId="27585" xr:uid="{042854FC-52C4-49F7-8993-2ACB824AF721}"/>
    <cellStyle name="Nuovo 6 4 2 5" xfId="17506" xr:uid="{9BCF03F5-0F68-4871-8F57-465D91A41CB7}"/>
    <cellStyle name="Nuovo 6 4 3" xfId="9375" xr:uid="{8FF10DC9-B327-4724-901E-3F84F76C50D9}"/>
    <cellStyle name="Nuovo 6 4 3 2" xfId="27588" xr:uid="{9E2494F0-472F-441D-8AAB-623E5F4C1F18}"/>
    <cellStyle name="Nuovo 6 4 4" xfId="27589" xr:uid="{FCF5028C-1E1E-4391-95DD-580F8336F59D}"/>
    <cellStyle name="Nuovo 6 4 4 2" xfId="49052" xr:uid="{AC28C146-BD48-4663-B645-A8733776BDDE}"/>
    <cellStyle name="Nuovo 6 4 5" xfId="27590" xr:uid="{32892D99-8159-4539-96F4-5BAAE760F38B}"/>
    <cellStyle name="Nuovo 6 4 6" xfId="27584" xr:uid="{ADF6FBE8-3220-4F13-8321-7588FD50F2F8}"/>
    <cellStyle name="Nuovo 6 5" xfId="2248" xr:uid="{00000000-0005-0000-0000-00009C070000}"/>
    <cellStyle name="Nuovo 6 5 2" xfId="27592" xr:uid="{71B4BE97-B8AF-4C9E-A807-939883E67F92}"/>
    <cellStyle name="Nuovo 6 5 2 2" xfId="49053" xr:uid="{C313C4D4-B5D6-40AE-BE78-3829ADAD1B1C}"/>
    <cellStyle name="Nuovo 6 5 3" xfId="27593" xr:uid="{0291F871-C95A-4EC6-A87A-47DC88EC83F7}"/>
    <cellStyle name="Nuovo 6 5 4" xfId="27591" xr:uid="{4FA73DF4-8EBA-4A5E-8F58-A035783C2196}"/>
    <cellStyle name="Nuovo 6 6" xfId="4258" xr:uid="{4BFB4BF1-0EB4-4082-BB69-B8A50C280552}"/>
    <cellStyle name="Nuovo 6 6 2" xfId="9808" xr:uid="{C0540513-5A79-4FFB-AA2B-420F95AA1B1D}"/>
    <cellStyle name="Nuovo 6 6 3" xfId="27594" xr:uid="{6E87283A-C77D-4941-B340-425CB749DF4B}"/>
    <cellStyle name="Nuovo 6 7" xfId="27569" xr:uid="{7961D58B-BC39-4C54-BC0D-81632641286C}"/>
    <cellStyle name="Nuovo 7" xfId="952" xr:uid="{00000000-0005-0000-0000-00009D070000}"/>
    <cellStyle name="Nuovo 7 2" xfId="953" xr:uid="{00000000-0005-0000-0000-00009E070000}"/>
    <cellStyle name="Nuovo 7 2 2" xfId="4259" xr:uid="{A18CFF9B-3E30-408B-8959-FC08DDCCC841}"/>
    <cellStyle name="Nuovo 7 2 2 2" xfId="13560" xr:uid="{CE37D472-842E-4D49-9F43-F6383E1E7636}"/>
    <cellStyle name="Nuovo 7 2 2 3" xfId="27597" xr:uid="{F8F9AF36-5458-46F0-8BE2-115707CAD1AB}"/>
    <cellStyle name="Nuovo 7 2 3" xfId="13296" xr:uid="{190A8EDE-694D-4615-AED9-5715B7FAC940}"/>
    <cellStyle name="Nuovo 7 2 3 2" xfId="27598" xr:uid="{FE9785CE-9DC4-490E-948E-C4887A6D6CA1}"/>
    <cellStyle name="Nuovo 7 2 4" xfId="27599" xr:uid="{9E01B1E3-66FF-4F8E-BEAD-3C92684A5AB0}"/>
    <cellStyle name="Nuovo 7 2 5" xfId="27596" xr:uid="{DE8D7E79-9E26-4943-ACB2-5379BFF24196}"/>
    <cellStyle name="Nuovo 7 3" xfId="954" xr:uid="{00000000-0005-0000-0000-00009F070000}"/>
    <cellStyle name="Nuovo 7 3 2" xfId="955" xr:uid="{00000000-0005-0000-0000-0000A0070000}"/>
    <cellStyle name="Nuovo 7 3 2 2" xfId="2249" xr:uid="{00000000-0005-0000-0000-0000A1070000}"/>
    <cellStyle name="Nuovo 7 3 2 2 2" xfId="27602" xr:uid="{3903CC4B-9E9B-4B2D-838F-BA98D49BD944}"/>
    <cellStyle name="Nuovo 7 3 2 3" xfId="8113" xr:uid="{2ADF2B46-3C1A-4235-80CF-A18CEC54E694}"/>
    <cellStyle name="Nuovo 7 3 2 3 2" xfId="14114" xr:uid="{81EE0085-A5D2-496F-92B9-2ECD12F14D43}"/>
    <cellStyle name="Nuovo 7 3 2 3 3" xfId="27603" xr:uid="{A7C54183-0785-4425-8AD9-E3CB64D5BA6B}"/>
    <cellStyle name="Nuovo 7 3 2 4" xfId="27601" xr:uid="{574A491E-6013-46D0-B0A8-0F56C96FA3C0}"/>
    <cellStyle name="Nuovo 7 3 3" xfId="4260" xr:uid="{1D8F7DD5-D19C-49C4-B565-7EA6012AF29A}"/>
    <cellStyle name="Nuovo 7 3 3 2" xfId="9376" xr:uid="{0F719FC5-DFCB-403F-ACC6-30F371E918BF}"/>
    <cellStyle name="Nuovo 7 3 3 2 2" xfId="27605" xr:uid="{46B2AA90-1DBA-482A-AA0F-B03CDE50D476}"/>
    <cellStyle name="Nuovo 7 3 3 3" xfId="27606" xr:uid="{3EFD14C5-0966-40A9-894E-46B67FE61DA8}"/>
    <cellStyle name="Nuovo 7 3 3 3 2" xfId="49054" xr:uid="{9DC0B190-2983-4AC6-912F-38CEFDF0A94D}"/>
    <cellStyle name="Nuovo 7 3 3 4" xfId="27604" xr:uid="{09D6BF25-946C-443D-8677-1CB9BCD61490}"/>
    <cellStyle name="Nuovo 7 3 4" xfId="4261" xr:uid="{BB9B5E1E-25C1-41E7-8460-057039421166}"/>
    <cellStyle name="Nuovo 7 3 4 2" xfId="13774" xr:uid="{40E6B499-74E9-41AF-8885-C128631FD87D}"/>
    <cellStyle name="Nuovo 7 3 4 3" xfId="27607" xr:uid="{F1B191F0-C12F-46A3-B4AF-15A6436F01B4}"/>
    <cellStyle name="Nuovo 7 3 5" xfId="12428" xr:uid="{527CFAD6-F901-405A-8BE0-A0653D78BEE6}"/>
    <cellStyle name="Nuovo 7 3 5 2" xfId="27608" xr:uid="{D5C76E45-89F5-46C3-A0A3-6EC9B75D673E}"/>
    <cellStyle name="Nuovo 7 3 6" xfId="27609" xr:uid="{B88810D6-8374-4B92-BDB8-933BD27BFE51}"/>
    <cellStyle name="Nuovo 7 3 7" xfId="27600" xr:uid="{57658E27-7B81-4151-B2E2-210BE1DF179B}"/>
    <cellStyle name="Nuovo 7 4" xfId="2250" xr:uid="{00000000-0005-0000-0000-0000A2070000}"/>
    <cellStyle name="Nuovo 7 4 2" xfId="2251" xr:uid="{00000000-0005-0000-0000-0000A3070000}"/>
    <cellStyle name="Nuovo 7 4 2 2" xfId="9377" xr:uid="{EF1AD18B-B843-4AC1-95B3-185C4245E187}"/>
    <cellStyle name="Nuovo 7 4 2 2 2" xfId="27612" xr:uid="{DFB3D34B-E155-4D1F-97FB-F11257BBFCBE}"/>
    <cellStyle name="Nuovo 7 4 2 3" xfId="17894" xr:uid="{481E5048-3806-47F0-9BCA-B9C86B5E6317}"/>
    <cellStyle name="Nuovo 7 4 2 3 2" xfId="27613" xr:uid="{EC620163-D22D-48B2-A609-9437B8CA5F55}"/>
    <cellStyle name="Nuovo 7 4 2 4" xfId="27611" xr:uid="{7F1E14BE-F274-414F-80C7-B10BD9A9522B}"/>
    <cellStyle name="Nuovo 7 4 2 5" xfId="17507" xr:uid="{A1C3090C-3298-4FE4-819B-2BE1D4DD0C70}"/>
    <cellStyle name="Nuovo 7 4 3" xfId="9378" xr:uid="{73EEFB6A-7DB4-47DD-AC2B-287B571906F2}"/>
    <cellStyle name="Nuovo 7 4 3 2" xfId="27614" xr:uid="{3C676558-E417-4383-9664-8ABCA747A2A1}"/>
    <cellStyle name="Nuovo 7 4 4" xfId="27615" xr:uid="{190BFF21-3C37-4132-8439-3E335E63175B}"/>
    <cellStyle name="Nuovo 7 4 4 2" xfId="49055" xr:uid="{FB38B2E7-106A-49AA-BC62-4C79FA862269}"/>
    <cellStyle name="Nuovo 7 4 5" xfId="27616" xr:uid="{1E6B95A7-8604-4CE6-8DCF-2A4A6DAF58CF}"/>
    <cellStyle name="Nuovo 7 4 6" xfId="27610" xr:uid="{E5AC8D7C-3DD3-4D8E-9BF7-0EDD0E3BDADC}"/>
    <cellStyle name="Nuovo 7 5" xfId="2252" xr:uid="{00000000-0005-0000-0000-0000A4070000}"/>
    <cellStyle name="Nuovo 7 5 2" xfId="27618" xr:uid="{6B286BF6-E7C8-43BC-83F2-2255C7C019B2}"/>
    <cellStyle name="Nuovo 7 5 2 2" xfId="49056" xr:uid="{4506C8E6-4B4B-453B-BD62-AF6B9CAB055B}"/>
    <cellStyle name="Nuovo 7 5 3" xfId="27619" xr:uid="{BE67BA52-B7F2-4F45-AD7F-B340E0F9A95A}"/>
    <cellStyle name="Nuovo 7 5 4" xfId="27617" xr:uid="{1EADB06A-FB7C-4977-8233-4F4097C11EEC}"/>
    <cellStyle name="Nuovo 7 6" xfId="4262" xr:uid="{48B2D8B1-6E01-43EF-9F92-21446BD5348B}"/>
    <cellStyle name="Nuovo 7 6 2" xfId="9809" xr:uid="{AD0B34CD-5E3F-493F-B5DF-3C719FDF39FD}"/>
    <cellStyle name="Nuovo 7 6 3" xfId="27620" xr:uid="{FE14D476-5B3F-4270-B9A0-835FDB2282D3}"/>
    <cellStyle name="Nuovo 7 7" xfId="27595" xr:uid="{DF00AC14-F2E1-488D-8C1D-97F9E0EDDB59}"/>
    <cellStyle name="Nuovo 8" xfId="956" xr:uid="{00000000-0005-0000-0000-0000A5070000}"/>
    <cellStyle name="Nuovo 8 2" xfId="957" xr:uid="{00000000-0005-0000-0000-0000A6070000}"/>
    <cellStyle name="Nuovo 8 2 2" xfId="4263" xr:uid="{0557C983-A97E-48DB-82E8-9889A9AE4B81}"/>
    <cellStyle name="Nuovo 8 2 2 2" xfId="13561" xr:uid="{82B08641-460A-4130-AEE2-AEBC3CE2523B}"/>
    <cellStyle name="Nuovo 8 2 2 3" xfId="27623" xr:uid="{594391A0-97BC-42F0-9704-873D49F5E31C}"/>
    <cellStyle name="Nuovo 8 2 3" xfId="13297" xr:uid="{74121BB4-D63D-4BA1-8683-7642CEF20E20}"/>
    <cellStyle name="Nuovo 8 2 3 2" xfId="27624" xr:uid="{28EDC50B-CA3A-43B3-93D0-7C415A02194A}"/>
    <cellStyle name="Nuovo 8 2 4" xfId="27625" xr:uid="{15740138-3280-47EE-A937-47D52A1F35E6}"/>
    <cellStyle name="Nuovo 8 2 5" xfId="27622" xr:uid="{4604EC1A-A606-4803-A84B-A5EAD9DF1DC6}"/>
    <cellStyle name="Nuovo 8 3" xfId="958" xr:uid="{00000000-0005-0000-0000-0000A7070000}"/>
    <cellStyle name="Nuovo 8 3 2" xfId="959" xr:uid="{00000000-0005-0000-0000-0000A8070000}"/>
    <cellStyle name="Nuovo 8 3 2 2" xfId="2253" xr:uid="{00000000-0005-0000-0000-0000A9070000}"/>
    <cellStyle name="Nuovo 8 3 2 2 2" xfId="27628" xr:uid="{675D14BC-83F8-4852-B9F8-36864CFAFAAC}"/>
    <cellStyle name="Nuovo 8 3 2 3" xfId="8114" xr:uid="{8ABBE721-0C0E-47D4-AA39-1B585C3350BF}"/>
    <cellStyle name="Nuovo 8 3 2 3 2" xfId="14115" xr:uid="{EE2B4075-85BE-411A-A63F-2D59B2AE0925}"/>
    <cellStyle name="Nuovo 8 3 2 3 3" xfId="27629" xr:uid="{9A270E35-5BFD-4836-B184-F34990E1459C}"/>
    <cellStyle name="Nuovo 8 3 2 4" xfId="27627" xr:uid="{908270EC-49AD-4205-9412-17D1B52B2B48}"/>
    <cellStyle name="Nuovo 8 3 3" xfId="4264" xr:uid="{98EB0646-F80A-4B37-ACE4-F8CA8FD2ABD0}"/>
    <cellStyle name="Nuovo 8 3 3 2" xfId="9379" xr:uid="{156E2F9B-9CBF-413C-BFC1-F64AE6B0B41C}"/>
    <cellStyle name="Nuovo 8 3 3 2 2" xfId="27631" xr:uid="{CB779E07-CBDF-42AE-A88C-511C8709890D}"/>
    <cellStyle name="Nuovo 8 3 3 3" xfId="27632" xr:uid="{8F8D2037-471F-489C-A182-222F894076BD}"/>
    <cellStyle name="Nuovo 8 3 3 3 2" xfId="49057" xr:uid="{ABD93CEB-D32F-4FDB-A39C-4C00E18AD1BA}"/>
    <cellStyle name="Nuovo 8 3 3 4" xfId="27630" xr:uid="{7C04087F-D12F-4952-ACB1-133683F4736E}"/>
    <cellStyle name="Nuovo 8 3 4" xfId="4265" xr:uid="{C6D261C3-4162-4C07-BBEA-2E0CBAEC3DAE}"/>
    <cellStyle name="Nuovo 8 3 4 2" xfId="13775" xr:uid="{FE856675-6991-43F3-9140-8B8A5304545D}"/>
    <cellStyle name="Nuovo 8 3 4 3" xfId="27633" xr:uid="{4CB7D5A3-E502-42CF-AF16-D693143B65D9}"/>
    <cellStyle name="Nuovo 8 3 5" xfId="12426" xr:uid="{9CA6F147-CCF0-4CE4-AEFB-D383642EAACF}"/>
    <cellStyle name="Nuovo 8 3 5 2" xfId="27634" xr:uid="{E7C660EB-D3CA-4BA9-AAB0-B328E54E2A22}"/>
    <cellStyle name="Nuovo 8 3 6" xfId="27635" xr:uid="{0CFCDAEA-CC9D-4D8B-8166-721785ED46E6}"/>
    <cellStyle name="Nuovo 8 3 7" xfId="27626" xr:uid="{F47A47B2-F280-4343-A0F7-527D9285345E}"/>
    <cellStyle name="Nuovo 8 4" xfId="2254" xr:uid="{00000000-0005-0000-0000-0000AA070000}"/>
    <cellStyle name="Nuovo 8 4 2" xfId="2255" xr:uid="{00000000-0005-0000-0000-0000AB070000}"/>
    <cellStyle name="Nuovo 8 4 2 2" xfId="9380" xr:uid="{D5B864CC-95B3-42E6-A838-403A31E46EA5}"/>
    <cellStyle name="Nuovo 8 4 2 2 2" xfId="27638" xr:uid="{1C5CA88A-18B2-40D8-B483-352EF06094C5}"/>
    <cellStyle name="Nuovo 8 4 2 3" xfId="17895" xr:uid="{9073A59E-F619-4168-81AA-B7C844424274}"/>
    <cellStyle name="Nuovo 8 4 2 3 2" xfId="27639" xr:uid="{5055B333-A4ED-4E9D-B169-F2BDA9F10EFE}"/>
    <cellStyle name="Nuovo 8 4 2 4" xfId="27637" xr:uid="{136B2064-87C4-4D87-B6E2-CC894F3D7E3B}"/>
    <cellStyle name="Nuovo 8 4 2 5" xfId="17508" xr:uid="{292F2B7E-4BDF-4857-BBE1-1B2BACF623A6}"/>
    <cellStyle name="Nuovo 8 4 3" xfId="9381" xr:uid="{29199976-D891-4E09-866E-132FBEBD4A9C}"/>
    <cellStyle name="Nuovo 8 4 3 2" xfId="27640" xr:uid="{994FE372-49FE-49E2-B9CC-CBDF6E6151CA}"/>
    <cellStyle name="Nuovo 8 4 4" xfId="27641" xr:uid="{722C908E-8B10-462C-90F2-7A973E20CCE6}"/>
    <cellStyle name="Nuovo 8 4 4 2" xfId="49058" xr:uid="{B152B089-C567-4A30-9378-F34CACF91CDE}"/>
    <cellStyle name="Nuovo 8 4 5" xfId="27642" xr:uid="{E9563F0D-44AD-4428-B9A1-E279C9A5CBE0}"/>
    <cellStyle name="Nuovo 8 4 6" xfId="27636" xr:uid="{1C5A8550-474A-4D53-B642-B67BFFCFBFD2}"/>
    <cellStyle name="Nuovo 8 5" xfId="2256" xr:uid="{00000000-0005-0000-0000-0000AC070000}"/>
    <cellStyle name="Nuovo 8 5 2" xfId="27644" xr:uid="{D2217FDA-D525-458D-BD8D-94F4309FA879}"/>
    <cellStyle name="Nuovo 8 5 2 2" xfId="49059" xr:uid="{C378EE7A-9A5F-41D2-B722-A19DC29F91C5}"/>
    <cellStyle name="Nuovo 8 5 3" xfId="27645" xr:uid="{E52A0A00-799C-408E-AEB8-9C22580D9279}"/>
    <cellStyle name="Nuovo 8 5 4" xfId="27643" xr:uid="{1E664E34-1713-41B1-B4F2-610CA3AED1CE}"/>
    <cellStyle name="Nuovo 8 6" xfId="4266" xr:uid="{62832EDB-E12B-49BA-A4E4-AC88F202EDC6}"/>
    <cellStyle name="Nuovo 8 6 2" xfId="9810" xr:uid="{ACCD1074-D364-478E-B5D4-E261A48081EB}"/>
    <cellStyle name="Nuovo 8 6 3" xfId="27646" xr:uid="{42116B00-A7B7-432F-8903-93E04BE55620}"/>
    <cellStyle name="Nuovo 8 7" xfId="27621" xr:uid="{7F50FF96-19AE-404F-ABAD-0452F5B67D04}"/>
    <cellStyle name="Nuovo 9" xfId="960" xr:uid="{00000000-0005-0000-0000-0000AD070000}"/>
    <cellStyle name="Nuovo 9 2" xfId="961" xr:uid="{00000000-0005-0000-0000-0000AE070000}"/>
    <cellStyle name="Nuovo 9 2 2" xfId="4267" xr:uid="{0515F40D-5790-4E64-9041-F42946477797}"/>
    <cellStyle name="Nuovo 9 2 2 2" xfId="13562" xr:uid="{877393F3-EB5D-4ED0-9062-8F3E9B797E83}"/>
    <cellStyle name="Nuovo 9 2 2 3" xfId="27649" xr:uid="{8C57D5EB-27E5-4BB3-947C-76C174A4B6D1}"/>
    <cellStyle name="Nuovo 9 2 3" xfId="13298" xr:uid="{974524CD-3A10-4DE6-928B-35A0F98074D3}"/>
    <cellStyle name="Nuovo 9 2 3 2" xfId="27650" xr:uid="{CAFFE88B-C50A-4D2D-A7B2-01C3B4F51ABA}"/>
    <cellStyle name="Nuovo 9 2 4" xfId="27651" xr:uid="{27074224-8027-4A65-9BD6-38ABC342D6EA}"/>
    <cellStyle name="Nuovo 9 2 5" xfId="27648" xr:uid="{4D332229-29E8-4D28-86D9-E306CA9151F3}"/>
    <cellStyle name="Nuovo 9 3" xfId="962" xr:uid="{00000000-0005-0000-0000-0000AF070000}"/>
    <cellStyle name="Nuovo 9 3 2" xfId="963" xr:uid="{00000000-0005-0000-0000-0000B0070000}"/>
    <cellStyle name="Nuovo 9 3 2 2" xfId="2257" xr:uid="{00000000-0005-0000-0000-0000B1070000}"/>
    <cellStyle name="Nuovo 9 3 2 2 2" xfId="27654" xr:uid="{395D2E4F-427D-4104-A782-C7DC614881F4}"/>
    <cellStyle name="Nuovo 9 3 2 3" xfId="8115" xr:uid="{BEB9FBE9-1601-4BB3-81D9-FD59494AD35F}"/>
    <cellStyle name="Nuovo 9 3 2 3 2" xfId="14116" xr:uid="{197CA9DF-5291-49F2-8D67-D7D99A880D2D}"/>
    <cellStyle name="Nuovo 9 3 2 3 3" xfId="27655" xr:uid="{76B6B87D-7630-47FC-AEC3-252296397064}"/>
    <cellStyle name="Nuovo 9 3 2 4" xfId="27653" xr:uid="{DC723FC5-0B1B-48BA-B7C8-7069F4ADDA00}"/>
    <cellStyle name="Nuovo 9 3 3" xfId="4268" xr:uid="{07640148-ECD8-4142-8CC5-28D875F382CD}"/>
    <cellStyle name="Nuovo 9 3 3 2" xfId="9382" xr:uid="{75D230FF-D387-4E14-8373-69A9B5B40844}"/>
    <cellStyle name="Nuovo 9 3 3 2 2" xfId="27657" xr:uid="{1F43C410-E7B7-4131-BBF5-11EB05E31656}"/>
    <cellStyle name="Nuovo 9 3 3 3" xfId="27658" xr:uid="{0D125005-F70E-4CD2-84FC-5E8DCB7568D7}"/>
    <cellStyle name="Nuovo 9 3 3 3 2" xfId="49060" xr:uid="{4E60C56C-15F1-4323-B1B5-A05216C14704}"/>
    <cellStyle name="Nuovo 9 3 3 4" xfId="27656" xr:uid="{DD3564F0-DE2D-41CA-BD45-6E2877229CC9}"/>
    <cellStyle name="Nuovo 9 3 4" xfId="4269" xr:uid="{F7A607BC-E8A0-40E4-9A85-0C1205978F47}"/>
    <cellStyle name="Nuovo 9 3 4 2" xfId="13776" xr:uid="{1800BF06-CA0A-4CC3-9E5B-3AF35E3BACCE}"/>
    <cellStyle name="Nuovo 9 3 4 3" xfId="27659" xr:uid="{E4224A23-E464-478C-83AF-9302450CBE66}"/>
    <cellStyle name="Nuovo 9 3 5" xfId="11704" xr:uid="{6A2DF135-10B9-4C7E-B521-C4F25878417F}"/>
    <cellStyle name="Nuovo 9 3 5 2" xfId="27660" xr:uid="{41F0DE39-051D-4F2D-9592-916EC3D6AEAB}"/>
    <cellStyle name="Nuovo 9 3 6" xfId="27661" xr:uid="{4619559F-4414-4921-B469-FDB2C0BFAE27}"/>
    <cellStyle name="Nuovo 9 3 7" xfId="27652" xr:uid="{13F545F3-3DF7-465A-9A30-64A7470C855F}"/>
    <cellStyle name="Nuovo 9 4" xfId="2258" xr:uid="{00000000-0005-0000-0000-0000B2070000}"/>
    <cellStyle name="Nuovo 9 4 2" xfId="2259" xr:uid="{00000000-0005-0000-0000-0000B3070000}"/>
    <cellStyle name="Nuovo 9 4 2 2" xfId="9383" xr:uid="{CA96A9D5-1AB5-4AD7-8DDF-50344E3BAB25}"/>
    <cellStyle name="Nuovo 9 4 2 2 2" xfId="27664" xr:uid="{70BF94BA-6177-4FC6-A1A1-18E5420F8173}"/>
    <cellStyle name="Nuovo 9 4 2 3" xfId="17896" xr:uid="{9D600810-C463-4833-8A30-C3E2A347FB9C}"/>
    <cellStyle name="Nuovo 9 4 2 3 2" xfId="27665" xr:uid="{88F02450-13C5-443C-886D-0B2E250CE01C}"/>
    <cellStyle name="Nuovo 9 4 2 4" xfId="27663" xr:uid="{C42E2B64-03BD-493C-86A5-CD8DB418E1C7}"/>
    <cellStyle name="Nuovo 9 4 2 5" xfId="17509" xr:uid="{85D6197A-3BA3-4D3A-86CC-B530BEE83963}"/>
    <cellStyle name="Nuovo 9 4 3" xfId="9384" xr:uid="{17FC93E2-4433-4334-9790-C955BCC810C8}"/>
    <cellStyle name="Nuovo 9 4 3 2" xfId="27666" xr:uid="{3D53BE0F-D5FF-42CA-8278-94B9156A03CC}"/>
    <cellStyle name="Nuovo 9 4 4" xfId="27667" xr:uid="{BE903DDF-62F1-4DD7-A054-63B493DE1DEE}"/>
    <cellStyle name="Nuovo 9 4 4 2" xfId="49061" xr:uid="{33B61CA9-8F6B-4A2B-A4F4-4803E98CDCF9}"/>
    <cellStyle name="Nuovo 9 4 5" xfId="27668" xr:uid="{BF49F749-5D1E-4DA6-86EB-328CF26A5022}"/>
    <cellStyle name="Nuovo 9 4 6" xfId="27662" xr:uid="{AD935007-C134-4FD9-8755-3434C6CE5DC3}"/>
    <cellStyle name="Nuovo 9 5" xfId="2260" xr:uid="{00000000-0005-0000-0000-0000B4070000}"/>
    <cellStyle name="Nuovo 9 5 2" xfId="27670" xr:uid="{91BF9980-D6B4-47D5-A321-75D480AC808E}"/>
    <cellStyle name="Nuovo 9 5 2 2" xfId="49062" xr:uid="{81376A95-7C74-4FE2-8640-40CF9C5CEEA9}"/>
    <cellStyle name="Nuovo 9 5 3" xfId="27671" xr:uid="{A830C85D-512E-421A-BF11-9F4774ADA09D}"/>
    <cellStyle name="Nuovo 9 5 4" xfId="27669" xr:uid="{920107EA-0EE6-49E4-9401-3140AEC71AC1}"/>
    <cellStyle name="Nuovo 9 6" xfId="4270" xr:uid="{B2F955AB-3A64-4B07-8A37-6CF034E9843C}"/>
    <cellStyle name="Nuovo 9 6 2" xfId="9811" xr:uid="{EEE5CDE6-A5DE-429F-825B-B4F354BFDCCE}"/>
    <cellStyle name="Nuovo 9 6 3" xfId="27672" xr:uid="{092F3D07-5B78-4191-8DF9-662064F7D1F6}"/>
    <cellStyle name="Nuovo 9 7" xfId="27647" xr:uid="{F7A94C74-9947-4B9F-A905-B91477150F94}"/>
    <cellStyle name="Output 2" xfId="964" xr:uid="{00000000-0005-0000-0000-0000B5070000}"/>
    <cellStyle name="Output 2 10" xfId="27673" xr:uid="{B4A5316C-B8EB-4555-8164-0C571BD9D3CC}"/>
    <cellStyle name="Output 2 2" xfId="965" xr:uid="{00000000-0005-0000-0000-0000B6070000}"/>
    <cellStyle name="Output 2 2 2" xfId="2261" xr:uid="{00000000-0005-0000-0000-0000B7070000}"/>
    <cellStyle name="Output 2 2 2 2" xfId="17897" xr:uid="{8B739055-1A53-4099-8163-05127313A930}"/>
    <cellStyle name="Output 2 2 2 3" xfId="27675" xr:uid="{1C1699B2-9D86-42F6-A0C3-508BB537B879}"/>
    <cellStyle name="Output 2 2 3" xfId="17448" xr:uid="{F2069EA7-C603-4499-9D6E-1109C7C7D57A}"/>
    <cellStyle name="Output 2 2 3 2" xfId="27676" xr:uid="{B572F549-F7FC-4988-AD68-D73C030A31B1}"/>
    <cellStyle name="Output 2 2 4" xfId="30246" xr:uid="{00004B08-8F46-4781-B56E-A00A19C09688}"/>
    <cellStyle name="Output 2 2 5" xfId="30247" xr:uid="{712ED15F-3A5F-452D-9181-6E50544F9D6F}"/>
    <cellStyle name="Output 2 2 6" xfId="27674" xr:uid="{D891F4B0-4A13-4E33-AB39-8F16EA9BC7B2}"/>
    <cellStyle name="Output 2 3" xfId="2262" xr:uid="{00000000-0005-0000-0000-0000B8070000}"/>
    <cellStyle name="Output 2 3 2" xfId="17531" xr:uid="{A9AE6497-74AC-4E1A-8C21-EEA68DFEBFFB}"/>
    <cellStyle name="Output 2 3 2 2" xfId="32643" xr:uid="{3B36A3DA-CB4F-4BEE-8112-3308E681B105}"/>
    <cellStyle name="Output 2 3 2 3" xfId="27678" xr:uid="{F03567FE-8D0B-4661-B01E-DEBC713D44BB}"/>
    <cellStyle name="Output 2 3 3" xfId="27679" xr:uid="{A83EA6B0-1456-4F8F-A1CA-DA1B65019619}"/>
    <cellStyle name="Output 2 3 4" xfId="27677" xr:uid="{44825A9C-29C0-4E9C-A166-DB148AE716BC}"/>
    <cellStyle name="Output 2 4" xfId="9385" xr:uid="{93EC471C-D1E6-45C1-A877-D91F4D1625DE}"/>
    <cellStyle name="Output 2 4 2" xfId="27681" xr:uid="{936208DD-2CA2-446B-8EC7-CB8D83440463}"/>
    <cellStyle name="Output 2 4 2 2" xfId="32644" xr:uid="{EE697442-DD93-4789-8A44-B23C1F27BA45}"/>
    <cellStyle name="Output 2 4 3" xfId="27680" xr:uid="{73ED2361-509E-4732-95BF-700A253FB0BF}"/>
    <cellStyle name="Output 2 5" xfId="9386" xr:uid="{3C4B26D0-7F87-45FB-9284-8EC2608F8305}"/>
    <cellStyle name="Output 2 5 2" xfId="27683" xr:uid="{0096DA27-A6E2-4DE9-9E70-3E0EF5149ACA}"/>
    <cellStyle name="Output 2 5 2 2" xfId="32645" xr:uid="{5C6452EB-846E-4130-A77E-2BF50B4173AA}"/>
    <cellStyle name="Output 2 5 3" xfId="27682" xr:uid="{EE5AE400-8C26-492F-9AAC-B09E1F95D8D1}"/>
    <cellStyle name="Output 2 6" xfId="9387" xr:uid="{353B0602-91F9-487E-8DC5-00CBBF45D2B2}"/>
    <cellStyle name="Output 2 6 2" xfId="27685" xr:uid="{76043F6D-7772-40D2-A908-6015FECD941D}"/>
    <cellStyle name="Output 2 6 2 2" xfId="32646" xr:uid="{1F8E50A2-F75F-4D76-801B-7F0D0BE8A497}"/>
    <cellStyle name="Output 2 6 3" xfId="27684" xr:uid="{6B616EA1-5B64-4372-BD0B-07E044C8E332}"/>
    <cellStyle name="Output 2 7" xfId="27686" xr:uid="{EFF44250-009D-488E-871E-33F09165868A}"/>
    <cellStyle name="Output 2 7 2" xfId="27687" xr:uid="{A4F0A6B5-6968-4C95-B51C-6A1979144748}"/>
    <cellStyle name="Output 2 7 2 2" xfId="32647" xr:uid="{45E3FF1E-3389-4FEE-A9B2-5AD3F27BCE59}"/>
    <cellStyle name="Output 2 8" xfId="27688" xr:uid="{6D0E2724-BED5-49D0-90CA-72D597374122}"/>
    <cellStyle name="Output 2 8 2" xfId="32648" xr:uid="{15EFAEC3-15CE-42CF-85DE-E3A092D98E9E}"/>
    <cellStyle name="Output 2 9" xfId="32649" xr:uid="{A17C5775-8FBA-424E-BEF1-925FCC4C2C80}"/>
    <cellStyle name="Output 3" xfId="966" xr:uid="{00000000-0005-0000-0000-0000B9070000}"/>
    <cellStyle name="Output 3 2" xfId="2263" xr:uid="{00000000-0005-0000-0000-0000BA070000}"/>
    <cellStyle name="Output 3 2 2" xfId="4271" xr:uid="{842EFEF2-FB51-42F1-A44C-0AB70BAEADAB}"/>
    <cellStyle name="Output 3 2 2 2" xfId="32650" xr:uid="{C7BF2AC1-11E5-43D2-B1CB-0EC8AFD0C80D}"/>
    <cellStyle name="Output 3 2 2 3" xfId="27691" xr:uid="{BF331789-F34F-4BA1-80CC-3445F1B039C9}"/>
    <cellStyle name="Output 3 2 3" xfId="11084" xr:uid="{F00034A8-0E78-4058-8416-7AF9904162AE}"/>
    <cellStyle name="Output 3 2 3 2" xfId="27692" xr:uid="{778A2C24-1F45-4DF9-BF49-D629A5B494CB}"/>
    <cellStyle name="Output 3 2 4" xfId="27690" xr:uid="{3AF647A0-D093-4CE2-91FD-2732EED7BC7E}"/>
    <cellStyle name="Output 3 3" xfId="8116" xr:uid="{57F1F0CC-4A2D-41D5-8A21-37614D720B26}"/>
    <cellStyle name="Output 3 3 2" xfId="12218" xr:uid="{233153E0-5F2B-4C2B-9E02-B360191477C3}"/>
    <cellStyle name="Output 3 3 2 2" xfId="32651" xr:uid="{AF1AD509-A920-4534-B544-E8628DC50651}"/>
    <cellStyle name="Output 3 3 2 3" xfId="27694" xr:uid="{8050CA66-FEE7-4A38-90E6-0F77201CB0F4}"/>
    <cellStyle name="Output 3 3 3" xfId="12158" xr:uid="{4682F8A9-DEDA-4D2F-8866-694B70FC2959}"/>
    <cellStyle name="Output 3 3 4" xfId="27693" xr:uid="{551981C8-C85F-4F35-B5B4-D0BD992ECB0E}"/>
    <cellStyle name="Output 3 4" xfId="9388" xr:uid="{5393C435-8BFF-495A-B226-0FB8B7AF15BC}"/>
    <cellStyle name="Output 3 4 2" xfId="12446" xr:uid="{11F25D11-02CE-4D4E-8597-1CCFA75CB2CC}"/>
    <cellStyle name="Output 3 4 2 2" xfId="32652" xr:uid="{92F23124-C8A3-4BDB-AEAE-2D158B29937D}"/>
    <cellStyle name="Output 3 4 2 3" xfId="27696" xr:uid="{BE578DF5-6962-4705-BCE4-EF539D01E175}"/>
    <cellStyle name="Output 3 4 3" xfId="11509" xr:uid="{2A2C9D5F-37FB-44B3-B3A9-FB1A54004C1F}"/>
    <cellStyle name="Output 3 4 4" xfId="27695" xr:uid="{89CA48BB-CF99-4724-9534-BE4E71A2ADB8}"/>
    <cellStyle name="Output 3 5" xfId="9389" xr:uid="{615CD562-E0B7-435C-A0F4-14EF804D9A73}"/>
    <cellStyle name="Output 3 5 2" xfId="27698" xr:uid="{B0B0C377-48F1-4EF7-95DB-F269B7997BDB}"/>
    <cellStyle name="Output 3 5 2 2" xfId="32653" xr:uid="{A0D8290C-5F85-486C-B5FA-722B77F933F0}"/>
    <cellStyle name="Output 3 5 3" xfId="27697" xr:uid="{67EA8871-BE16-40BC-BADA-CCBECAA52F73}"/>
    <cellStyle name="Output 3 6" xfId="27699" xr:uid="{C0658130-C138-46C0-B3A0-75EED3963CFC}"/>
    <cellStyle name="Output 3 7" xfId="27700" xr:uid="{478E3B01-99B7-4494-95F6-880D80792769}"/>
    <cellStyle name="Output 3 7 2" xfId="32654" xr:uid="{758893E5-9FBF-48FF-B07A-3C16215768E4}"/>
    <cellStyle name="Output 3 8" xfId="27701" xr:uid="{8EA39E7F-772C-447F-9623-56DA02912085}"/>
    <cellStyle name="Output 3 9" xfId="27689" xr:uid="{DD9CC1DF-EDE7-443E-848E-D2E3760C5F28}"/>
    <cellStyle name="Output 4" xfId="9390" xr:uid="{5098947B-98F9-44DE-8C48-C5F55E8B1A97}"/>
    <cellStyle name="Output 4 2" xfId="18732" xr:uid="{5E17EEC6-B30C-444C-B2E5-88AE9BC758FC}"/>
    <cellStyle name="Output 4 2 2" xfId="32655" xr:uid="{C29B8731-CF5F-49CC-9763-634C50409C1D}"/>
    <cellStyle name="Output 4 2 3" xfId="27703" xr:uid="{01EA4F8F-98BF-4CA3-B485-08C22321CE73}"/>
    <cellStyle name="Output 4 3" xfId="27702" xr:uid="{E8EE22FA-1AAD-4E64-B35E-7B3A097899E0}"/>
    <cellStyle name="Output 5" xfId="27704" xr:uid="{CA9A6EF3-7B7A-48A9-B683-28211D03A5EE}"/>
    <cellStyle name="Output 5 2" xfId="49063" xr:uid="{E3E55C92-4A18-441C-824A-A68587FDBD99}"/>
    <cellStyle name="Overskrift 1 2" xfId="9391" xr:uid="{C4BBF00A-D411-42DF-BECD-E1327E44B242}"/>
    <cellStyle name="Overskrift 1 2 2" xfId="27706" xr:uid="{19B7844E-082F-4954-AA14-6AA0AE3659D2}"/>
    <cellStyle name="Overskrift 1 2 3" xfId="27705" xr:uid="{EB54D256-CA3A-417D-9669-F4F46E0A4335}"/>
    <cellStyle name="Overskrift 2 2" xfId="9392" xr:uid="{7DA990DA-6C0E-47E3-A237-BC989F0E6A4C}"/>
    <cellStyle name="Overskrift 2 2 2" xfId="27708" xr:uid="{1736D9B5-9E89-49D6-A34A-E48FEBDA5512}"/>
    <cellStyle name="Overskrift 2 2 3" xfId="27707" xr:uid="{77FCEB6C-1824-4FFF-97FF-85E4E29F8423}"/>
    <cellStyle name="Overskrift 3 2" xfId="9393" xr:uid="{BCE90DA4-E206-49B4-A21D-A16109281610}"/>
    <cellStyle name="Overskrift 3 2 2" xfId="27710" xr:uid="{42B8B2B4-B36F-47D0-BE4A-4615D3C64FD9}"/>
    <cellStyle name="Overskrift 3 2 3" xfId="27709" xr:uid="{E5882801-6A35-4D01-B2F0-FB355B97EF2F}"/>
    <cellStyle name="Overskrift 4 2" xfId="9394" xr:uid="{6FA85FD2-9FBF-4EA7-ACA8-08920D1C3D4C}"/>
    <cellStyle name="Overskrift 4 2 2" xfId="27712" xr:uid="{64F5D576-0B92-4D6A-9D23-FFE5721ADADA}"/>
    <cellStyle name="Overskrift 4 2 3" xfId="27711" xr:uid="{AD1BAD4F-5A14-4FBA-88FC-ED6FE60CC825}"/>
    <cellStyle name="Percen - Type1" xfId="967" xr:uid="{00000000-0005-0000-0000-0000BB070000}"/>
    <cellStyle name="Percen - Type1 2" xfId="27714" xr:uid="{6D25CB2B-FCC8-411E-833A-AAE1828CE1DE}"/>
    <cellStyle name="Percen - Type1 2 2" xfId="49064" xr:uid="{AB1B82B0-3C6C-4DA4-BFD6-86CC55482383}"/>
    <cellStyle name="Percen - Type1 3" xfId="27713" xr:uid="{470742B4-FE34-4A85-89AE-CDEEB7B912BE}"/>
    <cellStyle name="Percen - Typografi2" xfId="32539" xr:uid="{F9551D31-5599-4D32-B332-931A3D7D29CB}"/>
    <cellStyle name="Percent" xfId="968" builtinId="5"/>
    <cellStyle name="Percent 2" xfId="969" xr:uid="{00000000-0005-0000-0000-0000BD070000}"/>
    <cellStyle name="Percent 2 2" xfId="970" xr:uid="{00000000-0005-0000-0000-0000BE070000}"/>
    <cellStyle name="Percent 2 2 2" xfId="2264" xr:uid="{00000000-0005-0000-0000-0000BF070000}"/>
    <cellStyle name="Percent 2 2 2 2" xfId="27718" xr:uid="{1603782C-3A2A-4BDC-9247-822380EE49F3}"/>
    <cellStyle name="Percent 2 2 2 3" xfId="27717" xr:uid="{47F91B45-7E3E-497F-8101-7D5EC2AFD255}"/>
    <cellStyle name="Percent 2 2 3" xfId="2265" xr:uid="{00000000-0005-0000-0000-0000C0070000}"/>
    <cellStyle name="Percent 2 2 3 2" xfId="2266" xr:uid="{00000000-0005-0000-0000-0000C1070000}"/>
    <cellStyle name="Percent 2 2 3 2 2" xfId="27720" xr:uid="{1D0AF836-6350-45E7-9504-2F6CCA957E6B}"/>
    <cellStyle name="Percent 2 2 3 2 3" xfId="17899" xr:uid="{AB8F17CA-6C93-4042-9B25-84BF339D0A48}"/>
    <cellStyle name="Percent 2 2 3 3" xfId="27721" xr:uid="{363B71D2-693F-4EB6-AFF0-C6C623B18C63}"/>
    <cellStyle name="Percent 2 2 3 4" xfId="27719" xr:uid="{F65E0A3F-242C-479C-8D53-907A457F5961}"/>
    <cellStyle name="Percent 2 2 3 5" xfId="17898" xr:uid="{ED85BF77-1EF0-48E3-93C6-C1E5F957B7CF}"/>
    <cellStyle name="Percent 2 2 4" xfId="2267" xr:uid="{00000000-0005-0000-0000-0000C2070000}"/>
    <cellStyle name="Percent 2 2 4 2" xfId="27723" xr:uid="{7BCD6E89-0CDB-4738-801B-3C3D5596A8B6}"/>
    <cellStyle name="Percent 2 2 4 3" xfId="27722" xr:uid="{9D7A693B-BCE6-4D88-81DE-A2E9618C4422}"/>
    <cellStyle name="Percent 2 2 4 4" xfId="49065" xr:uid="{6F08C67A-66B3-4ED9-83D8-EA32DF848898}"/>
    <cellStyle name="Percent 2 2 4 5" xfId="17900" xr:uid="{C3911246-535A-431A-B406-CFC1A49C56F7}"/>
    <cellStyle name="Percent 2 2 5" xfId="27724" xr:uid="{B2500E94-12C0-4716-B4DF-D8265B8B6E57}"/>
    <cellStyle name="Percent 2 2 6" xfId="27716" xr:uid="{FE653C7B-A903-4CB0-B6BC-12E6BF311AD4}"/>
    <cellStyle name="Percent 2 3" xfId="2268" xr:uid="{00000000-0005-0000-0000-0000C3070000}"/>
    <cellStyle name="Percent 2 3 2" xfId="2269" xr:uid="{00000000-0005-0000-0000-0000C4070000}"/>
    <cellStyle name="Percent 2 3 2 2" xfId="27726" xr:uid="{34CAABEF-675B-45AA-8191-9E1BFDA2B092}"/>
    <cellStyle name="Percent 2 3 2 3" xfId="17902" xr:uid="{42FB0373-5061-4501-9F48-EE764AE13328}"/>
    <cellStyle name="Percent 2 3 3" xfId="13300" xr:uid="{65B07532-9395-4F7D-945E-6591EE0A9D31}"/>
    <cellStyle name="Percent 2 3 3 2" xfId="27727" xr:uid="{4D818168-A6F0-4CE5-BD15-0EE73731EB77}"/>
    <cellStyle name="Percent 2 3 4" xfId="27725" xr:uid="{B630BECD-28D0-4674-B5E5-71DA6C04E1D9}"/>
    <cellStyle name="Percent 2 3 5" xfId="17901" xr:uid="{F3A6FA86-62F0-4C11-8942-5381ED1EF21C}"/>
    <cellStyle name="Percent 2 4" xfId="30248" xr:uid="{046C8E6F-2BB8-4BBD-BBA6-DA88F1C783C1}"/>
    <cellStyle name="Percent 2 5" xfId="27715" xr:uid="{95AFFCEA-9892-4812-B259-CBD52E258C41}"/>
    <cellStyle name="Percent 3" xfId="971" xr:uid="{00000000-0005-0000-0000-0000C5070000}"/>
    <cellStyle name="Percent 3 2" xfId="972" xr:uid="{00000000-0005-0000-0000-0000C6070000}"/>
    <cellStyle name="Percent 3 2 2" xfId="11511" xr:uid="{4E9B57C0-16BA-4FA7-8132-95426D7FD093}"/>
    <cellStyle name="Percent 3 2 2 2" xfId="27730" xr:uid="{B1948FE0-5276-4EFD-9171-6EE1BEC3BFB4}"/>
    <cellStyle name="Percent 3 2 3" xfId="12159" xr:uid="{539880DB-BE06-44B8-801E-695F28F0A134}"/>
    <cellStyle name="Percent 3 2 3 2" xfId="27731" xr:uid="{2565C4BC-F51D-430A-96D1-F261F3966EEB}"/>
    <cellStyle name="Percent 3 2 4" xfId="11164" xr:uid="{883B2242-0597-4AA0-B142-754870636910}"/>
    <cellStyle name="Percent 3 2 5" xfId="27729" xr:uid="{4CED21B9-5A5B-4AB2-9077-CC6E61F9C534}"/>
    <cellStyle name="Percent 3 3" xfId="973" xr:uid="{00000000-0005-0000-0000-0000C7070000}"/>
    <cellStyle name="Percent 3 3 2" xfId="2270" xr:uid="{00000000-0005-0000-0000-0000C8070000}"/>
    <cellStyle name="Percent 3 3 2 2" xfId="2271" xr:uid="{00000000-0005-0000-0000-0000C9070000}"/>
    <cellStyle name="Percent 3 3 2 2 2" xfId="27734" xr:uid="{ADE7378E-B594-42F2-AE54-0C8DDD18A289}"/>
    <cellStyle name="Percent 3 3 2 3" xfId="11085" xr:uid="{31D7D7C9-D507-46AC-86D3-A6147F4F5889}"/>
    <cellStyle name="Percent 3 3 2 3 2" xfId="27735" xr:uid="{C314EF37-7FF5-437B-8508-C51C9CB3F7DC}"/>
    <cellStyle name="Percent 3 3 2 4" xfId="27733" xr:uid="{696D3D40-ECA0-4575-AF90-9533A8D773A5}"/>
    <cellStyle name="Percent 3 3 3" xfId="4272" xr:uid="{D1A584F2-1BB1-4950-830C-9E5C2F5A2B90}"/>
    <cellStyle name="Percent 3 3 3 2" xfId="9395" xr:uid="{D3F580B4-CDD2-49DA-98E2-FA0A441E70CA}"/>
    <cellStyle name="Percent 3 3 3 2 2" xfId="27737" xr:uid="{A6D1DCB7-DB36-4C46-960D-3D02D8E2FFF3}"/>
    <cellStyle name="Percent 3 3 3 3" xfId="27738" xr:uid="{D86D92BF-7EAA-42F4-8FC5-12303AB5B6A6}"/>
    <cellStyle name="Percent 3 3 3 3 2" xfId="49066" xr:uid="{6AE06097-0F67-45AA-B5AA-45D17C0253D9}"/>
    <cellStyle name="Percent 3 3 3 4" xfId="27736" xr:uid="{1FF697A4-4959-44DC-A598-52B8B7FFB1C2}"/>
    <cellStyle name="Percent 3 3 4" xfId="4273" xr:uid="{768DAE1E-6339-4415-87C6-0250EB247B4A}"/>
    <cellStyle name="Percent 3 3 4 2" xfId="13777" xr:uid="{505F4A30-5098-487D-A1EA-8B7255EB0CE6}"/>
    <cellStyle name="Percent 3 3 4 3" xfId="27739" xr:uid="{B051AFB5-A97E-459B-B47B-19E6FB374641}"/>
    <cellStyle name="Percent 3 3 5" xfId="12427" xr:uid="{D13256ED-B215-48E0-BA2C-483C88C2087D}"/>
    <cellStyle name="Percent 3 3 5 2" xfId="27740" xr:uid="{A31D0947-E8BA-4296-A642-A20CCFDA3981}"/>
    <cellStyle name="Percent 3 3 6" xfId="27741" xr:uid="{8EE74358-F664-42BF-9E39-0C38A25B589E}"/>
    <cellStyle name="Percent 3 3 7" xfId="27732" xr:uid="{058D2107-610E-40C7-8F33-DE1F4C1C0313}"/>
    <cellStyle name="Percent 3 4" xfId="2272" xr:uid="{00000000-0005-0000-0000-0000CA070000}"/>
    <cellStyle name="Percent 3 4 2" xfId="2273" xr:uid="{00000000-0005-0000-0000-0000CB070000}"/>
    <cellStyle name="Percent 3 4 2 2" xfId="27743" xr:uid="{A57A18F9-E482-4DFD-B31E-AECB54A39F57}"/>
    <cellStyle name="Percent 3 4 3" xfId="11086" xr:uid="{982F4ADC-D14D-4340-B517-3AF191C029E2}"/>
    <cellStyle name="Percent 3 4 3 2" xfId="27744" xr:uid="{9D023BB5-3EB5-4FCF-A1C4-CCE682CCE2C0}"/>
    <cellStyle name="Percent 3 4 4" xfId="27742" xr:uid="{F5A84958-C06B-4E4F-91CE-A56A7D8C0D32}"/>
    <cellStyle name="Percent 3 5" xfId="9396" xr:uid="{DA934755-0C2A-491D-B492-24B3653942A7}"/>
    <cellStyle name="Percent 3 5 2" xfId="9397" xr:uid="{CE8EDD5D-396F-4C4F-AD6B-16E9C9B0B4D2}"/>
    <cellStyle name="Percent 3 5 2 2" xfId="27746" xr:uid="{D9850FB3-C168-4FAA-B746-99BFE0B9A60E}"/>
    <cellStyle name="Percent 3 5 3" xfId="27745" xr:uid="{5C93AD72-B6E4-4530-9123-2BD16BB263FE}"/>
    <cellStyle name="Percent 3 6" xfId="11510" xr:uid="{1CDA535E-C17E-42AB-BE54-E5D9B9A1019E}"/>
    <cellStyle name="Percent 3 6 2" xfId="27747" xr:uid="{2C500EF3-5FC4-4E1F-8D91-709A64B7E931}"/>
    <cellStyle name="Percent 3 7" xfId="27748" xr:uid="{26C928AB-A142-48C7-82AC-244CD1463365}"/>
    <cellStyle name="Percent 3 8" xfId="27728" xr:uid="{E8E9277F-4DB3-4FA3-808E-2FF0AC4CFD11}"/>
    <cellStyle name="Percent 4" xfId="2274" xr:uid="{00000000-0005-0000-0000-0000CC070000}"/>
    <cellStyle name="Percent 4 2" xfId="9398" xr:uid="{AC448A16-85D5-4B00-B34A-6DE7680CCDC9}"/>
    <cellStyle name="Percent 4 2 2" xfId="9399" xr:uid="{8764FDF8-B970-4560-B4E6-2E6BDC3853F1}"/>
    <cellStyle name="Percent 4 2 2 2" xfId="27751" xr:uid="{0286771D-AB30-4E55-B69A-628C885A5716}"/>
    <cellStyle name="Percent 4 2 3" xfId="27750" xr:uid="{A72CE676-4BE1-4653-BE25-C108E98EC376}"/>
    <cellStyle name="Percent 4 3" xfId="9400" xr:uid="{051E3665-9480-43D9-8A64-289BB58FAE1E}"/>
    <cellStyle name="Percent 4 3 2" xfId="27752" xr:uid="{A4AB53DD-6078-4ADC-9983-CA5C8563BA31}"/>
    <cellStyle name="Percent 4 4" xfId="27753" xr:uid="{8EE0306C-542C-4DE5-9990-570A90999077}"/>
    <cellStyle name="Percent 4 4 2" xfId="49067" xr:uid="{92F09C57-2BD4-46F7-B8D4-CE76FA663F51}"/>
    <cellStyle name="Percent 4 5" xfId="27754" xr:uid="{ADCA7C95-D29F-4606-8389-B16FFF61026D}"/>
    <cellStyle name="Percent 4 6" xfId="27749" xr:uid="{7FF4F6BD-6A2D-499A-AB45-EE5FE64E02E7}"/>
    <cellStyle name="Percent 5" xfId="2275" xr:uid="{00000000-0005-0000-0000-0000CD070000}"/>
    <cellStyle name="Percent 5 2" xfId="27756" xr:uid="{7D72901B-5DF5-4584-9C67-D8066E95518E}"/>
    <cellStyle name="Percent 5 3" xfId="27757" xr:uid="{2454F303-D07A-4223-82BA-6133B189707C}"/>
    <cellStyle name="Percent 5 3 2" xfId="49068" xr:uid="{C61693DD-5BBE-49AB-97E4-E56B94C8557A}"/>
    <cellStyle name="Percent 5 4" xfId="27758" xr:uid="{E4B903F6-2811-434D-B410-08EEEAED0DD6}"/>
    <cellStyle name="Percent 5 5" xfId="27755" xr:uid="{1B308EFA-64B1-4C40-A6C4-44B40FC67E77}"/>
    <cellStyle name="Percent 6" xfId="8117" xr:uid="{C8511529-987B-4BFF-BC10-6510C43BA0D9}"/>
    <cellStyle name="Percent 6 2" xfId="9880" xr:uid="{B37F5C39-5884-452B-A311-1E1899001022}"/>
    <cellStyle name="Percent 6 2 2" xfId="10306" xr:uid="{20321F0F-7AD6-4D34-8F27-D332033E9246}"/>
    <cellStyle name="Percent 6 2 2 2" xfId="12759" xr:uid="{BF31CA1E-55B4-4DBF-886C-247BAFFC7CA9}"/>
    <cellStyle name="Percent 6 2 2 2 2" xfId="47618" xr:uid="{7D2B9A00-1C8A-4B07-A863-CDB044CF4D5B}"/>
    <cellStyle name="Percent 6 2 2 3" xfId="18889" xr:uid="{98C29231-2ED8-4C95-8D14-CAA36A1ED621}"/>
    <cellStyle name="Percent 6 2 3" xfId="12458" xr:uid="{AEB4ED12-B7C4-4FEF-8BC7-94CF52B52238}"/>
    <cellStyle name="Percent 6 2 3 2" xfId="24754" xr:uid="{C7C9A1DE-20A4-40B0-90A1-41A4E84B6082}"/>
    <cellStyle name="Percent 6 2 3 3" xfId="27760" xr:uid="{E9BEC8EE-23B7-4DE6-9396-90D88F7BDD7A}"/>
    <cellStyle name="Percent 6 2 4" xfId="49069" xr:uid="{D5D0D132-E203-4EAA-856A-5DD66E7EC11C}"/>
    <cellStyle name="Percent 6 2 5" xfId="18740" xr:uid="{4B7F6932-A8E8-4531-BFD6-A47D887713E7}"/>
    <cellStyle name="Percent 6 3" xfId="10073" xr:uid="{5DB07C07-C9E6-4DB7-8F66-FD0D93CFCCE1}"/>
    <cellStyle name="Percent 6 3 2" xfId="10385" xr:uid="{847BC0C2-7BDB-4308-99B4-215E89D47194}"/>
    <cellStyle name="Percent 6 3 2 2" xfId="12838" xr:uid="{9E7B7015-5FEC-499E-A56A-9CB816660DF9}"/>
    <cellStyle name="Percent 6 3 2 2 2" xfId="32534" xr:uid="{2BA08635-588B-468A-833F-704DF1981205}"/>
    <cellStyle name="Percent 6 3 2 3" xfId="18930" xr:uid="{F21C418C-760F-4DF2-8CC9-5B3848B0E3E1}"/>
    <cellStyle name="Percent 6 3 3" xfId="12530" xr:uid="{8EAC079D-82F3-4A67-8B96-69B32112514B}"/>
    <cellStyle name="Percent 6 3 3 2" xfId="25085" xr:uid="{DA8130F5-F759-4799-B4CD-F0E99586F0AA}"/>
    <cellStyle name="Percent 6 3 4" xfId="18774" xr:uid="{70809FAF-CDE9-4133-B723-7A973A357202}"/>
    <cellStyle name="Percent 6 4" xfId="10151" xr:uid="{E6208570-B0C8-4687-8EBD-1E44C56C5152}"/>
    <cellStyle name="Percent 6 4 2" xfId="10465" xr:uid="{C4EA1FDD-F7AC-44CD-9DE1-6338AAA0B23F}"/>
    <cellStyle name="Percent 6 4 2 2" xfId="12918" xr:uid="{FADD32D9-8E87-4A5E-91A0-2AF3F5092F97}"/>
    <cellStyle name="Percent 6 4 2 2 2" xfId="47475" xr:uid="{C560D79F-FC40-4411-B15B-048F76C22759}"/>
    <cellStyle name="Percent 6 4 2 3" xfId="18972" xr:uid="{8FE19DE2-DB20-4812-B4AD-16DD9421C3D1}"/>
    <cellStyle name="Percent 6 4 3" xfId="12605" xr:uid="{6D74C599-BBA3-4836-A294-2A5A7E1CADB6}"/>
    <cellStyle name="Percent 6 4 3 2" xfId="48395" xr:uid="{9621765A-1CA3-4087-82F6-7B4BB3F25F1E}"/>
    <cellStyle name="Percent 6 4 4" xfId="18811" xr:uid="{6B020573-BAE7-414E-BDBA-7FADD98A7BAD}"/>
    <cellStyle name="Percent 6 5" xfId="10231" xr:uid="{A0316D6C-EF89-43FE-8110-D49011F8B244}"/>
    <cellStyle name="Percent 6 5 2" xfId="12684" xr:uid="{E78F6429-25DC-47E1-92C1-ADA04D1B6C88}"/>
    <cellStyle name="Percent 6 5 2 2" xfId="48532" xr:uid="{AD1DFC25-B815-4D9C-A76F-2910A9353336}"/>
    <cellStyle name="Percent 6 5 3" xfId="18852" xr:uid="{3CCC7CCB-CC94-4A77-B789-E6909A279C23}"/>
    <cellStyle name="Percent 6 6" xfId="10545" xr:uid="{B324368E-AEF1-4447-AB80-7DC6B6A388E1}"/>
    <cellStyle name="Percent 6 6 2" xfId="12998" xr:uid="{25760ADC-135B-4C85-BB25-537812358825}"/>
    <cellStyle name="Percent 6 6 2 2" xfId="25034" xr:uid="{5D66B2DB-776C-4F46-B03C-2CA44DFBCA25}"/>
    <cellStyle name="Percent 6 6 3" xfId="19014" xr:uid="{6C0649D8-4467-48D2-BD3D-AFB820CE2C46}"/>
    <cellStyle name="Percent 6 7" xfId="12160" xr:uid="{FA0222FA-67A3-4FD1-9C8B-C861F019A9CC}"/>
    <cellStyle name="Percent 6 7 2" xfId="24488" xr:uid="{50FDB580-64B8-4266-8906-4BC4818F2137}"/>
    <cellStyle name="Percent 6 7 3" xfId="27759" xr:uid="{DDB723CB-82C3-4949-A289-22008D35DDDF}"/>
    <cellStyle name="Percent 6 8" xfId="16991" xr:uid="{EFC59F28-4B92-4B62-BE59-F88FBEA9E43F}"/>
    <cellStyle name="Percent 7" xfId="6975" xr:uid="{6E87AF34-1957-459C-884F-8CA50C9A08F1}"/>
    <cellStyle name="Percent 7 2" xfId="27762" xr:uid="{594FDE7B-9537-43D8-B2E5-04AB0EC9D1C3}"/>
    <cellStyle name="Percent 7 2 2" xfId="49070" xr:uid="{567F5ED4-063E-43C9-9391-B0023118E512}"/>
    <cellStyle name="Percent 7 3" xfId="27761" xr:uid="{6863A40A-B750-4A11-92D2-AA52646CE72A}"/>
    <cellStyle name="Percent 7 4" xfId="47706" xr:uid="{BBCB8D8A-AA0E-4352-8A32-F1178074CC8C}"/>
    <cellStyle name="Percent 7 5" xfId="16992" xr:uid="{83157398-91C7-4628-8A39-C0FB60C838EC}"/>
    <cellStyle name="Percent 7 6" xfId="10613" xr:uid="{A0603173-128F-454B-A33A-82A81955209E}"/>
    <cellStyle name="Percent 8" xfId="30230" xr:uid="{FB5291AC-6B2E-475F-A1FF-AFCE66F8721A}"/>
    <cellStyle name="Percent 9" xfId="55820" xr:uid="{36A7D34F-281D-4F5E-8C96-C4B4766581E8}"/>
    <cellStyle name="Percentuale 10" xfId="974" xr:uid="{00000000-0005-0000-0000-0000CE070000}"/>
    <cellStyle name="Percentuale 10 2" xfId="975" xr:uid="{00000000-0005-0000-0000-0000CF070000}"/>
    <cellStyle name="Percentuale 10 2 2" xfId="4274" xr:uid="{39BCB8B2-FCB9-4C82-9A5D-BE1D03B8E592}"/>
    <cellStyle name="Percentuale 10 2 2 2" xfId="13563" xr:uid="{30C8BCBD-A8B1-4179-B95A-1D56504746F4}"/>
    <cellStyle name="Percentuale 10 2 2 3" xfId="27765" xr:uid="{D426330B-20C3-48F1-BDB3-EC44CAF43DB8}"/>
    <cellStyle name="Percentuale 10 2 3" xfId="13301" xr:uid="{494E0E9A-C0E7-48E6-94D7-616CC49FC8E0}"/>
    <cellStyle name="Percentuale 10 2 3 2" xfId="27766" xr:uid="{2ECE37D3-B997-4DA4-A7C4-4BF918A7E61A}"/>
    <cellStyle name="Percentuale 10 2 4" xfId="27767" xr:uid="{4F1D431C-D708-4775-B8BE-E96E43C6A812}"/>
    <cellStyle name="Percentuale 10 2 5" xfId="27764" xr:uid="{1E7C4B00-ADA3-4A5D-890D-64388A005D05}"/>
    <cellStyle name="Percentuale 10 3" xfId="976" xr:uid="{00000000-0005-0000-0000-0000D0070000}"/>
    <cellStyle name="Percentuale 10 3 2" xfId="977" xr:uid="{00000000-0005-0000-0000-0000D1070000}"/>
    <cellStyle name="Percentuale 10 3 2 2" xfId="2276" xr:uid="{00000000-0005-0000-0000-0000D2070000}"/>
    <cellStyle name="Percentuale 10 3 2 2 2" xfId="27770" xr:uid="{E4833DAB-807A-4F52-AA9B-68C2FD56AD72}"/>
    <cellStyle name="Percentuale 10 3 2 3" xfId="8118" xr:uid="{D3715449-5CD2-4B88-A968-735858F9E45A}"/>
    <cellStyle name="Percentuale 10 3 2 3 2" xfId="14117" xr:uid="{920C0097-3945-4921-ACF9-ED1AEA3DEE22}"/>
    <cellStyle name="Percentuale 10 3 2 3 3" xfId="27771" xr:uid="{B786D9E4-A95D-4CC4-9D48-BB3CB7B86897}"/>
    <cellStyle name="Percentuale 10 3 2 4" xfId="27769" xr:uid="{27768C39-304F-4925-A895-A77F1EE768A9}"/>
    <cellStyle name="Percentuale 10 3 3" xfId="4275" xr:uid="{56DC984E-2C46-4C9E-B3FC-C485EF4F5400}"/>
    <cellStyle name="Percentuale 10 3 3 2" xfId="9401" xr:uid="{4F6588F9-5D31-44A3-B5B4-1018422CF6A8}"/>
    <cellStyle name="Percentuale 10 3 3 2 2" xfId="27773" xr:uid="{08459EA5-2D02-47E2-AED3-E73700F2FEF0}"/>
    <cellStyle name="Percentuale 10 3 3 3" xfId="27774" xr:uid="{2F5CAA90-1FA8-431E-9CEA-0BA8C67A34A1}"/>
    <cellStyle name="Percentuale 10 3 3 3 2" xfId="49071" xr:uid="{B088AEA8-6752-40A7-B2EE-B235F41191EE}"/>
    <cellStyle name="Percentuale 10 3 3 4" xfId="27772" xr:uid="{6C54B00A-673D-4915-B16E-B602AD494DAB}"/>
    <cellStyle name="Percentuale 10 3 4" xfId="4276" xr:uid="{764F49AA-8220-4A6F-A3C9-EDBB7EE07980}"/>
    <cellStyle name="Percentuale 10 3 4 2" xfId="13778" xr:uid="{2A69BC9B-57E6-4C7B-9AA9-7575EA413578}"/>
    <cellStyle name="Percentuale 10 3 4 3" xfId="27775" xr:uid="{B2D95A10-3112-4CDD-B318-8EB6046E8901}"/>
    <cellStyle name="Percentuale 10 3 5" xfId="12297" xr:uid="{F6AD2B49-5702-47DB-A7ED-0A061215D432}"/>
    <cellStyle name="Percentuale 10 3 5 2" xfId="27776" xr:uid="{CDE44E16-08CE-4883-AB17-0914A04DF1A0}"/>
    <cellStyle name="Percentuale 10 3 6" xfId="27777" xr:uid="{F2891348-3956-4AAF-8CA2-F1077522A56B}"/>
    <cellStyle name="Percentuale 10 3 7" xfId="27768" xr:uid="{B01ADFD8-D88F-469B-B88E-0B841F31001E}"/>
    <cellStyle name="Percentuale 10 4" xfId="2277" xr:uid="{00000000-0005-0000-0000-0000D3070000}"/>
    <cellStyle name="Percentuale 10 4 2" xfId="2278" xr:uid="{00000000-0005-0000-0000-0000D4070000}"/>
    <cellStyle name="Percentuale 10 4 2 2" xfId="9402" xr:uid="{95AD5EB7-9C57-4DA7-8098-3D575DF2E9C7}"/>
    <cellStyle name="Percentuale 10 4 2 2 2" xfId="27780" xr:uid="{ED4643C2-08C1-4031-AA9E-368E13CE1753}"/>
    <cellStyle name="Percentuale 10 4 2 3" xfId="17903" xr:uid="{06862291-ECF4-4069-8668-898B32947290}"/>
    <cellStyle name="Percentuale 10 4 2 3 2" xfId="27781" xr:uid="{EAA924AB-DBBE-4CC5-B492-96B88B3E3C7A}"/>
    <cellStyle name="Percentuale 10 4 2 4" xfId="27779" xr:uid="{6DDEC687-DB32-4342-AD2A-914BA96523AE}"/>
    <cellStyle name="Percentuale 10 4 2 5" xfId="17510" xr:uid="{8CD40204-7339-4D71-BB6D-87F2709FEBF1}"/>
    <cellStyle name="Percentuale 10 4 3" xfId="9403" xr:uid="{4A1D72D5-3EFF-435D-BC74-60890B719131}"/>
    <cellStyle name="Percentuale 10 4 3 2" xfId="27782" xr:uid="{FF1D2F33-3BEC-4592-BD8E-9B0E96B8FD94}"/>
    <cellStyle name="Percentuale 10 4 4" xfId="27783" xr:uid="{5C91D820-B8A9-4E13-830B-F88B7DBFAE86}"/>
    <cellStyle name="Percentuale 10 4 4 2" xfId="49072" xr:uid="{6A54C59C-EA2C-434F-8B5B-1E2746877D25}"/>
    <cellStyle name="Percentuale 10 4 5" xfId="27784" xr:uid="{D19B35E2-0A4F-47CE-BF08-ABB6DC121294}"/>
    <cellStyle name="Percentuale 10 4 6" xfId="27778" xr:uid="{25BCF4DD-544B-4367-94B9-FBF424ACF5E7}"/>
    <cellStyle name="Percentuale 10 5" xfId="2279" xr:uid="{00000000-0005-0000-0000-0000D5070000}"/>
    <cellStyle name="Percentuale 10 5 2" xfId="27786" xr:uid="{5BF58E12-34C8-475E-A971-60DE3F520D14}"/>
    <cellStyle name="Percentuale 10 5 2 2" xfId="49073" xr:uid="{8F71E999-930D-41E9-A592-4CB02EC9E859}"/>
    <cellStyle name="Percentuale 10 5 3" xfId="27787" xr:uid="{1D25A9C6-5154-4DAC-8EE9-1E30ED2F133B}"/>
    <cellStyle name="Percentuale 10 5 4" xfId="27785" xr:uid="{C6DBF7A6-005D-4760-89F4-E20987738ED9}"/>
    <cellStyle name="Percentuale 10 6" xfId="4277" xr:uid="{A028B1D7-AA1A-466E-9AE8-1E4FB82CCB4B}"/>
    <cellStyle name="Percentuale 10 6 2" xfId="9812" xr:uid="{F31AFCBA-2AE5-45AF-A625-88757E8DDF9B}"/>
    <cellStyle name="Percentuale 10 6 3" xfId="27788" xr:uid="{3C52B29F-3382-4F30-936F-94E7610C2463}"/>
    <cellStyle name="Percentuale 10 7" xfId="27763" xr:uid="{E8B2DD8B-B6BA-40B2-ACE7-70AA8DD77936}"/>
    <cellStyle name="Percentuale 11" xfId="978" xr:uid="{00000000-0005-0000-0000-0000D6070000}"/>
    <cellStyle name="Percentuale 11 2" xfId="979" xr:uid="{00000000-0005-0000-0000-0000D7070000}"/>
    <cellStyle name="Percentuale 11 2 2" xfId="4278" xr:uid="{5D1BD082-A620-4A4A-9176-08B178CC8C13}"/>
    <cellStyle name="Percentuale 11 2 2 2" xfId="13564" xr:uid="{24494623-2C94-491B-AE4C-86BE1913DA26}"/>
    <cellStyle name="Percentuale 11 2 2 3" xfId="27791" xr:uid="{DDCB89CC-0786-4A3E-88A0-45D785488493}"/>
    <cellStyle name="Percentuale 11 2 3" xfId="13302" xr:uid="{B8746BD9-8B84-4C22-AA4A-1602CD1271C6}"/>
    <cellStyle name="Percentuale 11 2 3 2" xfId="27792" xr:uid="{A6F36DB9-58F7-44F4-8D7B-9F9B67942C10}"/>
    <cellStyle name="Percentuale 11 2 4" xfId="27793" xr:uid="{6072DEE9-F840-4F2A-8433-92CE3C6DDA3C}"/>
    <cellStyle name="Percentuale 11 2 5" xfId="27790" xr:uid="{27E1F50A-9AE9-4EFF-ADD6-319287485879}"/>
    <cellStyle name="Percentuale 11 3" xfId="980" xr:uid="{00000000-0005-0000-0000-0000D8070000}"/>
    <cellStyle name="Percentuale 11 3 2" xfId="981" xr:uid="{00000000-0005-0000-0000-0000D9070000}"/>
    <cellStyle name="Percentuale 11 3 2 2" xfId="2280" xr:uid="{00000000-0005-0000-0000-0000DA070000}"/>
    <cellStyle name="Percentuale 11 3 2 2 2" xfId="27796" xr:uid="{25456894-FE2E-4CB2-89F7-C3B9982FED7D}"/>
    <cellStyle name="Percentuale 11 3 2 3" xfId="8119" xr:uid="{533672B1-94FD-4BA3-8347-91518E8C2502}"/>
    <cellStyle name="Percentuale 11 3 2 3 2" xfId="14118" xr:uid="{EEAFEFB5-AA5D-4F7C-A7DA-7B9CED0C7992}"/>
    <cellStyle name="Percentuale 11 3 2 3 3" xfId="27797" xr:uid="{E63A7CD0-5D4C-4D34-A2D3-EA981B95E10F}"/>
    <cellStyle name="Percentuale 11 3 2 4" xfId="27795" xr:uid="{131A634B-7567-4F9D-BFFA-753F80A6F839}"/>
    <cellStyle name="Percentuale 11 3 3" xfId="4279" xr:uid="{6C65DE3F-381D-444B-86BC-9FA9F8266DA0}"/>
    <cellStyle name="Percentuale 11 3 3 2" xfId="9404" xr:uid="{70E5C9B0-F266-4826-B65E-C4B8ABE75FD9}"/>
    <cellStyle name="Percentuale 11 3 3 2 2" xfId="27799" xr:uid="{27F5DB34-2EF4-4310-8269-580FF9AD09F5}"/>
    <cellStyle name="Percentuale 11 3 3 3" xfId="27800" xr:uid="{E39CA28C-9358-4E67-9EB8-83D49D721A03}"/>
    <cellStyle name="Percentuale 11 3 3 3 2" xfId="49074" xr:uid="{94A11AAC-77F1-4D98-B2F7-C0E2AC0C551C}"/>
    <cellStyle name="Percentuale 11 3 3 4" xfId="27798" xr:uid="{BE31B869-FC7A-4CE9-9FF7-456E76A7069B}"/>
    <cellStyle name="Percentuale 11 3 4" xfId="4280" xr:uid="{40615840-9947-4D02-8B04-B0A9B2DD6E0C}"/>
    <cellStyle name="Percentuale 11 3 4 2" xfId="13779" xr:uid="{6ABD97BC-8125-4D7C-A058-EA975B93C5B7}"/>
    <cellStyle name="Percentuale 11 3 4 3" xfId="27801" xr:uid="{E1092948-2B61-4E2B-A6E1-1F5989F765DD}"/>
    <cellStyle name="Percentuale 11 3 5" xfId="12296" xr:uid="{2049CD81-40CA-4947-BFC6-6DFEE0F5AA49}"/>
    <cellStyle name="Percentuale 11 3 5 2" xfId="27802" xr:uid="{24599897-5149-43CF-B969-E9EF039207FB}"/>
    <cellStyle name="Percentuale 11 3 6" xfId="27803" xr:uid="{77928F95-E76B-414A-A4D6-914F483449F9}"/>
    <cellStyle name="Percentuale 11 3 7" xfId="27794" xr:uid="{46D9E6CA-BFC5-4250-B186-A1B01FA92BDB}"/>
    <cellStyle name="Percentuale 11 4" xfId="2281" xr:uid="{00000000-0005-0000-0000-0000DB070000}"/>
    <cellStyle name="Percentuale 11 4 2" xfId="2282" xr:uid="{00000000-0005-0000-0000-0000DC070000}"/>
    <cellStyle name="Percentuale 11 4 2 2" xfId="9405" xr:uid="{C40DBA66-407C-4C30-9DFF-816516C41EC6}"/>
    <cellStyle name="Percentuale 11 4 2 2 2" xfId="27806" xr:uid="{6A45C564-CE19-43C6-9366-5ECAB8162F2E}"/>
    <cellStyle name="Percentuale 11 4 2 3" xfId="17904" xr:uid="{7E90B65C-EE84-4B61-9201-B654986DC171}"/>
    <cellStyle name="Percentuale 11 4 2 3 2" xfId="27807" xr:uid="{92F10991-92B2-410A-8AD1-5AA37CECF115}"/>
    <cellStyle name="Percentuale 11 4 2 4" xfId="27805" xr:uid="{3B1D9F61-4194-4F05-B879-032A30F08DE8}"/>
    <cellStyle name="Percentuale 11 4 2 5" xfId="17511" xr:uid="{DB9463D0-F71D-4128-A05D-B2EA505322A5}"/>
    <cellStyle name="Percentuale 11 4 3" xfId="9406" xr:uid="{E334CCC8-F2C1-4035-BF95-11CFCF77EA61}"/>
    <cellStyle name="Percentuale 11 4 3 2" xfId="27808" xr:uid="{227B8E52-50FD-4EB9-ADAB-D153F7DFBBB2}"/>
    <cellStyle name="Percentuale 11 4 4" xfId="27809" xr:uid="{516A494A-14B6-4912-8FCF-7C52A39DF108}"/>
    <cellStyle name="Percentuale 11 4 4 2" xfId="49075" xr:uid="{9E25C0A5-E9C8-45AC-82F4-5829EAD57D59}"/>
    <cellStyle name="Percentuale 11 4 5" xfId="27810" xr:uid="{6EFF4EA8-EE53-4003-89AA-B7985A4A0C72}"/>
    <cellStyle name="Percentuale 11 4 6" xfId="27804" xr:uid="{2241438B-F924-4714-B250-FE26DDAB0A30}"/>
    <cellStyle name="Percentuale 11 5" xfId="2283" xr:uid="{00000000-0005-0000-0000-0000DD070000}"/>
    <cellStyle name="Percentuale 11 5 2" xfId="27812" xr:uid="{7F1B9469-A053-4566-B508-123BD82C784B}"/>
    <cellStyle name="Percentuale 11 5 2 2" xfId="49076" xr:uid="{9F5FC815-B2CE-405E-97CC-BF71C7F38F2C}"/>
    <cellStyle name="Percentuale 11 5 3" xfId="27813" xr:uid="{D2C7D3A9-8A9A-4B2C-8119-C425705F3173}"/>
    <cellStyle name="Percentuale 11 5 4" xfId="27811" xr:uid="{4C549969-A79A-4BFD-830A-CF7F4A8A20BF}"/>
    <cellStyle name="Percentuale 11 6" xfId="4281" xr:uid="{E4A69DDD-E4A7-47EC-8803-46270AE48339}"/>
    <cellStyle name="Percentuale 11 6 2" xfId="9813" xr:uid="{2334840E-9E35-46EA-A0AC-0AD9625BC37E}"/>
    <cellStyle name="Percentuale 11 6 3" xfId="27814" xr:uid="{1809B92D-CC8C-4CA1-A4C6-E2EFBD9C3095}"/>
    <cellStyle name="Percentuale 11 7" xfId="27789" xr:uid="{7A8DEAC7-C5E0-4463-9534-FF2929412833}"/>
    <cellStyle name="Percentuale 12" xfId="982" xr:uid="{00000000-0005-0000-0000-0000DE070000}"/>
    <cellStyle name="Percentuale 12 2" xfId="983" xr:uid="{00000000-0005-0000-0000-0000DF070000}"/>
    <cellStyle name="Percentuale 12 2 2" xfId="4282" xr:uid="{BE677AFB-96FF-43CD-A658-A16D1E66D8A4}"/>
    <cellStyle name="Percentuale 12 2 2 2" xfId="13565" xr:uid="{FB8E6425-90E6-45C1-A3AC-05CE1AB5554C}"/>
    <cellStyle name="Percentuale 12 2 2 3" xfId="27817" xr:uid="{BA3F9795-F30B-44DA-9951-AE382F0E3FCB}"/>
    <cellStyle name="Percentuale 12 2 3" xfId="13303" xr:uid="{13F6591F-CD04-4466-B684-55930C4D1790}"/>
    <cellStyle name="Percentuale 12 2 3 2" xfId="27818" xr:uid="{D174916F-1671-4520-A58C-560EA2919D6A}"/>
    <cellStyle name="Percentuale 12 2 4" xfId="27819" xr:uid="{D2224E00-74B4-4E5E-B578-35E1719AE94C}"/>
    <cellStyle name="Percentuale 12 2 5" xfId="27816" xr:uid="{DDE6F937-1EA6-448E-BB7A-14BB7A815F0A}"/>
    <cellStyle name="Percentuale 12 3" xfId="984" xr:uid="{00000000-0005-0000-0000-0000E0070000}"/>
    <cellStyle name="Percentuale 12 3 2" xfId="985" xr:uid="{00000000-0005-0000-0000-0000E1070000}"/>
    <cellStyle name="Percentuale 12 3 2 2" xfId="2284" xr:uid="{00000000-0005-0000-0000-0000E2070000}"/>
    <cellStyle name="Percentuale 12 3 2 2 2" xfId="27822" xr:uid="{CE4E6ACB-37E8-47A8-AEAE-1D903E7B0056}"/>
    <cellStyle name="Percentuale 12 3 2 3" xfId="8120" xr:uid="{4C653185-BAC4-4287-B35F-91AD43254D48}"/>
    <cellStyle name="Percentuale 12 3 2 3 2" xfId="14119" xr:uid="{47FF0BED-E3B1-4A69-BF3D-BF698EF004B4}"/>
    <cellStyle name="Percentuale 12 3 2 3 3" xfId="27823" xr:uid="{F306D521-46B5-47C3-8E28-DE38D89B7C89}"/>
    <cellStyle name="Percentuale 12 3 2 4" xfId="27821" xr:uid="{FA8F058E-B6A8-4B39-9D06-C52EEB5D7977}"/>
    <cellStyle name="Percentuale 12 3 3" xfId="4283" xr:uid="{25C4BBA1-F3D0-4E18-B2D8-ACA6D3DED9FF}"/>
    <cellStyle name="Percentuale 12 3 3 2" xfId="9407" xr:uid="{E1B4A489-50CD-49F2-B87E-9202B7655464}"/>
    <cellStyle name="Percentuale 12 3 3 2 2" xfId="27825" xr:uid="{5B88CCE5-D677-43FD-A58C-53F0A49C1855}"/>
    <cellStyle name="Percentuale 12 3 3 3" xfId="27826" xr:uid="{CBEB3298-8523-4EEC-B721-D8DB1A2D2B44}"/>
    <cellStyle name="Percentuale 12 3 3 3 2" xfId="49077" xr:uid="{2113950C-2ED6-43AF-BD41-CC41E83BB70E}"/>
    <cellStyle name="Percentuale 12 3 3 4" xfId="27824" xr:uid="{ABE3C971-8AA4-4BAB-8694-B0A92BC40533}"/>
    <cellStyle name="Percentuale 12 3 4" xfId="4284" xr:uid="{9D075CE4-5150-48DD-846E-109A88DFB1EE}"/>
    <cellStyle name="Percentuale 12 3 4 2" xfId="13780" xr:uid="{ABF28354-D5B9-415A-AC94-63CF92AB1DA1}"/>
    <cellStyle name="Percentuale 12 3 4 3" xfId="27827" xr:uid="{B535F59B-202E-43A1-9A12-8E93769C73F9}"/>
    <cellStyle name="Percentuale 12 3 5" xfId="11158" xr:uid="{06EDD25E-CB6F-47FC-B1DA-A16478C79D54}"/>
    <cellStyle name="Percentuale 12 3 5 2" xfId="27828" xr:uid="{C8E9D625-8F07-473A-B098-41C61A4590CA}"/>
    <cellStyle name="Percentuale 12 3 6" xfId="27829" xr:uid="{BE5E5641-877A-451E-97F3-E8CCACED0592}"/>
    <cellStyle name="Percentuale 12 3 7" xfId="27820" xr:uid="{926E5DF4-CB02-455D-8169-248F752C243B}"/>
    <cellStyle name="Percentuale 12 4" xfId="2285" xr:uid="{00000000-0005-0000-0000-0000E3070000}"/>
    <cellStyle name="Percentuale 12 4 2" xfId="2286" xr:uid="{00000000-0005-0000-0000-0000E4070000}"/>
    <cellStyle name="Percentuale 12 4 2 2" xfId="9408" xr:uid="{626BA2E8-89B5-46D1-BA80-6D3BBC3F7F0E}"/>
    <cellStyle name="Percentuale 12 4 2 2 2" xfId="27832" xr:uid="{869A2B09-44C7-4E1F-9C9D-D294D2A61BF0}"/>
    <cellStyle name="Percentuale 12 4 2 3" xfId="17905" xr:uid="{26F84748-5959-40CC-AFB0-4D485400539C}"/>
    <cellStyle name="Percentuale 12 4 2 3 2" xfId="27833" xr:uid="{BBE06885-655A-4D97-8F63-9493FEA8B069}"/>
    <cellStyle name="Percentuale 12 4 2 4" xfId="27831" xr:uid="{A6E4221C-4E64-4560-AA5C-61AEBBC95718}"/>
    <cellStyle name="Percentuale 12 4 2 5" xfId="17512" xr:uid="{CA927180-1EB7-4194-91D3-4D3E8D8DE46D}"/>
    <cellStyle name="Percentuale 12 4 3" xfId="9409" xr:uid="{10C15755-BD15-4B39-B08C-06F62829AA27}"/>
    <cellStyle name="Percentuale 12 4 3 2" xfId="27834" xr:uid="{9A87954F-F41E-49D8-99B4-2712A592C090}"/>
    <cellStyle name="Percentuale 12 4 4" xfId="27835" xr:uid="{E3ACEDE0-A2D4-41FF-A8A1-C9C48B97DC20}"/>
    <cellStyle name="Percentuale 12 4 4 2" xfId="49078" xr:uid="{12654516-375E-43FE-938F-526339381FF4}"/>
    <cellStyle name="Percentuale 12 4 5" xfId="27836" xr:uid="{3142D3D6-4818-4E18-B1CD-B6C751D24671}"/>
    <cellStyle name="Percentuale 12 4 6" xfId="27830" xr:uid="{E3424B99-5128-423A-910E-56121276BDAE}"/>
    <cellStyle name="Percentuale 12 5" xfId="2287" xr:uid="{00000000-0005-0000-0000-0000E5070000}"/>
    <cellStyle name="Percentuale 12 5 2" xfId="27838" xr:uid="{9017B362-9DCC-49F6-A20F-27C2D5E69E87}"/>
    <cellStyle name="Percentuale 12 5 2 2" xfId="49079" xr:uid="{00E0AAC4-7B75-46A1-A4FD-3E82DA01A657}"/>
    <cellStyle name="Percentuale 12 5 3" xfId="27839" xr:uid="{71CF15F7-2A8B-4D97-9A1F-001820DE6686}"/>
    <cellStyle name="Percentuale 12 5 4" xfId="27837" xr:uid="{A248E922-C066-4980-BF2C-D54CFA8FB02C}"/>
    <cellStyle name="Percentuale 12 6" xfId="4285" xr:uid="{1B474F75-1463-429B-8B6C-3B104A6FF5C8}"/>
    <cellStyle name="Percentuale 12 6 2" xfId="9814" xr:uid="{0307EC3C-527E-4F43-9D14-C745FBF040AE}"/>
    <cellStyle name="Percentuale 12 6 3" xfId="27840" xr:uid="{8E5B82D7-93A5-45B7-A9DC-7DE912A1FC66}"/>
    <cellStyle name="Percentuale 12 7" xfId="27815" xr:uid="{8F20DF87-1B32-4755-9432-7E065A100C21}"/>
    <cellStyle name="Percentuale 13" xfId="986" xr:uid="{00000000-0005-0000-0000-0000E6070000}"/>
    <cellStyle name="Percentuale 13 2" xfId="987" xr:uid="{00000000-0005-0000-0000-0000E7070000}"/>
    <cellStyle name="Percentuale 13 2 2" xfId="4286" xr:uid="{3E81DE9F-9A5D-45BE-A009-1D72EFA31886}"/>
    <cellStyle name="Percentuale 13 2 2 2" xfId="13566" xr:uid="{906FA22C-1597-4C64-B48F-994217FAC562}"/>
    <cellStyle name="Percentuale 13 2 2 3" xfId="27843" xr:uid="{FD3E8396-8B77-4755-AD5B-2459E7B4A9E8}"/>
    <cellStyle name="Percentuale 13 2 3" xfId="13304" xr:uid="{E65FAE8A-CD28-4EB1-BD96-34C99F1DE2DB}"/>
    <cellStyle name="Percentuale 13 2 3 2" xfId="27844" xr:uid="{905AD600-B879-48AA-87D1-2DDF0D8A159E}"/>
    <cellStyle name="Percentuale 13 2 4" xfId="27845" xr:uid="{1C78C61A-47DE-4344-B66A-3608D28B50DF}"/>
    <cellStyle name="Percentuale 13 2 5" xfId="27842" xr:uid="{E1FA0EBE-D4CF-4588-8F72-14D090AEC86E}"/>
    <cellStyle name="Percentuale 13 3" xfId="988" xr:uid="{00000000-0005-0000-0000-0000E8070000}"/>
    <cellStyle name="Percentuale 13 3 2" xfId="989" xr:uid="{00000000-0005-0000-0000-0000E9070000}"/>
    <cellStyle name="Percentuale 13 3 2 2" xfId="2288" xr:uid="{00000000-0005-0000-0000-0000EA070000}"/>
    <cellStyle name="Percentuale 13 3 2 2 2" xfId="27848" xr:uid="{4EEF0090-3B31-405A-84A4-D7231F446FBF}"/>
    <cellStyle name="Percentuale 13 3 2 3" xfId="8121" xr:uid="{E92BF5D8-5F22-4E9B-87BB-6036DCAB0D69}"/>
    <cellStyle name="Percentuale 13 3 2 3 2" xfId="14120" xr:uid="{74A2B885-4DBC-4DD7-97AC-47C12ABF8CA3}"/>
    <cellStyle name="Percentuale 13 3 2 3 3" xfId="27849" xr:uid="{8D39E220-8FD5-4F52-8096-04D4C0CCBF32}"/>
    <cellStyle name="Percentuale 13 3 2 4" xfId="27847" xr:uid="{9CC677A7-0481-4407-B945-316CAFBE14B7}"/>
    <cellStyle name="Percentuale 13 3 3" xfId="4287" xr:uid="{A17B56E9-5C5C-4951-818E-CB71D7811CEB}"/>
    <cellStyle name="Percentuale 13 3 3 2" xfId="9410" xr:uid="{27412237-859C-4637-8E78-8CA22DA4E75D}"/>
    <cellStyle name="Percentuale 13 3 3 2 2" xfId="27851" xr:uid="{839579D1-5E70-4F18-9A03-D607AACB8C74}"/>
    <cellStyle name="Percentuale 13 3 3 3" xfId="27852" xr:uid="{402935D6-E8CF-4AA6-8C17-8BDFFEE5B394}"/>
    <cellStyle name="Percentuale 13 3 3 3 2" xfId="49080" xr:uid="{8D643932-4BE9-4820-A9C6-53D417CC0654}"/>
    <cellStyle name="Percentuale 13 3 3 4" xfId="27850" xr:uid="{6B05FEB0-F8A7-4B6A-B272-111997D1DEF5}"/>
    <cellStyle name="Percentuale 13 3 4" xfId="4288" xr:uid="{AE2DE5A2-130F-4C8F-9F41-64265A15728F}"/>
    <cellStyle name="Percentuale 13 3 4 2" xfId="13781" xr:uid="{7B02A431-4A38-4B4A-B36E-5E07982BCE6B}"/>
    <cellStyle name="Percentuale 13 3 4 3" xfId="27853" xr:uid="{932703DA-C43D-4FAE-B602-7DA6B2EBCD48}"/>
    <cellStyle name="Percentuale 13 3 5" xfId="11208" xr:uid="{78083FCB-DD77-4E95-BA5A-8D4F9FB6103B}"/>
    <cellStyle name="Percentuale 13 3 5 2" xfId="27854" xr:uid="{013F1DC8-1365-43A2-9CA7-95396D358FDE}"/>
    <cellStyle name="Percentuale 13 3 6" xfId="27855" xr:uid="{4CB1E9AD-E349-4CBA-8E90-FDCD411A9851}"/>
    <cellStyle name="Percentuale 13 3 7" xfId="27846" xr:uid="{6544E3CF-1A74-4A23-BCDF-FD3D8CBE8CDF}"/>
    <cellStyle name="Percentuale 13 4" xfId="2289" xr:uid="{00000000-0005-0000-0000-0000EB070000}"/>
    <cellStyle name="Percentuale 13 4 2" xfId="2290" xr:uid="{00000000-0005-0000-0000-0000EC070000}"/>
    <cellStyle name="Percentuale 13 4 2 2" xfId="9411" xr:uid="{B055FC4C-C98F-48EB-BAA8-34F890772D1A}"/>
    <cellStyle name="Percentuale 13 4 2 2 2" xfId="27858" xr:uid="{B14486DD-68A9-4F7C-B11F-0E1E67A1FFA1}"/>
    <cellStyle name="Percentuale 13 4 2 3" xfId="17906" xr:uid="{816CC5A9-FDEC-4759-861C-D34FF6571908}"/>
    <cellStyle name="Percentuale 13 4 2 3 2" xfId="27859" xr:uid="{37786C7B-0371-4BE3-B2A2-9AF180B7BCBB}"/>
    <cellStyle name="Percentuale 13 4 2 4" xfId="27857" xr:uid="{C960B1AA-1C20-460E-8140-C59A4EE95D4B}"/>
    <cellStyle name="Percentuale 13 4 2 5" xfId="17513" xr:uid="{9AC3F0B1-9746-46E7-8275-03CB179EE89B}"/>
    <cellStyle name="Percentuale 13 4 3" xfId="9412" xr:uid="{278C88FA-F27E-42BD-9FEF-CFE76ED14A8B}"/>
    <cellStyle name="Percentuale 13 4 3 2" xfId="27860" xr:uid="{556B4C61-31E1-4D09-897B-F6F3E382C197}"/>
    <cellStyle name="Percentuale 13 4 4" xfId="27861" xr:uid="{175815FA-2868-4AA3-94C5-3E605FE03C56}"/>
    <cellStyle name="Percentuale 13 4 4 2" xfId="49081" xr:uid="{53978606-ABCA-41F2-A409-FAE2786C8DF0}"/>
    <cellStyle name="Percentuale 13 4 5" xfId="27862" xr:uid="{F6BC008A-8A08-4DFA-B626-53E0E6234986}"/>
    <cellStyle name="Percentuale 13 4 6" xfId="27856" xr:uid="{86C56C80-33F3-4D7C-9861-850E307D5AAA}"/>
    <cellStyle name="Percentuale 13 5" xfId="2291" xr:uid="{00000000-0005-0000-0000-0000ED070000}"/>
    <cellStyle name="Percentuale 13 5 2" xfId="27864" xr:uid="{CDDCE284-99E7-47AD-94C0-0F297EAB55D3}"/>
    <cellStyle name="Percentuale 13 5 2 2" xfId="49082" xr:uid="{BA97F691-0DAB-4D85-AC34-3ABBFC7B269D}"/>
    <cellStyle name="Percentuale 13 5 3" xfId="27865" xr:uid="{08705EBB-0317-4C93-9D35-74ADBD43A2F0}"/>
    <cellStyle name="Percentuale 13 5 4" xfId="27863" xr:uid="{90B8FC69-A637-4C21-8EED-80C7C037AAEC}"/>
    <cellStyle name="Percentuale 13 6" xfId="4289" xr:uid="{FE2019E6-7996-4B4D-A9AC-843051272977}"/>
    <cellStyle name="Percentuale 13 6 2" xfId="9815" xr:uid="{5517DBA1-CF48-416E-B267-8F05480B6190}"/>
    <cellStyle name="Percentuale 13 6 3" xfId="27866" xr:uid="{6184B0F8-8E16-4C19-ABF6-FB0EA746D3DC}"/>
    <cellStyle name="Percentuale 13 7" xfId="27841" xr:uid="{7358CF7B-9CC0-46F6-BA64-59C5BB0E649C}"/>
    <cellStyle name="Percentuale 14" xfId="990" xr:uid="{00000000-0005-0000-0000-0000EE070000}"/>
    <cellStyle name="Percentuale 14 2" xfId="991" xr:uid="{00000000-0005-0000-0000-0000EF070000}"/>
    <cellStyle name="Percentuale 14 2 2" xfId="4290" xr:uid="{A24B67C0-A369-45C9-A12B-6B7C0CC4D7B0}"/>
    <cellStyle name="Percentuale 14 2 2 2" xfId="13567" xr:uid="{EDCA675E-30F7-4452-9D1F-43959A454CDB}"/>
    <cellStyle name="Percentuale 14 2 2 3" xfId="27869" xr:uid="{8EE5F8BB-338B-4F71-8F88-96AFEF36F519}"/>
    <cellStyle name="Percentuale 14 2 3" xfId="13305" xr:uid="{550BB53D-8750-4C18-83E7-E7A41392512C}"/>
    <cellStyle name="Percentuale 14 2 3 2" xfId="27870" xr:uid="{4BB6C43C-B0A4-4F4B-9936-7AB7D65B1871}"/>
    <cellStyle name="Percentuale 14 2 4" xfId="27871" xr:uid="{F0BA5B10-0C58-4633-88C9-787854812825}"/>
    <cellStyle name="Percentuale 14 2 5" xfId="27868" xr:uid="{ED3F036E-818A-4C3F-8DB3-7F4A0F7BA29E}"/>
    <cellStyle name="Percentuale 14 3" xfId="992" xr:uid="{00000000-0005-0000-0000-0000F0070000}"/>
    <cellStyle name="Percentuale 14 3 2" xfId="993" xr:uid="{00000000-0005-0000-0000-0000F1070000}"/>
    <cellStyle name="Percentuale 14 3 2 2" xfId="2292" xr:uid="{00000000-0005-0000-0000-0000F2070000}"/>
    <cellStyle name="Percentuale 14 3 2 2 2" xfId="27874" xr:uid="{D26A11F3-AB1C-4196-9158-0D7F6B85FF32}"/>
    <cellStyle name="Percentuale 14 3 2 3" xfId="8122" xr:uid="{FDEEFECC-375B-4775-B668-6DD33D4DC4E1}"/>
    <cellStyle name="Percentuale 14 3 2 3 2" xfId="14121" xr:uid="{11A61642-911C-4345-B9FA-03AB963BC3BF}"/>
    <cellStyle name="Percentuale 14 3 2 3 3" xfId="27875" xr:uid="{DCB65693-02F5-4960-9E8A-28ABB8FC6AC3}"/>
    <cellStyle name="Percentuale 14 3 2 4" xfId="27873" xr:uid="{D8FB3D19-6C14-4F04-B497-99A5D1D86F50}"/>
    <cellStyle name="Percentuale 14 3 3" xfId="4291" xr:uid="{D14B0D05-D337-47D6-8ECE-359B3FC7840F}"/>
    <cellStyle name="Percentuale 14 3 3 2" xfId="9413" xr:uid="{D527A978-A9AB-4368-A26C-63306C57E38C}"/>
    <cellStyle name="Percentuale 14 3 3 2 2" xfId="27877" xr:uid="{CF3B0390-80B6-4A32-8C8F-AFC35F44C7BC}"/>
    <cellStyle name="Percentuale 14 3 3 3" xfId="27878" xr:uid="{22331FAC-AB72-4FB1-83FA-6888682424B4}"/>
    <cellStyle name="Percentuale 14 3 3 3 2" xfId="49083" xr:uid="{8F83E162-9B4C-44BA-BF1B-39DB9E4E7EF7}"/>
    <cellStyle name="Percentuale 14 3 3 4" xfId="27876" xr:uid="{B0D9C1F8-BEB6-4F1C-A98C-E0909B1C6C78}"/>
    <cellStyle name="Percentuale 14 3 4" xfId="4292" xr:uid="{D98BC1E2-DE09-41DC-8329-E29219727C8E}"/>
    <cellStyle name="Percentuale 14 3 4 2" xfId="13782" xr:uid="{82962FD4-0C75-43E0-8906-B485B2F7AB6F}"/>
    <cellStyle name="Percentuale 14 3 4 3" xfId="27879" xr:uid="{7AE490B7-0C7C-4B1E-AEE4-3828FAE1D75D}"/>
    <cellStyle name="Percentuale 14 3 5" xfId="12261" xr:uid="{1D196484-FACD-446A-B91B-0C94A9021F27}"/>
    <cellStyle name="Percentuale 14 3 5 2" xfId="27880" xr:uid="{DCA7DE82-05EB-42A1-A729-2F624954C525}"/>
    <cellStyle name="Percentuale 14 3 6" xfId="27881" xr:uid="{396729D6-15AC-487A-997F-452B333D93C1}"/>
    <cellStyle name="Percentuale 14 3 7" xfId="27872" xr:uid="{7C7E2189-4161-4024-B6F3-6FD68CA46209}"/>
    <cellStyle name="Percentuale 14 4" xfId="2293" xr:uid="{00000000-0005-0000-0000-0000F3070000}"/>
    <cellStyle name="Percentuale 14 4 2" xfId="2294" xr:uid="{00000000-0005-0000-0000-0000F4070000}"/>
    <cellStyle name="Percentuale 14 4 2 2" xfId="9414" xr:uid="{693F9A3D-C8D7-4A29-9120-4ACB9508AC94}"/>
    <cellStyle name="Percentuale 14 4 2 2 2" xfId="27884" xr:uid="{126EF5BE-2FAE-4238-8C3F-89A753CA672D}"/>
    <cellStyle name="Percentuale 14 4 2 3" xfId="17907" xr:uid="{2F8C8D17-E0F0-4B11-A47F-8AA66BB0B7DD}"/>
    <cellStyle name="Percentuale 14 4 2 3 2" xfId="27885" xr:uid="{16D8DCCF-A3AC-4BF7-8E40-DC18D3BE8CB1}"/>
    <cellStyle name="Percentuale 14 4 2 4" xfId="27883" xr:uid="{26134C13-B2D7-414A-A186-CC65E55A6A88}"/>
    <cellStyle name="Percentuale 14 4 2 5" xfId="17514" xr:uid="{F2B445C2-D6EC-46DA-A556-1EDAB2CC1B17}"/>
    <cellStyle name="Percentuale 14 4 3" xfId="9415" xr:uid="{0C004CB8-FA8C-491E-8A87-DEDFEC5AD819}"/>
    <cellStyle name="Percentuale 14 4 3 2" xfId="27886" xr:uid="{B63404EF-2B07-49C7-A2A4-FAD03C1343EF}"/>
    <cellStyle name="Percentuale 14 4 4" xfId="27887" xr:uid="{CB3C6E39-04A9-4505-9415-32C7D9DB0A34}"/>
    <cellStyle name="Percentuale 14 4 4 2" xfId="49084" xr:uid="{E84A9E77-B622-42B8-9624-00D830C05445}"/>
    <cellStyle name="Percentuale 14 4 5" xfId="27888" xr:uid="{A42E41BA-7507-4FCA-B1D4-1D7B7AC365CD}"/>
    <cellStyle name="Percentuale 14 4 6" xfId="27882" xr:uid="{9211B14E-FF8E-434D-936F-2799A1DB3724}"/>
    <cellStyle name="Percentuale 14 5" xfId="2295" xr:uid="{00000000-0005-0000-0000-0000F5070000}"/>
    <cellStyle name="Percentuale 14 5 2" xfId="27890" xr:uid="{16154D8C-697F-43A7-B6FE-68CDB20D77B6}"/>
    <cellStyle name="Percentuale 14 5 2 2" xfId="49085" xr:uid="{2CEF21A7-940E-4539-95EE-5CD604E300A3}"/>
    <cellStyle name="Percentuale 14 5 3" xfId="27891" xr:uid="{2D9D8266-8FBB-4074-B2FB-D80A0F93FF33}"/>
    <cellStyle name="Percentuale 14 5 4" xfId="27889" xr:uid="{0DDABAE0-0605-4830-9B52-7646003DFF12}"/>
    <cellStyle name="Percentuale 14 6" xfId="4293" xr:uid="{9B05C7E9-5E19-4FFA-B096-3EC00D6FD146}"/>
    <cellStyle name="Percentuale 14 6 2" xfId="9816" xr:uid="{DD1295F3-E3B9-4A75-8541-35B676AB5E2B}"/>
    <cellStyle name="Percentuale 14 6 3" xfId="27892" xr:uid="{D2478084-A068-4A8D-ACCC-F2556A61FAB3}"/>
    <cellStyle name="Percentuale 14 7" xfId="27867" xr:uid="{615B0A61-E544-4BA0-9725-A7116D91F60C}"/>
    <cellStyle name="Percentuale 15" xfId="994" xr:uid="{00000000-0005-0000-0000-0000F6070000}"/>
    <cellStyle name="Percentuale 15 2" xfId="995" xr:uid="{00000000-0005-0000-0000-0000F7070000}"/>
    <cellStyle name="Percentuale 15 2 2" xfId="4294" xr:uid="{43242DA0-D136-4308-90A8-F1B031FCC2CC}"/>
    <cellStyle name="Percentuale 15 2 2 2" xfId="13568" xr:uid="{D94A58BD-D7D5-4DEA-85EB-E16CD9E8ABEE}"/>
    <cellStyle name="Percentuale 15 2 2 3" xfId="27895" xr:uid="{15C4912D-0314-4865-B45C-9E07730AB9D2}"/>
    <cellStyle name="Percentuale 15 2 3" xfId="13306" xr:uid="{23D1E852-8830-425E-A13E-66F2C82D0191}"/>
    <cellStyle name="Percentuale 15 2 3 2" xfId="27896" xr:uid="{940B14EE-4C33-431C-A28A-C2A2341235CE}"/>
    <cellStyle name="Percentuale 15 2 4" xfId="27897" xr:uid="{32B3A5EF-F781-4B88-93E6-519AE3D00DAA}"/>
    <cellStyle name="Percentuale 15 2 5" xfId="27894" xr:uid="{441E2077-D3B2-440B-954E-36643B35FB0F}"/>
    <cellStyle name="Percentuale 15 3" xfId="996" xr:uid="{00000000-0005-0000-0000-0000F8070000}"/>
    <cellStyle name="Percentuale 15 3 2" xfId="997" xr:uid="{00000000-0005-0000-0000-0000F9070000}"/>
    <cellStyle name="Percentuale 15 3 2 2" xfId="2296" xr:uid="{00000000-0005-0000-0000-0000FA070000}"/>
    <cellStyle name="Percentuale 15 3 2 2 2" xfId="27900" xr:uid="{CC2BB05B-35F7-41B2-B5DF-0C3986470B92}"/>
    <cellStyle name="Percentuale 15 3 2 3" xfId="8123" xr:uid="{010AE81B-A758-4B44-98C6-43DE3FA10FF7}"/>
    <cellStyle name="Percentuale 15 3 2 3 2" xfId="14122" xr:uid="{C7CF4A22-CDD6-45D2-8D78-005ECBE703AF}"/>
    <cellStyle name="Percentuale 15 3 2 3 3" xfId="27901" xr:uid="{5B88FB07-7AC5-4633-A5D6-7E8AAA63AF34}"/>
    <cellStyle name="Percentuale 15 3 2 4" xfId="27899" xr:uid="{73EE35C8-5B59-4A8F-A4C1-8FDC1EDC9AB1}"/>
    <cellStyle name="Percentuale 15 3 3" xfId="4295" xr:uid="{73C5C2B4-D700-4F4F-A83F-90D827BA0BD0}"/>
    <cellStyle name="Percentuale 15 3 3 2" xfId="9416" xr:uid="{914E8727-485E-4239-97FB-86A281DA9F0D}"/>
    <cellStyle name="Percentuale 15 3 3 2 2" xfId="27903" xr:uid="{DE3259AF-AEC4-4B87-87A1-6E574545EB1E}"/>
    <cellStyle name="Percentuale 15 3 3 3" xfId="27904" xr:uid="{C61DEA6B-A7EE-4828-8C1B-BE284B66B65C}"/>
    <cellStyle name="Percentuale 15 3 3 3 2" xfId="49086" xr:uid="{DC63B69F-2D1B-4CA9-A258-E9FFB1E7F67B}"/>
    <cellStyle name="Percentuale 15 3 3 4" xfId="27902" xr:uid="{9AC80883-F83F-4037-BF00-277C12002A61}"/>
    <cellStyle name="Percentuale 15 3 4" xfId="4296" xr:uid="{7CF19E3B-2E55-4257-BDD1-5D458B11A8BE}"/>
    <cellStyle name="Percentuale 15 3 4 2" xfId="13783" xr:uid="{383850FE-4AF4-4C0F-8BFA-7366624C533E}"/>
    <cellStyle name="Percentuale 15 3 4 3" xfId="27905" xr:uid="{DD743258-AF3A-4700-A040-71D317AF73E6}"/>
    <cellStyle name="Percentuale 15 3 5" xfId="11207" xr:uid="{85BEC888-DFCC-4585-9330-D3F653CDFE54}"/>
    <cellStyle name="Percentuale 15 3 5 2" xfId="27906" xr:uid="{B9FD97C9-2646-4686-B2F7-4B3C4176EC51}"/>
    <cellStyle name="Percentuale 15 3 6" xfId="27907" xr:uid="{AE4A7898-455C-43A7-9098-82CB838D5147}"/>
    <cellStyle name="Percentuale 15 3 7" xfId="27898" xr:uid="{EDFFCA1C-9F64-4888-B886-C80AED2F20BE}"/>
    <cellStyle name="Percentuale 15 4" xfId="2297" xr:uid="{00000000-0005-0000-0000-0000FB070000}"/>
    <cellStyle name="Percentuale 15 4 2" xfId="2298" xr:uid="{00000000-0005-0000-0000-0000FC070000}"/>
    <cellStyle name="Percentuale 15 4 2 2" xfId="9417" xr:uid="{58D8EE9D-E0B8-47E1-AA0D-35CD0F3DEC20}"/>
    <cellStyle name="Percentuale 15 4 2 2 2" xfId="27910" xr:uid="{55EDDF93-6592-495D-9AE9-C00B2C835D05}"/>
    <cellStyle name="Percentuale 15 4 2 3" xfId="17908" xr:uid="{B6AD8E1D-8D45-4ED7-A054-5F4410B1E9AE}"/>
    <cellStyle name="Percentuale 15 4 2 3 2" xfId="27911" xr:uid="{8D911172-589C-417A-8638-7B66A49C3577}"/>
    <cellStyle name="Percentuale 15 4 2 4" xfId="27909" xr:uid="{ED23E0D4-4F87-48F7-A5C3-23C928E807C8}"/>
    <cellStyle name="Percentuale 15 4 2 5" xfId="17516" xr:uid="{5E6C6579-B0E3-493D-966C-F3E79C884AED}"/>
    <cellStyle name="Percentuale 15 4 3" xfId="9418" xr:uid="{6EFFF600-6F5C-485B-90F4-BBECC5A5B360}"/>
    <cellStyle name="Percentuale 15 4 3 2" xfId="27912" xr:uid="{19756776-546C-43DE-8A80-339C9546FC9F}"/>
    <cellStyle name="Percentuale 15 4 4" xfId="27913" xr:uid="{7A6B2E71-6763-467C-A814-7F3012B1672F}"/>
    <cellStyle name="Percentuale 15 4 4 2" xfId="49087" xr:uid="{239EFBF6-1152-44AA-9197-49773DAA0B18}"/>
    <cellStyle name="Percentuale 15 4 5" xfId="27914" xr:uid="{AB184BB0-0B97-456A-99AA-4A4B96BE4771}"/>
    <cellStyle name="Percentuale 15 4 6" xfId="27908" xr:uid="{C4467387-C4CC-4D25-AD88-3D6076F62BD0}"/>
    <cellStyle name="Percentuale 15 5" xfId="2299" xr:uid="{00000000-0005-0000-0000-0000FD070000}"/>
    <cellStyle name="Percentuale 15 5 2" xfId="27916" xr:uid="{106F0B8D-D90B-439F-B9FE-B7EA8FCE3D45}"/>
    <cellStyle name="Percentuale 15 5 2 2" xfId="49088" xr:uid="{A0C681AC-1767-4C05-91DC-6C4187EC200D}"/>
    <cellStyle name="Percentuale 15 5 3" xfId="27917" xr:uid="{F62EB612-A6DC-4225-B037-43F1AE5EF273}"/>
    <cellStyle name="Percentuale 15 5 4" xfId="27915" xr:uid="{7D4B7AD5-FD12-4993-8B61-70727C12188B}"/>
    <cellStyle name="Percentuale 15 6" xfId="4297" xr:uid="{4002C3B1-580B-4A98-B30C-2043FCD3CEF9}"/>
    <cellStyle name="Percentuale 15 6 2" xfId="9817" xr:uid="{3E2D577A-C910-4161-87C6-89A9E9605375}"/>
    <cellStyle name="Percentuale 15 6 3" xfId="27918" xr:uid="{C435E55B-222D-4D05-8577-8DFD2B7DCEF4}"/>
    <cellStyle name="Percentuale 15 7" xfId="27893" xr:uid="{B6414C00-AD53-438D-BEB2-C68DEC1F6706}"/>
    <cellStyle name="Percentuale 16" xfId="998" xr:uid="{00000000-0005-0000-0000-0000FE070000}"/>
    <cellStyle name="Percentuale 16 2" xfId="999" xr:uid="{00000000-0005-0000-0000-0000FF070000}"/>
    <cellStyle name="Percentuale 16 2 2" xfId="4298" xr:uid="{B5746CE2-CE53-4D9B-8202-5892DDA81895}"/>
    <cellStyle name="Percentuale 16 2 2 2" xfId="13569" xr:uid="{5BEEE41E-0BE9-4E45-807E-1BD7246A7211}"/>
    <cellStyle name="Percentuale 16 2 2 3" xfId="27921" xr:uid="{572F78C3-7210-427D-9CE7-5DEB34D14621}"/>
    <cellStyle name="Percentuale 16 2 3" xfId="13307" xr:uid="{23B9B506-6078-4842-90A7-BFD4074C7290}"/>
    <cellStyle name="Percentuale 16 2 3 2" xfId="27922" xr:uid="{3879E7FB-A47F-4344-A3BB-647421F0CA87}"/>
    <cellStyle name="Percentuale 16 2 4" xfId="27923" xr:uid="{0D4ABFF2-6BAE-4673-A918-F5987C4226FF}"/>
    <cellStyle name="Percentuale 16 2 5" xfId="27920" xr:uid="{9946BF0E-90C8-493F-99B4-12E4C9FD5583}"/>
    <cellStyle name="Percentuale 16 3" xfId="1000" xr:uid="{00000000-0005-0000-0000-000000080000}"/>
    <cellStyle name="Percentuale 16 3 2" xfId="1001" xr:uid="{00000000-0005-0000-0000-000001080000}"/>
    <cellStyle name="Percentuale 16 3 2 2" xfId="2300" xr:uid="{00000000-0005-0000-0000-000002080000}"/>
    <cellStyle name="Percentuale 16 3 2 2 2" xfId="27926" xr:uid="{D3B25C55-E626-47DB-B853-F5086AF62713}"/>
    <cellStyle name="Percentuale 16 3 2 3" xfId="8124" xr:uid="{9A97BD65-94D2-492C-8003-6443C82C0A40}"/>
    <cellStyle name="Percentuale 16 3 2 3 2" xfId="14123" xr:uid="{60CC32F6-4573-4FC0-962D-0C5A79636538}"/>
    <cellStyle name="Percentuale 16 3 2 3 3" xfId="27927" xr:uid="{8585FF37-DF64-402A-B688-7FF55C10AE73}"/>
    <cellStyle name="Percentuale 16 3 2 4" xfId="27925" xr:uid="{2600E5EE-744B-406F-BDDB-BF70984E13B8}"/>
    <cellStyle name="Percentuale 16 3 3" xfId="4299" xr:uid="{56F89B6D-57DA-48F9-96E6-0CE47180B1E4}"/>
    <cellStyle name="Percentuale 16 3 3 2" xfId="9419" xr:uid="{95486B42-9245-48D9-B8AB-CF49DC776983}"/>
    <cellStyle name="Percentuale 16 3 3 2 2" xfId="27929" xr:uid="{DC043CC7-3EE5-4F09-90CF-DA507420073A}"/>
    <cellStyle name="Percentuale 16 3 3 3" xfId="27930" xr:uid="{A53BDA6C-FF48-4333-A55F-2A982820F617}"/>
    <cellStyle name="Percentuale 16 3 3 3 2" xfId="49089" xr:uid="{B150DCD3-3ADB-4E33-BE90-EF62AF1CAD95}"/>
    <cellStyle name="Percentuale 16 3 3 4" xfId="27928" xr:uid="{90325A72-D1C9-4088-9894-2AE330ED7A3C}"/>
    <cellStyle name="Percentuale 16 3 4" xfId="4300" xr:uid="{E49952B0-787F-4084-8F94-27158F8BBB59}"/>
    <cellStyle name="Percentuale 16 3 4 2" xfId="13784" xr:uid="{1F3E7F1E-1DD7-40AD-97B4-8EA3A99CA958}"/>
    <cellStyle name="Percentuale 16 3 4 3" xfId="27931" xr:uid="{23F607AC-488F-4BAB-9B3E-1A6C5AD16D63}"/>
    <cellStyle name="Percentuale 16 3 5" xfId="12260" xr:uid="{32011903-216F-40DD-A079-80BC5B649C22}"/>
    <cellStyle name="Percentuale 16 3 5 2" xfId="27932" xr:uid="{11E1578A-0D87-4F61-820F-41CD7DB1F49B}"/>
    <cellStyle name="Percentuale 16 3 6" xfId="27933" xr:uid="{4496BA32-6BAD-4855-9F58-C24158C7759C}"/>
    <cellStyle name="Percentuale 16 3 7" xfId="27924" xr:uid="{F69E1E70-CC86-4375-8064-9453A0EC6C5A}"/>
    <cellStyle name="Percentuale 16 4" xfId="2301" xr:uid="{00000000-0005-0000-0000-000003080000}"/>
    <cellStyle name="Percentuale 16 4 2" xfId="2302" xr:uid="{00000000-0005-0000-0000-000004080000}"/>
    <cellStyle name="Percentuale 16 4 2 2" xfId="9420" xr:uid="{0D580D8B-ED9B-4C5C-B8AE-FECBCD2F0945}"/>
    <cellStyle name="Percentuale 16 4 2 2 2" xfId="27936" xr:uid="{BA0101D5-1FC7-42CE-BB00-6C89BE6BF93E}"/>
    <cellStyle name="Percentuale 16 4 2 3" xfId="17909" xr:uid="{1161CE93-7083-4131-9620-B2F3741C98DA}"/>
    <cellStyle name="Percentuale 16 4 2 3 2" xfId="27937" xr:uid="{AC891104-D2C3-48EC-AAB7-AD0832E82EF0}"/>
    <cellStyle name="Percentuale 16 4 2 4" xfId="27935" xr:uid="{F4830C0F-4ADD-46AA-881A-FDC7628CEB1B}"/>
    <cellStyle name="Percentuale 16 4 2 5" xfId="17517" xr:uid="{D631F44E-2C38-4A61-BD93-71A46683C2C7}"/>
    <cellStyle name="Percentuale 16 4 3" xfId="9421" xr:uid="{F6ED99DE-927C-411C-B0CE-FF91D0FA72EF}"/>
    <cellStyle name="Percentuale 16 4 3 2" xfId="27938" xr:uid="{4A8FAB72-60D2-4EF7-9B16-59EF75D6BF88}"/>
    <cellStyle name="Percentuale 16 4 4" xfId="27939" xr:uid="{FD859A97-A93A-480D-8702-D20104552419}"/>
    <cellStyle name="Percentuale 16 4 4 2" xfId="49090" xr:uid="{D17EE295-59BD-491A-84FF-505601C45EFB}"/>
    <cellStyle name="Percentuale 16 4 5" xfId="27940" xr:uid="{D4EF1AFE-F327-421F-B49A-CD56D6281BB2}"/>
    <cellStyle name="Percentuale 16 4 6" xfId="27934" xr:uid="{2C968BA2-45DE-49AE-BC1C-8747666F0F7D}"/>
    <cellStyle name="Percentuale 16 5" xfId="2303" xr:uid="{00000000-0005-0000-0000-000005080000}"/>
    <cellStyle name="Percentuale 16 5 2" xfId="27942" xr:uid="{9C50C987-A50B-48E7-95E3-CD115069518A}"/>
    <cellStyle name="Percentuale 16 5 2 2" xfId="49091" xr:uid="{2B8773C9-A721-443C-A90D-373D4B74F261}"/>
    <cellStyle name="Percentuale 16 5 3" xfId="27943" xr:uid="{ED1AD29B-5BB8-4D0D-9BD1-9185CB2AED08}"/>
    <cellStyle name="Percentuale 16 5 4" xfId="27941" xr:uid="{A7F2B694-7734-4671-9D26-0294F3A37362}"/>
    <cellStyle name="Percentuale 16 6" xfId="4301" xr:uid="{D91E1423-E155-4228-9F4E-E18DC6732DEC}"/>
    <cellStyle name="Percentuale 16 6 2" xfId="9818" xr:uid="{05276BEC-C2FE-4907-ADE1-BDD11D3D7590}"/>
    <cellStyle name="Percentuale 16 6 3" xfId="27944" xr:uid="{F542F694-A7D0-49F0-9AFD-6019F04E4B6F}"/>
    <cellStyle name="Percentuale 16 7" xfId="27919" xr:uid="{8AA04DB8-0E58-4838-B065-14B35B493FEE}"/>
    <cellStyle name="Percentuale 17" xfId="1002" xr:uid="{00000000-0005-0000-0000-000006080000}"/>
    <cellStyle name="Percentuale 17 2" xfId="1003" xr:uid="{00000000-0005-0000-0000-000007080000}"/>
    <cellStyle name="Percentuale 17 2 2" xfId="4302" xr:uid="{3A37A5AB-7F0C-44EC-8E58-74B5AC118992}"/>
    <cellStyle name="Percentuale 17 2 2 2" xfId="13570" xr:uid="{D46FE7DF-3B75-49C6-BA04-6FF338B4EA18}"/>
    <cellStyle name="Percentuale 17 2 2 3" xfId="27947" xr:uid="{C145E701-F701-4598-9D4D-508583C4090A}"/>
    <cellStyle name="Percentuale 17 2 3" xfId="13308" xr:uid="{3C93D5E6-3900-4A5F-BF76-5E12E0C1B704}"/>
    <cellStyle name="Percentuale 17 2 3 2" xfId="27948" xr:uid="{37606765-DEC1-459C-B39A-FF4CB3E5E79F}"/>
    <cellStyle name="Percentuale 17 2 4" xfId="27949" xr:uid="{2AA8799D-F591-48A3-BACA-65101BDC1538}"/>
    <cellStyle name="Percentuale 17 2 5" xfId="27946" xr:uid="{95E62E4A-05C2-486C-9821-7CDFEB9C5035}"/>
    <cellStyle name="Percentuale 17 3" xfId="1004" xr:uid="{00000000-0005-0000-0000-000008080000}"/>
    <cellStyle name="Percentuale 17 3 2" xfId="1005" xr:uid="{00000000-0005-0000-0000-000009080000}"/>
    <cellStyle name="Percentuale 17 3 2 2" xfId="2304" xr:uid="{00000000-0005-0000-0000-00000A080000}"/>
    <cellStyle name="Percentuale 17 3 2 2 2" xfId="27952" xr:uid="{0FAB59E2-0EE2-43DB-8E40-600552D2D9E8}"/>
    <cellStyle name="Percentuale 17 3 2 3" xfId="8125" xr:uid="{3B7575F9-2BDA-42BC-8D60-D66E4D4684E4}"/>
    <cellStyle name="Percentuale 17 3 2 3 2" xfId="14124" xr:uid="{43EDC218-23AC-4E7F-BDC8-25F9AA09A0B4}"/>
    <cellStyle name="Percentuale 17 3 2 3 3" xfId="27953" xr:uid="{D007932C-8FC2-4864-8BA4-75A40952F713}"/>
    <cellStyle name="Percentuale 17 3 2 4" xfId="27951" xr:uid="{00F97F12-B223-40D4-A645-9060A885EC3E}"/>
    <cellStyle name="Percentuale 17 3 3" xfId="4303" xr:uid="{50C6E437-C6D1-488B-A064-64FAA92F4946}"/>
    <cellStyle name="Percentuale 17 3 3 2" xfId="9422" xr:uid="{A5A7C82E-A567-4866-A970-F4563652D5B9}"/>
    <cellStyle name="Percentuale 17 3 3 2 2" xfId="27955" xr:uid="{2CA8F7AC-C3B0-422E-9E11-022D984E0C63}"/>
    <cellStyle name="Percentuale 17 3 3 3" xfId="27956" xr:uid="{7C40C532-41F1-466A-8CF4-EA1552442377}"/>
    <cellStyle name="Percentuale 17 3 3 3 2" xfId="49092" xr:uid="{91568A42-07D9-40A1-B772-3C9057D5C396}"/>
    <cellStyle name="Percentuale 17 3 3 4" xfId="27954" xr:uid="{E17EF6A1-DF71-4261-8073-A681885EC0FA}"/>
    <cellStyle name="Percentuale 17 3 4" xfId="4304" xr:uid="{FF0A1BD1-E9C3-412F-9B1B-427E542BAAA3}"/>
    <cellStyle name="Percentuale 17 3 4 2" xfId="13785" xr:uid="{503B1966-DF4D-41A0-8CA4-ED2FA8C94EF6}"/>
    <cellStyle name="Percentuale 17 3 4 3" xfId="27957" xr:uid="{D16097F8-4A07-4E27-AA84-FB3D5407BF09}"/>
    <cellStyle name="Percentuale 17 3 5" xfId="12299" xr:uid="{CC09DE40-0403-40C5-AF59-6FB0353E8AE9}"/>
    <cellStyle name="Percentuale 17 3 5 2" xfId="27958" xr:uid="{BBE91F7B-56FA-4A76-ABD1-8F07A28D70A7}"/>
    <cellStyle name="Percentuale 17 3 6" xfId="27959" xr:uid="{DD44BB6F-5297-42A5-AF84-7D0F773FB114}"/>
    <cellStyle name="Percentuale 17 3 7" xfId="27950" xr:uid="{5BC57FEE-B5E0-40B1-9EA1-50DB19B240B6}"/>
    <cellStyle name="Percentuale 17 4" xfId="2305" xr:uid="{00000000-0005-0000-0000-00000B080000}"/>
    <cellStyle name="Percentuale 17 4 2" xfId="2306" xr:uid="{00000000-0005-0000-0000-00000C080000}"/>
    <cellStyle name="Percentuale 17 4 2 2" xfId="9423" xr:uid="{DF9F8067-170A-496C-AA8C-1ACE77866176}"/>
    <cellStyle name="Percentuale 17 4 2 2 2" xfId="27962" xr:uid="{AFB89EC3-9B32-4F96-9AD2-190B2633ED01}"/>
    <cellStyle name="Percentuale 17 4 2 3" xfId="17910" xr:uid="{E4CA6A11-B58A-4F41-9DAD-0DCCA52F86F6}"/>
    <cellStyle name="Percentuale 17 4 2 3 2" xfId="27963" xr:uid="{D0F20E4A-BC31-4281-B157-EF2D51EDCF5B}"/>
    <cellStyle name="Percentuale 17 4 2 4" xfId="27961" xr:uid="{FFDD52A6-61C3-4CE9-96C3-303759CA8C6B}"/>
    <cellStyle name="Percentuale 17 4 2 5" xfId="17518" xr:uid="{8F07C88F-C989-4E32-958A-2E46D824399D}"/>
    <cellStyle name="Percentuale 17 4 3" xfId="9424" xr:uid="{F6884BE3-E4B3-46A7-BA7D-980DA92EFA20}"/>
    <cellStyle name="Percentuale 17 4 3 2" xfId="27964" xr:uid="{F2A19517-5100-400B-928D-AFA8876F1444}"/>
    <cellStyle name="Percentuale 17 4 4" xfId="27965" xr:uid="{1872964E-1E05-4C8C-AF9D-4972C7FF6EC0}"/>
    <cellStyle name="Percentuale 17 4 5" xfId="27966" xr:uid="{EF5C9561-8544-4313-8BC5-ABF86F59B2D8}"/>
    <cellStyle name="Percentuale 17 4 5 2" xfId="49093" xr:uid="{B8566430-7DA2-43FB-84E5-78F11B3B6929}"/>
    <cellStyle name="Percentuale 17 4 6" xfId="27967" xr:uid="{90E14F7A-2C2B-4547-8D2E-D6277EFE3FC7}"/>
    <cellStyle name="Percentuale 17 4 7" xfId="27960" xr:uid="{D77E69C0-E9BF-42EC-B81D-78543062896A}"/>
    <cellStyle name="Percentuale 17 5" xfId="2307" xr:uid="{00000000-0005-0000-0000-00000D080000}"/>
    <cellStyle name="Percentuale 17 5 2" xfId="27969" xr:uid="{3B761011-8FA1-4B9E-AD4B-0DF554102BF2}"/>
    <cellStyle name="Percentuale 17 5 3" xfId="27970" xr:uid="{CB29401C-CD6D-4D8E-980B-26BEA0F5820E}"/>
    <cellStyle name="Percentuale 17 5 3 2" xfId="49094" xr:uid="{E627001E-C431-4787-9C1B-6BDD6C85A7C2}"/>
    <cellStyle name="Percentuale 17 5 4" xfId="27971" xr:uid="{D44F1E9E-A700-439F-ADDA-FD9EAA646037}"/>
    <cellStyle name="Percentuale 17 5 5" xfId="27968" xr:uid="{1979A724-5532-41CD-B6EF-C4C427C15D1B}"/>
    <cellStyle name="Percentuale 17 6" xfId="4305" xr:uid="{27178EE9-8489-4826-9C90-E8DA6D9B7D3D}"/>
    <cellStyle name="Percentuale 17 6 2" xfId="9819" xr:uid="{55604129-56C1-4CDD-8A50-2DD6BD733884}"/>
    <cellStyle name="Percentuale 17 6 3" xfId="27972" xr:uid="{F94D4250-328E-4AF5-A512-9D6494E53263}"/>
    <cellStyle name="Percentuale 17 7" xfId="27945" xr:uid="{21705239-4F54-46E2-A49C-10E2A9B79CE7}"/>
    <cellStyle name="Percentuale 18" xfId="1006" xr:uid="{00000000-0005-0000-0000-00000E080000}"/>
    <cellStyle name="Percentuale 18 2" xfId="1007" xr:uid="{00000000-0005-0000-0000-00000F080000}"/>
    <cellStyle name="Percentuale 18 2 2" xfId="4306" xr:uid="{A8658E94-A5F4-4F98-835C-AA0F367502F2}"/>
    <cellStyle name="Percentuale 18 2 2 2" xfId="13571" xr:uid="{F29C9E61-0789-4EBB-B0CF-97869DEB7A62}"/>
    <cellStyle name="Percentuale 18 2 2 3" xfId="27975" xr:uid="{BE524B72-2E0B-4CEC-B011-3B081BE1D852}"/>
    <cellStyle name="Percentuale 18 2 3" xfId="13309" xr:uid="{B780561A-F0FF-4288-B597-A7E5EB307643}"/>
    <cellStyle name="Percentuale 18 2 3 2" xfId="27976" xr:uid="{E576D8F9-A0E2-40E3-8950-F3EF9F925C08}"/>
    <cellStyle name="Percentuale 18 2 4" xfId="27977" xr:uid="{DA87BBE2-E0FB-41B1-8912-55C7ACDF845F}"/>
    <cellStyle name="Percentuale 18 2 4 2" xfId="49095" xr:uid="{32DFD350-0816-4B1D-A32D-7D54B2C4152F}"/>
    <cellStyle name="Percentuale 18 2 5" xfId="27978" xr:uid="{C3EC857B-7A61-4633-B2B4-A26F39793A40}"/>
    <cellStyle name="Percentuale 18 2 6" xfId="27974" xr:uid="{BC2ED648-05D1-46E9-8553-86C875FD7A49}"/>
    <cellStyle name="Percentuale 18 3" xfId="1008" xr:uid="{00000000-0005-0000-0000-000010080000}"/>
    <cellStyle name="Percentuale 18 3 2" xfId="1009" xr:uid="{00000000-0005-0000-0000-000011080000}"/>
    <cellStyle name="Percentuale 18 3 2 2" xfId="2308" xr:uid="{00000000-0005-0000-0000-000012080000}"/>
    <cellStyle name="Percentuale 18 3 2 2 2" xfId="27982" xr:uid="{67AA7979-9D1A-4504-A580-82A4032EE1C2}"/>
    <cellStyle name="Percentuale 18 3 2 2 3" xfId="27981" xr:uid="{F77D10E1-2804-4645-820A-F3077862B365}"/>
    <cellStyle name="Percentuale 18 3 2 3" xfId="8126" xr:uid="{9F7D25DD-08DE-4921-A405-7E33E435D5D7}"/>
    <cellStyle name="Percentuale 18 3 2 3 2" xfId="14125" xr:uid="{51D41FCB-3C49-42D4-9ACF-772A1714AF56}"/>
    <cellStyle name="Percentuale 18 3 2 3 3" xfId="27983" xr:uid="{99F849D6-BE80-44A6-8B54-017B2CB5A0EB}"/>
    <cellStyle name="Percentuale 18 3 2 3 4" xfId="49096" xr:uid="{FAA63CD0-F812-4F16-8B26-AD90B6B61E9C}"/>
    <cellStyle name="Percentuale 18 3 2 4" xfId="27984" xr:uid="{B39AB08F-7579-4A4D-98BE-59C1CD099864}"/>
    <cellStyle name="Percentuale 18 3 2 5" xfId="27980" xr:uid="{016FEF7E-DBE9-49F2-B8DA-21A5E718C525}"/>
    <cellStyle name="Percentuale 18 3 3" xfId="4307" xr:uid="{7EEA995A-CC7D-4ADF-B806-9FE64361B0AA}"/>
    <cellStyle name="Percentuale 18 3 3 2" xfId="9425" xr:uid="{24A7B3B2-BCE0-4C4F-A80B-F75A1445F5E6}"/>
    <cellStyle name="Percentuale 18 3 3 2 2" xfId="27986" xr:uid="{8FB8DFEA-5B34-4209-A2BE-1062320D4B18}"/>
    <cellStyle name="Percentuale 18 3 3 3" xfId="27987" xr:uid="{4CBE36DD-B9DC-4E72-BEE1-A395E14FD657}"/>
    <cellStyle name="Percentuale 18 3 3 4" xfId="27988" xr:uid="{F976AB8A-7E53-40C7-9B76-AFE3A6907D4E}"/>
    <cellStyle name="Percentuale 18 3 3 4 2" xfId="49097" xr:uid="{4DB80551-C3DE-47FD-9303-E8D3E6950B4D}"/>
    <cellStyle name="Percentuale 18 3 3 5" xfId="27985" xr:uid="{189ED5B6-7754-4C68-A36E-B5DA0F4CCC32}"/>
    <cellStyle name="Percentuale 18 3 4" xfId="4308" xr:uid="{64C40F14-9F40-45ED-A191-7869D8C182BD}"/>
    <cellStyle name="Percentuale 18 3 4 2" xfId="13786" xr:uid="{E38A7B8A-7881-43BE-A244-E0ED9143F5D7}"/>
    <cellStyle name="Percentuale 18 3 4 3" xfId="27989" xr:uid="{7B85A6BF-38A4-487C-B21E-049FD6391B25}"/>
    <cellStyle name="Percentuale 18 3 5" xfId="11101" xr:uid="{B3C531C2-F504-4346-9120-99BB7E3F65A3}"/>
    <cellStyle name="Percentuale 18 3 5 2" xfId="27990" xr:uid="{F8DE770E-D640-41FE-A443-2A35868E3E4D}"/>
    <cellStyle name="Percentuale 18 3 6" xfId="27991" xr:uid="{E1E8A192-68BD-4215-8254-AFB7B3200A02}"/>
    <cellStyle name="Percentuale 18 3 6 2" xfId="49098" xr:uid="{CB91DC7F-33D0-4493-A318-03F4BC2BF950}"/>
    <cellStyle name="Percentuale 18 3 7" xfId="27992" xr:uid="{A79E5A99-E79D-4099-91D6-1A9772D34452}"/>
    <cellStyle name="Percentuale 18 3 8" xfId="27979" xr:uid="{3C0D8DED-2EBC-4A82-9AD4-F6CB58B52E88}"/>
    <cellStyle name="Percentuale 18 4" xfId="2309" xr:uid="{00000000-0005-0000-0000-000013080000}"/>
    <cellStyle name="Percentuale 18 4 2" xfId="2310" xr:uid="{00000000-0005-0000-0000-000014080000}"/>
    <cellStyle name="Percentuale 18 4 2 2" xfId="9426" xr:uid="{C4CFCF7B-8A4D-4F0B-B60E-5D560673175E}"/>
    <cellStyle name="Percentuale 18 4 2 2 2" xfId="27995" xr:uid="{A1C38068-895D-4E16-AC1E-9E066BC16B46}"/>
    <cellStyle name="Percentuale 18 4 2 3" xfId="17911" xr:uid="{EC84373E-9C71-42F2-A60D-8BC8B6FBD209}"/>
    <cellStyle name="Percentuale 18 4 2 3 2" xfId="27996" xr:uid="{98F084FC-E157-4B34-8317-D650DF891B40}"/>
    <cellStyle name="Percentuale 18 4 2 4" xfId="27994" xr:uid="{A30E7A9E-B7E6-4F41-8570-3BE84EF31BCC}"/>
    <cellStyle name="Percentuale 18 4 2 5" xfId="17519" xr:uid="{E536DDF1-1CF0-478B-9F3B-A6602CB86D80}"/>
    <cellStyle name="Percentuale 18 4 3" xfId="9427" xr:uid="{C1544B3C-E6A0-4EC1-94BF-7401D829B939}"/>
    <cellStyle name="Percentuale 18 4 3 2" xfId="27997" xr:uid="{EE4C0FC4-8F62-4889-900C-0292D7B8CAE3}"/>
    <cellStyle name="Percentuale 18 4 4" xfId="27998" xr:uid="{33A5B565-049E-423C-B583-78870AE92A95}"/>
    <cellStyle name="Percentuale 18 4 5" xfId="27999" xr:uid="{B3F6BE89-7947-43D0-9B00-54CEA95FCEA2}"/>
    <cellStyle name="Percentuale 18 4 5 2" xfId="49099" xr:uid="{62DEA3E8-6D28-4802-9EB4-81ADDA4B272C}"/>
    <cellStyle name="Percentuale 18 4 6" xfId="28000" xr:uid="{A9AD8A0C-17C6-4702-B300-E1F014327095}"/>
    <cellStyle name="Percentuale 18 4 7" xfId="27993" xr:uid="{1699D636-D153-41CF-820A-1ED23D404909}"/>
    <cellStyle name="Percentuale 18 5" xfId="2311" xr:uid="{00000000-0005-0000-0000-000015080000}"/>
    <cellStyle name="Percentuale 18 5 2" xfId="28002" xr:uid="{EE86BED3-4718-4C4A-8321-24090C18B211}"/>
    <cellStyle name="Percentuale 18 5 3" xfId="28003" xr:uid="{630D21DB-7E43-4EE4-9A69-0E8FFBAAFDE6}"/>
    <cellStyle name="Percentuale 18 5 3 2" xfId="49100" xr:uid="{3C1B9011-260C-45C9-B124-D2F850EF2F1D}"/>
    <cellStyle name="Percentuale 18 5 4" xfId="28004" xr:uid="{EB0F9B63-EE60-4730-8EB8-F7AEE017C0C2}"/>
    <cellStyle name="Percentuale 18 5 5" xfId="28001" xr:uid="{F685E6CE-B828-497C-A54E-46BA66B90934}"/>
    <cellStyle name="Percentuale 18 6" xfId="4309" xr:uid="{87F10369-CB61-4986-95AF-149A6D0610C4}"/>
    <cellStyle name="Percentuale 18 6 2" xfId="9820" xr:uid="{813F539D-601B-42B6-B63B-2FB0B66F2D21}"/>
    <cellStyle name="Percentuale 18 6 3" xfId="28005" xr:uid="{FEB3CE7A-AF3C-4DDE-A309-A1F35E940954}"/>
    <cellStyle name="Percentuale 18 7" xfId="28006" xr:uid="{F637FD17-9446-4E29-A2AD-C23331E63576}"/>
    <cellStyle name="Percentuale 18 7 2" xfId="49101" xr:uid="{A79B415C-EBB4-42EB-A579-FAAB8C6DBACC}"/>
    <cellStyle name="Percentuale 18 8" xfId="27973" xr:uid="{B73549F2-29B5-4F3C-A387-2161A94EC752}"/>
    <cellStyle name="Percentuale 19" xfId="1010" xr:uid="{00000000-0005-0000-0000-000016080000}"/>
    <cellStyle name="Percentuale 19 2" xfId="1011" xr:uid="{00000000-0005-0000-0000-000017080000}"/>
    <cellStyle name="Percentuale 19 2 2" xfId="4310" xr:uid="{BA9D46D7-7A0C-42F2-B2D2-8010FC9DD4AB}"/>
    <cellStyle name="Percentuale 19 2 2 2" xfId="13572" xr:uid="{E4BC1A85-6CC7-4514-977B-0195494C36B8}"/>
    <cellStyle name="Percentuale 19 2 2 3" xfId="28009" xr:uid="{54BFB8B7-4809-4F5D-999F-1BA3D0115C15}"/>
    <cellStyle name="Percentuale 19 2 3" xfId="13310" xr:uid="{0B7F5D34-F3DB-4209-A72A-7404D633071A}"/>
    <cellStyle name="Percentuale 19 2 3 2" xfId="28010" xr:uid="{5F500C4C-3582-440A-9E0E-D69A1EA83B20}"/>
    <cellStyle name="Percentuale 19 2 4" xfId="28011" xr:uid="{438212C7-90E4-483C-AF8B-50AA9332F5E6}"/>
    <cellStyle name="Percentuale 19 2 4 2" xfId="49102" xr:uid="{F1779898-130C-4CA7-83F0-73B8FD67FE46}"/>
    <cellStyle name="Percentuale 19 2 5" xfId="28012" xr:uid="{80E18BDA-EFAF-4257-8078-24BB5BA11DC2}"/>
    <cellStyle name="Percentuale 19 2 6" xfId="28008" xr:uid="{78BB4BF1-DAF2-47FD-AE79-A20F583DA0EF}"/>
    <cellStyle name="Percentuale 19 3" xfId="1012" xr:uid="{00000000-0005-0000-0000-000018080000}"/>
    <cellStyle name="Percentuale 19 3 2" xfId="1013" xr:uid="{00000000-0005-0000-0000-000019080000}"/>
    <cellStyle name="Percentuale 19 3 2 2" xfId="2312" xr:uid="{00000000-0005-0000-0000-00001A080000}"/>
    <cellStyle name="Percentuale 19 3 2 2 2" xfId="28016" xr:uid="{76BA7D03-7AF3-4A5F-93B2-10A2BDC306DB}"/>
    <cellStyle name="Percentuale 19 3 2 2 3" xfId="28015" xr:uid="{2147D432-9136-40FD-9376-33C18739F351}"/>
    <cellStyle name="Percentuale 19 3 2 3" xfId="8127" xr:uid="{81DFE220-EF80-46CB-B2D1-33D23F6479BC}"/>
    <cellStyle name="Percentuale 19 3 2 3 2" xfId="14126" xr:uid="{BC4234CD-1756-46A4-934A-56283795E220}"/>
    <cellStyle name="Percentuale 19 3 2 3 3" xfId="28017" xr:uid="{D8E8B71B-ADE4-43C3-817E-A23861970CA3}"/>
    <cellStyle name="Percentuale 19 3 2 3 4" xfId="49103" xr:uid="{8F8F6F00-FE5E-4201-B6F7-6A3F262A493B}"/>
    <cellStyle name="Percentuale 19 3 2 4" xfId="28018" xr:uid="{F621DB0A-8B58-4DF2-AAFB-32B31335ABE8}"/>
    <cellStyle name="Percentuale 19 3 2 5" xfId="28014" xr:uid="{1ACEA159-B7BA-466E-BD5C-49F1D1285C8E}"/>
    <cellStyle name="Percentuale 19 3 3" xfId="4311" xr:uid="{6F703134-6C21-4517-A20B-161786AA7ABC}"/>
    <cellStyle name="Percentuale 19 3 3 2" xfId="9428" xr:uid="{EA1476FF-6ABE-4157-A586-C8A32F95EBFB}"/>
    <cellStyle name="Percentuale 19 3 3 2 2" xfId="28020" xr:uid="{ECC83FEC-7C40-4722-BAD4-6D7768CAD009}"/>
    <cellStyle name="Percentuale 19 3 3 3" xfId="28021" xr:uid="{D3EF2BB8-BD77-41CF-8ECE-EA34BCD45D4A}"/>
    <cellStyle name="Percentuale 19 3 3 4" xfId="28022" xr:uid="{2A136EB4-C9CB-4E7F-A26B-983429B5953F}"/>
    <cellStyle name="Percentuale 19 3 3 4 2" xfId="49104" xr:uid="{3E81832C-6FFD-49D5-A3B0-F231D7195490}"/>
    <cellStyle name="Percentuale 19 3 3 5" xfId="28019" xr:uid="{F519020F-8BCF-4FC9-94F3-7FEE91C5E9FC}"/>
    <cellStyle name="Percentuale 19 3 4" xfId="4312" xr:uid="{A8FDC91B-88E8-47D5-9884-E5A60997680F}"/>
    <cellStyle name="Percentuale 19 3 4 2" xfId="13787" xr:uid="{B84E236E-C73E-4698-A1C8-7929793DB863}"/>
    <cellStyle name="Percentuale 19 3 4 3" xfId="28023" xr:uid="{F7933117-E6DF-4A55-8D3A-429479AA2F62}"/>
    <cellStyle name="Percentuale 19 3 5" xfId="12298" xr:uid="{F1249EB1-4645-4872-9DD4-EE9EBCED3CF9}"/>
    <cellStyle name="Percentuale 19 3 5 2" xfId="28024" xr:uid="{7C27B8C1-61CF-478F-8E45-4EA0BB7144D5}"/>
    <cellStyle name="Percentuale 19 3 6" xfId="28025" xr:uid="{A5FBE952-C0CB-4FFA-B4CF-4EF012B82F39}"/>
    <cellStyle name="Percentuale 19 3 6 2" xfId="49105" xr:uid="{5FA9D709-6CF4-42CE-ADA3-E3371B370397}"/>
    <cellStyle name="Percentuale 19 3 7" xfId="28026" xr:uid="{7EFFDC18-0211-4789-AEF3-22CC386AF628}"/>
    <cellStyle name="Percentuale 19 3 8" xfId="28013" xr:uid="{418CC356-F714-4965-85C0-F0FB9B7A3A8F}"/>
    <cellStyle name="Percentuale 19 4" xfId="2313" xr:uid="{00000000-0005-0000-0000-00001B080000}"/>
    <cellStyle name="Percentuale 19 4 2" xfId="2314" xr:uid="{00000000-0005-0000-0000-00001C080000}"/>
    <cellStyle name="Percentuale 19 4 2 2" xfId="9429" xr:uid="{2421E4C1-A5C9-41E3-86ED-012ABE6D44D2}"/>
    <cellStyle name="Percentuale 19 4 2 2 2" xfId="28029" xr:uid="{B5BA1BB5-C547-438B-889A-1E971D021458}"/>
    <cellStyle name="Percentuale 19 4 2 3" xfId="17912" xr:uid="{BD46F863-5452-4A63-9476-FE65B62EB3B4}"/>
    <cellStyle name="Percentuale 19 4 2 3 2" xfId="28030" xr:uid="{D6DB4561-9679-48A7-B608-91E19CF1BBE9}"/>
    <cellStyle name="Percentuale 19 4 2 4" xfId="28028" xr:uid="{920D53BD-A4A2-4231-BCD6-CFFCF59CA580}"/>
    <cellStyle name="Percentuale 19 4 2 5" xfId="17520" xr:uid="{2F4F1288-B7E9-4758-8CFD-C9A4CEBEEC81}"/>
    <cellStyle name="Percentuale 19 4 3" xfId="9430" xr:uid="{25597BD5-F75A-40E0-965B-76B61BD1E4B7}"/>
    <cellStyle name="Percentuale 19 4 3 2" xfId="28031" xr:uid="{FD1EDAD1-8DA8-4601-AB2D-D73C336FEF47}"/>
    <cellStyle name="Percentuale 19 4 4" xfId="28032" xr:uid="{212ACC38-DA0A-4DAE-8D0D-9DA4DEBBBE58}"/>
    <cellStyle name="Percentuale 19 4 5" xfId="28033" xr:uid="{370F5CD4-6BBC-4289-B180-9C70FFCB972B}"/>
    <cellStyle name="Percentuale 19 4 5 2" xfId="49106" xr:uid="{BE6EC96E-5C14-4BC4-B865-D37167C6A27C}"/>
    <cellStyle name="Percentuale 19 4 6" xfId="28034" xr:uid="{7B02E7F8-08EF-424A-8AF6-BD88FD26ACFB}"/>
    <cellStyle name="Percentuale 19 4 7" xfId="28027" xr:uid="{FFC0D691-6546-4DB3-AD9F-BF431463EE7A}"/>
    <cellStyle name="Percentuale 19 5" xfId="2315" xr:uid="{00000000-0005-0000-0000-00001D080000}"/>
    <cellStyle name="Percentuale 19 5 2" xfId="28036" xr:uid="{0C110F0F-D796-4D1E-A858-6D751807DB70}"/>
    <cellStyle name="Percentuale 19 5 3" xfId="28037" xr:uid="{20DFAB30-6197-44A8-904F-F7938227D561}"/>
    <cellStyle name="Percentuale 19 5 3 2" xfId="49107" xr:uid="{372AF272-568D-4721-99E1-B9905105853A}"/>
    <cellStyle name="Percentuale 19 5 4" xfId="28038" xr:uid="{8A89E720-8F41-4516-8847-61C3194FF382}"/>
    <cellStyle name="Percentuale 19 5 5" xfId="28035" xr:uid="{D5258FD6-FF2E-493A-A06C-20DF10926BFB}"/>
    <cellStyle name="Percentuale 19 6" xfId="4313" xr:uid="{52CEBB85-B015-4CAF-A5B6-B5BDE12EA177}"/>
    <cellStyle name="Percentuale 19 6 2" xfId="9821" xr:uid="{6BA8B178-0BA8-4F60-A30D-C4645B8D9E40}"/>
    <cellStyle name="Percentuale 19 6 3" xfId="28039" xr:uid="{DF4566A7-3ACC-4612-9A4F-F1719DC20950}"/>
    <cellStyle name="Percentuale 19 7" xfId="28040" xr:uid="{3343C255-5D13-4A16-A4F4-D3ADA8899F8C}"/>
    <cellStyle name="Percentuale 19 7 2" xfId="49108" xr:uid="{78D5DE14-A967-499B-8261-C1201CE967A2}"/>
    <cellStyle name="Percentuale 19 8" xfId="28007" xr:uid="{01EECB37-6B65-4268-BDCC-5E53E58A11F4}"/>
    <cellStyle name="Percentuale 2" xfId="1014" xr:uid="{00000000-0005-0000-0000-00001E080000}"/>
    <cellStyle name="Percentuale 2 2" xfId="1015" xr:uid="{00000000-0005-0000-0000-00001F080000}"/>
    <cellStyle name="Percentuale 2 2 2" xfId="4314" xr:uid="{9C7650BE-CB76-4641-B9C2-ABEA3134E183}"/>
    <cellStyle name="Percentuale 2 2 2 2" xfId="13573" xr:uid="{75061E15-B3F8-4FFE-9466-EBFC7EF6523D}"/>
    <cellStyle name="Percentuale 2 2 2 3" xfId="28043" xr:uid="{AA9CE906-AB34-4062-B86B-1A14FCD7B4B9}"/>
    <cellStyle name="Percentuale 2 2 3" xfId="13311" xr:uid="{E9C6B907-FAE7-4161-A722-5D78F53E9929}"/>
    <cellStyle name="Percentuale 2 2 3 2" xfId="28044" xr:uid="{5A952F5E-B678-4E70-A724-F20896DADCA0}"/>
    <cellStyle name="Percentuale 2 2 4" xfId="28045" xr:uid="{A51095C2-3C19-42C0-9949-AF5AA90FF4C4}"/>
    <cellStyle name="Percentuale 2 2 4 2" xfId="49109" xr:uid="{53DFD6F2-28D1-41E6-AB79-4BA079C0B3BD}"/>
    <cellStyle name="Percentuale 2 2 5" xfId="28046" xr:uid="{B53B1C44-CDF0-46F6-BE3F-34947AC356D6}"/>
    <cellStyle name="Percentuale 2 2 6" xfId="28042" xr:uid="{8099FBE1-6120-42A5-A3F2-80FA72980827}"/>
    <cellStyle name="Percentuale 2 3" xfId="1016" xr:uid="{00000000-0005-0000-0000-000020080000}"/>
    <cellStyle name="Percentuale 2 3 2" xfId="1017" xr:uid="{00000000-0005-0000-0000-000021080000}"/>
    <cellStyle name="Percentuale 2 3 2 2" xfId="2316" xr:uid="{00000000-0005-0000-0000-000022080000}"/>
    <cellStyle name="Percentuale 2 3 2 2 2" xfId="28050" xr:uid="{89591D8A-2BB2-4928-BBB7-E56A11900C72}"/>
    <cellStyle name="Percentuale 2 3 2 2 3" xfId="28049" xr:uid="{24962862-A2FD-4EF5-A004-C67D7D965DE3}"/>
    <cellStyle name="Percentuale 2 3 2 3" xfId="8128" xr:uid="{7DD8146C-EF56-473A-A933-29A46AD32197}"/>
    <cellStyle name="Percentuale 2 3 2 3 2" xfId="14127" xr:uid="{191A4B67-EB60-4B55-AFE6-B9D5BAD72902}"/>
    <cellStyle name="Percentuale 2 3 2 3 3" xfId="28051" xr:uid="{42532835-70FE-480B-AEFF-63E9627A414C}"/>
    <cellStyle name="Percentuale 2 3 2 3 4" xfId="49110" xr:uid="{9633BC9E-5CDE-461C-90E0-262EC8EDA131}"/>
    <cellStyle name="Percentuale 2 3 2 4" xfId="28052" xr:uid="{3FB0D159-EE5A-48C4-B050-2926C757899C}"/>
    <cellStyle name="Percentuale 2 3 2 5" xfId="28048" xr:uid="{FD6FD634-CD44-45F8-A8EC-29E04CFDCBEE}"/>
    <cellStyle name="Percentuale 2 3 3" xfId="4315" xr:uid="{F3BF4111-45C3-4091-A992-0CE1048F3883}"/>
    <cellStyle name="Percentuale 2 3 3 2" xfId="9431" xr:uid="{226E7F96-B62C-4A35-8949-1BFB05D8F9BD}"/>
    <cellStyle name="Percentuale 2 3 3 2 2" xfId="28054" xr:uid="{4138AE03-0E0F-4ED9-BEAB-D12DCBB3BC78}"/>
    <cellStyle name="Percentuale 2 3 3 3" xfId="28055" xr:uid="{F57056E5-0B07-413C-A79F-EF0AE8E525CF}"/>
    <cellStyle name="Percentuale 2 3 3 4" xfId="28056" xr:uid="{7ED95358-7AD2-494D-9AF1-7A23A62FCEA9}"/>
    <cellStyle name="Percentuale 2 3 3 4 2" xfId="49111" xr:uid="{87802AC8-6E5C-42A8-9A1D-CBAA37A88BCB}"/>
    <cellStyle name="Percentuale 2 3 3 5" xfId="28053" xr:uid="{4FBD2FC6-C75B-4161-ACE1-8CA2CD3F5380}"/>
    <cellStyle name="Percentuale 2 3 4" xfId="4316" xr:uid="{940DADBD-F47C-48C6-893B-1055CEF95CF5}"/>
    <cellStyle name="Percentuale 2 3 4 2" xfId="13788" xr:uid="{BE6674CA-739B-4A1C-8057-F58EC49D1A2F}"/>
    <cellStyle name="Percentuale 2 3 4 3" xfId="28057" xr:uid="{85A52A3D-859B-472F-A327-5F8674F5DC6D}"/>
    <cellStyle name="Percentuale 2 3 5" xfId="11426" xr:uid="{AB61224F-6535-4AC4-8011-DAAB6E44CB09}"/>
    <cellStyle name="Percentuale 2 3 5 2" xfId="28058" xr:uid="{929A1CCD-78A2-42EB-B935-7FD504C42CF8}"/>
    <cellStyle name="Percentuale 2 3 6" xfId="28059" xr:uid="{767C8944-A0C1-4084-8511-EEF164E3B6E8}"/>
    <cellStyle name="Percentuale 2 3 6 2" xfId="49112" xr:uid="{412254D5-2331-42CA-927D-6B43BB36B60D}"/>
    <cellStyle name="Percentuale 2 3 7" xfId="28060" xr:uid="{81439764-B00E-4908-A7B0-747D36581F52}"/>
    <cellStyle name="Percentuale 2 3 8" xfId="28047" xr:uid="{3BE11D91-BC9C-4BEA-A3EC-8646EB434F20}"/>
    <cellStyle name="Percentuale 2 4" xfId="2317" xr:uid="{00000000-0005-0000-0000-000023080000}"/>
    <cellStyle name="Percentuale 2 4 2" xfId="2318" xr:uid="{00000000-0005-0000-0000-000024080000}"/>
    <cellStyle name="Percentuale 2 4 2 2" xfId="9432" xr:uid="{7E03A4EF-8748-4E76-90C6-871C8D37B6A4}"/>
    <cellStyle name="Percentuale 2 4 2 2 2" xfId="28063" xr:uid="{7AF0ABEE-A3BD-4343-AAC2-0F73A39F0735}"/>
    <cellStyle name="Percentuale 2 4 2 3" xfId="17913" xr:uid="{CA166B83-61C9-4C0C-BC2D-B23581A57197}"/>
    <cellStyle name="Percentuale 2 4 2 3 2" xfId="28064" xr:uid="{0E04BB00-C95F-44F7-B632-7D781E43D92A}"/>
    <cellStyle name="Percentuale 2 4 2 4" xfId="28062" xr:uid="{7B1B30F3-3351-4707-A310-9545BEB9B827}"/>
    <cellStyle name="Percentuale 2 4 2 5" xfId="17521" xr:uid="{171C3AEB-9E45-4C06-87D9-74EB41196A81}"/>
    <cellStyle name="Percentuale 2 4 3" xfId="9433" xr:uid="{540A69B8-3794-46D5-990E-C258C434A610}"/>
    <cellStyle name="Percentuale 2 4 3 2" xfId="28065" xr:uid="{1C6100E6-C597-49D3-99D3-EFEF970F51EC}"/>
    <cellStyle name="Percentuale 2 4 4" xfId="28066" xr:uid="{2D05D0AC-3660-4354-8272-A952DE0F6F5C}"/>
    <cellStyle name="Percentuale 2 4 5" xfId="28067" xr:uid="{1BE1181F-568E-4B62-B07D-3031E27CF3B1}"/>
    <cellStyle name="Percentuale 2 4 5 2" xfId="49113" xr:uid="{600019EC-5B6A-4433-BAB9-61854C6367AE}"/>
    <cellStyle name="Percentuale 2 4 6" xfId="28068" xr:uid="{0D749EB6-49D5-4ADC-94FA-D0595374AB82}"/>
    <cellStyle name="Percentuale 2 4 7" xfId="28061" xr:uid="{45E7BBB7-2CF4-43D0-99A8-C5F4D681BF87}"/>
    <cellStyle name="Percentuale 2 5" xfId="2319" xr:uid="{00000000-0005-0000-0000-000025080000}"/>
    <cellStyle name="Percentuale 2 5 2" xfId="28070" xr:uid="{EA13FEE2-A245-4204-AA95-BA503797C898}"/>
    <cellStyle name="Percentuale 2 5 3" xfId="28071" xr:uid="{61C8DA5C-FC7C-4571-8AB1-00215A770289}"/>
    <cellStyle name="Percentuale 2 5 3 2" xfId="49114" xr:uid="{58AE756F-B69A-4717-98CE-4F0F12B89938}"/>
    <cellStyle name="Percentuale 2 5 4" xfId="28072" xr:uid="{2E74DC0F-AD52-4C4E-BFC8-977958883107}"/>
    <cellStyle name="Percentuale 2 5 5" xfId="28069" xr:uid="{9C8D4202-762D-4001-81EB-11A6ABCDF7FC}"/>
    <cellStyle name="Percentuale 2 6" xfId="4317" xr:uid="{9DDDDF3B-A0B4-46A9-9634-0A29D3852675}"/>
    <cellStyle name="Percentuale 2 6 2" xfId="9822" xr:uid="{F6EDAAB9-D5A6-4CAA-B5FF-BDD6CF884DB1}"/>
    <cellStyle name="Percentuale 2 6 3" xfId="28073" xr:uid="{708E9CAE-5A77-4671-8D90-91E38BA38E31}"/>
    <cellStyle name="Percentuale 2 7" xfId="28074" xr:uid="{4C78CA0D-9E41-4571-A6C3-8B858AC948AD}"/>
    <cellStyle name="Percentuale 2 7 2" xfId="49115" xr:uid="{F6C415E3-0FF8-4EDF-8EEA-F15860BC86AF}"/>
    <cellStyle name="Percentuale 2 8" xfId="28041" xr:uid="{F127F1DF-057F-4E37-84FE-A490ED631073}"/>
    <cellStyle name="Percentuale 20" xfId="1018" xr:uid="{00000000-0005-0000-0000-000026080000}"/>
    <cellStyle name="Percentuale 20 2" xfId="1019" xr:uid="{00000000-0005-0000-0000-000027080000}"/>
    <cellStyle name="Percentuale 20 2 2" xfId="4318" xr:uid="{303484B0-2F85-447D-B322-6BEBD1E44FE3}"/>
    <cellStyle name="Percentuale 20 2 2 2" xfId="13574" xr:uid="{D926B681-0FC2-4DD7-AEFB-86CA826F2EB7}"/>
    <cellStyle name="Percentuale 20 2 2 3" xfId="28077" xr:uid="{42A2D0EF-FA17-4DEA-A12E-7F98CF2A116A}"/>
    <cellStyle name="Percentuale 20 2 3" xfId="13312" xr:uid="{0EBEC46E-4BCF-4D46-973E-7454892F1ACD}"/>
    <cellStyle name="Percentuale 20 2 3 2" xfId="28078" xr:uid="{B9B5DA13-5F27-4D48-B656-C99F1892E1DA}"/>
    <cellStyle name="Percentuale 20 2 4" xfId="28079" xr:uid="{D4B33205-A44C-4FCD-91BF-ACDDA0734B95}"/>
    <cellStyle name="Percentuale 20 2 4 2" xfId="49116" xr:uid="{6BF3B86B-B69F-4A94-945A-8C05CF92F006}"/>
    <cellStyle name="Percentuale 20 2 5" xfId="28080" xr:uid="{9E2858EA-2D65-4EB2-8499-59C7C35B07F0}"/>
    <cellStyle name="Percentuale 20 2 6" xfId="28076" xr:uid="{AAEFC67B-52D5-434A-957B-5FB6DC71B188}"/>
    <cellStyle name="Percentuale 20 3" xfId="1020" xr:uid="{00000000-0005-0000-0000-000028080000}"/>
    <cellStyle name="Percentuale 20 3 2" xfId="1021" xr:uid="{00000000-0005-0000-0000-000029080000}"/>
    <cellStyle name="Percentuale 20 3 2 2" xfId="2320" xr:uid="{00000000-0005-0000-0000-00002A080000}"/>
    <cellStyle name="Percentuale 20 3 2 2 2" xfId="28084" xr:uid="{1CAD9C0C-E7B2-432A-B5B7-E6BB8CE361CE}"/>
    <cellStyle name="Percentuale 20 3 2 2 3" xfId="28083" xr:uid="{7994D69E-5DB9-48F0-A440-0E09CCC52460}"/>
    <cellStyle name="Percentuale 20 3 2 3" xfId="8129" xr:uid="{62F50A8A-0C63-49F6-AD96-C0C3DDCC4002}"/>
    <cellStyle name="Percentuale 20 3 2 3 2" xfId="14128" xr:uid="{D14FE29F-EFED-4A07-B3C5-57F13036C971}"/>
    <cellStyle name="Percentuale 20 3 2 3 3" xfId="28085" xr:uid="{2B94C0C4-7D57-4017-ADF8-2899B80C58F4}"/>
    <cellStyle name="Percentuale 20 3 2 3 4" xfId="49117" xr:uid="{2CB1162C-2511-4E86-B7CE-2FEC8803F7A2}"/>
    <cellStyle name="Percentuale 20 3 2 4" xfId="28086" xr:uid="{3F88D219-636E-4DB5-8D4F-57611A6F75F2}"/>
    <cellStyle name="Percentuale 20 3 2 5" xfId="28082" xr:uid="{E9287065-2320-41D7-943D-6947BCDBB44E}"/>
    <cellStyle name="Percentuale 20 3 3" xfId="4319" xr:uid="{8A14543A-0246-477E-8897-44A04252041F}"/>
    <cellStyle name="Percentuale 20 3 3 2" xfId="9434" xr:uid="{BBF76138-0A79-4F9E-B3AE-13C1FB94EEE2}"/>
    <cellStyle name="Percentuale 20 3 3 2 2" xfId="28088" xr:uid="{CF62CF09-8946-49C9-8923-352C18C7A16B}"/>
    <cellStyle name="Percentuale 20 3 3 3" xfId="28089" xr:uid="{009DBBF9-C501-477C-AADF-BCBADCAA2E7D}"/>
    <cellStyle name="Percentuale 20 3 3 4" xfId="28090" xr:uid="{C1E6D718-4410-4A6C-91DC-7051C22B1ED6}"/>
    <cellStyle name="Percentuale 20 3 3 4 2" xfId="49118" xr:uid="{99294D1E-D1D0-4FE4-9201-F031B1DDEBCC}"/>
    <cellStyle name="Percentuale 20 3 3 5" xfId="28087" xr:uid="{A530B74D-7384-40B5-B173-699D8F39421D}"/>
    <cellStyle name="Percentuale 20 3 4" xfId="4320" xr:uid="{69A0211B-5FA7-40B5-A334-5A4B9BD7DEB8}"/>
    <cellStyle name="Percentuale 20 3 4 2" xfId="13789" xr:uid="{CC19D1C6-D69B-45CA-8E02-AAED141FB30F}"/>
    <cellStyle name="Percentuale 20 3 4 3" xfId="28091" xr:uid="{BF652347-B5F6-441C-91D5-4743E668237A}"/>
    <cellStyle name="Percentuale 20 3 5" xfId="11150" xr:uid="{C53CA60F-263C-44AD-9A80-F1B4E093D6EE}"/>
    <cellStyle name="Percentuale 20 3 5 2" xfId="28092" xr:uid="{E53019F6-FC13-4DC2-A1C0-19235EA59C1B}"/>
    <cellStyle name="Percentuale 20 3 6" xfId="28093" xr:uid="{3DEDBC5B-6F48-4ADD-955D-4987D8F4041F}"/>
    <cellStyle name="Percentuale 20 3 6 2" xfId="49119" xr:uid="{D36CBAA4-082A-4A6B-84FE-9F0C5B1ABBD2}"/>
    <cellStyle name="Percentuale 20 3 7" xfId="28094" xr:uid="{64FA8498-D14A-4B0E-B821-94EBCF5E5448}"/>
    <cellStyle name="Percentuale 20 3 8" xfId="28081" xr:uid="{0437E3C4-7B5E-4AFC-9436-E45CA9F51C91}"/>
    <cellStyle name="Percentuale 20 4" xfId="2321" xr:uid="{00000000-0005-0000-0000-00002B080000}"/>
    <cellStyle name="Percentuale 20 4 2" xfId="2322" xr:uid="{00000000-0005-0000-0000-00002C080000}"/>
    <cellStyle name="Percentuale 20 4 2 2" xfId="9435" xr:uid="{F12F8D56-75B5-4E4E-9C45-B2462A47C12E}"/>
    <cellStyle name="Percentuale 20 4 2 2 2" xfId="28097" xr:uid="{821819BB-4262-442A-BBA2-4D2E0C775E58}"/>
    <cellStyle name="Percentuale 20 4 2 3" xfId="17914" xr:uid="{0A0B9040-BAD8-414F-B17C-EBEAC7E1A299}"/>
    <cellStyle name="Percentuale 20 4 2 3 2" xfId="28098" xr:uid="{F4606ABA-438E-4A3C-9BCA-C6B9954AFC7A}"/>
    <cellStyle name="Percentuale 20 4 2 4" xfId="28096" xr:uid="{C86FD435-FFDF-4D0A-A03B-EBE461D65891}"/>
    <cellStyle name="Percentuale 20 4 2 5" xfId="17522" xr:uid="{7B0BA764-0F5A-4CCA-9964-0A43993773D9}"/>
    <cellStyle name="Percentuale 20 4 3" xfId="9436" xr:uid="{DFE06711-2CAD-40FE-8656-08CE0F7DC7E0}"/>
    <cellStyle name="Percentuale 20 4 3 2" xfId="28099" xr:uid="{596D5B4D-A097-47CC-825F-46A6B1A4B789}"/>
    <cellStyle name="Percentuale 20 4 4" xfId="28100" xr:uid="{8F5920B6-EEC3-467E-87DA-822FE071362B}"/>
    <cellStyle name="Percentuale 20 4 5" xfId="28101" xr:uid="{F9284474-3AC4-429A-B6C4-85D05A1708D9}"/>
    <cellStyle name="Percentuale 20 4 5 2" xfId="49120" xr:uid="{3136A3CD-E707-43F7-8792-FD3D7A6DD4DD}"/>
    <cellStyle name="Percentuale 20 4 6" xfId="28102" xr:uid="{3CB7EFE9-9251-4FE1-93B3-B3472F4620C4}"/>
    <cellStyle name="Percentuale 20 4 7" xfId="28095" xr:uid="{029B9BAC-034C-4B78-9451-1960482B8D7E}"/>
    <cellStyle name="Percentuale 20 5" xfId="2323" xr:uid="{00000000-0005-0000-0000-00002D080000}"/>
    <cellStyle name="Percentuale 20 5 2" xfId="28104" xr:uid="{D800A957-5A7C-4DBA-9D98-852B19C007D8}"/>
    <cellStyle name="Percentuale 20 5 3" xfId="28105" xr:uid="{B1F6E0F9-13C3-464D-8FF2-18A649116EBE}"/>
    <cellStyle name="Percentuale 20 5 3 2" xfId="49121" xr:uid="{2F93C9D8-7454-48AC-B0A7-F5686FB5D0A0}"/>
    <cellStyle name="Percentuale 20 5 4" xfId="28106" xr:uid="{DF4EC12B-E1BD-4735-B52B-ACDCC7FDC34F}"/>
    <cellStyle name="Percentuale 20 5 5" xfId="28103" xr:uid="{B513E957-DB15-4ACE-A746-ADC3901C9F7E}"/>
    <cellStyle name="Percentuale 20 6" xfId="4321" xr:uid="{95A6154F-01F0-4BAB-BEE1-FF3F97AA0F46}"/>
    <cellStyle name="Percentuale 20 6 2" xfId="9823" xr:uid="{BB8B17D9-C8A9-4E81-9EE2-D7F3A8536D98}"/>
    <cellStyle name="Percentuale 20 6 3" xfId="28107" xr:uid="{F27F4A61-9927-4176-83BF-2DC2EA21E195}"/>
    <cellStyle name="Percentuale 20 7" xfId="28108" xr:uid="{CC894AE4-9567-41BC-92FA-533D694F40D4}"/>
    <cellStyle name="Percentuale 20 7 2" xfId="49122" xr:uid="{262E03B8-677F-46F7-A4D4-AA82CDBCF1CC}"/>
    <cellStyle name="Percentuale 20 8" xfId="28075" xr:uid="{2F1B69BC-45A1-4A54-B646-9F48E109D17B}"/>
    <cellStyle name="Percentuale 21" xfId="1022" xr:uid="{00000000-0005-0000-0000-00002E080000}"/>
    <cellStyle name="Percentuale 21 2" xfId="1023" xr:uid="{00000000-0005-0000-0000-00002F080000}"/>
    <cellStyle name="Percentuale 21 2 2" xfId="4322" xr:uid="{411AFDE7-1BA9-453D-997F-735EBF12A0E7}"/>
    <cellStyle name="Percentuale 21 2 2 2" xfId="13575" xr:uid="{A88AF90B-67C5-4627-9588-469015399B43}"/>
    <cellStyle name="Percentuale 21 2 2 3" xfId="28111" xr:uid="{D95B935B-9DFD-4C83-B9CE-78F62CDB6EDE}"/>
    <cellStyle name="Percentuale 21 2 3" xfId="13313" xr:uid="{A073935D-5F24-4333-97B5-2F69151A21DE}"/>
    <cellStyle name="Percentuale 21 2 3 2" xfId="28112" xr:uid="{F88785C1-FEDB-42CA-B4A5-784ED64CA250}"/>
    <cellStyle name="Percentuale 21 2 4" xfId="28113" xr:uid="{86C3CAB9-2C13-4EE0-A43A-80C025CC5664}"/>
    <cellStyle name="Percentuale 21 2 4 2" xfId="49123" xr:uid="{A4AE4592-7C75-42AB-82DA-337C81DFDB06}"/>
    <cellStyle name="Percentuale 21 2 5" xfId="28114" xr:uid="{1A0506B4-F057-45C3-93A9-3A7BB9B7B7D0}"/>
    <cellStyle name="Percentuale 21 2 6" xfId="28110" xr:uid="{40F69E0A-4E97-4886-AAC9-3EBB1198669A}"/>
    <cellStyle name="Percentuale 21 3" xfId="1024" xr:uid="{00000000-0005-0000-0000-000030080000}"/>
    <cellStyle name="Percentuale 21 3 2" xfId="1025" xr:uid="{00000000-0005-0000-0000-000031080000}"/>
    <cellStyle name="Percentuale 21 3 2 2" xfId="2324" xr:uid="{00000000-0005-0000-0000-000032080000}"/>
    <cellStyle name="Percentuale 21 3 2 2 2" xfId="28118" xr:uid="{71687389-46F3-4EB7-BAC4-E1E30C84D2CD}"/>
    <cellStyle name="Percentuale 21 3 2 2 3" xfId="28117" xr:uid="{16B737DC-E0CA-4DF5-AE9D-6C89DC9DF07C}"/>
    <cellStyle name="Percentuale 21 3 2 3" xfId="8130" xr:uid="{3E21A8B9-7CF8-43EB-861F-9A7FE22A6399}"/>
    <cellStyle name="Percentuale 21 3 2 3 2" xfId="14129" xr:uid="{B02EBE45-1255-41B2-AFB6-4D65CBC2682C}"/>
    <cellStyle name="Percentuale 21 3 2 3 3" xfId="28119" xr:uid="{D2469135-6F82-44EF-99F1-9AB0E7820919}"/>
    <cellStyle name="Percentuale 21 3 2 3 4" xfId="49124" xr:uid="{02488529-BBBE-4BC5-9D73-7AFA82BC366F}"/>
    <cellStyle name="Percentuale 21 3 2 4" xfId="28120" xr:uid="{9F2F897C-B872-4491-8272-E363D8651BE5}"/>
    <cellStyle name="Percentuale 21 3 2 5" xfId="28116" xr:uid="{6031EE95-C9D9-41A5-B3BA-7D7DA649AA85}"/>
    <cellStyle name="Percentuale 21 3 3" xfId="4323" xr:uid="{B19CC735-7D8F-4506-857A-79A19285F46E}"/>
    <cellStyle name="Percentuale 21 3 3 2" xfId="9437" xr:uid="{D557741A-EBDF-4C31-8305-B06AB111A0EA}"/>
    <cellStyle name="Percentuale 21 3 3 2 2" xfId="28122" xr:uid="{2FD14E47-C268-4FE3-9670-8EA06DFD420C}"/>
    <cellStyle name="Percentuale 21 3 3 3" xfId="28123" xr:uid="{2CE9E813-683F-49DF-AE89-CE3B6E50E2AA}"/>
    <cellStyle name="Percentuale 21 3 3 4" xfId="28124" xr:uid="{F886866C-80C2-4EC0-AAEB-994C975CB638}"/>
    <cellStyle name="Percentuale 21 3 3 4 2" xfId="49125" xr:uid="{E809BD45-8EF2-4015-88AC-72AA6FFFFB66}"/>
    <cellStyle name="Percentuale 21 3 3 5" xfId="28121" xr:uid="{9D85911F-C8DE-40C8-B21D-BA74FC218AFC}"/>
    <cellStyle name="Percentuale 21 3 4" xfId="4324" xr:uid="{266EAE50-6CB0-4462-A3BC-909FF3B48C3E}"/>
    <cellStyle name="Percentuale 21 3 4 2" xfId="13790" xr:uid="{BAF7263B-F8A8-4A7C-92A2-6958DA67BB38}"/>
    <cellStyle name="Percentuale 21 3 4 3" xfId="28125" xr:uid="{218CDCA3-AE81-4345-B877-7C1CF8678034}"/>
    <cellStyle name="Percentuale 21 3 5" xfId="12263" xr:uid="{5D917B83-9C8C-4D82-91EE-32332865765B}"/>
    <cellStyle name="Percentuale 21 3 5 2" xfId="28126" xr:uid="{3D466229-EE06-4F2B-8FA1-9B6B00B500F1}"/>
    <cellStyle name="Percentuale 21 3 6" xfId="28127" xr:uid="{FAB1AE93-16D4-4612-8EED-4AB78AD5F7A6}"/>
    <cellStyle name="Percentuale 21 3 6 2" xfId="49126" xr:uid="{A6E74978-59B3-4645-9C83-4DC50354D62E}"/>
    <cellStyle name="Percentuale 21 3 7" xfId="28128" xr:uid="{4BA15E97-70D5-43D6-B77E-0560F2A31135}"/>
    <cellStyle name="Percentuale 21 3 8" xfId="28115" xr:uid="{AB38FEC5-9551-4E8E-9847-E74C94B215AD}"/>
    <cellStyle name="Percentuale 21 4" xfId="2325" xr:uid="{00000000-0005-0000-0000-000033080000}"/>
    <cellStyle name="Percentuale 21 4 2" xfId="2326" xr:uid="{00000000-0005-0000-0000-000034080000}"/>
    <cellStyle name="Percentuale 21 4 2 2" xfId="9438" xr:uid="{09598009-819E-4DB3-8397-9A54CD1959BC}"/>
    <cellStyle name="Percentuale 21 4 2 2 2" xfId="28131" xr:uid="{70A39651-66F2-4E9D-A972-DB85993B80C5}"/>
    <cellStyle name="Percentuale 21 4 2 3" xfId="17915" xr:uid="{2C6DE4E3-D2CF-408D-BD91-1F41DA19D8E6}"/>
    <cellStyle name="Percentuale 21 4 2 3 2" xfId="28132" xr:uid="{73DD17FD-671D-4932-888D-63ADFB3CFB5A}"/>
    <cellStyle name="Percentuale 21 4 2 4" xfId="28130" xr:uid="{C4DCF052-D07E-4A9A-B66F-43BE62D29847}"/>
    <cellStyle name="Percentuale 21 4 2 5" xfId="17523" xr:uid="{12C2BD33-84A7-41B0-AAC0-F613143B2210}"/>
    <cellStyle name="Percentuale 21 4 3" xfId="9439" xr:uid="{068C0136-8802-481E-BD68-11B1885C9486}"/>
    <cellStyle name="Percentuale 21 4 3 2" xfId="28133" xr:uid="{C861F004-B448-4EB9-B660-F44C832A3CC1}"/>
    <cellStyle name="Percentuale 21 4 4" xfId="28134" xr:uid="{4C2A28EF-71CE-43E2-B739-794D3D643228}"/>
    <cellStyle name="Percentuale 21 4 5" xfId="28135" xr:uid="{32C70316-CE8E-4278-AB84-5601F406EDDE}"/>
    <cellStyle name="Percentuale 21 4 5 2" xfId="49127" xr:uid="{FDD8F6B1-C366-43A9-9898-99F73D9AFBB2}"/>
    <cellStyle name="Percentuale 21 4 6" xfId="28136" xr:uid="{F0FA6F69-F0C0-4612-9A42-168A3B017958}"/>
    <cellStyle name="Percentuale 21 4 7" xfId="28129" xr:uid="{A4EA570D-4C80-40F9-B68B-5719D66A3398}"/>
    <cellStyle name="Percentuale 21 5" xfId="2327" xr:uid="{00000000-0005-0000-0000-000035080000}"/>
    <cellStyle name="Percentuale 21 5 2" xfId="28138" xr:uid="{39AC9682-E3C8-4DB6-B01C-E8DDE908B019}"/>
    <cellStyle name="Percentuale 21 5 3" xfId="28139" xr:uid="{F21D404E-1494-4FA9-88F4-966C63765C0A}"/>
    <cellStyle name="Percentuale 21 5 3 2" xfId="49128" xr:uid="{558B5B7F-2717-4DB8-9C86-7964A1B85125}"/>
    <cellStyle name="Percentuale 21 5 4" xfId="28140" xr:uid="{2C5A38EC-3398-4474-BC59-816180C6FFDB}"/>
    <cellStyle name="Percentuale 21 5 5" xfId="28137" xr:uid="{2D5D7465-DB3F-44AC-99EA-B651CD72EF97}"/>
    <cellStyle name="Percentuale 21 6" xfId="4325" xr:uid="{535C5308-7322-421C-B59C-EF8D14E1D787}"/>
    <cellStyle name="Percentuale 21 6 2" xfId="9824" xr:uid="{8919C317-2AEB-40C6-AD5B-C876BF8F23ED}"/>
    <cellStyle name="Percentuale 21 6 3" xfId="28141" xr:uid="{7E51460B-2A50-4793-A52A-398045124583}"/>
    <cellStyle name="Percentuale 21 7" xfId="28142" xr:uid="{DD0A43E8-1C9D-41CB-B9F6-2530FF862B7F}"/>
    <cellStyle name="Percentuale 21 7 2" xfId="49129" xr:uid="{395F0237-9B2A-44CD-9F85-1AA57B26B3EA}"/>
    <cellStyle name="Percentuale 21 8" xfId="28109" xr:uid="{EE409AFC-3564-4C52-BF4D-8318E7001354}"/>
    <cellStyle name="Percentuale 22" xfId="1026" xr:uid="{00000000-0005-0000-0000-000036080000}"/>
    <cellStyle name="Percentuale 22 2" xfId="1027" xr:uid="{00000000-0005-0000-0000-000037080000}"/>
    <cellStyle name="Percentuale 22 2 2" xfId="4326" xr:uid="{E2E6DF2D-0955-4ACC-A969-83E6192D94A8}"/>
    <cellStyle name="Percentuale 22 2 2 2" xfId="13576" xr:uid="{5F78CB34-B90D-4855-B482-A514F8D4FABD}"/>
    <cellStyle name="Percentuale 22 2 2 3" xfId="28145" xr:uid="{F543EC8B-275B-4BDB-972A-05CF14DD8987}"/>
    <cellStyle name="Percentuale 22 2 3" xfId="13314" xr:uid="{2F337C45-C3EA-4DE2-81BB-E31A3DC23BF5}"/>
    <cellStyle name="Percentuale 22 2 3 2" xfId="28146" xr:uid="{11409267-B125-4D8B-9F33-0DD79CBC5C54}"/>
    <cellStyle name="Percentuale 22 2 4" xfId="28147" xr:uid="{F9FBD0E2-C007-4A23-8411-CC84D7374A41}"/>
    <cellStyle name="Percentuale 22 2 4 2" xfId="49130" xr:uid="{8F54D939-6B7B-4632-AD36-E98C49063F55}"/>
    <cellStyle name="Percentuale 22 2 5" xfId="28148" xr:uid="{FD168486-EF71-48AA-97D0-3BECF8E5397A}"/>
    <cellStyle name="Percentuale 22 2 6" xfId="28144" xr:uid="{3FC38FF0-DF15-487D-A78E-558EF68EC30D}"/>
    <cellStyle name="Percentuale 22 3" xfId="1028" xr:uid="{00000000-0005-0000-0000-000038080000}"/>
    <cellStyle name="Percentuale 22 3 2" xfId="1029" xr:uid="{00000000-0005-0000-0000-000039080000}"/>
    <cellStyle name="Percentuale 22 3 2 2" xfId="2328" xr:uid="{00000000-0005-0000-0000-00003A080000}"/>
    <cellStyle name="Percentuale 22 3 2 2 2" xfId="28152" xr:uid="{C8F320A5-B0AB-4DFC-9388-65A49F2780AB}"/>
    <cellStyle name="Percentuale 22 3 2 2 3" xfId="28151" xr:uid="{8F9DF8E6-8BAE-4E44-BB6C-6EC7B1DEAB1D}"/>
    <cellStyle name="Percentuale 22 3 2 3" xfId="8131" xr:uid="{77E6D6E6-D98C-4889-A66F-586F96D6C4C3}"/>
    <cellStyle name="Percentuale 22 3 2 3 2" xfId="14130" xr:uid="{F1E2A7F5-74B3-4C98-9C37-A07CA3E93AE6}"/>
    <cellStyle name="Percentuale 22 3 2 3 3" xfId="28153" xr:uid="{DEF90223-E55B-48ED-BF8F-57250E61E46B}"/>
    <cellStyle name="Percentuale 22 3 2 3 4" xfId="49131" xr:uid="{4DC5C756-7B50-494C-8E70-2C1764A40599}"/>
    <cellStyle name="Percentuale 22 3 2 4" xfId="28154" xr:uid="{DACFADAB-F472-4298-BAEA-241F529101A0}"/>
    <cellStyle name="Percentuale 22 3 2 5" xfId="28150" xr:uid="{0011F9DB-29A9-4C2E-8633-001DD7F81099}"/>
    <cellStyle name="Percentuale 22 3 3" xfId="4327" xr:uid="{9FB22EE6-38EC-4DBE-B920-91B04C4AB4C4}"/>
    <cellStyle name="Percentuale 22 3 3 2" xfId="9440" xr:uid="{94306DC1-5E32-4BC0-88E5-F20D0CEFDD62}"/>
    <cellStyle name="Percentuale 22 3 3 2 2" xfId="28156" xr:uid="{6CEDF8FE-67D7-43A9-9EC0-9A44FFEE31CB}"/>
    <cellStyle name="Percentuale 22 3 3 3" xfId="28157" xr:uid="{FE1E96FE-A552-431E-84D5-A74C0C70A76C}"/>
    <cellStyle name="Percentuale 22 3 3 4" xfId="28158" xr:uid="{A406A0FF-9A93-470F-AF62-A287B7908C1E}"/>
    <cellStyle name="Percentuale 22 3 3 4 2" xfId="49132" xr:uid="{5D8B1F47-A570-4A0C-93C4-16139853CDC0}"/>
    <cellStyle name="Percentuale 22 3 3 5" xfId="28155" xr:uid="{8B496A40-9888-4C8A-B1CC-0AC46F5527BB}"/>
    <cellStyle name="Percentuale 22 3 4" xfId="4328" xr:uid="{B2E6B3A1-F0E1-460E-B1A4-8FF717DF202E}"/>
    <cellStyle name="Percentuale 22 3 4 2" xfId="13791" xr:uid="{A66A060D-2F15-4CC4-A0B7-262788E738CC}"/>
    <cellStyle name="Percentuale 22 3 4 3" xfId="28159" xr:uid="{A75EA63C-0DA5-4F7B-8026-880507732C6A}"/>
    <cellStyle name="Percentuale 22 3 5" xfId="11516" xr:uid="{280E1328-83AC-43C0-A191-9CE9E30E2E1D}"/>
    <cellStyle name="Percentuale 22 3 5 2" xfId="28160" xr:uid="{89577E0B-DC9A-4FCC-BFC0-33F0E6C5EC6B}"/>
    <cellStyle name="Percentuale 22 3 6" xfId="28161" xr:uid="{415F02EF-EFB1-4E63-B763-840C074D9734}"/>
    <cellStyle name="Percentuale 22 3 6 2" xfId="49133" xr:uid="{773CC908-C63F-4400-B891-CF8F676B961A}"/>
    <cellStyle name="Percentuale 22 3 7" xfId="28162" xr:uid="{73A67F42-626E-470B-AEB0-44C8B5E1023F}"/>
    <cellStyle name="Percentuale 22 3 8" xfId="28149" xr:uid="{161A51DF-3409-4B3E-A3A7-60E5BA7E57D7}"/>
    <cellStyle name="Percentuale 22 4" xfId="2329" xr:uid="{00000000-0005-0000-0000-00003B080000}"/>
    <cellStyle name="Percentuale 22 4 2" xfId="2330" xr:uid="{00000000-0005-0000-0000-00003C080000}"/>
    <cellStyle name="Percentuale 22 4 2 2" xfId="9441" xr:uid="{F4C57FDC-923A-4BA7-B518-40F522E45AC3}"/>
    <cellStyle name="Percentuale 22 4 2 2 2" xfId="28165" xr:uid="{8D4CC688-5784-425C-8829-7AD884C1B5F6}"/>
    <cellStyle name="Percentuale 22 4 2 3" xfId="17916" xr:uid="{4373C240-6185-4CB0-8A17-0986681003B4}"/>
    <cellStyle name="Percentuale 22 4 2 3 2" xfId="28166" xr:uid="{80266299-8F82-4E6A-8ECD-5CCDD85F65D5}"/>
    <cellStyle name="Percentuale 22 4 2 4" xfId="28164" xr:uid="{1080E63E-6762-43C1-9BE5-FFC00084BF4B}"/>
    <cellStyle name="Percentuale 22 4 2 5" xfId="17524" xr:uid="{4CBE5612-ECBC-4C5D-8C7F-A3FAA90876DE}"/>
    <cellStyle name="Percentuale 22 4 3" xfId="9442" xr:uid="{4322666D-4BE7-4219-B42A-D16C4376FB07}"/>
    <cellStyle name="Percentuale 22 4 3 2" xfId="28167" xr:uid="{23167533-F408-4865-9981-0BE263A1741B}"/>
    <cellStyle name="Percentuale 22 4 4" xfId="28168" xr:uid="{AB441F3E-7483-4F90-90BE-99731BB0D9C7}"/>
    <cellStyle name="Percentuale 22 4 5" xfId="28169" xr:uid="{188FDC48-CA11-4139-A8EB-144C00F73DED}"/>
    <cellStyle name="Percentuale 22 4 5 2" xfId="49134" xr:uid="{39CA5008-B4CA-4CB7-B617-D5ACE2789584}"/>
    <cellStyle name="Percentuale 22 4 6" xfId="28170" xr:uid="{0650B38F-F28C-4CC6-AD73-5DDBA2680AA9}"/>
    <cellStyle name="Percentuale 22 4 7" xfId="28163" xr:uid="{7768FD3B-8701-4DB6-92A3-6C6EAF188145}"/>
    <cellStyle name="Percentuale 22 5" xfId="2331" xr:uid="{00000000-0005-0000-0000-00003D080000}"/>
    <cellStyle name="Percentuale 22 5 2" xfId="28172" xr:uid="{0E65833C-955B-4974-85FA-25D65482F561}"/>
    <cellStyle name="Percentuale 22 5 3" xfId="28173" xr:uid="{89678A7D-84DD-49A8-A94B-8ED9345B932F}"/>
    <cellStyle name="Percentuale 22 5 3 2" xfId="49135" xr:uid="{E0D4BEDF-D9DE-4580-A19D-729CE44C3E7B}"/>
    <cellStyle name="Percentuale 22 5 4" xfId="28174" xr:uid="{99696CEA-8EC0-4333-850B-917390EB7790}"/>
    <cellStyle name="Percentuale 22 5 5" xfId="28171" xr:uid="{95F0E64C-CFA7-40DF-BA41-2A5377327311}"/>
    <cellStyle name="Percentuale 22 6" xfId="4329" xr:uid="{15AD8ACB-4DAF-4765-A05B-25FF1B4F81E2}"/>
    <cellStyle name="Percentuale 22 6 2" xfId="9825" xr:uid="{BB339665-A2C3-452A-B85B-42D73A0A18DE}"/>
    <cellStyle name="Percentuale 22 6 3" xfId="28175" xr:uid="{8DDA53E0-C056-4725-B79F-13376BCBBADA}"/>
    <cellStyle name="Percentuale 22 7" xfId="28176" xr:uid="{0EBC0583-D1AC-4229-9CA6-030D417AE072}"/>
    <cellStyle name="Percentuale 22 7 2" xfId="49136" xr:uid="{8FB4369C-177E-46F8-9EEA-15C1B190BA13}"/>
    <cellStyle name="Percentuale 22 8" xfId="28143" xr:uid="{3499C497-9431-4462-B973-5F56085E0B52}"/>
    <cellStyle name="Percentuale 23" xfId="1030" xr:uid="{00000000-0005-0000-0000-00003E080000}"/>
    <cellStyle name="Percentuale 23 2" xfId="1031" xr:uid="{00000000-0005-0000-0000-00003F080000}"/>
    <cellStyle name="Percentuale 23 2 2" xfId="4330" xr:uid="{EA5C1A5B-C5FB-4876-AE9E-A13BB4F6FCAC}"/>
    <cellStyle name="Percentuale 23 2 2 2" xfId="13577" xr:uid="{4BE59AA6-881A-460D-81D8-D75535655C6D}"/>
    <cellStyle name="Percentuale 23 2 2 3" xfId="28179" xr:uid="{EAE1C925-468C-473F-9816-4FDBD635368B}"/>
    <cellStyle name="Percentuale 23 2 3" xfId="13315" xr:uid="{23E80BC0-9EC2-4B9C-85DB-330EBFE1CDE6}"/>
    <cellStyle name="Percentuale 23 2 3 2" xfId="28180" xr:uid="{77500DCC-56D6-4E93-8451-540494FF84C6}"/>
    <cellStyle name="Percentuale 23 2 4" xfId="28181" xr:uid="{D43533CA-BDA3-49EB-A55E-24BE2476112C}"/>
    <cellStyle name="Percentuale 23 2 4 2" xfId="49137" xr:uid="{FE604292-7A26-4188-A730-AE319714F55A}"/>
    <cellStyle name="Percentuale 23 2 5" xfId="28182" xr:uid="{2C9F372B-2190-476E-BF92-0B0391AD0954}"/>
    <cellStyle name="Percentuale 23 2 6" xfId="28178" xr:uid="{7BC71D7F-6C1E-44D3-ABB4-005579BD96B7}"/>
    <cellStyle name="Percentuale 23 3" xfId="1032" xr:uid="{00000000-0005-0000-0000-000040080000}"/>
    <cellStyle name="Percentuale 23 3 2" xfId="1033" xr:uid="{00000000-0005-0000-0000-000041080000}"/>
    <cellStyle name="Percentuale 23 3 2 2" xfId="2332" xr:uid="{00000000-0005-0000-0000-000042080000}"/>
    <cellStyle name="Percentuale 23 3 2 2 2" xfId="28186" xr:uid="{D67084E3-775E-4ED4-A6F2-48A1FC9C5DBE}"/>
    <cellStyle name="Percentuale 23 3 2 2 3" xfId="28185" xr:uid="{7F98FFA8-3B59-48D1-9946-0FE8C57BAC96}"/>
    <cellStyle name="Percentuale 23 3 2 3" xfId="8132" xr:uid="{204CFE57-3661-4CBA-9181-61A38421C1B8}"/>
    <cellStyle name="Percentuale 23 3 2 3 2" xfId="14131" xr:uid="{38714B34-A8E2-4B73-B872-A62C7CD97E34}"/>
    <cellStyle name="Percentuale 23 3 2 3 3" xfId="28187" xr:uid="{9E2A95C5-446C-4F57-805C-634B6F24DE3D}"/>
    <cellStyle name="Percentuale 23 3 2 3 4" xfId="49138" xr:uid="{67CC730D-5403-43BB-AC85-4EAA4F0F110B}"/>
    <cellStyle name="Percentuale 23 3 2 4" xfId="28188" xr:uid="{1822639E-4427-4507-9E16-91CF1D1EF480}"/>
    <cellStyle name="Percentuale 23 3 2 5" xfId="28184" xr:uid="{1BBB3162-2E16-431F-B949-5DA375871D35}"/>
    <cellStyle name="Percentuale 23 3 3" xfId="4331" xr:uid="{F874927C-7A57-4E01-BC96-C52FB8260D43}"/>
    <cellStyle name="Percentuale 23 3 3 2" xfId="9443" xr:uid="{CF381FBD-8D45-4340-8506-22101A44F71A}"/>
    <cellStyle name="Percentuale 23 3 3 2 2" xfId="28190" xr:uid="{61E58FBC-66EA-4EC4-A265-256C2670B564}"/>
    <cellStyle name="Percentuale 23 3 3 3" xfId="28191" xr:uid="{AAF6E8FC-C6FD-43DD-8235-FF0ADA77E445}"/>
    <cellStyle name="Percentuale 23 3 3 4" xfId="28192" xr:uid="{5ED6613D-51CB-4CBE-A6AA-07949F9214FC}"/>
    <cellStyle name="Percentuale 23 3 3 4 2" xfId="49139" xr:uid="{235D511E-9B9C-4B8B-BCEF-F4F71564DF70}"/>
    <cellStyle name="Percentuale 23 3 3 5" xfId="28189" xr:uid="{D570D591-5CF4-48AB-A7F1-D40F80BE10F6}"/>
    <cellStyle name="Percentuale 23 3 4" xfId="4332" xr:uid="{B11250AF-04B5-4181-B427-3D0D2B26089F}"/>
    <cellStyle name="Percentuale 23 3 4 2" xfId="13792" xr:uid="{C4DDEEFA-AE12-48FF-9590-D3EE9C9E3C1E}"/>
    <cellStyle name="Percentuale 23 3 4 3" xfId="28193" xr:uid="{193ACD70-4E49-4D83-9A95-8DB6B1DFE296}"/>
    <cellStyle name="Percentuale 23 3 5" xfId="12262" xr:uid="{3E3C8F2E-303F-4269-9B0D-95C21F150A79}"/>
    <cellStyle name="Percentuale 23 3 5 2" xfId="28194" xr:uid="{5D30DC28-08E0-4A50-8E9D-8F7E92861DBF}"/>
    <cellStyle name="Percentuale 23 3 6" xfId="28195" xr:uid="{3428D626-4DD8-4433-9C26-19BFC76497A8}"/>
    <cellStyle name="Percentuale 23 3 6 2" xfId="49140" xr:uid="{DD9E044C-4239-4F27-9AF7-5B7EE8723F98}"/>
    <cellStyle name="Percentuale 23 3 7" xfId="28196" xr:uid="{052EBDA8-B2EC-4F99-918E-633E2F2F217D}"/>
    <cellStyle name="Percentuale 23 3 8" xfId="28183" xr:uid="{68574E7D-FCE6-4B85-A01D-BB54188422FF}"/>
    <cellStyle name="Percentuale 23 4" xfId="2333" xr:uid="{00000000-0005-0000-0000-000043080000}"/>
    <cellStyle name="Percentuale 23 4 2" xfId="2334" xr:uid="{00000000-0005-0000-0000-000044080000}"/>
    <cellStyle name="Percentuale 23 4 2 2" xfId="9444" xr:uid="{969738AF-1394-4BCC-A0C5-6C10BF0B96EE}"/>
    <cellStyle name="Percentuale 23 4 2 2 2" xfId="28199" xr:uid="{1896899C-5D99-4C9C-B973-D36551AF25EF}"/>
    <cellStyle name="Percentuale 23 4 2 3" xfId="17917" xr:uid="{CAC90337-3538-4E28-9398-D633DA727565}"/>
    <cellStyle name="Percentuale 23 4 2 3 2" xfId="28200" xr:uid="{912BF4A1-8F24-4117-95DF-C61902213A09}"/>
    <cellStyle name="Percentuale 23 4 2 4" xfId="28198" xr:uid="{5F1974FE-414D-4A51-90E3-2CD22AD88FA7}"/>
    <cellStyle name="Percentuale 23 4 2 5" xfId="17525" xr:uid="{FDCFAEF1-3D08-4026-B6AA-08C5896CE284}"/>
    <cellStyle name="Percentuale 23 4 3" xfId="9445" xr:uid="{E85D7431-571F-4E3A-B612-0AF29D660AEE}"/>
    <cellStyle name="Percentuale 23 4 3 2" xfId="28201" xr:uid="{4C988DFA-6EEA-4161-9236-FC0FCBB41680}"/>
    <cellStyle name="Percentuale 23 4 4" xfId="28202" xr:uid="{8FFA43BD-2BD5-4A49-ABF9-628C86D8D48D}"/>
    <cellStyle name="Percentuale 23 4 5" xfId="28203" xr:uid="{3A5E972A-EC01-4629-B911-2D39D58B29C3}"/>
    <cellStyle name="Percentuale 23 4 5 2" xfId="49141" xr:uid="{0E046957-465F-4B46-9210-34FF0731D7A6}"/>
    <cellStyle name="Percentuale 23 4 6" xfId="28204" xr:uid="{D19551D6-B83D-40AA-9644-6A6D85151F63}"/>
    <cellStyle name="Percentuale 23 4 7" xfId="28197" xr:uid="{A7EC0BFF-A204-4EBB-8F5D-250AE9CC815B}"/>
    <cellStyle name="Percentuale 23 5" xfId="2335" xr:uid="{00000000-0005-0000-0000-000045080000}"/>
    <cellStyle name="Percentuale 23 5 2" xfId="28206" xr:uid="{AFB34C3C-1908-4928-9F5C-99B7EF2C02A5}"/>
    <cellStyle name="Percentuale 23 5 3" xfId="28207" xr:uid="{B72283BB-99C6-4E4A-A346-1AF78A3FC9C3}"/>
    <cellStyle name="Percentuale 23 5 3 2" xfId="49142" xr:uid="{52D5CC27-53CE-491D-9DFF-432E74CBBA2F}"/>
    <cellStyle name="Percentuale 23 5 4" xfId="28208" xr:uid="{B3593DCD-BB0F-4C14-85D2-CE93FFF246FA}"/>
    <cellStyle name="Percentuale 23 5 5" xfId="28205" xr:uid="{902E0989-EA93-4E09-8074-53953CEE865D}"/>
    <cellStyle name="Percentuale 23 6" xfId="4333" xr:uid="{8B582DA5-B09C-49DD-9BDF-C33F5690D056}"/>
    <cellStyle name="Percentuale 23 6 2" xfId="9826" xr:uid="{C6C1537B-745E-4E67-A3BF-2F9FA799A101}"/>
    <cellStyle name="Percentuale 23 6 3" xfId="28209" xr:uid="{2FDA0A08-0C98-46F3-B508-7AF7CCA4D2A9}"/>
    <cellStyle name="Percentuale 23 7" xfId="28210" xr:uid="{27DE0A60-5445-4AAD-AA70-737C17F86A41}"/>
    <cellStyle name="Percentuale 23 7 2" xfId="49143" xr:uid="{1C270B1E-4F57-436F-A88A-8B7404C90D96}"/>
    <cellStyle name="Percentuale 23 8" xfId="28177" xr:uid="{8266EF75-BFBD-4843-9AE2-4E13035D4F76}"/>
    <cellStyle name="Percentuale 24" xfId="1034" xr:uid="{00000000-0005-0000-0000-000046080000}"/>
    <cellStyle name="Percentuale 24 2" xfId="1035" xr:uid="{00000000-0005-0000-0000-000047080000}"/>
    <cellStyle name="Percentuale 24 2 2" xfId="4334" xr:uid="{80AB36F7-E95B-42F2-9E36-2D8AE21EE450}"/>
    <cellStyle name="Percentuale 24 2 2 2" xfId="13578" xr:uid="{D638F76F-4644-4CED-BE8D-83F5D59253CF}"/>
    <cellStyle name="Percentuale 24 2 2 3" xfId="28213" xr:uid="{EF6DAACD-270F-40E8-AEE8-E170E1E814FC}"/>
    <cellStyle name="Percentuale 24 2 3" xfId="13316" xr:uid="{656E87A9-DCA1-42E1-93AC-4B71668E7293}"/>
    <cellStyle name="Percentuale 24 2 3 2" xfId="28214" xr:uid="{FE014AC8-154F-48E2-ABA4-C26A2604F3F0}"/>
    <cellStyle name="Percentuale 24 2 4" xfId="28215" xr:uid="{DA437C29-ED3A-48AA-A38A-F96E26447739}"/>
    <cellStyle name="Percentuale 24 2 4 2" xfId="49144" xr:uid="{D6B76C1C-B127-4B36-B5E0-A3B20C2BA14A}"/>
    <cellStyle name="Percentuale 24 2 5" xfId="28216" xr:uid="{F004E12B-7E8D-4F49-B9AB-71A952030CF8}"/>
    <cellStyle name="Percentuale 24 2 6" xfId="28212" xr:uid="{0BF218AC-9E68-4B93-8416-19707AE8C35F}"/>
    <cellStyle name="Percentuale 24 3" xfId="1036" xr:uid="{00000000-0005-0000-0000-000048080000}"/>
    <cellStyle name="Percentuale 24 3 2" xfId="1037" xr:uid="{00000000-0005-0000-0000-000049080000}"/>
    <cellStyle name="Percentuale 24 3 2 2" xfId="2336" xr:uid="{00000000-0005-0000-0000-00004A080000}"/>
    <cellStyle name="Percentuale 24 3 2 2 2" xfId="28220" xr:uid="{561EFE2C-9221-44DF-BC61-062D612C0022}"/>
    <cellStyle name="Percentuale 24 3 2 2 3" xfId="28219" xr:uid="{3B0948C1-3134-48B5-8FCD-439063271888}"/>
    <cellStyle name="Percentuale 24 3 2 3" xfId="8133" xr:uid="{B0C51059-F573-4D86-9374-769F8CBCADF1}"/>
    <cellStyle name="Percentuale 24 3 2 3 2" xfId="14132" xr:uid="{03DCFBB9-8042-4762-893C-325B48E9F919}"/>
    <cellStyle name="Percentuale 24 3 2 3 3" xfId="28221" xr:uid="{1FCC2CDD-91D2-4E0D-91FA-E3D4FC2FDF4E}"/>
    <cellStyle name="Percentuale 24 3 2 3 4" xfId="49145" xr:uid="{C924F7AB-CF65-4CEB-9CA7-8964D36E5CC2}"/>
    <cellStyle name="Percentuale 24 3 2 4" xfId="28222" xr:uid="{07A9D1E0-50F6-4040-B86D-BA57D77038A5}"/>
    <cellStyle name="Percentuale 24 3 2 5" xfId="28218" xr:uid="{8D5B1645-5A4A-4B2C-A10B-7D0EBBD1DA8E}"/>
    <cellStyle name="Percentuale 24 3 3" xfId="4335" xr:uid="{68423A94-4291-4BC1-98E6-2B168F91C377}"/>
    <cellStyle name="Percentuale 24 3 3 2" xfId="9446" xr:uid="{8E9EC9C0-2594-4509-AB95-30527AF17498}"/>
    <cellStyle name="Percentuale 24 3 3 2 2" xfId="28224" xr:uid="{F73E2FD9-CFEA-4956-836E-34DF8F592CE3}"/>
    <cellStyle name="Percentuale 24 3 3 3" xfId="28225" xr:uid="{B5581BD4-EA8A-4865-BC59-976B89D08FF8}"/>
    <cellStyle name="Percentuale 24 3 3 4" xfId="28226" xr:uid="{59D5A832-6CFD-42C2-B3D1-4CA7B34DA491}"/>
    <cellStyle name="Percentuale 24 3 3 4 2" xfId="49146" xr:uid="{76A2BB13-DE03-4A76-B684-96E6696275D2}"/>
    <cellStyle name="Percentuale 24 3 3 5" xfId="28223" xr:uid="{243D85BA-A70B-4448-B542-783A85F4A550}"/>
    <cellStyle name="Percentuale 24 3 4" xfId="4336" xr:uid="{E4E5BED4-62EA-4707-B05B-82F24A38A5D8}"/>
    <cellStyle name="Percentuale 24 3 4 2" xfId="13793" xr:uid="{4E7BB2D4-D3AF-4C00-961D-A97E910C1079}"/>
    <cellStyle name="Percentuale 24 3 4 3" xfId="28227" xr:uid="{ECF0C729-4D97-46EC-A322-ED3405855E7A}"/>
    <cellStyle name="Percentuale 24 3 5" xfId="11505" xr:uid="{2722335A-9697-4984-BC1C-5D6160840B08}"/>
    <cellStyle name="Percentuale 24 3 5 2" xfId="28228" xr:uid="{1174ED91-84F6-4CD5-B3C1-223F6248D8A5}"/>
    <cellStyle name="Percentuale 24 3 6" xfId="28229" xr:uid="{0D940E5B-B4A4-4341-8CCB-B2014D307C0D}"/>
    <cellStyle name="Percentuale 24 3 6 2" xfId="49147" xr:uid="{D605857B-4C8E-48AF-B127-00CA3AA0D65B}"/>
    <cellStyle name="Percentuale 24 3 7" xfId="28230" xr:uid="{37052193-8ECB-4AF3-9A89-9738F4EDB522}"/>
    <cellStyle name="Percentuale 24 3 8" xfId="28217" xr:uid="{7D4ED1A7-DDAD-4FBC-A1AE-F6EB67C1BFAA}"/>
    <cellStyle name="Percentuale 24 4" xfId="2337" xr:uid="{00000000-0005-0000-0000-00004B080000}"/>
    <cellStyle name="Percentuale 24 4 2" xfId="2338" xr:uid="{00000000-0005-0000-0000-00004C080000}"/>
    <cellStyle name="Percentuale 24 4 2 2" xfId="9447" xr:uid="{B03C79A9-331F-4C56-BB54-9A8A8415EBFE}"/>
    <cellStyle name="Percentuale 24 4 2 2 2" xfId="28233" xr:uid="{90058BAA-8E7A-4EFD-87A1-097BFF70664D}"/>
    <cellStyle name="Percentuale 24 4 2 3" xfId="17918" xr:uid="{D1385522-BBBD-4AF5-B009-02710FF5EEB1}"/>
    <cellStyle name="Percentuale 24 4 2 3 2" xfId="28234" xr:uid="{50B04F3D-7255-47E5-90D7-965E7369EC36}"/>
    <cellStyle name="Percentuale 24 4 2 4" xfId="28232" xr:uid="{B337AEB3-3102-48E3-BD56-111E199B9F97}"/>
    <cellStyle name="Percentuale 24 4 2 5" xfId="17526" xr:uid="{E5BDFAFD-4B8E-4EE1-A41F-DEABE91240FC}"/>
    <cellStyle name="Percentuale 24 4 3" xfId="9448" xr:uid="{CB1DC3EB-759F-4334-8957-AAE9BC590DE4}"/>
    <cellStyle name="Percentuale 24 4 3 2" xfId="28235" xr:uid="{07C3E89A-6DE5-400A-AF18-54DFCA4947C2}"/>
    <cellStyle name="Percentuale 24 4 4" xfId="28236" xr:uid="{B2E11980-F757-4605-92BC-4865A76383D9}"/>
    <cellStyle name="Percentuale 24 4 5" xfId="28237" xr:uid="{0612DF7E-AA7F-45F5-987E-DB9007EAA22F}"/>
    <cellStyle name="Percentuale 24 4 5 2" xfId="49148" xr:uid="{4B3145A2-3D33-4548-B820-D8285D8980DB}"/>
    <cellStyle name="Percentuale 24 4 6" xfId="28238" xr:uid="{5E8DFFEE-F91E-4A6E-ADD9-5CDB49C3D824}"/>
    <cellStyle name="Percentuale 24 4 7" xfId="28231" xr:uid="{CC492767-5778-4EDE-AF2C-C38763DEE1FC}"/>
    <cellStyle name="Percentuale 24 5" xfId="2339" xr:uid="{00000000-0005-0000-0000-00004D080000}"/>
    <cellStyle name="Percentuale 24 5 2" xfId="28240" xr:uid="{26A0AD9E-7F6D-4CF7-BF54-38270E6236AD}"/>
    <cellStyle name="Percentuale 24 5 3" xfId="28241" xr:uid="{4222C95E-33A6-427F-AB0B-D4F7485251E0}"/>
    <cellStyle name="Percentuale 24 5 3 2" xfId="49149" xr:uid="{45E072E9-5D9D-4093-B6CE-78201D101351}"/>
    <cellStyle name="Percentuale 24 5 4" xfId="28242" xr:uid="{D055763F-EF1F-4534-BC69-65C00B1B0205}"/>
    <cellStyle name="Percentuale 24 5 5" xfId="28239" xr:uid="{E7AF6D3F-28AA-4A2D-BB9D-3197554F4819}"/>
    <cellStyle name="Percentuale 24 6" xfId="4337" xr:uid="{DE1861B5-E275-4951-AE40-99028ED65DE1}"/>
    <cellStyle name="Percentuale 24 6 2" xfId="9827" xr:uid="{A1F7006F-41E0-47C2-8EBA-82261F162BDF}"/>
    <cellStyle name="Percentuale 24 6 3" xfId="28243" xr:uid="{A7DCF847-2284-46F3-8616-E08388F432D8}"/>
    <cellStyle name="Percentuale 24 7" xfId="28244" xr:uid="{24B89000-DCE3-414F-9570-F681BD579B7A}"/>
    <cellStyle name="Percentuale 24 7 2" xfId="49150" xr:uid="{8DD823C4-03DB-450E-BFF3-57FD77B093DF}"/>
    <cellStyle name="Percentuale 24 8" xfId="28211" xr:uid="{51A8E7EF-E32A-4A1F-8EDF-EEE407E89F8D}"/>
    <cellStyle name="Percentuale 25" xfId="1038" xr:uid="{00000000-0005-0000-0000-00004E080000}"/>
    <cellStyle name="Percentuale 25 2" xfId="1039" xr:uid="{00000000-0005-0000-0000-00004F080000}"/>
    <cellStyle name="Percentuale 25 2 2" xfId="4338" xr:uid="{D75FEB61-2635-4A05-BC35-447C92348384}"/>
    <cellStyle name="Percentuale 25 2 2 2" xfId="13579" xr:uid="{A63306F5-643F-4C7E-873F-CED18AE6DAB5}"/>
    <cellStyle name="Percentuale 25 2 2 3" xfId="28247" xr:uid="{6ADAD562-DC3B-41E0-9B5A-0BEC8B516F8D}"/>
    <cellStyle name="Percentuale 25 2 3" xfId="13317" xr:uid="{B4B72E71-9A88-402B-A57C-2498ADD8B67D}"/>
    <cellStyle name="Percentuale 25 2 3 2" xfId="28248" xr:uid="{C854D29C-EBC3-4218-B0B3-D17DBEC6CA38}"/>
    <cellStyle name="Percentuale 25 2 4" xfId="28249" xr:uid="{51C29859-3D7D-491D-86B6-29BDE27183E0}"/>
    <cellStyle name="Percentuale 25 2 4 2" xfId="49151" xr:uid="{6D6A9877-D4FC-4620-9853-CEBD4A462FFC}"/>
    <cellStyle name="Percentuale 25 2 5" xfId="28250" xr:uid="{E3809499-D2B6-4643-9574-7392972A5933}"/>
    <cellStyle name="Percentuale 25 2 6" xfId="28246" xr:uid="{5678BEF6-9DA5-4E90-AE50-103A96F0FAFF}"/>
    <cellStyle name="Percentuale 25 3" xfId="1040" xr:uid="{00000000-0005-0000-0000-000050080000}"/>
    <cellStyle name="Percentuale 25 3 2" xfId="1041" xr:uid="{00000000-0005-0000-0000-000051080000}"/>
    <cellStyle name="Percentuale 25 3 2 2" xfId="2340" xr:uid="{00000000-0005-0000-0000-000052080000}"/>
    <cellStyle name="Percentuale 25 3 2 2 2" xfId="28254" xr:uid="{3F8A2843-B579-4083-B3EA-1E8C2521B108}"/>
    <cellStyle name="Percentuale 25 3 2 2 3" xfId="28253" xr:uid="{81269624-4104-48DD-A395-42004139E274}"/>
    <cellStyle name="Percentuale 25 3 2 3" xfId="8134" xr:uid="{35F5E39F-8085-4DB6-9E4E-D601130487B4}"/>
    <cellStyle name="Percentuale 25 3 2 3 2" xfId="14133" xr:uid="{4249E8C2-583F-439C-A7B8-C264606DC473}"/>
    <cellStyle name="Percentuale 25 3 2 3 3" xfId="28255" xr:uid="{C56E7916-903F-4215-A929-2666F0C86609}"/>
    <cellStyle name="Percentuale 25 3 2 3 4" xfId="49152" xr:uid="{4B5B892D-1AC7-4064-A5BA-60B9A02EE5C0}"/>
    <cellStyle name="Percentuale 25 3 2 4" xfId="28256" xr:uid="{C53D9EF9-2FB4-4240-97FF-8B37FB1AEF6B}"/>
    <cellStyle name="Percentuale 25 3 2 5" xfId="28252" xr:uid="{8BE031BB-3C61-47BB-9DA5-D82D0CD1C905}"/>
    <cellStyle name="Percentuale 25 3 3" xfId="4339" xr:uid="{C6C9AA98-5DA7-4219-AFB3-CE9712F908C6}"/>
    <cellStyle name="Percentuale 25 3 3 2" xfId="9449" xr:uid="{92EFB05F-E0C1-46F7-80AB-7565850C3C92}"/>
    <cellStyle name="Percentuale 25 3 3 2 2" xfId="28258" xr:uid="{02F52DD2-02C9-48D7-8158-FCCFE98EBB7A}"/>
    <cellStyle name="Percentuale 25 3 3 3" xfId="28259" xr:uid="{FDC9BB7F-2E01-47A8-BF3C-161051199935}"/>
    <cellStyle name="Percentuale 25 3 3 4" xfId="28260" xr:uid="{80A31559-6EAE-4C06-A61C-9644A6607008}"/>
    <cellStyle name="Percentuale 25 3 3 4 2" xfId="49153" xr:uid="{B7F55B5D-416F-44AC-8F7D-F653FCF870AD}"/>
    <cellStyle name="Percentuale 25 3 3 5" xfId="28257" xr:uid="{20B72442-886F-4D14-9EEA-C4A28A63E8E3}"/>
    <cellStyle name="Percentuale 25 3 4" xfId="4340" xr:uid="{401DD4ED-D35E-4359-95C5-4B760AFA836C}"/>
    <cellStyle name="Percentuale 25 3 4 2" xfId="13794" xr:uid="{5C8C3C77-A454-442D-8660-C0C33AFC2D84}"/>
    <cellStyle name="Percentuale 25 3 4 3" xfId="28261" xr:uid="{3F21B45A-ABA8-4844-A89D-301732429EF1}"/>
    <cellStyle name="Percentuale 25 3 5" xfId="11157" xr:uid="{B17B76E7-149F-44E6-8F1D-01B9E01C3C43}"/>
    <cellStyle name="Percentuale 25 3 5 2" xfId="28262" xr:uid="{88DB0F42-CA52-49F9-9867-3598180EC251}"/>
    <cellStyle name="Percentuale 25 3 6" xfId="28263" xr:uid="{945653AF-9897-49BA-B264-FA3D0B212836}"/>
    <cellStyle name="Percentuale 25 3 6 2" xfId="49154" xr:uid="{23183EC2-F336-46D2-8AB7-55A61AC5E418}"/>
    <cellStyle name="Percentuale 25 3 7" xfId="28264" xr:uid="{36131222-3FD6-41BB-B410-2831ADA3F693}"/>
    <cellStyle name="Percentuale 25 3 8" xfId="28251" xr:uid="{810C9322-12DF-469C-A86C-07C608D3B5BE}"/>
    <cellStyle name="Percentuale 25 4" xfId="2341" xr:uid="{00000000-0005-0000-0000-000053080000}"/>
    <cellStyle name="Percentuale 25 4 2" xfId="2342" xr:uid="{00000000-0005-0000-0000-000054080000}"/>
    <cellStyle name="Percentuale 25 4 2 2" xfId="9450" xr:uid="{5D978EBD-52ED-433C-BCF3-FBF8B7AAFDA5}"/>
    <cellStyle name="Percentuale 25 4 2 2 2" xfId="28267" xr:uid="{2CE101CC-77BC-46EC-A4FD-7F7BF013205E}"/>
    <cellStyle name="Percentuale 25 4 2 3" xfId="17919" xr:uid="{D9E81688-9D36-4A3B-A3FD-4EA362306D49}"/>
    <cellStyle name="Percentuale 25 4 2 3 2" xfId="28268" xr:uid="{E4D65040-58FC-440F-89F9-DFB601508374}"/>
    <cellStyle name="Percentuale 25 4 2 4" xfId="28266" xr:uid="{FFEF3116-432E-4AE0-BAD6-7FB414FE33F6}"/>
    <cellStyle name="Percentuale 25 4 2 5" xfId="17527" xr:uid="{51EA9CF5-AFEB-4E4E-AEA5-F2A6C3BF1FE7}"/>
    <cellStyle name="Percentuale 25 4 3" xfId="9451" xr:uid="{7FC96DF9-64D8-4104-A418-DACB57AD4A9B}"/>
    <cellStyle name="Percentuale 25 4 3 2" xfId="28269" xr:uid="{E7E4667B-3164-49B1-911A-D224F1ABB537}"/>
    <cellStyle name="Percentuale 25 4 4" xfId="28270" xr:uid="{7E0C3122-48B3-4F3C-B179-4CA08B2F60E6}"/>
    <cellStyle name="Percentuale 25 4 5" xfId="28271" xr:uid="{B0228B8B-70B1-42EF-83DA-E473FA59EFC6}"/>
    <cellStyle name="Percentuale 25 4 5 2" xfId="49155" xr:uid="{BE92AE46-4C30-432D-810A-FCF6BD01F750}"/>
    <cellStyle name="Percentuale 25 4 6" xfId="28272" xr:uid="{54FE9224-ECEB-459B-B1E0-02B1F0CD5118}"/>
    <cellStyle name="Percentuale 25 4 7" xfId="28265" xr:uid="{C719E1B5-862D-408F-98D3-B91EA317322A}"/>
    <cellStyle name="Percentuale 25 5" xfId="2343" xr:uid="{00000000-0005-0000-0000-000055080000}"/>
    <cellStyle name="Percentuale 25 5 2" xfId="28274" xr:uid="{A9AE43C2-833B-4187-BDB6-D4651A0D7DE0}"/>
    <cellStyle name="Percentuale 25 5 3" xfId="28275" xr:uid="{67349E4D-0277-4152-86D2-249FB999649F}"/>
    <cellStyle name="Percentuale 25 5 3 2" xfId="49156" xr:uid="{A4568716-0390-4349-A984-950C5995B685}"/>
    <cellStyle name="Percentuale 25 5 4" xfId="28276" xr:uid="{4C2BBF6D-B72C-4724-8298-DE1DD063B916}"/>
    <cellStyle name="Percentuale 25 5 5" xfId="28273" xr:uid="{9BF7B80E-41C5-4605-B746-126BFEE9C645}"/>
    <cellStyle name="Percentuale 25 6" xfId="4341" xr:uid="{0344AB72-D7EE-4F5C-A1DA-12D7E804C5E1}"/>
    <cellStyle name="Percentuale 25 6 2" xfId="9828" xr:uid="{F506BF5E-88C7-412E-A578-6931A594C5CB}"/>
    <cellStyle name="Percentuale 25 6 3" xfId="28277" xr:uid="{7F6BF741-8A5C-4172-A62F-77FF85DB2C11}"/>
    <cellStyle name="Percentuale 25 7" xfId="28278" xr:uid="{298A0BFD-B4D0-462B-88F4-A8A72C450DB8}"/>
    <cellStyle name="Percentuale 25 7 2" xfId="49157" xr:uid="{324A49B0-5BB1-4303-9AF2-68B737C4A2D7}"/>
    <cellStyle name="Percentuale 25 8" xfId="28245" xr:uid="{976C9B23-57B2-4269-80D4-D006FF3756BF}"/>
    <cellStyle name="Percentuale 26" xfId="1042" xr:uid="{00000000-0005-0000-0000-000056080000}"/>
    <cellStyle name="Percentuale 26 2" xfId="1043" xr:uid="{00000000-0005-0000-0000-000057080000}"/>
    <cellStyle name="Percentuale 26 2 2" xfId="4342" xr:uid="{72C4A156-A104-4DFD-A6AC-816EAE1B456F}"/>
    <cellStyle name="Percentuale 26 2 2 2" xfId="13580" xr:uid="{4C83D47E-7B38-4C52-AB1D-BCC4C33967FF}"/>
    <cellStyle name="Percentuale 26 2 2 3" xfId="28281" xr:uid="{9D56AE67-88EB-4EC1-94FD-0FD76C46C70B}"/>
    <cellStyle name="Percentuale 26 2 3" xfId="13318" xr:uid="{9CC43FB0-6D4D-4366-9129-B13ADF097B19}"/>
    <cellStyle name="Percentuale 26 2 3 2" xfId="28282" xr:uid="{3DE94C26-84C4-4929-A28B-5DA7FE363461}"/>
    <cellStyle name="Percentuale 26 2 4" xfId="28283" xr:uid="{760EE331-9BE6-462C-8E56-0C7AF1535A10}"/>
    <cellStyle name="Percentuale 26 2 4 2" xfId="49158" xr:uid="{8510B83F-E044-4D42-A275-965D7C384F2A}"/>
    <cellStyle name="Percentuale 26 2 5" xfId="28284" xr:uid="{C83E61F6-CCE4-43C8-8D7E-187DC9C3EC13}"/>
    <cellStyle name="Percentuale 26 2 6" xfId="28280" xr:uid="{422E93DF-1B3F-4378-ACCB-5259D11C1EFC}"/>
    <cellStyle name="Percentuale 26 3" xfId="1044" xr:uid="{00000000-0005-0000-0000-000058080000}"/>
    <cellStyle name="Percentuale 26 3 2" xfId="1045" xr:uid="{00000000-0005-0000-0000-000059080000}"/>
    <cellStyle name="Percentuale 26 3 2 2" xfId="2344" xr:uid="{00000000-0005-0000-0000-00005A080000}"/>
    <cellStyle name="Percentuale 26 3 2 2 2" xfId="28288" xr:uid="{FA09C231-0A61-418B-9EE0-A1FCEEAEAB40}"/>
    <cellStyle name="Percentuale 26 3 2 2 3" xfId="28287" xr:uid="{AECA11FD-8629-428D-826D-D89E9DA85441}"/>
    <cellStyle name="Percentuale 26 3 2 3" xfId="8135" xr:uid="{7BA32D7E-3F6E-4E1F-90C7-AB95FDBC0965}"/>
    <cellStyle name="Percentuale 26 3 2 3 2" xfId="14134" xr:uid="{E7507010-BA48-4133-82CD-E31AC9353C33}"/>
    <cellStyle name="Percentuale 26 3 2 3 3" xfId="28289" xr:uid="{B6C1127A-DA7C-4A6D-A7E8-E0C2B217690A}"/>
    <cellStyle name="Percentuale 26 3 2 3 4" xfId="49159" xr:uid="{98510169-8CDD-495C-AFEF-F69533906F7B}"/>
    <cellStyle name="Percentuale 26 3 2 4" xfId="28290" xr:uid="{77160C9B-2A52-4BFA-8EC5-6DA2778B3F6B}"/>
    <cellStyle name="Percentuale 26 3 2 5" xfId="28286" xr:uid="{7DC3CFC7-9830-4515-8053-A7A93110E789}"/>
    <cellStyle name="Percentuale 26 3 3" xfId="4343" xr:uid="{20F20252-975D-46B3-9784-EFF3FCF71703}"/>
    <cellStyle name="Percentuale 26 3 3 2" xfId="9452" xr:uid="{9729CCF8-03E5-4C42-AD10-43824C2F8355}"/>
    <cellStyle name="Percentuale 26 3 3 2 2" xfId="28292" xr:uid="{AE44E28C-011A-480B-A48E-21232EDF88C0}"/>
    <cellStyle name="Percentuale 26 3 3 3" xfId="28293" xr:uid="{DA572942-CC3C-490A-ACC0-27E3EF1AB4A0}"/>
    <cellStyle name="Percentuale 26 3 3 4" xfId="28294" xr:uid="{A76D4244-EAEB-4A3F-9C03-3BDE6B511CAC}"/>
    <cellStyle name="Percentuale 26 3 3 4 2" xfId="49160" xr:uid="{41291A6F-0451-4B28-B5DB-D58D47742913}"/>
    <cellStyle name="Percentuale 26 3 3 5" xfId="28291" xr:uid="{4994514C-B373-4E36-9FFA-BB547E63AE65}"/>
    <cellStyle name="Percentuale 26 3 4" xfId="4344" xr:uid="{42E27C82-5218-408B-9D6F-B44AC517E865}"/>
    <cellStyle name="Percentuale 26 3 4 2" xfId="13795" xr:uid="{A45911F0-E2E8-44AE-A5DE-3653C56C52D5}"/>
    <cellStyle name="Percentuale 26 3 4 3" xfId="28295" xr:uid="{188AAB2C-9C9C-48D8-9DC9-3940CD5D82E9}"/>
    <cellStyle name="Percentuale 26 3 5" xfId="12300" xr:uid="{B7C65E33-81C6-43CC-9A44-B8DFBE905A0D}"/>
    <cellStyle name="Percentuale 26 3 5 2" xfId="28296" xr:uid="{F0BA092B-9F65-4108-B2ED-474EA59CC5B7}"/>
    <cellStyle name="Percentuale 26 3 6" xfId="28297" xr:uid="{84B35071-07A2-4FFA-BABE-9E495B2A80BF}"/>
    <cellStyle name="Percentuale 26 3 6 2" xfId="49161" xr:uid="{06338D2E-6FBB-4B50-B4A0-C3C8938DC4B1}"/>
    <cellStyle name="Percentuale 26 3 7" xfId="28298" xr:uid="{75D08562-149D-47E5-8FDB-A8E4A4E52257}"/>
    <cellStyle name="Percentuale 26 3 8" xfId="28285" xr:uid="{D3675C67-B4CF-41A1-8CD6-D4703F3F37A2}"/>
    <cellStyle name="Percentuale 26 4" xfId="2345" xr:uid="{00000000-0005-0000-0000-00005B080000}"/>
    <cellStyle name="Percentuale 26 4 2" xfId="2346" xr:uid="{00000000-0005-0000-0000-00005C080000}"/>
    <cellStyle name="Percentuale 26 4 2 2" xfId="9453" xr:uid="{F9743091-8262-45D2-8E0A-35B65D130A71}"/>
    <cellStyle name="Percentuale 26 4 2 2 2" xfId="28301" xr:uid="{E1299068-72CE-44E4-ADEC-9D3693FB5F25}"/>
    <cellStyle name="Percentuale 26 4 2 3" xfId="17920" xr:uid="{012AF79C-CA19-47E2-849C-37C5CFEDB81C}"/>
    <cellStyle name="Percentuale 26 4 2 3 2" xfId="28302" xr:uid="{284D240A-99F2-47EB-960C-CF8178C31CE2}"/>
    <cellStyle name="Percentuale 26 4 2 4" xfId="28300" xr:uid="{C2CB640E-D934-41A6-861B-6B2216B7B8C5}"/>
    <cellStyle name="Percentuale 26 4 2 5" xfId="17528" xr:uid="{60811ABF-5B96-4AC7-9834-96AD28341419}"/>
    <cellStyle name="Percentuale 26 4 3" xfId="9454" xr:uid="{7790E3EA-21ED-439D-BA1F-C79A65E2CEDF}"/>
    <cellStyle name="Percentuale 26 4 3 2" xfId="28303" xr:uid="{205A1363-0BF8-4D86-B098-E5FE3C0FA823}"/>
    <cellStyle name="Percentuale 26 4 4" xfId="28304" xr:uid="{B17C1F72-3DEB-427B-B74C-C0CBA35A2CEB}"/>
    <cellStyle name="Percentuale 26 4 5" xfId="28305" xr:uid="{BA5FB993-CE12-44A7-9FF8-F9E792B8D107}"/>
    <cellStyle name="Percentuale 26 4 5 2" xfId="49162" xr:uid="{171305EE-939B-49E3-B383-FBC7FE2800EB}"/>
    <cellStyle name="Percentuale 26 4 6" xfId="28306" xr:uid="{FEE3F6C1-37A7-45B5-8E76-3866E6F45BA8}"/>
    <cellStyle name="Percentuale 26 4 7" xfId="28299" xr:uid="{72AC5CC6-F2FC-4D70-AD81-A98A7BEB8DCB}"/>
    <cellStyle name="Percentuale 26 5" xfId="2347" xr:uid="{00000000-0005-0000-0000-00005D080000}"/>
    <cellStyle name="Percentuale 26 5 2" xfId="28308" xr:uid="{E629D19A-19E5-436A-ACAF-5447B59F4DCC}"/>
    <cellStyle name="Percentuale 26 5 3" xfId="28309" xr:uid="{4317D436-A704-417F-986A-9EC583843B07}"/>
    <cellStyle name="Percentuale 26 5 3 2" xfId="49163" xr:uid="{57B1B5A5-A1BF-4302-B099-B95251FE89F2}"/>
    <cellStyle name="Percentuale 26 5 4" xfId="28310" xr:uid="{B9328A7B-A758-4194-BD4C-3A0C970F6682}"/>
    <cellStyle name="Percentuale 26 5 5" xfId="28307" xr:uid="{3D3717AE-3EEE-4E72-ABF8-ADE58285E7AD}"/>
    <cellStyle name="Percentuale 26 6" xfId="4345" xr:uid="{6F3222A7-5539-4DA3-B5ED-41D2B52F9043}"/>
    <cellStyle name="Percentuale 26 6 2" xfId="9829" xr:uid="{564A19B8-79BF-424C-87D1-DC84BF15FEF0}"/>
    <cellStyle name="Percentuale 26 6 3" xfId="28311" xr:uid="{118DEE2D-AFEA-434A-9784-CA0B47E1D6D2}"/>
    <cellStyle name="Percentuale 26 7" xfId="28312" xr:uid="{10998950-E9BC-4DC4-9E26-86C5FB1C28E4}"/>
    <cellStyle name="Percentuale 26 7 2" xfId="49164" xr:uid="{C5176A30-C07D-4702-8F73-520E7BBEAD39}"/>
    <cellStyle name="Percentuale 26 8" xfId="28279" xr:uid="{F74818D0-B19C-4F52-A516-B5A9C31F6B72}"/>
    <cellStyle name="Percentuale 27" xfId="1046" xr:uid="{00000000-0005-0000-0000-00005E080000}"/>
    <cellStyle name="Percentuale 27 2" xfId="1047" xr:uid="{00000000-0005-0000-0000-00005F080000}"/>
    <cellStyle name="Percentuale 27 2 2" xfId="4346" xr:uid="{A9465755-FDE7-48E6-BA08-A512809C0D88}"/>
    <cellStyle name="Percentuale 27 2 2 2" xfId="13581" xr:uid="{29FE7C62-EC2F-4AA9-B721-85B5C4F37140}"/>
    <cellStyle name="Percentuale 27 2 2 3" xfId="28315" xr:uid="{9B6921FE-6882-4E3F-B14E-E3E207D11E54}"/>
    <cellStyle name="Percentuale 27 2 3" xfId="13319" xr:uid="{3895229F-4786-4E7C-883B-A5C4B763EB12}"/>
    <cellStyle name="Percentuale 27 2 3 2" xfId="28316" xr:uid="{08866C81-11BC-45BF-8D3B-B267C8588AFB}"/>
    <cellStyle name="Percentuale 27 2 4" xfId="28317" xr:uid="{E77E47F0-0A90-43DD-B73F-6372BBAE916E}"/>
    <cellStyle name="Percentuale 27 2 4 2" xfId="49165" xr:uid="{F970F641-4EDF-4174-A370-D7623A8E4135}"/>
    <cellStyle name="Percentuale 27 2 5" xfId="28318" xr:uid="{7BB7FC41-E847-4CBB-AE39-C60D5EC6CF78}"/>
    <cellStyle name="Percentuale 27 2 6" xfId="28314" xr:uid="{F04AC45A-7888-43CB-A74D-09B230DE43D2}"/>
    <cellStyle name="Percentuale 27 3" xfId="1048" xr:uid="{00000000-0005-0000-0000-000060080000}"/>
    <cellStyle name="Percentuale 27 3 2" xfId="1049" xr:uid="{00000000-0005-0000-0000-000061080000}"/>
    <cellStyle name="Percentuale 27 3 2 2" xfId="2348" xr:uid="{00000000-0005-0000-0000-000062080000}"/>
    <cellStyle name="Percentuale 27 3 2 2 2" xfId="28322" xr:uid="{9B26FEF2-9CDF-4ADD-BE15-521D3C1C59D8}"/>
    <cellStyle name="Percentuale 27 3 2 2 3" xfId="28321" xr:uid="{AD737A98-08D1-4B32-B13A-5E7181B333B6}"/>
    <cellStyle name="Percentuale 27 3 2 3" xfId="8136" xr:uid="{64C55CE8-A450-427D-957C-60AC3EEDCE14}"/>
    <cellStyle name="Percentuale 27 3 2 3 2" xfId="14135" xr:uid="{D6BB2A91-4363-4B6B-98E8-B9DD71CE0EC6}"/>
    <cellStyle name="Percentuale 27 3 2 3 3" xfId="28323" xr:uid="{716A2B5E-EE3B-43EB-BE4C-45AAD8FF09FB}"/>
    <cellStyle name="Percentuale 27 3 2 3 4" xfId="49166" xr:uid="{6F1D2001-8FB4-4C01-B200-5636676F8C82}"/>
    <cellStyle name="Percentuale 27 3 2 4" xfId="28324" xr:uid="{79547A01-4A50-4FD3-8AFE-B6CA6EC31B9C}"/>
    <cellStyle name="Percentuale 27 3 2 5" xfId="28320" xr:uid="{35348ABA-9E01-4006-9240-212B7FB1656E}"/>
    <cellStyle name="Percentuale 27 3 3" xfId="4347" xr:uid="{8CF57C26-C15C-424F-9D5E-CD265DC0E123}"/>
    <cellStyle name="Percentuale 27 3 3 2" xfId="9455" xr:uid="{884B199F-DE7C-44B6-867C-56AD9771E456}"/>
    <cellStyle name="Percentuale 27 3 3 2 2" xfId="28326" xr:uid="{D63645B6-2F94-41AD-B545-346ACB9EE06F}"/>
    <cellStyle name="Percentuale 27 3 3 3" xfId="28327" xr:uid="{7FF6ACB8-591D-4C01-8173-6F4509CEC177}"/>
    <cellStyle name="Percentuale 27 3 3 4" xfId="28328" xr:uid="{DF9C4CE2-0F4D-4748-BC29-3B18873DADD4}"/>
    <cellStyle name="Percentuale 27 3 3 4 2" xfId="49167" xr:uid="{DBEC013A-2EE4-4532-A7BB-E0AEE4B66F83}"/>
    <cellStyle name="Percentuale 27 3 3 5" xfId="28325" xr:uid="{792FABE0-0A30-4C3B-A4A4-5A3454B0A0C1}"/>
    <cellStyle name="Percentuale 27 3 4" xfId="4348" xr:uid="{204A3C27-331E-4B02-A048-0679E2E2A764}"/>
    <cellStyle name="Percentuale 27 3 4 2" xfId="13796" xr:uid="{4253A2D8-AD11-43E9-8D6D-8BAF1F76BD50}"/>
    <cellStyle name="Percentuale 27 3 4 3" xfId="28329" xr:uid="{52D49CF1-F4FA-4C91-89E6-654918FBD26B}"/>
    <cellStyle name="Percentuale 27 3 5" xfId="12429" xr:uid="{9938AD14-A639-4674-886B-5EC5D059C5CD}"/>
    <cellStyle name="Percentuale 27 3 5 2" xfId="28330" xr:uid="{C487F888-2BE8-416D-93F2-417977456FB5}"/>
    <cellStyle name="Percentuale 27 3 6" xfId="28331" xr:uid="{84BF66A2-F418-4EF0-B5EF-5AC0D9185A86}"/>
    <cellStyle name="Percentuale 27 3 6 2" xfId="49168" xr:uid="{7B90BCE4-2AE6-4C57-985F-18B8905AA27A}"/>
    <cellStyle name="Percentuale 27 3 7" xfId="28332" xr:uid="{F269F8E1-13EF-4942-940E-882DF6640864}"/>
    <cellStyle name="Percentuale 27 3 8" xfId="28319" xr:uid="{0DD19C0B-DA39-49B7-BBC1-2496D31CA280}"/>
    <cellStyle name="Percentuale 27 4" xfId="2349" xr:uid="{00000000-0005-0000-0000-000063080000}"/>
    <cellStyle name="Percentuale 27 4 2" xfId="2350" xr:uid="{00000000-0005-0000-0000-000064080000}"/>
    <cellStyle name="Percentuale 27 4 2 2" xfId="9456" xr:uid="{6D901602-467C-4A52-AB13-2987C441027A}"/>
    <cellStyle name="Percentuale 27 4 2 2 2" xfId="28335" xr:uid="{D308CD35-0C57-4F58-BB3D-9D3B375CF161}"/>
    <cellStyle name="Percentuale 27 4 2 3" xfId="17921" xr:uid="{A0AB9D83-ACFA-4513-B0FE-A9FD8BC3FDDD}"/>
    <cellStyle name="Percentuale 27 4 2 3 2" xfId="28336" xr:uid="{D7453957-EBF9-45C6-BE8D-0610413F52D2}"/>
    <cellStyle name="Percentuale 27 4 2 4" xfId="28334" xr:uid="{9A7CDF75-C991-4942-B892-07ED486250E7}"/>
    <cellStyle name="Percentuale 27 4 2 5" xfId="17529" xr:uid="{4DFEAA94-A4B8-4710-91DF-B4E9A579AB7D}"/>
    <cellStyle name="Percentuale 27 4 3" xfId="9457" xr:uid="{C1DAC2DE-C59B-42FA-8A7E-5F91DFEFE711}"/>
    <cellStyle name="Percentuale 27 4 3 2" xfId="28337" xr:uid="{AC9E0967-BA00-400A-BA53-053CFDACB85B}"/>
    <cellStyle name="Percentuale 27 4 4" xfId="28338" xr:uid="{C3305EEC-7A90-4B66-A329-0B2D8A7CDEBE}"/>
    <cellStyle name="Percentuale 27 4 5" xfId="28339" xr:uid="{B48D87B3-5B24-4F61-8BEC-0CCD64AADE06}"/>
    <cellStyle name="Percentuale 27 4 5 2" xfId="49169" xr:uid="{F5D2A31C-15BE-46A0-8C34-1B3F34E7A569}"/>
    <cellStyle name="Percentuale 27 4 6" xfId="28340" xr:uid="{9D4CAE02-3F7B-4FFF-B0C7-CC6070810197}"/>
    <cellStyle name="Percentuale 27 4 7" xfId="28333" xr:uid="{B4B77B15-744C-4057-8A43-6AE110990154}"/>
    <cellStyle name="Percentuale 27 5" xfId="2351" xr:uid="{00000000-0005-0000-0000-000065080000}"/>
    <cellStyle name="Percentuale 27 5 2" xfId="28342" xr:uid="{D8E500C1-2A59-44F6-A2D1-6481378E1A4C}"/>
    <cellStyle name="Percentuale 27 5 3" xfId="28343" xr:uid="{721303AA-92FD-4343-BEF0-AC4AEB6A83AD}"/>
    <cellStyle name="Percentuale 27 5 3 2" xfId="49170" xr:uid="{0267DEDD-75C9-413D-829F-3C76B07F8E85}"/>
    <cellStyle name="Percentuale 27 5 4" xfId="28344" xr:uid="{4A8623FD-A612-49D1-8D40-DF1E09E24024}"/>
    <cellStyle name="Percentuale 27 5 5" xfId="28341" xr:uid="{7BF93991-0C6E-400C-B274-0A013DAD940F}"/>
    <cellStyle name="Percentuale 27 6" xfId="4349" xr:uid="{A15516B8-342A-443C-8DD4-67589E27CD21}"/>
    <cellStyle name="Percentuale 27 6 2" xfId="9830" xr:uid="{A53EEBE5-F1AC-4232-BD57-47967AEF756E}"/>
    <cellStyle name="Percentuale 27 6 3" xfId="28345" xr:uid="{1D7A8A1B-6384-45C8-8C21-7EE77E7DF3BF}"/>
    <cellStyle name="Percentuale 27 7" xfId="28346" xr:uid="{30D778A0-AED3-4ACA-96CF-4A9787E3D825}"/>
    <cellStyle name="Percentuale 27 7 2" xfId="49171" xr:uid="{4FAC363B-C581-416A-8089-9B7AA309166A}"/>
    <cellStyle name="Percentuale 27 8" xfId="28313" xr:uid="{092853D5-FAC9-448D-93F2-6EECB4BE8546}"/>
    <cellStyle name="Percentuale 28" xfId="1050" xr:uid="{00000000-0005-0000-0000-000066080000}"/>
    <cellStyle name="Percentuale 28 2" xfId="1051" xr:uid="{00000000-0005-0000-0000-000067080000}"/>
    <cellStyle name="Percentuale 28 2 2" xfId="4350" xr:uid="{E94A0CCE-3B7B-4A45-B100-91C9C783C72B}"/>
    <cellStyle name="Percentuale 28 2 2 2" xfId="13582" xr:uid="{CA04B7DF-627A-4A7E-851F-52D5BCD8F40E}"/>
    <cellStyle name="Percentuale 28 2 2 3" xfId="28349" xr:uid="{18B06009-D2D1-4340-9929-D35C39BC7403}"/>
    <cellStyle name="Percentuale 28 2 3" xfId="13320" xr:uid="{5915AED0-A125-4068-A033-3F9FD62285DD}"/>
    <cellStyle name="Percentuale 28 2 3 2" xfId="28350" xr:uid="{DE1F674F-B0FF-4234-97DB-9B79F27DD03F}"/>
    <cellStyle name="Percentuale 28 2 4" xfId="28351" xr:uid="{F5968861-6E35-4858-ABDB-00DB1ACB55B7}"/>
    <cellStyle name="Percentuale 28 2 4 2" xfId="49172" xr:uid="{F30A1AD1-2CD8-4383-A310-637060E1DAAA}"/>
    <cellStyle name="Percentuale 28 2 5" xfId="28352" xr:uid="{71588ADA-49FB-4930-887D-FBDA2A40CC56}"/>
    <cellStyle name="Percentuale 28 2 6" xfId="28348" xr:uid="{C4CF9FF0-1530-461B-B7C2-741A8115ED2F}"/>
    <cellStyle name="Percentuale 28 3" xfId="1052" xr:uid="{00000000-0005-0000-0000-000068080000}"/>
    <cellStyle name="Percentuale 28 3 2" xfId="1053" xr:uid="{00000000-0005-0000-0000-000069080000}"/>
    <cellStyle name="Percentuale 28 3 2 2" xfId="2352" xr:uid="{00000000-0005-0000-0000-00006A080000}"/>
    <cellStyle name="Percentuale 28 3 2 2 2" xfId="28356" xr:uid="{8A5537EB-916C-40BE-BAC4-BBFE008C851B}"/>
    <cellStyle name="Percentuale 28 3 2 2 3" xfId="28355" xr:uid="{B2EBD44D-ED2A-4F62-AF02-E66B5F27DC1C}"/>
    <cellStyle name="Percentuale 28 3 2 3" xfId="8137" xr:uid="{0B12ADF7-8DA2-4DA0-8B53-CA19578C9459}"/>
    <cellStyle name="Percentuale 28 3 2 3 2" xfId="14136" xr:uid="{30FFF422-E9B6-4849-942A-1C347CBEAED2}"/>
    <cellStyle name="Percentuale 28 3 2 3 3" xfId="28357" xr:uid="{AF477C69-C573-463F-A0E0-B27E0CA631B6}"/>
    <cellStyle name="Percentuale 28 3 2 3 4" xfId="49173" xr:uid="{E9E7D993-0DB4-4CA9-BCF4-A4970E1F5040}"/>
    <cellStyle name="Percentuale 28 3 2 4" xfId="28358" xr:uid="{61993FE1-807E-46D9-AD68-4AF27C941485}"/>
    <cellStyle name="Percentuale 28 3 2 5" xfId="28354" xr:uid="{B7BD8434-C952-4531-BA52-9F199B4F36C4}"/>
    <cellStyle name="Percentuale 28 3 3" xfId="4351" xr:uid="{48C8B1D7-D9C3-4C76-A0E1-46B7433FA24F}"/>
    <cellStyle name="Percentuale 28 3 3 2" xfId="9458" xr:uid="{4A875647-5D63-4EB0-90D9-97BF4BDB4AD6}"/>
    <cellStyle name="Percentuale 28 3 3 2 2" xfId="28360" xr:uid="{50031FBC-FEBB-4917-846D-18F60095B1CA}"/>
    <cellStyle name="Percentuale 28 3 3 3" xfId="28361" xr:uid="{4B9643D1-8DF0-4B48-A837-81E7AA70BA48}"/>
    <cellStyle name="Percentuale 28 3 3 4" xfId="28362" xr:uid="{60CE397E-62C5-4FD6-B036-4E3AD06E697D}"/>
    <cellStyle name="Percentuale 28 3 3 4 2" xfId="49174" xr:uid="{864A2D28-0EA6-4516-8319-C2B42436B3CB}"/>
    <cellStyle name="Percentuale 28 3 3 5" xfId="28359" xr:uid="{613F72A3-8283-4700-88DE-66108B8DA263}"/>
    <cellStyle name="Percentuale 28 3 4" xfId="4352" xr:uid="{40E4C095-936D-4B7D-BB59-6B14F94B1C52}"/>
    <cellStyle name="Percentuale 28 3 4 2" xfId="13797" xr:uid="{3E419890-AC10-4453-8571-8CDDCB228721}"/>
    <cellStyle name="Percentuale 28 3 4 3" xfId="28363" xr:uid="{80D70D61-438E-4A9D-83B4-E7D4B4E6E5AA}"/>
    <cellStyle name="Percentuale 28 3 5" xfId="11092" xr:uid="{C855FDC7-C2C8-44C8-BB01-36518306D702}"/>
    <cellStyle name="Percentuale 28 3 5 2" xfId="28364" xr:uid="{7345A311-EBEC-4B51-9576-A145221F527E}"/>
    <cellStyle name="Percentuale 28 3 6" xfId="28365" xr:uid="{51A403C2-68F7-4F10-B284-97B1F70D6493}"/>
    <cellStyle name="Percentuale 28 3 6 2" xfId="49175" xr:uid="{A816C038-1B00-4B8F-BABC-C64D4ED9535F}"/>
    <cellStyle name="Percentuale 28 3 7" xfId="28366" xr:uid="{E27B7E93-37ED-481E-A43B-1E5EA7FDD601}"/>
    <cellStyle name="Percentuale 28 3 8" xfId="28353" xr:uid="{15B15530-C20F-4E56-82D4-9C52B5C1F223}"/>
    <cellStyle name="Percentuale 28 4" xfId="2353" xr:uid="{00000000-0005-0000-0000-00006B080000}"/>
    <cellStyle name="Percentuale 28 4 2" xfId="2354" xr:uid="{00000000-0005-0000-0000-00006C080000}"/>
    <cellStyle name="Percentuale 28 4 2 2" xfId="9459" xr:uid="{76FD393F-828F-4C3F-8F5A-274CBA6F556B}"/>
    <cellStyle name="Percentuale 28 4 2 2 2" xfId="28369" xr:uid="{96606CE5-6FE1-400B-999C-8D86FD38FAD7}"/>
    <cellStyle name="Percentuale 28 4 2 3" xfId="17922" xr:uid="{0915A73D-2B76-4E56-BEA2-594628EDB46B}"/>
    <cellStyle name="Percentuale 28 4 2 3 2" xfId="28370" xr:uid="{D63601EA-E5A7-4B8B-9D0E-698BBFE0DAF8}"/>
    <cellStyle name="Percentuale 28 4 2 4" xfId="28368" xr:uid="{870A6FB8-FC52-42A6-8AC4-ECF89447C957}"/>
    <cellStyle name="Percentuale 28 4 2 5" xfId="17530" xr:uid="{C77B49D4-F3D2-43E9-81F8-261E7DCC424B}"/>
    <cellStyle name="Percentuale 28 4 3" xfId="9460" xr:uid="{3853C105-7917-4EAC-9D59-46FED15F158E}"/>
    <cellStyle name="Percentuale 28 4 3 2" xfId="28371" xr:uid="{5E16BC05-DEC5-44D7-95EF-CE737272071F}"/>
    <cellStyle name="Percentuale 28 4 4" xfId="28372" xr:uid="{D507E37A-8A1E-4E61-B3C3-097564EA9A49}"/>
    <cellStyle name="Percentuale 28 4 5" xfId="28373" xr:uid="{B3BF45ED-2D93-42B3-9726-DFE9757D8571}"/>
    <cellStyle name="Percentuale 28 4 5 2" xfId="49176" xr:uid="{E1A8DB1B-5C99-4335-AD2D-E0C75B0BE27A}"/>
    <cellStyle name="Percentuale 28 4 6" xfId="28374" xr:uid="{A2FF8232-5252-4B10-BC76-09822F6D01AC}"/>
    <cellStyle name="Percentuale 28 4 7" xfId="28367" xr:uid="{A2B77EAD-AAEE-417D-B841-5EA6420EEC6D}"/>
    <cellStyle name="Percentuale 28 5" xfId="2355" xr:uid="{00000000-0005-0000-0000-00006D080000}"/>
    <cellStyle name="Percentuale 28 5 2" xfId="28376" xr:uid="{38A6A527-258A-459F-8E55-772F91BCE981}"/>
    <cellStyle name="Percentuale 28 5 3" xfId="28377" xr:uid="{B8DE6767-720C-4172-8258-F10F281BACCA}"/>
    <cellStyle name="Percentuale 28 5 3 2" xfId="49177" xr:uid="{CD50C7DC-963B-4B04-9142-CDBDB2576D11}"/>
    <cellStyle name="Percentuale 28 5 4" xfId="28378" xr:uid="{BBA3EBE8-5387-4085-9551-CE280A02C3AC}"/>
    <cellStyle name="Percentuale 28 5 5" xfId="28375" xr:uid="{A8F49C53-7124-4E5B-ADBC-4A002482AB42}"/>
    <cellStyle name="Percentuale 28 6" xfId="4353" xr:uid="{C095D96B-78CF-44E2-99C3-707D738A998B}"/>
    <cellStyle name="Percentuale 28 6 2" xfId="9831" xr:uid="{0011BEBC-4127-4A26-AA69-DEACD507DD3C}"/>
    <cellStyle name="Percentuale 28 6 3" xfId="28379" xr:uid="{145CDEF4-8A5E-44C3-BAEE-C7D8A43156E7}"/>
    <cellStyle name="Percentuale 28 7" xfId="28380" xr:uid="{5123A414-5323-44B3-84C8-35D5BE93B4D5}"/>
    <cellStyle name="Percentuale 28 7 2" xfId="49178" xr:uid="{B444D3A4-7516-44B0-8A86-7C4B3A0D3151}"/>
    <cellStyle name="Percentuale 28 8" xfId="28347" xr:uid="{CA930227-CF90-4F10-B56C-C3F74BB31DC8}"/>
    <cellStyle name="Percentuale 29" xfId="1054" xr:uid="{00000000-0005-0000-0000-00006E080000}"/>
    <cellStyle name="Percentuale 29 2" xfId="1055" xr:uid="{00000000-0005-0000-0000-00006F080000}"/>
    <cellStyle name="Percentuale 29 2 2" xfId="4354" xr:uid="{9A96BE77-A48A-48C9-8028-6B0698D48C4E}"/>
    <cellStyle name="Percentuale 29 2 2 2" xfId="13583" xr:uid="{5D5097C3-3D9E-42F7-B8C7-349D33F6B36C}"/>
    <cellStyle name="Percentuale 29 2 2 3" xfId="28383" xr:uid="{EE62C665-540B-4003-9950-39784B670B58}"/>
    <cellStyle name="Percentuale 29 2 3" xfId="13321" xr:uid="{4CA6D476-7D0D-41D9-9E73-C67D28A427B1}"/>
    <cellStyle name="Percentuale 29 2 3 2" xfId="28384" xr:uid="{75C0DBFA-C924-4687-AA82-FB39BC088224}"/>
    <cellStyle name="Percentuale 29 2 4" xfId="28385" xr:uid="{BCD8A403-65E9-4B72-8B96-79C2113C7D3F}"/>
    <cellStyle name="Percentuale 29 2 4 2" xfId="49179" xr:uid="{DC0F79A6-9F70-43CF-AE8E-811378C82A0B}"/>
    <cellStyle name="Percentuale 29 2 5" xfId="28386" xr:uid="{7552268B-4E73-443A-88F3-E09B93C36BF9}"/>
    <cellStyle name="Percentuale 29 2 6" xfId="28382" xr:uid="{9F3FD18A-14F7-468B-A4F2-91D4C8178BB5}"/>
    <cellStyle name="Percentuale 29 3" xfId="1056" xr:uid="{00000000-0005-0000-0000-000070080000}"/>
    <cellStyle name="Percentuale 29 3 2" xfId="1057" xr:uid="{00000000-0005-0000-0000-000071080000}"/>
    <cellStyle name="Percentuale 29 3 2 2" xfId="2356" xr:uid="{00000000-0005-0000-0000-000072080000}"/>
    <cellStyle name="Percentuale 29 3 2 2 2" xfId="28390" xr:uid="{8860DBBA-AF6C-4B4F-AE59-DFDD998601FA}"/>
    <cellStyle name="Percentuale 29 3 2 2 3" xfId="28389" xr:uid="{907618F4-D087-42F1-985A-30D51E9013D8}"/>
    <cellStyle name="Percentuale 29 3 2 3" xfId="8138" xr:uid="{4EF64AAB-0053-44C1-8832-CDC06F4313A5}"/>
    <cellStyle name="Percentuale 29 3 2 3 2" xfId="14137" xr:uid="{9E4D6999-0F21-41CD-B7DC-45E905E8C124}"/>
    <cellStyle name="Percentuale 29 3 2 3 3" xfId="28391" xr:uid="{A0C8DC62-FBC7-4F1B-A3BC-0427D54426C1}"/>
    <cellStyle name="Percentuale 29 3 2 3 4" xfId="49180" xr:uid="{A909562E-B788-4976-9A8C-FFDEECD47E0C}"/>
    <cellStyle name="Percentuale 29 3 2 4" xfId="28392" xr:uid="{27262882-F3B9-4CD3-9E9E-BED659329EC3}"/>
    <cellStyle name="Percentuale 29 3 2 5" xfId="28388" xr:uid="{DC1D7CF4-5CDD-46A6-9293-180EE192861A}"/>
    <cellStyle name="Percentuale 29 3 3" xfId="4355" xr:uid="{7D1B6FC9-B054-4450-B3D9-7BE1A94D78C9}"/>
    <cellStyle name="Percentuale 29 3 3 2" xfId="9461" xr:uid="{1E1E4A10-DC7A-4EBE-8B19-05D2DA288BE5}"/>
    <cellStyle name="Percentuale 29 3 3 2 2" xfId="28394" xr:uid="{F0F9904A-D66D-40A2-BB3C-F8C24FCFDDF6}"/>
    <cellStyle name="Percentuale 29 3 3 3" xfId="28395" xr:uid="{5C65EA2A-A633-47AF-A47C-E15B83595DD1}"/>
    <cellStyle name="Percentuale 29 3 3 4" xfId="28396" xr:uid="{A16A8EAE-BCB3-405F-A04A-7EA88CE18B96}"/>
    <cellStyle name="Percentuale 29 3 3 4 2" xfId="49181" xr:uid="{90BFAA27-9B1C-4808-B632-BBDA7D5A899F}"/>
    <cellStyle name="Percentuale 29 3 3 5" xfId="28393" xr:uid="{0E9DF70C-E591-4B03-BE2C-533E3DEE807C}"/>
    <cellStyle name="Percentuale 29 3 4" xfId="4356" xr:uid="{D98C8AEB-4BDA-4712-AFCE-5BA535BF5B9E}"/>
    <cellStyle name="Percentuale 29 3 4 2" xfId="13798" xr:uid="{FF6EB5DD-742E-4256-910A-5CDC191BA71F}"/>
    <cellStyle name="Percentuale 29 3 4 3" xfId="28397" xr:uid="{EF98D55C-05D6-4502-B74A-0DB28330B65F}"/>
    <cellStyle name="Percentuale 29 3 5" xfId="12430" xr:uid="{C4206510-1BED-4903-8332-775CAA027F38}"/>
    <cellStyle name="Percentuale 29 3 5 2" xfId="28398" xr:uid="{5C5EA155-C3E4-43F4-8942-FB55998D0E57}"/>
    <cellStyle name="Percentuale 29 3 6" xfId="28399" xr:uid="{AE0FA5A0-22D2-4A8F-A97A-42138F4039C5}"/>
    <cellStyle name="Percentuale 29 3 6 2" xfId="49182" xr:uid="{241C9DB1-9B3B-4980-B71C-0591B0FDC6D9}"/>
    <cellStyle name="Percentuale 29 3 7" xfId="28400" xr:uid="{FBB758E0-0841-4A2D-8749-41C1D47306BD}"/>
    <cellStyle name="Percentuale 29 3 8" xfId="28387" xr:uid="{272D7617-660E-488C-ADAF-3C3826C82246}"/>
    <cellStyle name="Percentuale 29 4" xfId="2357" xr:uid="{00000000-0005-0000-0000-000073080000}"/>
    <cellStyle name="Percentuale 29 4 2" xfId="2358" xr:uid="{00000000-0005-0000-0000-000074080000}"/>
    <cellStyle name="Percentuale 29 4 2 2" xfId="9462" xr:uid="{E6DF9381-086B-4C93-9E49-ADEE0D8F3655}"/>
    <cellStyle name="Percentuale 29 4 2 2 2" xfId="28403" xr:uid="{0A25CC21-1BC5-47F9-BAFC-35DCA6CCF889}"/>
    <cellStyle name="Percentuale 29 4 2 3" xfId="17923" xr:uid="{1C80BBB5-2EAA-4B09-8EEB-51D5D220AB9B}"/>
    <cellStyle name="Percentuale 29 4 2 3 2" xfId="28404" xr:uid="{A06D0962-7BA2-4C90-BD94-54DD88D7C1F2}"/>
    <cellStyle name="Percentuale 29 4 2 4" xfId="28402" xr:uid="{9A3E4761-5D28-4FF9-B308-1E76A1E9BAC0}"/>
    <cellStyle name="Percentuale 29 4 2 5" xfId="17532" xr:uid="{937A0A37-D9BA-470E-A8F1-B8B0572B1ACF}"/>
    <cellStyle name="Percentuale 29 4 3" xfId="9463" xr:uid="{AFA6BD5C-FC50-475F-8D71-B62BFB6851C8}"/>
    <cellStyle name="Percentuale 29 4 3 2" xfId="28405" xr:uid="{F3EEEF2D-ACA3-4033-A15A-0BCA280F1E36}"/>
    <cellStyle name="Percentuale 29 4 4" xfId="28406" xr:uid="{8200527C-9563-4C4D-8F5F-E51970D8A709}"/>
    <cellStyle name="Percentuale 29 4 5" xfId="28407" xr:uid="{052373D8-2E17-4E92-BE8A-4DB5B13B71D7}"/>
    <cellStyle name="Percentuale 29 4 5 2" xfId="49183" xr:uid="{1BE1F76D-7309-40CB-B944-B148C3DFB7EA}"/>
    <cellStyle name="Percentuale 29 4 6" xfId="28408" xr:uid="{D021D2FA-A7C5-42A2-8E6E-72DDFBD1D3B7}"/>
    <cellStyle name="Percentuale 29 4 7" xfId="28401" xr:uid="{BA5FA66E-1A74-43AC-AF6B-9EC79F3D5478}"/>
    <cellStyle name="Percentuale 29 5" xfId="2359" xr:uid="{00000000-0005-0000-0000-000075080000}"/>
    <cellStyle name="Percentuale 29 5 2" xfId="28410" xr:uid="{9315E354-A1B0-4C8C-BB12-05350241521F}"/>
    <cellStyle name="Percentuale 29 5 3" xfId="28411" xr:uid="{2FFFD2DE-F0F3-45C8-AF33-0CC8244327F2}"/>
    <cellStyle name="Percentuale 29 5 3 2" xfId="49184" xr:uid="{01B3C1E9-8070-4FD5-8A76-4470440FBE8A}"/>
    <cellStyle name="Percentuale 29 5 4" xfId="28412" xr:uid="{84FBAB15-91A7-4826-8DA8-D4601EB1BA49}"/>
    <cellStyle name="Percentuale 29 5 5" xfId="28409" xr:uid="{FA62B526-4A07-4D98-BB67-4DF252E99ACF}"/>
    <cellStyle name="Percentuale 29 6" xfId="4357" xr:uid="{F2E99350-E75A-40DA-839E-15F890049C73}"/>
    <cellStyle name="Percentuale 29 6 2" xfId="9832" xr:uid="{A5F20FA6-7E9D-471C-9D89-63C211B5FD8F}"/>
    <cellStyle name="Percentuale 29 6 3" xfId="28413" xr:uid="{D081052B-F036-4989-B0B9-C22F45E8C120}"/>
    <cellStyle name="Percentuale 29 7" xfId="28414" xr:uid="{7A35FA39-1173-4196-9EAB-27DDBFBB9726}"/>
    <cellStyle name="Percentuale 29 7 2" xfId="49185" xr:uid="{159C0947-19E5-4369-A4C0-1B9C589790DD}"/>
    <cellStyle name="Percentuale 29 8" xfId="28381" xr:uid="{2765B8AF-BBB5-4531-A1EE-EA071F874577}"/>
    <cellStyle name="Percentuale 3" xfId="1058" xr:uid="{00000000-0005-0000-0000-000076080000}"/>
    <cellStyle name="Percentuale 3 2" xfId="1059" xr:uid="{00000000-0005-0000-0000-000077080000}"/>
    <cellStyle name="Percentuale 3 2 2" xfId="4358" xr:uid="{87BDB526-EE27-4DE7-B4EF-30473D1AFE44}"/>
    <cellStyle name="Percentuale 3 2 2 2" xfId="13584" xr:uid="{A18A0702-200F-469E-9D7B-F13A04C3176D}"/>
    <cellStyle name="Percentuale 3 2 2 3" xfId="28417" xr:uid="{D5E2751D-614F-4405-8DF0-A288422233A4}"/>
    <cellStyle name="Percentuale 3 2 3" xfId="13322" xr:uid="{FA16D052-19F2-4CFD-886F-8ADE831CB521}"/>
    <cellStyle name="Percentuale 3 2 3 2" xfId="28418" xr:uid="{0FCC5574-A464-4328-87C1-19BF424EEC58}"/>
    <cellStyle name="Percentuale 3 2 4" xfId="28419" xr:uid="{3FD252CC-3401-413E-BB55-CCE61B41509D}"/>
    <cellStyle name="Percentuale 3 2 4 2" xfId="49186" xr:uid="{ED343F10-3F22-4DD1-8CB7-4DF4242327C2}"/>
    <cellStyle name="Percentuale 3 2 5" xfId="28420" xr:uid="{71D426AF-C851-4CC4-8E9A-DDF9C27F29AC}"/>
    <cellStyle name="Percentuale 3 2 6" xfId="28416" xr:uid="{13B1B260-A265-4D74-ADD5-9DE878EB09D6}"/>
    <cellStyle name="Percentuale 3 3" xfId="1060" xr:uid="{00000000-0005-0000-0000-000078080000}"/>
    <cellStyle name="Percentuale 3 3 2" xfId="1061" xr:uid="{00000000-0005-0000-0000-000079080000}"/>
    <cellStyle name="Percentuale 3 3 2 2" xfId="2360" xr:uid="{00000000-0005-0000-0000-00007A080000}"/>
    <cellStyle name="Percentuale 3 3 2 2 2" xfId="28424" xr:uid="{B992DE43-DF69-4A70-90E5-63BC87FEB870}"/>
    <cellStyle name="Percentuale 3 3 2 2 3" xfId="28423" xr:uid="{46581F1E-4594-4102-A400-B1F5DDD8092F}"/>
    <cellStyle name="Percentuale 3 3 2 3" xfId="8139" xr:uid="{A10DD045-9EAB-4845-BB31-C8E0F097C41F}"/>
    <cellStyle name="Percentuale 3 3 2 3 2" xfId="14138" xr:uid="{8961EAE7-2F07-4CDB-AF74-E9E0E24CEE4F}"/>
    <cellStyle name="Percentuale 3 3 2 3 3" xfId="28425" xr:uid="{6542B85D-8022-4183-93B8-B93FF7167B5A}"/>
    <cellStyle name="Percentuale 3 3 2 3 4" xfId="49187" xr:uid="{C3AF26A9-0E03-42D2-91E3-18B1B3C9D64C}"/>
    <cellStyle name="Percentuale 3 3 2 4" xfId="28426" xr:uid="{71E62007-7C97-493C-A7FC-40670B44D464}"/>
    <cellStyle name="Percentuale 3 3 2 5" xfId="28422" xr:uid="{2ABD0A78-A2E3-40EA-BFB3-D874CFB9C838}"/>
    <cellStyle name="Percentuale 3 3 3" xfId="4359" xr:uid="{52A21AE1-C3B1-46C1-8C0E-C8C3A3AB28B6}"/>
    <cellStyle name="Percentuale 3 3 3 2" xfId="9464" xr:uid="{5959963D-F6EE-4B76-AFA5-4F7E69C134BF}"/>
    <cellStyle name="Percentuale 3 3 3 2 2" xfId="28428" xr:uid="{7BC8303F-7336-4FF6-A77A-EE773F894918}"/>
    <cellStyle name="Percentuale 3 3 3 3" xfId="28429" xr:uid="{6E325C07-EBA9-4FF6-8B43-7B7BEA219489}"/>
    <cellStyle name="Percentuale 3 3 3 4" xfId="28430" xr:uid="{1598D521-57A8-40D6-8FB9-8BC67115CF0A}"/>
    <cellStyle name="Percentuale 3 3 3 4 2" xfId="49188" xr:uid="{8ED2C694-C59F-485A-9B36-2A6EB599A011}"/>
    <cellStyle name="Percentuale 3 3 3 5" xfId="28427" xr:uid="{DBF3156F-29DC-48A9-BCD5-7FDBEE9F34E3}"/>
    <cellStyle name="Percentuale 3 3 4" xfId="4360" xr:uid="{F7B45F65-47C9-4AFF-A02D-8DC3F9659A02}"/>
    <cellStyle name="Percentuale 3 3 4 2" xfId="13799" xr:uid="{CC2C71C3-4D8E-4440-AA37-301077F1A591}"/>
    <cellStyle name="Percentuale 3 3 4 3" xfId="28431" xr:uid="{8BC0A7FD-FFF5-462E-AB34-CFCAA28D50ED}"/>
    <cellStyle name="Percentuale 3 3 5" xfId="11206" xr:uid="{A7B4154C-C7C3-481D-8BFD-3738BFED400B}"/>
    <cellStyle name="Percentuale 3 3 5 2" xfId="28432" xr:uid="{C5D49874-F8F5-4466-BCBA-F15A0DE28BC5}"/>
    <cellStyle name="Percentuale 3 3 6" xfId="28433" xr:uid="{FFABE8D8-170E-447F-B34D-D80CBF43C156}"/>
    <cellStyle name="Percentuale 3 3 6 2" xfId="49189" xr:uid="{50971D53-A615-4362-8BC8-E1F1043D2897}"/>
    <cellStyle name="Percentuale 3 3 7" xfId="28434" xr:uid="{A01A3BB6-93E0-4E48-AFC3-C7DDFE4AB881}"/>
    <cellStyle name="Percentuale 3 3 8" xfId="28421" xr:uid="{8C9D3DDF-FA48-40CF-B200-8F085702850F}"/>
    <cellStyle name="Percentuale 3 4" xfId="2361" xr:uid="{00000000-0005-0000-0000-00007B080000}"/>
    <cellStyle name="Percentuale 3 4 2" xfId="2362" xr:uid="{00000000-0005-0000-0000-00007C080000}"/>
    <cellStyle name="Percentuale 3 4 2 2" xfId="9465" xr:uid="{AA616DD9-4A2F-4CF7-A64E-F2183CE917B8}"/>
    <cellStyle name="Percentuale 3 4 2 2 2" xfId="28437" xr:uid="{22339BC0-C78E-4B8E-8675-89E6328A63CB}"/>
    <cellStyle name="Percentuale 3 4 2 3" xfId="17924" xr:uid="{C53DD244-448E-4B57-A335-6957FF9BB250}"/>
    <cellStyle name="Percentuale 3 4 2 3 2" xfId="28438" xr:uid="{7AE3A7CB-856B-42D3-9BCD-30E6C60E20A6}"/>
    <cellStyle name="Percentuale 3 4 2 4" xfId="28436" xr:uid="{DB7B25A4-9262-4461-BAF8-9C3056BC3D37}"/>
    <cellStyle name="Percentuale 3 4 2 5" xfId="17533" xr:uid="{366EFA3B-F82F-4B02-9C4B-8A347347F762}"/>
    <cellStyle name="Percentuale 3 4 3" xfId="9466" xr:uid="{E5CE59C3-143B-4834-A944-BC368B430130}"/>
    <cellStyle name="Percentuale 3 4 3 2" xfId="28439" xr:uid="{D61BE6C9-5A89-4547-9D48-F1FF9716765A}"/>
    <cellStyle name="Percentuale 3 4 4" xfId="28440" xr:uid="{95CB501A-9971-4AC1-8A49-39A1E7F9558B}"/>
    <cellStyle name="Percentuale 3 4 5" xfId="28441" xr:uid="{0B4A545A-1E16-477C-85F2-2CF03D83B016}"/>
    <cellStyle name="Percentuale 3 4 5 2" xfId="49190" xr:uid="{EEF106EF-799F-4480-945D-4C2E7F3E5382}"/>
    <cellStyle name="Percentuale 3 4 6" xfId="28442" xr:uid="{3E880D0F-A19B-4CC5-B7DF-D41CD061EEBE}"/>
    <cellStyle name="Percentuale 3 4 7" xfId="28435" xr:uid="{8671213B-44E0-4208-BAB6-C1A13B25BCF3}"/>
    <cellStyle name="Percentuale 3 5" xfId="2363" xr:uid="{00000000-0005-0000-0000-00007D080000}"/>
    <cellStyle name="Percentuale 3 5 2" xfId="28444" xr:uid="{720B7FB5-80C6-4542-B7A4-3DC2713CCD92}"/>
    <cellStyle name="Percentuale 3 5 3" xfId="28445" xr:uid="{B7BE7A4D-7344-4CD7-A0C9-928427AC718E}"/>
    <cellStyle name="Percentuale 3 5 3 2" xfId="49191" xr:uid="{D3CCCE0B-20B3-4981-97C9-A6AB5CEC735D}"/>
    <cellStyle name="Percentuale 3 5 4" xfId="28446" xr:uid="{B0879786-A3E1-4451-BF3C-4A83010ABCF1}"/>
    <cellStyle name="Percentuale 3 5 5" xfId="28443" xr:uid="{2A76A1FA-3A54-40F9-B70D-15430EA40CB0}"/>
    <cellStyle name="Percentuale 3 6" xfId="4361" xr:uid="{147E2013-FEE0-4908-9E35-1410EBD24C68}"/>
    <cellStyle name="Percentuale 3 6 2" xfId="9833" xr:uid="{E7628B54-A40E-42BD-BE2A-758AB09539F5}"/>
    <cellStyle name="Percentuale 3 6 3" xfId="28447" xr:uid="{CF6AA166-38B7-44F0-B43F-7B1191BF1C9F}"/>
    <cellStyle name="Percentuale 3 7" xfId="28448" xr:uid="{387D7D84-E207-46CA-9EB1-9FA72F74660E}"/>
    <cellStyle name="Percentuale 3 7 2" xfId="49192" xr:uid="{937CA04E-A20C-4F8B-BCA5-D18AF0D02F3C}"/>
    <cellStyle name="Percentuale 3 8" xfId="28415" xr:uid="{E545B892-EC16-47D0-97E4-FB05037F53D6}"/>
    <cellStyle name="Percentuale 30" xfId="1062" xr:uid="{00000000-0005-0000-0000-00007E080000}"/>
    <cellStyle name="Percentuale 30 2" xfId="1063" xr:uid="{00000000-0005-0000-0000-00007F080000}"/>
    <cellStyle name="Percentuale 30 2 2" xfId="4362" xr:uid="{4A96FD9D-B74A-41B9-9AEB-40865818B422}"/>
    <cellStyle name="Percentuale 30 2 2 2" xfId="13585" xr:uid="{8777D320-4B1C-4F22-88C8-F30008975E1E}"/>
    <cellStyle name="Percentuale 30 2 2 3" xfId="28451" xr:uid="{756FA0F3-B7CE-44E8-9ACF-D0FB8B1559A0}"/>
    <cellStyle name="Percentuale 30 2 3" xfId="13323" xr:uid="{F99E142A-47CE-4DCE-9E41-964EE795C562}"/>
    <cellStyle name="Percentuale 30 2 3 2" xfId="28452" xr:uid="{7E6F9366-5260-4DEF-80D3-6A5B14A5AC57}"/>
    <cellStyle name="Percentuale 30 2 4" xfId="28453" xr:uid="{F7EDCB0D-23DF-46D3-9A2D-931E1FA3DA40}"/>
    <cellStyle name="Percentuale 30 2 4 2" xfId="49193" xr:uid="{D40B6E60-7724-49DA-85CF-5D5B41718187}"/>
    <cellStyle name="Percentuale 30 2 5" xfId="28454" xr:uid="{0EC4204B-9CF9-41AD-B2C3-20ED5702CD04}"/>
    <cellStyle name="Percentuale 30 2 6" xfId="28450" xr:uid="{9125CDCB-7F18-4E13-A952-76B296615AB7}"/>
    <cellStyle name="Percentuale 30 3" xfId="1064" xr:uid="{00000000-0005-0000-0000-000080080000}"/>
    <cellStyle name="Percentuale 30 3 2" xfId="1065" xr:uid="{00000000-0005-0000-0000-000081080000}"/>
    <cellStyle name="Percentuale 30 3 2 2" xfId="2364" xr:uid="{00000000-0005-0000-0000-000082080000}"/>
    <cellStyle name="Percentuale 30 3 2 2 2" xfId="28458" xr:uid="{B121723B-A11F-41E6-BD6E-48DCAFC6EE20}"/>
    <cellStyle name="Percentuale 30 3 2 2 3" xfId="28457" xr:uid="{0544130E-DD81-45A3-9EF0-30EA9B869588}"/>
    <cellStyle name="Percentuale 30 3 2 3" xfId="8140" xr:uid="{AA460686-5655-471D-9FFF-4D138506F31D}"/>
    <cellStyle name="Percentuale 30 3 2 3 2" xfId="14139" xr:uid="{407DCD9D-5E9A-4458-9E1B-3A49E24A12A0}"/>
    <cellStyle name="Percentuale 30 3 2 3 3" xfId="28459" xr:uid="{35103A39-0976-49CE-9DF8-0D0AF0F94F7E}"/>
    <cellStyle name="Percentuale 30 3 2 3 4" xfId="49194" xr:uid="{A79ED3BA-CC8F-4C76-8431-82ED4A551131}"/>
    <cellStyle name="Percentuale 30 3 2 4" xfId="28460" xr:uid="{524D2C2A-A999-4505-80AE-BDB7C8293154}"/>
    <cellStyle name="Percentuale 30 3 2 5" xfId="28456" xr:uid="{4B7FA7D6-6348-451A-95C8-FA7D41465FB3}"/>
    <cellStyle name="Percentuale 30 3 3" xfId="4363" xr:uid="{41731041-6718-47B5-8C1E-3F4C4C8EBE75}"/>
    <cellStyle name="Percentuale 30 3 3 2" xfId="9467" xr:uid="{86FBEBC7-95B0-46EC-9295-3CC7B8AFC5BD}"/>
    <cellStyle name="Percentuale 30 3 3 2 2" xfId="28462" xr:uid="{1E5927BC-117E-4931-B928-B0445F2C6E01}"/>
    <cellStyle name="Percentuale 30 3 3 3" xfId="28463" xr:uid="{BF6C3095-A576-4213-88FB-73CB6922C583}"/>
    <cellStyle name="Percentuale 30 3 3 4" xfId="28464" xr:uid="{F89AC475-2652-4BF1-AEA3-77A07F59AAE4}"/>
    <cellStyle name="Percentuale 30 3 3 4 2" xfId="49195" xr:uid="{ECC38077-6D81-45D8-8674-4669EF3B1B4C}"/>
    <cellStyle name="Percentuale 30 3 3 5" xfId="28461" xr:uid="{88D334C2-2829-43AC-86DB-9D1EC189DC43}"/>
    <cellStyle name="Percentuale 30 3 4" xfId="4364" xr:uid="{B8B1D075-DD58-44DE-8C89-260F994EEE8B}"/>
    <cellStyle name="Percentuale 30 3 4 2" xfId="13800" xr:uid="{5253F940-E7B0-4448-81A7-78961C9A9416}"/>
    <cellStyle name="Percentuale 30 3 4 3" xfId="28465" xr:uid="{0D7952D9-1F94-4C83-B1B1-C8E1AB2DB7CD}"/>
    <cellStyle name="Percentuale 30 3 5" xfId="12443" xr:uid="{6DA72288-1CBE-4058-B1EB-B17B0BC58861}"/>
    <cellStyle name="Percentuale 30 3 5 2" xfId="28466" xr:uid="{FA9F26BE-A260-4249-BBD5-FFFD6530F44A}"/>
    <cellStyle name="Percentuale 30 3 6" xfId="28467" xr:uid="{BFF1498F-6353-49FD-B5EB-C6B4EAA45B8E}"/>
    <cellStyle name="Percentuale 30 3 6 2" xfId="49196" xr:uid="{0D5099C5-C7CE-448B-87FD-8089FE8F3E40}"/>
    <cellStyle name="Percentuale 30 3 7" xfId="28468" xr:uid="{36B5E956-BA70-4B95-975B-7C2F08B4E2CD}"/>
    <cellStyle name="Percentuale 30 3 8" xfId="28455" xr:uid="{222610AA-08E8-49A9-8BF8-942ABD37A2AF}"/>
    <cellStyle name="Percentuale 30 4" xfId="2365" xr:uid="{00000000-0005-0000-0000-000083080000}"/>
    <cellStyle name="Percentuale 30 4 2" xfId="2366" xr:uid="{00000000-0005-0000-0000-000084080000}"/>
    <cellStyle name="Percentuale 30 4 2 2" xfId="9468" xr:uid="{6A43E807-1D2E-4CC1-81A4-BA3EC77B63CD}"/>
    <cellStyle name="Percentuale 30 4 2 2 2" xfId="28471" xr:uid="{0DA90EA7-E31A-4D3F-BA2D-BE61E27002B4}"/>
    <cellStyle name="Percentuale 30 4 2 3" xfId="17925" xr:uid="{8C2A9178-D02A-48B7-B652-11B3602308AC}"/>
    <cellStyle name="Percentuale 30 4 2 3 2" xfId="28472" xr:uid="{CA40C3CB-F8CB-4B49-991C-DA7DD6A493BA}"/>
    <cellStyle name="Percentuale 30 4 2 4" xfId="28470" xr:uid="{78EBC4C0-E1C3-4D24-BE81-FE50D206F0BF}"/>
    <cellStyle name="Percentuale 30 4 2 5" xfId="17534" xr:uid="{75EEAE6F-B428-4B5E-BA35-608D0D4E2829}"/>
    <cellStyle name="Percentuale 30 4 3" xfId="9469" xr:uid="{F690F64F-F02B-4E60-B30A-8FC198D8D1EE}"/>
    <cellStyle name="Percentuale 30 4 3 2" xfId="28473" xr:uid="{DBACE614-1069-4039-8BFE-9B2608C0EA0B}"/>
    <cellStyle name="Percentuale 30 4 4" xfId="28474" xr:uid="{4330DC60-25A0-4208-A995-533FBD727A42}"/>
    <cellStyle name="Percentuale 30 4 5" xfId="28475" xr:uid="{D4B731A9-2224-4ED5-88E9-C70EF657AF39}"/>
    <cellStyle name="Percentuale 30 4 5 2" xfId="49197" xr:uid="{C29DFAEA-86C5-4783-8604-FFCBE766CC8A}"/>
    <cellStyle name="Percentuale 30 4 6" xfId="28476" xr:uid="{26E781F2-6B1F-4054-A515-4255C1A8AC79}"/>
    <cellStyle name="Percentuale 30 4 7" xfId="28469" xr:uid="{66215A68-CA39-417E-B539-277FB5F74BB1}"/>
    <cellStyle name="Percentuale 30 5" xfId="2367" xr:uid="{00000000-0005-0000-0000-000085080000}"/>
    <cellStyle name="Percentuale 30 5 2" xfId="28478" xr:uid="{14FBBF4F-2B48-436D-A409-53712E46CF3C}"/>
    <cellStyle name="Percentuale 30 5 3" xfId="28479" xr:uid="{2B0020FB-192E-4EA5-A902-A40AB2BAD3F4}"/>
    <cellStyle name="Percentuale 30 5 3 2" xfId="49198" xr:uid="{260BC417-17F4-4970-9281-801619C66E8F}"/>
    <cellStyle name="Percentuale 30 5 4" xfId="28480" xr:uid="{C6CC0E5F-710F-42AC-AF62-DA1958DA4C1E}"/>
    <cellStyle name="Percentuale 30 5 5" xfId="28477" xr:uid="{8B32C6F3-FF2D-404C-9056-CF01D7015D23}"/>
    <cellStyle name="Percentuale 30 6" xfId="4365" xr:uid="{032C8BCC-3DE9-47EE-86BD-DDE5EE211E75}"/>
    <cellStyle name="Percentuale 30 6 2" xfId="9834" xr:uid="{BB6F2C5E-8FC2-4ABA-8B07-57900C8AF53F}"/>
    <cellStyle name="Percentuale 30 6 3" xfId="28481" xr:uid="{2713AB62-0B99-4147-BD29-9A238891F3C5}"/>
    <cellStyle name="Percentuale 30 7" xfId="28482" xr:uid="{5237BE92-402F-4570-B2FF-5C45FC5DE9AA}"/>
    <cellStyle name="Percentuale 30 7 2" xfId="49199" xr:uid="{47181011-D8BA-44FF-81FE-B8ECD732B7B8}"/>
    <cellStyle name="Percentuale 30 8" xfId="28449" xr:uid="{6EFEE047-11F4-4669-9D14-B81F29AF5BAD}"/>
    <cellStyle name="Percentuale 31" xfId="1066" xr:uid="{00000000-0005-0000-0000-000086080000}"/>
    <cellStyle name="Percentuale 31 2" xfId="1067" xr:uid="{00000000-0005-0000-0000-000087080000}"/>
    <cellStyle name="Percentuale 31 2 2" xfId="4366" xr:uid="{E757F239-085D-4419-91ED-7E8211346AFA}"/>
    <cellStyle name="Percentuale 31 2 2 2" xfId="13586" xr:uid="{75B0A0AC-1D2E-455B-8CF7-A13A9FF0B6B1}"/>
    <cellStyle name="Percentuale 31 2 2 3" xfId="28485" xr:uid="{2E8D353C-408C-43C2-8C0E-9BBEF3805A3A}"/>
    <cellStyle name="Percentuale 31 2 3" xfId="13324" xr:uid="{B420D7C3-8EC8-4992-94E4-6255A85E6632}"/>
    <cellStyle name="Percentuale 31 2 3 2" xfId="28486" xr:uid="{BEE8F009-CE4C-41B3-8B0D-5B1B1885982F}"/>
    <cellStyle name="Percentuale 31 2 4" xfId="28487" xr:uid="{2670ACBA-3C42-4213-907E-C8F71A55FD77}"/>
    <cellStyle name="Percentuale 31 2 4 2" xfId="49200" xr:uid="{4B374EC0-9942-4361-B78D-21CAFD208105}"/>
    <cellStyle name="Percentuale 31 2 5" xfId="28488" xr:uid="{B90AB0A9-55EB-4F93-99D6-3043BF0F2859}"/>
    <cellStyle name="Percentuale 31 2 6" xfId="28484" xr:uid="{234FB8A3-DCB4-4F8E-9B23-D4A7E270F058}"/>
    <cellStyle name="Percentuale 31 3" xfId="1068" xr:uid="{00000000-0005-0000-0000-000088080000}"/>
    <cellStyle name="Percentuale 31 3 2" xfId="1069" xr:uid="{00000000-0005-0000-0000-000089080000}"/>
    <cellStyle name="Percentuale 31 3 2 2" xfId="2368" xr:uid="{00000000-0005-0000-0000-00008A080000}"/>
    <cellStyle name="Percentuale 31 3 2 2 2" xfId="28492" xr:uid="{A9280E05-A18F-4EE6-88D0-CF4A4DA183AC}"/>
    <cellStyle name="Percentuale 31 3 2 2 3" xfId="28491" xr:uid="{4AEA9059-6DBB-4AB4-8B6B-19627C3B31D3}"/>
    <cellStyle name="Percentuale 31 3 2 3" xfId="8141" xr:uid="{5A997076-4E50-4FF6-B31B-76D2C846A62C}"/>
    <cellStyle name="Percentuale 31 3 2 3 2" xfId="14140" xr:uid="{0D8BC4F2-46A3-451C-9114-5B4756D87E38}"/>
    <cellStyle name="Percentuale 31 3 2 3 3" xfId="28493" xr:uid="{FFDA757D-334D-4A27-A1C6-2D3E3BC81106}"/>
    <cellStyle name="Percentuale 31 3 2 3 4" xfId="49201" xr:uid="{EA25C183-3EC7-41EC-8FF0-C3C12DCE422F}"/>
    <cellStyle name="Percentuale 31 3 2 4" xfId="28494" xr:uid="{23DC14DE-6F34-4D03-BF1E-70B908999CB1}"/>
    <cellStyle name="Percentuale 31 3 2 5" xfId="28490" xr:uid="{92B71160-AE95-4E12-A7A4-3078FC72BBD4}"/>
    <cellStyle name="Percentuale 31 3 3" xfId="4367" xr:uid="{3152029B-4C06-48B6-8DDF-E41516C1377F}"/>
    <cellStyle name="Percentuale 31 3 3 2" xfId="9470" xr:uid="{3732F0CA-DE27-4020-A2AC-42E778F8F597}"/>
    <cellStyle name="Percentuale 31 3 3 2 2" xfId="28496" xr:uid="{3A2C7260-C398-4FB4-9DF1-425F035A3358}"/>
    <cellStyle name="Percentuale 31 3 3 3" xfId="28497" xr:uid="{312FFB1E-F7EB-4379-81E5-26ED3182D3D2}"/>
    <cellStyle name="Percentuale 31 3 3 4" xfId="28498" xr:uid="{31B6240B-333B-46AB-944C-0B09C7B61378}"/>
    <cellStyle name="Percentuale 31 3 3 4 2" xfId="49202" xr:uid="{CB1C5044-BD75-479D-BF93-1DA949151EDC}"/>
    <cellStyle name="Percentuale 31 3 3 5" xfId="28495" xr:uid="{DC4F37FE-D509-4411-9104-7CDA77DEF050}"/>
    <cellStyle name="Percentuale 31 3 4" xfId="4368" xr:uid="{1683807F-A0FF-494B-8420-1877978F524A}"/>
    <cellStyle name="Percentuale 31 3 4 2" xfId="13801" xr:uid="{B2D80B2E-9371-406F-A1C4-700C4AB64AF5}"/>
    <cellStyle name="Percentuale 31 3 4 3" xfId="28499" xr:uid="{B781D674-0A32-4E90-91CE-08E84B52229D}"/>
    <cellStyle name="Percentuale 31 3 5" xfId="12432" xr:uid="{36F20430-27BD-4CAC-B30D-7295E9B6633E}"/>
    <cellStyle name="Percentuale 31 3 5 2" xfId="28500" xr:uid="{57EA8155-72AD-41DA-BB0B-E268A4C561B7}"/>
    <cellStyle name="Percentuale 31 3 6" xfId="28501" xr:uid="{AA3DA431-F733-48D5-8E82-14F98C0BD57F}"/>
    <cellStyle name="Percentuale 31 3 6 2" xfId="49203" xr:uid="{501809D9-68CC-4D25-9808-BD8AE18710AB}"/>
    <cellStyle name="Percentuale 31 3 7" xfId="28502" xr:uid="{2D35B636-6237-423D-B67D-DB77462A78D9}"/>
    <cellStyle name="Percentuale 31 3 8" xfId="28489" xr:uid="{85D6F2DB-DBBF-422B-A17E-50CD1F95C136}"/>
    <cellStyle name="Percentuale 31 4" xfId="2369" xr:uid="{00000000-0005-0000-0000-00008B080000}"/>
    <cellStyle name="Percentuale 31 4 2" xfId="2370" xr:uid="{00000000-0005-0000-0000-00008C080000}"/>
    <cellStyle name="Percentuale 31 4 2 2" xfId="9471" xr:uid="{06FEC9D7-1A07-4DD1-B4EA-6CCCA5B3DD9C}"/>
    <cellStyle name="Percentuale 31 4 2 2 2" xfId="28505" xr:uid="{62671135-3AB5-49D8-8202-CBCACA983A39}"/>
    <cellStyle name="Percentuale 31 4 2 3" xfId="17926" xr:uid="{42DFBFC1-59F6-443E-9AED-2715684B3EE6}"/>
    <cellStyle name="Percentuale 31 4 2 3 2" xfId="28506" xr:uid="{E571FA0F-151B-48D8-93F4-65B5E36EE27F}"/>
    <cellStyle name="Percentuale 31 4 2 4" xfId="28504" xr:uid="{87EA133A-DD3D-4F39-9A89-4FD61179EA30}"/>
    <cellStyle name="Percentuale 31 4 2 5" xfId="17535" xr:uid="{CD4D7499-49ED-4A0E-BC4D-760BD22B500C}"/>
    <cellStyle name="Percentuale 31 4 3" xfId="9472" xr:uid="{6F4E3031-35EF-453D-82D5-0465141DD13E}"/>
    <cellStyle name="Percentuale 31 4 3 2" xfId="28507" xr:uid="{9AB4FDD9-DEFB-4CD9-B03B-F2C3149B445A}"/>
    <cellStyle name="Percentuale 31 4 4" xfId="28508" xr:uid="{90C90684-FD28-4383-B8C1-854213539178}"/>
    <cellStyle name="Percentuale 31 4 5" xfId="28509" xr:uid="{B233013F-64A3-4EA2-96C7-A735860CBA4E}"/>
    <cellStyle name="Percentuale 31 4 5 2" xfId="49204" xr:uid="{76B18284-72BF-4205-B055-0DAD850351DC}"/>
    <cellStyle name="Percentuale 31 4 6" xfId="28510" xr:uid="{88F4417D-ECF1-4E85-B0B3-D8D2D2FD509E}"/>
    <cellStyle name="Percentuale 31 4 7" xfId="28503" xr:uid="{1D508CD1-52E2-4550-B0BB-CDEA215694F2}"/>
    <cellStyle name="Percentuale 31 5" xfId="2371" xr:uid="{00000000-0005-0000-0000-00008D080000}"/>
    <cellStyle name="Percentuale 31 5 2" xfId="28512" xr:uid="{185FD8A8-A20F-49CC-83CE-4D6203CB0299}"/>
    <cellStyle name="Percentuale 31 5 3" xfId="28513" xr:uid="{F3849FA1-5681-4815-B99E-87459BF840E2}"/>
    <cellStyle name="Percentuale 31 5 3 2" xfId="49205" xr:uid="{34064754-7F2D-4081-866B-7141C6C63EC2}"/>
    <cellStyle name="Percentuale 31 5 4" xfId="28514" xr:uid="{878EE23C-1A16-40CA-BE6C-AA16B7518C40}"/>
    <cellStyle name="Percentuale 31 5 5" xfId="28511" xr:uid="{1A7B5AC5-E28D-4850-91B6-04496CF0E6A0}"/>
    <cellStyle name="Percentuale 31 6" xfId="4369" xr:uid="{B3CAEE8F-14AA-446C-83B0-6B094B9A3273}"/>
    <cellStyle name="Percentuale 31 6 2" xfId="9835" xr:uid="{A4F589F7-542A-466E-836D-E49BF906E177}"/>
    <cellStyle name="Percentuale 31 6 3" xfId="28515" xr:uid="{194F410E-B87F-4F86-8D7A-FD8AD41EAA59}"/>
    <cellStyle name="Percentuale 31 7" xfId="28516" xr:uid="{E94449D4-5557-42E1-AA99-FB77CDA34565}"/>
    <cellStyle name="Percentuale 31 7 2" xfId="49206" xr:uid="{CACA949D-5F17-4A06-90EF-66EF387E4934}"/>
    <cellStyle name="Percentuale 31 8" xfId="28483" xr:uid="{F0278063-FD03-4F02-B3C7-45B7F82B0B71}"/>
    <cellStyle name="Percentuale 32" xfId="1070" xr:uid="{00000000-0005-0000-0000-00008E080000}"/>
    <cellStyle name="Percentuale 32 2" xfId="1071" xr:uid="{00000000-0005-0000-0000-00008F080000}"/>
    <cellStyle name="Percentuale 32 2 2" xfId="4370" xr:uid="{A3B7BC30-FAF3-4192-9677-C4BEB14DC741}"/>
    <cellStyle name="Percentuale 32 2 2 2" xfId="13587" xr:uid="{1A293DB4-A0D9-4F18-83C8-07EFB3F637CF}"/>
    <cellStyle name="Percentuale 32 2 2 3" xfId="28519" xr:uid="{62DE4ADB-3E3F-4AE3-9360-B01E1CE2B550}"/>
    <cellStyle name="Percentuale 32 2 3" xfId="13325" xr:uid="{C4A8AE53-9FBC-484D-90DB-97410CDC02BB}"/>
    <cellStyle name="Percentuale 32 2 3 2" xfId="28520" xr:uid="{E829DCC3-55FA-41B4-86C8-2813A5E7A985}"/>
    <cellStyle name="Percentuale 32 2 4" xfId="28521" xr:uid="{BBE0F5FD-828A-41F3-9220-BC2C07B1CC59}"/>
    <cellStyle name="Percentuale 32 2 4 2" xfId="49207" xr:uid="{7B534FD5-F755-4F08-B9B6-8CD1710CB4D0}"/>
    <cellStyle name="Percentuale 32 2 5" xfId="28522" xr:uid="{2901B34B-73E0-464B-8328-CE6A96614DFC}"/>
    <cellStyle name="Percentuale 32 2 6" xfId="28518" xr:uid="{A5FAC709-469D-443D-B730-4FBEF7A278B5}"/>
    <cellStyle name="Percentuale 32 3" xfId="1072" xr:uid="{00000000-0005-0000-0000-000090080000}"/>
    <cellStyle name="Percentuale 32 3 2" xfId="1073" xr:uid="{00000000-0005-0000-0000-000091080000}"/>
    <cellStyle name="Percentuale 32 3 2 2" xfId="2372" xr:uid="{00000000-0005-0000-0000-000092080000}"/>
    <cellStyle name="Percentuale 32 3 2 2 2" xfId="28526" xr:uid="{9457FE37-6966-4350-95F5-FFD593951117}"/>
    <cellStyle name="Percentuale 32 3 2 2 3" xfId="28525" xr:uid="{CD281002-EEE1-4B95-99EA-FB0AD0842339}"/>
    <cellStyle name="Percentuale 32 3 2 3" xfId="8142" xr:uid="{B3A19F76-B997-4666-8B3E-C648B105ACB1}"/>
    <cellStyle name="Percentuale 32 3 2 3 2" xfId="14141" xr:uid="{626B6A30-139A-49C8-AA6B-3F1DCA0C6D14}"/>
    <cellStyle name="Percentuale 32 3 2 3 3" xfId="28527" xr:uid="{A5AC3BA2-0A2F-45BD-8BCB-61C41B8A9875}"/>
    <cellStyle name="Percentuale 32 3 2 3 4" xfId="49208" xr:uid="{3CBEEECF-600F-4137-A4FC-C813676063FA}"/>
    <cellStyle name="Percentuale 32 3 2 4" xfId="28528" xr:uid="{482985C2-DE8F-4D22-A48D-4CE9B0EF11CA}"/>
    <cellStyle name="Percentuale 32 3 2 5" xfId="28524" xr:uid="{8D110953-1647-4743-A68E-6901000A4012}"/>
    <cellStyle name="Percentuale 32 3 3" xfId="4371" xr:uid="{A9575134-9B60-458E-931C-C09BB7570058}"/>
    <cellStyle name="Percentuale 32 3 3 2" xfId="9473" xr:uid="{1A4D99EA-C580-4545-8D4F-45A33AFDFB31}"/>
    <cellStyle name="Percentuale 32 3 3 2 2" xfId="28530" xr:uid="{687A7CAF-2DB8-454F-A432-80DED7ED4679}"/>
    <cellStyle name="Percentuale 32 3 3 3" xfId="28531" xr:uid="{EB95F3EB-C34A-4B04-94ED-1CFE16ADCBA5}"/>
    <cellStyle name="Percentuale 32 3 3 4" xfId="28532" xr:uid="{97BBA399-EF39-4FF1-B2E4-99B7EAC9A936}"/>
    <cellStyle name="Percentuale 32 3 3 4 2" xfId="49209" xr:uid="{8FD8053F-CC50-44A6-AEA4-B34B8F60026A}"/>
    <cellStyle name="Percentuale 32 3 3 5" xfId="28529" xr:uid="{578F7D6E-1D35-477B-AA40-6CFA4AF3622A}"/>
    <cellStyle name="Percentuale 32 3 4" xfId="4372" xr:uid="{638DC675-51EF-4741-B5BE-1BBE38623FDA}"/>
    <cellStyle name="Percentuale 32 3 4 2" xfId="13802" xr:uid="{EDC77161-0BBB-4873-B6C5-8ECF2136C457}"/>
    <cellStyle name="Percentuale 32 3 4 3" xfId="28533" xr:uid="{2EA77BB5-372D-4168-B7A6-FFEBE50576FF}"/>
    <cellStyle name="Percentuale 32 3 5" xfId="12431" xr:uid="{518A4988-2AB9-4E43-BBC8-D2A0F60B953E}"/>
    <cellStyle name="Percentuale 32 3 5 2" xfId="28534" xr:uid="{A6C5C22C-62DF-4CEE-AD3B-04F0D924245E}"/>
    <cellStyle name="Percentuale 32 3 6" xfId="28535" xr:uid="{DA109570-04A1-4DF4-93E9-9F79791F0D1E}"/>
    <cellStyle name="Percentuale 32 3 6 2" xfId="49210" xr:uid="{7DB87D78-AE6E-46C7-865E-F1282ED0099B}"/>
    <cellStyle name="Percentuale 32 3 7" xfId="28536" xr:uid="{E47B12C4-4780-4ED5-A3E5-2009B66C43EF}"/>
    <cellStyle name="Percentuale 32 3 8" xfId="28523" xr:uid="{964866DC-B620-4DFE-AD82-245371D4B9F0}"/>
    <cellStyle name="Percentuale 32 4" xfId="2373" xr:uid="{00000000-0005-0000-0000-000093080000}"/>
    <cellStyle name="Percentuale 32 4 2" xfId="2374" xr:uid="{00000000-0005-0000-0000-000094080000}"/>
    <cellStyle name="Percentuale 32 4 2 2" xfId="9474" xr:uid="{CC3244C0-FFAE-4B8C-94DC-5926FB9C68DF}"/>
    <cellStyle name="Percentuale 32 4 2 2 2" xfId="28539" xr:uid="{3D40F173-9146-4FA1-A0AA-CE84F1EB0D64}"/>
    <cellStyle name="Percentuale 32 4 2 3" xfId="17927" xr:uid="{21968A04-54CB-449C-9722-611B90DE6D46}"/>
    <cellStyle name="Percentuale 32 4 2 3 2" xfId="28540" xr:uid="{3130894B-8864-4EBE-B578-F72443B55AF1}"/>
    <cellStyle name="Percentuale 32 4 2 4" xfId="28538" xr:uid="{2940634E-8B40-4DB4-A9EF-DB2A3BC8EA14}"/>
    <cellStyle name="Percentuale 32 4 2 5" xfId="17536" xr:uid="{F405B1F2-9B2A-481F-8D3F-B573CE6F603C}"/>
    <cellStyle name="Percentuale 32 4 3" xfId="9475" xr:uid="{8AEB4808-5CE7-4EBC-A37A-C8B3DD7155A1}"/>
    <cellStyle name="Percentuale 32 4 3 2" xfId="28541" xr:uid="{AC188B6B-18FF-4BFF-827C-F362AE7CC978}"/>
    <cellStyle name="Percentuale 32 4 4" xfId="28542" xr:uid="{3BD72678-B0A2-4938-8743-7FDB796B0057}"/>
    <cellStyle name="Percentuale 32 4 5" xfId="28543" xr:uid="{0F4BCF7A-D754-42D8-9349-F3A4C0487649}"/>
    <cellStyle name="Percentuale 32 4 5 2" xfId="49211" xr:uid="{4C36AD7B-5FB4-4654-95A7-409B77DCEED1}"/>
    <cellStyle name="Percentuale 32 4 6" xfId="28544" xr:uid="{7DA64982-7C09-405B-8093-F26038DCAC92}"/>
    <cellStyle name="Percentuale 32 4 7" xfId="28537" xr:uid="{000C5C1F-1DDE-4E17-B276-6B0C8622D822}"/>
    <cellStyle name="Percentuale 32 5" xfId="2375" xr:uid="{00000000-0005-0000-0000-000095080000}"/>
    <cellStyle name="Percentuale 32 5 2" xfId="28546" xr:uid="{5F32F78D-5F53-4E56-BB7D-1AB05838AEA4}"/>
    <cellStyle name="Percentuale 32 5 3" xfId="28547" xr:uid="{AD1FFABF-15A5-477C-A088-DDD152B381C6}"/>
    <cellStyle name="Percentuale 32 5 3 2" xfId="49212" xr:uid="{6E94894B-7804-4A36-82E7-4C1D56B35466}"/>
    <cellStyle name="Percentuale 32 5 4" xfId="28548" xr:uid="{5EEA66B3-1511-4DC8-A8E3-F6A2C2252C5F}"/>
    <cellStyle name="Percentuale 32 5 5" xfId="28545" xr:uid="{1F0C7A0C-0CDD-4D98-BB01-E430D1661B8A}"/>
    <cellStyle name="Percentuale 32 6" xfId="4373" xr:uid="{8E742EB3-A264-4367-B1FA-35E31BE2DDBD}"/>
    <cellStyle name="Percentuale 32 6 2" xfId="9836" xr:uid="{78BA5EBA-DB8B-4EE7-8515-8ACDD29F4C9D}"/>
    <cellStyle name="Percentuale 32 6 3" xfId="28549" xr:uid="{058EB5F3-7503-49C0-9E91-0EB6C1701CC2}"/>
    <cellStyle name="Percentuale 32 7" xfId="28550" xr:uid="{D97E9649-891B-4C7D-BFDB-9E616CDD05A7}"/>
    <cellStyle name="Percentuale 32 7 2" xfId="49213" xr:uid="{0D98DA83-D3A3-4EDA-B4EC-EBE6A9729619}"/>
    <cellStyle name="Percentuale 32 8" xfId="28517" xr:uid="{8CE41B56-5DE8-4EA1-9F14-35B5A11F9E42}"/>
    <cellStyle name="Percentuale 33" xfId="1074" xr:uid="{00000000-0005-0000-0000-000096080000}"/>
    <cellStyle name="Percentuale 33 2" xfId="1075" xr:uid="{00000000-0005-0000-0000-000097080000}"/>
    <cellStyle name="Percentuale 33 2 2" xfId="4374" xr:uid="{8A000B55-869B-4A48-B19D-EF0A407A85A7}"/>
    <cellStyle name="Percentuale 33 2 2 2" xfId="13588" xr:uid="{38FEAEE3-2E21-40E7-B532-68DC9CCAD1F7}"/>
    <cellStyle name="Percentuale 33 2 2 3" xfId="28553" xr:uid="{9CE2F20E-A19D-4E5E-8DA4-200DE61F7DEB}"/>
    <cellStyle name="Percentuale 33 2 3" xfId="13326" xr:uid="{77DE3075-FC5A-41F5-8351-FD290226F375}"/>
    <cellStyle name="Percentuale 33 2 3 2" xfId="28554" xr:uid="{F0214C5B-F857-4B0C-A7D8-F28201E16D7B}"/>
    <cellStyle name="Percentuale 33 2 4" xfId="28555" xr:uid="{EE262FAE-498A-4D12-96E2-2DCA6B0EDFB7}"/>
    <cellStyle name="Percentuale 33 2 4 2" xfId="49214" xr:uid="{186C77EB-E10F-4309-B655-4B798FCC26D7}"/>
    <cellStyle name="Percentuale 33 2 5" xfId="28556" xr:uid="{A0272890-9847-41DE-8C72-212EAED1B624}"/>
    <cellStyle name="Percentuale 33 2 6" xfId="28552" xr:uid="{89DB08E3-4EE3-4EAA-9AA8-E4999AE4B4BE}"/>
    <cellStyle name="Percentuale 33 3" xfId="1076" xr:uid="{00000000-0005-0000-0000-000098080000}"/>
    <cellStyle name="Percentuale 33 3 2" xfId="1077" xr:uid="{00000000-0005-0000-0000-000099080000}"/>
    <cellStyle name="Percentuale 33 3 2 2" xfId="2376" xr:uid="{00000000-0005-0000-0000-00009A080000}"/>
    <cellStyle name="Percentuale 33 3 2 2 2" xfId="28560" xr:uid="{F6484C19-D604-46B9-A1E1-D159CAEA2101}"/>
    <cellStyle name="Percentuale 33 3 2 2 3" xfId="28559" xr:uid="{D20C4289-A5EE-4083-A2B0-9A9AC75EB78B}"/>
    <cellStyle name="Percentuale 33 3 2 3" xfId="8143" xr:uid="{5550EA0C-CE76-4770-92CA-0F6B8AC57845}"/>
    <cellStyle name="Percentuale 33 3 2 3 2" xfId="14142" xr:uid="{AAB7A54E-B76C-4916-9773-3AF652F47E30}"/>
    <cellStyle name="Percentuale 33 3 2 3 3" xfId="28561" xr:uid="{D4886C4B-22A1-479F-91D9-D559973506D5}"/>
    <cellStyle name="Percentuale 33 3 2 3 4" xfId="49215" xr:uid="{496FD652-9C90-40C9-BC92-09D5F24BF28C}"/>
    <cellStyle name="Percentuale 33 3 2 4" xfId="28562" xr:uid="{274ADF67-2D07-4F2C-AB9C-07B960CD224A}"/>
    <cellStyle name="Percentuale 33 3 2 5" xfId="28558" xr:uid="{8416138D-9233-440F-BB1B-F9F254E23327}"/>
    <cellStyle name="Percentuale 33 3 3" xfId="4375" xr:uid="{E54E9F58-1394-4090-8EAE-F1A446B846BB}"/>
    <cellStyle name="Percentuale 33 3 3 2" xfId="9476" xr:uid="{F332C4E9-0517-4755-A1AF-A287F534916A}"/>
    <cellStyle name="Percentuale 33 3 3 2 2" xfId="28564" xr:uid="{206E81D0-122B-4EF2-B528-85DCEC38BE2C}"/>
    <cellStyle name="Percentuale 33 3 3 3" xfId="28565" xr:uid="{03862684-3487-47B5-88CE-FF0B0FFB869B}"/>
    <cellStyle name="Percentuale 33 3 3 4" xfId="28566" xr:uid="{CA58A0EC-0420-4352-9E5D-6D28E339718B}"/>
    <cellStyle name="Percentuale 33 3 3 4 2" xfId="49216" xr:uid="{E3B75447-46E4-43E6-B92D-DED78B62CC9B}"/>
    <cellStyle name="Percentuale 33 3 3 5" xfId="28563" xr:uid="{63999568-8298-462A-8559-234893EE4E80}"/>
    <cellStyle name="Percentuale 33 3 4" xfId="4376" xr:uid="{C5469DA0-5670-4F86-AECC-813651A7E08C}"/>
    <cellStyle name="Percentuale 33 3 4 2" xfId="13803" xr:uid="{F5746824-B166-4F2D-948A-49E29CBF9A55}"/>
    <cellStyle name="Percentuale 33 3 4 3" xfId="28567" xr:uid="{535EE6EF-D466-41C8-B1B4-046E492212C6}"/>
    <cellStyle name="Percentuale 33 3 5" xfId="11205" xr:uid="{051F5578-333C-4106-BA80-881E059D41D8}"/>
    <cellStyle name="Percentuale 33 3 5 2" xfId="28568" xr:uid="{FB17569D-796A-4529-B7A5-8E37B52736A7}"/>
    <cellStyle name="Percentuale 33 3 6" xfId="28569" xr:uid="{24A8F4CB-72BA-4811-B4B0-1AFB63E8FFE3}"/>
    <cellStyle name="Percentuale 33 3 6 2" xfId="49217" xr:uid="{CF795A40-C067-4674-9F03-8C19E9FB6E05}"/>
    <cellStyle name="Percentuale 33 3 7" xfId="28570" xr:uid="{3BFF3968-9CB0-4AAE-AFB9-742BD2930958}"/>
    <cellStyle name="Percentuale 33 3 8" xfId="28557" xr:uid="{F1B415E0-0BFE-4068-994A-8DF8B3ED0AC8}"/>
    <cellStyle name="Percentuale 33 4" xfId="2377" xr:uid="{00000000-0005-0000-0000-00009B080000}"/>
    <cellStyle name="Percentuale 33 4 2" xfId="2378" xr:uid="{00000000-0005-0000-0000-00009C080000}"/>
    <cellStyle name="Percentuale 33 4 2 2" xfId="9477" xr:uid="{24A5A99E-275E-4E8F-8E21-FF2D6B067634}"/>
    <cellStyle name="Percentuale 33 4 2 2 2" xfId="28573" xr:uid="{C51EFF9D-A49C-4855-8C82-46DCA4C8CA93}"/>
    <cellStyle name="Percentuale 33 4 2 3" xfId="17928" xr:uid="{69CD175A-41D1-49EA-A68E-8AFD1E22C6E2}"/>
    <cellStyle name="Percentuale 33 4 2 3 2" xfId="28574" xr:uid="{C85DF904-E2CF-4ACA-BDF7-4EFC230A8ECB}"/>
    <cellStyle name="Percentuale 33 4 2 4" xfId="28572" xr:uid="{73A0E386-8DE9-4F48-9842-9DBE3A0865A2}"/>
    <cellStyle name="Percentuale 33 4 2 5" xfId="17537" xr:uid="{619A73B1-7FDC-4314-BD54-59948EF054D4}"/>
    <cellStyle name="Percentuale 33 4 3" xfId="9478" xr:uid="{EC6F129C-B1E1-4F8B-BBCE-9C300CFFD685}"/>
    <cellStyle name="Percentuale 33 4 3 2" xfId="28575" xr:uid="{3D3EC22C-82CF-4E83-8279-9EF9A0877277}"/>
    <cellStyle name="Percentuale 33 4 4" xfId="28576" xr:uid="{241462F8-DB74-4E27-B3D6-E44A295C9B27}"/>
    <cellStyle name="Percentuale 33 4 5" xfId="28577" xr:uid="{1A133D7A-6A25-41AB-9282-28911D0C3015}"/>
    <cellStyle name="Percentuale 33 4 5 2" xfId="49218" xr:uid="{0B95435E-A758-4B66-81A6-DE242F276BF4}"/>
    <cellStyle name="Percentuale 33 4 6" xfId="28578" xr:uid="{1EC6FFF9-4C3A-4E83-B216-0266340B722F}"/>
    <cellStyle name="Percentuale 33 4 7" xfId="28571" xr:uid="{623F4F23-810F-42CF-9731-732B2C1E3AA1}"/>
    <cellStyle name="Percentuale 33 5" xfId="2379" xr:uid="{00000000-0005-0000-0000-00009D080000}"/>
    <cellStyle name="Percentuale 33 5 2" xfId="28580" xr:uid="{8029B63D-FF06-4567-B9D3-1BFF7B9D92A2}"/>
    <cellStyle name="Percentuale 33 5 3" xfId="28581" xr:uid="{B3490503-439F-49F1-92DD-EE5377A5A55D}"/>
    <cellStyle name="Percentuale 33 5 3 2" xfId="49219" xr:uid="{964236DB-1330-4051-BB95-1986418E5193}"/>
    <cellStyle name="Percentuale 33 5 4" xfId="28582" xr:uid="{2B61034E-3DE4-429F-9E63-D033C93014EB}"/>
    <cellStyle name="Percentuale 33 5 5" xfId="28579" xr:uid="{3F8365B9-914D-45C9-94B6-708058345F36}"/>
    <cellStyle name="Percentuale 33 6" xfId="4377" xr:uid="{A8E30811-84FF-4B67-BF4F-958F62A5100F}"/>
    <cellStyle name="Percentuale 33 6 2" xfId="9837" xr:uid="{6A4DDC0A-D626-44F5-A323-F902768273A3}"/>
    <cellStyle name="Percentuale 33 6 3" xfId="28583" xr:uid="{6FA2215E-75F1-4F6D-9703-ACD605EBB51F}"/>
    <cellStyle name="Percentuale 33 7" xfId="28584" xr:uid="{90561345-C8F3-47FC-922D-A3246ACD4478}"/>
    <cellStyle name="Percentuale 33 7 2" xfId="49220" xr:uid="{DC0EBAAC-FCC4-4EFF-A4BA-8BAF393526EC}"/>
    <cellStyle name="Percentuale 33 8" xfId="28551" xr:uid="{DB83C25E-F3C5-47D2-8932-7652BFD7BCC1}"/>
    <cellStyle name="Percentuale 34" xfId="1078" xr:uid="{00000000-0005-0000-0000-00009E080000}"/>
    <cellStyle name="Percentuale 34 2" xfId="1079" xr:uid="{00000000-0005-0000-0000-00009F080000}"/>
    <cellStyle name="Percentuale 34 2 2" xfId="4378" xr:uid="{3121E7CF-396E-4238-A79D-B12E07E631B2}"/>
    <cellStyle name="Percentuale 34 2 2 2" xfId="13589" xr:uid="{237F7B9E-6985-4D57-B4D5-31BBE83AC587}"/>
    <cellStyle name="Percentuale 34 2 2 3" xfId="28587" xr:uid="{52969D6B-385C-4804-AD1D-3BB2FD6E5EB8}"/>
    <cellStyle name="Percentuale 34 2 3" xfId="13327" xr:uid="{AB11343E-4045-4835-9A6A-DD57A393104D}"/>
    <cellStyle name="Percentuale 34 2 3 2" xfId="28588" xr:uid="{4D81B5E1-5CA1-4B3E-BC3D-E16EB078B143}"/>
    <cellStyle name="Percentuale 34 2 4" xfId="28589" xr:uid="{9C9F2344-446E-4F72-A77C-88A6B12BC683}"/>
    <cellStyle name="Percentuale 34 2 4 2" xfId="49221" xr:uid="{A23CA175-4A85-4FFE-BB34-F04DE6770270}"/>
    <cellStyle name="Percentuale 34 2 5" xfId="28590" xr:uid="{29D5E1CA-7284-46C5-8EE3-0A7A16F4EE86}"/>
    <cellStyle name="Percentuale 34 2 6" xfId="28586" xr:uid="{9B212636-39C3-4748-9B48-1154794ED4F3}"/>
    <cellStyle name="Percentuale 34 3" xfId="1080" xr:uid="{00000000-0005-0000-0000-0000A0080000}"/>
    <cellStyle name="Percentuale 34 3 2" xfId="1081" xr:uid="{00000000-0005-0000-0000-0000A1080000}"/>
    <cellStyle name="Percentuale 34 3 2 2" xfId="2380" xr:uid="{00000000-0005-0000-0000-0000A2080000}"/>
    <cellStyle name="Percentuale 34 3 2 2 2" xfId="28594" xr:uid="{F536C2A8-7F02-44DD-9AB1-0189807EAFCE}"/>
    <cellStyle name="Percentuale 34 3 2 2 3" xfId="28593" xr:uid="{54DBBE4A-B436-4647-B359-8F44F3756732}"/>
    <cellStyle name="Percentuale 34 3 2 3" xfId="8144" xr:uid="{561CF779-331A-418A-9769-5EF9FA6F7A47}"/>
    <cellStyle name="Percentuale 34 3 2 3 2" xfId="14143" xr:uid="{26569F8A-0026-43B9-99FE-01FE7D94FF7A}"/>
    <cellStyle name="Percentuale 34 3 2 3 3" xfId="28595" xr:uid="{812B0C69-A215-4602-BCD5-0EDC8D013F9C}"/>
    <cellStyle name="Percentuale 34 3 2 3 4" xfId="49222" xr:uid="{1E130AC6-8CD9-4C41-890F-5FB18E78E72F}"/>
    <cellStyle name="Percentuale 34 3 2 4" xfId="28596" xr:uid="{25BD47DB-E540-47BD-943B-7C53A8D94519}"/>
    <cellStyle name="Percentuale 34 3 2 5" xfId="28592" xr:uid="{431B9593-BE88-4985-A803-820D043BB7A4}"/>
    <cellStyle name="Percentuale 34 3 3" xfId="4379" xr:uid="{AEF09BDD-A55F-4918-B253-242BC10696FA}"/>
    <cellStyle name="Percentuale 34 3 3 2" xfId="9479" xr:uid="{B366B857-2C8F-4B17-9CAB-CA85E24E8797}"/>
    <cellStyle name="Percentuale 34 3 3 2 2" xfId="28598" xr:uid="{3031F969-14EA-4D52-A8BB-EA177B719B1A}"/>
    <cellStyle name="Percentuale 34 3 3 3" xfId="28599" xr:uid="{3D5D8281-9FFE-4C05-87BF-82565DE584E3}"/>
    <cellStyle name="Percentuale 34 3 3 4" xfId="28600" xr:uid="{6C20A512-A400-4A59-A66D-F793FDBE478E}"/>
    <cellStyle name="Percentuale 34 3 3 4 2" xfId="49223" xr:uid="{523D7013-1432-4D96-84D9-582A74B76C73}"/>
    <cellStyle name="Percentuale 34 3 3 5" xfId="28597" xr:uid="{EA9F6CF6-83DF-4A26-8EEE-4C95ECCDB97E}"/>
    <cellStyle name="Percentuale 34 3 4" xfId="4380" xr:uid="{F4EB1C1C-B38D-46BD-9C75-5A6EDAEB1E54}"/>
    <cellStyle name="Percentuale 34 3 4 2" xfId="13804" xr:uid="{CE44AF57-E597-4CD9-9DB9-08DFB7EED9A4}"/>
    <cellStyle name="Percentuale 34 3 4 3" xfId="28601" xr:uid="{978D63B2-BC4A-481A-8876-486D08FF9FFE}"/>
    <cellStyle name="Percentuale 34 3 5" xfId="12302" xr:uid="{EF9FFFEF-A3B0-47FD-A4B4-D041627F3AD4}"/>
    <cellStyle name="Percentuale 34 3 5 2" xfId="28602" xr:uid="{965AFC17-FCFE-4F29-AB64-2D704617A894}"/>
    <cellStyle name="Percentuale 34 3 6" xfId="28603" xr:uid="{4F1CF576-0FF5-4B5C-9513-3ABE68397CA6}"/>
    <cellStyle name="Percentuale 34 3 6 2" xfId="49224" xr:uid="{5A794771-9329-40A7-85E0-08D851BA0DF7}"/>
    <cellStyle name="Percentuale 34 3 7" xfId="28604" xr:uid="{82D088A9-A117-498A-9531-5EFC84A79123}"/>
    <cellStyle name="Percentuale 34 3 8" xfId="28591" xr:uid="{E61541D6-DAA8-498E-A674-292CBD55D2E5}"/>
    <cellStyle name="Percentuale 34 4" xfId="2381" xr:uid="{00000000-0005-0000-0000-0000A3080000}"/>
    <cellStyle name="Percentuale 34 4 2" xfId="2382" xr:uid="{00000000-0005-0000-0000-0000A4080000}"/>
    <cellStyle name="Percentuale 34 4 2 2" xfId="9480" xr:uid="{34474228-2327-469B-9D64-67721372C551}"/>
    <cellStyle name="Percentuale 34 4 2 2 2" xfId="28607" xr:uid="{43DDD0F4-9A08-461B-ADBC-02973635A0F2}"/>
    <cellStyle name="Percentuale 34 4 2 3" xfId="17929" xr:uid="{C3367A61-AC37-4C16-87C4-0B917184F67A}"/>
    <cellStyle name="Percentuale 34 4 2 3 2" xfId="28608" xr:uid="{28F4825F-DC29-43D1-A719-3A13C00321AF}"/>
    <cellStyle name="Percentuale 34 4 2 4" xfId="28606" xr:uid="{E808FCD3-068D-4295-B526-41DB9AECBBEB}"/>
    <cellStyle name="Percentuale 34 4 2 5" xfId="17538" xr:uid="{0A65941F-6277-4284-81A3-4F1E52C7B71F}"/>
    <cellStyle name="Percentuale 34 4 3" xfId="9481" xr:uid="{082112EC-7DB8-473C-87E6-613C80F24F9B}"/>
    <cellStyle name="Percentuale 34 4 3 2" xfId="28609" xr:uid="{73C6A51C-60BC-46A7-9598-5223C25FF9AE}"/>
    <cellStyle name="Percentuale 34 4 4" xfId="28610" xr:uid="{6E8B0C5C-DDFA-45A4-BE45-F603135F93BF}"/>
    <cellStyle name="Percentuale 34 4 5" xfId="28611" xr:uid="{8F102033-89B3-41DF-B670-C41CD3783ABF}"/>
    <cellStyle name="Percentuale 34 4 5 2" xfId="49225" xr:uid="{6D8C2D4E-6D8C-43A8-9AB2-034FB8E5E9AD}"/>
    <cellStyle name="Percentuale 34 4 6" xfId="28612" xr:uid="{2D597E02-E5C6-45A3-BEA1-AA3F50400B6B}"/>
    <cellStyle name="Percentuale 34 4 7" xfId="28605" xr:uid="{DB49AFD3-59B5-4B10-B225-1F0E0D6F5215}"/>
    <cellStyle name="Percentuale 34 5" xfId="2383" xr:uid="{00000000-0005-0000-0000-0000A5080000}"/>
    <cellStyle name="Percentuale 34 5 2" xfId="28614" xr:uid="{16B67B7F-CF4C-4545-8F16-9F38E4DAACE2}"/>
    <cellStyle name="Percentuale 34 5 3" xfId="28615" xr:uid="{3C9902F7-D3B4-46FE-A79C-00494883E018}"/>
    <cellStyle name="Percentuale 34 5 3 2" xfId="49226" xr:uid="{0443C101-54FB-4D9D-997C-1C11B3B7F4DA}"/>
    <cellStyle name="Percentuale 34 5 4" xfId="28616" xr:uid="{EEBF1ABB-9177-43C2-B5A6-FD28F0789457}"/>
    <cellStyle name="Percentuale 34 5 5" xfId="28613" xr:uid="{220E639F-D3DE-4DF0-925C-C9162EBB2A1F}"/>
    <cellStyle name="Percentuale 34 6" xfId="4381" xr:uid="{5767F785-9A81-4681-A86B-4D18C808E931}"/>
    <cellStyle name="Percentuale 34 6 2" xfId="9838" xr:uid="{79BF5150-979B-4AFE-B9D3-910F0C458962}"/>
    <cellStyle name="Percentuale 34 6 3" xfId="28617" xr:uid="{676C724A-E380-4266-8DAE-7482EC106564}"/>
    <cellStyle name="Percentuale 34 7" xfId="28618" xr:uid="{5585C969-BAFD-4B1E-8CE6-4BE4842FE9D3}"/>
    <cellStyle name="Percentuale 34 7 2" xfId="49227" xr:uid="{57BA924C-C535-4BD9-9CC6-A488889C5ECB}"/>
    <cellStyle name="Percentuale 34 8" xfId="28585" xr:uid="{699EFF69-78CA-4068-81D6-98A7E1089A63}"/>
    <cellStyle name="Percentuale 35" xfId="1082" xr:uid="{00000000-0005-0000-0000-0000A6080000}"/>
    <cellStyle name="Percentuale 35 2" xfId="1083" xr:uid="{00000000-0005-0000-0000-0000A7080000}"/>
    <cellStyle name="Percentuale 35 2 2" xfId="4382" xr:uid="{6AEFA0E4-83AF-4909-A181-7C011A9C6E7F}"/>
    <cellStyle name="Percentuale 35 2 2 2" xfId="13590" xr:uid="{CD4051F0-122F-499C-AB37-980A36D3388B}"/>
    <cellStyle name="Percentuale 35 2 2 3" xfId="28621" xr:uid="{CF740935-E43F-4D67-93CA-02850ED6E024}"/>
    <cellStyle name="Percentuale 35 2 3" xfId="13328" xr:uid="{8CBCC41A-3BDE-45FD-8781-F5408D9CFB08}"/>
    <cellStyle name="Percentuale 35 2 3 2" xfId="28622" xr:uid="{41E5413D-5ADE-4E4A-9655-E3391275E685}"/>
    <cellStyle name="Percentuale 35 2 4" xfId="28623" xr:uid="{0732BDC3-A473-4441-BAD4-E8418ED8469C}"/>
    <cellStyle name="Percentuale 35 2 4 2" xfId="49228" xr:uid="{7C31A25D-4A7E-4751-B8A7-33E9A08DC339}"/>
    <cellStyle name="Percentuale 35 2 5" xfId="28624" xr:uid="{A21E6A9F-8EF1-494E-8D0A-241E8FACA093}"/>
    <cellStyle name="Percentuale 35 2 6" xfId="28620" xr:uid="{613561C8-9176-4168-AEC9-3E69192210CE}"/>
    <cellStyle name="Percentuale 35 3" xfId="1084" xr:uid="{00000000-0005-0000-0000-0000A8080000}"/>
    <cellStyle name="Percentuale 35 3 2" xfId="1085" xr:uid="{00000000-0005-0000-0000-0000A9080000}"/>
    <cellStyle name="Percentuale 35 3 2 2" xfId="2384" xr:uid="{00000000-0005-0000-0000-0000AA080000}"/>
    <cellStyle name="Percentuale 35 3 2 2 2" xfId="28628" xr:uid="{9FB9EC0E-8E04-4367-AE35-E3B6C7AF06B4}"/>
    <cellStyle name="Percentuale 35 3 2 2 3" xfId="28627" xr:uid="{84BA3513-385E-453B-B087-43411666D7B5}"/>
    <cellStyle name="Percentuale 35 3 2 3" xfId="8145" xr:uid="{7F59F4AE-7D87-4379-B4A4-78AB84DA436B}"/>
    <cellStyle name="Percentuale 35 3 2 3 2" xfId="14144" xr:uid="{0172659F-3668-4455-8C0B-B7EC455FC1C1}"/>
    <cellStyle name="Percentuale 35 3 2 3 3" xfId="28629" xr:uid="{5DDC163B-76DC-4131-9B28-5B3CC23945DF}"/>
    <cellStyle name="Percentuale 35 3 2 3 4" xfId="49229" xr:uid="{3434FA9F-E25E-4D4D-986A-F3F0D238BBF7}"/>
    <cellStyle name="Percentuale 35 3 2 4" xfId="28630" xr:uid="{33B7030B-840E-4DD0-BEAD-D177CF65BB2A}"/>
    <cellStyle name="Percentuale 35 3 2 5" xfId="28626" xr:uid="{096D9F7A-68F2-4AC8-8237-EE9C31E9A505}"/>
    <cellStyle name="Percentuale 35 3 3" xfId="4383" xr:uid="{3510A725-8D8D-4ED8-B92A-60EEF437E04D}"/>
    <cellStyle name="Percentuale 35 3 3 2" xfId="9482" xr:uid="{19E2741A-28AF-437A-A5EE-0946ED1B0D53}"/>
    <cellStyle name="Percentuale 35 3 3 2 2" xfId="28632" xr:uid="{DAB204A5-CAE2-4CED-9E6E-9AB30D107091}"/>
    <cellStyle name="Percentuale 35 3 3 3" xfId="28633" xr:uid="{EF42A24D-5B38-4865-9384-62E0ADFB9BC0}"/>
    <cellStyle name="Percentuale 35 3 3 4" xfId="28634" xr:uid="{479D47A0-0682-477A-AF9E-C8AD3C8A4F71}"/>
    <cellStyle name="Percentuale 35 3 3 4 2" xfId="49230" xr:uid="{17AE63FB-2876-492B-BF6C-5390A95BD5BA}"/>
    <cellStyle name="Percentuale 35 3 3 5" xfId="28631" xr:uid="{ACFAEE69-C81C-4C0E-BBBA-A79DED6704AB}"/>
    <cellStyle name="Percentuale 35 3 4" xfId="4384" xr:uid="{810744D7-314D-4497-B8DE-492FBE42E039}"/>
    <cellStyle name="Percentuale 35 3 4 2" xfId="13805" xr:uid="{E17D456C-8B89-474F-A855-FC4FB8F64793}"/>
    <cellStyle name="Percentuale 35 3 4 3" xfId="28635" xr:uid="{1430A915-2B12-4EFB-82EF-02DD00CC8542}"/>
    <cellStyle name="Percentuale 35 3 5" xfId="12390" xr:uid="{C8B86605-BC9E-4AF8-AB8B-788F76559091}"/>
    <cellStyle name="Percentuale 35 3 5 2" xfId="28636" xr:uid="{2995287D-152E-4A86-A710-869E5C18732C}"/>
    <cellStyle name="Percentuale 35 3 6" xfId="28637" xr:uid="{BFAD2DA5-4206-4BC4-A77B-194DECDC46FB}"/>
    <cellStyle name="Percentuale 35 3 6 2" xfId="49231" xr:uid="{9F9ACF77-8C1B-41A5-8454-757C2CF7573D}"/>
    <cellStyle name="Percentuale 35 3 7" xfId="28638" xr:uid="{D97347C7-2F1E-42D5-8D01-1CD7AC67A4B1}"/>
    <cellStyle name="Percentuale 35 3 8" xfId="28625" xr:uid="{AE20671B-97C6-4810-93F0-547BFD027A19}"/>
    <cellStyle name="Percentuale 35 4" xfId="2385" xr:uid="{00000000-0005-0000-0000-0000AB080000}"/>
    <cellStyle name="Percentuale 35 4 2" xfId="2386" xr:uid="{00000000-0005-0000-0000-0000AC080000}"/>
    <cellStyle name="Percentuale 35 4 2 2" xfId="9483" xr:uid="{A3C96D3A-F43A-460C-92FC-F43D3E2A967B}"/>
    <cellStyle name="Percentuale 35 4 2 2 2" xfId="28641" xr:uid="{6C263A39-389A-4215-8971-878EA4B6BD5A}"/>
    <cellStyle name="Percentuale 35 4 2 3" xfId="17930" xr:uid="{974524C3-ED5F-4DE6-B1CC-F109C52DFC42}"/>
    <cellStyle name="Percentuale 35 4 2 3 2" xfId="28642" xr:uid="{8467C34A-68F2-42C0-8395-52A248CC4F88}"/>
    <cellStyle name="Percentuale 35 4 2 4" xfId="28640" xr:uid="{88BCBFC6-9883-450D-9DBE-ECBD67434B1B}"/>
    <cellStyle name="Percentuale 35 4 2 5" xfId="17539" xr:uid="{441B0A4B-153C-4F51-AA65-235091652865}"/>
    <cellStyle name="Percentuale 35 4 3" xfId="9484" xr:uid="{8EC07C2A-57FC-498B-B85F-9BC147E994E7}"/>
    <cellStyle name="Percentuale 35 4 3 2" xfId="28643" xr:uid="{FD7E3868-3F8B-416B-A1FA-BD598C097CBA}"/>
    <cellStyle name="Percentuale 35 4 4" xfId="28644" xr:uid="{1D245B2B-4DD4-4E37-881A-935043A8E116}"/>
    <cellStyle name="Percentuale 35 4 5" xfId="28645" xr:uid="{69E81F30-74C2-4FF7-B6D0-5C7E8D75AB96}"/>
    <cellStyle name="Percentuale 35 4 5 2" xfId="49232" xr:uid="{AFA72177-EEF4-44C7-A232-83A3B2475972}"/>
    <cellStyle name="Percentuale 35 4 6" xfId="28646" xr:uid="{83255081-276D-4841-8A2F-B5DE92E49130}"/>
    <cellStyle name="Percentuale 35 4 7" xfId="28639" xr:uid="{B2DF197B-6A9A-41C8-BC83-167207B6A3D8}"/>
    <cellStyle name="Percentuale 35 5" xfId="2387" xr:uid="{00000000-0005-0000-0000-0000AD080000}"/>
    <cellStyle name="Percentuale 35 5 2" xfId="28648" xr:uid="{4B8217CF-A3B4-458F-9E2E-C129258B5EC8}"/>
    <cellStyle name="Percentuale 35 5 3" xfId="28649" xr:uid="{320200E7-DD9F-485B-BF06-42F12E7DDB46}"/>
    <cellStyle name="Percentuale 35 5 3 2" xfId="49233" xr:uid="{796F0D29-103A-44C9-A3E6-76FEF03BC057}"/>
    <cellStyle name="Percentuale 35 5 4" xfId="28650" xr:uid="{D38D19D0-BD31-40E6-BF47-AA39A7CA1077}"/>
    <cellStyle name="Percentuale 35 5 5" xfId="28647" xr:uid="{1227110E-CAC3-40FF-B24C-C8765F17B86A}"/>
    <cellStyle name="Percentuale 35 6" xfId="4385" xr:uid="{A9FADC21-0FCC-4BF3-93F6-BF612F134C5D}"/>
    <cellStyle name="Percentuale 35 6 2" xfId="9839" xr:uid="{C98EB045-C156-4536-AACF-47A7620B2982}"/>
    <cellStyle name="Percentuale 35 6 3" xfId="28651" xr:uid="{8B507DEB-537B-4DC8-9513-47C657608234}"/>
    <cellStyle name="Percentuale 35 7" xfId="28652" xr:uid="{B84A25B3-A59D-4DED-B298-1DDEF06A96C5}"/>
    <cellStyle name="Percentuale 35 7 2" xfId="49234" xr:uid="{693787C1-C3E4-493F-90BF-AE3ADFFA171C}"/>
    <cellStyle name="Percentuale 35 8" xfId="28619" xr:uid="{FD4C12D4-E49A-4B96-86A0-712A5FB14FD9}"/>
    <cellStyle name="Percentuale 36" xfId="1086" xr:uid="{00000000-0005-0000-0000-0000AE080000}"/>
    <cellStyle name="Percentuale 36 2" xfId="1087" xr:uid="{00000000-0005-0000-0000-0000AF080000}"/>
    <cellStyle name="Percentuale 36 2 2" xfId="4386" xr:uid="{70B91778-C724-43C7-84B1-3F1841C8145C}"/>
    <cellStyle name="Percentuale 36 2 2 2" xfId="13591" xr:uid="{C5C04A67-1934-4355-8633-63CB34406B62}"/>
    <cellStyle name="Percentuale 36 2 2 3" xfId="28655" xr:uid="{9FC855B5-75F4-4C14-B550-E226DA728104}"/>
    <cellStyle name="Percentuale 36 2 3" xfId="13329" xr:uid="{23FA2C59-B27B-43D2-B711-50C7BB9FA2E7}"/>
    <cellStyle name="Percentuale 36 2 3 2" xfId="28656" xr:uid="{529D4FC9-B350-4103-86B4-6DF4362A5D96}"/>
    <cellStyle name="Percentuale 36 2 4" xfId="28657" xr:uid="{9036021E-4ECB-4AF7-B8C7-60CA6B278F36}"/>
    <cellStyle name="Percentuale 36 2 4 2" xfId="49235" xr:uid="{F5F52AA5-A100-45EE-89F5-0192F5F3C4C9}"/>
    <cellStyle name="Percentuale 36 2 5" xfId="28658" xr:uid="{DA376AA3-C16D-4153-8326-B40152941BFA}"/>
    <cellStyle name="Percentuale 36 2 6" xfId="28654" xr:uid="{163E961C-556E-49F3-8677-08CD449D50C7}"/>
    <cellStyle name="Percentuale 36 3" xfId="1088" xr:uid="{00000000-0005-0000-0000-0000B0080000}"/>
    <cellStyle name="Percentuale 36 3 2" xfId="1089" xr:uid="{00000000-0005-0000-0000-0000B1080000}"/>
    <cellStyle name="Percentuale 36 3 2 2" xfId="2388" xr:uid="{00000000-0005-0000-0000-0000B2080000}"/>
    <cellStyle name="Percentuale 36 3 2 2 2" xfId="28662" xr:uid="{DFA64128-F648-4562-9CF4-E549B7FA7CF8}"/>
    <cellStyle name="Percentuale 36 3 2 2 3" xfId="28661" xr:uid="{E010F192-EE44-4018-8AC4-F9FBD121E3A8}"/>
    <cellStyle name="Percentuale 36 3 2 3" xfId="8146" xr:uid="{96543D2B-9C1C-4EA4-99B6-4DEFEC2DFEC0}"/>
    <cellStyle name="Percentuale 36 3 2 3 2" xfId="14145" xr:uid="{8419F6DB-754C-49D3-A2ED-C3DC1B110E5B}"/>
    <cellStyle name="Percentuale 36 3 2 3 3" xfId="28663" xr:uid="{8F41F102-7B0F-4DE6-A5D0-F852EEAAF3D7}"/>
    <cellStyle name="Percentuale 36 3 2 3 4" xfId="49236" xr:uid="{393D87A9-2CE7-4A28-BF29-832134A77EAC}"/>
    <cellStyle name="Percentuale 36 3 2 4" xfId="28664" xr:uid="{A3AD8063-7858-4E8E-8808-EDC90D66C76C}"/>
    <cellStyle name="Percentuale 36 3 2 5" xfId="28660" xr:uid="{C1864954-6DE7-4986-9569-12A306009040}"/>
    <cellStyle name="Percentuale 36 3 3" xfId="4387" xr:uid="{6D50C532-C90E-4914-8CE4-EE8708174B29}"/>
    <cellStyle name="Percentuale 36 3 3 2" xfId="9485" xr:uid="{27C7C0CF-1B01-46E7-B877-934563B164F2}"/>
    <cellStyle name="Percentuale 36 3 3 2 2" xfId="28666" xr:uid="{97F9E625-7614-43C6-A466-EE9570A3A17F}"/>
    <cellStyle name="Percentuale 36 3 3 3" xfId="28667" xr:uid="{30AD6A42-C78A-42C8-A58A-A8D16A9B6A8E}"/>
    <cellStyle name="Percentuale 36 3 3 4" xfId="28668" xr:uid="{6FBC0C96-359C-45AF-84E6-8062B52BB4A9}"/>
    <cellStyle name="Percentuale 36 3 3 4 2" xfId="49237" xr:uid="{9F6D5A92-525B-400C-AEBC-098EA7EAE1AA}"/>
    <cellStyle name="Percentuale 36 3 3 5" xfId="28665" xr:uid="{FD7714EF-6C56-44FE-82FB-B1B198B708A8}"/>
    <cellStyle name="Percentuale 36 3 4" xfId="4388" xr:uid="{5D8C4EF4-BA4C-457B-8A87-D0B4761765C9}"/>
    <cellStyle name="Percentuale 36 3 4 2" xfId="13806" xr:uid="{468F3F50-CE09-4750-9677-233E1FF29312}"/>
    <cellStyle name="Percentuale 36 3 4 3" xfId="28669" xr:uid="{6AE88B64-5E24-4392-9D2E-5B525BDFFB9E}"/>
    <cellStyle name="Percentuale 36 3 5" xfId="12301" xr:uid="{87029902-0BAF-4C72-A09D-AA6C3B1F6F59}"/>
    <cellStyle name="Percentuale 36 3 5 2" xfId="28670" xr:uid="{1DD6466A-1EDB-479B-9796-CBD3EC81C3FA}"/>
    <cellStyle name="Percentuale 36 3 6" xfId="28671" xr:uid="{0264D0EC-555C-48C6-8770-13A86EEDB8B8}"/>
    <cellStyle name="Percentuale 36 3 6 2" xfId="49238" xr:uid="{2B04AF2F-29D9-4667-ACB5-649343022C78}"/>
    <cellStyle name="Percentuale 36 3 7" xfId="28672" xr:uid="{14352CBD-0FDA-4FE3-8C11-2B7F27A4D639}"/>
    <cellStyle name="Percentuale 36 3 8" xfId="28659" xr:uid="{EE2B66D1-E5DC-4112-B549-844B4F293546}"/>
    <cellStyle name="Percentuale 36 4" xfId="2389" xr:uid="{00000000-0005-0000-0000-0000B3080000}"/>
    <cellStyle name="Percentuale 36 4 2" xfId="2390" xr:uid="{00000000-0005-0000-0000-0000B4080000}"/>
    <cellStyle name="Percentuale 36 4 2 2" xfId="9486" xr:uid="{183723CB-2E3E-46B5-B24B-FA59F905421F}"/>
    <cellStyle name="Percentuale 36 4 2 2 2" xfId="28675" xr:uid="{07F1D85A-D833-45DF-BFB1-F6EB866DBB71}"/>
    <cellStyle name="Percentuale 36 4 2 3" xfId="17931" xr:uid="{20DB63A9-8D83-42B9-A96D-83D9225ABB4D}"/>
    <cellStyle name="Percentuale 36 4 2 3 2" xfId="28676" xr:uid="{8D8B0F85-373C-4C2C-AE7E-5FACA1071BA9}"/>
    <cellStyle name="Percentuale 36 4 2 4" xfId="28674" xr:uid="{14EC9530-214B-419F-9FFD-9445E95EE1BA}"/>
    <cellStyle name="Percentuale 36 4 2 5" xfId="17540" xr:uid="{0175F529-B833-4402-97A3-E937D87AFEEB}"/>
    <cellStyle name="Percentuale 36 4 3" xfId="9487" xr:uid="{2532429B-0884-42EE-845A-1567F0B10C51}"/>
    <cellStyle name="Percentuale 36 4 3 2" xfId="28677" xr:uid="{3B575079-1A2A-4AB2-B3BD-0632681C08A6}"/>
    <cellStyle name="Percentuale 36 4 4" xfId="28678" xr:uid="{5EDBC131-C383-47B3-8C80-7673B9CB10A4}"/>
    <cellStyle name="Percentuale 36 4 5" xfId="28679" xr:uid="{A8D64B41-0854-45C4-B08D-71000D287402}"/>
    <cellStyle name="Percentuale 36 4 5 2" xfId="49239" xr:uid="{4B6FACBC-DEE9-4274-9146-F531ABF3E77F}"/>
    <cellStyle name="Percentuale 36 4 6" xfId="28680" xr:uid="{C055E48B-53ED-4941-84D9-6BD372ECFC3D}"/>
    <cellStyle name="Percentuale 36 4 7" xfId="28673" xr:uid="{7B3CEF99-2AFF-4D1C-A803-39018A577769}"/>
    <cellStyle name="Percentuale 36 5" xfId="2391" xr:uid="{00000000-0005-0000-0000-0000B5080000}"/>
    <cellStyle name="Percentuale 36 5 2" xfId="28682" xr:uid="{60F384B0-29AD-4EBD-B9ED-F857148E6A3A}"/>
    <cellStyle name="Percentuale 36 5 3" xfId="28683" xr:uid="{CFD609B2-6D94-470A-95BB-0CB27156FE5D}"/>
    <cellStyle name="Percentuale 36 5 3 2" xfId="49240" xr:uid="{819BEE71-1401-41B3-B50C-B5263372854C}"/>
    <cellStyle name="Percentuale 36 5 4" xfId="28684" xr:uid="{EC959AD2-3C95-4A2F-B04C-1DB43352FF91}"/>
    <cellStyle name="Percentuale 36 5 5" xfId="28681" xr:uid="{F6027F70-CC85-42F5-B7A1-542B8279346E}"/>
    <cellStyle name="Percentuale 36 6" xfId="4389" xr:uid="{E4506130-EDE4-4ECD-BABF-66DC99F01C22}"/>
    <cellStyle name="Percentuale 36 6 2" xfId="9840" xr:uid="{CBC32C35-0A32-4F83-B421-5B3546DCA389}"/>
    <cellStyle name="Percentuale 36 6 3" xfId="28685" xr:uid="{8D24BAB1-672A-4DCF-A1A2-A45474CA6F55}"/>
    <cellStyle name="Percentuale 36 7" xfId="28686" xr:uid="{A1CAEFB8-A711-4361-91E9-2E88C949443D}"/>
    <cellStyle name="Percentuale 36 7 2" xfId="49241" xr:uid="{451B1573-F692-420B-95F1-907F00DA0A4A}"/>
    <cellStyle name="Percentuale 36 8" xfId="28653" xr:uid="{D246E601-6CB4-4C4D-917D-961E764AE7D8}"/>
    <cellStyle name="Percentuale 37" xfId="1090" xr:uid="{00000000-0005-0000-0000-0000B6080000}"/>
    <cellStyle name="Percentuale 37 2" xfId="1091" xr:uid="{00000000-0005-0000-0000-0000B7080000}"/>
    <cellStyle name="Percentuale 37 2 2" xfId="4390" xr:uid="{D2267C83-6C59-46FC-8EDD-24D78926DA0D}"/>
    <cellStyle name="Percentuale 37 2 2 2" xfId="13592" xr:uid="{D2DD8A1D-9856-4C9F-A54E-2CEF1CFC0BAF}"/>
    <cellStyle name="Percentuale 37 2 2 3" xfId="28689" xr:uid="{BFED7749-E0C7-4ED1-B139-337BFC83FEF2}"/>
    <cellStyle name="Percentuale 37 2 3" xfId="13330" xr:uid="{3AF23834-04DC-464B-9E30-2924D9A0E502}"/>
    <cellStyle name="Percentuale 37 2 3 2" xfId="28690" xr:uid="{DF848955-7BEA-4973-95B0-5AFDBBF4A9BA}"/>
    <cellStyle name="Percentuale 37 2 4" xfId="28691" xr:uid="{5C470377-9F8C-49F8-9A41-89A99CE16F5C}"/>
    <cellStyle name="Percentuale 37 2 4 2" xfId="49242" xr:uid="{B98E9E79-FAAF-4C61-AC52-06FD5FB8AA88}"/>
    <cellStyle name="Percentuale 37 2 5" xfId="28692" xr:uid="{3A1EA14E-CA84-45EC-9732-0EB3DBE4BAF4}"/>
    <cellStyle name="Percentuale 37 2 6" xfId="28688" xr:uid="{93C48F0D-F57B-4A54-86D1-786E227D4316}"/>
    <cellStyle name="Percentuale 37 3" xfId="1092" xr:uid="{00000000-0005-0000-0000-0000B8080000}"/>
    <cellStyle name="Percentuale 37 3 2" xfId="1093" xr:uid="{00000000-0005-0000-0000-0000B9080000}"/>
    <cellStyle name="Percentuale 37 3 2 2" xfId="2392" xr:uid="{00000000-0005-0000-0000-0000BA080000}"/>
    <cellStyle name="Percentuale 37 3 2 2 2" xfId="28696" xr:uid="{8CC15F55-15E6-4ED3-8EAF-C52F3B23873C}"/>
    <cellStyle name="Percentuale 37 3 2 2 3" xfId="28695" xr:uid="{845E5923-F377-4AE4-8238-FC63693311EB}"/>
    <cellStyle name="Percentuale 37 3 2 3" xfId="8147" xr:uid="{5775F767-4F5C-4DC1-B3C1-B5C4DB043C51}"/>
    <cellStyle name="Percentuale 37 3 2 3 2" xfId="14146" xr:uid="{D7ACD550-080D-4A9C-BC08-C7A5078C2AFC}"/>
    <cellStyle name="Percentuale 37 3 2 3 3" xfId="28697" xr:uid="{3A21471E-AF2E-44B0-B870-1B4CEFEC55FC}"/>
    <cellStyle name="Percentuale 37 3 2 3 4" xfId="49243" xr:uid="{5D99679D-551D-4B7B-8EC3-76AD8606F946}"/>
    <cellStyle name="Percentuale 37 3 2 4" xfId="28698" xr:uid="{3547862A-6B67-4FD0-93BA-97D3B9AEF251}"/>
    <cellStyle name="Percentuale 37 3 2 5" xfId="28694" xr:uid="{D4DCD519-4BFC-4580-8483-ED9DC67A4968}"/>
    <cellStyle name="Percentuale 37 3 3" xfId="4391" xr:uid="{2D2207B3-3FBC-471C-BBD0-428E7C0B37F4}"/>
    <cellStyle name="Percentuale 37 3 3 2" xfId="9488" xr:uid="{902E5A06-FC08-4FEF-B0BC-14C3453E4EC2}"/>
    <cellStyle name="Percentuale 37 3 3 2 2" xfId="28700" xr:uid="{46D4FC8A-790B-4DF2-8074-C4C7D5023592}"/>
    <cellStyle name="Percentuale 37 3 3 3" xfId="28701" xr:uid="{56436AA5-FCE7-4365-A6D0-B7DDC21AAB9B}"/>
    <cellStyle name="Percentuale 37 3 3 4" xfId="28702" xr:uid="{CAE2E32B-82C6-410E-A4B9-2395DDACA1B9}"/>
    <cellStyle name="Percentuale 37 3 3 4 2" xfId="49244" xr:uid="{E3E74F52-5B22-4A01-AEBC-04D564960F7F}"/>
    <cellStyle name="Percentuale 37 3 3 5" xfId="28699" xr:uid="{2E63D680-BB87-482D-AD43-6B63349F11E5}"/>
    <cellStyle name="Percentuale 37 3 4" xfId="4392" xr:uid="{74EBADBB-ACA1-4334-AD14-9FED7F524FB1}"/>
    <cellStyle name="Percentuale 37 3 4 2" xfId="13807" xr:uid="{8CD66FFA-D131-430C-B1DF-169DB3C2DA96}"/>
    <cellStyle name="Percentuale 37 3 4 3" xfId="28703" xr:uid="{29A0D958-F834-4A5E-9E73-ACF7120F4CAE}"/>
    <cellStyle name="Percentuale 37 3 5" xfId="12391" xr:uid="{AE15D2E6-15D2-4A10-9E5B-0C2CA7C372A1}"/>
    <cellStyle name="Percentuale 37 3 5 2" xfId="28704" xr:uid="{10BE9C03-1473-4E13-A743-DA1A594FB198}"/>
    <cellStyle name="Percentuale 37 3 6" xfId="28705" xr:uid="{259671BC-85FF-471F-A622-957DA353CDF1}"/>
    <cellStyle name="Percentuale 37 3 6 2" xfId="49245" xr:uid="{29982EEF-6AB1-4407-89AB-80807B528E42}"/>
    <cellStyle name="Percentuale 37 3 7" xfId="28706" xr:uid="{048BA87C-A5D3-4917-9BAF-7E262D3491DC}"/>
    <cellStyle name="Percentuale 37 3 8" xfId="28693" xr:uid="{D5C5AC46-4744-4DDE-BA4D-AB92311D4183}"/>
    <cellStyle name="Percentuale 37 4" xfId="2393" xr:uid="{00000000-0005-0000-0000-0000BB080000}"/>
    <cellStyle name="Percentuale 37 4 2" xfId="2394" xr:uid="{00000000-0005-0000-0000-0000BC080000}"/>
    <cellStyle name="Percentuale 37 4 2 2" xfId="9489" xr:uid="{F6119C40-CA0C-4BFE-A3ED-08EAB9085C0A}"/>
    <cellStyle name="Percentuale 37 4 2 2 2" xfId="28709" xr:uid="{707EAEB4-4248-4810-8B9F-DFF7AF9A9252}"/>
    <cellStyle name="Percentuale 37 4 2 3" xfId="17932" xr:uid="{BF99D205-9B58-483F-94C9-63D272392B40}"/>
    <cellStyle name="Percentuale 37 4 2 3 2" xfId="28710" xr:uid="{0CED5C15-CD9B-4104-A1B7-7B0DF5F86884}"/>
    <cellStyle name="Percentuale 37 4 2 4" xfId="28708" xr:uid="{E3C1ADEE-F43B-457E-832F-1EF89340DD8E}"/>
    <cellStyle name="Percentuale 37 4 2 5" xfId="17541" xr:uid="{6058BD4A-3CC0-4318-A88D-83F141AC2E54}"/>
    <cellStyle name="Percentuale 37 4 3" xfId="9490" xr:uid="{B22BEDFC-487C-4702-BD85-8B168B3A23D7}"/>
    <cellStyle name="Percentuale 37 4 3 2" xfId="28711" xr:uid="{ABF420BE-874D-4FE1-B35C-7E9561B54B9D}"/>
    <cellStyle name="Percentuale 37 4 4" xfId="28712" xr:uid="{A12E911B-45A8-4548-A8A4-C88AE7DE7102}"/>
    <cellStyle name="Percentuale 37 4 5" xfId="28713" xr:uid="{11114118-60D7-4F58-B641-192687FE9156}"/>
    <cellStyle name="Percentuale 37 4 5 2" xfId="49246" xr:uid="{7CEA2689-1CC8-46DD-A481-F1EE119E08C0}"/>
    <cellStyle name="Percentuale 37 4 6" xfId="28714" xr:uid="{206E4EE4-37A3-4BF6-9312-C4C532170F92}"/>
    <cellStyle name="Percentuale 37 4 7" xfId="28707" xr:uid="{F48B5009-8883-4928-974B-73CE9E13A388}"/>
    <cellStyle name="Percentuale 37 5" xfId="2395" xr:uid="{00000000-0005-0000-0000-0000BD080000}"/>
    <cellStyle name="Percentuale 37 5 2" xfId="28716" xr:uid="{A4BF28B5-AB1A-4F01-AFC1-A6418432004B}"/>
    <cellStyle name="Percentuale 37 5 3" xfId="28717" xr:uid="{E9174347-CA45-432E-B816-18B45ADB5405}"/>
    <cellStyle name="Percentuale 37 5 3 2" xfId="49247" xr:uid="{CE92E188-6B50-4009-8B5D-35100BC7318F}"/>
    <cellStyle name="Percentuale 37 5 4" xfId="28718" xr:uid="{88AF35EC-485D-47BD-9506-6A58FF97FD7A}"/>
    <cellStyle name="Percentuale 37 5 5" xfId="28715" xr:uid="{1074D8BA-E13E-4A73-96A2-F2A7F01FF5D0}"/>
    <cellStyle name="Percentuale 37 6" xfId="4393" xr:uid="{8F855EFA-EFE3-420F-B98A-7BEC1498299F}"/>
    <cellStyle name="Percentuale 37 6 2" xfId="9841" xr:uid="{FBF2934E-F299-4687-900B-9096C85B1E70}"/>
    <cellStyle name="Percentuale 37 6 3" xfId="28719" xr:uid="{DBCA755F-7864-4AC6-9B6A-8668775FF932}"/>
    <cellStyle name="Percentuale 37 7" xfId="28720" xr:uid="{CF805D68-C87B-485A-9B3C-45CB001C970C}"/>
    <cellStyle name="Percentuale 37 7 2" xfId="49248" xr:uid="{D3E93A81-6A8A-410C-AA9B-2AE913D53D55}"/>
    <cellStyle name="Percentuale 37 8" xfId="28687" xr:uid="{14AD145D-3590-4AF8-B330-20E401E81299}"/>
    <cellStyle name="Percentuale 38" xfId="1094" xr:uid="{00000000-0005-0000-0000-0000BE080000}"/>
    <cellStyle name="Percentuale 38 2" xfId="1095" xr:uid="{00000000-0005-0000-0000-0000BF080000}"/>
    <cellStyle name="Percentuale 38 2 2" xfId="4394" xr:uid="{396F2188-4485-43D0-B02F-F2911C9FD288}"/>
    <cellStyle name="Percentuale 38 2 2 2" xfId="13593" xr:uid="{3385AFB0-3590-4F77-8C49-A96D0A9C5E1C}"/>
    <cellStyle name="Percentuale 38 2 2 3" xfId="28723" xr:uid="{89EAD6F7-5860-4C57-B765-B87E85B93658}"/>
    <cellStyle name="Percentuale 38 2 3" xfId="13331" xr:uid="{DF115ED1-0CAA-48D7-AFCA-DFAC549DCBFB}"/>
    <cellStyle name="Percentuale 38 2 3 2" xfId="28724" xr:uid="{E4F6042E-3CBC-45E2-B835-859C63D3056D}"/>
    <cellStyle name="Percentuale 38 2 4" xfId="28725" xr:uid="{F7152403-4857-4149-84E7-68A41D602239}"/>
    <cellStyle name="Percentuale 38 2 4 2" xfId="49249" xr:uid="{DB2BFF8C-E0BF-45C3-8525-A14A2829F39A}"/>
    <cellStyle name="Percentuale 38 2 5" xfId="28726" xr:uid="{436E9B7B-B069-45EF-848C-9FDB95448A30}"/>
    <cellStyle name="Percentuale 38 2 6" xfId="28722" xr:uid="{E2EBC870-9090-46D9-A5B3-07E42D5D7615}"/>
    <cellStyle name="Percentuale 38 3" xfId="1096" xr:uid="{00000000-0005-0000-0000-0000C0080000}"/>
    <cellStyle name="Percentuale 38 3 2" xfId="1097" xr:uid="{00000000-0005-0000-0000-0000C1080000}"/>
    <cellStyle name="Percentuale 38 3 2 2" xfId="2396" xr:uid="{00000000-0005-0000-0000-0000C2080000}"/>
    <cellStyle name="Percentuale 38 3 2 2 2" xfId="28730" xr:uid="{7D5BF675-9937-4869-AB53-74466D61757A}"/>
    <cellStyle name="Percentuale 38 3 2 2 3" xfId="28729" xr:uid="{FBE45390-9F2A-4891-BEAC-EC762EA48D66}"/>
    <cellStyle name="Percentuale 38 3 2 3" xfId="8148" xr:uid="{FD6AF449-C81A-4B5E-A57F-CAFF40080312}"/>
    <cellStyle name="Percentuale 38 3 2 3 2" xfId="14147" xr:uid="{2F7A633E-A646-4B63-9A29-0CA9F6D22113}"/>
    <cellStyle name="Percentuale 38 3 2 3 3" xfId="28731" xr:uid="{12916314-DD91-412E-B632-4E2B599C336C}"/>
    <cellStyle name="Percentuale 38 3 2 3 4" xfId="49250" xr:uid="{1037E07C-61FB-45EB-86C2-3F09F5D88986}"/>
    <cellStyle name="Percentuale 38 3 2 4" xfId="28732" xr:uid="{5318FA1D-094B-4FAA-B900-B7760415B7E7}"/>
    <cellStyle name="Percentuale 38 3 2 5" xfId="28728" xr:uid="{415E0AA5-FB3F-48F9-9A95-A1F505C0DD43}"/>
    <cellStyle name="Percentuale 38 3 3" xfId="4395" xr:uid="{B5AF9D39-FE22-4ADE-9AFF-F1B22B221539}"/>
    <cellStyle name="Percentuale 38 3 3 2" xfId="9491" xr:uid="{89130B1D-15B7-4433-AE5A-3E9514EA1A82}"/>
    <cellStyle name="Percentuale 38 3 3 2 2" xfId="28734" xr:uid="{8CFB044B-371F-4C7F-9DD1-4B8EF454D8AB}"/>
    <cellStyle name="Percentuale 38 3 3 3" xfId="28735" xr:uid="{8A085F29-99D1-43A5-87EA-297C5CC0F8D5}"/>
    <cellStyle name="Percentuale 38 3 3 4" xfId="28736" xr:uid="{49296E34-3A89-40F5-A9C3-E13225A196FC}"/>
    <cellStyle name="Percentuale 38 3 3 4 2" xfId="49251" xr:uid="{501E84FC-E706-4CED-8DD1-95C3C6823AF2}"/>
    <cellStyle name="Percentuale 38 3 3 5" xfId="28733" xr:uid="{2A66A915-CF67-4F07-B131-D9A8BA59D235}"/>
    <cellStyle name="Percentuale 38 3 4" xfId="4396" xr:uid="{ACE69057-A42C-41D3-A999-C6A09B03E23D}"/>
    <cellStyle name="Percentuale 38 3 4 2" xfId="13808" xr:uid="{0BCBD749-2B16-41F3-9591-DBC16C531B5A}"/>
    <cellStyle name="Percentuale 38 3 4 3" xfId="28737" xr:uid="{0BFC5ABA-5231-4CE1-B666-955A0EA9B416}"/>
    <cellStyle name="Percentuale 38 3 5" xfId="11204" xr:uid="{98363CF9-A539-43AE-B0E1-E3A4320116BA}"/>
    <cellStyle name="Percentuale 38 3 5 2" xfId="28738" xr:uid="{E2D19006-7D9C-489C-9801-AD7123276FDA}"/>
    <cellStyle name="Percentuale 38 3 6" xfId="28739" xr:uid="{B75ADAAB-7E8E-4C73-BDD0-8A41FFE54AEA}"/>
    <cellStyle name="Percentuale 38 3 6 2" xfId="49252" xr:uid="{58865933-5678-4651-8A87-8D087542CF19}"/>
    <cellStyle name="Percentuale 38 3 7" xfId="28740" xr:uid="{2288B168-F4E4-49F7-8EEE-96C195F2868B}"/>
    <cellStyle name="Percentuale 38 3 8" xfId="28727" xr:uid="{B8C92A9C-0520-4E3B-A1A5-EACCEB316ABF}"/>
    <cellStyle name="Percentuale 38 4" xfId="2397" xr:uid="{00000000-0005-0000-0000-0000C3080000}"/>
    <cellStyle name="Percentuale 38 4 2" xfId="2398" xr:uid="{00000000-0005-0000-0000-0000C4080000}"/>
    <cellStyle name="Percentuale 38 4 2 2" xfId="9492" xr:uid="{AE2EBC64-C209-4F8D-870F-EEAAAEFBF8D2}"/>
    <cellStyle name="Percentuale 38 4 2 2 2" xfId="28743" xr:uid="{1CE6844B-D655-4A83-9FE4-9A2632F6A01C}"/>
    <cellStyle name="Percentuale 38 4 2 3" xfId="17933" xr:uid="{24062E93-3F27-4F92-93D6-0A4EF1DB7839}"/>
    <cellStyle name="Percentuale 38 4 2 3 2" xfId="28744" xr:uid="{30F2E1F1-0D87-4625-A0BC-8E8AB07ABC4B}"/>
    <cellStyle name="Percentuale 38 4 2 4" xfId="28742" xr:uid="{2819C042-BB1B-4D3C-A8B8-633E5D6AB68C}"/>
    <cellStyle name="Percentuale 38 4 2 5" xfId="17543" xr:uid="{169BAE21-5D70-4A89-8F94-7E953977A7DB}"/>
    <cellStyle name="Percentuale 38 4 3" xfId="9493" xr:uid="{C55E8FC6-89D4-4A0C-AB99-286018FCEC29}"/>
    <cellStyle name="Percentuale 38 4 3 2" xfId="28745" xr:uid="{05154D22-F71F-415B-A148-4B2A89F59DDA}"/>
    <cellStyle name="Percentuale 38 4 4" xfId="28746" xr:uid="{E5F45AD1-5716-46FD-AFFC-35169D67A368}"/>
    <cellStyle name="Percentuale 38 4 5" xfId="28747" xr:uid="{2C3FDFAC-2BE9-4A65-BF37-9E188A6165CE}"/>
    <cellStyle name="Percentuale 38 4 5 2" xfId="49253" xr:uid="{EA82AE21-9707-4E76-9D9B-FCEC0F27D6E5}"/>
    <cellStyle name="Percentuale 38 4 6" xfId="28748" xr:uid="{59733EE4-7999-42F1-8BD9-F74F12DE29AA}"/>
    <cellStyle name="Percentuale 38 4 7" xfId="28741" xr:uid="{7561FE7B-8A46-4337-9EF2-06D9DCAFA7BF}"/>
    <cellStyle name="Percentuale 38 5" xfId="2399" xr:uid="{00000000-0005-0000-0000-0000C5080000}"/>
    <cellStyle name="Percentuale 38 5 2" xfId="28750" xr:uid="{578A58B3-ED86-41D8-B471-A69E016EC077}"/>
    <cellStyle name="Percentuale 38 5 3" xfId="28751" xr:uid="{E90A75D6-BC54-4CCF-96A5-53B9E8A9412B}"/>
    <cellStyle name="Percentuale 38 5 3 2" xfId="49254" xr:uid="{3ED1A4DF-FC4D-4E03-A4E7-2455D750FA06}"/>
    <cellStyle name="Percentuale 38 5 4" xfId="28752" xr:uid="{3C7D3512-8BD1-4A80-96B2-14BE4A346FBF}"/>
    <cellStyle name="Percentuale 38 5 5" xfId="28749" xr:uid="{4B3E4567-552F-4206-B199-4B79998D33E9}"/>
    <cellStyle name="Percentuale 38 6" xfId="4397" xr:uid="{F4023244-3A9B-407E-88F5-7AB5EC288220}"/>
    <cellStyle name="Percentuale 38 6 2" xfId="9842" xr:uid="{EDCDC74C-6194-4CF7-B13E-61AF66A7F8EE}"/>
    <cellStyle name="Percentuale 38 6 3" xfId="28753" xr:uid="{BAF8B407-7E9C-495D-8ED3-DF3FE756A751}"/>
    <cellStyle name="Percentuale 38 7" xfId="28754" xr:uid="{76397DCF-EC38-4A33-A1AD-D9F83B96284D}"/>
    <cellStyle name="Percentuale 38 7 2" xfId="49255" xr:uid="{976FE87F-D5BF-459A-8665-4B9F88E318FA}"/>
    <cellStyle name="Percentuale 38 8" xfId="28721" xr:uid="{581B0834-495F-46E4-A29E-290736A0CC13}"/>
    <cellStyle name="Percentuale 39" xfId="1098" xr:uid="{00000000-0005-0000-0000-0000C6080000}"/>
    <cellStyle name="Percentuale 39 2" xfId="1099" xr:uid="{00000000-0005-0000-0000-0000C7080000}"/>
    <cellStyle name="Percentuale 39 2 2" xfId="4398" xr:uid="{D35F51B9-941B-4266-9744-C731D95920A7}"/>
    <cellStyle name="Percentuale 39 2 2 2" xfId="13594" xr:uid="{1B14E001-DDDB-4254-AF9A-21DD97E74F86}"/>
    <cellStyle name="Percentuale 39 2 2 3" xfId="28757" xr:uid="{1E7B5874-F00C-4FB5-8C7B-877D7D840E3F}"/>
    <cellStyle name="Percentuale 39 2 3" xfId="13332" xr:uid="{775D4D8F-6B2D-4E7C-B4FB-33F03D01A243}"/>
    <cellStyle name="Percentuale 39 2 3 2" xfId="28758" xr:uid="{BAF0817B-A0E1-4AF1-9C4C-7096DF2BFB8B}"/>
    <cellStyle name="Percentuale 39 2 4" xfId="28759" xr:uid="{AE13D45A-D0A0-4688-88F1-FDACF2E64019}"/>
    <cellStyle name="Percentuale 39 2 4 2" xfId="49256" xr:uid="{1280F50F-C9EA-4DDE-A5DF-512B7B35FD25}"/>
    <cellStyle name="Percentuale 39 2 5" xfId="28760" xr:uid="{262A21D7-584E-4D91-8AA7-6DA10D5ECA8D}"/>
    <cellStyle name="Percentuale 39 2 6" xfId="28756" xr:uid="{88D40A12-B620-40B1-ABB3-8AE05FCF07EF}"/>
    <cellStyle name="Percentuale 39 3" xfId="1100" xr:uid="{00000000-0005-0000-0000-0000C8080000}"/>
    <cellStyle name="Percentuale 39 3 2" xfId="1101" xr:uid="{00000000-0005-0000-0000-0000C9080000}"/>
    <cellStyle name="Percentuale 39 3 2 2" xfId="2400" xr:uid="{00000000-0005-0000-0000-0000CA080000}"/>
    <cellStyle name="Percentuale 39 3 2 2 2" xfId="28764" xr:uid="{777651EF-C960-431C-B024-96F0C6BE058B}"/>
    <cellStyle name="Percentuale 39 3 2 2 3" xfId="28763" xr:uid="{F1C9EFBE-2E0D-4B32-AC3A-2FF9AC449357}"/>
    <cellStyle name="Percentuale 39 3 2 3" xfId="8149" xr:uid="{4E7C838D-2758-4D12-AF8D-E0755F652044}"/>
    <cellStyle name="Percentuale 39 3 2 3 2" xfId="14148" xr:uid="{C6FEC9DE-3CA9-4F6E-8D6C-D326D69789AA}"/>
    <cellStyle name="Percentuale 39 3 2 3 3" xfId="28765" xr:uid="{3D7B7699-0C55-4DB7-807A-B989F8F601C0}"/>
    <cellStyle name="Percentuale 39 3 2 3 4" xfId="49257" xr:uid="{BBA1E785-95AF-4C5A-9590-0DA9535E0D20}"/>
    <cellStyle name="Percentuale 39 3 2 4" xfId="28766" xr:uid="{E86D4305-7FAE-479C-AD90-4DEEAA41CBCB}"/>
    <cellStyle name="Percentuale 39 3 2 5" xfId="28762" xr:uid="{3BEE58ED-E477-4327-8A7C-F685812DDCD7}"/>
    <cellStyle name="Percentuale 39 3 3" xfId="4399" xr:uid="{B5140186-3D85-4826-B4F4-35A67F833FFE}"/>
    <cellStyle name="Percentuale 39 3 3 2" xfId="9494" xr:uid="{63F74407-E34E-4CC1-AF3B-B63012A0BD15}"/>
    <cellStyle name="Percentuale 39 3 3 2 2" xfId="28768" xr:uid="{AB476376-1407-4F40-B68E-80B7EE8DC4EC}"/>
    <cellStyle name="Percentuale 39 3 3 3" xfId="28769" xr:uid="{7786C774-0CEF-4548-99B5-3A1AD3DA4469}"/>
    <cellStyle name="Percentuale 39 3 3 4" xfId="28770" xr:uid="{6F1BDDB2-257A-4623-B8E4-67162353BAB9}"/>
    <cellStyle name="Percentuale 39 3 3 4 2" xfId="49258" xr:uid="{5D55F883-6538-4A9F-B801-8C0AA036999E}"/>
    <cellStyle name="Percentuale 39 3 3 5" xfId="28767" xr:uid="{32EEAE2B-BE68-4539-98D6-E9936001003A}"/>
    <cellStyle name="Percentuale 39 3 4" xfId="4400" xr:uid="{8B72E063-125E-4F2D-9EB1-531FBD5A20C3}"/>
    <cellStyle name="Percentuale 39 3 4 2" xfId="13809" xr:uid="{30829EE3-AD4B-4CBE-B959-0ED83A79785C}"/>
    <cellStyle name="Percentuale 39 3 4 3" xfId="28771" xr:uid="{1DF6F76E-DCE4-454C-804A-C6970A40BE47}"/>
    <cellStyle name="Percentuale 39 3 5" xfId="12433" xr:uid="{C99C912F-7713-4C58-9436-F037B99915BE}"/>
    <cellStyle name="Percentuale 39 3 5 2" xfId="28772" xr:uid="{F7DBD896-C485-45D2-81BC-FAF3CF44B9E1}"/>
    <cellStyle name="Percentuale 39 3 6" xfId="28773" xr:uid="{9EBD619A-5049-4403-A145-F8CD307427A3}"/>
    <cellStyle name="Percentuale 39 3 6 2" xfId="49259" xr:uid="{AF12A750-D192-47B6-8786-2C8AB59FD86B}"/>
    <cellStyle name="Percentuale 39 3 7" xfId="28774" xr:uid="{A0C87269-6F5E-4B8E-A8E0-DDB3F88C3046}"/>
    <cellStyle name="Percentuale 39 3 8" xfId="28761" xr:uid="{E1BC27CC-8DA5-4AE1-A11A-15DB6CF25BAE}"/>
    <cellStyle name="Percentuale 39 4" xfId="2401" xr:uid="{00000000-0005-0000-0000-0000CB080000}"/>
    <cellStyle name="Percentuale 39 4 2" xfId="2402" xr:uid="{00000000-0005-0000-0000-0000CC080000}"/>
    <cellStyle name="Percentuale 39 4 2 2" xfId="9495" xr:uid="{65DD5DE5-DEED-440E-932A-D1E6F841C198}"/>
    <cellStyle name="Percentuale 39 4 2 2 2" xfId="28777" xr:uid="{8F97A9CF-259C-40DF-BE20-A6FECADA1A2A}"/>
    <cellStyle name="Percentuale 39 4 2 3" xfId="17934" xr:uid="{1753A463-D503-47F2-BB35-D0B2CE58296D}"/>
    <cellStyle name="Percentuale 39 4 2 3 2" xfId="28778" xr:uid="{5EA49B10-ED2B-408C-B4F6-C2F9DEE753F9}"/>
    <cellStyle name="Percentuale 39 4 2 4" xfId="28776" xr:uid="{FBE2C75E-305D-409F-9332-4FEAB104FF44}"/>
    <cellStyle name="Percentuale 39 4 2 5" xfId="17544" xr:uid="{13B0C22E-9576-456A-AA63-6C25CA4E12B9}"/>
    <cellStyle name="Percentuale 39 4 3" xfId="9496" xr:uid="{E41AA6C2-59D7-4C18-AA93-FF8B54F25360}"/>
    <cellStyle name="Percentuale 39 4 3 2" xfId="28779" xr:uid="{1127492F-2FF7-4A61-A3D5-41B283AB4FDD}"/>
    <cellStyle name="Percentuale 39 4 4" xfId="28780" xr:uid="{B7B682FD-7766-44AB-A01C-EB5DFBF3DE21}"/>
    <cellStyle name="Percentuale 39 4 5" xfId="28781" xr:uid="{556148C1-1C2D-4F5B-BB8D-7ADC8B5D1506}"/>
    <cellStyle name="Percentuale 39 4 5 2" xfId="49260" xr:uid="{3D779C51-7228-4150-8696-9BC0168E7541}"/>
    <cellStyle name="Percentuale 39 4 6" xfId="28782" xr:uid="{EB73A92C-7FE6-4F98-977C-E15DC38FF75E}"/>
    <cellStyle name="Percentuale 39 4 7" xfId="28775" xr:uid="{7986C69B-0CDD-4899-9FA1-7716DEF07580}"/>
    <cellStyle name="Percentuale 39 5" xfId="2403" xr:uid="{00000000-0005-0000-0000-0000CD080000}"/>
    <cellStyle name="Percentuale 39 5 2" xfId="28784" xr:uid="{83BF12A2-CF67-4A37-9A8E-5980EDD6C73B}"/>
    <cellStyle name="Percentuale 39 5 3" xfId="28785" xr:uid="{353A4882-804B-4EEE-AAE4-00759EB1EA37}"/>
    <cellStyle name="Percentuale 39 5 3 2" xfId="49261" xr:uid="{1993E08D-B0D9-4A4A-B03D-AE5F66310BB7}"/>
    <cellStyle name="Percentuale 39 5 4" xfId="28786" xr:uid="{AFDFFA8C-CF04-4479-B435-E226218874F0}"/>
    <cellStyle name="Percentuale 39 5 5" xfId="28783" xr:uid="{59D035EA-CB28-4340-919F-4F4950BBA50D}"/>
    <cellStyle name="Percentuale 39 6" xfId="4401" xr:uid="{96EA2831-37F3-4B29-A5F1-8E29208E2D28}"/>
    <cellStyle name="Percentuale 39 6 2" xfId="9843" xr:uid="{3B09D1AF-52E8-465C-9BAE-AFA8CD52FD62}"/>
    <cellStyle name="Percentuale 39 6 3" xfId="28787" xr:uid="{3570BBF5-C997-4476-9C4D-E5BD37FBD5EE}"/>
    <cellStyle name="Percentuale 39 7" xfId="28788" xr:uid="{E2894312-92CE-4F38-9A75-C06F9BD2ED73}"/>
    <cellStyle name="Percentuale 39 7 2" xfId="49262" xr:uid="{B4F3394E-8EFA-4E5A-A4BA-8710B7B9B12A}"/>
    <cellStyle name="Percentuale 39 8" xfId="28755" xr:uid="{3CF8B39A-987A-4556-B894-3617D00F725C}"/>
    <cellStyle name="Percentuale 4" xfId="1102" xr:uid="{00000000-0005-0000-0000-0000CE080000}"/>
    <cellStyle name="Percentuale 4 2" xfId="1103" xr:uid="{00000000-0005-0000-0000-0000CF080000}"/>
    <cellStyle name="Percentuale 4 2 2" xfId="4402" xr:uid="{C607B04C-5B02-4D4B-851B-047F76622570}"/>
    <cellStyle name="Percentuale 4 2 2 2" xfId="13595" xr:uid="{8373CFE5-B930-4AE3-BA93-1B71163846AC}"/>
    <cellStyle name="Percentuale 4 2 2 3" xfId="28791" xr:uid="{AFB92D0F-DB57-4E65-8AD4-25C0092DB110}"/>
    <cellStyle name="Percentuale 4 2 3" xfId="13333" xr:uid="{9770E0A0-B468-4772-8735-3FB4D4CCE8E4}"/>
    <cellStyle name="Percentuale 4 2 3 2" xfId="28792" xr:uid="{1AEAF7DF-5936-4444-81C6-6D5C773981FE}"/>
    <cellStyle name="Percentuale 4 2 4" xfId="28793" xr:uid="{D8DF2088-5F47-4361-B555-8B2D982A0B12}"/>
    <cellStyle name="Percentuale 4 2 4 2" xfId="49263" xr:uid="{4A8F1D2D-515C-4F85-A47A-9EDBCC2A313A}"/>
    <cellStyle name="Percentuale 4 2 5" xfId="28794" xr:uid="{BEA62FAB-F0E4-4C39-B121-F8058CF0439B}"/>
    <cellStyle name="Percentuale 4 2 6" xfId="28790" xr:uid="{F4BF30DB-35AD-4937-8FC6-E4270AA015DC}"/>
    <cellStyle name="Percentuale 4 3" xfId="1104" xr:uid="{00000000-0005-0000-0000-0000D0080000}"/>
    <cellStyle name="Percentuale 4 3 2" xfId="1105" xr:uid="{00000000-0005-0000-0000-0000D1080000}"/>
    <cellStyle name="Percentuale 4 3 2 2" xfId="2404" xr:uid="{00000000-0005-0000-0000-0000D2080000}"/>
    <cellStyle name="Percentuale 4 3 2 2 2" xfId="28798" xr:uid="{51862E6B-9D8F-44DB-AADD-89FA3952865A}"/>
    <cellStyle name="Percentuale 4 3 2 2 3" xfId="28797" xr:uid="{D5FC8060-CCA0-4B1C-9052-DC13807C6619}"/>
    <cellStyle name="Percentuale 4 3 2 3" xfId="8150" xr:uid="{196E6918-633C-40CB-A9A5-20BBEA3AE2F7}"/>
    <cellStyle name="Percentuale 4 3 2 3 2" xfId="14149" xr:uid="{38BD7456-68BF-4E8B-A0F4-59C6A0AFE55B}"/>
    <cellStyle name="Percentuale 4 3 2 3 3" xfId="28799" xr:uid="{4E30D36C-64CA-4CAD-A635-6B71E09619E2}"/>
    <cellStyle name="Percentuale 4 3 2 3 4" xfId="49264" xr:uid="{542BB48B-809A-4E50-A907-108C3FF1F475}"/>
    <cellStyle name="Percentuale 4 3 2 4" xfId="28800" xr:uid="{68F47378-5AF4-4E9B-B9CE-429B2D0481F4}"/>
    <cellStyle name="Percentuale 4 3 2 5" xfId="28796" xr:uid="{D3DF91CC-F66C-47FD-9B96-E061994B4841}"/>
    <cellStyle name="Percentuale 4 3 3" xfId="4403" xr:uid="{40187590-EDE3-4AA4-838B-9ED785322267}"/>
    <cellStyle name="Percentuale 4 3 3 2" xfId="9497" xr:uid="{A2530E75-C1B5-4B2C-B6CA-E70753A8E5DD}"/>
    <cellStyle name="Percentuale 4 3 3 2 2" xfId="28802" xr:uid="{EDDD6C0E-9DAD-437E-9959-83F2AB0324FF}"/>
    <cellStyle name="Percentuale 4 3 3 3" xfId="28803" xr:uid="{C9BDA37E-08C0-4806-AD25-033CB871EF02}"/>
    <cellStyle name="Percentuale 4 3 3 4" xfId="28804" xr:uid="{FB0C7F7E-F1B7-4A42-BAC2-B94447676ABE}"/>
    <cellStyle name="Percentuale 4 3 3 4 2" xfId="49265" xr:uid="{DFF0CC06-46CC-4FEC-B9EB-99D328380D11}"/>
    <cellStyle name="Percentuale 4 3 3 5" xfId="28801" xr:uid="{D6BC7CD7-BC57-480D-B4DE-95D2A1F3A20B}"/>
    <cellStyle name="Percentuale 4 3 4" xfId="4404" xr:uid="{2B91E132-9674-47F5-9B27-128BD0C1FA24}"/>
    <cellStyle name="Percentuale 4 3 4 2" xfId="13810" xr:uid="{798DA3F7-6D97-45A2-96AD-BE71B8A45DFC}"/>
    <cellStyle name="Percentuale 4 3 4 3" xfId="28805" xr:uid="{315A1659-C61B-4450-BA34-81A6625DB3E2}"/>
    <cellStyle name="Percentuale 4 3 5" xfId="11703" xr:uid="{7B63BB3B-4B7D-4452-9C1E-3579D7E2D481}"/>
    <cellStyle name="Percentuale 4 3 5 2" xfId="28806" xr:uid="{43E55E42-425A-49D4-977E-0142F3D09DC9}"/>
    <cellStyle name="Percentuale 4 3 6" xfId="28807" xr:uid="{A6491587-EDBE-4A24-84A5-53E9ACD9187A}"/>
    <cellStyle name="Percentuale 4 3 6 2" xfId="49266" xr:uid="{A8F4124A-7464-42A4-A943-A7436ACEFB60}"/>
    <cellStyle name="Percentuale 4 3 7" xfId="28808" xr:uid="{566A22A6-4B6E-464B-826E-0DE2E97F4207}"/>
    <cellStyle name="Percentuale 4 3 8" xfId="28795" xr:uid="{146D3AAD-4AF4-4B85-88B9-89E66338B3EB}"/>
    <cellStyle name="Percentuale 4 4" xfId="2405" xr:uid="{00000000-0005-0000-0000-0000D3080000}"/>
    <cellStyle name="Percentuale 4 4 2" xfId="2406" xr:uid="{00000000-0005-0000-0000-0000D4080000}"/>
    <cellStyle name="Percentuale 4 4 2 2" xfId="9498" xr:uid="{F7019CA6-CAC8-4492-8BE4-453D5CFB2991}"/>
    <cellStyle name="Percentuale 4 4 2 2 2" xfId="28811" xr:uid="{B53AE789-B32A-4C65-BC91-BBD33FAB6F40}"/>
    <cellStyle name="Percentuale 4 4 2 3" xfId="17935" xr:uid="{2C09E2B4-F61B-4BDE-AAAA-E5AE332BDBE6}"/>
    <cellStyle name="Percentuale 4 4 2 3 2" xfId="28812" xr:uid="{24A19859-14AC-4BBF-A2F7-ABEFEFEB5894}"/>
    <cellStyle name="Percentuale 4 4 2 4" xfId="28810" xr:uid="{5357A6D3-EEE4-4B0E-B00F-B60382D555A8}"/>
    <cellStyle name="Percentuale 4 4 2 5" xfId="17545" xr:uid="{AD0D0AFC-D7C7-4610-9863-4AB09153A1EF}"/>
    <cellStyle name="Percentuale 4 4 3" xfId="9499" xr:uid="{66DC708A-0EE8-4779-ACA7-3DA27E3368CF}"/>
    <cellStyle name="Percentuale 4 4 3 2" xfId="28813" xr:uid="{CE56F648-42A1-4419-8214-98C1330BA90C}"/>
    <cellStyle name="Percentuale 4 4 4" xfId="28814" xr:uid="{B1570ADD-2047-4968-A9B9-9C975D1BDDF1}"/>
    <cellStyle name="Percentuale 4 4 5" xfId="28815" xr:uid="{86BBECA4-A79D-4378-9FB4-735202A55A36}"/>
    <cellStyle name="Percentuale 4 4 5 2" xfId="49267" xr:uid="{60FE14DA-0FCA-4F26-A131-9029565C7FA6}"/>
    <cellStyle name="Percentuale 4 4 6" xfId="28816" xr:uid="{78F72AAB-5D8D-4363-A340-D1D90779E3B1}"/>
    <cellStyle name="Percentuale 4 4 7" xfId="28809" xr:uid="{885FA4DE-F6E8-4326-97DD-4F092F4BFF07}"/>
    <cellStyle name="Percentuale 4 5" xfId="2407" xr:uid="{00000000-0005-0000-0000-0000D5080000}"/>
    <cellStyle name="Percentuale 4 5 2" xfId="28818" xr:uid="{EC077968-5FB7-4BE7-8018-2A5FC6F70C57}"/>
    <cellStyle name="Percentuale 4 5 3" xfId="28819" xr:uid="{FCC26F79-1A54-40A9-A02A-287B26485B2D}"/>
    <cellStyle name="Percentuale 4 5 3 2" xfId="49268" xr:uid="{9E892B8F-2497-4B85-88E5-169FF5172D29}"/>
    <cellStyle name="Percentuale 4 5 4" xfId="28820" xr:uid="{F656240F-44AC-4F7E-BCE8-7B5130C4589A}"/>
    <cellStyle name="Percentuale 4 5 5" xfId="28817" xr:uid="{02E7C1A7-3D27-4468-8B2E-191C693FCECA}"/>
    <cellStyle name="Percentuale 4 6" xfId="4405" xr:uid="{4D3EA76B-CFB6-4FC9-B12D-5E9C4B52F92B}"/>
    <cellStyle name="Percentuale 4 6 2" xfId="9844" xr:uid="{1F25C5A2-AD93-436A-B07E-81A9956CDD9F}"/>
    <cellStyle name="Percentuale 4 6 3" xfId="28821" xr:uid="{7A10C6D5-77F6-4EB7-94FD-78FBBC7E934D}"/>
    <cellStyle name="Percentuale 4 7" xfId="28822" xr:uid="{322A11BD-4D90-4750-9869-6892739AAB55}"/>
    <cellStyle name="Percentuale 4 7 2" xfId="49269" xr:uid="{F174A50A-7362-4555-B755-E927554AB2C3}"/>
    <cellStyle name="Percentuale 4 8" xfId="28789" xr:uid="{17C47274-FEDD-4E65-A892-CF20312AE1FC}"/>
    <cellStyle name="Percentuale 40" xfId="1106" xr:uid="{00000000-0005-0000-0000-0000D6080000}"/>
    <cellStyle name="Percentuale 40 2" xfId="1107" xr:uid="{00000000-0005-0000-0000-0000D7080000}"/>
    <cellStyle name="Percentuale 40 2 2" xfId="4406" xr:uid="{23833A70-AD97-41B9-9877-FAAC31951EBE}"/>
    <cellStyle name="Percentuale 40 2 2 2" xfId="13596" xr:uid="{43D8EF1C-80D7-4F73-88A2-BD80A72BCB4B}"/>
    <cellStyle name="Percentuale 40 2 2 3" xfId="28825" xr:uid="{9318E7B4-0E42-4539-B089-25893E1771B6}"/>
    <cellStyle name="Percentuale 40 2 3" xfId="13334" xr:uid="{8E88C1AB-8125-4658-AA8D-D94AC1FEE9CB}"/>
    <cellStyle name="Percentuale 40 2 3 2" xfId="28826" xr:uid="{CB009E44-70CD-49A5-AEA5-AB32ADC66995}"/>
    <cellStyle name="Percentuale 40 2 4" xfId="28827" xr:uid="{C88723B1-8B15-4370-84FE-7F31422DB014}"/>
    <cellStyle name="Percentuale 40 2 4 2" xfId="49270" xr:uid="{950152DD-6613-4D16-B4C6-3955926D23C2}"/>
    <cellStyle name="Percentuale 40 2 5" xfId="28828" xr:uid="{EBF8F8A7-8673-4245-A025-4B879C1EE10C}"/>
    <cellStyle name="Percentuale 40 2 6" xfId="28824" xr:uid="{C314AEBC-9AC5-4898-8F38-4E99A5014C8B}"/>
    <cellStyle name="Percentuale 40 3" xfId="1108" xr:uid="{00000000-0005-0000-0000-0000D8080000}"/>
    <cellStyle name="Percentuale 40 3 2" xfId="1109" xr:uid="{00000000-0005-0000-0000-0000D9080000}"/>
    <cellStyle name="Percentuale 40 3 2 2" xfId="2408" xr:uid="{00000000-0005-0000-0000-0000DA080000}"/>
    <cellStyle name="Percentuale 40 3 2 2 2" xfId="28832" xr:uid="{F87A96F1-DB33-459D-BB30-728EF46BB283}"/>
    <cellStyle name="Percentuale 40 3 2 2 3" xfId="28831" xr:uid="{DDF4A0B6-6EF0-41C7-851D-6ACE0244EC75}"/>
    <cellStyle name="Percentuale 40 3 2 3" xfId="8151" xr:uid="{562BE235-09C2-4879-8550-C0BFD14C5E93}"/>
    <cellStyle name="Percentuale 40 3 2 3 2" xfId="14150" xr:uid="{8BF2C8AF-BA47-41C6-AEAD-215FC53AB050}"/>
    <cellStyle name="Percentuale 40 3 2 3 3" xfId="28833" xr:uid="{0349CD4B-3091-45C2-A6CC-624C1ABBE097}"/>
    <cellStyle name="Percentuale 40 3 2 3 4" xfId="49271" xr:uid="{C600190F-9862-4FE9-831E-95BF738CD19C}"/>
    <cellStyle name="Percentuale 40 3 2 4" xfId="28834" xr:uid="{19D4B624-39D2-43EB-8843-37A48ECC13ED}"/>
    <cellStyle name="Percentuale 40 3 2 5" xfId="28830" xr:uid="{C9B11019-F68D-402F-A2E1-96A3DA9E38C8}"/>
    <cellStyle name="Percentuale 40 3 3" xfId="4407" xr:uid="{2BC6CAB1-CE2C-4E5B-BC7F-8BD719E0A4EA}"/>
    <cellStyle name="Percentuale 40 3 3 2" xfId="9500" xr:uid="{6BC17B06-2414-4253-919C-005272DA1486}"/>
    <cellStyle name="Percentuale 40 3 3 2 2" xfId="28836" xr:uid="{12773B2D-A4FA-4455-A0E1-6B0D2A38194B}"/>
    <cellStyle name="Percentuale 40 3 3 3" xfId="28837" xr:uid="{3A715B9A-FA46-4554-8925-77E6220F6D93}"/>
    <cellStyle name="Percentuale 40 3 3 4" xfId="28838" xr:uid="{D0B99CDE-7F3D-4472-83D0-36762F016720}"/>
    <cellStyle name="Percentuale 40 3 3 4 2" xfId="49272" xr:uid="{6DAED6D7-E1D3-4445-BD64-0A60BD5BA1AE}"/>
    <cellStyle name="Percentuale 40 3 3 5" xfId="28835" xr:uid="{BD71539E-0FA8-49EA-8615-7C6B2DAD7460}"/>
    <cellStyle name="Percentuale 40 3 4" xfId="4408" xr:uid="{E9C044D8-0645-4A91-A4A4-B8FC934611D7}"/>
    <cellStyle name="Percentuale 40 3 4 2" xfId="13811" xr:uid="{5C9E06B3-74DE-4C91-BA34-CCFFA48A6E8C}"/>
    <cellStyle name="Percentuale 40 3 4 3" xfId="28839" xr:uid="{F5D1AB2C-23CE-4362-B292-C1BFB02B1800}"/>
    <cellStyle name="Percentuale 40 3 5" xfId="12434" xr:uid="{6F671AAB-F3C4-4E10-BD92-6B2C51260BF1}"/>
    <cellStyle name="Percentuale 40 3 5 2" xfId="28840" xr:uid="{77D5EF1B-9277-4C2A-9D97-3F6C8CD6ECD0}"/>
    <cellStyle name="Percentuale 40 3 6" xfId="28841" xr:uid="{B42D989A-C3DD-4534-8DC8-EF8776D2796D}"/>
    <cellStyle name="Percentuale 40 3 6 2" xfId="49273" xr:uid="{6C316DD2-03EE-4342-87F2-785C08F212BC}"/>
    <cellStyle name="Percentuale 40 3 7" xfId="28842" xr:uid="{56682ECA-AAB4-4988-BE9B-0ACA8F73915F}"/>
    <cellStyle name="Percentuale 40 3 8" xfId="28829" xr:uid="{2D444386-CD3B-4058-9987-B8A96E10C321}"/>
    <cellStyle name="Percentuale 40 4" xfId="2409" xr:uid="{00000000-0005-0000-0000-0000DB080000}"/>
    <cellStyle name="Percentuale 40 4 2" xfId="2410" xr:uid="{00000000-0005-0000-0000-0000DC080000}"/>
    <cellStyle name="Percentuale 40 4 2 2" xfId="9501" xr:uid="{2E96CAE3-50A5-42B0-8219-7C0AD3790B33}"/>
    <cellStyle name="Percentuale 40 4 2 2 2" xfId="28845" xr:uid="{02958D22-5E5E-4BFA-84CB-7CA4A24AE341}"/>
    <cellStyle name="Percentuale 40 4 2 3" xfId="17936" xr:uid="{BA2CA698-3961-487A-B24C-63557D8226FF}"/>
    <cellStyle name="Percentuale 40 4 2 3 2" xfId="28846" xr:uid="{C18EBE57-3088-441B-890C-88815997CC38}"/>
    <cellStyle name="Percentuale 40 4 2 4" xfId="28844" xr:uid="{96901600-83CB-4549-882E-8410996D21DA}"/>
    <cellStyle name="Percentuale 40 4 2 5" xfId="17546" xr:uid="{6D6908F3-B942-4529-8B2F-2BD505EB0463}"/>
    <cellStyle name="Percentuale 40 4 3" xfId="9502" xr:uid="{6B00A3E5-9467-4EFC-A366-8510AC184720}"/>
    <cellStyle name="Percentuale 40 4 3 2" xfId="28847" xr:uid="{68CF109F-CFA5-47C0-BF51-C33324DD8C71}"/>
    <cellStyle name="Percentuale 40 4 4" xfId="28848" xr:uid="{F34BF75D-DD6C-4208-8D4E-1DDF8EEDF445}"/>
    <cellStyle name="Percentuale 40 4 5" xfId="28849" xr:uid="{7EC6F0D8-28B5-455E-B6D0-A69EDC71188F}"/>
    <cellStyle name="Percentuale 40 4 5 2" xfId="49274" xr:uid="{2DB6F8D9-F249-4EB5-9980-38D2F06B8FBB}"/>
    <cellStyle name="Percentuale 40 4 6" xfId="28850" xr:uid="{4FC1BB37-C54E-4E6C-B39E-3EC2A1200524}"/>
    <cellStyle name="Percentuale 40 4 7" xfId="28843" xr:uid="{93FCF155-6892-4E43-9052-4F51BE9D5238}"/>
    <cellStyle name="Percentuale 40 5" xfId="2411" xr:uid="{00000000-0005-0000-0000-0000DD080000}"/>
    <cellStyle name="Percentuale 40 5 2" xfId="28852" xr:uid="{E1CD5EDA-AF6A-45D9-86EE-A7743180EF8B}"/>
    <cellStyle name="Percentuale 40 5 3" xfId="28853" xr:uid="{3141F272-4899-4207-BE37-E6438B2B65FA}"/>
    <cellStyle name="Percentuale 40 5 3 2" xfId="49275" xr:uid="{1F25D5C1-78C4-4DD6-9169-0F66A385B164}"/>
    <cellStyle name="Percentuale 40 5 4" xfId="28854" xr:uid="{C995F886-BE9A-40A7-ADDB-D3618AB24E67}"/>
    <cellStyle name="Percentuale 40 5 5" xfId="28851" xr:uid="{5D2A1CB0-1EBB-45D0-8FD0-BD429AD8AD6F}"/>
    <cellStyle name="Percentuale 40 6" xfId="4409" xr:uid="{7C828DBF-AD70-4BB6-8CBA-09163EE6D6E5}"/>
    <cellStyle name="Percentuale 40 6 2" xfId="9845" xr:uid="{AE9C298B-73B7-44A2-84ED-F7E79FDFF9E0}"/>
    <cellStyle name="Percentuale 40 6 3" xfId="28855" xr:uid="{BECEE62D-25FD-456D-9484-10A909CAC364}"/>
    <cellStyle name="Percentuale 40 7" xfId="28856" xr:uid="{7B8B1363-9799-49EC-8BBE-7C97A1C82665}"/>
    <cellStyle name="Percentuale 40 7 2" xfId="49276" xr:uid="{32206C4F-4FF4-4575-8B28-D4148519C442}"/>
    <cellStyle name="Percentuale 40 8" xfId="28823" xr:uid="{F0F3BA4F-6114-4751-AD55-F337614F5ECE}"/>
    <cellStyle name="Percentuale 41" xfId="1110" xr:uid="{00000000-0005-0000-0000-0000DE080000}"/>
    <cellStyle name="Percentuale 41 2" xfId="1111" xr:uid="{00000000-0005-0000-0000-0000DF080000}"/>
    <cellStyle name="Percentuale 41 2 2" xfId="4410" xr:uid="{3114E41D-E641-4194-B1D8-72F6F3BB5571}"/>
    <cellStyle name="Percentuale 41 2 2 2" xfId="13597" xr:uid="{8325907B-5138-4D1F-82AF-BC4C3F3AD139}"/>
    <cellStyle name="Percentuale 41 2 2 3" xfId="28859" xr:uid="{324D0E66-1F73-4D6E-811D-BBC0F48B835E}"/>
    <cellStyle name="Percentuale 41 2 3" xfId="13335" xr:uid="{B58EE913-A6A4-43C6-9CFA-910F347DBD41}"/>
    <cellStyle name="Percentuale 41 2 3 2" xfId="28860" xr:uid="{79083BAC-69B5-4D8F-AF50-82F8878DA9FC}"/>
    <cellStyle name="Percentuale 41 2 4" xfId="28861" xr:uid="{4EEE1E77-167C-4449-B5C1-CBB224657593}"/>
    <cellStyle name="Percentuale 41 2 4 2" xfId="49277" xr:uid="{85CCBEED-ED4F-4FE6-8C9A-C3FB855EDA27}"/>
    <cellStyle name="Percentuale 41 2 5" xfId="28862" xr:uid="{C63F3944-6300-406C-9DB6-6E2EC394214E}"/>
    <cellStyle name="Percentuale 41 2 6" xfId="28858" xr:uid="{29942605-6021-4BA5-8C28-4ED0B3DB9A76}"/>
    <cellStyle name="Percentuale 41 3" xfId="1112" xr:uid="{00000000-0005-0000-0000-0000E0080000}"/>
    <cellStyle name="Percentuale 41 3 2" xfId="1113" xr:uid="{00000000-0005-0000-0000-0000E1080000}"/>
    <cellStyle name="Percentuale 41 3 2 2" xfId="2412" xr:uid="{00000000-0005-0000-0000-0000E2080000}"/>
    <cellStyle name="Percentuale 41 3 2 2 2" xfId="28866" xr:uid="{2D8BD1FE-79B2-4960-804F-A625D45CFF4B}"/>
    <cellStyle name="Percentuale 41 3 2 2 3" xfId="28865" xr:uid="{4B868902-0CC8-44F7-AB54-3FA93428CFEB}"/>
    <cellStyle name="Percentuale 41 3 2 3" xfId="8152" xr:uid="{EE99BAD0-C582-48E9-B379-42DBA48D9CBB}"/>
    <cellStyle name="Percentuale 41 3 2 3 2" xfId="14151" xr:uid="{CFD50103-1424-4189-ABB1-E1994A5045FA}"/>
    <cellStyle name="Percentuale 41 3 2 3 3" xfId="28867" xr:uid="{5B9E07DA-E256-4358-9220-8B96AA60281D}"/>
    <cellStyle name="Percentuale 41 3 2 3 4" xfId="49278" xr:uid="{3D0AE855-6D1D-4071-B62A-4D0B849A303B}"/>
    <cellStyle name="Percentuale 41 3 2 4" xfId="28868" xr:uid="{6204A567-0CBE-4810-9A8C-7DA7D5D157FF}"/>
    <cellStyle name="Percentuale 41 3 2 5" xfId="28864" xr:uid="{0A418E6B-72B2-4DE7-BAF9-ECB55C81F29A}"/>
    <cellStyle name="Percentuale 41 3 3" xfId="4411" xr:uid="{2FBE0850-9EF0-4AA2-8791-F53CD3615AF5}"/>
    <cellStyle name="Percentuale 41 3 3 2" xfId="9503" xr:uid="{2F1EF8AB-587E-4176-A750-7F5D3C2DBA92}"/>
    <cellStyle name="Percentuale 41 3 3 2 2" xfId="28870" xr:uid="{392901ED-3DFF-400E-9540-347725DB27B7}"/>
    <cellStyle name="Percentuale 41 3 3 3" xfId="28871" xr:uid="{B7149A38-7124-4464-AC76-7963388A6C33}"/>
    <cellStyle name="Percentuale 41 3 3 4" xfId="28872" xr:uid="{A7FEF265-949E-452A-9576-B1EF3D3E6B5B}"/>
    <cellStyle name="Percentuale 41 3 3 4 2" xfId="49279" xr:uid="{2BE910B2-21DA-4595-B7CD-AB9A9A8C44EE}"/>
    <cellStyle name="Percentuale 41 3 3 5" xfId="28869" xr:uid="{CE85CCF3-42CA-478B-91F9-0A05ED86BB8E}"/>
    <cellStyle name="Percentuale 41 3 4" xfId="4412" xr:uid="{720CE512-E5B5-4C2F-8D01-E94FE21D5193}"/>
    <cellStyle name="Percentuale 41 3 4 2" xfId="13812" xr:uid="{7F860898-F84F-4CBF-9375-A093D0A6101C}"/>
    <cellStyle name="Percentuale 41 3 4 3" xfId="28873" xr:uid="{281D4B26-F415-4D68-969C-908D6DB75381}"/>
    <cellStyle name="Percentuale 41 3 5" xfId="12304" xr:uid="{895CB7E2-ADE3-4E47-BBCF-E0E7FC4561B0}"/>
    <cellStyle name="Percentuale 41 3 5 2" xfId="28874" xr:uid="{254BE4A0-E2B1-476B-AA54-2ADB58AFBE77}"/>
    <cellStyle name="Percentuale 41 3 6" xfId="28875" xr:uid="{63BEC473-1A1D-4C0C-A7C9-B4A1F7EE30E4}"/>
    <cellStyle name="Percentuale 41 3 6 2" xfId="49280" xr:uid="{80F69CF7-E82E-4AFC-9F02-BBE4EAF8B564}"/>
    <cellStyle name="Percentuale 41 3 7" xfId="28876" xr:uid="{A180F4C0-1CAF-4806-B429-1F9684D7D52A}"/>
    <cellStyle name="Percentuale 41 3 8" xfId="28863" xr:uid="{AAAEF4C0-DE3C-4A4F-B65F-3926437E16F3}"/>
    <cellStyle name="Percentuale 41 4" xfId="2413" xr:uid="{00000000-0005-0000-0000-0000E3080000}"/>
    <cellStyle name="Percentuale 41 4 2" xfId="2414" xr:uid="{00000000-0005-0000-0000-0000E4080000}"/>
    <cellStyle name="Percentuale 41 4 2 2" xfId="9504" xr:uid="{EC4DFDB7-3B95-4588-B4A3-2ECBC32A0F96}"/>
    <cellStyle name="Percentuale 41 4 2 2 2" xfId="28879" xr:uid="{641FE4B7-0C8F-4E57-9CED-73D64A9F55D4}"/>
    <cellStyle name="Percentuale 41 4 2 3" xfId="17937" xr:uid="{29FE37E3-7D97-4F2D-BEF6-22576EB0B203}"/>
    <cellStyle name="Percentuale 41 4 2 3 2" xfId="28880" xr:uid="{07277621-DE0B-4950-B30D-48DB8CA2E036}"/>
    <cellStyle name="Percentuale 41 4 2 4" xfId="28878" xr:uid="{C39E0E31-4CD3-4735-ADCE-90ABDE1D4F43}"/>
    <cellStyle name="Percentuale 41 4 2 5" xfId="17547" xr:uid="{0AF5B6F0-E909-430B-9747-2EF9CD989D69}"/>
    <cellStyle name="Percentuale 41 4 3" xfId="9505" xr:uid="{D04F2318-BC30-4631-BB6F-955E53074B64}"/>
    <cellStyle name="Percentuale 41 4 3 2" xfId="28881" xr:uid="{9AEBA52E-2B01-4972-91C9-72053D2202C5}"/>
    <cellStyle name="Percentuale 41 4 4" xfId="28882" xr:uid="{F5C73941-0B74-4337-9EE3-5D8A7166E429}"/>
    <cellStyle name="Percentuale 41 4 5" xfId="28883" xr:uid="{654D66D8-3D3D-4C23-8F8E-FA89DBD3C54B}"/>
    <cellStyle name="Percentuale 41 4 5 2" xfId="49281" xr:uid="{8005AAE4-CDB4-456F-9ED1-F60767934BA6}"/>
    <cellStyle name="Percentuale 41 4 6" xfId="28884" xr:uid="{190BE937-152C-45FF-8087-2F900C32E839}"/>
    <cellStyle name="Percentuale 41 4 7" xfId="28877" xr:uid="{28710CCC-95B6-414F-BC16-96CF647749A5}"/>
    <cellStyle name="Percentuale 41 5" xfId="2415" xr:uid="{00000000-0005-0000-0000-0000E5080000}"/>
    <cellStyle name="Percentuale 41 5 2" xfId="28886" xr:uid="{2E060179-78AC-40DE-A264-35A7A6A871AF}"/>
    <cellStyle name="Percentuale 41 5 3" xfId="28887" xr:uid="{34331B84-2EBF-4648-B46F-C81F6342A796}"/>
    <cellStyle name="Percentuale 41 5 3 2" xfId="49282" xr:uid="{8834EAD0-AA46-4E4D-A358-F91DD2FBF575}"/>
    <cellStyle name="Percentuale 41 5 4" xfId="28888" xr:uid="{EFBAE200-6A9F-484C-8A57-0DD168908EC2}"/>
    <cellStyle name="Percentuale 41 5 5" xfId="28885" xr:uid="{B66614B2-E5FF-4127-AE94-777BAAC95087}"/>
    <cellStyle name="Percentuale 41 6" xfId="4413" xr:uid="{643F4D44-58A0-45B5-A02E-711566CF5FC4}"/>
    <cellStyle name="Percentuale 41 6 2" xfId="9846" xr:uid="{0063B79C-786B-445A-897E-EE478A280579}"/>
    <cellStyle name="Percentuale 41 6 3" xfId="28889" xr:uid="{30497E1A-E9CC-4F65-9DC0-95C2D726494C}"/>
    <cellStyle name="Percentuale 41 7" xfId="28890" xr:uid="{A3389914-66B4-4C6C-BA82-C27793964E88}"/>
    <cellStyle name="Percentuale 41 7 2" xfId="49283" xr:uid="{706A41F6-CAF3-48EC-A184-0542B3785869}"/>
    <cellStyle name="Percentuale 41 8" xfId="28857" xr:uid="{F3FE1EAC-4E64-4A23-BC4F-FFC4C10C2B38}"/>
    <cellStyle name="Percentuale 42" xfId="1114" xr:uid="{00000000-0005-0000-0000-0000E6080000}"/>
    <cellStyle name="Percentuale 42 2" xfId="1115" xr:uid="{00000000-0005-0000-0000-0000E7080000}"/>
    <cellStyle name="Percentuale 42 2 2" xfId="4414" xr:uid="{0B3569E2-50FF-4260-8356-7E7731DC9E92}"/>
    <cellStyle name="Percentuale 42 2 2 2" xfId="13598" xr:uid="{E65840E6-7434-45D3-8DEC-4CFB08890574}"/>
    <cellStyle name="Percentuale 42 2 2 3" xfId="28893" xr:uid="{9DF0BEB2-78E9-43F2-BF76-174A5A65F563}"/>
    <cellStyle name="Percentuale 42 2 3" xfId="13336" xr:uid="{873B575C-7C9F-4085-943C-4D87152C41C1}"/>
    <cellStyle name="Percentuale 42 2 3 2" xfId="28894" xr:uid="{B1A4C2AD-AE09-4D29-92BE-710A1886D6C3}"/>
    <cellStyle name="Percentuale 42 2 4" xfId="28895" xr:uid="{3C63AC91-05A8-4841-9EDE-0B67C992B78B}"/>
    <cellStyle name="Percentuale 42 2 4 2" xfId="49284" xr:uid="{5D81109D-7F49-4157-AFCD-123C150672C7}"/>
    <cellStyle name="Percentuale 42 2 5" xfId="28896" xr:uid="{2378D31B-33EE-476B-B653-D4D6014CF3E7}"/>
    <cellStyle name="Percentuale 42 2 6" xfId="28892" xr:uid="{168BC98D-1431-482F-9198-1EF235913728}"/>
    <cellStyle name="Percentuale 42 3" xfId="1116" xr:uid="{00000000-0005-0000-0000-0000E8080000}"/>
    <cellStyle name="Percentuale 42 3 2" xfId="1117" xr:uid="{00000000-0005-0000-0000-0000E9080000}"/>
    <cellStyle name="Percentuale 42 3 2 2" xfId="2416" xr:uid="{00000000-0005-0000-0000-0000EA080000}"/>
    <cellStyle name="Percentuale 42 3 2 2 2" xfId="28900" xr:uid="{A4551491-492B-4AF7-BA6A-0FDA83A0D751}"/>
    <cellStyle name="Percentuale 42 3 2 2 3" xfId="28899" xr:uid="{F93F5D5B-052E-4241-A3ED-7C456C2A7DCF}"/>
    <cellStyle name="Percentuale 42 3 2 3" xfId="8153" xr:uid="{D9EC0FC6-B55F-474A-B3AF-36A732E78CC0}"/>
    <cellStyle name="Percentuale 42 3 2 3 2" xfId="14152" xr:uid="{E27F2C95-AD7B-41A3-9C31-3716596ACE95}"/>
    <cellStyle name="Percentuale 42 3 2 3 3" xfId="28901" xr:uid="{1917DDB3-BDD9-4AC2-8A4B-0C98176099A6}"/>
    <cellStyle name="Percentuale 42 3 2 3 4" xfId="49285" xr:uid="{F6F4EA4D-2789-488E-BF75-D6C65BD2FFC5}"/>
    <cellStyle name="Percentuale 42 3 2 4" xfId="28902" xr:uid="{1C3680BC-6079-42C1-A590-7B721CEF9814}"/>
    <cellStyle name="Percentuale 42 3 2 5" xfId="28898" xr:uid="{D0499526-D36E-457B-BE88-78F2A8869902}"/>
    <cellStyle name="Percentuale 42 3 3" xfId="4415" xr:uid="{5002C057-A0CB-46D9-881C-85A7CE11C29A}"/>
    <cellStyle name="Percentuale 42 3 3 2" xfId="9506" xr:uid="{3F2BD764-AC74-4044-A8B3-CA4F5E6BCB86}"/>
    <cellStyle name="Percentuale 42 3 3 2 2" xfId="28904" xr:uid="{C81AD576-3E0A-4F54-AD7B-275C99126DD4}"/>
    <cellStyle name="Percentuale 42 3 3 3" xfId="28905" xr:uid="{46ACABD6-FF71-4215-AEB5-D8F49594CF99}"/>
    <cellStyle name="Percentuale 42 3 3 4" xfId="28906" xr:uid="{BEC2220C-0110-4FAE-8684-762615EBCB45}"/>
    <cellStyle name="Percentuale 42 3 3 4 2" xfId="49286" xr:uid="{BEF3191A-4334-4DA7-B79D-864359EF790A}"/>
    <cellStyle name="Percentuale 42 3 3 5" xfId="28903" xr:uid="{AE1A0E3D-0E6D-4E14-96A4-9F1096FAB3E5}"/>
    <cellStyle name="Percentuale 42 3 4" xfId="4416" xr:uid="{7171AEE8-4800-453F-A8DC-DE6306711E7F}"/>
    <cellStyle name="Percentuale 42 3 4 2" xfId="13813" xr:uid="{130AC0B3-506B-47BD-BB7D-07EE50C0CFBC}"/>
    <cellStyle name="Percentuale 42 3 4 3" xfId="28907" xr:uid="{698B9E72-BD0C-46F9-A0C1-9458DC9E5AB4}"/>
    <cellStyle name="Percentuale 42 3 5" xfId="12303" xr:uid="{8C554162-6FA9-4D81-84A0-15C11278B521}"/>
    <cellStyle name="Percentuale 42 3 5 2" xfId="28908" xr:uid="{EB235AFC-95E1-49A1-8F7A-A695B9A11B96}"/>
    <cellStyle name="Percentuale 42 3 6" xfId="28909" xr:uid="{83C58CDF-CF14-4853-BAE2-A0283885DCE7}"/>
    <cellStyle name="Percentuale 42 3 6 2" xfId="49287" xr:uid="{DD6067EA-3100-4FE9-B618-30B605C79E06}"/>
    <cellStyle name="Percentuale 42 3 7" xfId="28910" xr:uid="{AB539897-F929-4225-8AE6-A6F632837A9B}"/>
    <cellStyle name="Percentuale 42 3 8" xfId="28897" xr:uid="{5D4A21CB-3F35-4015-ADF3-59E814CEC66A}"/>
    <cellStyle name="Percentuale 42 4" xfId="2417" xr:uid="{00000000-0005-0000-0000-0000EB080000}"/>
    <cellStyle name="Percentuale 42 4 2" xfId="2418" xr:uid="{00000000-0005-0000-0000-0000EC080000}"/>
    <cellStyle name="Percentuale 42 4 2 2" xfId="9507" xr:uid="{DDBB00D3-048B-44AC-A9F5-6DE80A914692}"/>
    <cellStyle name="Percentuale 42 4 2 2 2" xfId="28913" xr:uid="{2C45C8F6-2D33-479A-A334-D45CF8533CDC}"/>
    <cellStyle name="Percentuale 42 4 2 3" xfId="17938" xr:uid="{ABE52CC3-7C8A-4F74-89FB-1D143A097570}"/>
    <cellStyle name="Percentuale 42 4 2 3 2" xfId="28914" xr:uid="{CD31243A-D5A8-44C1-933B-6C5AD125EC18}"/>
    <cellStyle name="Percentuale 42 4 2 4" xfId="28912" xr:uid="{E30D3456-CECF-46DF-977D-0A6D6E1B960F}"/>
    <cellStyle name="Percentuale 42 4 2 5" xfId="17548" xr:uid="{95481EE6-E4B8-4D62-9DFA-1AD6EE29F352}"/>
    <cellStyle name="Percentuale 42 4 3" xfId="9508" xr:uid="{72081620-8389-46A7-B9E9-69FBF040D62F}"/>
    <cellStyle name="Percentuale 42 4 3 2" xfId="28915" xr:uid="{7C30B261-8C80-4101-8FA0-2D1AD661E8BB}"/>
    <cellStyle name="Percentuale 42 4 4" xfId="28916" xr:uid="{D9DD2A10-B8B4-4E41-8458-E2A08C196B12}"/>
    <cellStyle name="Percentuale 42 4 5" xfId="28917" xr:uid="{20333EEF-C965-45BC-9662-C1565DFF9756}"/>
    <cellStyle name="Percentuale 42 4 5 2" xfId="49288" xr:uid="{9DA0F969-F9D2-427A-ACA6-FE5EC35F21CD}"/>
    <cellStyle name="Percentuale 42 4 6" xfId="28918" xr:uid="{EEFC0D8E-6DCB-4C6F-B998-5D1B026227FE}"/>
    <cellStyle name="Percentuale 42 4 7" xfId="28911" xr:uid="{FC72F77C-58D3-4CE0-AE3A-A44045DFB597}"/>
    <cellStyle name="Percentuale 42 5" xfId="2419" xr:uid="{00000000-0005-0000-0000-0000ED080000}"/>
    <cellStyle name="Percentuale 42 5 2" xfId="28920" xr:uid="{ABEBB7FE-0A52-4D83-A25E-2347B0EF36A7}"/>
    <cellStyle name="Percentuale 42 5 3" xfId="28921" xr:uid="{5800EEAD-A00C-4E70-84C0-7723CD3EE61A}"/>
    <cellStyle name="Percentuale 42 5 3 2" xfId="49289" xr:uid="{EDDC95E3-C0A8-450A-B01F-DB211D2C935C}"/>
    <cellStyle name="Percentuale 42 5 4" xfId="28922" xr:uid="{A93B84BE-59CC-4E7C-BED2-32684C246EEC}"/>
    <cellStyle name="Percentuale 42 5 5" xfId="28919" xr:uid="{64AF3489-4813-4D27-A554-56B6195DC251}"/>
    <cellStyle name="Percentuale 42 6" xfId="4417" xr:uid="{C2621BD9-8E20-43F2-B067-DA5D10B051E6}"/>
    <cellStyle name="Percentuale 42 6 2" xfId="9847" xr:uid="{67352D9F-A46D-4EAF-B163-3EC2EF8785DB}"/>
    <cellStyle name="Percentuale 42 6 3" xfId="28923" xr:uid="{7039B583-4015-4F45-A5DE-F8346F99ED04}"/>
    <cellStyle name="Percentuale 42 7" xfId="28924" xr:uid="{332ECF76-8EE8-4B31-B35A-DDE9344C7DA8}"/>
    <cellStyle name="Percentuale 42 7 2" xfId="49290" xr:uid="{CB595B49-9A6F-41A1-BFD7-EBF5BD4865CC}"/>
    <cellStyle name="Percentuale 42 8" xfId="28891" xr:uid="{1D81276E-CB4D-4886-8F39-0725AB19090B}"/>
    <cellStyle name="Percentuale 43" xfId="1118" xr:uid="{00000000-0005-0000-0000-0000EE080000}"/>
    <cellStyle name="Percentuale 43 2" xfId="1119" xr:uid="{00000000-0005-0000-0000-0000EF080000}"/>
    <cellStyle name="Percentuale 43 2 2" xfId="4418" xr:uid="{EA3243B9-7EB8-4779-A147-0CEBC04E27DB}"/>
    <cellStyle name="Percentuale 43 2 2 2" xfId="13599" xr:uid="{11F6E1EA-8A06-43EC-BC01-BF6F3E5010C4}"/>
    <cellStyle name="Percentuale 43 2 2 3" xfId="28927" xr:uid="{2ADF6F55-6D26-47F5-BF2F-DF53BECD04FC}"/>
    <cellStyle name="Percentuale 43 2 3" xfId="13337" xr:uid="{A34335DD-D333-42DC-87C2-5ECBD8FE10C8}"/>
    <cellStyle name="Percentuale 43 2 3 2" xfId="28928" xr:uid="{FCC0E5C2-3C26-4590-9882-6DEF1A90B0AE}"/>
    <cellStyle name="Percentuale 43 2 4" xfId="28929" xr:uid="{670BC3D1-4763-42B2-8779-C974DAFF04B7}"/>
    <cellStyle name="Percentuale 43 2 4 2" xfId="49291" xr:uid="{D9649D57-2B50-49E1-8D33-5657E1F957F7}"/>
    <cellStyle name="Percentuale 43 2 5" xfId="28930" xr:uid="{F86BBE5C-5AFF-4CBC-A2D8-7E331BABF0BC}"/>
    <cellStyle name="Percentuale 43 2 6" xfId="28926" xr:uid="{19D166B8-4FCE-42C9-8429-BEEBB0743432}"/>
    <cellStyle name="Percentuale 43 3" xfId="1120" xr:uid="{00000000-0005-0000-0000-0000F0080000}"/>
    <cellStyle name="Percentuale 43 3 2" xfId="1121" xr:uid="{00000000-0005-0000-0000-0000F1080000}"/>
    <cellStyle name="Percentuale 43 3 2 2" xfId="2420" xr:uid="{00000000-0005-0000-0000-0000F2080000}"/>
    <cellStyle name="Percentuale 43 3 2 2 2" xfId="28934" xr:uid="{047BE313-5057-41CE-A8C4-4BC39DB13F7C}"/>
    <cellStyle name="Percentuale 43 3 2 2 3" xfId="28933" xr:uid="{1C4B4673-4114-4EB8-84BA-53A929AC87E0}"/>
    <cellStyle name="Percentuale 43 3 2 3" xfId="8154" xr:uid="{E475361C-3445-4591-8294-CD960BE1DA50}"/>
    <cellStyle name="Percentuale 43 3 2 3 2" xfId="14153" xr:uid="{276AEA8A-2FFE-4224-95A3-76830FAEDCAA}"/>
    <cellStyle name="Percentuale 43 3 2 3 3" xfId="28935" xr:uid="{BB570DEA-4874-4218-A3DD-124FAD8757F7}"/>
    <cellStyle name="Percentuale 43 3 2 3 4" xfId="49292" xr:uid="{01CAEE75-586F-4BEA-84B5-59665B515E66}"/>
    <cellStyle name="Percentuale 43 3 2 4" xfId="28936" xr:uid="{6AE4714B-04A9-4865-BC87-F8894505A900}"/>
    <cellStyle name="Percentuale 43 3 2 5" xfId="28932" xr:uid="{16C49E87-D78D-46F1-9765-D8CB29713FD0}"/>
    <cellStyle name="Percentuale 43 3 3" xfId="4419" xr:uid="{F80E7A3E-FFE7-44DE-8912-5936215840B0}"/>
    <cellStyle name="Percentuale 43 3 3 2" xfId="9509" xr:uid="{D78D7368-36E2-4C78-93C0-FEDED963D2F5}"/>
    <cellStyle name="Percentuale 43 3 3 2 2" xfId="28938" xr:uid="{572A0E3B-EE2A-4588-B3E3-6E559B7D3D95}"/>
    <cellStyle name="Percentuale 43 3 3 3" xfId="28939" xr:uid="{EC77502E-6202-4114-870E-17403A97BBF1}"/>
    <cellStyle name="Percentuale 43 3 3 4" xfId="28940" xr:uid="{FCEDA9F3-8F26-4823-B385-89D9A0443EC0}"/>
    <cellStyle name="Percentuale 43 3 3 4 2" xfId="49293" xr:uid="{A83559B9-3F91-48DA-86B3-41EC2DE0C614}"/>
    <cellStyle name="Percentuale 43 3 3 5" xfId="28937" xr:uid="{CE8BD287-AD54-4F0E-8772-8F28121DA892}"/>
    <cellStyle name="Percentuale 43 3 4" xfId="4420" xr:uid="{54FE9739-AFF9-4B86-A96B-C756B7509C57}"/>
    <cellStyle name="Percentuale 43 3 4 2" xfId="13814" xr:uid="{22099DE6-EF2C-4C92-9F92-BE83883B5980}"/>
    <cellStyle name="Percentuale 43 3 4 3" xfId="28941" xr:uid="{EBD18F05-4942-4111-BCEB-DB4D88546C50}"/>
    <cellStyle name="Percentuale 43 3 5" xfId="11512" xr:uid="{8D41443E-5F18-47AB-A8F0-8FAFE8A46C3D}"/>
    <cellStyle name="Percentuale 43 3 5 2" xfId="28942" xr:uid="{E9D55784-45AA-4670-B4D9-DC8AC4C2F47D}"/>
    <cellStyle name="Percentuale 43 3 6" xfId="28943" xr:uid="{180C2E6E-759E-4CF2-B6DE-BCFFF21E17A5}"/>
    <cellStyle name="Percentuale 43 3 6 2" xfId="49294" xr:uid="{03A4990B-0475-4097-AABB-D8F95605F668}"/>
    <cellStyle name="Percentuale 43 3 7" xfId="28944" xr:uid="{8FF5C8B8-68C3-40AE-B8AD-0416FCE7FC55}"/>
    <cellStyle name="Percentuale 43 3 8" xfId="28931" xr:uid="{1DE066C2-5D08-4EE7-A4BC-2551A95114CA}"/>
    <cellStyle name="Percentuale 43 4" xfId="2421" xr:uid="{00000000-0005-0000-0000-0000F3080000}"/>
    <cellStyle name="Percentuale 43 4 2" xfId="2422" xr:uid="{00000000-0005-0000-0000-0000F4080000}"/>
    <cellStyle name="Percentuale 43 4 2 2" xfId="9510" xr:uid="{C25D74B0-656F-4822-AA4D-D524AC648044}"/>
    <cellStyle name="Percentuale 43 4 2 2 2" xfId="28947" xr:uid="{3619F088-3A0C-4657-A070-539B197E7A8B}"/>
    <cellStyle name="Percentuale 43 4 2 3" xfId="17939" xr:uid="{7EC71244-E1BE-4569-B4FD-15525E6111D6}"/>
    <cellStyle name="Percentuale 43 4 2 3 2" xfId="28948" xr:uid="{A0AFF4B1-CEC0-4052-9A7F-9C42B51C4710}"/>
    <cellStyle name="Percentuale 43 4 2 4" xfId="28946" xr:uid="{AE997E4A-E93E-4276-9936-6D2661BECE62}"/>
    <cellStyle name="Percentuale 43 4 2 5" xfId="17549" xr:uid="{EB45C37B-07FA-4694-B3F2-4FCB2AE88B3D}"/>
    <cellStyle name="Percentuale 43 4 3" xfId="9511" xr:uid="{F21F420B-2993-4772-BAB7-0BE2F0946E33}"/>
    <cellStyle name="Percentuale 43 4 3 2" xfId="28949" xr:uid="{3C06E122-F58B-434F-BA8A-F87F1BBE34DF}"/>
    <cellStyle name="Percentuale 43 4 4" xfId="28950" xr:uid="{2B596D43-021B-4E54-BCB6-33F6C2A57C0F}"/>
    <cellStyle name="Percentuale 43 4 5" xfId="28951" xr:uid="{D0A9268A-630F-49D7-83FE-49CBCB014663}"/>
    <cellStyle name="Percentuale 43 4 5 2" xfId="49295" xr:uid="{C1570EDB-2A25-439E-AF41-3C5B6ADAE36B}"/>
    <cellStyle name="Percentuale 43 4 6" xfId="28952" xr:uid="{48339D6A-776A-4CD9-8ECE-DD1D5C24E416}"/>
    <cellStyle name="Percentuale 43 4 7" xfId="28945" xr:uid="{107E47EA-5CF6-4FB6-AD26-F105ABFC8A4A}"/>
    <cellStyle name="Percentuale 43 5" xfId="2423" xr:uid="{00000000-0005-0000-0000-0000F5080000}"/>
    <cellStyle name="Percentuale 43 5 2" xfId="28954" xr:uid="{F867D3E7-5961-4D5F-A8B8-336BB13A515B}"/>
    <cellStyle name="Percentuale 43 5 3" xfId="28955" xr:uid="{4F32DD1F-BBEF-42A7-AA7A-2D314DC72D87}"/>
    <cellStyle name="Percentuale 43 5 3 2" xfId="49296" xr:uid="{ADCD681C-DB6E-4E60-8C5D-175AB31EAEE9}"/>
    <cellStyle name="Percentuale 43 5 4" xfId="28956" xr:uid="{20FFD1D5-564A-4DA9-A5B2-4972BA86E717}"/>
    <cellStyle name="Percentuale 43 5 5" xfId="28953" xr:uid="{27EF5210-0355-4719-B42E-6CEA267942D2}"/>
    <cellStyle name="Percentuale 43 6" xfId="4421" xr:uid="{1AC9A355-302A-42B8-AD9B-00CCE092A1D8}"/>
    <cellStyle name="Percentuale 43 6 2" xfId="9848" xr:uid="{B6848323-F2EF-49E7-B81B-8B4F29CA4259}"/>
    <cellStyle name="Percentuale 43 6 3" xfId="28957" xr:uid="{98235501-5457-4AFB-944E-6700AF6DB657}"/>
    <cellStyle name="Percentuale 43 7" xfId="28958" xr:uid="{65A5471E-66F3-44C2-BE99-0913A88DA42F}"/>
    <cellStyle name="Percentuale 43 7 2" xfId="49297" xr:uid="{C8B6559E-EEBA-4F66-903F-157D53C75BD4}"/>
    <cellStyle name="Percentuale 43 8" xfId="28925" xr:uid="{9B3EE712-5270-4A8C-964B-5D569D90AE90}"/>
    <cellStyle name="Percentuale 44" xfId="1122" xr:uid="{00000000-0005-0000-0000-0000F6080000}"/>
    <cellStyle name="Percentuale 44 2" xfId="1123" xr:uid="{00000000-0005-0000-0000-0000F7080000}"/>
    <cellStyle name="Percentuale 44 2 2" xfId="4422" xr:uid="{FA9296BB-225F-4861-BCAB-C38637C1AF2B}"/>
    <cellStyle name="Percentuale 44 2 2 2" xfId="13600" xr:uid="{12566B8F-97F4-429D-B7C9-836A94197AAA}"/>
    <cellStyle name="Percentuale 44 2 2 3" xfId="28961" xr:uid="{F6FB0D4C-20AF-4034-9C24-A0FD16519800}"/>
    <cellStyle name="Percentuale 44 2 3" xfId="13338" xr:uid="{D2590FD4-C830-4F34-82F4-CF49C3D07B06}"/>
    <cellStyle name="Percentuale 44 2 3 2" xfId="28962" xr:uid="{77B9A58A-1ECF-469A-AF79-1C5242867538}"/>
    <cellStyle name="Percentuale 44 2 4" xfId="28963" xr:uid="{97AF2C12-032B-4B3F-AE80-9CDB00C9640C}"/>
    <cellStyle name="Percentuale 44 2 4 2" xfId="49298" xr:uid="{E2296528-9B07-4D36-8B8A-DB46308BC9A7}"/>
    <cellStyle name="Percentuale 44 2 5" xfId="28964" xr:uid="{5958D763-F502-47E6-8899-59D65C22D420}"/>
    <cellStyle name="Percentuale 44 2 6" xfId="28960" xr:uid="{A056B6E2-FFB5-434E-AEEC-A791D752A221}"/>
    <cellStyle name="Percentuale 44 3" xfId="1124" xr:uid="{00000000-0005-0000-0000-0000F8080000}"/>
    <cellStyle name="Percentuale 44 3 2" xfId="1125" xr:uid="{00000000-0005-0000-0000-0000F9080000}"/>
    <cellStyle name="Percentuale 44 3 2 2" xfId="2424" xr:uid="{00000000-0005-0000-0000-0000FA080000}"/>
    <cellStyle name="Percentuale 44 3 2 2 2" xfId="28968" xr:uid="{1F096643-775A-4484-B953-5C36312863DC}"/>
    <cellStyle name="Percentuale 44 3 2 2 3" xfId="28967" xr:uid="{7CECDDF6-71FF-4243-8D34-4CF61C388C3D}"/>
    <cellStyle name="Percentuale 44 3 2 3" xfId="8155" xr:uid="{A81729E4-D663-44D6-8211-4AB85A0A7D66}"/>
    <cellStyle name="Percentuale 44 3 2 3 2" xfId="14154" xr:uid="{A52435EA-D351-4086-A113-60A9A733D046}"/>
    <cellStyle name="Percentuale 44 3 2 3 3" xfId="28969" xr:uid="{162A1A41-6777-4F57-888C-70A6C7F8CA56}"/>
    <cellStyle name="Percentuale 44 3 2 3 4" xfId="49299" xr:uid="{2E20160C-7AA0-4BB7-8A29-9675C303E841}"/>
    <cellStyle name="Percentuale 44 3 2 4" xfId="28970" xr:uid="{5963C464-2C73-4A0C-99E6-BD4F2BD2C5B5}"/>
    <cellStyle name="Percentuale 44 3 2 5" xfId="28966" xr:uid="{CB55F155-7282-4A9E-81C3-6659A99E98DD}"/>
    <cellStyle name="Percentuale 44 3 3" xfId="4423" xr:uid="{573F4939-57B8-4001-9282-07477ADACEF1}"/>
    <cellStyle name="Percentuale 44 3 3 2" xfId="9512" xr:uid="{A36DD4B0-7718-4B91-A208-03FC97AD5FEC}"/>
    <cellStyle name="Percentuale 44 3 3 2 2" xfId="28972" xr:uid="{353712C6-903D-4DBA-97C7-110368BD1DC3}"/>
    <cellStyle name="Percentuale 44 3 3 3" xfId="28973" xr:uid="{C639D24E-8F6F-407F-AC81-A7479FCFE1EF}"/>
    <cellStyle name="Percentuale 44 3 3 4" xfId="28974" xr:uid="{AE7C28B3-3120-49D8-92AE-7828D214CA05}"/>
    <cellStyle name="Percentuale 44 3 3 4 2" xfId="49300" xr:uid="{4357D388-3F82-47CE-82F6-A63FCF726F48}"/>
    <cellStyle name="Percentuale 44 3 3 5" xfId="28971" xr:uid="{DD488115-107F-4B76-BEC9-22CCCDA2E1B3}"/>
    <cellStyle name="Percentuale 44 3 4" xfId="4424" xr:uid="{CFBD84A9-81FD-466A-A4BE-3721A000A152}"/>
    <cellStyle name="Percentuale 44 3 4 2" xfId="13815" xr:uid="{431F8579-CBB5-486F-90AA-D764B7CED63E}"/>
    <cellStyle name="Percentuale 44 3 4 3" xfId="28975" xr:uid="{050AB8C5-407E-4780-AF32-7E19749B49B3}"/>
    <cellStyle name="Percentuale 44 3 5" xfId="11522" xr:uid="{A9CFD35E-15C2-47B2-A2E2-D996AD336C71}"/>
    <cellStyle name="Percentuale 44 3 5 2" xfId="28976" xr:uid="{3FB9DCDB-4CD3-425C-A30C-B450F231A378}"/>
    <cellStyle name="Percentuale 44 3 6" xfId="28977" xr:uid="{82CF24F4-3948-47D4-AABA-2051B1126C14}"/>
    <cellStyle name="Percentuale 44 3 6 2" xfId="49301" xr:uid="{60246CD5-A7F3-40ED-883B-0E34300404A4}"/>
    <cellStyle name="Percentuale 44 3 7" xfId="28978" xr:uid="{420901C9-5EC4-4A5E-A754-B581E23C843C}"/>
    <cellStyle name="Percentuale 44 3 8" xfId="28965" xr:uid="{0BD1D143-CDB5-470E-A404-3BF743921CF9}"/>
    <cellStyle name="Percentuale 44 4" xfId="2425" xr:uid="{00000000-0005-0000-0000-0000FB080000}"/>
    <cellStyle name="Percentuale 44 4 2" xfId="2426" xr:uid="{00000000-0005-0000-0000-0000FC080000}"/>
    <cellStyle name="Percentuale 44 4 2 2" xfId="9513" xr:uid="{6E856DCE-DF4D-4E32-B3F1-F9F54D1B63AF}"/>
    <cellStyle name="Percentuale 44 4 2 2 2" xfId="28981" xr:uid="{10B7E762-C5C0-4B33-AD81-1B4672E616B9}"/>
    <cellStyle name="Percentuale 44 4 2 3" xfId="17940" xr:uid="{FBF63958-D438-4C18-AFCC-133F08531614}"/>
    <cellStyle name="Percentuale 44 4 2 3 2" xfId="28982" xr:uid="{1C3F75E7-806D-41C5-B599-8EB5C3FE97F6}"/>
    <cellStyle name="Percentuale 44 4 2 4" xfId="28980" xr:uid="{61E8D2BA-D332-4B9F-90FB-8788ADFDF109}"/>
    <cellStyle name="Percentuale 44 4 2 5" xfId="17550" xr:uid="{43EE4076-0646-4F03-BF4A-2DB77F3D01DC}"/>
    <cellStyle name="Percentuale 44 4 3" xfId="9514" xr:uid="{D367507E-742E-4B01-9662-CDD4A5AA4C8E}"/>
    <cellStyle name="Percentuale 44 4 3 2" xfId="28983" xr:uid="{EF9EC3F9-4444-4D24-84CA-E65B04871649}"/>
    <cellStyle name="Percentuale 44 4 4" xfId="28984" xr:uid="{374B702D-C618-404F-A1B8-53F6DA58A5ED}"/>
    <cellStyle name="Percentuale 44 4 5" xfId="28985" xr:uid="{9511A157-8424-4338-B520-2A6D26AE97A0}"/>
    <cellStyle name="Percentuale 44 4 5 2" xfId="49302" xr:uid="{A34B4B72-F5A6-470A-A854-39CE5B97072A}"/>
    <cellStyle name="Percentuale 44 4 6" xfId="28986" xr:uid="{114D7FCE-07D3-4D7E-99CC-6C5C578CEC53}"/>
    <cellStyle name="Percentuale 44 4 7" xfId="28979" xr:uid="{394A0CE2-6A9D-47F2-8652-958224F1CE66}"/>
    <cellStyle name="Percentuale 44 5" xfId="2427" xr:uid="{00000000-0005-0000-0000-0000FD080000}"/>
    <cellStyle name="Percentuale 44 5 2" xfId="28988" xr:uid="{7DFA4799-B55C-4015-B187-7C939673FCDF}"/>
    <cellStyle name="Percentuale 44 5 3" xfId="28989" xr:uid="{CD0EE146-68D4-4D63-97A1-C02B059B34E7}"/>
    <cellStyle name="Percentuale 44 5 3 2" xfId="49303" xr:uid="{5C140374-9083-4D2E-BBF8-2DA1A2EE5401}"/>
    <cellStyle name="Percentuale 44 5 4" xfId="28990" xr:uid="{BEC68C43-38E0-4634-AD94-7260402C2F0F}"/>
    <cellStyle name="Percentuale 44 5 5" xfId="28987" xr:uid="{369EB4B4-A92D-4409-8D53-67D8A5E9DB15}"/>
    <cellStyle name="Percentuale 44 6" xfId="4425" xr:uid="{A51BA692-0198-4FA5-AFCB-6830824D66CE}"/>
    <cellStyle name="Percentuale 44 6 2" xfId="9849" xr:uid="{1670640D-4AEA-426D-B22B-F5B060267BC2}"/>
    <cellStyle name="Percentuale 44 6 3" xfId="28991" xr:uid="{255098C2-2868-4391-81F4-60FD5BFE4771}"/>
    <cellStyle name="Percentuale 44 7" xfId="28992" xr:uid="{11C58B85-3D39-4183-A93A-9F698A4D4941}"/>
    <cellStyle name="Percentuale 44 7 2" xfId="49304" xr:uid="{DC743BFA-EDAF-426F-A9A0-F6628091185E}"/>
    <cellStyle name="Percentuale 44 8" xfId="28959" xr:uid="{D805AB9C-1D48-4264-B14C-95A8B86E89DC}"/>
    <cellStyle name="Percentuale 45" xfId="1126" xr:uid="{00000000-0005-0000-0000-0000FE080000}"/>
    <cellStyle name="Percentuale 45 2" xfId="1127" xr:uid="{00000000-0005-0000-0000-0000FF080000}"/>
    <cellStyle name="Percentuale 45 2 2" xfId="4426" xr:uid="{5EFB8B56-BEDA-4B2C-A9C1-11E8A56C8AE0}"/>
    <cellStyle name="Percentuale 45 2 2 2" xfId="13601" xr:uid="{BB9B500D-C14E-4A55-88CA-AE50D1ACB064}"/>
    <cellStyle name="Percentuale 45 2 2 3" xfId="28995" xr:uid="{4E22C047-F7DD-4534-8248-B8EDAB555F97}"/>
    <cellStyle name="Percentuale 45 2 3" xfId="13339" xr:uid="{E325635C-99F5-4E0F-9013-66462233C215}"/>
    <cellStyle name="Percentuale 45 2 3 2" xfId="28996" xr:uid="{F4D2D5CE-960E-42F5-A3BA-AC3BEA6FE4C3}"/>
    <cellStyle name="Percentuale 45 2 4" xfId="28997" xr:uid="{036DC35E-03CD-4DC8-8BEF-72278D33EA93}"/>
    <cellStyle name="Percentuale 45 2 4 2" xfId="49305" xr:uid="{6E83889C-2E20-49FD-9547-83481E978D16}"/>
    <cellStyle name="Percentuale 45 2 5" xfId="28998" xr:uid="{E1B4BCDF-4E36-4858-9E16-14C8CEBDD5AE}"/>
    <cellStyle name="Percentuale 45 2 6" xfId="28994" xr:uid="{461D1950-A9CF-41E1-894B-794ACEDB113F}"/>
    <cellStyle name="Percentuale 45 3" xfId="1128" xr:uid="{00000000-0005-0000-0000-000000090000}"/>
    <cellStyle name="Percentuale 45 3 2" xfId="1129" xr:uid="{00000000-0005-0000-0000-000001090000}"/>
    <cellStyle name="Percentuale 45 3 2 2" xfId="2428" xr:uid="{00000000-0005-0000-0000-000002090000}"/>
    <cellStyle name="Percentuale 45 3 2 2 2" xfId="29002" xr:uid="{8F19DE62-9470-4C13-84A8-3B4B9503F86F}"/>
    <cellStyle name="Percentuale 45 3 2 2 3" xfId="29001" xr:uid="{BED0749D-EEB2-49B4-AC2B-D27B088F20F3}"/>
    <cellStyle name="Percentuale 45 3 2 3" xfId="8156" xr:uid="{1BBC686A-6570-42E5-80E8-C385B807BB83}"/>
    <cellStyle name="Percentuale 45 3 2 3 2" xfId="14155" xr:uid="{8A5CCF74-F7C2-4B63-83CF-D69A8486B5E1}"/>
    <cellStyle name="Percentuale 45 3 2 3 3" xfId="29003" xr:uid="{F18897B7-95D5-4964-A394-FE9F3A06D9B7}"/>
    <cellStyle name="Percentuale 45 3 2 3 4" xfId="49306" xr:uid="{F3821A04-77E8-44E9-AF82-15285EEAB69E}"/>
    <cellStyle name="Percentuale 45 3 2 4" xfId="29004" xr:uid="{8DE56AAA-C4EF-4EE8-B239-29B6C177152C}"/>
    <cellStyle name="Percentuale 45 3 2 5" xfId="29000" xr:uid="{34975ACF-89B8-4E2E-886A-738008DCF635}"/>
    <cellStyle name="Percentuale 45 3 3" xfId="4427" xr:uid="{56321FF6-9BB8-4130-85CB-FF1C8C82BD83}"/>
    <cellStyle name="Percentuale 45 3 3 2" xfId="9515" xr:uid="{C3CF7021-149F-4518-A716-058329C0E0D5}"/>
    <cellStyle name="Percentuale 45 3 3 2 2" xfId="29006" xr:uid="{6E2BBCB6-D2CC-48D7-804C-CF87EF113421}"/>
    <cellStyle name="Percentuale 45 3 3 3" xfId="29007" xr:uid="{E5D40E77-A63A-41D0-B1B5-812DF12308EF}"/>
    <cellStyle name="Percentuale 45 3 3 4" xfId="29008" xr:uid="{A6C055E2-C5BD-4561-82BF-9B33468674F0}"/>
    <cellStyle name="Percentuale 45 3 3 4 2" xfId="49307" xr:uid="{5C576F15-E77F-49FD-B63C-0962767111C1}"/>
    <cellStyle name="Percentuale 45 3 3 5" xfId="29005" xr:uid="{7761B5F9-9C76-4465-B57C-F84B9D3C5BCB}"/>
    <cellStyle name="Percentuale 45 3 4" xfId="4428" xr:uid="{5BB8571F-E019-4ECA-84AB-DB50FD8C7ED6}"/>
    <cellStyle name="Percentuale 45 3 4 2" xfId="13816" xr:uid="{C76B0E1C-EBF3-4307-AE8A-F61EB2A4ADE4}"/>
    <cellStyle name="Percentuale 45 3 4 3" xfId="29009" xr:uid="{E14642B6-A061-45C5-848A-A008A22AB45A}"/>
    <cellStyle name="Percentuale 45 3 5" xfId="11203" xr:uid="{B0DE83D3-31FE-4280-AC6A-B86AEE7F302F}"/>
    <cellStyle name="Percentuale 45 3 5 2" xfId="29010" xr:uid="{49C57C73-0895-4703-A8B0-244B3CABD844}"/>
    <cellStyle name="Percentuale 45 3 6" xfId="29011" xr:uid="{AC79D013-F582-4D51-ADFB-952FF57E1A13}"/>
    <cellStyle name="Percentuale 45 3 6 2" xfId="49308" xr:uid="{F5F8B432-367E-432B-A6BD-E3EB241051CD}"/>
    <cellStyle name="Percentuale 45 3 7" xfId="29012" xr:uid="{60FB4CEA-1028-4E6B-9A5A-CB224EED81DF}"/>
    <cellStyle name="Percentuale 45 3 8" xfId="28999" xr:uid="{1E8F2668-4492-44DF-8F19-D3CE86E84FD0}"/>
    <cellStyle name="Percentuale 45 4" xfId="2429" xr:uid="{00000000-0005-0000-0000-000003090000}"/>
    <cellStyle name="Percentuale 45 4 2" xfId="2430" xr:uid="{00000000-0005-0000-0000-000004090000}"/>
    <cellStyle name="Percentuale 45 4 2 2" xfId="9516" xr:uid="{F6BF10AF-C135-47EF-8EA0-C9278AF09777}"/>
    <cellStyle name="Percentuale 45 4 2 2 2" xfId="29015" xr:uid="{846E4EC1-382B-4931-A732-3E1DDA4F82D2}"/>
    <cellStyle name="Percentuale 45 4 2 3" xfId="17941" xr:uid="{3BDFFACA-CFBB-486A-8301-A6BC2BAAE187}"/>
    <cellStyle name="Percentuale 45 4 2 3 2" xfId="29016" xr:uid="{148A0800-A217-465C-93AF-77C4F985589B}"/>
    <cellStyle name="Percentuale 45 4 2 4" xfId="29014" xr:uid="{CF9C8E53-32CF-4F21-A758-2E4266EA4A2F}"/>
    <cellStyle name="Percentuale 45 4 2 5" xfId="17551" xr:uid="{7DBAD6EC-E9D5-4EE1-BBD9-D76E215D4050}"/>
    <cellStyle name="Percentuale 45 4 3" xfId="9517" xr:uid="{E803BDBB-8E14-4956-9C10-C7059F2E4A0E}"/>
    <cellStyle name="Percentuale 45 4 3 2" xfId="29017" xr:uid="{B9F41D8E-4127-48DC-87F3-BB79D3751539}"/>
    <cellStyle name="Percentuale 45 4 4" xfId="29018" xr:uid="{3D5DAE6A-5BF5-41C5-AB21-78FF860D837B}"/>
    <cellStyle name="Percentuale 45 4 5" xfId="29019" xr:uid="{EE15FEAB-5212-4257-BD9A-C66EFD1142C9}"/>
    <cellStyle name="Percentuale 45 4 5 2" xfId="49309" xr:uid="{16BEAC75-5582-4BF9-8CB6-02A0375976EF}"/>
    <cellStyle name="Percentuale 45 4 6" xfId="29020" xr:uid="{DF6C19C7-06A7-4095-8C9C-C0E6DAE79E7B}"/>
    <cellStyle name="Percentuale 45 4 7" xfId="29013" xr:uid="{45961DFB-DE3C-4E9F-A981-05592D23C5E3}"/>
    <cellStyle name="Percentuale 45 5" xfId="2431" xr:uid="{00000000-0005-0000-0000-000005090000}"/>
    <cellStyle name="Percentuale 45 5 2" xfId="29022" xr:uid="{DA7C6D52-2E25-4141-9E9B-B162C0610722}"/>
    <cellStyle name="Percentuale 45 5 3" xfId="29023" xr:uid="{DA3F05DF-E2FB-45D0-93C2-B7B5297AEAC7}"/>
    <cellStyle name="Percentuale 45 5 3 2" xfId="49310" xr:uid="{C848FBD1-DAA3-4BE1-839B-DC799799784B}"/>
    <cellStyle name="Percentuale 45 5 4" xfId="29024" xr:uid="{DAE1852D-ABB9-4AAC-A398-DDBC1A1560CC}"/>
    <cellStyle name="Percentuale 45 5 5" xfId="29021" xr:uid="{24AE38BD-BF36-4D41-961E-073019DBE7FC}"/>
    <cellStyle name="Percentuale 45 6" xfId="4429" xr:uid="{6B6FC2EC-4E3B-4694-87EE-C57F7995C6E3}"/>
    <cellStyle name="Percentuale 45 6 2" xfId="9850" xr:uid="{99D2BCFC-76F7-47D2-A95F-73C0DD8DADF6}"/>
    <cellStyle name="Percentuale 45 6 3" xfId="29025" xr:uid="{1C96D005-3407-4A50-94DA-526004DAE926}"/>
    <cellStyle name="Percentuale 45 7" xfId="29026" xr:uid="{D259D6ED-AF11-43A1-8230-9482C7BDBBAB}"/>
    <cellStyle name="Percentuale 45 7 2" xfId="49311" xr:uid="{B110F94C-BA82-42E1-AE0D-9914318DD1B8}"/>
    <cellStyle name="Percentuale 45 8" xfId="28993" xr:uid="{C5E1126F-E41D-4DFE-8707-1FF0D0CE06BE}"/>
    <cellStyle name="Percentuale 46" xfId="1130" xr:uid="{00000000-0005-0000-0000-000006090000}"/>
    <cellStyle name="Percentuale 46 2" xfId="1131" xr:uid="{00000000-0005-0000-0000-000007090000}"/>
    <cellStyle name="Percentuale 46 2 2" xfId="4430" xr:uid="{760EA28B-5463-43A2-ABD6-FE37E8F0006C}"/>
    <cellStyle name="Percentuale 46 2 2 2" xfId="13602" xr:uid="{BF1F56AC-8CE0-46A7-8AD5-C7E8E8117D46}"/>
    <cellStyle name="Percentuale 46 2 2 3" xfId="29029" xr:uid="{3E2F591A-D073-4982-A436-34C1C425CD34}"/>
    <cellStyle name="Percentuale 46 2 3" xfId="13340" xr:uid="{9DC5A05E-769A-4B10-B161-06CB4D00E97D}"/>
    <cellStyle name="Percentuale 46 2 3 2" xfId="29030" xr:uid="{A8098211-73D8-45C8-90B5-0AE4E365AC5C}"/>
    <cellStyle name="Percentuale 46 2 4" xfId="29031" xr:uid="{681107C9-00FD-42AE-A584-690B426CF108}"/>
    <cellStyle name="Percentuale 46 2 4 2" xfId="49312" xr:uid="{5EDC36EA-F2DD-495E-BB6D-106475008167}"/>
    <cellStyle name="Percentuale 46 2 5" xfId="29032" xr:uid="{62CBD09D-F1F1-43CA-B90B-210381D0C8B0}"/>
    <cellStyle name="Percentuale 46 2 6" xfId="29028" xr:uid="{25B5B29B-D385-4F96-8160-57AA7A9F66C2}"/>
    <cellStyle name="Percentuale 46 3" xfId="1132" xr:uid="{00000000-0005-0000-0000-000008090000}"/>
    <cellStyle name="Percentuale 46 3 2" xfId="1133" xr:uid="{00000000-0005-0000-0000-000009090000}"/>
    <cellStyle name="Percentuale 46 3 2 2" xfId="2432" xr:uid="{00000000-0005-0000-0000-00000A090000}"/>
    <cellStyle name="Percentuale 46 3 2 2 2" xfId="29036" xr:uid="{6AC4E7E6-1D06-4D7D-943F-62081D02B527}"/>
    <cellStyle name="Percentuale 46 3 2 2 3" xfId="29035" xr:uid="{D0D798A3-EA80-4EF0-B096-DAECF6F5F75A}"/>
    <cellStyle name="Percentuale 46 3 2 3" xfId="8157" xr:uid="{5A07E548-3E99-4909-98BD-7FF2587D498A}"/>
    <cellStyle name="Percentuale 46 3 2 3 2" xfId="14156" xr:uid="{2DF274B7-FAAE-4EED-A404-86C35FB87A43}"/>
    <cellStyle name="Percentuale 46 3 2 3 3" xfId="29037" xr:uid="{A0F10008-F805-4BD7-90B1-84EDB04078B6}"/>
    <cellStyle name="Percentuale 46 3 2 3 4" xfId="49313" xr:uid="{73A8929A-72DF-4070-808E-645C7B278805}"/>
    <cellStyle name="Percentuale 46 3 2 4" xfId="29038" xr:uid="{B386BEC3-BC2E-4A87-BA01-9C08A4BEC02B}"/>
    <cellStyle name="Percentuale 46 3 2 5" xfId="29034" xr:uid="{A8A74470-BB61-4673-973E-85260001EA18}"/>
    <cellStyle name="Percentuale 46 3 3" xfId="4431" xr:uid="{DC23AB04-9F3F-424C-8D3E-403E4A7BB693}"/>
    <cellStyle name="Percentuale 46 3 3 2" xfId="9518" xr:uid="{E2FD4E03-6418-4B41-8B6F-FDFF02B1032A}"/>
    <cellStyle name="Percentuale 46 3 3 2 2" xfId="29040" xr:uid="{CF083F71-C218-477E-AC31-6A414D5C71EB}"/>
    <cellStyle name="Percentuale 46 3 3 3" xfId="29041" xr:uid="{B2135A4F-739F-4924-82E6-093A583EF4C4}"/>
    <cellStyle name="Percentuale 46 3 3 4" xfId="29042" xr:uid="{E979CFD3-8EF3-4979-9809-E9E8E90B562D}"/>
    <cellStyle name="Percentuale 46 3 3 4 2" xfId="49314" xr:uid="{B1091AB9-ACE2-44D6-8E12-85A9CC12720D}"/>
    <cellStyle name="Percentuale 46 3 3 5" xfId="29039" xr:uid="{BBA112A8-FA49-4573-88BE-672E0EDCF09A}"/>
    <cellStyle name="Percentuale 46 3 4" xfId="4432" xr:uid="{30F39DA6-2623-4291-8B3B-B27974246976}"/>
    <cellStyle name="Percentuale 46 3 4 2" xfId="13817" xr:uid="{88DE6C24-1A36-4F14-962B-E526A5BF97BC}"/>
    <cellStyle name="Percentuale 46 3 4 3" xfId="29043" xr:uid="{48C4CECC-E2ED-4529-8AB6-99D827863FAE}"/>
    <cellStyle name="Percentuale 46 3 5" xfId="11521" xr:uid="{F65B4C11-2E67-42AD-A96E-FB0ECACCC6A7}"/>
    <cellStyle name="Percentuale 46 3 5 2" xfId="29044" xr:uid="{E40B4FC0-AF3C-44D9-B87B-39791F9A83C5}"/>
    <cellStyle name="Percentuale 46 3 6" xfId="29045" xr:uid="{EB3C09A5-0EBA-4EC2-9AE0-3D0AC1FD7CC0}"/>
    <cellStyle name="Percentuale 46 3 6 2" xfId="49315" xr:uid="{6B6E5AF9-91CD-4E34-A2AE-3054A73679B0}"/>
    <cellStyle name="Percentuale 46 3 7" xfId="29046" xr:uid="{A39333CD-852D-439C-B8E7-2BFC9C036A73}"/>
    <cellStyle name="Percentuale 46 3 8" xfId="29033" xr:uid="{7A3A053E-136D-4491-8560-2E05D4BC8BD5}"/>
    <cellStyle name="Percentuale 46 4" xfId="2433" xr:uid="{00000000-0005-0000-0000-00000B090000}"/>
    <cellStyle name="Percentuale 46 4 2" xfId="2434" xr:uid="{00000000-0005-0000-0000-00000C090000}"/>
    <cellStyle name="Percentuale 46 4 2 2" xfId="9519" xr:uid="{526B5DA0-9640-43C2-A1F9-7352F94DF235}"/>
    <cellStyle name="Percentuale 46 4 2 2 2" xfId="29049" xr:uid="{AE91218C-528C-4480-A443-C742D7639698}"/>
    <cellStyle name="Percentuale 46 4 2 3" xfId="17942" xr:uid="{03750392-5220-4140-A2F7-8A64196508CF}"/>
    <cellStyle name="Percentuale 46 4 2 3 2" xfId="29050" xr:uid="{A5937DD5-A521-4DC2-95F2-711F6896B2CD}"/>
    <cellStyle name="Percentuale 46 4 2 4" xfId="29048" xr:uid="{EF981987-D5E0-46F2-AB07-41AAA7EFD94A}"/>
    <cellStyle name="Percentuale 46 4 2 5" xfId="17552" xr:uid="{96BF313B-E5BC-467E-A4DB-52FE10B3FBDC}"/>
    <cellStyle name="Percentuale 46 4 3" xfId="9520" xr:uid="{5B0D6300-BFA7-4731-A757-30B25F846725}"/>
    <cellStyle name="Percentuale 46 4 3 2" xfId="29051" xr:uid="{C6C8EE6E-48CD-46E7-A765-D2996C8C57FE}"/>
    <cellStyle name="Percentuale 46 4 4" xfId="29052" xr:uid="{269786D8-685A-42EA-A595-952800A9AC53}"/>
    <cellStyle name="Percentuale 46 4 5" xfId="29053" xr:uid="{01829D03-22FC-44CC-937B-79B0837CD475}"/>
    <cellStyle name="Percentuale 46 4 5 2" xfId="49316" xr:uid="{4F5FA041-DEA8-4C88-AC4E-21556210D982}"/>
    <cellStyle name="Percentuale 46 4 6" xfId="29054" xr:uid="{D6DBB4AB-9E75-425C-9DEA-24D2CA5E7FF2}"/>
    <cellStyle name="Percentuale 46 4 7" xfId="29047" xr:uid="{5632EDA8-CDBC-4E9B-A1FC-EEC0FE0A543A}"/>
    <cellStyle name="Percentuale 46 5" xfId="2435" xr:uid="{00000000-0005-0000-0000-00000D090000}"/>
    <cellStyle name="Percentuale 46 5 2" xfId="29056" xr:uid="{34F62755-4BA7-4ACF-A557-682D5423D5F8}"/>
    <cellStyle name="Percentuale 46 5 3" xfId="29057" xr:uid="{4D033A61-94AD-4E4B-8C06-08C775A2387B}"/>
    <cellStyle name="Percentuale 46 5 3 2" xfId="49317" xr:uid="{B4963436-A30D-44FD-885C-765E4211B55E}"/>
    <cellStyle name="Percentuale 46 5 4" xfId="29058" xr:uid="{1C1F6DE9-B9ED-4916-8408-FBEB49A8B411}"/>
    <cellStyle name="Percentuale 46 5 5" xfId="29055" xr:uid="{97CC3DE1-48B5-4CB7-8F22-12BB9E964919}"/>
    <cellStyle name="Percentuale 46 6" xfId="4433" xr:uid="{096CDA77-F88D-4010-9CF9-5C6A606516B0}"/>
    <cellStyle name="Percentuale 46 6 2" xfId="9851" xr:uid="{4BE1618F-8547-46F8-9C92-F5AC0D471D55}"/>
    <cellStyle name="Percentuale 46 6 3" xfId="29059" xr:uid="{F623EE93-D55E-46CB-9D5C-07A8A64BCDF0}"/>
    <cellStyle name="Percentuale 46 7" xfId="29060" xr:uid="{2FA2AD59-8910-4B43-9B05-AA19110A38D6}"/>
    <cellStyle name="Percentuale 46 7 2" xfId="49318" xr:uid="{20E2CCEC-7BB1-47B1-881E-D65C48E116E5}"/>
    <cellStyle name="Percentuale 46 8" xfId="29027" xr:uid="{81D86B5C-9D90-44D3-8678-E651DB07D3D8}"/>
    <cellStyle name="Percentuale 47" xfId="1134" xr:uid="{00000000-0005-0000-0000-00000E090000}"/>
    <cellStyle name="Percentuale 47 2" xfId="1135" xr:uid="{00000000-0005-0000-0000-00000F090000}"/>
    <cellStyle name="Percentuale 47 2 2" xfId="4434" xr:uid="{B094009C-E68A-4037-9076-C8AAAED39F30}"/>
    <cellStyle name="Percentuale 47 2 2 2" xfId="13603" xr:uid="{1C3FC2CA-6DE6-4DAB-BE0D-19CF6158B7EA}"/>
    <cellStyle name="Percentuale 47 2 2 3" xfId="29063" xr:uid="{3C85D6BB-0887-4EF3-A881-D411AB7DCC03}"/>
    <cellStyle name="Percentuale 47 2 3" xfId="13341" xr:uid="{DD27CBC5-33B6-445C-95EF-2A75C12F9EFF}"/>
    <cellStyle name="Percentuale 47 2 3 2" xfId="29064" xr:uid="{52933239-A5FD-4044-825C-1CF80F77329A}"/>
    <cellStyle name="Percentuale 47 2 4" xfId="29065" xr:uid="{F16A62D0-F35A-47C0-B8DD-8A391093359F}"/>
    <cellStyle name="Percentuale 47 2 4 2" xfId="49319" xr:uid="{74FBB63D-FE85-4644-8291-C3E83A5459F1}"/>
    <cellStyle name="Percentuale 47 2 5" xfId="29066" xr:uid="{AC211E2E-04D8-4521-8C50-7E31AF7C47FC}"/>
    <cellStyle name="Percentuale 47 2 6" xfId="29062" xr:uid="{ACE5EDAC-BCC1-42E8-9C09-66FF6F1F1986}"/>
    <cellStyle name="Percentuale 47 3" xfId="1136" xr:uid="{00000000-0005-0000-0000-000010090000}"/>
    <cellStyle name="Percentuale 47 3 2" xfId="1137" xr:uid="{00000000-0005-0000-0000-000011090000}"/>
    <cellStyle name="Percentuale 47 3 2 2" xfId="2436" xr:uid="{00000000-0005-0000-0000-000012090000}"/>
    <cellStyle name="Percentuale 47 3 2 2 2" xfId="29070" xr:uid="{F9928B33-E390-4946-8628-C87C3FD7E0D9}"/>
    <cellStyle name="Percentuale 47 3 2 2 3" xfId="29069" xr:uid="{F9EA3678-4580-4A87-8CF4-C22FD4C0876B}"/>
    <cellStyle name="Percentuale 47 3 2 3" xfId="8158" xr:uid="{9E8FE9F2-76D2-46BE-B712-5A32D68A0C2D}"/>
    <cellStyle name="Percentuale 47 3 2 3 2" xfId="14157" xr:uid="{F7EB08EF-D1AC-4981-9CC7-48D2DE3F6FA5}"/>
    <cellStyle name="Percentuale 47 3 2 3 3" xfId="29071" xr:uid="{CEBB26A3-680B-47CA-A9F5-D208D4B02274}"/>
    <cellStyle name="Percentuale 47 3 2 3 4" xfId="49320" xr:uid="{C73714B9-5219-41A5-9605-DF283308B470}"/>
    <cellStyle name="Percentuale 47 3 2 4" xfId="29072" xr:uid="{FDBCA576-FF31-42FD-81F3-BDB5C17E9F6B}"/>
    <cellStyle name="Percentuale 47 3 2 5" xfId="29068" xr:uid="{99CEC83B-BA01-4FA9-B386-900F02BCBA91}"/>
    <cellStyle name="Percentuale 47 3 3" xfId="4435" xr:uid="{F022C333-ADCA-425B-B780-900E1C5D78B0}"/>
    <cellStyle name="Percentuale 47 3 3 2" xfId="9521" xr:uid="{357FEDB5-7D90-45F3-8901-D1FAF27F7957}"/>
    <cellStyle name="Percentuale 47 3 3 2 2" xfId="29074" xr:uid="{AC4B5F5D-045A-4E0A-ADF9-3C9EE695A355}"/>
    <cellStyle name="Percentuale 47 3 3 3" xfId="29075" xr:uid="{0EB8A82E-60B0-4A96-BE0D-5DD97BED703B}"/>
    <cellStyle name="Percentuale 47 3 3 4" xfId="29076" xr:uid="{ABE74CED-2C51-4CD4-9592-22CAAF846D63}"/>
    <cellStyle name="Percentuale 47 3 3 4 2" xfId="49321" xr:uid="{543FB6DC-1E50-434D-B5EC-B238BEB8296B}"/>
    <cellStyle name="Percentuale 47 3 3 5" xfId="29073" xr:uid="{37BC65B4-2289-490A-9C9F-BF50B4F97272}"/>
    <cellStyle name="Percentuale 47 3 4" xfId="4436" xr:uid="{AF0E532D-853F-4522-A12D-E68A9EB97769}"/>
    <cellStyle name="Percentuale 47 3 4 2" xfId="13818" xr:uid="{5A10E945-E278-44E4-8F06-E79D1EA3E4C5}"/>
    <cellStyle name="Percentuale 47 3 4 3" xfId="29077" xr:uid="{B09703DC-63A0-4772-8489-4669EFC5BE81}"/>
    <cellStyle name="Percentuale 47 3 5" xfId="11166" xr:uid="{9D4A0221-A6EC-447F-B906-5384981FBE83}"/>
    <cellStyle name="Percentuale 47 3 5 2" xfId="29078" xr:uid="{D2AC110F-C783-452A-8C11-93E48F001491}"/>
    <cellStyle name="Percentuale 47 3 6" xfId="29079" xr:uid="{60C396E8-B0AB-48A9-B1F4-447ED68C8748}"/>
    <cellStyle name="Percentuale 47 3 6 2" xfId="49322" xr:uid="{5E17BD42-FAD2-4FB5-869A-60456C2B18F0}"/>
    <cellStyle name="Percentuale 47 3 7" xfId="29080" xr:uid="{1FAC1BBA-51BE-4CA8-AF5D-D1014C9E7463}"/>
    <cellStyle name="Percentuale 47 3 8" xfId="29067" xr:uid="{1982E6D7-634B-4AA2-8182-35449038C836}"/>
    <cellStyle name="Percentuale 47 4" xfId="2437" xr:uid="{00000000-0005-0000-0000-000013090000}"/>
    <cellStyle name="Percentuale 47 4 2" xfId="2438" xr:uid="{00000000-0005-0000-0000-000014090000}"/>
    <cellStyle name="Percentuale 47 4 2 2" xfId="9522" xr:uid="{AE46DECF-E2DE-4D22-B852-8B24F62A2310}"/>
    <cellStyle name="Percentuale 47 4 2 2 2" xfId="29083" xr:uid="{63855FA0-DB4B-47BB-9ADB-F23DB56D557B}"/>
    <cellStyle name="Percentuale 47 4 2 3" xfId="17943" xr:uid="{EF531589-7D34-48FD-96E0-032A630CAB25}"/>
    <cellStyle name="Percentuale 47 4 2 3 2" xfId="29084" xr:uid="{1CF2EC0A-FF12-4061-BD8D-46EC567001D4}"/>
    <cellStyle name="Percentuale 47 4 2 4" xfId="29082" xr:uid="{B3E584D4-64A4-41D8-A533-5DDD17E441CF}"/>
    <cellStyle name="Percentuale 47 4 2 5" xfId="17553" xr:uid="{41E0B2B7-C126-458E-8A21-D5CF8E67C878}"/>
    <cellStyle name="Percentuale 47 4 3" xfId="9523" xr:uid="{FE240EAD-E656-4CB2-87B5-5BBC10DA87A0}"/>
    <cellStyle name="Percentuale 47 4 3 2" xfId="29085" xr:uid="{D943FF66-B037-4E2E-BE04-3B8A28E926A4}"/>
    <cellStyle name="Percentuale 47 4 4" xfId="29086" xr:uid="{146D33A0-DDA3-4641-B6A6-7FB976865787}"/>
    <cellStyle name="Percentuale 47 4 5" xfId="29087" xr:uid="{9E79FB15-C55C-447A-A812-E577624313F4}"/>
    <cellStyle name="Percentuale 47 4 5 2" xfId="49323" xr:uid="{4399245C-455E-4AA7-BDDA-6649615F0BC6}"/>
    <cellStyle name="Percentuale 47 4 6" xfId="29088" xr:uid="{2EE92947-50EE-406D-BE59-3069B72CD373}"/>
    <cellStyle name="Percentuale 47 4 7" xfId="29081" xr:uid="{E4E119CB-1DDF-40DB-A91D-3ADD77C945BE}"/>
    <cellStyle name="Percentuale 47 5" xfId="2439" xr:uid="{00000000-0005-0000-0000-000015090000}"/>
    <cellStyle name="Percentuale 47 5 2" xfId="29090" xr:uid="{E864FCB7-A47A-47DD-868A-8C54ECE8ABA0}"/>
    <cellStyle name="Percentuale 47 5 3" xfId="29091" xr:uid="{A6DB08C9-D0E2-4172-B745-9CDD9BF3D8C5}"/>
    <cellStyle name="Percentuale 47 5 3 2" xfId="49324" xr:uid="{B3D1165D-F6EF-4D7D-8363-EFF13398C23F}"/>
    <cellStyle name="Percentuale 47 5 4" xfId="29092" xr:uid="{845B9A57-17A4-431E-A0CE-A5BC1188C790}"/>
    <cellStyle name="Percentuale 47 5 5" xfId="29089" xr:uid="{14DBDBFB-6AE9-47EC-B22F-9FFDFC928962}"/>
    <cellStyle name="Percentuale 47 6" xfId="4437" xr:uid="{7360B186-F4AA-4A6C-8487-02465BE41720}"/>
    <cellStyle name="Percentuale 47 6 2" xfId="9852" xr:uid="{A3D8DD0D-3D58-4DC8-B6B1-9A3FDF41F6BB}"/>
    <cellStyle name="Percentuale 47 6 3" xfId="29093" xr:uid="{D1553C20-E95E-4D65-B3D2-F77AB0A37F8C}"/>
    <cellStyle name="Percentuale 47 7" xfId="29094" xr:uid="{15342A06-60E1-42FB-9123-A1840F99A4C2}"/>
    <cellStyle name="Percentuale 47 7 2" xfId="49325" xr:uid="{73B8FAE9-FA4B-452E-95AB-0F9B6AD0AABD}"/>
    <cellStyle name="Percentuale 47 8" xfId="29061" xr:uid="{007B9302-4096-4FD3-ADE0-01B27497BB4F}"/>
    <cellStyle name="Percentuale 48" xfId="1138" xr:uid="{00000000-0005-0000-0000-000016090000}"/>
    <cellStyle name="Percentuale 48 2" xfId="1139" xr:uid="{00000000-0005-0000-0000-000017090000}"/>
    <cellStyle name="Percentuale 48 2 2" xfId="4438" xr:uid="{726D400F-8AAB-4727-B0FD-CED49B17E748}"/>
    <cellStyle name="Percentuale 48 2 2 2" xfId="13604" xr:uid="{0E4DC948-3A13-4F5B-9498-550B18DE8645}"/>
    <cellStyle name="Percentuale 48 2 2 3" xfId="29097" xr:uid="{135728F5-3571-4902-87BE-C1F17C2EB57B}"/>
    <cellStyle name="Percentuale 48 2 3" xfId="13342" xr:uid="{EAF70912-C57D-4DDE-88DB-AC817DDD1530}"/>
    <cellStyle name="Percentuale 48 2 3 2" xfId="29098" xr:uid="{92CFB495-A038-489C-BDBA-E9D4B92555F5}"/>
    <cellStyle name="Percentuale 48 2 4" xfId="29099" xr:uid="{7358E7FB-8A56-4B6D-B6C6-EBB78C4EEDB1}"/>
    <cellStyle name="Percentuale 48 2 4 2" xfId="49326" xr:uid="{FFA987D4-9DCD-4945-98AD-1E9D9CF52217}"/>
    <cellStyle name="Percentuale 48 2 5" xfId="29100" xr:uid="{947670E7-4ADA-4B40-AE1F-153A264EA1A1}"/>
    <cellStyle name="Percentuale 48 2 6" xfId="29096" xr:uid="{B021DD08-2419-4760-B92B-E8C4FF4EE66E}"/>
    <cellStyle name="Percentuale 48 3" xfId="1140" xr:uid="{00000000-0005-0000-0000-000018090000}"/>
    <cellStyle name="Percentuale 48 3 2" xfId="1141" xr:uid="{00000000-0005-0000-0000-000019090000}"/>
    <cellStyle name="Percentuale 48 3 2 2" xfId="2440" xr:uid="{00000000-0005-0000-0000-00001A090000}"/>
    <cellStyle name="Percentuale 48 3 2 2 2" xfId="29104" xr:uid="{6FF85950-8BE1-49DA-93E9-4DE3CB2F0EE5}"/>
    <cellStyle name="Percentuale 48 3 2 2 3" xfId="29103" xr:uid="{BFC1FC00-A207-44B8-8786-D795708C38E2}"/>
    <cellStyle name="Percentuale 48 3 2 3" xfId="8159" xr:uid="{5859D02E-5A21-47C3-AC7D-F036987EE756}"/>
    <cellStyle name="Percentuale 48 3 2 3 2" xfId="14158" xr:uid="{699CC89C-6E5A-40C2-929B-F4F8EFAE5C21}"/>
    <cellStyle name="Percentuale 48 3 2 3 3" xfId="29105" xr:uid="{420CA379-D040-4157-8EE7-56496B80E9E6}"/>
    <cellStyle name="Percentuale 48 3 2 3 4" xfId="49327" xr:uid="{7CB44C46-32CE-4F03-A07C-00C39E3521CD}"/>
    <cellStyle name="Percentuale 48 3 2 4" xfId="29106" xr:uid="{7A5BCB40-CB42-4EFE-8DBB-3779E1A6109F}"/>
    <cellStyle name="Percentuale 48 3 2 5" xfId="29102" xr:uid="{F8D1F09D-BFA5-4386-A788-A1B05ADBF42D}"/>
    <cellStyle name="Percentuale 48 3 3" xfId="4439" xr:uid="{A6436C44-8D95-41B5-9996-51064F542FE6}"/>
    <cellStyle name="Percentuale 48 3 3 2" xfId="9524" xr:uid="{E80F94CF-35EB-45AF-9383-7F42D086721E}"/>
    <cellStyle name="Percentuale 48 3 3 2 2" xfId="29108" xr:uid="{5DD562D3-626A-455F-B9E2-A4A2EEAFE5AD}"/>
    <cellStyle name="Percentuale 48 3 3 3" xfId="29109" xr:uid="{D8F2F02E-383E-41F3-A686-171A42FA2F64}"/>
    <cellStyle name="Percentuale 48 3 3 4" xfId="29110" xr:uid="{58B851DF-693E-4C1D-A012-2FBD57922233}"/>
    <cellStyle name="Percentuale 48 3 3 4 2" xfId="49328" xr:uid="{E2113F52-7573-48B4-AAC1-8157526C9110}"/>
    <cellStyle name="Percentuale 48 3 3 5" xfId="29107" xr:uid="{FB7F2A3C-0BA5-492E-AD24-10F17DDA5FD5}"/>
    <cellStyle name="Percentuale 48 3 4" xfId="4440" xr:uid="{C5EA6DBE-E426-499E-A3B3-1B7451E8C5FE}"/>
    <cellStyle name="Percentuale 48 3 4 2" xfId="13819" xr:uid="{B501E471-1319-4148-9A40-60B8F3D5EB2D}"/>
    <cellStyle name="Percentuale 48 3 4 3" xfId="29111" xr:uid="{3D54B192-D29B-4DF7-9CB6-BE15C58ACF5C}"/>
    <cellStyle name="Percentuale 48 3 5" xfId="11504" xr:uid="{44F0054C-0116-4DFD-8EC7-157DD7BF8CC4}"/>
    <cellStyle name="Percentuale 48 3 5 2" xfId="29112" xr:uid="{496D2114-2C12-4CCB-A845-929B05209968}"/>
    <cellStyle name="Percentuale 48 3 6" xfId="29113" xr:uid="{0B07FB00-15A0-4625-8A7C-BE5F80009FFF}"/>
    <cellStyle name="Percentuale 48 3 6 2" xfId="49329" xr:uid="{D1E31ADE-320E-4256-AE2D-0EB46CED943C}"/>
    <cellStyle name="Percentuale 48 3 7" xfId="29114" xr:uid="{EFC1671E-F030-4A42-BC32-6311B20409C7}"/>
    <cellStyle name="Percentuale 48 3 8" xfId="29101" xr:uid="{F82D2FDB-50B6-413C-8FF6-BC1BAC69D185}"/>
    <cellStyle name="Percentuale 48 4" xfId="2441" xr:uid="{00000000-0005-0000-0000-00001B090000}"/>
    <cellStyle name="Percentuale 48 4 2" xfId="2442" xr:uid="{00000000-0005-0000-0000-00001C090000}"/>
    <cellStyle name="Percentuale 48 4 2 2" xfId="9525" xr:uid="{D6C684F7-D6CE-45C3-A128-532EE0EBD194}"/>
    <cellStyle name="Percentuale 48 4 2 2 2" xfId="29117" xr:uid="{5BC23194-D933-471F-8C8E-FE92D5360426}"/>
    <cellStyle name="Percentuale 48 4 2 3" xfId="17944" xr:uid="{C52D1AE8-13A9-4D19-967B-9A34712EA080}"/>
    <cellStyle name="Percentuale 48 4 2 3 2" xfId="29118" xr:uid="{F1EFD1F9-EBB2-412E-A63A-CA1BBF0DC015}"/>
    <cellStyle name="Percentuale 48 4 2 4" xfId="29116" xr:uid="{83D4A21E-E58C-4A48-BEAB-9E1BFA2D38B9}"/>
    <cellStyle name="Percentuale 48 4 2 5" xfId="17554" xr:uid="{F3E38C3A-CBB8-4360-8C71-8704F5D59E12}"/>
    <cellStyle name="Percentuale 48 4 3" xfId="9526" xr:uid="{B020DC18-5186-4ADC-8122-CC85347266AC}"/>
    <cellStyle name="Percentuale 48 4 3 2" xfId="29119" xr:uid="{FADE11B4-42C8-4C8C-B645-196110A54155}"/>
    <cellStyle name="Percentuale 48 4 4" xfId="29120" xr:uid="{E493EE47-CDE8-4112-814D-3EC9DC3C34AE}"/>
    <cellStyle name="Percentuale 48 4 5" xfId="29121" xr:uid="{B5B44935-4C54-45DE-BE48-0FEACD8E6FAB}"/>
    <cellStyle name="Percentuale 48 4 5 2" xfId="49330" xr:uid="{DDF5FE1D-D418-4E71-895D-FFBA828B20D6}"/>
    <cellStyle name="Percentuale 48 4 6" xfId="29122" xr:uid="{9CDC4226-C30E-408F-AD7B-12229733FD98}"/>
    <cellStyle name="Percentuale 48 4 7" xfId="29115" xr:uid="{B848368D-EC58-47DE-BAE3-C914959B5EA8}"/>
    <cellStyle name="Percentuale 48 5" xfId="2443" xr:uid="{00000000-0005-0000-0000-00001D090000}"/>
    <cellStyle name="Percentuale 48 5 2" xfId="29124" xr:uid="{1AA28D7E-C1A8-45DF-AF32-F30EF0F7924B}"/>
    <cellStyle name="Percentuale 48 5 3" xfId="29125" xr:uid="{23C60DD3-741E-4A4F-B328-97EBE85D0F2C}"/>
    <cellStyle name="Percentuale 48 5 3 2" xfId="49331" xr:uid="{940DDA41-496A-49D2-BEB1-3A1799792183}"/>
    <cellStyle name="Percentuale 48 5 4" xfId="29126" xr:uid="{2A4313E8-B600-4C0E-A67C-E3B8A598C1E1}"/>
    <cellStyle name="Percentuale 48 5 5" xfId="29123" xr:uid="{8AF5E8B3-1B46-432A-9AD2-E3F991785AEA}"/>
    <cellStyle name="Percentuale 48 6" xfId="4441" xr:uid="{7267F761-77BB-4BE3-9ED5-46A589F9F548}"/>
    <cellStyle name="Percentuale 48 6 2" xfId="9853" xr:uid="{D86AED23-3DB2-420C-A064-DA753D7B1F8D}"/>
    <cellStyle name="Percentuale 48 6 3" xfId="29127" xr:uid="{8607C9ED-5269-4374-9AE7-659476188221}"/>
    <cellStyle name="Percentuale 48 7" xfId="29128" xr:uid="{A0C57FCB-0788-4D15-A91F-C987B80A4C54}"/>
    <cellStyle name="Percentuale 48 7 2" xfId="49332" xr:uid="{FF2FFC2C-914A-4D7D-B412-C9F4D123E2CB}"/>
    <cellStyle name="Percentuale 48 8" xfId="29095" xr:uid="{025FA5AC-8937-48F7-B8ED-C8AA218FCE5B}"/>
    <cellStyle name="Percentuale 49" xfId="1142" xr:uid="{00000000-0005-0000-0000-00001E090000}"/>
    <cellStyle name="Percentuale 49 2" xfId="1143" xr:uid="{00000000-0005-0000-0000-00001F090000}"/>
    <cellStyle name="Percentuale 49 2 2" xfId="4442" xr:uid="{56C6A778-CCEC-4924-96BD-BF5B699F9CBC}"/>
    <cellStyle name="Percentuale 49 2 2 2" xfId="13605" xr:uid="{5F90D7CF-AA64-403E-91A0-7E81BAB2168A}"/>
    <cellStyle name="Percentuale 49 2 2 3" xfId="29131" xr:uid="{5C1BAEDF-1C6A-4989-BC80-2F5EEA7DCDE9}"/>
    <cellStyle name="Percentuale 49 2 3" xfId="13343" xr:uid="{D4C6D712-E34C-4E87-9000-F6110E3F8624}"/>
    <cellStyle name="Percentuale 49 2 3 2" xfId="29132" xr:uid="{2C880F9B-D980-4A93-8C0D-274D4ED91D33}"/>
    <cellStyle name="Percentuale 49 2 4" xfId="29133" xr:uid="{55F10094-9666-477F-9C11-FE28EDBE96F5}"/>
    <cellStyle name="Percentuale 49 2 4 2" xfId="49333" xr:uid="{932E46F2-72A0-4195-93DD-7CE36EC39DD5}"/>
    <cellStyle name="Percentuale 49 2 5" xfId="29134" xr:uid="{FA555B64-6321-481C-ACD2-CBCBF2FE4571}"/>
    <cellStyle name="Percentuale 49 2 6" xfId="29130" xr:uid="{F15AFB78-05C8-44F7-902B-3F4CAE0B441E}"/>
    <cellStyle name="Percentuale 49 3" xfId="1144" xr:uid="{00000000-0005-0000-0000-000020090000}"/>
    <cellStyle name="Percentuale 49 3 2" xfId="1145" xr:uid="{00000000-0005-0000-0000-000021090000}"/>
    <cellStyle name="Percentuale 49 3 2 2" xfId="2444" xr:uid="{00000000-0005-0000-0000-000022090000}"/>
    <cellStyle name="Percentuale 49 3 2 2 2" xfId="29138" xr:uid="{862B8CF0-151E-4F47-87CE-4669ABC0BEAC}"/>
    <cellStyle name="Percentuale 49 3 2 2 3" xfId="29137" xr:uid="{DF55E67B-182F-4E9A-A17E-FD4D96100475}"/>
    <cellStyle name="Percentuale 49 3 2 3" xfId="8160" xr:uid="{E439E632-DE93-40CA-81DA-AAC77EC19ABE}"/>
    <cellStyle name="Percentuale 49 3 2 3 2" xfId="14159" xr:uid="{4A8F5A4B-E507-4C82-8EE3-344E6B3A5668}"/>
    <cellStyle name="Percentuale 49 3 2 3 3" xfId="29139" xr:uid="{90CACB0B-EB53-42D5-BFB9-E55F30DF864D}"/>
    <cellStyle name="Percentuale 49 3 2 3 4" xfId="49334" xr:uid="{F3DB2F15-4B9A-4FFF-883C-F20C2E43129A}"/>
    <cellStyle name="Percentuale 49 3 2 4" xfId="29140" xr:uid="{24CCF10A-5A5F-46C4-BFD4-6F74EC1FBB3C}"/>
    <cellStyle name="Percentuale 49 3 2 5" xfId="29136" xr:uid="{5FD14598-D111-40AB-A399-A06052EF91A7}"/>
    <cellStyle name="Percentuale 49 3 3" xfId="4443" xr:uid="{F01A5C83-2823-4E10-9E51-BB8C5677BE26}"/>
    <cellStyle name="Percentuale 49 3 3 2" xfId="9527" xr:uid="{1FC3A8E8-0524-43DE-92A9-01C0DD6D9600}"/>
    <cellStyle name="Percentuale 49 3 3 2 2" xfId="29142" xr:uid="{93D97388-1FCF-4851-BE62-FBD16C6BC1CD}"/>
    <cellStyle name="Percentuale 49 3 3 3" xfId="29143" xr:uid="{E0EBEE13-1680-4ECF-B934-EC4D0AC35725}"/>
    <cellStyle name="Percentuale 49 3 3 4" xfId="29144" xr:uid="{2EAD393C-331F-49F9-B734-8E08F706246A}"/>
    <cellStyle name="Percentuale 49 3 3 4 2" xfId="49335" xr:uid="{87580D06-EF0E-43C1-A53A-47632E7CF21B}"/>
    <cellStyle name="Percentuale 49 3 3 5" xfId="29141" xr:uid="{0D6FBFD7-D93E-43ED-877C-4F675CE1809E}"/>
    <cellStyle name="Percentuale 49 3 4" xfId="4444" xr:uid="{C104C444-6531-4253-BCD2-2567DDBDB7F9}"/>
    <cellStyle name="Percentuale 49 3 4 2" xfId="13820" xr:uid="{7DB9665F-E77A-41CC-B732-FE73A0414042}"/>
    <cellStyle name="Percentuale 49 3 4 3" xfId="29145" xr:uid="{EA09678F-A698-43D5-9275-3815FA635983}"/>
    <cellStyle name="Percentuale 49 3 5" xfId="12305" xr:uid="{29165F3D-AD2D-42DC-BED0-97ABC182E6C1}"/>
    <cellStyle name="Percentuale 49 3 5 2" xfId="29146" xr:uid="{A7CE7877-FF3A-4A76-BF17-88EA1CF6A957}"/>
    <cellStyle name="Percentuale 49 3 6" xfId="29147" xr:uid="{F935082A-9B34-425D-83E2-78ED119C15AE}"/>
    <cellStyle name="Percentuale 49 3 6 2" xfId="49336" xr:uid="{66673B42-C079-4BB6-977A-FC71D71F32C7}"/>
    <cellStyle name="Percentuale 49 3 7" xfId="29148" xr:uid="{36558D95-6A70-40C9-BC57-AD4AD8695047}"/>
    <cellStyle name="Percentuale 49 3 8" xfId="29135" xr:uid="{14EE3A23-7CDB-4EBB-87BD-CD18370EAA3F}"/>
    <cellStyle name="Percentuale 49 4" xfId="2445" xr:uid="{00000000-0005-0000-0000-000023090000}"/>
    <cellStyle name="Percentuale 49 4 2" xfId="2446" xr:uid="{00000000-0005-0000-0000-000024090000}"/>
    <cellStyle name="Percentuale 49 4 2 2" xfId="9528" xr:uid="{3696F445-0D24-4208-905A-DABBA11575A7}"/>
    <cellStyle name="Percentuale 49 4 2 2 2" xfId="29151" xr:uid="{9C634CB0-72C5-4C7D-90B8-5B3F95D0B7FE}"/>
    <cellStyle name="Percentuale 49 4 2 3" xfId="17945" xr:uid="{D26DF829-669B-4845-B2FB-9825A59B5A13}"/>
    <cellStyle name="Percentuale 49 4 2 3 2" xfId="29152" xr:uid="{72933ECF-3DBD-4594-BEE0-6B425BFC8059}"/>
    <cellStyle name="Percentuale 49 4 2 4" xfId="29150" xr:uid="{FAE3A960-401C-4A70-951F-8E829049353B}"/>
    <cellStyle name="Percentuale 49 4 2 5" xfId="17555" xr:uid="{0C6C82C7-7DD1-48D2-ADA7-CC4EA758EC8E}"/>
    <cellStyle name="Percentuale 49 4 3" xfId="9529" xr:uid="{1E8450C4-8333-4783-983F-90520A196A83}"/>
    <cellStyle name="Percentuale 49 4 3 2" xfId="29153" xr:uid="{9FAFCA4A-EFAD-45B2-A0D1-3DB63CFFEA56}"/>
    <cellStyle name="Percentuale 49 4 4" xfId="29154" xr:uid="{108C837D-F9B7-472F-A0FE-BF7489FE1D93}"/>
    <cellStyle name="Percentuale 49 4 5" xfId="29155" xr:uid="{B54F3FD3-F40B-4B2A-ACFF-DFCBCDB8B0A0}"/>
    <cellStyle name="Percentuale 49 4 5 2" xfId="49337" xr:uid="{65151EBA-5EBD-4C97-8ABA-8BE22E970863}"/>
    <cellStyle name="Percentuale 49 4 6" xfId="29156" xr:uid="{0B1464E8-BE29-457C-A565-57C5FE7D8044}"/>
    <cellStyle name="Percentuale 49 4 7" xfId="29149" xr:uid="{48CB4421-F135-4A9C-A006-A6DBC1B5F361}"/>
    <cellStyle name="Percentuale 49 5" xfId="2447" xr:uid="{00000000-0005-0000-0000-000025090000}"/>
    <cellStyle name="Percentuale 49 5 2" xfId="29158" xr:uid="{836E0550-F3A0-4616-A49C-90E9AFA5FCD9}"/>
    <cellStyle name="Percentuale 49 5 3" xfId="29159" xr:uid="{009F5C24-0AAE-4D26-AC0A-212386C60702}"/>
    <cellStyle name="Percentuale 49 5 3 2" xfId="49338" xr:uid="{FFD59075-539B-449B-B36E-EF2E0957D8B8}"/>
    <cellStyle name="Percentuale 49 5 4" xfId="29160" xr:uid="{3C3F1001-B4DA-4F06-A916-1CD615DEA2C9}"/>
    <cellStyle name="Percentuale 49 5 5" xfId="29157" xr:uid="{A16B1158-00AE-47AB-B4FF-2A4865BC96F3}"/>
    <cellStyle name="Percentuale 49 6" xfId="4445" xr:uid="{B0A69839-8799-4BB8-A746-D9337588C0BD}"/>
    <cellStyle name="Percentuale 49 6 2" xfId="9854" xr:uid="{5C29F8C3-0A7C-4A7C-803F-C28D177B3F27}"/>
    <cellStyle name="Percentuale 49 6 3" xfId="29161" xr:uid="{0F739F6A-E4C6-435A-B249-F70563B1A10D}"/>
    <cellStyle name="Percentuale 49 7" xfId="29162" xr:uid="{365E1AD9-934A-488A-8184-C74372D8402E}"/>
    <cellStyle name="Percentuale 49 7 2" xfId="49339" xr:uid="{86094AF6-1A8E-4C44-B35C-2189C2F5B8ED}"/>
    <cellStyle name="Percentuale 49 8" xfId="29129" xr:uid="{CF661492-88E1-4679-8CE2-EA1E047A37FE}"/>
    <cellStyle name="Percentuale 5" xfId="1146" xr:uid="{00000000-0005-0000-0000-000026090000}"/>
    <cellStyle name="Percentuale 5 2" xfId="1147" xr:uid="{00000000-0005-0000-0000-000027090000}"/>
    <cellStyle name="Percentuale 5 2 2" xfId="4446" xr:uid="{E251CB64-84D1-4EEB-B6F5-0C6611F4CDC3}"/>
    <cellStyle name="Percentuale 5 2 2 2" xfId="13606" xr:uid="{5C611B22-AC09-4B58-9363-C861422509B7}"/>
    <cellStyle name="Percentuale 5 2 2 3" xfId="29165" xr:uid="{4F77B343-0317-4E60-B211-6A0F0B21919E}"/>
    <cellStyle name="Percentuale 5 2 3" xfId="13344" xr:uid="{CEA522B1-E9F2-4D29-BF93-70F864D331C8}"/>
    <cellStyle name="Percentuale 5 2 3 2" xfId="29166" xr:uid="{79BCCA3F-6FA2-4CCD-9385-1F06258DC04A}"/>
    <cellStyle name="Percentuale 5 2 4" xfId="29167" xr:uid="{F7411113-035A-46EF-8E69-27FA1D22B275}"/>
    <cellStyle name="Percentuale 5 2 4 2" xfId="49340" xr:uid="{EFE731BB-8038-4B1A-A07E-9F968DC44495}"/>
    <cellStyle name="Percentuale 5 2 5" xfId="29168" xr:uid="{9EC972A8-66F7-43E3-B244-2AB3BB033D13}"/>
    <cellStyle name="Percentuale 5 2 6" xfId="29164" xr:uid="{CA31BE28-0B18-4249-BBAF-748403FDAA28}"/>
    <cellStyle name="Percentuale 5 3" xfId="1148" xr:uid="{00000000-0005-0000-0000-000028090000}"/>
    <cellStyle name="Percentuale 5 3 2" xfId="1149" xr:uid="{00000000-0005-0000-0000-000029090000}"/>
    <cellStyle name="Percentuale 5 3 2 2" xfId="2448" xr:uid="{00000000-0005-0000-0000-00002A090000}"/>
    <cellStyle name="Percentuale 5 3 2 2 2" xfId="29172" xr:uid="{83236413-342F-4DF1-8B28-55E8F5A7DB83}"/>
    <cellStyle name="Percentuale 5 3 2 2 3" xfId="29171" xr:uid="{930E55CC-BF42-4FF5-B122-30AC1C5A3370}"/>
    <cellStyle name="Percentuale 5 3 2 3" xfId="8161" xr:uid="{0A2FB4F4-0472-4EB1-A952-BDF2DFAA3D7C}"/>
    <cellStyle name="Percentuale 5 3 2 3 2" xfId="14160" xr:uid="{35785E49-37F5-4FCE-9E8F-48819FD7768C}"/>
    <cellStyle name="Percentuale 5 3 2 3 3" xfId="29173" xr:uid="{0A8F557A-2A4A-4E2C-A830-883A90F641F0}"/>
    <cellStyle name="Percentuale 5 3 2 3 4" xfId="49341" xr:uid="{1A9AF202-6515-4CF4-AC3B-AE6956113144}"/>
    <cellStyle name="Percentuale 5 3 2 4" xfId="29174" xr:uid="{F1CFD0DE-CD29-4698-9045-3F86719525EA}"/>
    <cellStyle name="Percentuale 5 3 2 5" xfId="29170" xr:uid="{C5106076-3700-412C-B950-B8076549F8F6}"/>
    <cellStyle name="Percentuale 5 3 3" xfId="4447" xr:uid="{1BCA16C4-B910-4012-B52F-6E5399E67E8A}"/>
    <cellStyle name="Percentuale 5 3 3 2" xfId="9530" xr:uid="{CBDC7943-0F14-4F40-8F22-2A222BDF8BE1}"/>
    <cellStyle name="Percentuale 5 3 3 2 2" xfId="29176" xr:uid="{DDF6B7DE-2481-4D6C-9586-C4DF0C72C5D4}"/>
    <cellStyle name="Percentuale 5 3 3 3" xfId="29177" xr:uid="{264D29E0-5796-4693-A1F5-43DEC95F9EA2}"/>
    <cellStyle name="Percentuale 5 3 3 4" xfId="29178" xr:uid="{FDEC0BD5-08C0-4B16-B459-8B161EE6B38E}"/>
    <cellStyle name="Percentuale 5 3 3 4 2" xfId="49342" xr:uid="{D15E6F08-FC81-47B5-822D-B4121E54BDEF}"/>
    <cellStyle name="Percentuale 5 3 3 5" xfId="29175" xr:uid="{81315776-02F5-487C-8180-F2038C4EBB4B}"/>
    <cellStyle name="Percentuale 5 3 4" xfId="4448" xr:uid="{4BD6F7BE-EB6A-4D14-878A-FE17DA0AEA50}"/>
    <cellStyle name="Percentuale 5 3 4 2" xfId="13821" xr:uid="{72A30908-E5F8-4828-80FE-AB6215CE4BD6}"/>
    <cellStyle name="Percentuale 5 3 4 3" xfId="29179" xr:uid="{55A03A92-0F2E-4550-828D-9D044DBCCBD9}"/>
    <cellStyle name="Percentuale 5 3 5" xfId="11421" xr:uid="{DA55A9FA-C511-4651-8D50-92974522CD75}"/>
    <cellStyle name="Percentuale 5 3 5 2" xfId="29180" xr:uid="{520A9119-DF08-4F55-B76D-05BA74B9F549}"/>
    <cellStyle name="Percentuale 5 3 6" xfId="29181" xr:uid="{078FAA4F-4FC1-4373-8C02-8E1268052A08}"/>
    <cellStyle name="Percentuale 5 3 6 2" xfId="49343" xr:uid="{8A855F35-AC76-482C-8AF4-ECEAC5A1BFF9}"/>
    <cellStyle name="Percentuale 5 3 7" xfId="29182" xr:uid="{165D73B8-43AF-42A4-ACB9-882E3808DFA5}"/>
    <cellStyle name="Percentuale 5 3 8" xfId="29169" xr:uid="{446B008A-3151-403A-AF67-69603CF05E47}"/>
    <cellStyle name="Percentuale 5 4" xfId="2449" xr:uid="{00000000-0005-0000-0000-00002B090000}"/>
    <cellStyle name="Percentuale 5 4 2" xfId="2450" xr:uid="{00000000-0005-0000-0000-00002C090000}"/>
    <cellStyle name="Percentuale 5 4 2 2" xfId="9531" xr:uid="{36D5706F-F1BC-4173-96CF-5AC3CE49F85F}"/>
    <cellStyle name="Percentuale 5 4 2 2 2" xfId="29185" xr:uid="{949ADE72-E530-46AD-8C00-9292EDC3116C}"/>
    <cellStyle name="Percentuale 5 4 2 3" xfId="17946" xr:uid="{226F19D7-8A7E-47B6-B8A8-517866132670}"/>
    <cellStyle name="Percentuale 5 4 2 3 2" xfId="29186" xr:uid="{90F5D510-62AD-432D-89F8-C6FCFA998C94}"/>
    <cellStyle name="Percentuale 5 4 2 4" xfId="29184" xr:uid="{D3AEC036-721A-4CBE-A854-9C2DD6544798}"/>
    <cellStyle name="Percentuale 5 4 2 5" xfId="17556" xr:uid="{1AB3CC85-92ED-4942-BBB4-C8A2E59C7379}"/>
    <cellStyle name="Percentuale 5 4 3" xfId="9532" xr:uid="{13BDD967-07F4-4E01-A9A4-797302EFA1CC}"/>
    <cellStyle name="Percentuale 5 4 3 2" xfId="29187" xr:uid="{7482DFA6-1096-43FB-A513-5CFC602058F8}"/>
    <cellStyle name="Percentuale 5 4 4" xfId="29188" xr:uid="{6C77FA7E-D6BB-48B3-9B19-54A56688F625}"/>
    <cellStyle name="Percentuale 5 4 5" xfId="29189" xr:uid="{14897904-467C-4AF8-83E0-101C0F43B2A1}"/>
    <cellStyle name="Percentuale 5 4 5 2" xfId="49344" xr:uid="{6971A219-0975-4BFA-9479-D0B4EF2F7682}"/>
    <cellStyle name="Percentuale 5 4 6" xfId="29190" xr:uid="{FC3587A4-EFDD-406E-8049-F1377E8D2A58}"/>
    <cellStyle name="Percentuale 5 4 7" xfId="29183" xr:uid="{36B2075B-545B-4496-BE07-FAF9FDB672BB}"/>
    <cellStyle name="Percentuale 5 5" xfId="2451" xr:uid="{00000000-0005-0000-0000-00002D090000}"/>
    <cellStyle name="Percentuale 5 5 2" xfId="29192" xr:uid="{B72C683F-FFE4-4D0A-A2EA-E9002C9D1B3F}"/>
    <cellStyle name="Percentuale 5 5 3" xfId="29193" xr:uid="{CA217BA6-9A44-4220-BFA6-2347D1D0090B}"/>
    <cellStyle name="Percentuale 5 5 3 2" xfId="49345" xr:uid="{127F66C1-592C-4F61-B298-E46197ABF1A2}"/>
    <cellStyle name="Percentuale 5 5 4" xfId="29194" xr:uid="{37F794F8-435A-4730-AD34-EBEC4364031B}"/>
    <cellStyle name="Percentuale 5 5 5" xfId="29191" xr:uid="{1B5358D7-D5EE-4C14-81E2-163526C37BED}"/>
    <cellStyle name="Percentuale 5 6" xfId="4449" xr:uid="{3C0AC27A-EDD8-4B94-BD8F-9A02C1C62850}"/>
    <cellStyle name="Percentuale 5 6 2" xfId="9855" xr:uid="{7E50CF31-D8E0-412D-AD2E-98D2094C1B3C}"/>
    <cellStyle name="Percentuale 5 6 3" xfId="29195" xr:uid="{B4D8D8E8-D10A-45EC-89D0-C25D2BDB49DC}"/>
    <cellStyle name="Percentuale 5 7" xfId="29196" xr:uid="{7E03BE7C-CB25-4E11-8DB2-DE7B6DCA943F}"/>
    <cellStyle name="Percentuale 5 7 2" xfId="49346" xr:uid="{5108DB88-F53F-4595-9525-23BAB8CC7A9E}"/>
    <cellStyle name="Percentuale 5 8" xfId="29163" xr:uid="{D311569D-EE38-448D-B6DA-A362A3D12C11}"/>
    <cellStyle name="Percentuale 50" xfId="1150" xr:uid="{00000000-0005-0000-0000-00002E090000}"/>
    <cellStyle name="Percentuale 50 2" xfId="1151" xr:uid="{00000000-0005-0000-0000-00002F090000}"/>
    <cellStyle name="Percentuale 50 2 2" xfId="4450" xr:uid="{4554B198-268A-4855-AE4B-5DD0D1F70F50}"/>
    <cellStyle name="Percentuale 50 2 2 2" xfId="13607" xr:uid="{50B0B995-7B8D-4643-BC58-A9C4497534C5}"/>
    <cellStyle name="Percentuale 50 2 2 3" xfId="29199" xr:uid="{48EEE034-A05D-4AB1-AE12-E4F095C23D2D}"/>
    <cellStyle name="Percentuale 50 2 3" xfId="13345" xr:uid="{634BE254-169D-4EC2-B207-BD66CDA4FD2D}"/>
    <cellStyle name="Percentuale 50 2 3 2" xfId="29200" xr:uid="{66D09104-D784-41DE-8BB7-8D91274B23CC}"/>
    <cellStyle name="Percentuale 50 2 4" xfId="29201" xr:uid="{B8BDCBE0-5817-4F42-A84F-C321F55F8B0D}"/>
    <cellStyle name="Percentuale 50 2 4 2" xfId="49347" xr:uid="{E15981AB-3E90-432D-A398-7ACD693938E1}"/>
    <cellStyle name="Percentuale 50 2 5" xfId="29202" xr:uid="{53522E4F-89A6-44D2-A5F4-20267B06AC3E}"/>
    <cellStyle name="Percentuale 50 2 6" xfId="29198" xr:uid="{01AA2D09-C153-4D22-AE6F-884C5AA34F8E}"/>
    <cellStyle name="Percentuale 50 3" xfId="1152" xr:uid="{00000000-0005-0000-0000-000030090000}"/>
    <cellStyle name="Percentuale 50 3 2" xfId="1153" xr:uid="{00000000-0005-0000-0000-000031090000}"/>
    <cellStyle name="Percentuale 50 3 2 2" xfId="2452" xr:uid="{00000000-0005-0000-0000-000032090000}"/>
    <cellStyle name="Percentuale 50 3 2 2 2" xfId="29206" xr:uid="{CD86761F-C27C-4A94-9F85-FAE6B9B7F19F}"/>
    <cellStyle name="Percentuale 50 3 2 2 3" xfId="29205" xr:uid="{AF1CD0A1-045B-4E4A-9582-B6F56D517A9D}"/>
    <cellStyle name="Percentuale 50 3 2 3" xfId="8162" xr:uid="{E6BFAA82-A2A8-4411-8DB9-A4A95B971566}"/>
    <cellStyle name="Percentuale 50 3 2 3 2" xfId="14161" xr:uid="{07B0A14C-3E06-49E7-8520-16CF631DC9D0}"/>
    <cellStyle name="Percentuale 50 3 2 3 3" xfId="29207" xr:uid="{CEE1D992-C44C-45E8-BFD9-3FD3999C14A8}"/>
    <cellStyle name="Percentuale 50 3 2 3 4" xfId="49348" xr:uid="{651895BF-430E-45B8-9D27-9B333DDC933A}"/>
    <cellStyle name="Percentuale 50 3 2 4" xfId="29208" xr:uid="{B7D08A10-0984-4280-9F05-486AAA151FBB}"/>
    <cellStyle name="Percentuale 50 3 2 5" xfId="29204" xr:uid="{A0A25031-260A-4D04-9FE9-D3AD90A2D14E}"/>
    <cellStyle name="Percentuale 50 3 3" xfId="4451" xr:uid="{F72B520B-BCB3-4CB2-865A-1E0C08D3EAA1}"/>
    <cellStyle name="Percentuale 50 3 3 2" xfId="9533" xr:uid="{554F25CE-B3FD-4D9E-A24D-A6030D2826F5}"/>
    <cellStyle name="Percentuale 50 3 3 2 2" xfId="29210" xr:uid="{7F0C0738-54D5-4E60-923B-D9E3E1BEC2EC}"/>
    <cellStyle name="Percentuale 50 3 3 3" xfId="29211" xr:uid="{A9AC4E65-DB70-4301-AB6B-80E1F21BC0BC}"/>
    <cellStyle name="Percentuale 50 3 3 4" xfId="29212" xr:uid="{2C813B4B-CA9B-403B-8D41-3E937ED11D71}"/>
    <cellStyle name="Percentuale 50 3 3 4 2" xfId="49349" xr:uid="{5066D7C8-FD68-48F5-ACF0-5D8188E73E2B}"/>
    <cellStyle name="Percentuale 50 3 3 5" xfId="29209" xr:uid="{7851075E-4B79-4489-B8A0-38DF1FB398AE}"/>
    <cellStyle name="Percentuale 50 3 4" xfId="4452" xr:uid="{6A44ADA6-E7FA-48ED-8020-30324C301F8E}"/>
    <cellStyle name="Percentuale 50 3 4 2" xfId="13822" xr:uid="{E98C446E-9D3D-4D04-8A93-D9353A0CBE93}"/>
    <cellStyle name="Percentuale 50 3 4 3" xfId="29213" xr:uid="{948013CF-EE88-4E83-9735-0BD413CE2CCB}"/>
    <cellStyle name="Percentuale 50 3 5" xfId="12264" xr:uid="{A46E00FC-2B1D-44D6-8F33-2E611A7E4E1F}"/>
    <cellStyle name="Percentuale 50 3 5 2" xfId="29214" xr:uid="{612F9021-42B3-466A-8FE4-BB0D0AF5EA55}"/>
    <cellStyle name="Percentuale 50 3 6" xfId="29215" xr:uid="{4D312695-F9A7-402C-B51D-FD0B942383C7}"/>
    <cellStyle name="Percentuale 50 3 6 2" xfId="49350" xr:uid="{63131792-0CF8-460D-B977-203A1D408EDB}"/>
    <cellStyle name="Percentuale 50 3 7" xfId="29216" xr:uid="{779CF5B7-E18C-44B5-8D0E-9E9562B344ED}"/>
    <cellStyle name="Percentuale 50 3 8" xfId="29203" xr:uid="{38EB5C10-FBA2-4181-9673-92E3EF670B14}"/>
    <cellStyle name="Percentuale 50 4" xfId="2453" xr:uid="{00000000-0005-0000-0000-000033090000}"/>
    <cellStyle name="Percentuale 50 4 2" xfId="2454" xr:uid="{00000000-0005-0000-0000-000034090000}"/>
    <cellStyle name="Percentuale 50 4 2 2" xfId="9534" xr:uid="{CFD5D5E8-8871-4C42-97F6-FCD2F5070EFB}"/>
    <cellStyle name="Percentuale 50 4 2 2 2" xfId="29219" xr:uid="{06FFE6A8-4A0A-4B4A-9711-BD5DE10BA7EE}"/>
    <cellStyle name="Percentuale 50 4 2 3" xfId="17947" xr:uid="{F4E3B563-4548-43B9-8F4C-0686C92277F7}"/>
    <cellStyle name="Percentuale 50 4 2 3 2" xfId="29220" xr:uid="{9F7621FB-2F46-486C-9CAA-171F02555DFB}"/>
    <cellStyle name="Percentuale 50 4 2 4" xfId="29218" xr:uid="{B0799143-30EA-4E59-8A2E-180B75130512}"/>
    <cellStyle name="Percentuale 50 4 2 5" xfId="17557" xr:uid="{D26166B3-64BA-4EA8-AFC8-F7BEAE5278FD}"/>
    <cellStyle name="Percentuale 50 4 3" xfId="9535" xr:uid="{9422620D-59F4-4953-835A-17BC3F842885}"/>
    <cellStyle name="Percentuale 50 4 3 2" xfId="29221" xr:uid="{CD60FD5A-CC65-4327-B94B-990EF20A1A6D}"/>
    <cellStyle name="Percentuale 50 4 4" xfId="29222" xr:uid="{4CB14E13-CDDF-45C8-BE5E-C8E70D9675D2}"/>
    <cellStyle name="Percentuale 50 4 5" xfId="29223" xr:uid="{C6A54CDA-9908-4994-99CA-3C03BD89F19B}"/>
    <cellStyle name="Percentuale 50 4 5 2" xfId="49351" xr:uid="{C2B5345E-BBDD-4D54-BCC4-F034139E6FB4}"/>
    <cellStyle name="Percentuale 50 4 6" xfId="29224" xr:uid="{9CF1B362-4594-4ABF-9309-042D474C03FB}"/>
    <cellStyle name="Percentuale 50 4 7" xfId="29217" xr:uid="{3A19D1EE-4FB9-466B-8F85-04FA1621778D}"/>
    <cellStyle name="Percentuale 50 5" xfId="2455" xr:uid="{00000000-0005-0000-0000-000035090000}"/>
    <cellStyle name="Percentuale 50 5 2" xfId="29226" xr:uid="{CDBEA1E1-4039-45DE-82BF-7DFC646453A1}"/>
    <cellStyle name="Percentuale 50 5 3" xfId="29227" xr:uid="{2622E111-0C70-4FCB-B27A-BF9ADF4439BD}"/>
    <cellStyle name="Percentuale 50 5 3 2" xfId="49352" xr:uid="{5963CF92-5227-41C0-BC74-D3EC0D68A1A9}"/>
    <cellStyle name="Percentuale 50 5 4" xfId="29228" xr:uid="{B28C8718-DD8A-4586-BB0A-1557A42AD1AE}"/>
    <cellStyle name="Percentuale 50 5 5" xfId="29225" xr:uid="{335C1545-26E6-41FD-95EE-EB05A78373F3}"/>
    <cellStyle name="Percentuale 50 6" xfId="4453" xr:uid="{C87B59BC-DD55-477C-9851-3F1DA0C48FF5}"/>
    <cellStyle name="Percentuale 50 6 2" xfId="9856" xr:uid="{9CD34476-2A5F-45FC-BAF2-3323618B77E8}"/>
    <cellStyle name="Percentuale 50 6 3" xfId="29229" xr:uid="{DAF99A25-F601-422C-BC22-A9BBA747DC3E}"/>
    <cellStyle name="Percentuale 50 7" xfId="29230" xr:uid="{FCBF5DBE-391E-4CA8-B621-052CB18050FD}"/>
    <cellStyle name="Percentuale 50 7 2" xfId="49353" xr:uid="{DE633855-103B-4B93-AEF3-FA4E6E477EE3}"/>
    <cellStyle name="Percentuale 50 8" xfId="29197" xr:uid="{D6FCAAD8-D245-4348-B7D4-A74386A1F1C0}"/>
    <cellStyle name="Percentuale 51" xfId="1154" xr:uid="{00000000-0005-0000-0000-000036090000}"/>
    <cellStyle name="Percentuale 51 2" xfId="1155" xr:uid="{00000000-0005-0000-0000-000037090000}"/>
    <cellStyle name="Percentuale 51 2 2" xfId="4454" xr:uid="{0161E5EC-29D0-4721-A1E9-A5036DEF8520}"/>
    <cellStyle name="Percentuale 51 2 2 2" xfId="13608" xr:uid="{28B8FB46-CAD3-45C4-AD9A-C968F316361A}"/>
    <cellStyle name="Percentuale 51 2 2 3" xfId="29233" xr:uid="{9962448A-7E88-4E69-90EB-34C87FA42854}"/>
    <cellStyle name="Percentuale 51 2 3" xfId="13346" xr:uid="{B783EE38-C0EA-4395-B9EE-AD3422C6E890}"/>
    <cellStyle name="Percentuale 51 2 3 2" xfId="29234" xr:uid="{C6F046EA-307F-4382-BF86-462B5216E047}"/>
    <cellStyle name="Percentuale 51 2 4" xfId="29235" xr:uid="{4CE1D7BE-74C9-45B4-99B0-CDBF3D5F59D1}"/>
    <cellStyle name="Percentuale 51 2 4 2" xfId="49354" xr:uid="{5560C2B0-2474-454E-8FAE-5FFD92C15CFF}"/>
    <cellStyle name="Percentuale 51 2 5" xfId="29236" xr:uid="{C309189B-0B2E-4049-B824-BA9832BDF3C1}"/>
    <cellStyle name="Percentuale 51 2 6" xfId="29232" xr:uid="{35B68524-9D7D-4691-804E-7348F44C040C}"/>
    <cellStyle name="Percentuale 51 3" xfId="1156" xr:uid="{00000000-0005-0000-0000-000038090000}"/>
    <cellStyle name="Percentuale 51 3 2" xfId="1157" xr:uid="{00000000-0005-0000-0000-000039090000}"/>
    <cellStyle name="Percentuale 51 3 2 2" xfId="2456" xr:uid="{00000000-0005-0000-0000-00003A090000}"/>
    <cellStyle name="Percentuale 51 3 2 2 2" xfId="29240" xr:uid="{A954B3DE-CA8F-4F44-ADDD-7422C153AEA0}"/>
    <cellStyle name="Percentuale 51 3 2 2 3" xfId="29239" xr:uid="{682D9B0B-E39F-4CD2-A5D9-C6B8A83DD9D3}"/>
    <cellStyle name="Percentuale 51 3 2 3" xfId="8163" xr:uid="{2FDF35E0-232C-4420-8E3D-E5D54858EDE0}"/>
    <cellStyle name="Percentuale 51 3 2 3 2" xfId="14162" xr:uid="{2FB542CF-DFC9-4988-83C2-3C460A66A503}"/>
    <cellStyle name="Percentuale 51 3 2 3 3" xfId="29241" xr:uid="{9D0490CF-D8E6-4261-BA03-0657945BEF35}"/>
    <cellStyle name="Percentuale 51 3 2 3 4" xfId="49355" xr:uid="{10B564F5-84EB-420A-B764-789FAEE5A962}"/>
    <cellStyle name="Percentuale 51 3 2 4" xfId="29242" xr:uid="{5681C81F-D9D9-4770-A746-8D080CB38B25}"/>
    <cellStyle name="Percentuale 51 3 2 5" xfId="29238" xr:uid="{CAA45650-ED26-4579-88A0-D40994CD9DA9}"/>
    <cellStyle name="Percentuale 51 3 3" xfId="4455" xr:uid="{EE04CF97-2153-42C9-8EF3-6B5C8D5A1591}"/>
    <cellStyle name="Percentuale 51 3 3 2" xfId="9536" xr:uid="{0AA10940-9ADB-4654-B9F9-60CB8A4620E6}"/>
    <cellStyle name="Percentuale 51 3 3 2 2" xfId="29244" xr:uid="{81E7C343-ED49-4139-93B4-1DD3D288B7C7}"/>
    <cellStyle name="Percentuale 51 3 3 3" xfId="29245" xr:uid="{E9466AD4-78FB-4617-9ED2-4BA6DC2C594B}"/>
    <cellStyle name="Percentuale 51 3 3 4" xfId="29246" xr:uid="{B8B358EE-8959-4AE9-9814-7B2FE94BE149}"/>
    <cellStyle name="Percentuale 51 3 3 4 2" xfId="49356" xr:uid="{7BD8BA9F-1E8A-4D48-B6D6-145FD0A26402}"/>
    <cellStyle name="Percentuale 51 3 3 5" xfId="29243" xr:uid="{A63DFEFA-070B-4101-B98E-56748584AAED}"/>
    <cellStyle name="Percentuale 51 3 4" xfId="4456" xr:uid="{D84EC765-5A93-415B-AEB7-4F5B04EBB4AA}"/>
    <cellStyle name="Percentuale 51 3 4 2" xfId="13823" xr:uid="{7EFF3BB6-4580-4405-87C4-3D4B8260C0EC}"/>
    <cellStyle name="Percentuale 51 3 4 3" xfId="29247" xr:uid="{0E83B20E-0FCE-4EFA-BC25-9D6241D0D74C}"/>
    <cellStyle name="Percentuale 51 3 5" xfId="11202" xr:uid="{BF03FAC3-682C-4C56-B918-1308C596BB4F}"/>
    <cellStyle name="Percentuale 51 3 5 2" xfId="29248" xr:uid="{F2704C35-ED9A-4D16-9B2E-3695AC3FA911}"/>
    <cellStyle name="Percentuale 51 3 6" xfId="29249" xr:uid="{191E8257-F22D-475C-865E-9F8847734310}"/>
    <cellStyle name="Percentuale 51 3 6 2" xfId="49357" xr:uid="{7E21F7DF-A2AC-47B1-A857-06101EA1DD77}"/>
    <cellStyle name="Percentuale 51 3 7" xfId="29250" xr:uid="{2DAACDD1-BD96-4F3B-835D-DA992F0B7BCF}"/>
    <cellStyle name="Percentuale 51 3 8" xfId="29237" xr:uid="{7ABAB820-B694-4757-B482-24FC78D0A757}"/>
    <cellStyle name="Percentuale 51 4" xfId="2457" xr:uid="{00000000-0005-0000-0000-00003B090000}"/>
    <cellStyle name="Percentuale 51 4 2" xfId="2458" xr:uid="{00000000-0005-0000-0000-00003C090000}"/>
    <cellStyle name="Percentuale 51 4 2 2" xfId="9537" xr:uid="{E34253E0-2AB8-4ECF-B373-945584911F68}"/>
    <cellStyle name="Percentuale 51 4 2 2 2" xfId="29253" xr:uid="{5E1AB884-2B47-4E5E-8E1B-2333D30C8433}"/>
    <cellStyle name="Percentuale 51 4 2 3" xfId="17948" xr:uid="{AFAF94D6-9307-4A3C-8947-354288944DEF}"/>
    <cellStyle name="Percentuale 51 4 2 3 2" xfId="29254" xr:uid="{26A46F6A-99DC-4D21-A24D-367B606BBC62}"/>
    <cellStyle name="Percentuale 51 4 2 4" xfId="29252" xr:uid="{3F1A9C14-DC04-45FD-B1E2-1ABE902A11D1}"/>
    <cellStyle name="Percentuale 51 4 2 5" xfId="17558" xr:uid="{7C661FA0-8A1C-4DCD-A1CD-E1BBD1043804}"/>
    <cellStyle name="Percentuale 51 4 3" xfId="9538" xr:uid="{522F633D-E377-4698-AEE3-60251B76C07A}"/>
    <cellStyle name="Percentuale 51 4 3 2" xfId="29255" xr:uid="{8DE9DF62-50C7-4938-AEBB-A5B2D5AFF9DA}"/>
    <cellStyle name="Percentuale 51 4 4" xfId="29256" xr:uid="{1CA08BD2-C1A2-4549-8749-6366F2E81F44}"/>
    <cellStyle name="Percentuale 51 4 5" xfId="29257" xr:uid="{B3A8ECC8-97E9-49F0-93D8-AB9F603BDFCF}"/>
    <cellStyle name="Percentuale 51 4 5 2" xfId="49358" xr:uid="{6912C0D9-4C69-4BA8-9847-4F71A68D8282}"/>
    <cellStyle name="Percentuale 51 4 6" xfId="29258" xr:uid="{5D6B90FC-910B-48CA-BD06-986B6B7CD59F}"/>
    <cellStyle name="Percentuale 51 4 7" xfId="29251" xr:uid="{F5D179CF-D84D-4E6F-8342-9AEA0A881F1C}"/>
    <cellStyle name="Percentuale 51 5" xfId="2459" xr:uid="{00000000-0005-0000-0000-00003D090000}"/>
    <cellStyle name="Percentuale 51 5 2" xfId="29260" xr:uid="{D0EB3C61-2FB6-4B43-BF19-151AB26AD87F}"/>
    <cellStyle name="Percentuale 51 5 3" xfId="29261" xr:uid="{FF431392-B991-4EBD-BC27-99CA3D42C1CC}"/>
    <cellStyle name="Percentuale 51 5 3 2" xfId="49359" xr:uid="{E9A5C8D0-DE5A-4482-8E28-E791D8B9EEB7}"/>
    <cellStyle name="Percentuale 51 5 4" xfId="29262" xr:uid="{2E0F1CD3-0C01-45C1-B956-4BFF4B60C98D}"/>
    <cellStyle name="Percentuale 51 5 5" xfId="29259" xr:uid="{C5D10629-4330-459F-88FD-D6667DFD9197}"/>
    <cellStyle name="Percentuale 51 6" xfId="4457" xr:uid="{5A1A967A-97F1-480D-9B37-7BE2A0CE0039}"/>
    <cellStyle name="Percentuale 51 6 2" xfId="9857" xr:uid="{056A130E-3D05-4496-B147-AC565DF949E9}"/>
    <cellStyle name="Percentuale 51 6 3" xfId="29263" xr:uid="{3AA84A3E-4397-48B3-B19C-593A225BECAC}"/>
    <cellStyle name="Percentuale 51 7" xfId="29264" xr:uid="{2783C303-BA59-4ADD-97F2-905F6EA9799C}"/>
    <cellStyle name="Percentuale 51 7 2" xfId="49360" xr:uid="{86E96D48-B144-479B-AECA-92F914DE0B11}"/>
    <cellStyle name="Percentuale 51 8" xfId="29231" xr:uid="{2D5DEBDF-DBD3-4353-BF68-29F2BF1FE197}"/>
    <cellStyle name="Percentuale 52" xfId="1158" xr:uid="{00000000-0005-0000-0000-00003E090000}"/>
    <cellStyle name="Percentuale 52 2" xfId="1159" xr:uid="{00000000-0005-0000-0000-00003F090000}"/>
    <cellStyle name="Percentuale 52 2 2" xfId="4458" xr:uid="{4BD7B718-94F2-4FC0-BA6A-D6626BD21034}"/>
    <cellStyle name="Percentuale 52 2 2 2" xfId="13609" xr:uid="{F999936B-E2C5-4AB2-8D9F-C425F52C6927}"/>
    <cellStyle name="Percentuale 52 2 2 3" xfId="29267" xr:uid="{0A08187B-1CC7-46A4-884F-08C75852320D}"/>
    <cellStyle name="Percentuale 52 2 3" xfId="13347" xr:uid="{34274DB2-79BA-436C-9ED6-BB77A158F840}"/>
    <cellStyle name="Percentuale 52 2 3 2" xfId="29268" xr:uid="{D54969E7-6AB6-44B1-BB44-2FA382F70E63}"/>
    <cellStyle name="Percentuale 52 2 4" xfId="29269" xr:uid="{2F4621A3-CA69-4B90-9DBB-90A91A5CB38B}"/>
    <cellStyle name="Percentuale 52 2 4 2" xfId="49361" xr:uid="{CD36F221-879A-4F4C-8B3C-61F9CB41F761}"/>
    <cellStyle name="Percentuale 52 2 5" xfId="29270" xr:uid="{9CF36773-323C-4102-B8D7-25C8915E8BE2}"/>
    <cellStyle name="Percentuale 52 2 6" xfId="29266" xr:uid="{C3159CE9-986E-46E9-AD6F-6A9584B76F8B}"/>
    <cellStyle name="Percentuale 52 3" xfId="1160" xr:uid="{00000000-0005-0000-0000-000040090000}"/>
    <cellStyle name="Percentuale 52 3 2" xfId="1161" xr:uid="{00000000-0005-0000-0000-000041090000}"/>
    <cellStyle name="Percentuale 52 3 2 2" xfId="2460" xr:uid="{00000000-0005-0000-0000-000042090000}"/>
    <cellStyle name="Percentuale 52 3 2 2 2" xfId="29274" xr:uid="{303AD431-A091-4E46-8FE2-8EE3008BF620}"/>
    <cellStyle name="Percentuale 52 3 2 2 3" xfId="29273" xr:uid="{19D321FC-B1E6-427C-B48D-C9CA9C51440C}"/>
    <cellStyle name="Percentuale 52 3 2 3" xfId="8164" xr:uid="{C3D9DBB3-31E4-478E-ACE6-A943261658A3}"/>
    <cellStyle name="Percentuale 52 3 2 3 2" xfId="14163" xr:uid="{E5D315DB-EF60-4079-8C41-219DC2D219BB}"/>
    <cellStyle name="Percentuale 52 3 2 3 3" xfId="29275" xr:uid="{5B93A273-4BDF-4EC3-8FC3-51421453817B}"/>
    <cellStyle name="Percentuale 52 3 2 3 4" xfId="49362" xr:uid="{6997AC09-8425-43CD-ADBE-DDC4C7715D36}"/>
    <cellStyle name="Percentuale 52 3 2 4" xfId="29276" xr:uid="{A5E04A6C-C067-4BBB-A87F-C1EDC141B13E}"/>
    <cellStyle name="Percentuale 52 3 2 5" xfId="29272" xr:uid="{2EA84B4E-C099-4577-9856-CE1CD5F299E4}"/>
    <cellStyle name="Percentuale 52 3 3" xfId="4459" xr:uid="{5AD33577-89EB-4739-85FA-A96EEE004D42}"/>
    <cellStyle name="Percentuale 52 3 3 2" xfId="9539" xr:uid="{385EC7ED-A36F-4BA9-A868-D25B1DA9435D}"/>
    <cellStyle name="Percentuale 52 3 3 2 2" xfId="29278" xr:uid="{6640D6DE-81BA-47EA-B41C-ED7B3664DCDC}"/>
    <cellStyle name="Percentuale 52 3 3 3" xfId="29279" xr:uid="{68650BC4-AF02-4F34-918B-FCAB916BE414}"/>
    <cellStyle name="Percentuale 52 3 3 4" xfId="29280" xr:uid="{23558092-9DD8-4581-A147-C097B8502C43}"/>
    <cellStyle name="Percentuale 52 3 3 4 2" xfId="49363" xr:uid="{2814B6C8-1144-40F6-BEE3-A280BCB38F54}"/>
    <cellStyle name="Percentuale 52 3 3 5" xfId="29277" xr:uid="{4F273A5F-BD8A-4220-9A33-705B8636986A}"/>
    <cellStyle name="Percentuale 52 3 4" xfId="4460" xr:uid="{610B74FE-D79D-4230-8123-00B0ED04DD83}"/>
    <cellStyle name="Percentuale 52 3 4 2" xfId="13824" xr:uid="{748B8452-B6A3-4910-ADBD-BFCA27A5E321}"/>
    <cellStyle name="Percentuale 52 3 4 3" xfId="29281" xr:uid="{82B77716-D280-4802-9025-26891B4D5346}"/>
    <cellStyle name="Percentuale 52 3 5" xfId="11100" xr:uid="{4BBFDD29-6A91-47F1-A333-D4A05333FE38}"/>
    <cellStyle name="Percentuale 52 3 5 2" xfId="29282" xr:uid="{77C31A92-25CA-4B6A-A035-86DDCC640790}"/>
    <cellStyle name="Percentuale 52 3 6" xfId="29283" xr:uid="{772E05CF-3FC5-4F9B-851C-A417FB1EDB37}"/>
    <cellStyle name="Percentuale 52 3 6 2" xfId="49364" xr:uid="{2EF2EBAF-B3DC-4751-A3B5-08743B5ECAB2}"/>
    <cellStyle name="Percentuale 52 3 7" xfId="29284" xr:uid="{DEDE028F-72E8-4536-AB42-D90A3053EE7D}"/>
    <cellStyle name="Percentuale 52 3 8" xfId="29271" xr:uid="{A7ACE4F5-4C60-458F-A8A6-D0556B50127E}"/>
    <cellStyle name="Percentuale 52 4" xfId="2461" xr:uid="{00000000-0005-0000-0000-000043090000}"/>
    <cellStyle name="Percentuale 52 4 2" xfId="2462" xr:uid="{00000000-0005-0000-0000-000044090000}"/>
    <cellStyle name="Percentuale 52 4 2 2" xfId="9540" xr:uid="{6D02BAAB-BE95-41D6-B223-8CB21BDABCC2}"/>
    <cellStyle name="Percentuale 52 4 2 2 2" xfId="29287" xr:uid="{DD65F352-8BDC-42FC-A14A-2425D69D4FF2}"/>
    <cellStyle name="Percentuale 52 4 2 3" xfId="17949" xr:uid="{58320E37-83CF-401F-BC65-2914930D4B51}"/>
    <cellStyle name="Percentuale 52 4 2 3 2" xfId="29288" xr:uid="{DFB81C71-0606-4082-8C36-C45EF219DC33}"/>
    <cellStyle name="Percentuale 52 4 2 4" xfId="29286" xr:uid="{5C08CF35-7685-4FB7-A91D-A102C6EE8DC6}"/>
    <cellStyle name="Percentuale 52 4 2 5" xfId="17559" xr:uid="{A6C0C789-3A3F-4AED-B751-18CCC2FEC4AA}"/>
    <cellStyle name="Percentuale 52 4 3" xfId="9541" xr:uid="{201155A2-5BE3-47FD-92DE-D53CA2348E97}"/>
    <cellStyle name="Percentuale 52 4 3 2" xfId="29289" xr:uid="{1F91F81B-7A03-4414-9A96-AA13526DD536}"/>
    <cellStyle name="Percentuale 52 4 4" xfId="29290" xr:uid="{0A80A0F7-65DF-4F89-B519-B3F03E8A2FF8}"/>
    <cellStyle name="Percentuale 52 4 5" xfId="29291" xr:uid="{460FCD85-4547-41A7-8A7D-D7014F63EAD4}"/>
    <cellStyle name="Percentuale 52 4 5 2" xfId="49365" xr:uid="{A8702845-7F35-4FDC-A4DE-AF3F6FDD6072}"/>
    <cellStyle name="Percentuale 52 4 6" xfId="29292" xr:uid="{113EC50D-789A-4D87-A746-B25CA3AEC795}"/>
    <cellStyle name="Percentuale 52 4 7" xfId="29285" xr:uid="{C531900C-CABA-4F6F-8F2D-F858A92B42B0}"/>
    <cellStyle name="Percentuale 52 5" xfId="2463" xr:uid="{00000000-0005-0000-0000-000045090000}"/>
    <cellStyle name="Percentuale 52 5 2" xfId="29294" xr:uid="{DE66C77F-4E8E-4554-9B9F-710343029361}"/>
    <cellStyle name="Percentuale 52 5 3" xfId="29295" xr:uid="{FC82C8BC-29C5-48EE-99CF-10B4D37B0EC7}"/>
    <cellStyle name="Percentuale 52 5 3 2" xfId="49366" xr:uid="{1213AA13-E244-41D9-8860-0091993BBEF2}"/>
    <cellStyle name="Percentuale 52 5 4" xfId="29296" xr:uid="{C3333CE4-4AFA-49BF-BA6C-6AD5752B9F75}"/>
    <cellStyle name="Percentuale 52 5 5" xfId="29293" xr:uid="{2DCDEB15-1311-4F16-AC00-D2B7FF8E46A2}"/>
    <cellStyle name="Percentuale 52 6" xfId="4461" xr:uid="{B246CC44-E1D8-4B9C-91CB-09C8BBEE464F}"/>
    <cellStyle name="Percentuale 52 6 2" xfId="9858" xr:uid="{2EB0B865-8A1C-48EA-AC30-307B12A37699}"/>
    <cellStyle name="Percentuale 52 6 3" xfId="29297" xr:uid="{6EA1956D-EAFB-4ED3-B03D-D2EAA3C54605}"/>
    <cellStyle name="Percentuale 52 7" xfId="29298" xr:uid="{624A3841-200A-4977-9D3D-78BCEBFAB543}"/>
    <cellStyle name="Percentuale 52 7 2" xfId="49367" xr:uid="{F3C1BFE4-AB95-486D-BCE8-D4BC1DA2F3BC}"/>
    <cellStyle name="Percentuale 52 8" xfId="29265" xr:uid="{792F089C-1C01-4258-B0A8-1D942CCFDD13}"/>
    <cellStyle name="Percentuale 53" xfId="1162" xr:uid="{00000000-0005-0000-0000-000046090000}"/>
    <cellStyle name="Percentuale 53 2" xfId="1163" xr:uid="{00000000-0005-0000-0000-000047090000}"/>
    <cellStyle name="Percentuale 53 2 2" xfId="4462" xr:uid="{61903179-40AF-436F-9F66-4D48965D5CE7}"/>
    <cellStyle name="Percentuale 53 2 2 2" xfId="13610" xr:uid="{52EF19C3-FB8C-4E7D-AA2D-E54C51AC3CD1}"/>
    <cellStyle name="Percentuale 53 2 2 3" xfId="29301" xr:uid="{775A31D8-F15E-45BC-939E-ACE45650B092}"/>
    <cellStyle name="Percentuale 53 2 3" xfId="13348" xr:uid="{05E3249C-1B39-4A47-9728-6720BD9A14FB}"/>
    <cellStyle name="Percentuale 53 2 3 2" xfId="29302" xr:uid="{F23DC505-DDF2-4C05-BCBC-61F5528C3886}"/>
    <cellStyle name="Percentuale 53 2 4" xfId="29303" xr:uid="{602F8E92-7AC0-4324-99C0-443C1D6FB4D4}"/>
    <cellStyle name="Percentuale 53 2 4 2" xfId="49368" xr:uid="{E23A53F8-6FCA-4CAD-B92E-FFBE6973AD96}"/>
    <cellStyle name="Percentuale 53 2 5" xfId="29304" xr:uid="{170A2D5A-8B4F-427F-ADC5-BA4D07D009A3}"/>
    <cellStyle name="Percentuale 53 2 6" xfId="29300" xr:uid="{A2EB01ED-B0A4-4D3F-AD76-B74C2B9CA7C0}"/>
    <cellStyle name="Percentuale 53 3" xfId="1164" xr:uid="{00000000-0005-0000-0000-000048090000}"/>
    <cellStyle name="Percentuale 53 3 2" xfId="1165" xr:uid="{00000000-0005-0000-0000-000049090000}"/>
    <cellStyle name="Percentuale 53 3 2 2" xfId="2464" xr:uid="{00000000-0005-0000-0000-00004A090000}"/>
    <cellStyle name="Percentuale 53 3 2 2 2" xfId="29308" xr:uid="{E999B711-07E9-44D4-99DA-2AC2E006DB74}"/>
    <cellStyle name="Percentuale 53 3 2 2 3" xfId="29307" xr:uid="{FEFA5A69-F6BD-430E-8470-040D515EAD39}"/>
    <cellStyle name="Percentuale 53 3 2 3" xfId="8165" xr:uid="{384A91A4-233B-4177-AABE-A97790E95910}"/>
    <cellStyle name="Percentuale 53 3 2 3 2" xfId="14164" xr:uid="{B939EFC4-91E5-417D-8C08-1B68C711FD7B}"/>
    <cellStyle name="Percentuale 53 3 2 3 3" xfId="29309" xr:uid="{7118D24E-9DE5-4265-97A6-A4E8A376F209}"/>
    <cellStyle name="Percentuale 53 3 2 3 4" xfId="49369" xr:uid="{F3CC97B5-400F-438A-B48F-E9C57752A4F7}"/>
    <cellStyle name="Percentuale 53 3 2 4" xfId="29310" xr:uid="{DD587B54-3BB7-47A4-8ADE-928425190C8A}"/>
    <cellStyle name="Percentuale 53 3 2 5" xfId="29306" xr:uid="{72228C5C-9F66-4962-A2C0-9FAC4E5CDFEC}"/>
    <cellStyle name="Percentuale 53 3 3" xfId="4463" xr:uid="{73EEBFFD-F94D-4600-A89A-9102246D6226}"/>
    <cellStyle name="Percentuale 53 3 3 2" xfId="9542" xr:uid="{509FE8C9-3551-4C60-9350-CE498AEA55E4}"/>
    <cellStyle name="Percentuale 53 3 3 2 2" xfId="29312" xr:uid="{C87E4BA9-1BF8-4A67-8947-EEA6C37ED918}"/>
    <cellStyle name="Percentuale 53 3 3 3" xfId="29313" xr:uid="{C5C06BA3-82D2-48A2-AB2F-4DE5F628AC66}"/>
    <cellStyle name="Percentuale 53 3 3 4" xfId="29314" xr:uid="{109067E0-C59F-4A40-8AF9-A9AEA41AA2D7}"/>
    <cellStyle name="Percentuale 53 3 3 4 2" xfId="49370" xr:uid="{599D0218-5871-43EA-B0EF-A12D05E0D71D}"/>
    <cellStyle name="Percentuale 53 3 3 5" xfId="29311" xr:uid="{3EF15F16-168E-4C72-810F-7431A3117EC3}"/>
    <cellStyle name="Percentuale 53 3 4" xfId="4464" xr:uid="{A480B3C7-376C-4DB9-9A33-2F857A572DAD}"/>
    <cellStyle name="Percentuale 53 3 4 2" xfId="13825" xr:uid="{6DD83D50-363E-4192-B65A-C145F0AF6106}"/>
    <cellStyle name="Percentuale 53 3 4 3" xfId="29315" xr:uid="{A32AEB8D-A7E9-4B24-ACB5-BBC2D680F89F}"/>
    <cellStyle name="Percentuale 53 3 5" xfId="11149" xr:uid="{46C6697D-CEBC-4AB8-9683-2FC64A1C8ACD}"/>
    <cellStyle name="Percentuale 53 3 5 2" xfId="29316" xr:uid="{5BF53576-E84F-44A0-B12C-1BD24FCD87CB}"/>
    <cellStyle name="Percentuale 53 3 6" xfId="29317" xr:uid="{908C3E74-8457-4D70-822F-190CC883D078}"/>
    <cellStyle name="Percentuale 53 3 6 2" xfId="49371" xr:uid="{F14D5CC6-B720-425F-9A9C-26FB8E8329FC}"/>
    <cellStyle name="Percentuale 53 3 7" xfId="29318" xr:uid="{BC498B31-2EBF-40A8-A49F-243D0B46EDAD}"/>
    <cellStyle name="Percentuale 53 3 8" xfId="29305" xr:uid="{CE7F98DC-3376-478E-9A6F-FFAE17E74FD2}"/>
    <cellStyle name="Percentuale 53 4" xfId="2465" xr:uid="{00000000-0005-0000-0000-00004B090000}"/>
    <cellStyle name="Percentuale 53 4 2" xfId="2466" xr:uid="{00000000-0005-0000-0000-00004C090000}"/>
    <cellStyle name="Percentuale 53 4 2 2" xfId="9543" xr:uid="{BABB92F4-5DDE-41E8-804F-E99322A9D42B}"/>
    <cellStyle name="Percentuale 53 4 2 2 2" xfId="29321" xr:uid="{82B86100-5CDE-4867-A7B9-0C713304ABDE}"/>
    <cellStyle name="Percentuale 53 4 2 3" xfId="17950" xr:uid="{28E98D15-783E-46F7-BC5B-C3FF655C30B2}"/>
    <cellStyle name="Percentuale 53 4 2 3 2" xfId="29322" xr:uid="{9CBC0E8E-985F-4F56-807B-6DAEDE55D5FF}"/>
    <cellStyle name="Percentuale 53 4 2 4" xfId="29320" xr:uid="{9C785E75-4F3D-4D70-BFCB-6EEC5B2C9056}"/>
    <cellStyle name="Percentuale 53 4 2 5" xfId="17560" xr:uid="{8CC2E5B4-D8FE-484D-85EE-0B132065B95E}"/>
    <cellStyle name="Percentuale 53 4 3" xfId="9544" xr:uid="{3A3BF43F-5922-4BB8-BD3A-263469CD3F71}"/>
    <cellStyle name="Percentuale 53 4 3 2" xfId="29323" xr:uid="{B6949EEA-282F-4A6B-980D-E9E40EEC34DD}"/>
    <cellStyle name="Percentuale 53 4 4" xfId="29324" xr:uid="{0066B84C-E92C-42E1-8059-490777D1191D}"/>
    <cellStyle name="Percentuale 53 4 5" xfId="29325" xr:uid="{FD4973C9-BABB-4609-97C1-B8A3E97FF3C1}"/>
    <cellStyle name="Percentuale 53 4 5 2" xfId="49372" xr:uid="{B46D378F-8FC7-4AE9-B2A9-7AC6728AD3FA}"/>
    <cellStyle name="Percentuale 53 4 6" xfId="29326" xr:uid="{C54EBCAB-D68C-4B26-B829-D90A0450AD39}"/>
    <cellStyle name="Percentuale 53 4 7" xfId="29319" xr:uid="{964A1254-0D91-4FB2-8B31-5A7618FB77FD}"/>
    <cellStyle name="Percentuale 53 5" xfId="2467" xr:uid="{00000000-0005-0000-0000-00004D090000}"/>
    <cellStyle name="Percentuale 53 5 2" xfId="29328" xr:uid="{E95F4CB1-16B2-47C4-8A36-BD4425623EA1}"/>
    <cellStyle name="Percentuale 53 5 3" xfId="29329" xr:uid="{5C394145-B4A0-42A8-9834-A3505DB1E814}"/>
    <cellStyle name="Percentuale 53 5 3 2" xfId="49373" xr:uid="{AAD55F5A-AD7E-4683-9538-61B88038FB28}"/>
    <cellStyle name="Percentuale 53 5 4" xfId="29330" xr:uid="{2E98C624-0EDE-4BD9-9548-00E4BEF6CD33}"/>
    <cellStyle name="Percentuale 53 5 5" xfId="29327" xr:uid="{1CC29F7A-E6BD-4EA2-9EB6-1CC4520EBF2A}"/>
    <cellStyle name="Percentuale 53 6" xfId="4465" xr:uid="{6BB39013-892E-48F3-BEE5-BB1EBF0493BD}"/>
    <cellStyle name="Percentuale 53 6 2" xfId="9859" xr:uid="{53E63DA0-45AC-429D-889C-3BB51BE977D5}"/>
    <cellStyle name="Percentuale 53 6 3" xfId="29331" xr:uid="{EB60F69F-1DD3-4F08-924F-37913E819322}"/>
    <cellStyle name="Percentuale 53 7" xfId="29332" xr:uid="{1763E743-BC81-4FF7-9E03-0EFAEB86283B}"/>
    <cellStyle name="Percentuale 53 7 2" xfId="49374" xr:uid="{42F12CBF-F43F-4666-BB83-83249C99F6E7}"/>
    <cellStyle name="Percentuale 53 8" xfId="29299" xr:uid="{0F78D449-E2A8-4B93-B949-3380479A847A}"/>
    <cellStyle name="Percentuale 54" xfId="1166" xr:uid="{00000000-0005-0000-0000-00004E090000}"/>
    <cellStyle name="Percentuale 54 2" xfId="1167" xr:uid="{00000000-0005-0000-0000-00004F090000}"/>
    <cellStyle name="Percentuale 54 2 2" xfId="4466" xr:uid="{9CB51E58-AE54-4921-B5AE-AD6820279209}"/>
    <cellStyle name="Percentuale 54 2 2 2" xfId="13611" xr:uid="{94433352-86B8-4F09-8D8E-C367CFDBEB76}"/>
    <cellStyle name="Percentuale 54 2 2 3" xfId="29335" xr:uid="{24AD89DA-287A-448E-9E98-8CA24D3BFFC6}"/>
    <cellStyle name="Percentuale 54 2 3" xfId="13349" xr:uid="{6E89F56E-C5E0-4762-BEE9-1B460F7714BC}"/>
    <cellStyle name="Percentuale 54 2 3 2" xfId="29336" xr:uid="{19E2275C-8CB8-45B5-8E93-F818F4D85FFC}"/>
    <cellStyle name="Percentuale 54 2 4" xfId="29337" xr:uid="{91AD2FC3-B4CF-4E0A-893F-0A45D37F8050}"/>
    <cellStyle name="Percentuale 54 2 4 2" xfId="49375" xr:uid="{CE21182A-DE12-4665-9962-173E069B99F3}"/>
    <cellStyle name="Percentuale 54 2 5" xfId="29338" xr:uid="{CD6BB20A-B9D2-4B19-A0A1-C13460704EB5}"/>
    <cellStyle name="Percentuale 54 2 6" xfId="29334" xr:uid="{EADF3066-9783-4265-A140-EC52458D650B}"/>
    <cellStyle name="Percentuale 54 3" xfId="1168" xr:uid="{00000000-0005-0000-0000-000050090000}"/>
    <cellStyle name="Percentuale 54 3 2" xfId="1169" xr:uid="{00000000-0005-0000-0000-000051090000}"/>
    <cellStyle name="Percentuale 54 3 2 2" xfId="2468" xr:uid="{00000000-0005-0000-0000-000052090000}"/>
    <cellStyle name="Percentuale 54 3 2 2 2" xfId="29342" xr:uid="{F7C60E93-84DE-45FD-8B32-7EC7778A5942}"/>
    <cellStyle name="Percentuale 54 3 2 2 3" xfId="29341" xr:uid="{9CD248D5-822F-4FFB-A2CC-B18A21EA96B6}"/>
    <cellStyle name="Percentuale 54 3 2 3" xfId="8166" xr:uid="{8A18DE06-8251-42CF-B7B4-F08F50D59A43}"/>
    <cellStyle name="Percentuale 54 3 2 3 2" xfId="14165" xr:uid="{1FB27557-972D-469B-A343-49B8BA578798}"/>
    <cellStyle name="Percentuale 54 3 2 3 3" xfId="29343" xr:uid="{460D7558-1022-4E1F-8661-FD64C8A301D3}"/>
    <cellStyle name="Percentuale 54 3 2 3 4" xfId="49376" xr:uid="{65B3961E-B305-4BE1-8845-B11B7B587342}"/>
    <cellStyle name="Percentuale 54 3 2 4" xfId="29344" xr:uid="{1DEBA949-EAEF-41BD-A164-D7881F8AAE76}"/>
    <cellStyle name="Percentuale 54 3 2 5" xfId="29340" xr:uid="{AC59A862-AEB5-4DA7-B726-B2A4B419A436}"/>
    <cellStyle name="Percentuale 54 3 3" xfId="4467" xr:uid="{1AFC0FB9-37D3-41E3-929E-2571C5F13EBD}"/>
    <cellStyle name="Percentuale 54 3 3 2" xfId="9545" xr:uid="{97861677-51E9-4313-8EC1-F3DA2EFEE9E2}"/>
    <cellStyle name="Percentuale 54 3 3 2 2" xfId="29346" xr:uid="{3CC56120-0C68-4EBC-BCF0-32F0284B5A72}"/>
    <cellStyle name="Percentuale 54 3 3 3" xfId="29347" xr:uid="{27F4D882-6042-4A8D-A488-6178A50774E8}"/>
    <cellStyle name="Percentuale 54 3 3 4" xfId="29348" xr:uid="{71A54F45-87F2-4A38-97A1-9E2B9BF53E5F}"/>
    <cellStyle name="Percentuale 54 3 3 4 2" xfId="49377" xr:uid="{3296F168-2962-4CA6-977F-5018703AE3C1}"/>
    <cellStyle name="Percentuale 54 3 3 5" xfId="29345" xr:uid="{5AE3C42F-9204-4749-871D-1ACDEB47C339}"/>
    <cellStyle name="Percentuale 54 3 4" xfId="4468" xr:uid="{93EA9C93-C781-475A-8DD1-937844A4F1CC}"/>
    <cellStyle name="Percentuale 54 3 4 2" xfId="13826" xr:uid="{7AEA055F-8D6F-40FC-B538-E2E4999CD42D}"/>
    <cellStyle name="Percentuale 54 3 4 3" xfId="29349" xr:uid="{05295746-8DED-4D2B-92FF-0B9B5214ACC2}"/>
    <cellStyle name="Percentuale 54 3 5" xfId="12444" xr:uid="{23B90E1A-125E-4A28-93A5-1E6EA6076233}"/>
    <cellStyle name="Percentuale 54 3 5 2" xfId="29350" xr:uid="{4D99B90F-4944-452D-8226-CC13B4C812E5}"/>
    <cellStyle name="Percentuale 54 3 6" xfId="29351" xr:uid="{9D09921A-5FA1-4BFF-A4BC-7E06606B9B71}"/>
    <cellStyle name="Percentuale 54 3 6 2" xfId="49378" xr:uid="{795290F1-047D-41D8-9550-BB8D50E41391}"/>
    <cellStyle name="Percentuale 54 3 7" xfId="29352" xr:uid="{B7295BA0-F8BB-49BC-9C5E-F469B7F30A58}"/>
    <cellStyle name="Percentuale 54 3 8" xfId="29339" xr:uid="{0239128C-402A-4454-97B0-97EEE89CBAAD}"/>
    <cellStyle name="Percentuale 54 4" xfId="2469" xr:uid="{00000000-0005-0000-0000-000053090000}"/>
    <cellStyle name="Percentuale 54 4 2" xfId="2470" xr:uid="{00000000-0005-0000-0000-000054090000}"/>
    <cellStyle name="Percentuale 54 4 2 2" xfId="9546" xr:uid="{C18F473C-BD26-4281-8777-0E64261946F2}"/>
    <cellStyle name="Percentuale 54 4 2 2 2" xfId="29355" xr:uid="{5E2C58B3-CC3E-4282-A9BE-793CB1582018}"/>
    <cellStyle name="Percentuale 54 4 2 3" xfId="17951" xr:uid="{03086B8F-E982-452F-9C73-49699B9D7F1D}"/>
    <cellStyle name="Percentuale 54 4 2 3 2" xfId="29356" xr:uid="{62539E07-30FA-4459-9B4E-7FA164F48D63}"/>
    <cellStyle name="Percentuale 54 4 2 4" xfId="29354" xr:uid="{E5569C75-0F62-4C59-8356-8D78B2AF9EB9}"/>
    <cellStyle name="Percentuale 54 4 2 5" xfId="17561" xr:uid="{F0C53031-B8C3-466F-BC6A-91D09E7710B8}"/>
    <cellStyle name="Percentuale 54 4 3" xfId="9547" xr:uid="{CF048925-CFCA-4A82-9087-E920207B0E60}"/>
    <cellStyle name="Percentuale 54 4 3 2" xfId="29357" xr:uid="{A203A486-FD4C-4DA1-827B-1191BC09E9B4}"/>
    <cellStyle name="Percentuale 54 4 4" xfId="29358" xr:uid="{00A54A84-2A84-418F-8A03-299F592C561D}"/>
    <cellStyle name="Percentuale 54 4 5" xfId="29359" xr:uid="{25D19E1A-531C-411D-BE42-CFE22AA09027}"/>
    <cellStyle name="Percentuale 54 4 5 2" xfId="49379" xr:uid="{66C3FE1F-B3C9-46B0-9499-A814E49EEA8C}"/>
    <cellStyle name="Percentuale 54 4 6" xfId="29360" xr:uid="{C3BDF8B7-A9EA-482E-A871-4B871E005C64}"/>
    <cellStyle name="Percentuale 54 4 7" xfId="29353" xr:uid="{6A40EBB1-4A42-46A8-A24A-9D19125F53DC}"/>
    <cellStyle name="Percentuale 54 5" xfId="2471" xr:uid="{00000000-0005-0000-0000-000055090000}"/>
    <cellStyle name="Percentuale 54 5 2" xfId="29362" xr:uid="{6EEF35B1-1302-480F-9B7C-2F33939B8F10}"/>
    <cellStyle name="Percentuale 54 5 3" xfId="29363" xr:uid="{E6B3BBAB-1D28-492A-B1FE-EADDBAF2A9DF}"/>
    <cellStyle name="Percentuale 54 5 3 2" xfId="49380" xr:uid="{8FE01A1C-DC8F-42E8-8C8C-14A3114FE397}"/>
    <cellStyle name="Percentuale 54 5 4" xfId="29364" xr:uid="{28433A82-C817-400C-A6B0-3EE6C0C42483}"/>
    <cellStyle name="Percentuale 54 5 5" xfId="29361" xr:uid="{65E57F4D-2243-440D-B70B-7F744EA5F226}"/>
    <cellStyle name="Percentuale 54 6" xfId="4469" xr:uid="{6CECE403-2B12-45D1-88B1-DFF6DD22191D}"/>
    <cellStyle name="Percentuale 54 6 2" xfId="9860" xr:uid="{01DAEAA4-E1E3-444E-AC12-DEF030E13631}"/>
    <cellStyle name="Percentuale 54 6 3" xfId="29365" xr:uid="{D1158EB6-7F34-4A92-BA48-6EB14AA8BC16}"/>
    <cellStyle name="Percentuale 54 7" xfId="29366" xr:uid="{EC99510C-FDDD-4524-BA42-2517CE395F55}"/>
    <cellStyle name="Percentuale 54 7 2" xfId="49381" xr:uid="{2F9D93D0-C257-4580-8989-966E8A9AA970}"/>
    <cellStyle name="Percentuale 54 8" xfId="29333" xr:uid="{3507E3D6-4EE9-4F57-9F5D-4F5BB40C6C59}"/>
    <cellStyle name="Percentuale 55" xfId="1170" xr:uid="{00000000-0005-0000-0000-000056090000}"/>
    <cellStyle name="Percentuale 55 2" xfId="1171" xr:uid="{00000000-0005-0000-0000-000057090000}"/>
    <cellStyle name="Percentuale 55 2 2" xfId="4470" xr:uid="{F977554A-A1E0-4371-A64D-8DFB23416A3E}"/>
    <cellStyle name="Percentuale 55 2 2 2" xfId="13612" xr:uid="{261B27C8-8A21-47D6-B39B-EE45CFF5B369}"/>
    <cellStyle name="Percentuale 55 2 2 3" xfId="29369" xr:uid="{00CD2697-4A54-47A5-A545-492143AD4283}"/>
    <cellStyle name="Percentuale 55 2 3" xfId="13350" xr:uid="{2E6CADAC-B32C-48C8-BD11-8A304F92F864}"/>
    <cellStyle name="Percentuale 55 2 3 2" xfId="29370" xr:uid="{7B6A6DE1-8E37-4B64-B4EA-D9027F6D8C91}"/>
    <cellStyle name="Percentuale 55 2 4" xfId="29371" xr:uid="{5A5E256A-27B8-46C2-8D3A-45C931EC4852}"/>
    <cellStyle name="Percentuale 55 2 4 2" xfId="49382" xr:uid="{9A42E6A7-E15B-46EF-8F42-B3FFCFC0CC75}"/>
    <cellStyle name="Percentuale 55 2 5" xfId="29372" xr:uid="{B1E4E81C-6249-4F77-9E5B-606C02118AD1}"/>
    <cellStyle name="Percentuale 55 2 6" xfId="29368" xr:uid="{161F9FB9-6F21-4882-900D-0EB9E3C3366A}"/>
    <cellStyle name="Percentuale 55 3" xfId="1172" xr:uid="{00000000-0005-0000-0000-000058090000}"/>
    <cellStyle name="Percentuale 55 3 2" xfId="1173" xr:uid="{00000000-0005-0000-0000-000059090000}"/>
    <cellStyle name="Percentuale 55 3 2 2" xfId="2472" xr:uid="{00000000-0005-0000-0000-00005A090000}"/>
    <cellStyle name="Percentuale 55 3 2 2 2" xfId="29376" xr:uid="{768CD86E-3D48-4C37-AFBA-44B680BBAFEA}"/>
    <cellStyle name="Percentuale 55 3 2 2 3" xfId="29375" xr:uid="{E62B20CE-EABD-47C3-9EC8-989EBA0AA855}"/>
    <cellStyle name="Percentuale 55 3 2 3" xfId="8167" xr:uid="{FB77503F-077B-4B86-8987-69FCE2FC54C3}"/>
    <cellStyle name="Percentuale 55 3 2 3 2" xfId="14166" xr:uid="{72E1973D-8FBA-4447-9319-4CC88AC67D21}"/>
    <cellStyle name="Percentuale 55 3 2 3 3" xfId="29377" xr:uid="{E691DAAC-29C6-4DE3-B18C-A2EACAB3A480}"/>
    <cellStyle name="Percentuale 55 3 2 3 4" xfId="49383" xr:uid="{9BFA03E0-882E-48AF-B43A-EA8245E6D92B}"/>
    <cellStyle name="Percentuale 55 3 2 4" xfId="29378" xr:uid="{021F088F-BA89-401E-B332-24C10C5F7C0F}"/>
    <cellStyle name="Percentuale 55 3 2 5" xfId="29374" xr:uid="{1CB7A934-1FCB-42CB-82CD-792858577D95}"/>
    <cellStyle name="Percentuale 55 3 3" xfId="4471" xr:uid="{C2FFB8A8-5D03-4ED2-BE07-006F14C9E749}"/>
    <cellStyle name="Percentuale 55 3 3 2" xfId="9548" xr:uid="{D2BE6383-12A6-40CD-BFA9-09FA1A02A912}"/>
    <cellStyle name="Percentuale 55 3 3 2 2" xfId="29380" xr:uid="{8E4400AA-D812-442D-9DBF-B0C97D00B52A}"/>
    <cellStyle name="Percentuale 55 3 3 3" xfId="29381" xr:uid="{13693C22-B3F7-4F29-943D-1D3E402A98A2}"/>
    <cellStyle name="Percentuale 55 3 3 4" xfId="29382" xr:uid="{5692E7B7-3433-42A6-87CA-8E1829CA4BCC}"/>
    <cellStyle name="Percentuale 55 3 3 4 2" xfId="49384" xr:uid="{B737618A-C51F-403B-A3CE-3867D36D9F0B}"/>
    <cellStyle name="Percentuale 55 3 3 5" xfId="29379" xr:uid="{69DFFAA7-A253-4173-9447-812039E0C9A1}"/>
    <cellStyle name="Percentuale 55 3 4" xfId="4472" xr:uid="{001A7FF7-02E7-4400-AC99-85F2DD4CE3F9}"/>
    <cellStyle name="Percentuale 55 3 4 2" xfId="13827" xr:uid="{0C7065DC-9937-4B5F-B47E-F9539290E51D}"/>
    <cellStyle name="Percentuale 55 3 4 3" xfId="29383" xr:uid="{4D632E55-618D-4D09-80CC-C0F69F6F7B37}"/>
    <cellStyle name="Percentuale 55 3 5" xfId="11091" xr:uid="{BDD772E3-D91E-4871-9968-8B8BD03DCD94}"/>
    <cellStyle name="Percentuale 55 3 5 2" xfId="29384" xr:uid="{17B8D922-63D8-4B89-9666-6CB2E705BEC8}"/>
    <cellStyle name="Percentuale 55 3 6" xfId="29385" xr:uid="{1775C313-FB47-475D-AFFC-BB7E40B799EB}"/>
    <cellStyle name="Percentuale 55 3 6 2" xfId="49385" xr:uid="{0DAC025D-7EF3-4DAD-8637-B576E9301373}"/>
    <cellStyle name="Percentuale 55 3 7" xfId="29386" xr:uid="{4B042283-080E-4477-A199-F04C3DCF8ED8}"/>
    <cellStyle name="Percentuale 55 3 8" xfId="29373" xr:uid="{3409EB22-7DE7-4AFF-BAB5-9D1A44CACA75}"/>
    <cellStyle name="Percentuale 55 4" xfId="2473" xr:uid="{00000000-0005-0000-0000-00005B090000}"/>
    <cellStyle name="Percentuale 55 4 2" xfId="2474" xr:uid="{00000000-0005-0000-0000-00005C090000}"/>
    <cellStyle name="Percentuale 55 4 2 2" xfId="9549" xr:uid="{53AC282B-D0C5-46D8-9016-99D47B8C70DA}"/>
    <cellStyle name="Percentuale 55 4 2 2 2" xfId="29389" xr:uid="{1D4D563B-D18A-4B99-8280-A972172BA04B}"/>
    <cellStyle name="Percentuale 55 4 2 3" xfId="17952" xr:uid="{2F0C6D83-D131-474F-BDBA-B4B438FF6D72}"/>
    <cellStyle name="Percentuale 55 4 2 3 2" xfId="29390" xr:uid="{D56ECE58-1476-442F-A191-FDA5BEEE52F5}"/>
    <cellStyle name="Percentuale 55 4 2 4" xfId="29388" xr:uid="{46E1E8D3-FB4C-4E58-9F44-AAC570C859D3}"/>
    <cellStyle name="Percentuale 55 4 2 5" xfId="17562" xr:uid="{075CAC2F-973D-4840-ACD4-0FB863C85BEA}"/>
    <cellStyle name="Percentuale 55 4 3" xfId="9550" xr:uid="{76A31C9A-6C3D-4A2D-B176-44676B2883B4}"/>
    <cellStyle name="Percentuale 55 4 3 2" xfId="29391" xr:uid="{48553474-AA16-4B8C-A6A0-64D4CCC71F24}"/>
    <cellStyle name="Percentuale 55 4 4" xfId="29392" xr:uid="{81C32C01-C1BA-4A86-BC3A-F03BDF2F97D9}"/>
    <cellStyle name="Percentuale 55 4 5" xfId="29393" xr:uid="{A771B145-0329-42C8-B99A-8C74D266F5FA}"/>
    <cellStyle name="Percentuale 55 4 5 2" xfId="49386" xr:uid="{DF33CAC7-48AD-4AD9-A5F8-4415AB6B410D}"/>
    <cellStyle name="Percentuale 55 4 6" xfId="29394" xr:uid="{85BBAF57-7211-475E-995D-4BBF6608B43C}"/>
    <cellStyle name="Percentuale 55 4 7" xfId="29387" xr:uid="{BC63B229-71AF-49E8-BAEE-9547D3F638F7}"/>
    <cellStyle name="Percentuale 55 5" xfId="2475" xr:uid="{00000000-0005-0000-0000-00005D090000}"/>
    <cellStyle name="Percentuale 55 5 2" xfId="29396" xr:uid="{FC0E9DE3-07F8-4104-B72D-12E979284010}"/>
    <cellStyle name="Percentuale 55 5 3" xfId="29397" xr:uid="{2BC90B33-F5AE-4B3E-BC32-1B1C10D20CBD}"/>
    <cellStyle name="Percentuale 55 5 3 2" xfId="49387" xr:uid="{E81B7267-8C60-465C-AA6D-95A16EB7941E}"/>
    <cellStyle name="Percentuale 55 5 4" xfId="29398" xr:uid="{E910BCD5-6186-495A-884F-BB7823126896}"/>
    <cellStyle name="Percentuale 55 5 5" xfId="29395" xr:uid="{FD72D246-B088-42A6-A716-3246C94A3790}"/>
    <cellStyle name="Percentuale 55 6" xfId="4473" xr:uid="{5CBE3484-BF68-442A-9E8D-E89ABD37FFB0}"/>
    <cellStyle name="Percentuale 55 6 2" xfId="9861" xr:uid="{42CA5658-E0E5-47A9-80B9-976237AACDB8}"/>
    <cellStyle name="Percentuale 55 6 3" xfId="29399" xr:uid="{B836F89D-CDFD-413C-A0CE-D51AE8BDC455}"/>
    <cellStyle name="Percentuale 55 7" xfId="29400" xr:uid="{BCE8AB7C-34F6-44D5-B677-49649BBB810B}"/>
    <cellStyle name="Percentuale 55 7 2" xfId="49388" xr:uid="{D0C03CD6-1308-4CC5-8603-B10B6BD5A0F0}"/>
    <cellStyle name="Percentuale 55 8" xfId="29367" xr:uid="{708D938C-ADC5-4202-8CB6-89EEF012D117}"/>
    <cellStyle name="Percentuale 56" xfId="1174" xr:uid="{00000000-0005-0000-0000-00005E090000}"/>
    <cellStyle name="Percentuale 56 2" xfId="1175" xr:uid="{00000000-0005-0000-0000-00005F090000}"/>
    <cellStyle name="Percentuale 56 2 2" xfId="4474" xr:uid="{F0A729FD-68FA-4960-B068-48806F9B3947}"/>
    <cellStyle name="Percentuale 56 2 2 2" xfId="13613" xr:uid="{4F39F6A1-4DEF-4AE7-9240-431B3528B9AF}"/>
    <cellStyle name="Percentuale 56 2 2 3" xfId="29403" xr:uid="{D1E3A082-6FEC-47D8-8FAE-A15B04DDCF19}"/>
    <cellStyle name="Percentuale 56 2 3" xfId="13351" xr:uid="{F7127C1F-CF0A-47DD-99B4-0AF4AFFB097C}"/>
    <cellStyle name="Percentuale 56 2 3 2" xfId="29404" xr:uid="{F461F4A5-5FE5-477A-958E-16CF087A2766}"/>
    <cellStyle name="Percentuale 56 2 4" xfId="29405" xr:uid="{997BF474-D49C-4B1A-80C2-C8EB4DECE804}"/>
    <cellStyle name="Percentuale 56 2 4 2" xfId="49389" xr:uid="{94287EE0-0FD4-4E37-A256-63A13FE8E02E}"/>
    <cellStyle name="Percentuale 56 2 5" xfId="29406" xr:uid="{FF018137-30BF-4DB6-AE0F-4F90E02FF699}"/>
    <cellStyle name="Percentuale 56 2 6" xfId="29402" xr:uid="{2793A5F4-ED55-4ECD-BBEB-533C73596ACD}"/>
    <cellStyle name="Percentuale 56 3" xfId="1176" xr:uid="{00000000-0005-0000-0000-000060090000}"/>
    <cellStyle name="Percentuale 56 3 2" xfId="1177" xr:uid="{00000000-0005-0000-0000-000061090000}"/>
    <cellStyle name="Percentuale 56 3 2 2" xfId="2476" xr:uid="{00000000-0005-0000-0000-000062090000}"/>
    <cellStyle name="Percentuale 56 3 2 2 2" xfId="29410" xr:uid="{0B71B231-D3C5-4748-B82D-74E2348B6560}"/>
    <cellStyle name="Percentuale 56 3 2 2 3" xfId="29409" xr:uid="{2A9CFA4C-CEA9-47E1-8A3D-D3B37A7B131A}"/>
    <cellStyle name="Percentuale 56 3 2 3" xfId="8168" xr:uid="{AFB2EDC4-7BD4-42A2-BE4C-DA747D87DE23}"/>
    <cellStyle name="Percentuale 56 3 2 3 2" xfId="14167" xr:uid="{8F1D520D-7E21-48FB-A0D4-AE44A417A98F}"/>
    <cellStyle name="Percentuale 56 3 2 3 3" xfId="29411" xr:uid="{46996D8B-B72A-4729-9DEB-B59D89F52EEC}"/>
    <cellStyle name="Percentuale 56 3 2 3 4" xfId="49390" xr:uid="{21A52B25-9514-4AC1-B780-92AE7CB1ABD0}"/>
    <cellStyle name="Percentuale 56 3 2 4" xfId="29412" xr:uid="{E840C89D-D585-44AC-8751-252CB6AE677F}"/>
    <cellStyle name="Percentuale 56 3 2 5" xfId="29408" xr:uid="{411F648F-8A51-40E2-809E-A86D39A16B4A}"/>
    <cellStyle name="Percentuale 56 3 3" xfId="4475" xr:uid="{15F86343-1FE0-4152-AC6A-79AD02705EF5}"/>
    <cellStyle name="Percentuale 56 3 3 2" xfId="9551" xr:uid="{B9E38259-E31F-4639-B598-01F21C3A4CA6}"/>
    <cellStyle name="Percentuale 56 3 3 2 2" xfId="29414" xr:uid="{6B83BA1A-9C16-4D32-B310-408F78A0F24E}"/>
    <cellStyle name="Percentuale 56 3 3 3" xfId="29415" xr:uid="{079BEC42-4D6D-4887-8894-63D8D996D686}"/>
    <cellStyle name="Percentuale 56 3 3 4" xfId="29416" xr:uid="{B1ECE60F-1917-46CA-BAA3-9D0219D906CD}"/>
    <cellStyle name="Percentuale 56 3 3 4 2" xfId="49391" xr:uid="{D79DF9A0-1F97-4CAC-AA0E-384F6636FC55}"/>
    <cellStyle name="Percentuale 56 3 3 5" xfId="29413" xr:uid="{EAB86EE6-58EF-4C3E-994C-095D59783724}"/>
    <cellStyle name="Percentuale 56 3 4" xfId="4476" xr:uid="{BCAEFA1A-ADA8-4152-89B9-840C6CC2BACA}"/>
    <cellStyle name="Percentuale 56 3 4 2" xfId="13828" xr:uid="{12F37C21-E68B-4EB7-90F0-3DBA906CC731}"/>
    <cellStyle name="Percentuale 56 3 4 3" xfId="29417" xr:uid="{CFDC63FE-1865-42C4-B035-980C069DCA1A}"/>
    <cellStyle name="Percentuale 56 3 5" xfId="12266" xr:uid="{C3F53CB6-1F98-4DBF-95C6-C469D4287C6A}"/>
    <cellStyle name="Percentuale 56 3 5 2" xfId="29418" xr:uid="{3AB5EEE4-10C8-4E76-8CF8-0EA47626413C}"/>
    <cellStyle name="Percentuale 56 3 6" xfId="29419" xr:uid="{C6B06292-01BC-48EB-8CCA-485CBA7A9DED}"/>
    <cellStyle name="Percentuale 56 3 6 2" xfId="49392" xr:uid="{3498A0B3-2BB7-46CE-8789-AE4DE980133E}"/>
    <cellStyle name="Percentuale 56 3 7" xfId="29420" xr:uid="{8E16837B-54EF-4613-9E10-964534EC723F}"/>
    <cellStyle name="Percentuale 56 3 8" xfId="29407" xr:uid="{B6F08AA6-7FF2-4771-93AD-F8FB8EE83200}"/>
    <cellStyle name="Percentuale 56 4" xfId="2477" xr:uid="{00000000-0005-0000-0000-000063090000}"/>
    <cellStyle name="Percentuale 56 4 2" xfId="2478" xr:uid="{00000000-0005-0000-0000-000064090000}"/>
    <cellStyle name="Percentuale 56 4 2 2" xfId="9552" xr:uid="{D78D3859-D983-4E1B-8301-7CCC31EF8552}"/>
    <cellStyle name="Percentuale 56 4 2 2 2" xfId="29423" xr:uid="{E01750D9-0080-4AFD-8E55-F3E0E2673B39}"/>
    <cellStyle name="Percentuale 56 4 2 3" xfId="17953" xr:uid="{B5D1EA6B-E0E9-4477-B127-9EA25A89A6B3}"/>
    <cellStyle name="Percentuale 56 4 2 3 2" xfId="29424" xr:uid="{BDE972DA-9C6C-4B50-A155-9F008F4AAA3C}"/>
    <cellStyle name="Percentuale 56 4 2 4" xfId="29422" xr:uid="{7DFB6CE1-11E3-4B25-8B4E-DC59B973C1F5}"/>
    <cellStyle name="Percentuale 56 4 2 5" xfId="17563" xr:uid="{508A86FB-0B0E-43A8-A098-5BD5A30619CA}"/>
    <cellStyle name="Percentuale 56 4 3" xfId="9553" xr:uid="{FA4A4B30-F5DE-44B0-B563-57195A53157C}"/>
    <cellStyle name="Percentuale 56 4 3 2" xfId="29425" xr:uid="{78CDB0E0-D36D-423D-95D5-CDEE4380EE6C}"/>
    <cellStyle name="Percentuale 56 4 4" xfId="29426" xr:uid="{ADFB3F5D-BA88-44B7-8CBF-3E40B66BB6A1}"/>
    <cellStyle name="Percentuale 56 4 5" xfId="29427" xr:uid="{51415184-6651-4654-97DF-2CB7387F3CF3}"/>
    <cellStyle name="Percentuale 56 4 5 2" xfId="49393" xr:uid="{E5FF16A7-440A-403A-9AF9-D15153BC6522}"/>
    <cellStyle name="Percentuale 56 4 6" xfId="29428" xr:uid="{A6B48742-4054-4DB8-AD5A-5B0B83893FE1}"/>
    <cellStyle name="Percentuale 56 4 7" xfId="29421" xr:uid="{F869B540-8162-4384-A87A-1F5A62571AFE}"/>
    <cellStyle name="Percentuale 56 5" xfId="2479" xr:uid="{00000000-0005-0000-0000-000065090000}"/>
    <cellStyle name="Percentuale 56 5 2" xfId="29430" xr:uid="{778C48FF-280B-4E9E-9FBF-09DD70A397D2}"/>
    <cellStyle name="Percentuale 56 5 3" xfId="29431" xr:uid="{676DEB36-0EE4-4723-B1D7-EF0E31DC2287}"/>
    <cellStyle name="Percentuale 56 5 3 2" xfId="49394" xr:uid="{CC76C6BB-E906-4588-B113-B6ABA31D5B2E}"/>
    <cellStyle name="Percentuale 56 5 4" xfId="29432" xr:uid="{AEC4EA85-9921-48E0-A760-A9E8EBA03293}"/>
    <cellStyle name="Percentuale 56 5 5" xfId="29429" xr:uid="{3C671BF2-4107-4DC7-9F9D-76F258B57676}"/>
    <cellStyle name="Percentuale 56 6" xfId="4477" xr:uid="{878B95F7-D7C0-476D-86EA-11C9A1EAF050}"/>
    <cellStyle name="Percentuale 56 6 2" xfId="9862" xr:uid="{E3EF8EB4-E02B-400C-BD6B-EDDAD7579E45}"/>
    <cellStyle name="Percentuale 56 6 3" xfId="29433" xr:uid="{235C3ED6-54E7-47F2-A055-A87503D4CA76}"/>
    <cellStyle name="Percentuale 56 7" xfId="29434" xr:uid="{689A9318-58EF-4AAC-892E-5EA2376A820E}"/>
    <cellStyle name="Percentuale 56 7 2" xfId="49395" xr:uid="{DBFEBB5A-60C5-486E-B50B-FE7987D040B4}"/>
    <cellStyle name="Percentuale 56 8" xfId="29401" xr:uid="{B09A75A6-0FBA-4A8D-9CBA-E4CFCB8A0912}"/>
    <cellStyle name="Percentuale 57" xfId="1178" xr:uid="{00000000-0005-0000-0000-000066090000}"/>
    <cellStyle name="Percentuale 57 2" xfId="1179" xr:uid="{00000000-0005-0000-0000-000067090000}"/>
    <cellStyle name="Percentuale 57 2 2" xfId="4478" xr:uid="{802071B6-1DB8-4E88-9284-268E36F95370}"/>
    <cellStyle name="Percentuale 57 2 2 2" xfId="13614" xr:uid="{38E60120-E654-4B94-A9CA-7FBF57659427}"/>
    <cellStyle name="Percentuale 57 2 2 3" xfId="29437" xr:uid="{8667B7A2-0575-42DD-986D-AF143E44649F}"/>
    <cellStyle name="Percentuale 57 2 3" xfId="13352" xr:uid="{E707B1B0-80B1-4433-BE43-657A693FFDBB}"/>
    <cellStyle name="Percentuale 57 2 3 2" xfId="29438" xr:uid="{B78762D8-29FC-4255-A9B2-089220860ADC}"/>
    <cellStyle name="Percentuale 57 2 4" xfId="29439" xr:uid="{C5263115-0005-422E-96B3-AFD6E1515F79}"/>
    <cellStyle name="Percentuale 57 2 4 2" xfId="49396" xr:uid="{3F319650-6300-4646-9857-A2701160DDCA}"/>
    <cellStyle name="Percentuale 57 2 5" xfId="29440" xr:uid="{CD8D946C-F1FD-4964-8EAD-1DB4592638C3}"/>
    <cellStyle name="Percentuale 57 2 6" xfId="29436" xr:uid="{AC73D82C-037B-4F1A-A32C-BB04855D0120}"/>
    <cellStyle name="Percentuale 57 3" xfId="1180" xr:uid="{00000000-0005-0000-0000-000068090000}"/>
    <cellStyle name="Percentuale 57 3 2" xfId="1181" xr:uid="{00000000-0005-0000-0000-000069090000}"/>
    <cellStyle name="Percentuale 57 3 2 2" xfId="2480" xr:uid="{00000000-0005-0000-0000-00006A090000}"/>
    <cellStyle name="Percentuale 57 3 2 2 2" xfId="29444" xr:uid="{132A0B16-ED0B-4E9E-89C4-067D446E9C5A}"/>
    <cellStyle name="Percentuale 57 3 2 2 3" xfId="29443" xr:uid="{D02453D5-8DEA-4587-9AB8-64637005001B}"/>
    <cellStyle name="Percentuale 57 3 2 3" xfId="8169" xr:uid="{97E1D6F7-7E0D-4734-B52E-616B2DB4EC86}"/>
    <cellStyle name="Percentuale 57 3 2 3 2" xfId="14168" xr:uid="{5157D379-FFC0-42D8-BFDF-CDD7284CE272}"/>
    <cellStyle name="Percentuale 57 3 2 3 3" xfId="29445" xr:uid="{551BC0EB-CFF6-4C01-91A9-BDA21B2DD44F}"/>
    <cellStyle name="Percentuale 57 3 2 3 4" xfId="49397" xr:uid="{1C741D8E-4C21-466D-AD01-CC5C401748BA}"/>
    <cellStyle name="Percentuale 57 3 2 4" xfId="29446" xr:uid="{14DB0F41-36E9-428C-B6EC-AEB9427A4F97}"/>
    <cellStyle name="Percentuale 57 3 2 5" xfId="29442" xr:uid="{314B5004-8257-4E74-84F3-1E16133C4DDC}"/>
    <cellStyle name="Percentuale 57 3 3" xfId="4479" xr:uid="{9A432AAB-FE07-49DF-A2EB-9027ACFACA74}"/>
    <cellStyle name="Percentuale 57 3 3 2" xfId="9554" xr:uid="{58DD033C-3DA4-47D4-9D52-63F36B621DC1}"/>
    <cellStyle name="Percentuale 57 3 3 2 2" xfId="29448" xr:uid="{0F54F854-B347-4932-B344-4BA7C00D8FF5}"/>
    <cellStyle name="Percentuale 57 3 3 3" xfId="29449" xr:uid="{7B5CEF22-C165-45AF-A7E3-3EE4B0B60D59}"/>
    <cellStyle name="Percentuale 57 3 3 4" xfId="29450" xr:uid="{C4724668-5806-4520-A92A-5EA8F78F17DF}"/>
    <cellStyle name="Percentuale 57 3 3 4 2" xfId="49398" xr:uid="{ADFC96D6-C45E-4CBD-9D77-90BC25B8A68A}"/>
    <cellStyle name="Percentuale 57 3 3 5" xfId="29447" xr:uid="{5DEF1111-5614-4D6E-818A-446429DA09BA}"/>
    <cellStyle name="Percentuale 57 3 4" xfId="4480" xr:uid="{2256E624-F931-48E6-B76A-6CB5BC4F81A5}"/>
    <cellStyle name="Percentuale 57 3 4 2" xfId="13829" xr:uid="{522EEE0C-ABDA-4F15-BE65-10090EC3D72F}"/>
    <cellStyle name="Percentuale 57 3 4 3" xfId="29451" xr:uid="{38E524F9-D94E-4619-8875-8718924B829D}"/>
    <cellStyle name="Percentuale 57 3 5" xfId="12435" xr:uid="{349FAFAA-71D5-4718-8E1A-72369C43ED5D}"/>
    <cellStyle name="Percentuale 57 3 5 2" xfId="29452" xr:uid="{DE87202E-EB54-446E-BD99-778962A8D03C}"/>
    <cellStyle name="Percentuale 57 3 6" xfId="29453" xr:uid="{293A1C16-DC06-41CA-8F29-8C6076187FC9}"/>
    <cellStyle name="Percentuale 57 3 6 2" xfId="49399" xr:uid="{A16586E0-6A88-40D8-B16A-08D40E6B506D}"/>
    <cellStyle name="Percentuale 57 3 7" xfId="29454" xr:uid="{B21E89B6-7A98-4C17-9806-8B490E2F3D2C}"/>
    <cellStyle name="Percentuale 57 3 8" xfId="29441" xr:uid="{EFEEB854-CDB3-4F21-A0AF-C4B993037E1A}"/>
    <cellStyle name="Percentuale 57 4" xfId="2481" xr:uid="{00000000-0005-0000-0000-00006B090000}"/>
    <cellStyle name="Percentuale 57 4 2" xfId="2482" xr:uid="{00000000-0005-0000-0000-00006C090000}"/>
    <cellStyle name="Percentuale 57 4 2 2" xfId="9555" xr:uid="{024483D0-4BE2-47BA-87FB-405F6F24F5DD}"/>
    <cellStyle name="Percentuale 57 4 2 2 2" xfId="29457" xr:uid="{26F0BD4A-4099-4818-BFD9-6971E15F96B5}"/>
    <cellStyle name="Percentuale 57 4 2 3" xfId="17954" xr:uid="{0934BBCB-8038-4D7C-AAE9-6EC4759F4907}"/>
    <cellStyle name="Percentuale 57 4 2 3 2" xfId="29458" xr:uid="{4B015CA6-2AD2-4F9B-B71F-6008056906A3}"/>
    <cellStyle name="Percentuale 57 4 2 4" xfId="29456" xr:uid="{CA1E8916-4B63-488E-B475-49A15F66FF41}"/>
    <cellStyle name="Percentuale 57 4 2 5" xfId="17565" xr:uid="{0C56BD17-8D9C-49E4-BCF8-AA0FB283222C}"/>
    <cellStyle name="Percentuale 57 4 3" xfId="9556" xr:uid="{AE6145FB-B82E-4B35-A6D5-9AB41C07C8AB}"/>
    <cellStyle name="Percentuale 57 4 3 2" xfId="29459" xr:uid="{A5DC4AB1-FD7F-4236-8935-384265D0A2DE}"/>
    <cellStyle name="Percentuale 57 4 4" xfId="29460" xr:uid="{3CAFF113-25A8-45C6-9A37-0685BAA55FE4}"/>
    <cellStyle name="Percentuale 57 4 5" xfId="29461" xr:uid="{81CE0329-98F1-49C1-94F8-21B2B54D1C59}"/>
    <cellStyle name="Percentuale 57 4 5 2" xfId="49400" xr:uid="{0AF111B1-DA05-4EBE-821B-48BA4682ABD1}"/>
    <cellStyle name="Percentuale 57 4 6" xfId="29462" xr:uid="{B50B20EA-F7ED-4D38-9DD6-0502F888D549}"/>
    <cellStyle name="Percentuale 57 4 7" xfId="29455" xr:uid="{9E49CDB9-4472-4157-B43C-FD898F07B80E}"/>
    <cellStyle name="Percentuale 57 5" xfId="2483" xr:uid="{00000000-0005-0000-0000-00006D090000}"/>
    <cellStyle name="Percentuale 57 5 2" xfId="29464" xr:uid="{B4C3FFAD-7057-488E-A0DA-92C290E3A958}"/>
    <cellStyle name="Percentuale 57 5 3" xfId="29465" xr:uid="{C97B4BCC-3013-4583-BF52-646AEF64F6B6}"/>
    <cellStyle name="Percentuale 57 5 3 2" xfId="49401" xr:uid="{ACB4EA64-3E0F-4E5D-A3AB-BCA1B0ADDFF1}"/>
    <cellStyle name="Percentuale 57 5 4" xfId="29466" xr:uid="{FA91A1DC-4003-4B36-8D80-E222B6F90897}"/>
    <cellStyle name="Percentuale 57 5 5" xfId="29463" xr:uid="{64B7DE61-C9AF-42B0-839C-03410577C438}"/>
    <cellStyle name="Percentuale 57 6" xfId="4481" xr:uid="{19668B3A-51C5-4C47-8D19-2C9C755482C7}"/>
    <cellStyle name="Percentuale 57 6 2" xfId="9863" xr:uid="{B4CD9163-441C-482D-B915-EFD174D686BC}"/>
    <cellStyle name="Percentuale 57 6 3" xfId="29467" xr:uid="{F4C014A1-6194-4909-93F6-C095CDB7200E}"/>
    <cellStyle name="Percentuale 57 7" xfId="29468" xr:uid="{0D8AD768-1A6C-4FD2-9D4B-19EA9198ADCD}"/>
    <cellStyle name="Percentuale 57 7 2" xfId="49402" xr:uid="{C6D0D067-8C45-4CFE-857F-3BB0AD8E982A}"/>
    <cellStyle name="Percentuale 57 8" xfId="29435" xr:uid="{D74C1165-67BE-49FF-873C-D886ED5330D1}"/>
    <cellStyle name="Percentuale 58" xfId="1182" xr:uid="{00000000-0005-0000-0000-00006E090000}"/>
    <cellStyle name="Percentuale 58 2" xfId="1183" xr:uid="{00000000-0005-0000-0000-00006F090000}"/>
    <cellStyle name="Percentuale 58 2 2" xfId="4482" xr:uid="{98E9A2AD-3D94-4ADC-BE39-60F20F81CE80}"/>
    <cellStyle name="Percentuale 58 2 2 2" xfId="13615" xr:uid="{78ACAD47-4BBA-4FE3-8A48-4E6960923C8B}"/>
    <cellStyle name="Percentuale 58 2 2 3" xfId="29471" xr:uid="{22BE11AF-0C2A-4AF9-965F-D012E27141AF}"/>
    <cellStyle name="Percentuale 58 2 3" xfId="13353" xr:uid="{BA46DF94-92BC-4090-9E4B-662EC0BFE965}"/>
    <cellStyle name="Percentuale 58 2 3 2" xfId="29472" xr:uid="{4C8B7F9B-44A1-46D6-BE8D-9EFEDC4380A5}"/>
    <cellStyle name="Percentuale 58 2 4" xfId="29473" xr:uid="{B10E802B-F542-42AE-B088-EAD971254923}"/>
    <cellStyle name="Percentuale 58 2 4 2" xfId="49403" xr:uid="{FCAA5C3D-F425-49C4-9251-65261033DAF9}"/>
    <cellStyle name="Percentuale 58 2 5" xfId="29474" xr:uid="{C059F73B-51A2-4C05-B213-0AFC7B2DCC19}"/>
    <cellStyle name="Percentuale 58 2 6" xfId="29470" xr:uid="{8967B917-6049-485F-8738-E0BC08A4C26B}"/>
    <cellStyle name="Percentuale 58 3" xfId="1184" xr:uid="{00000000-0005-0000-0000-000070090000}"/>
    <cellStyle name="Percentuale 58 3 2" xfId="1185" xr:uid="{00000000-0005-0000-0000-000071090000}"/>
    <cellStyle name="Percentuale 58 3 2 2" xfId="2484" xr:uid="{00000000-0005-0000-0000-000072090000}"/>
    <cellStyle name="Percentuale 58 3 2 2 2" xfId="29478" xr:uid="{90240B7A-7BEC-41C4-A377-2310EDCF9668}"/>
    <cellStyle name="Percentuale 58 3 2 2 3" xfId="29477" xr:uid="{3CB58DA3-E954-42CF-8993-E0FBF3427EB5}"/>
    <cellStyle name="Percentuale 58 3 2 3" xfId="8170" xr:uid="{1D2ABAAF-C697-454C-BEED-D8DECC76B9C8}"/>
    <cellStyle name="Percentuale 58 3 2 3 2" xfId="14169" xr:uid="{EF241D6D-62BB-4447-83E9-76C8E2F0B9D3}"/>
    <cellStyle name="Percentuale 58 3 2 3 3" xfId="29479" xr:uid="{48C2B72F-5171-4412-99FE-4E733FC05DEB}"/>
    <cellStyle name="Percentuale 58 3 2 3 4" xfId="49404" xr:uid="{B0987FFA-7332-42D8-80D6-97577E0E42FF}"/>
    <cellStyle name="Percentuale 58 3 2 4" xfId="29480" xr:uid="{D2B27480-C09B-4A49-AF32-F3E497D21CF7}"/>
    <cellStyle name="Percentuale 58 3 2 5" xfId="29476" xr:uid="{265F03A7-C1E6-4657-8291-60052E419449}"/>
    <cellStyle name="Percentuale 58 3 3" xfId="4483" xr:uid="{CD494641-1FDC-404E-98F8-9AB0E0C84F4E}"/>
    <cellStyle name="Percentuale 58 3 3 2" xfId="9557" xr:uid="{105DE025-EB2D-4E34-BF31-16ED4B6D9AC7}"/>
    <cellStyle name="Percentuale 58 3 3 2 2" xfId="29482" xr:uid="{E0A6BD29-AC99-4AD0-9152-A67FA5F5CB76}"/>
    <cellStyle name="Percentuale 58 3 3 3" xfId="29483" xr:uid="{99F64B6E-D55F-474C-8DC4-305B76975C21}"/>
    <cellStyle name="Percentuale 58 3 3 4" xfId="29484" xr:uid="{02E2AA24-4CF3-401A-A9BC-993560D0CECE}"/>
    <cellStyle name="Percentuale 58 3 3 4 2" xfId="49405" xr:uid="{B4E81864-4D7A-427F-A39D-D464C4208B11}"/>
    <cellStyle name="Percentuale 58 3 3 5" xfId="29481" xr:uid="{0AEA16E1-D3FE-4A2F-86C8-1286476B8703}"/>
    <cellStyle name="Percentuale 58 3 4" xfId="4484" xr:uid="{2219F934-EDFE-4E81-82CF-3B29C1C2BB26}"/>
    <cellStyle name="Percentuale 58 3 4 2" xfId="13830" xr:uid="{E9E6C437-3290-4231-B59F-55D2FB68A330}"/>
    <cellStyle name="Percentuale 58 3 4 3" xfId="29485" xr:uid="{952A4DB9-7B28-4447-9629-D2D4A96B225E}"/>
    <cellStyle name="Percentuale 58 3 5" xfId="12307" xr:uid="{D86A3C42-5F00-42D1-816B-3DF1F129C6C2}"/>
    <cellStyle name="Percentuale 58 3 5 2" xfId="29486" xr:uid="{3EF5D619-5C22-4E40-89AF-FE6186403139}"/>
    <cellStyle name="Percentuale 58 3 6" xfId="29487" xr:uid="{7C2EDC52-7046-41E0-82BB-3B64CAA398F3}"/>
    <cellStyle name="Percentuale 58 3 6 2" xfId="49406" xr:uid="{14AFEBA6-60FE-4C88-8FDD-91534D68C775}"/>
    <cellStyle name="Percentuale 58 3 7" xfId="29488" xr:uid="{203AC7C0-918B-40E2-A435-C0E082D35D9A}"/>
    <cellStyle name="Percentuale 58 3 8" xfId="29475" xr:uid="{C7ABAF49-3E95-4428-85C8-113E2DF14EA5}"/>
    <cellStyle name="Percentuale 58 4" xfId="2485" xr:uid="{00000000-0005-0000-0000-000073090000}"/>
    <cellStyle name="Percentuale 58 4 2" xfId="2486" xr:uid="{00000000-0005-0000-0000-000074090000}"/>
    <cellStyle name="Percentuale 58 4 2 2" xfId="9558" xr:uid="{98E83300-B6A9-4B77-B719-7B6826EF992F}"/>
    <cellStyle name="Percentuale 58 4 2 2 2" xfId="29491" xr:uid="{06554EAE-066E-4A0D-9F6F-68E6501F3F25}"/>
    <cellStyle name="Percentuale 58 4 2 3" xfId="17955" xr:uid="{5E482335-FA21-44BE-965C-21AF6E68DA7F}"/>
    <cellStyle name="Percentuale 58 4 2 3 2" xfId="29492" xr:uid="{A111C76A-166D-457B-8539-A21DD052428C}"/>
    <cellStyle name="Percentuale 58 4 2 4" xfId="29490" xr:uid="{803C3779-F0AE-41BF-984D-21825A24BC61}"/>
    <cellStyle name="Percentuale 58 4 2 5" xfId="17566" xr:uid="{E8108609-E85E-4519-BCC8-8B366099A734}"/>
    <cellStyle name="Percentuale 58 4 3" xfId="9559" xr:uid="{C384C623-5115-4E1F-B809-E5976E966722}"/>
    <cellStyle name="Percentuale 58 4 3 2" xfId="29493" xr:uid="{3171A4B2-0505-4C8D-822E-9B288824F94D}"/>
    <cellStyle name="Percentuale 58 4 4" xfId="29494" xr:uid="{67C2582A-400F-4BBC-9282-A5E2FF53CCDB}"/>
    <cellStyle name="Percentuale 58 4 5" xfId="29495" xr:uid="{C2C011AE-7085-4CAF-A363-7949ACFEC49F}"/>
    <cellStyle name="Percentuale 58 4 5 2" xfId="49407" xr:uid="{4DF060AF-8D3D-48F4-A998-2830DAEC300D}"/>
    <cellStyle name="Percentuale 58 4 6" xfId="29496" xr:uid="{9EEAC5CD-C269-4DC6-9AA3-6C87E4AE4BC5}"/>
    <cellStyle name="Percentuale 58 4 7" xfId="29489" xr:uid="{261B1A9E-9EBE-492E-B1CC-86A43891482B}"/>
    <cellStyle name="Percentuale 58 5" xfId="2487" xr:uid="{00000000-0005-0000-0000-000075090000}"/>
    <cellStyle name="Percentuale 58 5 2" xfId="29498" xr:uid="{56E360CD-FFD3-4C20-8E73-1BB353EFF530}"/>
    <cellStyle name="Percentuale 58 5 3" xfId="29499" xr:uid="{889B9B33-7ABD-4CD9-B41D-ED9DCCDBFB39}"/>
    <cellStyle name="Percentuale 58 5 3 2" xfId="49408" xr:uid="{0B5FF4DB-BBED-4915-B5C4-FEA563B88628}"/>
    <cellStyle name="Percentuale 58 5 4" xfId="29500" xr:uid="{F025825E-6EB8-48DE-905D-9BFE17B525D8}"/>
    <cellStyle name="Percentuale 58 5 5" xfId="29497" xr:uid="{BCA21D4D-E533-4FD7-869B-DFA5EA9FEF25}"/>
    <cellStyle name="Percentuale 58 6" xfId="4485" xr:uid="{56342253-28BE-493F-B0E0-DFA831CD7057}"/>
    <cellStyle name="Percentuale 58 6 2" xfId="9864" xr:uid="{2E2AF353-3E01-496B-9214-2B8E394E7840}"/>
    <cellStyle name="Percentuale 58 6 3" xfId="29501" xr:uid="{CC554910-5305-4469-8CBA-6896FF62D83F}"/>
    <cellStyle name="Percentuale 58 7" xfId="29502" xr:uid="{366D8DCA-1353-47B7-AA5B-C60CD19C6885}"/>
    <cellStyle name="Percentuale 58 7 2" xfId="49409" xr:uid="{A94BB069-181B-4819-B858-AA6C958F8082}"/>
    <cellStyle name="Percentuale 58 8" xfId="29469" xr:uid="{A3D8F179-2B6F-4536-B193-F0E1AE9D640E}"/>
    <cellStyle name="Percentuale 59" xfId="1186" xr:uid="{00000000-0005-0000-0000-000076090000}"/>
    <cellStyle name="Percentuale 59 2" xfId="1187" xr:uid="{00000000-0005-0000-0000-000077090000}"/>
    <cellStyle name="Percentuale 59 2 2" xfId="4486" xr:uid="{1B778C9F-89EA-440F-8B92-160FDE694F43}"/>
    <cellStyle name="Percentuale 59 2 2 2" xfId="13616" xr:uid="{59DF717F-A743-4D67-A83F-F89D2EE73FAA}"/>
    <cellStyle name="Percentuale 59 2 2 3" xfId="29505" xr:uid="{E39B83B9-AF63-49C9-B4CC-639FAFA338B7}"/>
    <cellStyle name="Percentuale 59 2 3" xfId="13354" xr:uid="{767362E7-8089-4C3A-9044-8CBD60E490A1}"/>
    <cellStyle name="Percentuale 59 2 3 2" xfId="29506" xr:uid="{8F147997-C3C9-440B-9D43-8C29452CB710}"/>
    <cellStyle name="Percentuale 59 2 4" xfId="29507" xr:uid="{093FE68A-54B7-403A-852F-6FE26337E8E5}"/>
    <cellStyle name="Percentuale 59 2 4 2" xfId="49410" xr:uid="{7A2B8A1A-87DC-4A07-972E-44411A4A5CEC}"/>
    <cellStyle name="Percentuale 59 2 5" xfId="29508" xr:uid="{32663165-0707-4551-BE52-605299EAD50B}"/>
    <cellStyle name="Percentuale 59 2 6" xfId="29504" xr:uid="{4C3E15AF-D34E-49C7-9FB5-FC7002E1AE61}"/>
    <cellStyle name="Percentuale 59 3" xfId="1188" xr:uid="{00000000-0005-0000-0000-000078090000}"/>
    <cellStyle name="Percentuale 59 3 2" xfId="1189" xr:uid="{00000000-0005-0000-0000-000079090000}"/>
    <cellStyle name="Percentuale 59 3 2 2" xfId="2488" xr:uid="{00000000-0005-0000-0000-00007A090000}"/>
    <cellStyle name="Percentuale 59 3 2 2 2" xfId="29512" xr:uid="{E3B4D286-63BE-4E59-A8B8-666C664EFBC6}"/>
    <cellStyle name="Percentuale 59 3 2 2 3" xfId="29511" xr:uid="{C35FDEEC-7EE5-4F8B-8B3A-9DFB982BA650}"/>
    <cellStyle name="Percentuale 59 3 2 3" xfId="8171" xr:uid="{4C649B33-C27F-487E-96FF-51A14BCB1084}"/>
    <cellStyle name="Percentuale 59 3 2 3 2" xfId="14170" xr:uid="{AE7125D1-EAE4-42A8-9BB3-1BE513DE7457}"/>
    <cellStyle name="Percentuale 59 3 2 3 3" xfId="29513" xr:uid="{A01F5A2C-2B98-4B22-90E2-38CDCC0E5E03}"/>
    <cellStyle name="Percentuale 59 3 2 3 4" xfId="49411" xr:uid="{EDCEB628-8334-4A4C-A9EE-AC03B8A598FF}"/>
    <cellStyle name="Percentuale 59 3 2 4" xfId="29514" xr:uid="{63091DF1-645F-4828-9A72-F8733AFB0D67}"/>
    <cellStyle name="Percentuale 59 3 2 5" xfId="29510" xr:uid="{E42E2A44-80A3-4AF6-A4B2-9C070FF754A4}"/>
    <cellStyle name="Percentuale 59 3 3" xfId="4487" xr:uid="{36B2E09D-236E-4D14-9F1E-1F19B8523443}"/>
    <cellStyle name="Percentuale 59 3 3 2" xfId="9560" xr:uid="{F27462D4-2EA9-474C-A27B-2D82E2A7425D}"/>
    <cellStyle name="Percentuale 59 3 3 2 2" xfId="29516" xr:uid="{6CF03201-B967-47B2-A353-DECE65D53738}"/>
    <cellStyle name="Percentuale 59 3 3 3" xfId="29517" xr:uid="{36239515-787C-44F4-A797-6EAEA6BA2141}"/>
    <cellStyle name="Percentuale 59 3 3 4" xfId="29518" xr:uid="{05EEE978-2509-43A9-88C0-687A3FE483DB}"/>
    <cellStyle name="Percentuale 59 3 3 4 2" xfId="49412" xr:uid="{647DE056-EB3F-4911-9205-AE23F9EC9E2F}"/>
    <cellStyle name="Percentuale 59 3 3 5" xfId="29515" xr:uid="{E6D0BBF5-0170-4F9D-A6CB-4955FE9E765F}"/>
    <cellStyle name="Percentuale 59 3 4" xfId="4488" xr:uid="{7FECFE92-472B-453A-BE80-D34BDCF4D2E0}"/>
    <cellStyle name="Percentuale 59 3 4 2" xfId="13831" xr:uid="{8D6C3BBE-E7DE-4A1F-ADE0-ED416458E532}"/>
    <cellStyle name="Percentuale 59 3 4 3" xfId="29519" xr:uid="{A4EF2253-1514-4D86-8400-30C922F1275C}"/>
    <cellStyle name="Percentuale 59 3 5" xfId="11156" xr:uid="{3B607646-2BFC-40B2-853C-CB7C5485D1B6}"/>
    <cellStyle name="Percentuale 59 3 5 2" xfId="29520" xr:uid="{FA391269-F158-4A60-A828-A4A0151C8FEF}"/>
    <cellStyle name="Percentuale 59 3 6" xfId="29521" xr:uid="{431C659B-54E6-491F-B925-6E1A0CBA039A}"/>
    <cellStyle name="Percentuale 59 3 6 2" xfId="49413" xr:uid="{745EA7DF-FEA8-416A-89B0-2A8962F187D1}"/>
    <cellStyle name="Percentuale 59 3 7" xfId="29522" xr:uid="{C30C6381-62C0-4136-8C44-88D1B5335EEC}"/>
    <cellStyle name="Percentuale 59 3 8" xfId="29509" xr:uid="{9D435D89-9780-4FCA-B7C1-357A0A7F666D}"/>
    <cellStyle name="Percentuale 59 4" xfId="2489" xr:uid="{00000000-0005-0000-0000-00007B090000}"/>
    <cellStyle name="Percentuale 59 4 2" xfId="2490" xr:uid="{00000000-0005-0000-0000-00007C090000}"/>
    <cellStyle name="Percentuale 59 4 2 2" xfId="9561" xr:uid="{5BBEAD1B-4811-4BB5-B2F9-492B0B2B083D}"/>
    <cellStyle name="Percentuale 59 4 2 2 2" xfId="29525" xr:uid="{077E17B1-512C-426F-B074-33C62D7B808B}"/>
    <cellStyle name="Percentuale 59 4 2 3" xfId="17956" xr:uid="{0A6097DA-BBD7-4F45-98C1-BF6F2121E998}"/>
    <cellStyle name="Percentuale 59 4 2 3 2" xfId="29526" xr:uid="{50C6BCD9-5C2E-456E-80DE-8B5663432192}"/>
    <cellStyle name="Percentuale 59 4 2 4" xfId="29524" xr:uid="{4BD3C4CA-503E-41C4-8283-DE5B39DA251E}"/>
    <cellStyle name="Percentuale 59 4 2 5" xfId="17567" xr:uid="{7CA3949F-784E-44E7-A533-B197ADD0BE5F}"/>
    <cellStyle name="Percentuale 59 4 3" xfId="9562" xr:uid="{A965D61C-B9B7-4F25-9885-0936BF06F59D}"/>
    <cellStyle name="Percentuale 59 4 3 2" xfId="29527" xr:uid="{1E3099FF-4542-43E7-8A8D-C213E5E5D6AC}"/>
    <cellStyle name="Percentuale 59 4 4" xfId="29528" xr:uid="{23E1E24D-951A-4209-99D0-7A00325EBE48}"/>
    <cellStyle name="Percentuale 59 4 5" xfId="29529" xr:uid="{C8277589-CA05-41A5-BBB1-03D47E7D1725}"/>
    <cellStyle name="Percentuale 59 4 5 2" xfId="49414" xr:uid="{CD45E1A9-E8CE-451F-B8EF-E890158BE3E5}"/>
    <cellStyle name="Percentuale 59 4 6" xfId="29530" xr:uid="{C91EDE95-0821-4D16-8A6F-3CCB537788DF}"/>
    <cellStyle name="Percentuale 59 4 7" xfId="29523" xr:uid="{9990A9CD-09AC-482C-8128-A42AC4721C5F}"/>
    <cellStyle name="Percentuale 59 5" xfId="2491" xr:uid="{00000000-0005-0000-0000-00007D090000}"/>
    <cellStyle name="Percentuale 59 5 2" xfId="29532" xr:uid="{807DC388-B8F7-41D2-A509-B4E6587CCEE1}"/>
    <cellStyle name="Percentuale 59 5 3" xfId="29533" xr:uid="{04816B69-4A76-42CB-9FED-753E39CA20F7}"/>
    <cellStyle name="Percentuale 59 5 3 2" xfId="49415" xr:uid="{0B2CF4A3-F8EE-4780-BAC8-0B5D2C9C3E00}"/>
    <cellStyle name="Percentuale 59 5 4" xfId="29534" xr:uid="{9BE1426E-0214-4248-BAED-A6244417E9ED}"/>
    <cellStyle name="Percentuale 59 5 5" xfId="29531" xr:uid="{73F03024-C40C-45D4-A6DA-1877EE170872}"/>
    <cellStyle name="Percentuale 59 6" xfId="4489" xr:uid="{D3DB3407-4102-4590-85A2-34C11F4AFE5C}"/>
    <cellStyle name="Percentuale 59 6 2" xfId="9865" xr:uid="{08C2F324-E91A-4B3A-882C-35D6FD783459}"/>
    <cellStyle name="Percentuale 59 6 3" xfId="29535" xr:uid="{45C1D375-62FE-4E54-8CC2-D45EA8F2426F}"/>
    <cellStyle name="Percentuale 59 7" xfId="29536" xr:uid="{E71DA602-39EE-47BA-B150-AD9F19673DA3}"/>
    <cellStyle name="Percentuale 59 7 2" xfId="49416" xr:uid="{49DF5E69-2089-4FE6-853B-431423034CE6}"/>
    <cellStyle name="Percentuale 59 8" xfId="29503" xr:uid="{D3E6934D-6EC2-4237-BD8F-19FC008D5766}"/>
    <cellStyle name="Percentuale 6" xfId="1190" xr:uid="{00000000-0005-0000-0000-00007E090000}"/>
    <cellStyle name="Percentuale 6 2" xfId="1191" xr:uid="{00000000-0005-0000-0000-00007F090000}"/>
    <cellStyle name="Percentuale 6 2 2" xfId="4490" xr:uid="{90E5CF0C-8429-4222-80BE-5FAD1F5A72F7}"/>
    <cellStyle name="Percentuale 6 2 2 2" xfId="13617" xr:uid="{6971110B-18A5-42CD-A45B-28F6ED04BC55}"/>
    <cellStyle name="Percentuale 6 2 2 3" xfId="29539" xr:uid="{602E5D5F-4F24-4BDB-973A-82A93399CD19}"/>
    <cellStyle name="Percentuale 6 2 3" xfId="13355" xr:uid="{CA660D2E-FB55-45FC-8C9A-1CB0D3A06340}"/>
    <cellStyle name="Percentuale 6 2 3 2" xfId="29540" xr:uid="{5A497AEA-E5F5-4592-92EA-E871182D5B13}"/>
    <cellStyle name="Percentuale 6 2 4" xfId="29541" xr:uid="{0F0E7CD2-0319-402F-B75F-710F78251844}"/>
    <cellStyle name="Percentuale 6 2 4 2" xfId="49417" xr:uid="{E4A22C5C-8D5E-4633-9FFE-E9C0D3637AF0}"/>
    <cellStyle name="Percentuale 6 2 5" xfId="29542" xr:uid="{180AEF14-AD7B-49FF-A964-B59FE678AFE3}"/>
    <cellStyle name="Percentuale 6 2 6" xfId="29538" xr:uid="{20BAEC08-2A0D-4796-BACE-95283FD55432}"/>
    <cellStyle name="Percentuale 6 3" xfId="1192" xr:uid="{00000000-0005-0000-0000-000080090000}"/>
    <cellStyle name="Percentuale 6 3 2" xfId="1193" xr:uid="{00000000-0005-0000-0000-000081090000}"/>
    <cellStyle name="Percentuale 6 3 2 2" xfId="2492" xr:uid="{00000000-0005-0000-0000-000082090000}"/>
    <cellStyle name="Percentuale 6 3 2 2 2" xfId="29546" xr:uid="{89C8DA2A-D025-4ACA-9CCC-C1C356AD8807}"/>
    <cellStyle name="Percentuale 6 3 2 2 3" xfId="29545" xr:uid="{C134F089-60EA-4BE0-A94A-5A993E080898}"/>
    <cellStyle name="Percentuale 6 3 2 3" xfId="8172" xr:uid="{22F971D9-3650-484C-BD10-B2B6068FD66D}"/>
    <cellStyle name="Percentuale 6 3 2 3 2" xfId="14171" xr:uid="{E7A84830-CD42-4061-B4A5-E0A0287685F3}"/>
    <cellStyle name="Percentuale 6 3 2 3 3" xfId="29547" xr:uid="{80B386FD-9A95-42D8-82DC-C18C32999342}"/>
    <cellStyle name="Percentuale 6 3 2 3 4" xfId="49418" xr:uid="{FA569B8D-561F-4762-BECF-2E71BE2958A2}"/>
    <cellStyle name="Percentuale 6 3 2 4" xfId="29548" xr:uid="{0E41D8B6-581D-43F3-A5C1-2DBDEF73226E}"/>
    <cellStyle name="Percentuale 6 3 2 5" xfId="29544" xr:uid="{45E669E6-06E4-4823-94B6-99BBBCDEBECD}"/>
    <cellStyle name="Percentuale 6 3 3" xfId="4491" xr:uid="{75300586-8009-43AB-A456-E2610EDA0574}"/>
    <cellStyle name="Percentuale 6 3 3 2" xfId="9563" xr:uid="{A8DCBDDE-D5E2-4011-8BA4-52D7AE597FE5}"/>
    <cellStyle name="Percentuale 6 3 3 2 2" xfId="29550" xr:uid="{A0CFA671-B004-40B4-BEB6-06BE6169DC1F}"/>
    <cellStyle name="Percentuale 6 3 3 3" xfId="29551" xr:uid="{39CD6771-147E-49E3-A6C3-CB8ED1C1A4E0}"/>
    <cellStyle name="Percentuale 6 3 3 4" xfId="29552" xr:uid="{011F19BD-EA84-4842-B97C-39956C089AB7}"/>
    <cellStyle name="Percentuale 6 3 3 4 2" xfId="49419" xr:uid="{40CB0356-6954-4110-AE6A-51AB942D7690}"/>
    <cellStyle name="Percentuale 6 3 3 5" xfId="29549" xr:uid="{72C1C685-373F-40EF-AF50-BBB8AD91C7B9}"/>
    <cellStyle name="Percentuale 6 3 4" xfId="4492" xr:uid="{CA0CD72A-87E1-426E-BF0F-8ECD92FC0FAC}"/>
    <cellStyle name="Percentuale 6 3 4 2" xfId="13832" xr:uid="{A6F9395A-44D2-4528-A23E-DD2B20163D9F}"/>
    <cellStyle name="Percentuale 6 3 4 3" xfId="29553" xr:uid="{BCF48B20-8E7F-47EF-99FD-12FAFE6E94C2}"/>
    <cellStyle name="Percentuale 6 3 5" xfId="12306" xr:uid="{935524E2-E2FA-4046-8719-7FBD8636BD00}"/>
    <cellStyle name="Percentuale 6 3 5 2" xfId="29554" xr:uid="{561B90FE-25A7-47AD-AF70-74E568C689C2}"/>
    <cellStyle name="Percentuale 6 3 6" xfId="29555" xr:uid="{9854123A-F9F4-4696-BA1D-478B50EFE81C}"/>
    <cellStyle name="Percentuale 6 3 6 2" xfId="49420" xr:uid="{8C88D49A-61DF-4C44-9B68-3AA5AE3EB2F7}"/>
    <cellStyle name="Percentuale 6 3 7" xfId="29556" xr:uid="{E6D754D2-1ACE-4D4C-8B7F-BA3348A8BD81}"/>
    <cellStyle name="Percentuale 6 3 8" xfId="29543" xr:uid="{74FD9059-B30B-4455-91AF-40A103D2F3E1}"/>
    <cellStyle name="Percentuale 6 4" xfId="2493" xr:uid="{00000000-0005-0000-0000-000083090000}"/>
    <cellStyle name="Percentuale 6 4 2" xfId="2494" xr:uid="{00000000-0005-0000-0000-000084090000}"/>
    <cellStyle name="Percentuale 6 4 2 2" xfId="9564" xr:uid="{134410D4-C6D9-4010-B034-E88989D129E6}"/>
    <cellStyle name="Percentuale 6 4 2 2 2" xfId="29559" xr:uid="{F93DCB82-47F2-4935-9D3F-9EF7150A0D38}"/>
    <cellStyle name="Percentuale 6 4 2 3" xfId="17957" xr:uid="{9D224A32-0BC1-4166-8826-4CE88D9059A2}"/>
    <cellStyle name="Percentuale 6 4 2 3 2" xfId="29560" xr:uid="{B29D9074-C3A8-4FB8-A33B-776674322EE2}"/>
    <cellStyle name="Percentuale 6 4 2 4" xfId="29558" xr:uid="{22D21771-D3F6-425F-BC91-D9A0C6AD9B0F}"/>
    <cellStyle name="Percentuale 6 4 2 5" xfId="17568" xr:uid="{9FCB25B0-FE4D-47B2-BB27-7EB6631810F4}"/>
    <cellStyle name="Percentuale 6 4 3" xfId="9565" xr:uid="{D7AE88A1-6F69-4B5D-BB08-BFFE1FAAE035}"/>
    <cellStyle name="Percentuale 6 4 3 2" xfId="29561" xr:uid="{FD443671-DF68-4895-B4B9-D54E8795D219}"/>
    <cellStyle name="Percentuale 6 4 4" xfId="29562" xr:uid="{90FFF4FD-2D82-4F4B-9E20-853DD9417A5B}"/>
    <cellStyle name="Percentuale 6 4 5" xfId="29563" xr:uid="{69D4B029-BAFB-45B5-819A-66CB40A0F90C}"/>
    <cellStyle name="Percentuale 6 4 5 2" xfId="49421" xr:uid="{E93E3C9C-9C82-443C-85D0-261EB8E58567}"/>
    <cellStyle name="Percentuale 6 4 6" xfId="29564" xr:uid="{C93D1717-F47B-4406-B25E-2647933BC4FE}"/>
    <cellStyle name="Percentuale 6 4 7" xfId="29557" xr:uid="{726673EE-7669-4FC6-A758-A02A54F76D47}"/>
    <cellStyle name="Percentuale 6 5" xfId="2495" xr:uid="{00000000-0005-0000-0000-000085090000}"/>
    <cellStyle name="Percentuale 6 5 2" xfId="29566" xr:uid="{D4BE9395-B95A-4BB0-9AA8-AF29A230CAB7}"/>
    <cellStyle name="Percentuale 6 5 3" xfId="29567" xr:uid="{D99A4B8C-0C07-440D-91EC-62F8103C03ED}"/>
    <cellStyle name="Percentuale 6 5 3 2" xfId="49422" xr:uid="{A06BA7B1-670B-466D-87E1-919C19D41310}"/>
    <cellStyle name="Percentuale 6 5 4" xfId="29568" xr:uid="{0C39738F-2CE2-40C6-AC5A-6F189E4CD063}"/>
    <cellStyle name="Percentuale 6 5 5" xfId="29565" xr:uid="{569337BB-72B4-48DF-B60B-C99F025A3AE9}"/>
    <cellStyle name="Percentuale 6 6" xfId="4493" xr:uid="{199D01E3-4552-44BA-8468-34581227733B}"/>
    <cellStyle name="Percentuale 6 6 2" xfId="9866" xr:uid="{1EB3FC8E-DA4E-4B54-8528-8F37E1992EE6}"/>
    <cellStyle name="Percentuale 6 6 3" xfId="29569" xr:uid="{6A661640-E069-4DD3-B650-B572F9F65EB2}"/>
    <cellStyle name="Percentuale 6 7" xfId="29570" xr:uid="{005E9F91-9A1F-48F9-AAAD-7E7573E12C26}"/>
    <cellStyle name="Percentuale 6 7 2" xfId="49423" xr:uid="{482FEDAB-DC14-471A-BA7B-E10D4209C5CA}"/>
    <cellStyle name="Percentuale 6 8" xfId="29537" xr:uid="{A9E4651E-D681-429A-AEA7-834E1CF6BDC4}"/>
    <cellStyle name="Percentuale 60" xfId="1194" xr:uid="{00000000-0005-0000-0000-000086090000}"/>
    <cellStyle name="Percentuale 60 2" xfId="1195" xr:uid="{00000000-0005-0000-0000-000087090000}"/>
    <cellStyle name="Percentuale 60 2 2" xfId="4494" xr:uid="{9881725C-C786-498F-9F95-96CF2C503E8E}"/>
    <cellStyle name="Percentuale 60 2 2 2" xfId="13618" xr:uid="{1C8ABEF2-A736-4AF8-BC0D-3DA825CD9214}"/>
    <cellStyle name="Percentuale 60 2 2 3" xfId="29573" xr:uid="{D065E1B0-4A46-4985-90FE-A424D49EEA20}"/>
    <cellStyle name="Percentuale 60 2 3" xfId="13356" xr:uid="{8A678A20-9799-4A85-8DC3-B16E8BD6CE24}"/>
    <cellStyle name="Percentuale 60 2 3 2" xfId="29574" xr:uid="{2A6519E6-F846-46D3-9C63-A7A8EE8F386B}"/>
    <cellStyle name="Percentuale 60 2 4" xfId="29575" xr:uid="{010C5DB9-F400-4DA0-B029-716DAC22E78E}"/>
    <cellStyle name="Percentuale 60 2 4 2" xfId="49424" xr:uid="{1C6B8A85-3C32-4DDE-BCAC-89B0E8AD01D8}"/>
    <cellStyle name="Percentuale 60 2 5" xfId="29576" xr:uid="{5EEAD8C1-5E87-4622-BADE-122FF714DB43}"/>
    <cellStyle name="Percentuale 60 2 6" xfId="29572" xr:uid="{23DAC62D-70A1-4C94-858A-BE32414B0975}"/>
    <cellStyle name="Percentuale 60 3" xfId="1196" xr:uid="{00000000-0005-0000-0000-000088090000}"/>
    <cellStyle name="Percentuale 60 3 2" xfId="1197" xr:uid="{00000000-0005-0000-0000-000089090000}"/>
    <cellStyle name="Percentuale 60 3 2 2" xfId="2496" xr:uid="{00000000-0005-0000-0000-00008A090000}"/>
    <cellStyle name="Percentuale 60 3 2 2 2" xfId="29580" xr:uid="{C3FF7AC2-2D85-4444-868C-588C274E2160}"/>
    <cellStyle name="Percentuale 60 3 2 2 3" xfId="29579" xr:uid="{A5D107D2-A963-4833-AAF3-A071FA2EE66A}"/>
    <cellStyle name="Percentuale 60 3 2 3" xfId="8173" xr:uid="{E6935222-48E9-403F-A57D-81F83C4AEBED}"/>
    <cellStyle name="Percentuale 60 3 2 3 2" xfId="14172" xr:uid="{75252928-09A0-4C39-A851-08A07D37ADAE}"/>
    <cellStyle name="Percentuale 60 3 2 3 3" xfId="29581" xr:uid="{14EFBF83-C9AE-453E-9A25-172C1A7C2426}"/>
    <cellStyle name="Percentuale 60 3 2 3 4" xfId="49425" xr:uid="{B5FCE6DF-341F-44A6-8DE0-00ADE9B1EE36}"/>
    <cellStyle name="Percentuale 60 3 2 4" xfId="29582" xr:uid="{53489A28-2831-4DEF-B9AE-2DA93C49D407}"/>
    <cellStyle name="Percentuale 60 3 2 5" xfId="29578" xr:uid="{DE95EC70-4775-4134-8960-68762FEC9027}"/>
    <cellStyle name="Percentuale 60 3 3" xfId="4495" xr:uid="{5A765B27-BD85-4EA1-B9A8-1ECA6E11B6AF}"/>
    <cellStyle name="Percentuale 60 3 3 2" xfId="9566" xr:uid="{1442CF33-93CC-4C96-BDA2-66BD62C213D8}"/>
    <cellStyle name="Percentuale 60 3 3 2 2" xfId="29584" xr:uid="{94519571-BF76-44CD-96BF-9331FCEC99F2}"/>
    <cellStyle name="Percentuale 60 3 3 3" xfId="29585" xr:uid="{D6C80843-2814-4EB2-8712-CA96FE6E5D54}"/>
    <cellStyle name="Percentuale 60 3 3 4" xfId="29586" xr:uid="{1F77BBB5-3B0D-4BAB-A625-2112A88AAC2C}"/>
    <cellStyle name="Percentuale 60 3 3 4 2" xfId="49426" xr:uid="{DCA01F5A-9498-45D9-911B-672C0F47A973}"/>
    <cellStyle name="Percentuale 60 3 3 5" xfId="29583" xr:uid="{01BD1572-F4D5-4261-803B-EAA4D02C9738}"/>
    <cellStyle name="Percentuale 60 3 4" xfId="4496" xr:uid="{2B767809-4FBE-4C42-ADB9-045DCC193EEC}"/>
    <cellStyle name="Percentuale 60 3 4 2" xfId="13833" xr:uid="{FACBD304-6D58-4696-B818-EC10D0315996}"/>
    <cellStyle name="Percentuale 60 3 4 3" xfId="29587" xr:uid="{4CF64615-DCC0-437D-ABCD-D5565A443232}"/>
    <cellStyle name="Percentuale 60 3 5" xfId="11201" xr:uid="{4BE9D2AE-FA1A-4297-8479-2A43632181C5}"/>
    <cellStyle name="Percentuale 60 3 5 2" xfId="29588" xr:uid="{9E9DA3F0-D9D8-4B27-B985-2A0C9E6546E0}"/>
    <cellStyle name="Percentuale 60 3 6" xfId="29589" xr:uid="{577277EF-809A-40DE-B68C-93D93728DDB5}"/>
    <cellStyle name="Percentuale 60 3 6 2" xfId="49427" xr:uid="{DAA71E75-5413-4914-B0E6-7A1CB4052524}"/>
    <cellStyle name="Percentuale 60 3 7" xfId="29590" xr:uid="{9DEDA464-F44B-417B-A8ED-8D14156F129B}"/>
    <cellStyle name="Percentuale 60 3 8" xfId="29577" xr:uid="{4B198F47-CCCF-4563-BD4E-15EAD96F82D1}"/>
    <cellStyle name="Percentuale 60 4" xfId="2497" xr:uid="{00000000-0005-0000-0000-00008B090000}"/>
    <cellStyle name="Percentuale 60 4 2" xfId="2498" xr:uid="{00000000-0005-0000-0000-00008C090000}"/>
    <cellStyle name="Percentuale 60 4 2 2" xfId="9567" xr:uid="{8886770D-4B34-4A6A-B1D1-E623D2A427A6}"/>
    <cellStyle name="Percentuale 60 4 2 2 2" xfId="29593" xr:uid="{78EA6ACB-6939-4AC9-98F1-AB3F11ED6E5C}"/>
    <cellStyle name="Percentuale 60 4 2 3" xfId="17958" xr:uid="{B35C73BB-AF81-452D-9D40-C4388F05EF36}"/>
    <cellStyle name="Percentuale 60 4 2 3 2" xfId="29594" xr:uid="{0828116D-A031-459D-8898-C5486C9D3DD2}"/>
    <cellStyle name="Percentuale 60 4 2 4" xfId="29592" xr:uid="{E1CFB317-A43B-4F74-AF7A-FE2360CBE2E2}"/>
    <cellStyle name="Percentuale 60 4 2 5" xfId="17569" xr:uid="{26340AD0-5964-45C0-92C5-B79556EA34B4}"/>
    <cellStyle name="Percentuale 60 4 3" xfId="9568" xr:uid="{FD207130-3C8F-43CD-861A-5E1F90B78429}"/>
    <cellStyle name="Percentuale 60 4 3 2" xfId="29595" xr:uid="{94CF5867-3482-4081-A35A-13F8BB75601B}"/>
    <cellStyle name="Percentuale 60 4 4" xfId="29596" xr:uid="{E6A40944-63DD-4F23-A39A-80DFBCC6A03D}"/>
    <cellStyle name="Percentuale 60 4 5" xfId="29597" xr:uid="{90BD6F4C-2915-41A0-8BBA-E8E610B21E91}"/>
    <cellStyle name="Percentuale 60 4 5 2" xfId="49428" xr:uid="{370D4144-02F6-427F-8470-CCA22B24ABD6}"/>
    <cellStyle name="Percentuale 60 4 6" xfId="29598" xr:uid="{307C196E-426C-4DF1-9BAF-FF75049FD60B}"/>
    <cellStyle name="Percentuale 60 4 7" xfId="29591" xr:uid="{C60C7040-AE6A-4E35-9455-F464D20D26E6}"/>
    <cellStyle name="Percentuale 60 5" xfId="2499" xr:uid="{00000000-0005-0000-0000-00008D090000}"/>
    <cellStyle name="Percentuale 60 5 2" xfId="29600" xr:uid="{53FA05A4-7171-425A-905C-32BAF5166A59}"/>
    <cellStyle name="Percentuale 60 5 3" xfId="29601" xr:uid="{02A26631-FE43-46B9-969E-8EE464A74638}"/>
    <cellStyle name="Percentuale 60 5 3 2" xfId="49429" xr:uid="{9A97B28A-C79C-411F-9432-37B05034C1B7}"/>
    <cellStyle name="Percentuale 60 5 4" xfId="29602" xr:uid="{CA7246CB-E1EF-4449-ADA3-C519EE96917D}"/>
    <cellStyle name="Percentuale 60 5 5" xfId="29599" xr:uid="{57700B57-D4CA-4D66-AF75-B1424DDE6BDC}"/>
    <cellStyle name="Percentuale 60 6" xfId="4497" xr:uid="{7DD6DA45-4593-45F1-9140-05DC713798E4}"/>
    <cellStyle name="Percentuale 60 6 2" xfId="9867" xr:uid="{5E1F2FD4-201B-44CC-B7A2-0D5D2A47C446}"/>
    <cellStyle name="Percentuale 60 6 3" xfId="29603" xr:uid="{11741D0A-24AF-4A21-99D5-B1D30B20B5F0}"/>
    <cellStyle name="Percentuale 60 7" xfId="29604" xr:uid="{5D092859-A663-4A59-8338-81C4CA2A1FD8}"/>
    <cellStyle name="Percentuale 60 7 2" xfId="49430" xr:uid="{41EFF7E0-B5BE-49D3-A966-6DB07CDB1734}"/>
    <cellStyle name="Percentuale 60 8" xfId="29571" xr:uid="{E10FBE44-A06B-4C7F-840F-14E82CFABB98}"/>
    <cellStyle name="Percentuale 61" xfId="1198" xr:uid="{00000000-0005-0000-0000-00008E090000}"/>
    <cellStyle name="Percentuale 61 2" xfId="1199" xr:uid="{00000000-0005-0000-0000-00008F090000}"/>
    <cellStyle name="Percentuale 61 2 2" xfId="4498" xr:uid="{1043D732-06C1-494A-8B64-0E79BE32EE23}"/>
    <cellStyle name="Percentuale 61 2 2 2" xfId="13619" xr:uid="{DBF84362-D028-48FB-84C4-B294BA3D57A0}"/>
    <cellStyle name="Percentuale 61 2 2 3" xfId="29607" xr:uid="{6C9ADC8A-067A-4AA7-88CD-BC6D42D9EA55}"/>
    <cellStyle name="Percentuale 61 2 3" xfId="13357" xr:uid="{8DF155A4-9DA6-4615-BBBC-E8A7F40ED5AF}"/>
    <cellStyle name="Percentuale 61 2 3 2" xfId="29608" xr:uid="{434F2489-D46A-4581-BB42-B21F9C25745F}"/>
    <cellStyle name="Percentuale 61 2 4" xfId="29609" xr:uid="{E0E49727-7CD1-4637-8361-0AA7CA611F12}"/>
    <cellStyle name="Percentuale 61 2 4 2" xfId="49431" xr:uid="{4710665F-0DE3-40B8-A6F1-3AC8E435481A}"/>
    <cellStyle name="Percentuale 61 2 5" xfId="29610" xr:uid="{866F663E-8A77-46D0-8D2D-63C4C50A2F3E}"/>
    <cellStyle name="Percentuale 61 2 6" xfId="29606" xr:uid="{74D48BAF-0571-4A47-A58C-2A076D29F03F}"/>
    <cellStyle name="Percentuale 61 3" xfId="1200" xr:uid="{00000000-0005-0000-0000-000090090000}"/>
    <cellStyle name="Percentuale 61 3 2" xfId="1201" xr:uid="{00000000-0005-0000-0000-000091090000}"/>
    <cellStyle name="Percentuale 61 3 2 2" xfId="2500" xr:uid="{00000000-0005-0000-0000-000092090000}"/>
    <cellStyle name="Percentuale 61 3 2 2 2" xfId="29614" xr:uid="{C0925ED9-1225-4C04-8F59-6060C2CE130E}"/>
    <cellStyle name="Percentuale 61 3 2 2 3" xfId="29613" xr:uid="{F7382C00-0E52-49DF-B854-0EACF658EF92}"/>
    <cellStyle name="Percentuale 61 3 2 3" xfId="8174" xr:uid="{31CADEB8-140B-4B83-83DC-26171A365832}"/>
    <cellStyle name="Percentuale 61 3 2 3 2" xfId="14173" xr:uid="{9E2FAE68-B5AF-4EE5-BD77-2948F13EDF84}"/>
    <cellStyle name="Percentuale 61 3 2 3 3" xfId="29615" xr:uid="{9AC674C8-AC74-4F38-BF76-E1BB276D6B7F}"/>
    <cellStyle name="Percentuale 61 3 2 3 4" xfId="49432" xr:uid="{5031FA35-7AD9-4C28-A896-FFA920C0F626}"/>
    <cellStyle name="Percentuale 61 3 2 4" xfId="29616" xr:uid="{883D0C5B-2AEF-43B8-ABF6-2825A2D6D8E4}"/>
    <cellStyle name="Percentuale 61 3 2 5" xfId="29612" xr:uid="{72BB8EDE-0684-40B7-BD84-EE6DDB83190C}"/>
    <cellStyle name="Percentuale 61 3 3" xfId="4499" xr:uid="{0B579BCD-FA2E-4E8B-A833-5BA539FBD773}"/>
    <cellStyle name="Percentuale 61 3 3 2" xfId="9569" xr:uid="{ED78678A-AFE8-4720-ADF5-7A3DB32F3DC3}"/>
    <cellStyle name="Percentuale 61 3 3 2 2" xfId="29618" xr:uid="{4E4BFC5C-F3C7-485F-B819-D31ACAD1B7B0}"/>
    <cellStyle name="Percentuale 61 3 3 3" xfId="29619" xr:uid="{9564D307-8C1C-4C6D-94B7-1EBDE3661879}"/>
    <cellStyle name="Percentuale 61 3 3 4" xfId="29620" xr:uid="{E183C71E-A1EF-444E-9F23-E2BE36567578}"/>
    <cellStyle name="Percentuale 61 3 3 4 2" xfId="49433" xr:uid="{8C9171A4-2BBF-465E-B005-AFE2FEA599A3}"/>
    <cellStyle name="Percentuale 61 3 3 5" xfId="29617" xr:uid="{BF45CBCC-9434-4793-B828-7618A05B311D}"/>
    <cellStyle name="Percentuale 61 3 4" xfId="4500" xr:uid="{58A199FC-403B-4D02-8716-D144488EF6B6}"/>
    <cellStyle name="Percentuale 61 3 4 2" xfId="13834" xr:uid="{FC3FD968-5322-43F0-A35C-670A2668B22C}"/>
    <cellStyle name="Percentuale 61 3 4 3" xfId="29621" xr:uid="{C93C15AE-2371-45AC-9E4C-6AB2AB0EE6B8}"/>
    <cellStyle name="Percentuale 61 3 5" xfId="11200" xr:uid="{33545A0D-1A7B-4536-A040-464FCC4B7A50}"/>
    <cellStyle name="Percentuale 61 3 5 2" xfId="29622" xr:uid="{8EF6FE3D-7D92-4C91-A628-4116DFBB9B69}"/>
    <cellStyle name="Percentuale 61 3 6" xfId="29623" xr:uid="{10B678F4-AB5F-4C6E-AD87-2287484F85C5}"/>
    <cellStyle name="Percentuale 61 3 6 2" xfId="49434" xr:uid="{5E6762A1-E4BE-424F-BD4B-3B00A2964AE6}"/>
    <cellStyle name="Percentuale 61 3 7" xfId="29624" xr:uid="{6F425E2D-474D-47F3-AC14-50256848605F}"/>
    <cellStyle name="Percentuale 61 3 8" xfId="29611" xr:uid="{3E28E5AC-02AD-4CCF-8D80-074CD4BD4AE8}"/>
    <cellStyle name="Percentuale 61 4" xfId="2501" xr:uid="{00000000-0005-0000-0000-000093090000}"/>
    <cellStyle name="Percentuale 61 4 2" xfId="2502" xr:uid="{00000000-0005-0000-0000-000094090000}"/>
    <cellStyle name="Percentuale 61 4 2 2" xfId="9570" xr:uid="{C285037E-2A4E-451B-8AB8-C62748642E68}"/>
    <cellStyle name="Percentuale 61 4 2 2 2" xfId="29627" xr:uid="{2416C7AB-DFB9-4484-8838-C0B9D1F18207}"/>
    <cellStyle name="Percentuale 61 4 2 3" xfId="17959" xr:uid="{E2CFFE59-ED1A-424B-A9EE-0F3545F7AD65}"/>
    <cellStyle name="Percentuale 61 4 2 3 2" xfId="29628" xr:uid="{DCEEFF1A-D28B-4163-BA63-B60A2C3CEC8E}"/>
    <cellStyle name="Percentuale 61 4 2 4" xfId="29626" xr:uid="{B599E7D0-9733-431C-BC91-E60015546E97}"/>
    <cellStyle name="Percentuale 61 4 2 5" xfId="17570" xr:uid="{28E798FF-B799-4B74-9E84-459544268DA6}"/>
    <cellStyle name="Percentuale 61 4 3" xfId="9571" xr:uid="{B2224D14-1EC2-4E19-A8BE-C07B9BDE4ADF}"/>
    <cellStyle name="Percentuale 61 4 3 2" xfId="29629" xr:uid="{E881BF24-E7BB-4731-8986-7EA9F92D0877}"/>
    <cellStyle name="Percentuale 61 4 4" xfId="29630" xr:uid="{CEDE2DAB-2B21-4A22-B69B-921030490F7D}"/>
    <cellStyle name="Percentuale 61 4 5" xfId="29631" xr:uid="{BAEBAE86-9CF9-4053-AEE2-470ADFC5F92D}"/>
    <cellStyle name="Percentuale 61 4 5 2" xfId="49435" xr:uid="{4EC29051-FE21-4A65-AC91-06D1B4E6F3FB}"/>
    <cellStyle name="Percentuale 61 4 6" xfId="29632" xr:uid="{45DB2FBF-C1B7-4B37-B46B-2A1505BA0B05}"/>
    <cellStyle name="Percentuale 61 4 7" xfId="29625" xr:uid="{29D3688D-DD27-482E-B02E-8FE519C9E3F1}"/>
    <cellStyle name="Percentuale 61 5" xfId="2503" xr:uid="{00000000-0005-0000-0000-000095090000}"/>
    <cellStyle name="Percentuale 61 5 2" xfId="29634" xr:uid="{81C9B318-190F-4AD7-AD72-CB712F78E45B}"/>
    <cellStyle name="Percentuale 61 5 3" xfId="29635" xr:uid="{772EF78A-E71A-4E6F-8210-D43FDBFD8F6B}"/>
    <cellStyle name="Percentuale 61 5 3 2" xfId="49436" xr:uid="{ABD29077-83C0-495B-BDB7-F527C099BD6A}"/>
    <cellStyle name="Percentuale 61 5 4" xfId="29636" xr:uid="{E6BC9C25-4E1C-4C67-AEB5-85E2637D10F0}"/>
    <cellStyle name="Percentuale 61 5 5" xfId="29633" xr:uid="{710A80B5-6ED4-4E7D-9F40-8CB5015BCD5A}"/>
    <cellStyle name="Percentuale 61 6" xfId="4501" xr:uid="{64048847-2465-466E-9465-CDED2EE68F49}"/>
    <cellStyle name="Percentuale 61 6 2" xfId="9868" xr:uid="{476BC4C3-C462-4B8D-B06D-ECAEB2756309}"/>
    <cellStyle name="Percentuale 61 6 3" xfId="29637" xr:uid="{7DDEC868-3D81-4E49-92C9-C99D919D85FB}"/>
    <cellStyle name="Percentuale 61 7" xfId="29638" xr:uid="{0078F36C-4ECD-44F8-9D41-7EB9E0B0F503}"/>
    <cellStyle name="Percentuale 61 7 2" xfId="49437" xr:uid="{F7F00D93-6978-4C3E-979A-D07A57762391}"/>
    <cellStyle name="Percentuale 61 8" xfId="29605" xr:uid="{C811F750-1208-4EB0-9E98-2FEA3E5527F2}"/>
    <cellStyle name="Percentuale 62" xfId="1202" xr:uid="{00000000-0005-0000-0000-000096090000}"/>
    <cellStyle name="Percentuale 62 2" xfId="1203" xr:uid="{00000000-0005-0000-0000-000097090000}"/>
    <cellStyle name="Percentuale 62 2 2" xfId="13620" xr:uid="{B009C8E2-DC92-43B3-AC61-46DBBFE4E2BE}"/>
    <cellStyle name="Percentuale 62 2 2 2" xfId="29641" xr:uid="{0BB268A8-030F-4FF1-AB0C-7AC0246FD55C}"/>
    <cellStyle name="Percentuale 62 2 3" xfId="29640" xr:uid="{13D33E6C-74C1-448D-BB32-EBAC193D48B4}"/>
    <cellStyle name="Percentuale 62 3" xfId="13358" xr:uid="{2110C1AD-A63E-4E21-BFFB-186A6588E00B}"/>
    <cellStyle name="Percentuale 62 3 2" xfId="29642" xr:uid="{170DB570-23CC-4B41-B5E3-88C335BEDD5A}"/>
    <cellStyle name="Percentuale 62 4" xfId="29643" xr:uid="{1754BC11-FD27-49DB-B2DD-D1B452160B76}"/>
    <cellStyle name="Percentuale 62 4 2" xfId="49438" xr:uid="{DF274661-D806-407F-9BBF-78FFB0F7C5AD}"/>
    <cellStyle name="Percentuale 62 5" xfId="29639" xr:uid="{AAF6B4C2-C3AD-442A-B12F-99F21A45B3C5}"/>
    <cellStyle name="Percentuale 63" xfId="1204" xr:uid="{00000000-0005-0000-0000-000098090000}"/>
    <cellStyle name="Percentuale 63 2" xfId="1205" xr:uid="{00000000-0005-0000-0000-000099090000}"/>
    <cellStyle name="Percentuale 63 2 2" xfId="13621" xr:uid="{713EDA75-C3E9-4CC2-BE80-67A0F8BE2E3F}"/>
    <cellStyle name="Percentuale 63 2 2 2" xfId="29646" xr:uid="{5FB946CF-7195-4869-9951-1345E990FA3F}"/>
    <cellStyle name="Percentuale 63 2 3" xfId="29645" xr:uid="{58DDF791-457C-4689-B939-00D97E98B67F}"/>
    <cellStyle name="Percentuale 63 3" xfId="13359" xr:uid="{66C0299A-903E-4F23-A993-B4819572011F}"/>
    <cellStyle name="Percentuale 63 3 2" xfId="29647" xr:uid="{AB211FC0-CF59-40DD-8733-206B08FA7786}"/>
    <cellStyle name="Percentuale 63 4" xfId="29648" xr:uid="{33ABD1E5-BE3A-4700-8755-2A05D11B7B36}"/>
    <cellStyle name="Percentuale 63 4 2" xfId="49439" xr:uid="{4AA914EC-1116-4E16-8B2E-7DD264F92BC5}"/>
    <cellStyle name="Percentuale 63 5" xfId="29644" xr:uid="{948E352A-1485-46BD-A153-7E4A6E26FCD2}"/>
    <cellStyle name="Percentuale 64" xfId="1206" xr:uid="{00000000-0005-0000-0000-00009A090000}"/>
    <cellStyle name="Percentuale 64 2" xfId="1207" xr:uid="{00000000-0005-0000-0000-00009B090000}"/>
    <cellStyle name="Percentuale 64 2 2" xfId="13622" xr:uid="{5943995F-DE8E-42B6-A7AA-300C8184F57B}"/>
    <cellStyle name="Percentuale 64 2 2 2" xfId="29651" xr:uid="{8995B203-316E-437A-9BD2-774EBECC4577}"/>
    <cellStyle name="Percentuale 64 2 3" xfId="29650" xr:uid="{8A70A783-E1DC-4159-93E9-8694719A8B14}"/>
    <cellStyle name="Percentuale 64 3" xfId="13360" xr:uid="{6EF1905D-D511-46F4-8071-A05327CC8F16}"/>
    <cellStyle name="Percentuale 64 3 2" xfId="29652" xr:uid="{86FB410E-2A79-42A6-BAD7-F947954553B5}"/>
    <cellStyle name="Percentuale 64 4" xfId="29653" xr:uid="{D38C508E-B708-4CE0-82D4-656C8AACAF67}"/>
    <cellStyle name="Percentuale 64 4 2" xfId="49440" xr:uid="{8AD71DDF-0784-40A1-A1B9-A254962B7651}"/>
    <cellStyle name="Percentuale 64 5" xfId="29649" xr:uid="{2EA9ECB2-09A9-47A8-9542-11E843EFFEB1}"/>
    <cellStyle name="Percentuale 65" xfId="1208" xr:uid="{00000000-0005-0000-0000-00009C090000}"/>
    <cellStyle name="Percentuale 65 2" xfId="1209" xr:uid="{00000000-0005-0000-0000-00009D090000}"/>
    <cellStyle name="Percentuale 65 2 2" xfId="13623" xr:uid="{F74DDE5E-B324-43A2-BE2D-8B785DDDD448}"/>
    <cellStyle name="Percentuale 65 2 2 2" xfId="29656" xr:uid="{62431624-1D59-4843-BD85-B142ADB0108E}"/>
    <cellStyle name="Percentuale 65 2 3" xfId="29655" xr:uid="{E26EA4DF-6B16-4868-BCC9-CEABDBF9EF1F}"/>
    <cellStyle name="Percentuale 65 3" xfId="13361" xr:uid="{96AADDBD-08A9-405E-820F-DFD11122B93E}"/>
    <cellStyle name="Percentuale 65 3 2" xfId="29657" xr:uid="{EB38AE11-5BEA-4FC2-BEBE-829E50E53A4A}"/>
    <cellStyle name="Percentuale 65 4" xfId="29658" xr:uid="{A1C24108-9AF5-4E15-A556-72294937A41E}"/>
    <cellStyle name="Percentuale 65 4 2" xfId="49441" xr:uid="{E1E940EF-ACCA-45C7-B16A-CD4C84755E58}"/>
    <cellStyle name="Percentuale 65 5" xfId="29654" xr:uid="{CB6B3F49-DB0A-4CA5-9E7B-7E7F6ABFA6A9}"/>
    <cellStyle name="Percentuale 66" xfId="1210" xr:uid="{00000000-0005-0000-0000-00009E090000}"/>
    <cellStyle name="Percentuale 66 2" xfId="1211" xr:uid="{00000000-0005-0000-0000-00009F090000}"/>
    <cellStyle name="Percentuale 66 2 2" xfId="13624" xr:uid="{FD98CB60-7D1F-47A7-B498-461C3D08C41C}"/>
    <cellStyle name="Percentuale 66 2 2 2" xfId="29661" xr:uid="{650051FC-5879-497B-9DE5-B73A0F0A55DB}"/>
    <cellStyle name="Percentuale 66 2 3" xfId="29660" xr:uid="{EB51E01F-727E-4CCA-AC0A-681A5347ABE0}"/>
    <cellStyle name="Percentuale 66 3" xfId="13362" xr:uid="{30812E57-307C-4CA3-ADC5-3A0042143815}"/>
    <cellStyle name="Percentuale 66 3 2" xfId="29662" xr:uid="{CE11AB59-0A8A-4CE3-AB2C-4D6E7EDCA983}"/>
    <cellStyle name="Percentuale 66 4" xfId="29663" xr:uid="{6E7750AA-FB98-4476-9E0B-91A2F6C135A3}"/>
    <cellStyle name="Percentuale 66 4 2" xfId="49442" xr:uid="{A2CE3BE0-332D-4850-97BC-B2D74DACF242}"/>
    <cellStyle name="Percentuale 66 5" xfId="29659" xr:uid="{85B48052-6E19-4AD1-ACC8-5B054D0A44D8}"/>
    <cellStyle name="Percentuale 67" xfId="1212" xr:uid="{00000000-0005-0000-0000-0000A0090000}"/>
    <cellStyle name="Percentuale 67 2" xfId="1213" xr:uid="{00000000-0005-0000-0000-0000A1090000}"/>
    <cellStyle name="Percentuale 67 2 2" xfId="13625" xr:uid="{3E102B55-0C59-4C8C-B6F2-60D27F4A8674}"/>
    <cellStyle name="Percentuale 67 2 2 2" xfId="29666" xr:uid="{04EF07E7-7530-426C-BF9C-8761C653E292}"/>
    <cellStyle name="Percentuale 67 2 3" xfId="29665" xr:uid="{D9D1F753-F61E-451B-BEC3-D3FB16AF5203}"/>
    <cellStyle name="Percentuale 67 3" xfId="13363" xr:uid="{485F0178-CE29-4CAD-BC75-C9096AD8ED41}"/>
    <cellStyle name="Percentuale 67 3 2" xfId="29667" xr:uid="{98572E6A-7834-4A69-8E70-C14E61D0559E}"/>
    <cellStyle name="Percentuale 67 4" xfId="29668" xr:uid="{1A01B8DE-CBBD-48B7-9116-3ED21D4D6469}"/>
    <cellStyle name="Percentuale 67 4 2" xfId="49443" xr:uid="{03623A3A-3331-4249-ACCB-DC38F707C704}"/>
    <cellStyle name="Percentuale 67 5" xfId="29664" xr:uid="{4BAA790C-F084-45D5-8EAC-C9E3CEDD2306}"/>
    <cellStyle name="Percentuale 68" xfId="1214" xr:uid="{00000000-0005-0000-0000-0000A2090000}"/>
    <cellStyle name="Percentuale 68 2" xfId="1215" xr:uid="{00000000-0005-0000-0000-0000A3090000}"/>
    <cellStyle name="Percentuale 68 2 2" xfId="4502" xr:uid="{BACC67DC-0D10-4A0C-8653-C032F3F4ECAE}"/>
    <cellStyle name="Percentuale 68 2 2 2" xfId="13626" xr:uid="{50DFAC7F-9D83-45EB-9395-D9E47EBF1984}"/>
    <cellStyle name="Percentuale 68 2 2 3" xfId="29671" xr:uid="{EF2D6559-6607-4A31-9033-247AB0E4604C}"/>
    <cellStyle name="Percentuale 68 2 3" xfId="13364" xr:uid="{DBCBE200-D3EF-412E-9BB4-25C9D753C073}"/>
    <cellStyle name="Percentuale 68 2 3 2" xfId="29672" xr:uid="{C3FF57A4-3EC8-4003-83DE-751F80A472FE}"/>
    <cellStyle name="Percentuale 68 2 4" xfId="29673" xr:uid="{99ACACE2-887B-46D4-A8E6-5362CD56595D}"/>
    <cellStyle name="Percentuale 68 2 4 2" xfId="49444" xr:uid="{D0C535EE-9BBD-45EE-B895-C0BCD23FD5E8}"/>
    <cellStyle name="Percentuale 68 2 5" xfId="29674" xr:uid="{174390A2-5CA2-41B8-9799-4A6282BF28A7}"/>
    <cellStyle name="Percentuale 68 2 6" xfId="29670" xr:uid="{B7870020-1ED5-47AD-82FE-7D3343913817}"/>
    <cellStyle name="Percentuale 68 3" xfId="1216" xr:uid="{00000000-0005-0000-0000-0000A4090000}"/>
    <cellStyle name="Percentuale 68 3 2" xfId="1217" xr:uid="{00000000-0005-0000-0000-0000A5090000}"/>
    <cellStyle name="Percentuale 68 3 2 2" xfId="2504" xr:uid="{00000000-0005-0000-0000-0000A6090000}"/>
    <cellStyle name="Percentuale 68 3 2 2 2" xfId="29678" xr:uid="{6F8E79E7-16AC-4255-9D42-6571A6761A14}"/>
    <cellStyle name="Percentuale 68 3 2 2 3" xfId="29677" xr:uid="{3BB3F52B-A8AD-4C5A-BB51-8194D23BCADE}"/>
    <cellStyle name="Percentuale 68 3 2 3" xfId="8175" xr:uid="{A3E57BD5-FBCE-46C2-8686-567DDE9B84B9}"/>
    <cellStyle name="Percentuale 68 3 2 3 2" xfId="14174" xr:uid="{8FD4E824-65E0-4FB0-8328-634DDAA7D5CC}"/>
    <cellStyle name="Percentuale 68 3 2 3 3" xfId="29679" xr:uid="{F401E9E4-813F-43FC-995A-C05094ED3F56}"/>
    <cellStyle name="Percentuale 68 3 2 3 4" xfId="49445" xr:uid="{A90426A4-5018-4890-B9D6-D6D32BF4CB36}"/>
    <cellStyle name="Percentuale 68 3 2 4" xfId="29680" xr:uid="{D1360AC5-FBC2-41F1-ADD5-46DC035AF53B}"/>
    <cellStyle name="Percentuale 68 3 2 5" xfId="29676" xr:uid="{AED2FD4E-FC3C-4D07-AF4A-BFBFCAD66111}"/>
    <cellStyle name="Percentuale 68 3 3" xfId="4503" xr:uid="{DC9ED9B7-0593-4684-B2BF-E5BDE9B5FE35}"/>
    <cellStyle name="Percentuale 68 3 3 2" xfId="9572" xr:uid="{11266A0B-3446-4B4D-AF00-25F0B0CD7F64}"/>
    <cellStyle name="Percentuale 68 3 3 2 2" xfId="29682" xr:uid="{95253A3E-87EA-4C50-80CA-4051F0CE33B6}"/>
    <cellStyle name="Percentuale 68 3 3 3" xfId="29683" xr:uid="{349E56F0-C68D-4788-9424-54FAE2BE865F}"/>
    <cellStyle name="Percentuale 68 3 3 4" xfId="29684" xr:uid="{29CD0E2E-B5B6-4A88-B414-6B7EDE154F25}"/>
    <cellStyle name="Percentuale 68 3 3 4 2" xfId="49446" xr:uid="{B32E4EDA-BA28-44A6-8FFB-C517D474A4B9}"/>
    <cellStyle name="Percentuale 68 3 3 5" xfId="29681" xr:uid="{2D711496-7380-4F5C-8D76-B7F6D13A4FA7}"/>
    <cellStyle name="Percentuale 68 3 4" xfId="4504" xr:uid="{476AD549-44A6-4B35-B9D7-2515E2929DA2}"/>
    <cellStyle name="Percentuale 68 3 4 2" xfId="13835" xr:uid="{7312BD12-A52D-4B01-B256-6B55D4F5B808}"/>
    <cellStyle name="Percentuale 68 3 4 3" xfId="29685" xr:uid="{101803FC-FF32-4654-B106-CC175944C89F}"/>
    <cellStyle name="Percentuale 68 3 5" xfId="11416" xr:uid="{32380FDD-24A6-4A39-B415-68FD78C71773}"/>
    <cellStyle name="Percentuale 68 3 5 2" xfId="29686" xr:uid="{310F06A9-0432-4BF7-8313-DD8D72F9F698}"/>
    <cellStyle name="Percentuale 68 3 6" xfId="29687" xr:uid="{BB1D4C39-47EC-473C-953E-BEFBFD3955C8}"/>
    <cellStyle name="Percentuale 68 3 6 2" xfId="49447" xr:uid="{DDAAA16E-BCD0-46F1-9179-AE740580DBB3}"/>
    <cellStyle name="Percentuale 68 3 7" xfId="29688" xr:uid="{3841E96E-E503-48D8-B18A-0A726E9D3899}"/>
    <cellStyle name="Percentuale 68 3 8" xfId="29675" xr:uid="{86337EF2-B695-4B2B-B108-D0442BB0C6CD}"/>
    <cellStyle name="Percentuale 68 4" xfId="2505" xr:uid="{00000000-0005-0000-0000-0000A7090000}"/>
    <cellStyle name="Percentuale 68 4 2" xfId="2506" xr:uid="{00000000-0005-0000-0000-0000A8090000}"/>
    <cellStyle name="Percentuale 68 4 2 2" xfId="9573" xr:uid="{372D155D-A027-46E0-BF9B-9A2479B33DEB}"/>
    <cellStyle name="Percentuale 68 4 2 2 2" xfId="29691" xr:uid="{787FB55A-7DD1-4B0C-8506-E49E16467649}"/>
    <cellStyle name="Percentuale 68 4 2 3" xfId="17960" xr:uid="{582C9826-11A6-4F16-B482-F95B35827E48}"/>
    <cellStyle name="Percentuale 68 4 2 3 2" xfId="29692" xr:uid="{EFFA5904-D127-4BE3-834E-9D14F834CC71}"/>
    <cellStyle name="Percentuale 68 4 2 4" xfId="29690" xr:uid="{C7C63B6C-224B-466B-8F49-4CA6729D3B8A}"/>
    <cellStyle name="Percentuale 68 4 2 5" xfId="17571" xr:uid="{2DF643DB-E390-4F2B-807C-912E7F551F37}"/>
    <cellStyle name="Percentuale 68 4 3" xfId="9574" xr:uid="{9E73BB35-45DF-4F18-99F9-9C959CBC764C}"/>
    <cellStyle name="Percentuale 68 4 3 2" xfId="29693" xr:uid="{E312A389-CF63-4BCA-8D2E-1F759A9F2748}"/>
    <cellStyle name="Percentuale 68 4 4" xfId="29694" xr:uid="{D4792DE0-20BD-49FF-9B0E-842D3793DCFF}"/>
    <cellStyle name="Percentuale 68 4 5" xfId="29695" xr:uid="{B3B1DF29-272C-4AC0-A612-CFCB49146CAD}"/>
    <cellStyle name="Percentuale 68 4 5 2" xfId="49448" xr:uid="{377E0D85-F796-4155-B877-5EFE21E7F0A9}"/>
    <cellStyle name="Percentuale 68 4 6" xfId="29696" xr:uid="{E5657AE4-8388-4A2F-96FD-F7A59A4F100A}"/>
    <cellStyle name="Percentuale 68 4 7" xfId="29689" xr:uid="{9DF5FA44-C743-4123-B300-ED30B23996FA}"/>
    <cellStyle name="Percentuale 68 5" xfId="2507" xr:uid="{00000000-0005-0000-0000-0000A9090000}"/>
    <cellStyle name="Percentuale 68 5 2" xfId="29698" xr:uid="{A5E7DFCF-B815-49EB-821E-90880CCA1858}"/>
    <cellStyle name="Percentuale 68 5 3" xfId="29699" xr:uid="{59DD4645-F9FC-4D64-AB38-96C7456B650C}"/>
    <cellStyle name="Percentuale 68 5 3 2" xfId="49449" xr:uid="{BDE339CA-587D-4654-8C38-B97BBDED6E06}"/>
    <cellStyle name="Percentuale 68 5 4" xfId="29700" xr:uid="{7D3CCFBB-EAB0-420C-B583-7C62AB030143}"/>
    <cellStyle name="Percentuale 68 5 5" xfId="29697" xr:uid="{A63FB806-16C8-41DB-B77C-C0F4A471648D}"/>
    <cellStyle name="Percentuale 68 6" xfId="4505" xr:uid="{B04B8D4B-5750-4393-9BCE-86DA715AD844}"/>
    <cellStyle name="Percentuale 68 6 2" xfId="9869" xr:uid="{B75E802B-4634-4519-8B31-4A102F9D9837}"/>
    <cellStyle name="Percentuale 68 6 3" xfId="29701" xr:uid="{E10EAE6E-E77F-40B2-A848-5082CB2450CF}"/>
    <cellStyle name="Percentuale 68 7" xfId="29702" xr:uid="{E1862F86-9CB4-404C-BCAF-A211C044B33F}"/>
    <cellStyle name="Percentuale 68 7 2" xfId="49450" xr:uid="{8A7BFE73-D795-496F-8B8E-7FE26F200BB1}"/>
    <cellStyle name="Percentuale 68 8" xfId="29669" xr:uid="{8024F8B8-D632-48C1-8FBA-268E9D9819BA}"/>
    <cellStyle name="Percentuale 69" xfId="1218" xr:uid="{00000000-0005-0000-0000-0000AA090000}"/>
    <cellStyle name="Percentuale 69 2" xfId="1219" xr:uid="{00000000-0005-0000-0000-0000AB090000}"/>
    <cellStyle name="Percentuale 69 2 2" xfId="4506" xr:uid="{23DB9E88-DEBE-4954-BEC1-3C3828A60C5B}"/>
    <cellStyle name="Percentuale 69 2 2 2" xfId="13627" xr:uid="{A201E9D4-A9D3-434F-A7F3-D461508CE602}"/>
    <cellStyle name="Percentuale 69 2 2 3" xfId="29705" xr:uid="{D70D9252-85EC-436B-90C8-037A0975409B}"/>
    <cellStyle name="Percentuale 69 2 3" xfId="13365" xr:uid="{70D6AD91-3AC1-414D-BB7D-929C9F846997}"/>
    <cellStyle name="Percentuale 69 2 3 2" xfId="29706" xr:uid="{D9A313D6-F993-425D-866C-037D3BBC77BF}"/>
    <cellStyle name="Percentuale 69 2 4" xfId="29707" xr:uid="{B55CD023-7D4A-4340-8795-1963D55977D2}"/>
    <cellStyle name="Percentuale 69 2 4 2" xfId="49451" xr:uid="{00AA4B84-514C-43A2-AB52-5F382A091F4E}"/>
    <cellStyle name="Percentuale 69 2 5" xfId="29708" xr:uid="{28A0CEF0-A81B-4938-A4D2-AF1D768F8521}"/>
    <cellStyle name="Percentuale 69 2 6" xfId="29704" xr:uid="{F8103D3E-D78B-4730-86D2-546D6D3E3F7D}"/>
    <cellStyle name="Percentuale 69 3" xfId="1220" xr:uid="{00000000-0005-0000-0000-0000AC090000}"/>
    <cellStyle name="Percentuale 69 3 2" xfId="1221" xr:uid="{00000000-0005-0000-0000-0000AD090000}"/>
    <cellStyle name="Percentuale 69 3 2 2" xfId="2508" xr:uid="{00000000-0005-0000-0000-0000AE090000}"/>
    <cellStyle name="Percentuale 69 3 2 2 2" xfId="29712" xr:uid="{A38213E7-880F-454C-ABEA-9025914A4988}"/>
    <cellStyle name="Percentuale 69 3 2 2 3" xfId="29711" xr:uid="{1E1B78BC-AEF5-41D0-AC6E-9AC516A000B8}"/>
    <cellStyle name="Percentuale 69 3 2 3" xfId="8176" xr:uid="{2B7BCEAE-E72F-4215-B4DA-10CC74242FAE}"/>
    <cellStyle name="Percentuale 69 3 2 3 2" xfId="14175" xr:uid="{179C5A7D-8C83-4C6B-90CA-375DDA0FE06A}"/>
    <cellStyle name="Percentuale 69 3 2 3 3" xfId="29713" xr:uid="{DEA49ADE-7C24-4E82-BBBE-8623E273B0AF}"/>
    <cellStyle name="Percentuale 69 3 2 3 4" xfId="49452" xr:uid="{56F43024-0CEF-4316-ABF6-FA05DBB76E4A}"/>
    <cellStyle name="Percentuale 69 3 2 4" xfId="29714" xr:uid="{8E04E9E5-E00C-4AC1-9BE1-A8A7CF17836D}"/>
    <cellStyle name="Percentuale 69 3 2 5" xfId="29710" xr:uid="{A8A25314-7C6A-4309-B586-667442050917}"/>
    <cellStyle name="Percentuale 69 3 3" xfId="4507" xr:uid="{F23C2736-47A1-4534-B738-9D35C0CD0C5F}"/>
    <cellStyle name="Percentuale 69 3 3 2" xfId="9575" xr:uid="{3A90F4BB-B014-4C6A-B006-145E479D9B69}"/>
    <cellStyle name="Percentuale 69 3 3 2 2" xfId="29716" xr:uid="{585717FF-C566-461B-940B-34019324C441}"/>
    <cellStyle name="Percentuale 69 3 3 3" xfId="29717" xr:uid="{F7511932-61B1-43D4-B3B5-339AB99A2433}"/>
    <cellStyle name="Percentuale 69 3 3 4" xfId="29718" xr:uid="{C1F96DD4-02DF-4051-8ED4-00A18F745463}"/>
    <cellStyle name="Percentuale 69 3 3 4 2" xfId="49453" xr:uid="{7ECD832B-8CC9-43D1-B3BA-9C052E9AC58D}"/>
    <cellStyle name="Percentuale 69 3 3 5" xfId="29715" xr:uid="{8619D1AB-AF37-4A8E-BCAB-41015124FE59}"/>
    <cellStyle name="Percentuale 69 3 4" xfId="4508" xr:uid="{6EB096BA-F89C-46F3-B69D-C62A77C9EFB4}"/>
    <cellStyle name="Percentuale 69 3 4 2" xfId="13836" xr:uid="{17D464DC-D844-46E6-A9F2-69E222E94E06}"/>
    <cellStyle name="Percentuale 69 3 4 3" xfId="29719" xr:uid="{8D2F8E31-0C53-446C-97CC-356EB7395C57}"/>
    <cellStyle name="Percentuale 69 3 5" xfId="12265" xr:uid="{AC8B01EC-6BDE-461D-A84D-DFC27DB35E28}"/>
    <cellStyle name="Percentuale 69 3 5 2" xfId="29720" xr:uid="{B2E203E7-9D01-4D7B-A524-3FD38AF6BE72}"/>
    <cellStyle name="Percentuale 69 3 6" xfId="29721" xr:uid="{224A2D02-C496-4489-AFF5-28F0D17C5590}"/>
    <cellStyle name="Percentuale 69 3 6 2" xfId="49454" xr:uid="{41E1702F-0A9D-4CCA-885E-F1E82234A44F}"/>
    <cellStyle name="Percentuale 69 3 7" xfId="29722" xr:uid="{B6162627-0882-4322-BD0D-24E4E9E53F73}"/>
    <cellStyle name="Percentuale 69 3 8" xfId="29709" xr:uid="{5FB2A9E2-1985-46A1-A767-D5C8E2CF938C}"/>
    <cellStyle name="Percentuale 69 4" xfId="2509" xr:uid="{00000000-0005-0000-0000-0000AF090000}"/>
    <cellStyle name="Percentuale 69 4 2" xfId="2510" xr:uid="{00000000-0005-0000-0000-0000B0090000}"/>
    <cellStyle name="Percentuale 69 4 2 2" xfId="9576" xr:uid="{462B7440-E9BE-45F6-AE90-EE24293D2E4B}"/>
    <cellStyle name="Percentuale 69 4 2 2 2" xfId="29725" xr:uid="{5715EEF2-F903-4EFC-894A-71B5925E2AA7}"/>
    <cellStyle name="Percentuale 69 4 2 3" xfId="17961" xr:uid="{960BEB16-F4B8-4595-A34A-1281B699146B}"/>
    <cellStyle name="Percentuale 69 4 2 3 2" xfId="29726" xr:uid="{370EA6C5-AE21-4BD4-AD45-276E2D7C84A9}"/>
    <cellStyle name="Percentuale 69 4 2 4" xfId="29724" xr:uid="{77666EFB-3727-4142-8E63-8811ABE93624}"/>
    <cellStyle name="Percentuale 69 4 2 5" xfId="17572" xr:uid="{49C27E0D-686D-4380-8431-632365435A64}"/>
    <cellStyle name="Percentuale 69 4 3" xfId="9577" xr:uid="{DE018F60-F659-45E6-A5DB-BD7389E48637}"/>
    <cellStyle name="Percentuale 69 4 3 2" xfId="29727" xr:uid="{3689782A-C7DE-4217-A066-81C02ADB37CB}"/>
    <cellStyle name="Percentuale 69 4 4" xfId="29728" xr:uid="{7C01973A-9106-4CAC-991B-C22980B54620}"/>
    <cellStyle name="Percentuale 69 4 5" xfId="29729" xr:uid="{5E97FFD7-00DB-46D1-A0F1-A8516D59DBEE}"/>
    <cellStyle name="Percentuale 69 4 5 2" xfId="49455" xr:uid="{FCBF385C-8D9B-466A-9C74-3DFD3E7FD4C5}"/>
    <cellStyle name="Percentuale 69 4 6" xfId="29730" xr:uid="{A42210AD-EEBB-40A6-AEB0-FA0AAF146DBF}"/>
    <cellStyle name="Percentuale 69 4 7" xfId="29723" xr:uid="{CB8A69F9-720D-4217-99DA-B6D05D1834EC}"/>
    <cellStyle name="Percentuale 69 5" xfId="2511" xr:uid="{00000000-0005-0000-0000-0000B1090000}"/>
    <cellStyle name="Percentuale 69 5 2" xfId="29732" xr:uid="{1514B402-379D-42C5-BCB7-D3FFC8214345}"/>
    <cellStyle name="Percentuale 69 5 3" xfId="29733" xr:uid="{01D56C62-D2B0-499B-8A4B-A36257173BEB}"/>
    <cellStyle name="Percentuale 69 5 3 2" xfId="49456" xr:uid="{D7A1CCD4-7417-4109-8E54-5058896F5513}"/>
    <cellStyle name="Percentuale 69 5 4" xfId="29734" xr:uid="{D5801A93-C0C9-470C-9BFE-C8EA59AA2A6F}"/>
    <cellStyle name="Percentuale 69 5 5" xfId="29731" xr:uid="{D29EC11F-7746-4703-8459-5E44A5C6FFF9}"/>
    <cellStyle name="Percentuale 69 6" xfId="4509" xr:uid="{ECB2712E-6612-44FE-8D01-07451168264D}"/>
    <cellStyle name="Percentuale 69 6 2" xfId="9870" xr:uid="{24494CE5-B9EF-4FC9-B0B3-7C2AB47D0DAC}"/>
    <cellStyle name="Percentuale 69 6 3" xfId="29735" xr:uid="{34862452-9E16-484D-8718-846D5C760832}"/>
    <cellStyle name="Percentuale 69 7" xfId="29736" xr:uid="{A7088E89-E0FF-44E6-A0EC-6A30A051B649}"/>
    <cellStyle name="Percentuale 69 7 2" xfId="49457" xr:uid="{32D64A7F-EED9-4DAF-9183-735BDFE360B4}"/>
    <cellStyle name="Percentuale 69 8" xfId="29703" xr:uid="{421D0A01-97EF-42DD-B2C7-F942D5E032E2}"/>
    <cellStyle name="Percentuale 7" xfId="1222" xr:uid="{00000000-0005-0000-0000-0000B2090000}"/>
    <cellStyle name="Percentuale 7 2" xfId="1223" xr:uid="{00000000-0005-0000-0000-0000B3090000}"/>
    <cellStyle name="Percentuale 7 2 2" xfId="4510" xr:uid="{39A505AE-B8B8-42CF-92B4-06C819A4CA23}"/>
    <cellStyle name="Percentuale 7 2 2 2" xfId="13628" xr:uid="{B72BF523-8580-4CDA-9FDC-B2D947C5B586}"/>
    <cellStyle name="Percentuale 7 2 2 3" xfId="29739" xr:uid="{4108496C-8024-41ED-AE75-212190C8075F}"/>
    <cellStyle name="Percentuale 7 2 3" xfId="13366" xr:uid="{11EF22DD-847B-484D-9FCF-92A5DBCF0BAF}"/>
    <cellStyle name="Percentuale 7 2 3 2" xfId="29740" xr:uid="{B7A0C48C-207E-4C17-8557-6E7712D9FBF4}"/>
    <cellStyle name="Percentuale 7 2 4" xfId="29741" xr:uid="{C05BF64C-DF33-4C0F-82CD-D2E195C165D8}"/>
    <cellStyle name="Percentuale 7 2 4 2" xfId="49458" xr:uid="{1E4BD022-1994-4446-B7EF-BADA18F6D38E}"/>
    <cellStyle name="Percentuale 7 2 5" xfId="29742" xr:uid="{15CCB295-486B-4373-891B-0D86C926A265}"/>
    <cellStyle name="Percentuale 7 2 6" xfId="29738" xr:uid="{4F8A9201-8D60-4449-A401-B3C250070249}"/>
    <cellStyle name="Percentuale 7 3" xfId="1224" xr:uid="{00000000-0005-0000-0000-0000B4090000}"/>
    <cellStyle name="Percentuale 7 3 2" xfId="1225" xr:uid="{00000000-0005-0000-0000-0000B5090000}"/>
    <cellStyle name="Percentuale 7 3 2 2" xfId="2512" xr:uid="{00000000-0005-0000-0000-0000B6090000}"/>
    <cellStyle name="Percentuale 7 3 2 2 2" xfId="29746" xr:uid="{E2D70682-816D-4FEA-BD40-B3EBDC5D86F1}"/>
    <cellStyle name="Percentuale 7 3 2 2 3" xfId="29745" xr:uid="{9D762693-DEE8-46D0-A9B0-2E604710ADBD}"/>
    <cellStyle name="Percentuale 7 3 2 3" xfId="8177" xr:uid="{FA44C778-86F8-4A87-8940-94F0D007B673}"/>
    <cellStyle name="Percentuale 7 3 2 3 2" xfId="14176" xr:uid="{BEB32516-71A0-4713-9C9C-9614577B5660}"/>
    <cellStyle name="Percentuale 7 3 2 3 3" xfId="29747" xr:uid="{6DE2EF9A-59F0-47F9-BB8D-28D06365B8D3}"/>
    <cellStyle name="Percentuale 7 3 2 3 4" xfId="49459" xr:uid="{ACBFFBF0-6211-4957-8E6B-07AA9DBE3592}"/>
    <cellStyle name="Percentuale 7 3 2 4" xfId="29748" xr:uid="{E1940956-F467-4B2D-97C3-6ED6BCFBA415}"/>
    <cellStyle name="Percentuale 7 3 2 5" xfId="29744" xr:uid="{CF04CB01-EDB4-413A-ADEC-480E8209D73C}"/>
    <cellStyle name="Percentuale 7 3 3" xfId="4511" xr:uid="{27C4F1D5-4DF4-44E2-AE15-B3E5F9C2936B}"/>
    <cellStyle name="Percentuale 7 3 3 2" xfId="9578" xr:uid="{4DFA3194-2D85-4C9D-83AF-BA8941C2E2CC}"/>
    <cellStyle name="Percentuale 7 3 3 2 2" xfId="29750" xr:uid="{201E62E0-F1B4-4DC9-9483-22EF7EE113B4}"/>
    <cellStyle name="Percentuale 7 3 3 3" xfId="29751" xr:uid="{6DE49EF6-9F49-4B9E-AFB3-13B918A00F67}"/>
    <cellStyle name="Percentuale 7 3 3 4" xfId="29752" xr:uid="{624D56D6-BD3D-4B8A-9401-7F180D7A972E}"/>
    <cellStyle name="Percentuale 7 3 3 4 2" xfId="49460" xr:uid="{7EFFD53D-6C29-4B25-AE5C-B2D6E89C3BF2}"/>
    <cellStyle name="Percentuale 7 3 3 5" xfId="29749" xr:uid="{299D65AF-EA41-4ED0-9FB0-F70F270B1AE6}"/>
    <cellStyle name="Percentuale 7 3 4" xfId="4512" xr:uid="{23D630BB-0139-496F-A9FA-0C19BCD36DAF}"/>
    <cellStyle name="Percentuale 7 3 4 2" xfId="13837" xr:uid="{6DFB65CB-8B10-49A2-B8FB-185468333919}"/>
    <cellStyle name="Percentuale 7 3 4 3" xfId="29753" xr:uid="{1370AB65-CCDF-4C56-BD4D-C20FE16A9A55}"/>
    <cellStyle name="Percentuale 7 3 5" xfId="12309" xr:uid="{EF5CDE3F-1C31-4F2B-8C4A-2A2F4DA63557}"/>
    <cellStyle name="Percentuale 7 3 5 2" xfId="29754" xr:uid="{5EAA7CFD-2650-4033-AE8B-0914CBC1D76E}"/>
    <cellStyle name="Percentuale 7 3 6" xfId="29755" xr:uid="{E421C74C-6DB7-4A63-BD64-60FF2FFC0C0E}"/>
    <cellStyle name="Percentuale 7 3 6 2" xfId="49461" xr:uid="{B9C2975B-EDEF-4B49-9779-FF47D7C5762E}"/>
    <cellStyle name="Percentuale 7 3 7" xfId="29756" xr:uid="{4BB7E45F-686E-4EB8-8389-10FCFE4D7556}"/>
    <cellStyle name="Percentuale 7 3 8" xfId="29743" xr:uid="{025559ED-C61B-451C-8933-2DEB2699A0B0}"/>
    <cellStyle name="Percentuale 7 4" xfId="2513" xr:uid="{00000000-0005-0000-0000-0000B7090000}"/>
    <cellStyle name="Percentuale 7 4 2" xfId="2514" xr:uid="{00000000-0005-0000-0000-0000B8090000}"/>
    <cellStyle name="Percentuale 7 4 2 2" xfId="9579" xr:uid="{960E4BA6-81F0-4BE4-BD7D-74DEF41985E4}"/>
    <cellStyle name="Percentuale 7 4 2 2 2" xfId="29759" xr:uid="{B881F8B3-DF7A-42CB-BE5E-5EE826D93CAD}"/>
    <cellStyle name="Percentuale 7 4 2 3" xfId="17962" xr:uid="{EE54DB30-2F2C-4634-A6FC-51BE64CD29CF}"/>
    <cellStyle name="Percentuale 7 4 2 3 2" xfId="29760" xr:uid="{1C054C4A-5981-4BEE-9776-9AC19490C1BB}"/>
    <cellStyle name="Percentuale 7 4 2 4" xfId="29758" xr:uid="{8B2691C9-069B-4B43-A9CD-0E6C20C92EDC}"/>
    <cellStyle name="Percentuale 7 4 2 5" xfId="17573" xr:uid="{6DF2CBD4-276C-410C-9E8B-27938F2DE8B1}"/>
    <cellStyle name="Percentuale 7 4 3" xfId="9580" xr:uid="{1DB166E3-0BA1-4E43-885A-57A16CA5A8D8}"/>
    <cellStyle name="Percentuale 7 4 3 2" xfId="29761" xr:uid="{C8614544-E23D-4EC6-917F-98AA6426D674}"/>
    <cellStyle name="Percentuale 7 4 4" xfId="29762" xr:uid="{E434E99D-51DB-4F60-A307-B2A3AC9F12A6}"/>
    <cellStyle name="Percentuale 7 4 5" xfId="29763" xr:uid="{38512B9F-1666-4162-BA1E-B5FF9A45772D}"/>
    <cellStyle name="Percentuale 7 4 5 2" xfId="49462" xr:uid="{40D11E4E-9354-4009-A88F-9CF6B7EC306D}"/>
    <cellStyle name="Percentuale 7 4 6" xfId="29764" xr:uid="{E50E9562-7B12-45AA-8232-EC888BADA1D1}"/>
    <cellStyle name="Percentuale 7 4 7" xfId="29757" xr:uid="{73591064-D211-41F2-8F78-B165179F132D}"/>
    <cellStyle name="Percentuale 7 5" xfId="2515" xr:uid="{00000000-0005-0000-0000-0000B9090000}"/>
    <cellStyle name="Percentuale 7 5 2" xfId="29766" xr:uid="{E6239141-4297-4883-BA1F-DB9C49B53F3D}"/>
    <cellStyle name="Percentuale 7 5 3" xfId="29767" xr:uid="{D158A64F-00FC-4F0E-818B-AE23EBA55B6A}"/>
    <cellStyle name="Percentuale 7 5 3 2" xfId="49463" xr:uid="{CED6D653-176D-49EE-BD28-684FFDE42F38}"/>
    <cellStyle name="Percentuale 7 5 4" xfId="29768" xr:uid="{BEB940A2-C29E-46C3-B74B-F4CA2C7F66EB}"/>
    <cellStyle name="Percentuale 7 5 5" xfId="29765" xr:uid="{3C0638FC-4665-4BC4-9DB4-BF169BFDD120}"/>
    <cellStyle name="Percentuale 7 6" xfId="4513" xr:uid="{B971EC7F-33B1-45D2-99AE-E8B1207E15BA}"/>
    <cellStyle name="Percentuale 7 6 2" xfId="9871" xr:uid="{ED951B82-A113-4E73-8BE2-4BE27D687D55}"/>
    <cellStyle name="Percentuale 7 6 3" xfId="29769" xr:uid="{A2406443-8BC7-4090-922B-BAD25E7D126D}"/>
    <cellStyle name="Percentuale 7 7" xfId="29770" xr:uid="{B8FC451D-0A2C-4E95-9C2F-6A5975140587}"/>
    <cellStyle name="Percentuale 7 7 2" xfId="49464" xr:uid="{4227558A-FC49-4F5D-B586-7148F85845F2}"/>
    <cellStyle name="Percentuale 7 8" xfId="29737" xr:uid="{A7F4CACB-D919-4EDA-9A5A-ADAB6A3A6E1D}"/>
    <cellStyle name="Percentuale 8" xfId="1226" xr:uid="{00000000-0005-0000-0000-0000BA090000}"/>
    <cellStyle name="Percentuale 8 2" xfId="1227" xr:uid="{00000000-0005-0000-0000-0000BB090000}"/>
    <cellStyle name="Percentuale 8 2 2" xfId="4514" xr:uid="{EC87832A-4D3F-42EC-84F1-A7153A9C2B19}"/>
    <cellStyle name="Percentuale 8 2 2 2" xfId="13629" xr:uid="{A311B62E-1A29-4A21-A331-19FAE84A2E1B}"/>
    <cellStyle name="Percentuale 8 2 2 3" xfId="29773" xr:uid="{6FB7183D-993A-4513-B1B6-3248FEA0039F}"/>
    <cellStyle name="Percentuale 8 2 3" xfId="13367" xr:uid="{F362C5C0-3077-4EE0-94B4-6E43435D2BD5}"/>
    <cellStyle name="Percentuale 8 2 3 2" xfId="29774" xr:uid="{16F8233B-C96C-4FBF-9ECA-6976728AB64B}"/>
    <cellStyle name="Percentuale 8 2 4" xfId="29775" xr:uid="{DDBA8576-A9D7-4471-9F54-EAE408BEDD6A}"/>
    <cellStyle name="Percentuale 8 2 4 2" xfId="49465" xr:uid="{95A21139-D208-4002-A600-0B229E282C18}"/>
    <cellStyle name="Percentuale 8 2 5" xfId="29776" xr:uid="{117619A8-BCF2-41B7-A019-D954D62300DB}"/>
    <cellStyle name="Percentuale 8 2 6" xfId="29772" xr:uid="{62C2D65F-111F-4327-BE64-31BDD38E5528}"/>
    <cellStyle name="Percentuale 8 3" xfId="1228" xr:uid="{00000000-0005-0000-0000-0000BC090000}"/>
    <cellStyle name="Percentuale 8 3 2" xfId="1229" xr:uid="{00000000-0005-0000-0000-0000BD090000}"/>
    <cellStyle name="Percentuale 8 3 2 2" xfId="2516" xr:uid="{00000000-0005-0000-0000-0000BE090000}"/>
    <cellStyle name="Percentuale 8 3 2 2 2" xfId="29780" xr:uid="{9397EFA3-C252-4F33-8483-A823383F9B64}"/>
    <cellStyle name="Percentuale 8 3 2 2 3" xfId="29779" xr:uid="{551C732E-ED08-4B63-81FE-6213C6097F3A}"/>
    <cellStyle name="Percentuale 8 3 2 3" xfId="8178" xr:uid="{05A5D91A-C308-4BF1-85EC-57EC3C44231B}"/>
    <cellStyle name="Percentuale 8 3 2 3 2" xfId="14177" xr:uid="{1F81AF74-E46E-4DC8-8FCA-A82D255C5C37}"/>
    <cellStyle name="Percentuale 8 3 2 3 3" xfId="29781" xr:uid="{B3FE2CAB-0C2F-49EE-9D82-2FA3A7B73E42}"/>
    <cellStyle name="Percentuale 8 3 2 3 4" xfId="49466" xr:uid="{5216DEB2-F97A-4362-8E58-C44930D03A64}"/>
    <cellStyle name="Percentuale 8 3 2 4" xfId="29782" xr:uid="{74B16089-E343-4589-A881-A67531BC315B}"/>
    <cellStyle name="Percentuale 8 3 2 5" xfId="29778" xr:uid="{03C02FF2-3A48-4CDD-85E6-B6A23378F757}"/>
    <cellStyle name="Percentuale 8 3 3" xfId="4515" xr:uid="{741C152F-232A-4B81-B58A-36B8BFCCE056}"/>
    <cellStyle name="Percentuale 8 3 3 2" xfId="9581" xr:uid="{94E6BC9F-B415-4026-98D7-2D3BF16F6E0D}"/>
    <cellStyle name="Percentuale 8 3 3 2 2" xfId="29784" xr:uid="{239B7991-55C4-468F-8050-74D05B051FEA}"/>
    <cellStyle name="Percentuale 8 3 3 3" xfId="29785" xr:uid="{4996453A-00EF-442D-8897-472E7537F6E9}"/>
    <cellStyle name="Percentuale 8 3 3 4" xfId="29786" xr:uid="{B3B38620-690A-4D72-B403-B4FBC17DFB67}"/>
    <cellStyle name="Percentuale 8 3 3 4 2" xfId="49467" xr:uid="{F10C3300-2DE3-4B25-B036-63961F216D0E}"/>
    <cellStyle name="Percentuale 8 3 3 5" xfId="29783" xr:uid="{FE988E8B-F6FE-4B76-BEE3-051D9CF51EB6}"/>
    <cellStyle name="Percentuale 8 3 4" xfId="4516" xr:uid="{4CFB019E-7393-468B-81F1-1169D28536A4}"/>
    <cellStyle name="Percentuale 8 3 4 2" xfId="13838" xr:uid="{541F2A31-C89E-4D48-B525-25E974D977A3}"/>
    <cellStyle name="Percentuale 8 3 4 3" xfId="29787" xr:uid="{1F4479C6-2F22-46F7-BD25-7EBDEA471CA6}"/>
    <cellStyle name="Percentuale 8 3 5" xfId="11099" xr:uid="{B9D3AAEC-F4F7-4A6A-AA70-70B9A907B5A8}"/>
    <cellStyle name="Percentuale 8 3 5 2" xfId="29788" xr:uid="{138E194C-3FCE-4B59-BC17-2C521E4795C1}"/>
    <cellStyle name="Percentuale 8 3 6" xfId="29789" xr:uid="{9CBA0166-9497-4877-AA56-8053C6EC8FDB}"/>
    <cellStyle name="Percentuale 8 3 6 2" xfId="49468" xr:uid="{0F1E3E4B-E020-4F7F-AF45-F27854CCA076}"/>
    <cellStyle name="Percentuale 8 3 7" xfId="29790" xr:uid="{D28676AE-EE6F-4C38-A9EC-72E8BD795D14}"/>
    <cellStyle name="Percentuale 8 3 8" xfId="29777" xr:uid="{EA516FAE-89EA-4383-A84F-D6CDA95A001C}"/>
    <cellStyle name="Percentuale 8 4" xfId="2517" xr:uid="{00000000-0005-0000-0000-0000BF090000}"/>
    <cellStyle name="Percentuale 8 4 2" xfId="2518" xr:uid="{00000000-0005-0000-0000-0000C0090000}"/>
    <cellStyle name="Percentuale 8 4 2 2" xfId="9582" xr:uid="{7FD04F0F-D60F-40F1-9B44-020872BB7353}"/>
    <cellStyle name="Percentuale 8 4 2 2 2" xfId="29793" xr:uid="{BC6D05CE-BD60-4A4E-9039-EA7049A8206A}"/>
    <cellStyle name="Percentuale 8 4 2 3" xfId="17963" xr:uid="{A18D4165-8286-4C81-A045-51224A475E42}"/>
    <cellStyle name="Percentuale 8 4 2 3 2" xfId="29794" xr:uid="{68659735-4870-4010-9FD0-0A6A83E367FF}"/>
    <cellStyle name="Percentuale 8 4 2 4" xfId="29792" xr:uid="{FF9A3D8E-9203-4440-85F7-EF5117A8AA63}"/>
    <cellStyle name="Percentuale 8 4 2 5" xfId="17574" xr:uid="{5ABC84AE-8606-490B-B48D-25C99A8A7BB2}"/>
    <cellStyle name="Percentuale 8 4 3" xfId="9583" xr:uid="{402E7759-3712-4EFF-BC56-251045256F61}"/>
    <cellStyle name="Percentuale 8 4 3 2" xfId="29795" xr:uid="{1E12EE0C-5949-43D0-B93E-BA770B66042C}"/>
    <cellStyle name="Percentuale 8 4 4" xfId="29796" xr:uid="{8312B17E-B857-42EE-A84D-2127C7F4685A}"/>
    <cellStyle name="Percentuale 8 4 5" xfId="29797" xr:uid="{D38F1A5A-2585-4FA2-8C46-AE822C979E84}"/>
    <cellStyle name="Percentuale 8 4 5 2" xfId="49469" xr:uid="{99AB7700-C403-4684-ABD4-7BD5169600AA}"/>
    <cellStyle name="Percentuale 8 4 6" xfId="29798" xr:uid="{78CBBAA2-41C3-4D47-B572-C4CBF3A1071C}"/>
    <cellStyle name="Percentuale 8 4 7" xfId="29791" xr:uid="{DF34FEEA-34D4-40D2-ABC1-13940CDD9B22}"/>
    <cellStyle name="Percentuale 8 5" xfId="2519" xr:uid="{00000000-0005-0000-0000-0000C1090000}"/>
    <cellStyle name="Percentuale 8 5 2" xfId="29800" xr:uid="{E8C21438-3176-4F9C-B010-2F3702107787}"/>
    <cellStyle name="Percentuale 8 5 3" xfId="29801" xr:uid="{FB1786D1-C830-4F7D-A307-AC91E1CB38C9}"/>
    <cellStyle name="Percentuale 8 5 3 2" xfId="49470" xr:uid="{BC51B76B-FDBD-4F5B-82A6-42F915BA291A}"/>
    <cellStyle name="Percentuale 8 5 4" xfId="29802" xr:uid="{3E1AB7D7-BDCC-4B13-8D12-9F326A1EB684}"/>
    <cellStyle name="Percentuale 8 5 5" xfId="29799" xr:uid="{60274E02-B5DC-4120-8D83-208D308E6898}"/>
    <cellStyle name="Percentuale 8 6" xfId="4517" xr:uid="{3B0E0195-3231-418E-81FD-1D9A483AA130}"/>
    <cellStyle name="Percentuale 8 6 2" xfId="9872" xr:uid="{BE37DC54-006F-48FA-A026-2ABA1F1407E0}"/>
    <cellStyle name="Percentuale 8 6 3" xfId="29803" xr:uid="{531601C8-0E8D-4C8B-B318-6CB9A2DB852E}"/>
    <cellStyle name="Percentuale 8 7" xfId="29804" xr:uid="{A89B53E3-4643-461C-ADBF-256C12DC1E7F}"/>
    <cellStyle name="Percentuale 8 7 2" xfId="49471" xr:uid="{3AE71714-250C-47A1-89C8-621E577D8DCA}"/>
    <cellStyle name="Percentuale 8 8" xfId="29771" xr:uid="{FAAA3E9C-A184-46E9-9968-C2509ADB605F}"/>
    <cellStyle name="Percentuale 9" xfId="1230" xr:uid="{00000000-0005-0000-0000-0000C2090000}"/>
    <cellStyle name="Percentuale 9 2" xfId="1231" xr:uid="{00000000-0005-0000-0000-0000C3090000}"/>
    <cellStyle name="Percentuale 9 2 2" xfId="4518" xr:uid="{7C19F368-3FB0-4038-A5D5-3D8B341AAC7A}"/>
    <cellStyle name="Percentuale 9 2 2 2" xfId="13630" xr:uid="{66DDD46D-2A9E-48C1-9867-A0B9481C8B17}"/>
    <cellStyle name="Percentuale 9 2 2 3" xfId="29807" xr:uid="{53D0A370-BC00-4560-A39D-555174D67E99}"/>
    <cellStyle name="Percentuale 9 2 3" xfId="13368" xr:uid="{A65DFDB5-6FD5-45BA-8586-8103B245F967}"/>
    <cellStyle name="Percentuale 9 2 3 2" xfId="29808" xr:uid="{4ACAF53B-61B0-4EE9-A016-D732EFE457F0}"/>
    <cellStyle name="Percentuale 9 2 4" xfId="29809" xr:uid="{968830A9-0474-460C-920D-4AD6FDDD4E7E}"/>
    <cellStyle name="Percentuale 9 2 4 2" xfId="49472" xr:uid="{3A5EE5BC-C753-49E6-9653-4EF72B29810C}"/>
    <cellStyle name="Percentuale 9 2 5" xfId="29810" xr:uid="{F0920C92-29CE-46D5-906E-060BFACFF139}"/>
    <cellStyle name="Percentuale 9 2 6" xfId="29806" xr:uid="{AE55AB7F-7D29-41D8-9E51-52B424580236}"/>
    <cellStyle name="Percentuale 9 3" xfId="1232" xr:uid="{00000000-0005-0000-0000-0000C4090000}"/>
    <cellStyle name="Percentuale 9 3 2" xfId="1233" xr:uid="{00000000-0005-0000-0000-0000C5090000}"/>
    <cellStyle name="Percentuale 9 3 2 2" xfId="2520" xr:uid="{00000000-0005-0000-0000-0000C6090000}"/>
    <cellStyle name="Percentuale 9 3 2 2 2" xfId="29814" xr:uid="{AA138531-9728-499E-B6FE-8BC8135FE7C8}"/>
    <cellStyle name="Percentuale 9 3 2 2 3" xfId="29813" xr:uid="{AC5071D6-6FA5-41ED-8C2B-9F8E7E0260C2}"/>
    <cellStyle name="Percentuale 9 3 2 3" xfId="8179" xr:uid="{89FC78C2-F01C-4D37-BEC0-C940BBBBD90A}"/>
    <cellStyle name="Percentuale 9 3 2 3 2" xfId="14178" xr:uid="{BD1101B2-B5F4-4EE6-89F7-A008D8A4C64D}"/>
    <cellStyle name="Percentuale 9 3 2 3 3" xfId="29815" xr:uid="{6B8F3802-BF71-4E0B-A946-C199FF994EE2}"/>
    <cellStyle name="Percentuale 9 3 2 3 4" xfId="49473" xr:uid="{9581BEC5-C7F6-4CFA-98A0-1F44061701B4}"/>
    <cellStyle name="Percentuale 9 3 2 4" xfId="29816" xr:uid="{CA336636-C9CA-4B0C-81B3-6CE0377CF6C5}"/>
    <cellStyle name="Percentuale 9 3 2 5" xfId="29812" xr:uid="{A00C78F6-AE19-4C60-B4CF-2C355988C2CB}"/>
    <cellStyle name="Percentuale 9 3 3" xfId="4519" xr:uid="{09BEE86E-5621-4A2E-9E12-DEB898ADB992}"/>
    <cellStyle name="Percentuale 9 3 3 2" xfId="9584" xr:uid="{55097D5A-59FC-4E05-9D3A-4632F1DC6852}"/>
    <cellStyle name="Percentuale 9 3 3 2 2" xfId="29818" xr:uid="{A62A7999-933B-4FC6-A960-2FF8E1D4EFB4}"/>
    <cellStyle name="Percentuale 9 3 3 3" xfId="29819" xr:uid="{6388B8A1-200D-42FD-9871-56098C101581}"/>
    <cellStyle name="Percentuale 9 3 3 4" xfId="29820" xr:uid="{5D5175AE-44CD-4A8E-884C-795465D47E96}"/>
    <cellStyle name="Percentuale 9 3 3 4 2" xfId="49474" xr:uid="{7594BA59-F8E2-41A4-A1BA-4A416EA2815E}"/>
    <cellStyle name="Percentuale 9 3 3 5" xfId="29817" xr:uid="{D78F31BF-C503-41F2-A808-91B5AFB02119}"/>
    <cellStyle name="Percentuale 9 3 4" xfId="4520" xr:uid="{9895FC97-83C2-4E5D-BA95-411E3648771D}"/>
    <cellStyle name="Percentuale 9 3 4 2" xfId="13839" xr:uid="{7C52B4A8-51F0-43C9-BA58-E7D4DBEB5089}"/>
    <cellStyle name="Percentuale 9 3 4 3" xfId="29821" xr:uid="{74398970-6B9C-439B-B8CE-3538C380F51D}"/>
    <cellStyle name="Percentuale 9 3 5" xfId="12308" xr:uid="{A81BFBE4-48C9-46C4-9ECA-881C4585F1A0}"/>
    <cellStyle name="Percentuale 9 3 5 2" xfId="29822" xr:uid="{0F148DE8-F911-47F1-B9F1-44F1A116A47F}"/>
    <cellStyle name="Percentuale 9 3 6" xfId="29823" xr:uid="{718B9326-AF4B-44E0-8E36-9DA010AE557D}"/>
    <cellStyle name="Percentuale 9 3 6 2" xfId="49475" xr:uid="{5DEC9CC4-A645-4038-8B45-2E484F7CC80B}"/>
    <cellStyle name="Percentuale 9 3 7" xfId="29824" xr:uid="{0232E3B5-DFB3-4220-A9DC-29992B4E126F}"/>
    <cellStyle name="Percentuale 9 3 8" xfId="29811" xr:uid="{C719C677-7CB5-4868-87A8-81F0E6BDE8BB}"/>
    <cellStyle name="Percentuale 9 4" xfId="2521" xr:uid="{00000000-0005-0000-0000-0000C7090000}"/>
    <cellStyle name="Percentuale 9 4 2" xfId="2522" xr:uid="{00000000-0005-0000-0000-0000C8090000}"/>
    <cellStyle name="Percentuale 9 4 2 2" xfId="9585" xr:uid="{40EE58AA-7F54-4BE6-B476-EE3D26F2028A}"/>
    <cellStyle name="Percentuale 9 4 2 2 2" xfId="29827" xr:uid="{3F9094EE-E262-4C78-A37D-61B1228F2F77}"/>
    <cellStyle name="Percentuale 9 4 2 3" xfId="17964" xr:uid="{43B2728F-50EF-4EC3-A134-02E083344CB0}"/>
    <cellStyle name="Percentuale 9 4 2 3 2" xfId="29828" xr:uid="{7463C766-1070-4088-B719-6355A6179E18}"/>
    <cellStyle name="Percentuale 9 4 2 4" xfId="29826" xr:uid="{D235227A-C3E0-4087-AE19-42AC3078BFF5}"/>
    <cellStyle name="Percentuale 9 4 2 5" xfId="17575" xr:uid="{365943D1-01E7-4A50-BDBE-EB0324477D9C}"/>
    <cellStyle name="Percentuale 9 4 3" xfId="9586" xr:uid="{08862ABF-50EE-404F-883A-F516E15F97ED}"/>
    <cellStyle name="Percentuale 9 4 3 2" xfId="29829" xr:uid="{A288CE31-F3BA-4E5E-AF4B-1E01AD840C08}"/>
    <cellStyle name="Percentuale 9 4 4" xfId="29830" xr:uid="{26DF11EA-D640-4FAA-8EBE-E474A2981E3D}"/>
    <cellStyle name="Percentuale 9 4 5" xfId="29831" xr:uid="{9C7E4DA7-EB6B-4D97-82BB-3BAD0B5EEE08}"/>
    <cellStyle name="Percentuale 9 4 5 2" xfId="49476" xr:uid="{91B08A6A-A80C-44BA-9FA2-29E1DA119882}"/>
    <cellStyle name="Percentuale 9 4 6" xfId="29832" xr:uid="{132338A9-D668-4433-9D7F-3B6E079E76F4}"/>
    <cellStyle name="Percentuale 9 4 7" xfId="29825" xr:uid="{476316C0-8D24-41B1-AC3F-DAC36F9E9FF4}"/>
    <cellStyle name="Percentuale 9 5" xfId="2523" xr:uid="{00000000-0005-0000-0000-0000C9090000}"/>
    <cellStyle name="Percentuale 9 5 2" xfId="29834" xr:uid="{8ADB53D1-884B-4187-A216-B2B62AB23D0D}"/>
    <cellStyle name="Percentuale 9 5 3" xfId="29835" xr:uid="{1E01166F-5F98-44B9-82E0-F5BCB8724E61}"/>
    <cellStyle name="Percentuale 9 5 3 2" xfId="49477" xr:uid="{AACB4563-32E2-4065-8C0F-79EC787025F1}"/>
    <cellStyle name="Percentuale 9 5 4" xfId="29836" xr:uid="{4691D31F-464D-40DC-A446-EF4C092F705A}"/>
    <cellStyle name="Percentuale 9 5 5" xfId="29833" xr:uid="{A151E693-07BA-4060-AC30-0BC55A6588CF}"/>
    <cellStyle name="Percentuale 9 6" xfId="4521" xr:uid="{467D75F9-414A-4C6D-9D8C-A93815D42E74}"/>
    <cellStyle name="Percentuale 9 6 2" xfId="9873" xr:uid="{3E63BCF0-91ED-4614-9259-ACA0FBF6A0AA}"/>
    <cellStyle name="Percentuale 9 6 3" xfId="29837" xr:uid="{602A6BD3-18AC-4C80-BC59-09F2B81C0D57}"/>
    <cellStyle name="Percentuale 9 7" xfId="29838" xr:uid="{B564D6F6-C996-490B-9A25-E50DB40BF381}"/>
    <cellStyle name="Percentuale 9 7 2" xfId="49478" xr:uid="{97E89891-94C0-421C-995C-605CF6E06B3D}"/>
    <cellStyle name="Percentuale 9 8" xfId="29805" xr:uid="{68B1CA9E-2C66-46A7-BA51-F4F7C356B35F}"/>
    <cellStyle name="Procent 10" xfId="29839" xr:uid="{A4C4BAB4-7564-49D6-9FAE-B58CBA76BA6C}"/>
    <cellStyle name="Procent 10 2" xfId="29840" xr:uid="{78DE6DB8-79C7-4278-9C4A-895AC84D6BCD}"/>
    <cellStyle name="Procent 10 2 2" xfId="29841" xr:uid="{27AF09BD-023C-4E4A-BEDC-0A0A60019D91}"/>
    <cellStyle name="Procent 10 3" xfId="29842" xr:uid="{B05BBDF6-119D-4448-BDEF-5C30853542B2}"/>
    <cellStyle name="Procent 10 3 2" xfId="29843" xr:uid="{159A9848-2AB5-4847-9A45-42D785702385}"/>
    <cellStyle name="Procent 10 4" xfId="29844" xr:uid="{B4E0B82F-3179-45AE-94F3-1151CC7E3359}"/>
    <cellStyle name="Procent 10 4 2" xfId="29845" xr:uid="{8FB42284-203C-4681-A9E0-7D9D5B2F60A1}"/>
    <cellStyle name="Procent 10 5" xfId="29846" xr:uid="{99B94354-9F9A-4C6F-AB15-BF168AE50FAC}"/>
    <cellStyle name="Procent 11" xfId="29847" xr:uid="{E1AD09B3-AE6F-4C5E-9FE0-D8ECB2B7AA7C}"/>
    <cellStyle name="Procent 11 2" xfId="29848" xr:uid="{BC70E89F-5EA2-409A-AC83-DBE6B79BF071}"/>
    <cellStyle name="Procent 12" xfId="29849" xr:uid="{92B01A9F-E238-42BB-9AF1-E8B3F33BE231}"/>
    <cellStyle name="Procent 12 2" xfId="29850" xr:uid="{36EE800E-F458-4326-936A-29DB84C3508A}"/>
    <cellStyle name="Procent 13" xfId="29851" xr:uid="{91CC0D06-7709-4B73-B2B7-4484B1175D9E}"/>
    <cellStyle name="Procent 2" xfId="1234" xr:uid="{00000000-0005-0000-0000-0000CA090000}"/>
    <cellStyle name="Procent 2 10" xfId="29853" xr:uid="{2252A731-8899-4839-A2B9-0575FC34E472}"/>
    <cellStyle name="Procent 2 10 2" xfId="29854" xr:uid="{19E8C668-B20D-4098-9054-6F9429F3C9D1}"/>
    <cellStyle name="Procent 2 10 2 2" xfId="29855" xr:uid="{E9E25560-44BB-4A7C-BF00-06968C05084E}"/>
    <cellStyle name="Procent 2 10 3" xfId="29856" xr:uid="{E8D41AB2-2D8A-46F3-A23B-3D1837648B8A}"/>
    <cellStyle name="Procent 2 11" xfId="29857" xr:uid="{EA5805A6-A9AD-4DEF-B303-C5C7D7C12885}"/>
    <cellStyle name="Procent 2 11 2" xfId="29858" xr:uid="{9EB6F81B-4BC8-4994-A98F-2B5A0065BA63}"/>
    <cellStyle name="Procent 2 12" xfId="29859" xr:uid="{5CF57BE3-E907-4B41-BF8B-DD571FC22EDC}"/>
    <cellStyle name="Procent 2 12 2" xfId="29860" xr:uid="{65240CC2-B614-4592-ABF3-6E92816545E4}"/>
    <cellStyle name="Procent 2 13" xfId="29861" xr:uid="{B25A4C8B-9F94-4F81-98FA-F294467758EB}"/>
    <cellStyle name="Procent 2 13 2" xfId="29862" xr:uid="{B1CBFB9C-CFAF-4F20-8946-A52CE6216478}"/>
    <cellStyle name="Procent 2 14" xfId="29863" xr:uid="{4BFC3EFD-5F7C-42CE-AA60-90B5D0B13D8F}"/>
    <cellStyle name="Procent 2 14 2" xfId="29864" xr:uid="{744DDD46-E036-4865-9807-001A5D68E809}"/>
    <cellStyle name="Procent 2 15" xfId="29865" xr:uid="{D81BAF31-72D9-4055-AB7F-F968BE71B453}"/>
    <cellStyle name="Procent 2 16" xfId="29866" xr:uid="{7B208804-FF6A-4154-83A0-6106628A6D93}"/>
    <cellStyle name="Procent 2 17" xfId="29867" xr:uid="{C6414366-FCAD-412F-924C-7B6C6E3FC049}"/>
    <cellStyle name="Procent 2 18" xfId="29868" xr:uid="{8CE663CC-A833-4916-9FCD-275B104C7F49}"/>
    <cellStyle name="Procent 2 18 2" xfId="49479" xr:uid="{41261E33-85F4-4F47-A93A-705E6D1FF937}"/>
    <cellStyle name="Procent 2 19" xfId="29869" xr:uid="{D8C7FD23-A23B-42DE-8FC0-C822CACFE201}"/>
    <cellStyle name="Procent 2 2" xfId="2524" xr:uid="{00000000-0005-0000-0000-0000CB090000}"/>
    <cellStyle name="Procent 2 2 10" xfId="29871" xr:uid="{1481B149-8C65-4AAB-8B7A-4948E50C2D1F}"/>
    <cellStyle name="Procent 2 2 11" xfId="29872" xr:uid="{54D8540D-569B-4659-9006-4166CEA7CFF6}"/>
    <cellStyle name="Procent 2 2 12" xfId="29873" xr:uid="{D766AEEB-06D2-42FD-891E-3ADAAA30DA50}"/>
    <cellStyle name="Procent 2 2 12 2" xfId="49480" xr:uid="{AC6B5AA1-7494-487C-816B-CE32ED9CEB3C}"/>
    <cellStyle name="Procent 2 2 13" xfId="29874" xr:uid="{58C4C4CB-81D5-469F-A1AF-534310D641DD}"/>
    <cellStyle name="Procent 2 2 14" xfId="29870" xr:uid="{61C265BC-742D-462D-ACE1-28BD35100090}"/>
    <cellStyle name="Procent 2 2 15" xfId="17965" xr:uid="{AA164700-9C10-40AB-BFB8-35879E3FE244}"/>
    <cellStyle name="Procent 2 2 16" xfId="9587" xr:uid="{440DD380-CE8D-4375-95FF-06F341ED5262}"/>
    <cellStyle name="Procent 2 2 2" xfId="2525" xr:uid="{00000000-0005-0000-0000-0000CC090000}"/>
    <cellStyle name="Procent 2 2 2 2" xfId="29876" xr:uid="{0E704E36-F72D-4CDD-99E9-B7391663F238}"/>
    <cellStyle name="Procent 2 2 2 2 2" xfId="29877" xr:uid="{308DE267-DA45-4C7D-A1CE-8519F2E8D31F}"/>
    <cellStyle name="Procent 2 2 2 3" xfId="29878" xr:uid="{19F06B37-BF12-4126-9761-3476D01029EA}"/>
    <cellStyle name="Procent 2 2 2 3 2" xfId="29879" xr:uid="{379E953F-C72B-4A14-89DF-0876AFC59E10}"/>
    <cellStyle name="Procent 2 2 2 4" xfId="29880" xr:uid="{1BBA6CB7-B90E-47E3-85F0-C1194AEFC66C}"/>
    <cellStyle name="Procent 2 2 2 4 2" xfId="29881" xr:uid="{E336D984-8E28-4A09-B0A3-7B8351EE1FB9}"/>
    <cellStyle name="Procent 2 2 2 5" xfId="29882" xr:uid="{61D7A40B-8437-4B30-AA4B-0F9F64D64CCE}"/>
    <cellStyle name="Procent 2 2 2 5 2" xfId="29883" xr:uid="{8C160F1C-0627-4D35-9E6B-7CA3AF03E90C}"/>
    <cellStyle name="Procent 2 2 2 6" xfId="29884" xr:uid="{7C647561-9FAD-4696-BC0D-C6BC330E0922}"/>
    <cellStyle name="Procent 2 2 2 7" xfId="29885" xr:uid="{724F1EC9-3A0E-41DE-9EE9-80D7A2C85938}"/>
    <cellStyle name="Procent 2 2 2 8" xfId="29875" xr:uid="{6EB9CFDA-A501-4744-BA65-DE0117D21C07}"/>
    <cellStyle name="Procent 2 2 2 9" xfId="17966" xr:uid="{1EA02A18-C62D-45A9-ADA5-F908D84644DE}"/>
    <cellStyle name="Procent 2 2 3" xfId="12175" xr:uid="{0BEC1357-366E-40B8-A02E-FCDB9847AF1C}"/>
    <cellStyle name="Procent 2 2 3 2" xfId="29887" xr:uid="{1DB9B92A-1107-4295-AE0D-4E5E9979629A}"/>
    <cellStyle name="Procent 2 2 3 2 2" xfId="29888" xr:uid="{CE53EC53-4149-4613-B701-8487F2C6834E}"/>
    <cellStyle name="Procent 2 2 3 3" xfId="29889" xr:uid="{34AFA039-A996-4C39-A355-4CFFD666924D}"/>
    <cellStyle name="Procent 2 2 3 4" xfId="29886" xr:uid="{8139F7C5-B128-4FF8-B8EC-0D9DE7936DA9}"/>
    <cellStyle name="Procent 2 2 4" xfId="11674" xr:uid="{1F881088-7F6E-47C6-BDC1-AC5409A022AC}"/>
    <cellStyle name="Procent 2 2 4 2" xfId="29891" xr:uid="{E2AE0CB0-1B2E-4E9A-83E2-494E82448470}"/>
    <cellStyle name="Procent 2 2 4 3" xfId="29890" xr:uid="{7BAC3600-7163-4A9E-B090-EA05DCC81CCD}"/>
    <cellStyle name="Procent 2 2 5" xfId="11087" xr:uid="{C2799105-18C3-4311-82AD-37F955D8A2AE}"/>
    <cellStyle name="Procent 2 2 5 2" xfId="29893" xr:uid="{47E741A3-3BBE-410B-B8E6-275E7F99BC42}"/>
    <cellStyle name="Procent 2 2 5 3" xfId="46721" xr:uid="{488AF45A-F382-4B10-8E6B-C0CC36BD660E}"/>
    <cellStyle name="Procent 2 2 5 4" xfId="29892" xr:uid="{F7B8D7B0-2031-4C2A-9099-8578A540483E}"/>
    <cellStyle name="Procent 2 2 6" xfId="29894" xr:uid="{39691D03-6B57-4229-8EBD-C548B48A96C3}"/>
    <cellStyle name="Procent 2 2 6 2" xfId="29895" xr:uid="{8B32E218-BAE7-48E5-B4A2-C9162D8524FF}"/>
    <cellStyle name="Procent 2 2 7" xfId="29896" xr:uid="{D85ED352-3585-440A-86E1-0EFBC1ECA652}"/>
    <cellStyle name="Procent 2 2 7 2" xfId="29897" xr:uid="{C8077DB3-D81F-4614-96F7-5663735A310B}"/>
    <cellStyle name="Procent 2 2 8" xfId="29898" xr:uid="{60A3B897-0E17-49BA-AFF7-7C019E185A87}"/>
    <cellStyle name="Procent 2 2 9" xfId="29899" xr:uid="{0A997C7C-0C25-492A-8A66-5A038DE40F52}"/>
    <cellStyle name="Procent 2 20" xfId="29852" xr:uid="{7047463A-543B-48A9-A049-FE13A9E23D6D}"/>
    <cellStyle name="Procent 2 3" xfId="29900" xr:uid="{0C880F08-78CB-41F5-A279-64863A4D6A2E}"/>
    <cellStyle name="Procent 2 3 2" xfId="29901" xr:uid="{F13E1BD4-F375-409A-ACEB-91B698D94AAF}"/>
    <cellStyle name="Procent 2 3 2 2" xfId="29902" xr:uid="{C481DD41-CDD5-48B5-ACD6-CEA8B957B716}"/>
    <cellStyle name="Procent 2 3 2 2 2" xfId="29903" xr:uid="{EBF4D41A-98B8-40F1-8091-A510C362E4AD}"/>
    <cellStyle name="Procent 2 3 2 3" xfId="29904" xr:uid="{BD330549-3331-4446-ABC4-E29B26BF6A5E}"/>
    <cellStyle name="Procent 2 3 2 3 2" xfId="29905" xr:uid="{4CC8F38F-0299-42B7-837D-89D54A385820}"/>
    <cellStyle name="Procent 2 3 2 4" xfId="29906" xr:uid="{3A890444-810A-4F7F-BB78-095D2CF2941C}"/>
    <cellStyle name="Procent 2 3 3" xfId="29907" xr:uid="{61F16D9B-C0E9-4073-AD35-79E2A999D62B}"/>
    <cellStyle name="Procent 2 3 3 2" xfId="29908" xr:uid="{AAC9A153-08A0-4436-8FE0-821302B64633}"/>
    <cellStyle name="Procent 2 3 4" xfId="29909" xr:uid="{75D4ECF0-1DB0-40BD-8D89-A4D85A28E49B}"/>
    <cellStyle name="Procent 2 3 4 2" xfId="29910" xr:uid="{54D60A28-F18E-44BF-99D2-DB8A446EE5C9}"/>
    <cellStyle name="Procent 2 3 5" xfId="29911" xr:uid="{72BE72AA-2780-4A7F-B260-90A6D0E0CE2B}"/>
    <cellStyle name="Procent 2 3 5 2" xfId="29912" xr:uid="{B74060B9-1C3D-4125-BE71-B850BEDF36FE}"/>
    <cellStyle name="Procent 2 3 6" xfId="29913" xr:uid="{D93A9A16-F082-4B12-8A97-51A2F35E893E}"/>
    <cellStyle name="Procent 2 3 6 2" xfId="29914" xr:uid="{DFC801CC-D568-490A-92CE-58C569AB2676}"/>
    <cellStyle name="Procent 2 3 7" xfId="29915" xr:uid="{02DA18A9-A510-488E-942B-F60DB0472D10}"/>
    <cellStyle name="Procent 2 3 7 2" xfId="29916" xr:uid="{58D25ED0-8620-4B48-A5E1-5005D8AD30BC}"/>
    <cellStyle name="Procent 2 3 8" xfId="29917" xr:uid="{5C7BD47B-B15F-4BCA-9F8E-604BC29CEBB7}"/>
    <cellStyle name="Procent 2 4" xfId="29918" xr:uid="{AAE249C8-51D0-42B1-B9E2-5504075F532F}"/>
    <cellStyle name="Procent 2 4 2" xfId="29919" xr:uid="{F888925F-D6EA-4685-8C99-6615BDC2F243}"/>
    <cellStyle name="Procent 2 4 2 2" xfId="29920" xr:uid="{64AAA3E0-A13B-48B5-B262-054FE59F3EF9}"/>
    <cellStyle name="Procent 2 4 2 2 2" xfId="29921" xr:uid="{D896B864-83F4-4A15-B5C2-1E99A9B8BBA9}"/>
    <cellStyle name="Procent 2 4 2 3" xfId="29922" xr:uid="{EC05F3B1-1258-4FE3-83BF-9C7A3E0F13AD}"/>
    <cellStyle name="Procent 2 4 2 3 2" xfId="29923" xr:uid="{DA3191FF-46E4-4624-A151-F165EC208583}"/>
    <cellStyle name="Procent 2 4 2 4" xfId="29924" xr:uid="{ACA6F146-F621-42F9-A577-F385C48B2148}"/>
    <cellStyle name="Procent 2 4 3" xfId="29925" xr:uid="{B97358F5-0BE6-451A-9FEB-4F1A4EDF0B15}"/>
    <cellStyle name="Procent 2 4 3 2" xfId="29926" xr:uid="{E655ADD9-30DD-4BD4-9541-B7E089AB3CF7}"/>
    <cellStyle name="Procent 2 4 4" xfId="29927" xr:uid="{9F975F17-D028-4657-9FF3-D58446380B30}"/>
    <cellStyle name="Procent 2 4 4 2" xfId="29928" xr:uid="{032BC337-54F2-479B-904F-40403259F0DC}"/>
    <cellStyle name="Procent 2 4 5" xfId="29929" xr:uid="{2F03C82B-4B79-4526-B9BC-7C04EC802403}"/>
    <cellStyle name="Procent 2 4 5 2" xfId="29930" xr:uid="{7A82E738-645E-4CAF-A8EF-64F1BF10DB08}"/>
    <cellStyle name="Procent 2 4 6" xfId="29931" xr:uid="{CA65E33A-F845-4151-A46B-5AF6D9A662F7}"/>
    <cellStyle name="Procent 2 4 6 2" xfId="29932" xr:uid="{5A54FB00-C18E-4D1D-9101-E4A83DFA6988}"/>
    <cellStyle name="Procent 2 4 7" xfId="29933" xr:uid="{C181DC75-725A-4209-BF17-BF2F9D082A5C}"/>
    <cellStyle name="Procent 2 4 7 2" xfId="29934" xr:uid="{6677123A-90E9-4E24-83E0-15B83B09AA69}"/>
    <cellStyle name="Procent 2 4 8" xfId="29935" xr:uid="{3ED1DF95-09B1-4B4E-8542-1129D0A7D349}"/>
    <cellStyle name="Procent 2 5" xfId="29936" xr:uid="{919B13CC-3D6B-4F90-BB9D-8B82BFC3CB83}"/>
    <cellStyle name="Procent 2 5 2" xfId="29937" xr:uid="{4764D494-95AA-4FC3-AC22-7E2B31E611AD}"/>
    <cellStyle name="Procent 2 5 2 2" xfId="29938" xr:uid="{895953E2-510C-4894-8273-09BA2AD202B1}"/>
    <cellStyle name="Procent 2 5 2 2 2" xfId="29939" xr:uid="{0202480E-6562-4FA0-9725-EEF06D00C243}"/>
    <cellStyle name="Procent 2 5 2 3" xfId="29940" xr:uid="{7978C54B-9842-4010-99EB-6FAAB64352E9}"/>
    <cellStyle name="Procent 2 5 2 3 2" xfId="29941" xr:uid="{5C5ABEBC-105E-496E-8842-C3BB0A89AC75}"/>
    <cellStyle name="Procent 2 5 2 4" xfId="29942" xr:uid="{A6D95354-A446-4A66-B2C7-11983E6D105C}"/>
    <cellStyle name="Procent 2 5 3" xfId="29943" xr:uid="{183C6519-5A1D-4A61-B977-E392B36E3CCB}"/>
    <cellStyle name="Procent 2 5 3 2" xfId="29944" xr:uid="{08DC73A7-5235-415A-9C39-E52FDDAD7B93}"/>
    <cellStyle name="Procent 2 5 4" xfId="29945" xr:uid="{28EAA38A-12C5-4D9A-A2B0-7EFF760F3AC1}"/>
    <cellStyle name="Procent 2 5 4 2" xfId="29946" xr:uid="{71E24975-FF9E-432E-B2D4-D7A9F66AFCEC}"/>
    <cellStyle name="Procent 2 5 5" xfId="29947" xr:uid="{E80E2971-B402-40C1-ACDB-0A8EC09644D9}"/>
    <cellStyle name="Procent 2 5 5 2" xfId="29948" xr:uid="{2C71A506-D4DC-487C-A8EC-02269FDADFFF}"/>
    <cellStyle name="Procent 2 5 6" xfId="29949" xr:uid="{C50E555A-5421-4DD5-A559-FE3D8618D860}"/>
    <cellStyle name="Procent 2 5 6 2" xfId="29950" xr:uid="{5D9773E7-B40B-465D-B5FB-E285FDF949A3}"/>
    <cellStyle name="Procent 2 6" xfId="29951" xr:uid="{3C39BCBB-4EE0-46AA-928A-B461DBF6DDB4}"/>
    <cellStyle name="Procent 2 6 2" xfId="29952" xr:uid="{D4A83B8F-5128-4810-B792-20D0352DBBAF}"/>
    <cellStyle name="Procent 2 6 2 2" xfId="29953" xr:uid="{93434277-83E4-4B7E-830C-7BF7889CFCF0}"/>
    <cellStyle name="Procent 2 6 2 2 2" xfId="29954" xr:uid="{16EE8FB1-2454-40C0-8D20-30ECF571E296}"/>
    <cellStyle name="Procent 2 6 2 3" xfId="29955" xr:uid="{2FBE3D0C-60EF-410F-B278-B3084AA0D91D}"/>
    <cellStyle name="Procent 2 6 2 3 2" xfId="29956" xr:uid="{FF67C5DB-E8B8-471C-81C3-1EC09662B40C}"/>
    <cellStyle name="Procent 2 6 2 4" xfId="29957" xr:uid="{0896F9B7-33EB-4C6F-9826-7B7B6E8A074F}"/>
    <cellStyle name="Procent 2 6 3" xfId="29958" xr:uid="{61C4C368-E100-46F8-A5D2-AC5A8C807D7C}"/>
    <cellStyle name="Procent 2 6 3 2" xfId="29959" xr:uid="{DD212B0F-2EA5-4762-A9F1-40CDA635EF1D}"/>
    <cellStyle name="Procent 2 6 4" xfId="29960" xr:uid="{9BD1E313-3592-46D9-9F46-59A6F2A1FD8D}"/>
    <cellStyle name="Procent 2 6 4 2" xfId="29961" xr:uid="{58940447-46EE-4543-8EC9-94AD57372548}"/>
    <cellStyle name="Procent 2 6 5" xfId="29962" xr:uid="{B0822D4A-DE9E-430D-82D6-2F8B5F8EC15D}"/>
    <cellStyle name="Procent 2 6 5 2" xfId="29963" xr:uid="{BE5A0B3A-EA5E-48C1-91A9-0A5AA68A86F4}"/>
    <cellStyle name="Procent 2 6 6" xfId="29964" xr:uid="{4EC7F8CB-48E6-4248-8FAD-7837F4075D4E}"/>
    <cellStyle name="Procent 2 7" xfId="29965" xr:uid="{91BECA5E-3F24-4896-9E4F-D546E1B106A4}"/>
    <cellStyle name="Procent 2 7 2" xfId="29966" xr:uid="{EA5E5A1A-2333-49AA-BA32-04044EA1CDE3}"/>
    <cellStyle name="Procent 2 7 2 2" xfId="29967" xr:uid="{F2A8FBD4-33AC-4A04-A289-D0C30031D274}"/>
    <cellStyle name="Procent 2 7 2 2 2" xfId="29968" xr:uid="{FE56A66D-FBC7-44A0-8D32-365C44E310F1}"/>
    <cellStyle name="Procent 2 7 2 3" xfId="29969" xr:uid="{5DD27E1A-912B-4B60-8651-67BD4E8EA5A7}"/>
    <cellStyle name="Procent 2 7 2 3 2" xfId="29970" xr:uid="{606B8075-88B8-4DF6-8850-9C844E63D0C4}"/>
    <cellStyle name="Procent 2 7 2 4" xfId="29971" xr:uid="{7D81E5E7-22CB-4694-9F25-33CD9FAE443C}"/>
    <cellStyle name="Procent 2 7 3" xfId="29972" xr:uid="{491141DD-9B1A-4A42-9602-D877819460EE}"/>
    <cellStyle name="Procent 2 7 3 2" xfId="29973" xr:uid="{65293A09-8547-41AA-AA14-9B03F7BB120F}"/>
    <cellStyle name="Procent 2 7 4" xfId="29974" xr:uid="{D89D87C7-BD59-4283-AB1C-5318C53DF840}"/>
    <cellStyle name="Procent 2 7 4 2" xfId="29975" xr:uid="{B3F366A4-C8C4-41C1-93AF-937B3B8A6618}"/>
    <cellStyle name="Procent 2 7 5" xfId="29976" xr:uid="{A6D33D3B-0C74-41FE-A628-054FB5FDD5A5}"/>
    <cellStyle name="Procent 2 7 5 2" xfId="29977" xr:uid="{30F2C77E-7FEA-4CBA-ACD4-E66763F89650}"/>
    <cellStyle name="Procent 2 7 6" xfId="29978" xr:uid="{590FD92E-7D75-43CE-B9AD-13D078AFBF04}"/>
    <cellStyle name="Procent 2 8" xfId="29979" xr:uid="{373DB256-D47E-43C2-B050-B21155436E67}"/>
    <cellStyle name="Procent 2 8 2" xfId="29980" xr:uid="{81E7527C-A153-4880-820B-35D522F58978}"/>
    <cellStyle name="Procent 2 8 2 2" xfId="29981" xr:uid="{28935BC2-9A38-4772-8143-4CBFD7F4E3A3}"/>
    <cellStyle name="Procent 2 8 2 2 2" xfId="29982" xr:uid="{2F03B884-6C18-4300-AA4B-D00BA6DF8B41}"/>
    <cellStyle name="Procent 2 8 2 3" xfId="29983" xr:uid="{EA54FA37-C165-43FD-9D00-B83966110FA7}"/>
    <cellStyle name="Procent 2 8 2 3 2" xfId="29984" xr:uid="{07B85976-D024-4508-BED8-66CF341386A7}"/>
    <cellStyle name="Procent 2 8 2 4" xfId="29985" xr:uid="{AE792D85-1B62-4F80-B647-DDAD956D7F9F}"/>
    <cellStyle name="Procent 2 8 3" xfId="29986" xr:uid="{08BFF2C0-9DE3-4B93-881C-A6648DF1B3FB}"/>
    <cellStyle name="Procent 2 8 3 2" xfId="29987" xr:uid="{BAB9A3CA-2331-4870-9BA6-D0490C4379E9}"/>
    <cellStyle name="Procent 2 8 4" xfId="29988" xr:uid="{4B4B57B2-5DBC-46D5-8CE8-89AD50E1FC00}"/>
    <cellStyle name="Procent 2 8 4 2" xfId="29989" xr:uid="{EBB82BE8-EEC8-4CFE-BE91-8431865BCA45}"/>
    <cellStyle name="Procent 2 8 5" xfId="29990" xr:uid="{F1E4B206-FE11-4B01-9210-DD2C563543FA}"/>
    <cellStyle name="Procent 2 8 5 2" xfId="29991" xr:uid="{FED32EF9-7574-432A-AEE7-1CCBE46951E8}"/>
    <cellStyle name="Procent 2 8 6" xfId="29992" xr:uid="{C249978E-1A13-4E76-B82B-1AADD603F67C}"/>
    <cellStyle name="Procent 2 9" xfId="29993" xr:uid="{FFEF7D85-6D27-4883-B856-9FAFFE08B4DB}"/>
    <cellStyle name="Procent 2 9 2" xfId="29994" xr:uid="{45F5DB0A-7A01-4048-A5BB-8FF8FE107D36}"/>
    <cellStyle name="Procent 2 9 2 2" xfId="29995" xr:uid="{29776308-03C1-4B42-8E54-21F1C1C8EE29}"/>
    <cellStyle name="Procent 2 9 3" xfId="29996" xr:uid="{24874715-DDB7-4C66-BC55-F5143FE09CBF}"/>
    <cellStyle name="Procent 2 9 3 2" xfId="29997" xr:uid="{5AA73F69-B6EB-4FE9-93DC-5B6E3838F26B}"/>
    <cellStyle name="Procent 2 9 4" xfId="29998" xr:uid="{9DDE2AD9-9564-4935-8F20-E40B9D22E8CE}"/>
    <cellStyle name="Procent 3" xfId="2526" xr:uid="{00000000-0005-0000-0000-0000CD090000}"/>
    <cellStyle name="Procent 3 2" xfId="2527" xr:uid="{00000000-0005-0000-0000-0000CE090000}"/>
    <cellStyle name="Procent 3 2 2" xfId="12176" xr:uid="{83DD441B-D5AA-4441-A73E-2C423A721EBD}"/>
    <cellStyle name="Procent 3 2 2 2" xfId="30002" xr:uid="{458EEEB6-A995-4F13-B694-5D6257E5A75D}"/>
    <cellStyle name="Procent 3 2 2 3" xfId="30001" xr:uid="{E2ED05DC-1F9D-46C9-A8B8-AAF6CE19E5B4}"/>
    <cellStyle name="Procent 3 2 3" xfId="11576" xr:uid="{9D357626-2B35-485A-9F0F-89108B8C16C5}"/>
    <cellStyle name="Procent 3 2 3 2" xfId="30004" xr:uid="{8893B062-2203-4C2C-8345-A4A6B128D258}"/>
    <cellStyle name="Procent 3 2 3 3" xfId="30003" xr:uid="{05DCA17C-E43E-4B6C-A2CF-97E8977F06FA}"/>
    <cellStyle name="Procent 3 2 4" xfId="11089" xr:uid="{A531EE14-C0F8-4EB0-BC34-2A2CB2848806}"/>
    <cellStyle name="Procent 3 2 4 2" xfId="46266" xr:uid="{802BFF37-9349-4D9D-8605-B2F04B46EC70}"/>
    <cellStyle name="Procent 3 2 4 3" xfId="30005" xr:uid="{672BDF0B-C25B-40DE-9B89-F36393F73916}"/>
    <cellStyle name="Procent 3 2 5" xfId="30006" xr:uid="{86F648F7-7C6B-4CCC-81BF-A89BF00C7658}"/>
    <cellStyle name="Procent 3 2 6" xfId="30007" xr:uid="{A3964EFE-CF2D-4CDD-994C-4472C29B92EE}"/>
    <cellStyle name="Procent 3 2 7" xfId="30000" xr:uid="{CE3B1BD7-8389-48DC-BD91-B77A9EAA5ECA}"/>
    <cellStyle name="Procent 3 2 8" xfId="17968" xr:uid="{80227780-CF48-49B8-9F15-0D2D76027E5A}"/>
    <cellStyle name="Procent 3 2 9" xfId="9588" xr:uid="{551C5B3F-ECF7-4BE7-B2AA-2072332325F6}"/>
    <cellStyle name="Procent 3 3" xfId="4522" xr:uid="{2BE8DBFD-9061-48F6-B3D5-F878BE6E63E6}"/>
    <cellStyle name="Procent 3 3 2" xfId="30009" xr:uid="{5E06114F-80F2-4C0C-8A56-3AB6ABC312A6}"/>
    <cellStyle name="Procent 3 3 3" xfId="30008" xr:uid="{B408034F-4F2E-4DD8-B497-8159A9CC6BE6}"/>
    <cellStyle name="Procent 3 4" xfId="11575" xr:uid="{FC3ED7C2-8D0B-4481-824B-18B889DA868B}"/>
    <cellStyle name="Procent 3 4 2" xfId="30011" xr:uid="{B36EB40D-E303-4C49-81EE-E50378174570}"/>
    <cellStyle name="Procent 3 4 3" xfId="30010" xr:uid="{EBD081BB-C55C-4FA3-A4DF-C7AAD7D3CC09}"/>
    <cellStyle name="Procent 3 5" xfId="11088" xr:uid="{D5630E4A-390E-422D-A02E-B68FD22E548B}"/>
    <cellStyle name="Procent 3 5 2" xfId="30012" xr:uid="{E74B0E73-2EC3-49B5-B580-64179786CC11}"/>
    <cellStyle name="Procent 3 5 3" xfId="17967" xr:uid="{D8CFBE47-AA25-4A2D-899B-3BDB6DCB2276}"/>
    <cellStyle name="Procent 3 6" xfId="30013" xr:uid="{611CC7AC-FD21-4300-BBB8-64945D550D16}"/>
    <cellStyle name="Procent 3 7" xfId="30014" xr:uid="{75D1750D-AFFB-4A2E-8612-9961B0AA4298}"/>
    <cellStyle name="Procent 3 8" xfId="30015" xr:uid="{69F4D324-74D4-4471-A252-9C45178FB95A}"/>
    <cellStyle name="Procent 3 9" xfId="29999" xr:uid="{5EF5E4E3-B3AC-4D71-9F0A-A1EE9889B7AF}"/>
    <cellStyle name="Procent 4" xfId="9589" xr:uid="{0DF71F8C-7080-47B8-AA89-C63CA0E161CF}"/>
    <cellStyle name="Procent 4 10" xfId="18156" xr:uid="{08C1DADA-1E4F-4999-B8D7-CE9A1DDF0150}"/>
    <cellStyle name="Procent 4 2" xfId="9590" xr:uid="{10C70833-3B60-4168-95A0-EA542C6F7ECF}"/>
    <cellStyle name="Procent 4 2 2" xfId="10052" xr:uid="{375D6BE4-6D6F-44E5-8C6B-78F3C285CC1E}"/>
    <cellStyle name="Procent 4 2 2 2" xfId="10360" xr:uid="{D4D4334E-65BD-48AB-BC97-74BC4E1872F4}"/>
    <cellStyle name="Procent 4 2 2 2 2" xfId="12813" xr:uid="{95F8E065-E412-4DD6-987A-C940593B434D}"/>
    <cellStyle name="Procent 4 2 2 2 2 2" xfId="47171" xr:uid="{BCD184D0-7990-45E2-A91A-650982498673}"/>
    <cellStyle name="Procent 4 2 2 2 2 3" xfId="30019" xr:uid="{0AE0178A-8C8A-4061-9FB4-8CB1385134D6}"/>
    <cellStyle name="Procent 4 2 2 2 3" xfId="18910" xr:uid="{3889949B-2882-4269-AB1E-CBE48540074D}"/>
    <cellStyle name="Procent 4 2 2 3" xfId="12512" xr:uid="{E10135E2-A2CB-476E-BA52-8C2E301CA89C}"/>
    <cellStyle name="Procent 4 2 2 3 2" xfId="25086" xr:uid="{DC665F45-91DD-44D8-A824-98904657689A}"/>
    <cellStyle name="Procent 4 2 2 3 3" xfId="30020" xr:uid="{AAFD6543-8090-4BCB-98F9-F6641FCE3CE3}"/>
    <cellStyle name="Procent 4 2 2 4" xfId="30018" xr:uid="{A981ABDB-7CE9-4E94-A5D4-C19F226FC13E}"/>
    <cellStyle name="Procent 4 2 2 5" xfId="18761" xr:uid="{2F590C88-E27C-4206-9216-39CA18957EC3}"/>
    <cellStyle name="Procent 4 2 3" xfId="10126" xr:uid="{516A3AF8-1C6F-4931-94B5-E1B768E0589D}"/>
    <cellStyle name="Procent 4 2 3 2" xfId="10440" xr:uid="{20B544AF-F990-46C6-925D-BB5BD47699E1}"/>
    <cellStyle name="Procent 4 2 3 2 2" xfId="12893" xr:uid="{D2819FA4-2335-451F-8DA7-4F0CC1E5B117}"/>
    <cellStyle name="Procent 4 2 3 2 2 2" xfId="48055" xr:uid="{2F5D1A93-93A2-4F72-9236-BDC32F52CEB9}"/>
    <cellStyle name="Procent 4 2 3 2 2 3" xfId="30022" xr:uid="{19B50473-4E0D-40BF-9B9C-5CE986D7DAF5}"/>
    <cellStyle name="Procent 4 2 3 2 3" xfId="18952" xr:uid="{3AE00863-D88C-4082-A19F-07204EB6FC85}"/>
    <cellStyle name="Procent 4 2 3 3" xfId="12583" xr:uid="{993F53D7-5325-492E-BA91-E636D11B07BD}"/>
    <cellStyle name="Procent 4 2 3 3 2" xfId="47165" xr:uid="{BA63B904-14D6-4BC6-A4E2-7DB99B58D900}"/>
    <cellStyle name="Procent 4 2 3 3 3" xfId="30021" xr:uid="{B9E4ECCC-773A-4513-A169-89CFD8CD20F6}"/>
    <cellStyle name="Procent 4 2 3 4" xfId="18794" xr:uid="{76CA0586-1A00-4874-93C9-1A8F37C69E15}"/>
    <cellStyle name="Procent 4 2 4" xfId="10206" xr:uid="{3551AE42-EDD3-40C9-AE18-FFC5F682B011}"/>
    <cellStyle name="Procent 4 2 4 2" xfId="10520" xr:uid="{8DE3CAE9-213D-4F7F-8F0E-8CCC011C2659}"/>
    <cellStyle name="Procent 4 2 4 2 2" xfId="12973" xr:uid="{9A761622-6B18-441B-879E-18209D6EC1D7}"/>
    <cellStyle name="Procent 4 2 4 2 2 2" xfId="47103" xr:uid="{3ED0EF7D-0A65-4BDD-BAC2-64293533A886}"/>
    <cellStyle name="Procent 4 2 4 2 3" xfId="18994" xr:uid="{70C4E671-FFCF-408C-8390-2E93B5435450}"/>
    <cellStyle name="Procent 4 2 4 3" xfId="12659" xr:uid="{E82B1949-4F34-4CBB-A8A9-E50D6DDF79A6}"/>
    <cellStyle name="Procent 4 2 4 3 2" xfId="24695" xr:uid="{351D90B1-EDF5-45DA-9801-8ABABA07B1C2}"/>
    <cellStyle name="Procent 4 2 4 3 3" xfId="30023" xr:uid="{C8702F7F-12DE-414A-9A63-133813D1A1CB}"/>
    <cellStyle name="Procent 4 2 4 4" xfId="18832" xr:uid="{A7F4B115-EEA3-4652-9B77-A0D76964ECA0}"/>
    <cellStyle name="Procent 4 2 5" xfId="10286" xr:uid="{56F05D8C-F3DB-43E2-8F93-86B8AE0E071E}"/>
    <cellStyle name="Procent 4 2 5 2" xfId="12739" xr:uid="{A0707387-89B9-410E-A379-C4433904E795}"/>
    <cellStyle name="Procent 4 2 5 2 2" xfId="48339" xr:uid="{06BC8B4D-5D19-4BA4-BFCC-A8B3A57C5F9A}"/>
    <cellStyle name="Procent 4 2 5 2 3" xfId="30024" xr:uid="{72A5ABC9-6046-41DF-97E6-566DC0553BDD}"/>
    <cellStyle name="Procent 4 2 5 3" xfId="18874" xr:uid="{1097FA63-F42D-44DF-B102-2688862B9A7C}"/>
    <cellStyle name="Procent 4 2 6" xfId="10600" xr:uid="{CE797CC0-D120-4238-BEFF-4AFDA1F7ED8A}"/>
    <cellStyle name="Procent 4 2 6 2" xfId="13053" xr:uid="{D17FCDC0-E67A-4B40-878B-689910EC24BA}"/>
    <cellStyle name="Procent 4 2 6 2 2" xfId="46388" xr:uid="{48B4DF2F-ECFA-4F77-A09E-89D140FEAC7F}"/>
    <cellStyle name="Procent 4 2 6 3" xfId="19036" xr:uid="{BCE2E6A1-EEE6-4035-B316-70FD283B9DFC}"/>
    <cellStyle name="Procent 4 2 7" xfId="11675" xr:uid="{A0052799-7D57-405A-BD66-1A0F7F16A4B8}"/>
    <cellStyle name="Procent 4 2 7 2" xfId="46731" xr:uid="{C1412964-721A-4CAB-A4DC-BA2C4074E065}"/>
    <cellStyle name="Procent 4 2 7 3" xfId="30017" xr:uid="{44A36D65-7381-4D9F-969D-E29590D3CD44}"/>
    <cellStyle name="Procent 4 2 8" xfId="18297" xr:uid="{6013F72E-3E9B-4737-A272-63E563579C9A}"/>
    <cellStyle name="Procent 4 3" xfId="10051" xr:uid="{A3B26B35-3639-4916-9D6C-A8D8A8E70F71}"/>
    <cellStyle name="Procent 4 3 2" xfId="10359" xr:uid="{01F59474-4958-418D-910E-AC8F93808CC5}"/>
    <cellStyle name="Procent 4 3 2 2" xfId="12812" xr:uid="{12ED31E7-8D9E-40BB-A788-4620683B0AEE}"/>
    <cellStyle name="Procent 4 3 2 2 2" xfId="46798" xr:uid="{A5CE1AAD-8EF9-4DCA-8A57-A488E47C6DA0}"/>
    <cellStyle name="Procent 4 3 2 2 3" xfId="30026" xr:uid="{DB278022-156E-4FF6-9523-08968963F583}"/>
    <cellStyle name="Procent 4 3 2 3" xfId="18909" xr:uid="{C0293427-9852-43A3-8501-69B1AB88D293}"/>
    <cellStyle name="Procent 4 3 3" xfId="12511" xr:uid="{DFF12268-AF5A-4E6C-82EB-97893A4F1555}"/>
    <cellStyle name="Procent 4 3 3 2" xfId="47089" xr:uid="{F45B4D55-3092-441F-9055-868DD260E46B}"/>
    <cellStyle name="Procent 4 3 3 3" xfId="30027" xr:uid="{EDF6F2EF-C101-40A4-A1F6-D6494FB8792E}"/>
    <cellStyle name="Procent 4 3 4" xfId="30025" xr:uid="{46619F23-F2C4-46FB-ACB4-45F807781C13}"/>
    <cellStyle name="Procent 4 3 5" xfId="18760" xr:uid="{D6E66EA0-D8E8-4B3F-B6C9-845E00ADF54F}"/>
    <cellStyle name="Procent 4 4" xfId="10125" xr:uid="{D5C72FA3-7089-4DE1-8A20-C9E7904FC229}"/>
    <cellStyle name="Procent 4 4 2" xfId="10439" xr:uid="{66E565F7-66CF-4ECF-81A6-566907327E11}"/>
    <cellStyle name="Procent 4 4 2 2" xfId="12892" xr:uid="{4B056D01-E2C3-4B72-8514-281BA1DC79F0}"/>
    <cellStyle name="Procent 4 4 2 2 2" xfId="46806" xr:uid="{1272EC7D-0153-4DAA-9691-973BAB7B0155}"/>
    <cellStyle name="Procent 4 4 2 2 3" xfId="30029" xr:uid="{D88B011F-19ED-4C17-889C-B96FCB88B599}"/>
    <cellStyle name="Procent 4 4 2 3" xfId="18951" xr:uid="{D80953D8-8D0D-4D8C-A492-5F9135E88CF7}"/>
    <cellStyle name="Procent 4 4 3" xfId="12582" xr:uid="{55CFD67D-ACE3-4CAB-917C-DEADAD3CADDE}"/>
    <cellStyle name="Procent 4 4 3 2" xfId="46770" xr:uid="{6E9A6ED3-A58B-485B-98EE-A046EF5EEFC4}"/>
    <cellStyle name="Procent 4 4 3 3" xfId="30028" xr:uid="{B98565B7-AE58-4638-B8BC-E5CB1CB41B81}"/>
    <cellStyle name="Procent 4 4 4" xfId="18793" xr:uid="{4DAD576E-6F72-4C7E-8EFC-480DE40B0F9B}"/>
    <cellStyle name="Procent 4 5" xfId="10205" xr:uid="{5417C698-7E3A-4088-829D-4186EE818D30}"/>
    <cellStyle name="Procent 4 5 2" xfId="10519" xr:uid="{EF705B47-9768-4BCB-82D9-64791F03462C}"/>
    <cellStyle name="Procent 4 5 2 2" xfId="12972" xr:uid="{C75B27A5-C76F-4FE9-BC83-C37D89C572F8}"/>
    <cellStyle name="Procent 4 5 2 2 2" xfId="47102" xr:uid="{CD7841FE-596C-4A2F-AC88-960A179EC3ED}"/>
    <cellStyle name="Procent 4 5 2 2 3" xfId="30031" xr:uid="{409D7773-EE12-4B9C-B404-472510771091}"/>
    <cellStyle name="Procent 4 5 2 3" xfId="18993" xr:uid="{B3DC5CAB-E6DE-4C4F-B24B-0FD8922451CF}"/>
    <cellStyle name="Procent 4 5 3" xfId="12658" xr:uid="{77B469D5-A252-44F0-8470-88D16968AC11}"/>
    <cellStyle name="Procent 4 5 3 2" xfId="46781" xr:uid="{E0A3ABCB-3585-4C13-87B6-A0B1EADEDB09}"/>
    <cellStyle name="Procent 4 5 3 3" xfId="30030" xr:uid="{931BC5B0-49F8-4641-976B-05D581EB15DD}"/>
    <cellStyle name="Procent 4 5 4" xfId="18831" xr:uid="{07FBF471-1727-43B1-A1E2-71A7FCC343F4}"/>
    <cellStyle name="Procent 4 6" xfId="10285" xr:uid="{E152A111-A738-493C-A005-A91491814DC7}"/>
    <cellStyle name="Procent 4 6 2" xfId="12738" xr:uid="{19926A0C-09CD-4485-8D4E-799F3A3F9BDD}"/>
    <cellStyle name="Procent 4 6 2 2" xfId="46787" xr:uid="{7C9E4A05-23B8-4EBE-BECD-D33262F7411E}"/>
    <cellStyle name="Procent 4 6 2 3" xfId="30032" xr:uid="{04D815CA-FFA9-419E-B561-98F2310E2181}"/>
    <cellStyle name="Procent 4 6 3" xfId="18873" xr:uid="{862E12E9-D551-4DD3-B290-C1F6E54DDF5E}"/>
    <cellStyle name="Procent 4 7" xfId="10599" xr:uid="{3B25E2D4-9138-46F9-BD32-BFFCD28A8C00}"/>
    <cellStyle name="Procent 4 7 2" xfId="13052" xr:uid="{3CD59FF7-1D01-43CE-B1A9-5D8A41794FCD}"/>
    <cellStyle name="Procent 4 7 2 2" xfId="46387" xr:uid="{DF9D285F-4F7F-49D4-A3D0-F324E6D2AF71}"/>
    <cellStyle name="Procent 4 7 2 3" xfId="30033" xr:uid="{3241309B-8C72-4873-9730-ADBABE059870}"/>
    <cellStyle name="Procent 4 7 3" xfId="19035" xr:uid="{5CEBF075-A020-481E-BB7D-7C65640BA747}"/>
    <cellStyle name="Procent 4 8" xfId="13299" xr:uid="{9EC2D9CD-250E-4178-AE6F-63896C80988C}"/>
    <cellStyle name="Procent 4 9" xfId="11577" xr:uid="{ADE3A4B4-BD0D-40EE-9B3F-62365F465B2C}"/>
    <cellStyle name="Procent 4 9 2" xfId="48329" xr:uid="{B93D573B-1777-47C6-A4B4-593DF3FEA3C1}"/>
    <cellStyle name="Procent 4 9 3" xfId="30016" xr:uid="{E0ABAFF8-83C2-473E-B16F-56657971136A}"/>
    <cellStyle name="Procent 5" xfId="30034" xr:uid="{639A1DDB-D33E-40C1-AA8D-85114A2A8BB5}"/>
    <cellStyle name="Procent 5 2" xfId="30035" xr:uid="{F85F8E8F-7E91-4188-836D-08849F1F7F73}"/>
    <cellStyle name="Procent 5 2 2" xfId="30036" xr:uid="{2EA166EE-4E64-4A66-96C1-4F20A08F4600}"/>
    <cellStyle name="Procent 5 2 2 2" xfId="30037" xr:uid="{D447EB36-738E-47AA-BFEF-0A3773EA7D6B}"/>
    <cellStyle name="Procent 5 2 3" xfId="30038" xr:uid="{85BF1A97-722F-4E77-9B0B-F4F2340A7ED9}"/>
    <cellStyle name="Procent 5 2 3 2" xfId="30039" xr:uid="{84914794-81EB-4B3E-AB6C-970ED65D5E74}"/>
    <cellStyle name="Procent 5 2 4" xfId="30040" xr:uid="{2CEEA6EE-64D7-4FEA-A94F-6ECFE6849AE1}"/>
    <cellStyle name="Procent 5 3" xfId="30041" xr:uid="{53B1DCE5-1024-4841-B0A7-BB1F4BAB33E4}"/>
    <cellStyle name="Procent 5 3 2" xfId="30042" xr:uid="{05E67F03-883B-4D23-B4D2-7869CBFAC36E}"/>
    <cellStyle name="Procent 5 4" xfId="30043" xr:uid="{1A09C049-F9D4-4CAE-A0DA-57949A451405}"/>
    <cellStyle name="Procent 5 4 2" xfId="30044" xr:uid="{1952C118-F9CD-4FAB-9408-13D3215382A3}"/>
    <cellStyle name="Procent 5 5" xfId="30045" xr:uid="{3D95E014-A704-4344-97E2-F5798B2C8485}"/>
    <cellStyle name="Procent 5 5 2" xfId="30046" xr:uid="{1C870F39-5D36-42BE-AF60-56DEC3D61BF1}"/>
    <cellStyle name="Procent 5 6" xfId="30047" xr:uid="{28F5C5D8-E8AA-4EC8-BB0E-A14A62DFE1B6}"/>
    <cellStyle name="Procent 5 7" xfId="30048" xr:uid="{2C948872-AE63-457A-B6D0-13B187825BAF}"/>
    <cellStyle name="Procent 6" xfId="30049" xr:uid="{D3FF06F0-00DA-4850-9242-64836C988CCA}"/>
    <cellStyle name="Procent 6 2" xfId="30050" xr:uid="{839FA2C7-4447-4194-87CB-644BC2140B5D}"/>
    <cellStyle name="Procent 6 2 2" xfId="30051" xr:uid="{14AA50F6-8D41-4335-9055-CD517521674F}"/>
    <cellStyle name="Procent 6 2 2 2" xfId="30052" xr:uid="{9E389380-5012-4CF0-8860-98E58BF3C598}"/>
    <cellStyle name="Procent 6 2 3" xfId="30053" xr:uid="{DBDFB87E-DD08-4F66-9CBA-28484666E3DF}"/>
    <cellStyle name="Procent 6 2 3 2" xfId="30054" xr:uid="{94D59889-88AE-4391-91D7-9092C6D179DF}"/>
    <cellStyle name="Procent 6 2 4" xfId="30055" xr:uid="{B254A72B-E850-4280-A040-F4ECA1B38A91}"/>
    <cellStyle name="Procent 6 3" xfId="30056" xr:uid="{ADDECBD6-59E6-4E23-8A60-D9BE87AFB2BE}"/>
    <cellStyle name="Procent 6 3 2" xfId="30057" xr:uid="{58D4C950-9B64-498F-B7DD-609FADE61B91}"/>
    <cellStyle name="Procent 6 4" xfId="30058" xr:uid="{AB265F7E-8A02-4C4B-A1D6-B84290D2EF35}"/>
    <cellStyle name="Procent 6 4 2" xfId="30059" xr:uid="{479479C1-A248-45D1-8495-28A1856D784A}"/>
    <cellStyle name="Procent 6 5" xfId="30060" xr:uid="{B89BACFA-A89B-4343-824B-E891054EA383}"/>
    <cellStyle name="Procent 6 5 2" xfId="30061" xr:uid="{4ACF94DA-F0CE-42B5-A7E6-57E14E5D9C81}"/>
    <cellStyle name="Procent 6 6" xfId="30062" xr:uid="{8DA0B8E3-7811-4BC8-83FA-F5C8420DC977}"/>
    <cellStyle name="Procent 7" xfId="30063" xr:uid="{A81ED623-30A6-47A2-BF52-3026633E7FC7}"/>
    <cellStyle name="Procent 7 2" xfId="30064" xr:uid="{C2E0BF96-6874-4E28-8054-6505B4645967}"/>
    <cellStyle name="Procent 7 2 2" xfId="30065" xr:uid="{640EA493-7C1A-41B7-8A42-BD2D303D9F4D}"/>
    <cellStyle name="Procent 7 2 2 2" xfId="30066" xr:uid="{AD0C490D-A202-4A1F-B032-11690CCE09D1}"/>
    <cellStyle name="Procent 7 2 3" xfId="30067" xr:uid="{F1E8B8D9-828A-476C-9FAE-1D124DFA65C6}"/>
    <cellStyle name="Procent 7 2 3 2" xfId="30068" xr:uid="{A06FB2F5-DF98-4FA8-B546-5903150B4B54}"/>
    <cellStyle name="Procent 7 2 4" xfId="30069" xr:uid="{A66402E8-DE5B-454C-867C-A0DD6DDD6911}"/>
    <cellStyle name="Procent 7 3" xfId="30070" xr:uid="{F3E8304D-D094-456D-8C04-CC15124106E6}"/>
    <cellStyle name="Procent 7 3 2" xfId="30071" xr:uid="{1D528FE4-84DA-4D53-91BB-CA57A902086B}"/>
    <cellStyle name="Procent 7 4" xfId="30072" xr:uid="{1AFF626F-AA4F-46D1-BAE1-3E575A9164AC}"/>
    <cellStyle name="Procent 7 4 2" xfId="30073" xr:uid="{0AE49FD0-12A4-4AFD-A7AC-B68022FC03A5}"/>
    <cellStyle name="Procent 7 5" xfId="30074" xr:uid="{40F97892-2904-4265-B67B-86182F246657}"/>
    <cellStyle name="Procent 7 5 2" xfId="30075" xr:uid="{D444EE48-8D4F-4F3E-9C91-B8D59136A6A0}"/>
    <cellStyle name="Procent 7 6" xfId="30076" xr:uid="{E170AFC8-D1BB-4509-9460-77CD40C4721D}"/>
    <cellStyle name="Procent 8" xfId="30077" xr:uid="{D925AC30-1CFD-4653-AE2A-5AE0011550F2}"/>
    <cellStyle name="Procent 8 2" xfId="30078" xr:uid="{E59F35F5-9CAC-4522-916F-0AA9D847EAAB}"/>
    <cellStyle name="Procent 8 2 2" xfId="30079" xr:uid="{04D780AC-B24F-4B8C-AE19-8524AAD89A95}"/>
    <cellStyle name="Procent 8 2 2 2" xfId="30080" xr:uid="{A73B0612-8DF8-42C7-B527-FB28FD5FFEE9}"/>
    <cellStyle name="Procent 8 2 3" xfId="30081" xr:uid="{16B33988-35B5-4EAF-8D6A-6EC3DF0D41B7}"/>
    <cellStyle name="Procent 8 2 3 2" xfId="30082" xr:uid="{68FFC9DA-0C19-4BE6-9E72-539EB4B49E2B}"/>
    <cellStyle name="Procent 8 2 4" xfId="30083" xr:uid="{C9548408-741B-4BD7-B00B-58632F7E03B1}"/>
    <cellStyle name="Procent 8 3" xfId="30084" xr:uid="{92C174E8-BA94-45E4-B47A-74ECF3DB6CCC}"/>
    <cellStyle name="Procent 8 3 2" xfId="30085" xr:uid="{61A51746-9A90-4E71-AD4D-AAD4AAEBBC4B}"/>
    <cellStyle name="Procent 8 4" xfId="30086" xr:uid="{AAB980B0-8852-4C54-AE02-84339257867D}"/>
    <cellStyle name="Procent 8 4 2" xfId="30087" xr:uid="{BA3AF683-C738-4112-B5CF-9DF67EAB11B6}"/>
    <cellStyle name="Procent 8 5" xfId="30088" xr:uid="{6EA00A2F-B1A4-4C2E-B31F-C02D0EBE9DAC}"/>
    <cellStyle name="Procent 9" xfId="30089" xr:uid="{BFF66A3A-B61D-4D88-A19C-1D814DB9BABA}"/>
    <cellStyle name="Procent 9 2" xfId="30090" xr:uid="{3D13BF7D-AC48-4F66-81FC-177679271C2B}"/>
    <cellStyle name="Procent 9 2 2" xfId="30091" xr:uid="{F07918C9-21B9-4F3B-B343-F56721D1263D}"/>
    <cellStyle name="Procent 9 3" xfId="30092" xr:uid="{04227543-D995-474A-A02D-5149ABA0CE15}"/>
    <cellStyle name="Procent 9 3 2" xfId="30093" xr:uid="{4E428235-43E6-4C0B-B6B6-64BF67E988B2}"/>
    <cellStyle name="Procent 9 4" xfId="30094" xr:uid="{4BAD8124-3553-4D2D-8DAE-27FF1CEF6237}"/>
    <cellStyle name="SAPBEXaggData" xfId="32555" xr:uid="{5B040B63-A398-4F69-B92B-F488C7965FE5}"/>
    <cellStyle name="SAPBEXaggDataEmph" xfId="32556" xr:uid="{6C1ECABC-8312-4226-B8EA-49B7A2D46652}"/>
    <cellStyle name="SAPBEXaggItem" xfId="32557" xr:uid="{E85EBBCD-22D8-44BF-A867-542E48C18F4E}"/>
    <cellStyle name="SAPBEXaggItemX" xfId="32558" xr:uid="{7CFEA90E-9B53-4AF1-8660-5219F3F12FB4}"/>
    <cellStyle name="SAPBEXchaText" xfId="32559" xr:uid="{254F8BCD-4C2C-44C4-AC23-06795267E3EC}"/>
    <cellStyle name="SAPBEXexcBad" xfId="32560" xr:uid="{43F4D806-F18F-4802-8694-642A3E1EC3B0}"/>
    <cellStyle name="SAPBEXexcBad7" xfId="32561" xr:uid="{01AA113F-AE3A-4AFB-9AAD-190A7EFBA26C}"/>
    <cellStyle name="SAPBEXexcBad8" xfId="32562" xr:uid="{434AC0EF-0F90-4EFE-976B-FBAF1565057C}"/>
    <cellStyle name="SAPBEXexcBad9" xfId="32563" xr:uid="{072EAE30-7C7A-4CA7-A44B-74B110A5E6C1}"/>
    <cellStyle name="SAPBEXexcCritical" xfId="32564" xr:uid="{43ACB463-E5B4-47B4-8320-0ABD473AB423}"/>
    <cellStyle name="SAPBEXexcCritical4" xfId="32565" xr:uid="{D365594C-9D31-4C38-9FBF-792BB4CBAAD6}"/>
    <cellStyle name="SAPBEXexcCritical5" xfId="32566" xr:uid="{1E843E4E-7991-4480-A212-E6D597CE1E1C}"/>
    <cellStyle name="SAPBEXexcCritical6" xfId="32567" xr:uid="{1E6B65FB-5530-475F-A47D-30997ACF905D}"/>
    <cellStyle name="SAPBEXexcGood" xfId="32568" xr:uid="{9687E2B6-7CE6-465F-8D05-194430800BEE}"/>
    <cellStyle name="SAPBEXexcGood1" xfId="32569" xr:uid="{A1F1623C-BD56-424E-9AD1-71F490B2DC80}"/>
    <cellStyle name="SAPBEXexcGood2" xfId="32570" xr:uid="{1D7524FA-C041-445B-93A8-39055F45F0E1}"/>
    <cellStyle name="SAPBEXexcGood3" xfId="32571" xr:uid="{A1780438-A0B3-46CB-893A-827D919CDF3F}"/>
    <cellStyle name="SAPBEXexcVeryBad" xfId="32572" xr:uid="{CA0078C6-28E5-4F24-802E-0923FB60A18E}"/>
    <cellStyle name="SAPBEXfilterDrill" xfId="32573" xr:uid="{E11743F9-04DA-4B07-A7AC-BBE9AEF07117}"/>
    <cellStyle name="SAPBEXfilterItem" xfId="32574" xr:uid="{A08FEA3D-F4A6-41CB-B228-BD473E476FBF}"/>
    <cellStyle name="SAPBEXfilterText" xfId="32575" xr:uid="{EC43E546-1216-4A04-8AC8-772E5DA8F59F}"/>
    <cellStyle name="SAPBEXformats" xfId="32576" xr:uid="{6CD76F1F-E6DA-487E-A868-629D0E1F36C2}"/>
    <cellStyle name="SAPBEXheaderData" xfId="32577" xr:uid="{6BB12F0A-415A-4AD7-BA69-9EE86B5903A3}"/>
    <cellStyle name="SAPBEXheaderItem" xfId="32578" xr:uid="{AAD6D8FB-A65D-48FE-8B3C-D9981DD07121}"/>
    <cellStyle name="SAPBEXheaderText" xfId="32579" xr:uid="{2E51958C-25FF-49D8-9547-DDF036F5659D}"/>
    <cellStyle name="SAPBEXHLevel0" xfId="32580" xr:uid="{B8CE159D-BE7B-4775-90E4-A8B5FADCFE1E}"/>
    <cellStyle name="SAPBEXHLevel0X" xfId="32581" xr:uid="{E2B11A54-1AA2-45F2-9C2D-BFC9058FD76D}"/>
    <cellStyle name="SAPBEXHLevel1" xfId="32582" xr:uid="{6F6006F3-A1F4-4EAC-B0DC-9B00C194C1F9}"/>
    <cellStyle name="SAPBEXHLevel1X" xfId="32583" xr:uid="{0AD658B6-DDF4-4C89-8BEE-9330A793472D}"/>
    <cellStyle name="SAPBEXHLevel2" xfId="32584" xr:uid="{C447B12A-94A3-46FE-AA6C-78BF615F1AFA}"/>
    <cellStyle name="SAPBEXHLevel2X" xfId="32585" xr:uid="{776B0193-61E5-435B-8516-0FEDC8163F17}"/>
    <cellStyle name="SAPBEXHLevel3" xfId="32586" xr:uid="{B095D0F8-A031-4AB4-9791-136CFE81BCB1}"/>
    <cellStyle name="SAPBEXHLevel3X" xfId="32587" xr:uid="{CC5D23AE-AB07-4DE4-9E85-450A5721C643}"/>
    <cellStyle name="SAPBEXinputData" xfId="32588" xr:uid="{EC8BBB53-B7FE-462A-BDD0-820D014B6DC6}"/>
    <cellStyle name="SAPBEXresData" xfId="32589" xr:uid="{11AAAD77-60BB-4705-B98F-2A5C18F2129D}"/>
    <cellStyle name="SAPBEXresDataEmph" xfId="32590" xr:uid="{DAFC4933-E6D3-491D-B1BC-84C449EDC054}"/>
    <cellStyle name="SAPBEXresItem" xfId="32591" xr:uid="{A6653E2C-0EF8-4003-A9CF-2D596DDCAB8F}"/>
    <cellStyle name="SAPBEXresItemX" xfId="32592" xr:uid="{7F90F4C9-D1F1-46A7-8A67-375DD3637321}"/>
    <cellStyle name="SAPBEXstdData" xfId="32593" xr:uid="{8259F65A-C8C1-4EA2-95AA-49D376D1026C}"/>
    <cellStyle name="SAPBEXstdDataEmph" xfId="32594" xr:uid="{A0C6AD9F-C844-4A51-A72C-47E9A17FE9DE}"/>
    <cellStyle name="SAPBEXstdItem" xfId="32595" xr:uid="{3B1485E1-8647-443E-A476-ABC70CE42E81}"/>
    <cellStyle name="SAPBEXstdItemX" xfId="32596" xr:uid="{57648B2E-F574-4DE9-A800-FCEF7F62A05F}"/>
    <cellStyle name="SAPBEXsubData" xfId="32597" xr:uid="{D00864AD-F925-4030-8B35-0C086F1B582A}"/>
    <cellStyle name="SAPBEXsubDataEmph" xfId="32598" xr:uid="{9E1EF56D-4613-4753-9351-0E30119C853C}"/>
    <cellStyle name="SAPBEXsubItem" xfId="32599" xr:uid="{4C17CB06-A85F-40FA-951B-5283AF3D87F4}"/>
    <cellStyle name="SAPBEXtitle" xfId="32600" xr:uid="{9DE6D33B-C79A-42F2-B0BF-248CE7DE1EB2}"/>
    <cellStyle name="SAPBEXundefined" xfId="32601" xr:uid="{EE998C50-92A6-4E79-A217-97048AAAE7DD}"/>
    <cellStyle name="Shade" xfId="30238" xr:uid="{65674665-2554-42C7-8468-FE4F64C44900}"/>
    <cellStyle name="Shade 2" xfId="35052" xr:uid="{2EAF1A53-6759-40A0-AD9A-74609FBFE3D4}"/>
    <cellStyle name="Standard_Sce_D_Extraction" xfId="1235" xr:uid="{00000000-0005-0000-0000-0000CF090000}"/>
    <cellStyle name="Style 134 2" xfId="30249" xr:uid="{C2E6181A-5931-46DC-B108-CC2AA20E7C8E}"/>
    <cellStyle name="Style 134 2 2" xfId="35060" xr:uid="{39689CF6-0A7F-41F4-910D-8184623EA3A4}"/>
    <cellStyle name="Style 140" xfId="30250" xr:uid="{BC893754-88F2-4DEB-909F-36BB70836376}"/>
    <cellStyle name="Style 140 2" xfId="35061" xr:uid="{85428F3D-13B3-4EC5-8043-734ACE650FA2}"/>
    <cellStyle name="Style 142 2" xfId="30251" xr:uid="{3F7A971D-0957-4368-9800-FEF99DCB304E}"/>
    <cellStyle name="Style 142 2 2" xfId="35062" xr:uid="{B15C7D4B-20DE-4619-9CBE-92CD5120AC59}"/>
    <cellStyle name="Style 155" xfId="2528" xr:uid="{00000000-0005-0000-0000-0000D0090000}"/>
    <cellStyle name="Style 155 2" xfId="30095" xr:uid="{1AE39F3C-3354-47FE-A657-1DC29595DFBE}"/>
    <cellStyle name="Style 155 3" xfId="25169" xr:uid="{064B77B9-BFE6-4D69-8E54-40C2957D1B07}"/>
    <cellStyle name="Style 155 4" xfId="17969" xr:uid="{C8BB9085-3AAE-49C9-B324-26FBEF2E3EBE}"/>
    <cellStyle name="Style 156" xfId="2529" xr:uid="{00000000-0005-0000-0000-0000D1090000}"/>
    <cellStyle name="Style 156 2" xfId="30096" xr:uid="{A0B63EC8-33EA-4818-8628-7AE4D21C7035}"/>
    <cellStyle name="Style 157" xfId="2530" xr:uid="{00000000-0005-0000-0000-0000D2090000}"/>
    <cellStyle name="Style 157 2" xfId="30097" xr:uid="{4B0C6085-C593-4DB0-9A25-C66EC1C2EFE2}"/>
    <cellStyle name="Style 157 3" xfId="46722" xr:uid="{7968D6BE-6A57-40CB-B071-F9876D30EB72}"/>
    <cellStyle name="Style 157 4" xfId="17970" xr:uid="{D2F9267F-CA25-42E4-ADE0-2118830D0E7E}"/>
    <cellStyle name="Style 158" xfId="2531" xr:uid="{00000000-0005-0000-0000-0000D3090000}"/>
    <cellStyle name="Style 158 2" xfId="30098" xr:uid="{182950BC-C7DF-4862-BD83-2BE6E1C2D0AC}"/>
    <cellStyle name="Style 158 3" xfId="33720" xr:uid="{4D43C1FB-B26A-4258-AA39-12FF4FE86616}"/>
    <cellStyle name="Style 158 4" xfId="17971" xr:uid="{23BE44CB-34FC-4EA6-BA57-F01955BF6486}"/>
    <cellStyle name="Style 159" xfId="2532" xr:uid="{00000000-0005-0000-0000-0000D4090000}"/>
    <cellStyle name="Style 159 2" xfId="30099" xr:uid="{DC8A58CD-E782-446D-A2F2-1E56CF3C3B05}"/>
    <cellStyle name="Style 161" xfId="2533" xr:uid="{00000000-0005-0000-0000-0000D5090000}"/>
    <cellStyle name="Style 161 2" xfId="30100" xr:uid="{E4F5953F-9072-4B97-B9BB-6CE9A77DA2D2}"/>
    <cellStyle name="Style 161 3" xfId="34542" xr:uid="{55DC6C54-C432-460A-BC7F-B0CEB3715AC3}"/>
    <cellStyle name="Style 161 4" xfId="17972" xr:uid="{5207E07D-2D99-4C52-BED5-C1BA2E71ECA4}"/>
    <cellStyle name="Style 162" xfId="2534" xr:uid="{00000000-0005-0000-0000-0000D6090000}"/>
    <cellStyle name="Style 162 2" xfId="30101" xr:uid="{86C372F1-75B8-4F61-9A4E-BB909631A8CC}"/>
    <cellStyle name="Style 162 3" xfId="33471" xr:uid="{DE0D50B3-58AB-44C8-9476-5C5A0D7B58D2}"/>
    <cellStyle name="Style 162 4" xfId="17973" xr:uid="{31A3A1F2-3688-4731-9C11-F221B3489EA8}"/>
    <cellStyle name="Style 163" xfId="2535" xr:uid="{00000000-0005-0000-0000-0000D7090000}"/>
    <cellStyle name="Style 163 2" xfId="30102" xr:uid="{157BA546-EB80-4F23-8122-FE272988C033}"/>
    <cellStyle name="Style 163 3" xfId="46651" xr:uid="{679624DC-6F66-41CF-A324-741E26FE2574}"/>
    <cellStyle name="Style 163 4" xfId="17974" xr:uid="{523DF270-572E-41BF-B512-36EBBF19CD4F}"/>
    <cellStyle name="Style 223" xfId="2536" xr:uid="{00000000-0005-0000-0000-0000D8090000}"/>
    <cellStyle name="Style 223 2" xfId="30103" xr:uid="{46D7AF34-5786-498A-B183-9839F689A01B}"/>
    <cellStyle name="Style 223 3" xfId="47145" xr:uid="{F866079F-41A9-4264-B278-A6750E724ADD}"/>
    <cellStyle name="Style 223 4" xfId="17975" xr:uid="{96D730F3-C253-44CF-859B-A0AE3812349F}"/>
    <cellStyle name="Style 224" xfId="2537" xr:uid="{00000000-0005-0000-0000-0000D9090000}"/>
    <cellStyle name="Style 224 2" xfId="30104" xr:uid="{A0C54089-C3DF-4151-9FB8-5C4937CFA2F3}"/>
    <cellStyle name="Style 225" xfId="2538" xr:uid="{00000000-0005-0000-0000-0000DA090000}"/>
    <cellStyle name="Style 225 2" xfId="30105" xr:uid="{91E2AF55-977E-46B8-91ED-B5F4D3BE9228}"/>
    <cellStyle name="Style 225 3" xfId="47660" xr:uid="{35475E90-33B0-4594-A030-BED834F5A856}"/>
    <cellStyle name="Style 225 4" xfId="17976" xr:uid="{5E27BADC-F491-4363-A20F-64EBDFCBFF62}"/>
    <cellStyle name="Style 226" xfId="2539" xr:uid="{00000000-0005-0000-0000-0000DB090000}"/>
    <cellStyle name="Style 226 2" xfId="30106" xr:uid="{08D32651-BCDE-42A9-9361-0643EF774372}"/>
    <cellStyle name="Style 226 3" xfId="46267" xr:uid="{9AEC3CE5-614E-434A-B211-3937496610BD}"/>
    <cellStyle name="Style 226 4" xfId="17977" xr:uid="{14C26A4B-BD6F-4E58-9ADE-BD1D953E8E11}"/>
    <cellStyle name="Style 227" xfId="2540" xr:uid="{00000000-0005-0000-0000-0000DC090000}"/>
    <cellStyle name="Style 227 2" xfId="30107" xr:uid="{BE85438F-5C98-4DA3-AE44-9C8DD6E400C9}"/>
    <cellStyle name="Style 229" xfId="2541" xr:uid="{00000000-0005-0000-0000-0000DD090000}"/>
    <cellStyle name="Style 229 2" xfId="30108" xr:uid="{BAE60DB0-EDA2-49C1-84CB-9DCEBD927C31}"/>
    <cellStyle name="Style 229 3" xfId="47210" xr:uid="{3B8C1D1A-5C73-4657-B924-42047EA13A1A}"/>
    <cellStyle name="Style 229 4" xfId="17978" xr:uid="{9985B4B7-477C-4D19-875E-73182B302AAE}"/>
    <cellStyle name="Style 230" xfId="2542" xr:uid="{00000000-0005-0000-0000-0000DE090000}"/>
    <cellStyle name="Style 230 2" xfId="30109" xr:uid="{C1432DB6-F74D-4FA3-BEBE-67E760344C03}"/>
    <cellStyle name="Style 230 3" xfId="46652" xr:uid="{1B12501B-C983-44D4-B8ED-469EDC359565}"/>
    <cellStyle name="Style 230 4" xfId="17979" xr:uid="{602AD876-68A5-4BCD-B2EC-C72984FF9346}"/>
    <cellStyle name="Style 231" xfId="2543" xr:uid="{00000000-0005-0000-0000-0000DF090000}"/>
    <cellStyle name="Style 231 2" xfId="30110" xr:uid="{3ED97031-1647-4AE7-B03F-84C9655F1106}"/>
    <cellStyle name="Style 231 3" xfId="47738" xr:uid="{E3FFB67E-122B-4AA7-BA16-B45BB4F7CB37}"/>
    <cellStyle name="Style 231 4" xfId="17980" xr:uid="{09DD6038-8777-4C4C-98D7-1C5694F8CEF9}"/>
    <cellStyle name="Style 257" xfId="2544" xr:uid="{00000000-0005-0000-0000-0000E0090000}"/>
    <cellStyle name="Style 257 2" xfId="30111" xr:uid="{7BE5F1BF-0133-4840-BBFF-68260D19268C}"/>
    <cellStyle name="Style 257 3" xfId="48433" xr:uid="{820DEC72-377B-4000-9DC6-7F90F43F2E91}"/>
    <cellStyle name="Style 257 4" xfId="17981" xr:uid="{410C338F-D77A-498E-A593-542CD898A6E7}"/>
    <cellStyle name="Style 258" xfId="2545" xr:uid="{00000000-0005-0000-0000-0000E1090000}"/>
    <cellStyle name="Style 258 2" xfId="30112" xr:uid="{73F8AECE-BD5B-4EC5-80AE-C9353DF05282}"/>
    <cellStyle name="Style 259" xfId="2546" xr:uid="{00000000-0005-0000-0000-0000E2090000}"/>
    <cellStyle name="Style 259 2" xfId="30113" xr:uid="{C8EB6BF6-29E9-45D8-A444-404BED54F2EF}"/>
    <cellStyle name="Style 259 3" xfId="32444" xr:uid="{5B7DEDBD-F372-44B6-A560-976DDEECD336}"/>
    <cellStyle name="Style 259 4" xfId="17982" xr:uid="{8BD8297F-21E4-4DE2-81E5-BCC2576FDB79}"/>
    <cellStyle name="Style 260" xfId="2547" xr:uid="{00000000-0005-0000-0000-0000E3090000}"/>
    <cellStyle name="Style 260 2" xfId="30114" xr:uid="{F6871FB7-F382-462E-81ED-ACF66CD2F430}"/>
    <cellStyle name="Style 260 3" xfId="24506" xr:uid="{81528C06-2F6A-4531-93DC-B786633B27E9}"/>
    <cellStyle name="Style 260 4" xfId="17983" xr:uid="{849F8E60-9C7F-4839-A8A5-97A569DD7750}"/>
    <cellStyle name="Style 261" xfId="2548" xr:uid="{00000000-0005-0000-0000-0000E4090000}"/>
    <cellStyle name="Style 261 2" xfId="30115" xr:uid="{76785AD4-B64F-4359-97CE-63E15536F9A8}"/>
    <cellStyle name="Style 263" xfId="2549" xr:uid="{00000000-0005-0000-0000-0000E5090000}"/>
    <cellStyle name="Style 263 2" xfId="30116" xr:uid="{21500BC3-F85A-4B0F-A23D-0F3B925FD7A7}"/>
    <cellStyle name="Style 263 3" xfId="24717" xr:uid="{2BE6FD2B-6F09-449D-A74D-4C6A680CE56D}"/>
    <cellStyle name="Style 263 4" xfId="17984" xr:uid="{75056EAE-742E-43E5-8C11-75543D4153F6}"/>
    <cellStyle name="Style 264" xfId="2550" xr:uid="{00000000-0005-0000-0000-0000E6090000}"/>
    <cellStyle name="Style 264 2" xfId="30117" xr:uid="{50C1AB96-E4E7-4D9E-9ACD-7326D62457B6}"/>
    <cellStyle name="Style 264 3" xfId="33077" xr:uid="{49AC534D-D6CD-4818-822E-E18F0E4CFA86}"/>
    <cellStyle name="Style 264 4" xfId="17985" xr:uid="{24B81850-975D-450E-A15C-51758451F5AC}"/>
    <cellStyle name="Style 265" xfId="2551" xr:uid="{00000000-0005-0000-0000-0000E7090000}"/>
    <cellStyle name="Style 265 2" xfId="30118" xr:uid="{3746D772-9BBD-462B-8D9A-02CEF18798E6}"/>
    <cellStyle name="Style 265 3" xfId="46268" xr:uid="{F4D9064E-F666-4BB1-8B58-B21305480105}"/>
    <cellStyle name="Style 265 4" xfId="17986" xr:uid="{30A9CCE6-A0E5-49B9-899C-27C4B73C1811}"/>
    <cellStyle name="Style 461" xfId="2552" xr:uid="{00000000-0005-0000-0000-0000E8090000}"/>
    <cellStyle name="Style 461 2" xfId="30119" xr:uid="{B99EDF21-F51B-4772-8E3C-7458D604594B}"/>
    <cellStyle name="Style 461 3" xfId="46269" xr:uid="{B7E704D3-9092-4CA3-AF68-DF02BB57E9B3}"/>
    <cellStyle name="Style 461 4" xfId="17987" xr:uid="{F778F627-5657-4A9B-AB3D-1D0B2EA23384}"/>
    <cellStyle name="Style 467" xfId="2553" xr:uid="{00000000-0005-0000-0000-0000E9090000}"/>
    <cellStyle name="Style 467 2" xfId="30120" xr:uid="{422005E8-3222-4DD9-966F-3AC792DFCCB9}"/>
    <cellStyle name="Style 467 3" xfId="46270" xr:uid="{DFF357BF-4CBD-461F-BBA6-084C193782AF}"/>
    <cellStyle name="Style 467 4" xfId="17988" xr:uid="{6389B670-08FD-4C98-AC98-830AB87EE727}"/>
    <cellStyle name="Style 468" xfId="2554" xr:uid="{00000000-0005-0000-0000-0000EA090000}"/>
    <cellStyle name="Style 468 2" xfId="30121" xr:uid="{1F6320D7-C623-4AF5-9CF0-CA16E501E149}"/>
    <cellStyle name="Style 468 3" xfId="25168" xr:uid="{409961DB-3763-4802-B5E6-D61BEF4313DB}"/>
    <cellStyle name="Style 468 4" xfId="17989" xr:uid="{808EF224-BFA0-43DB-8B82-D6960EB4AEF9}"/>
    <cellStyle name="Style 469" xfId="2555" xr:uid="{00000000-0005-0000-0000-0000EB090000}"/>
    <cellStyle name="Style 469 2" xfId="30122" xr:uid="{1DDD1256-63D1-4362-A0B9-068594F22253}"/>
    <cellStyle name="Style 469 3" xfId="47222" xr:uid="{94F4A524-45BD-4BE9-B3D6-AED60E7A02EF}"/>
    <cellStyle name="Style 469 4" xfId="17990" xr:uid="{E4D3D895-A801-4BEB-BA3E-658251DD84DC}"/>
    <cellStyle name="Style 478" xfId="2556" xr:uid="{00000000-0005-0000-0000-0000EC090000}"/>
    <cellStyle name="Style 478 2" xfId="30123" xr:uid="{BF02F290-2DBD-49AB-86FD-D7B7FFB43EF2}"/>
    <cellStyle name="Style 478 3" xfId="46723" xr:uid="{34F82C2B-21B9-448C-BBA2-7CF5C2141EF5}"/>
    <cellStyle name="Style 478 4" xfId="17991" xr:uid="{E919FCAD-E67B-4192-B510-A285BE2D6FC1}"/>
    <cellStyle name="Style 479" xfId="2557" xr:uid="{00000000-0005-0000-0000-0000ED090000}"/>
    <cellStyle name="Style 479 2" xfId="30124" xr:uid="{18BED971-6A01-48B6-883C-E9BCF892816C}"/>
    <cellStyle name="Style 480" xfId="2558" xr:uid="{00000000-0005-0000-0000-0000EE090000}"/>
    <cellStyle name="Style 480 2" xfId="30125" xr:uid="{1F5E03CA-0C2A-4636-8361-37A366D55140}"/>
    <cellStyle name="Style 480 3" xfId="47074" xr:uid="{5EE226EB-1F00-4F3E-8A54-CF66DB698804}"/>
    <cellStyle name="Style 480 4" xfId="17992" xr:uid="{F7A9640C-70CE-40DA-A9AE-38E908859C39}"/>
    <cellStyle name="Style 481" xfId="2559" xr:uid="{00000000-0005-0000-0000-0000EF090000}"/>
    <cellStyle name="Style 481 2" xfId="30126" xr:uid="{5C889D1F-ACE5-4D51-A0B0-D9C9B2C9759E}"/>
    <cellStyle name="Style 481 3" xfId="46271" xr:uid="{6F8CC958-1112-4141-8BC9-4A9757CC633D}"/>
    <cellStyle name="Style 481 4" xfId="17993" xr:uid="{939F5AE7-81B4-4F33-B0DD-A7C529C19CC5}"/>
    <cellStyle name="Style 482" xfId="2560" xr:uid="{00000000-0005-0000-0000-0000F0090000}"/>
    <cellStyle name="Style 482 2" xfId="30127" xr:uid="{73A6AA99-FA02-4ECB-8843-3C666D260CD4}"/>
    <cellStyle name="Style 484" xfId="2561" xr:uid="{00000000-0005-0000-0000-0000F1090000}"/>
    <cellStyle name="Style 484 2" xfId="30128" xr:uid="{8D7CD5F9-FDD0-43C1-9A3F-9373CED29CDC}"/>
    <cellStyle name="Style 484 3" xfId="47811" xr:uid="{C625528B-BC8E-4AA7-B9D5-8439118AA15D}"/>
    <cellStyle name="Style 484 4" xfId="17994" xr:uid="{0B808CE0-A620-48F5-89CD-A1FEA2D2A925}"/>
    <cellStyle name="Style 485" xfId="2562" xr:uid="{00000000-0005-0000-0000-0000F2090000}"/>
    <cellStyle name="Style 485 2" xfId="30129" xr:uid="{B24D23E3-8DF2-45A0-8EFD-FAC07C49AB5C}"/>
    <cellStyle name="Style 485 3" xfId="46724" xr:uid="{7095ECD8-963F-4E9A-A32A-BFC4EDF5A495}"/>
    <cellStyle name="Style 485 4" xfId="17995" xr:uid="{7954D469-0FD6-4F03-A85B-C37357C30B59}"/>
    <cellStyle name="Style 486" xfId="2563" xr:uid="{00000000-0005-0000-0000-0000F3090000}"/>
    <cellStyle name="Style 486 2" xfId="30130" xr:uid="{FAC5AE4E-492C-4A0D-961F-B3738121D698}"/>
    <cellStyle name="Style 486 3" xfId="47750" xr:uid="{B9FA5D1A-A431-454F-A850-0F1AB59B93AA}"/>
    <cellStyle name="Style 486 4" xfId="17996" xr:uid="{E0E22133-3ACD-47B5-AFFA-CBCEEBF5444E}"/>
    <cellStyle name="Style 495" xfId="2564" xr:uid="{00000000-0005-0000-0000-0000F4090000}"/>
    <cellStyle name="Style 495 2" xfId="30131" xr:uid="{65500A1D-04DF-47BF-98A1-CEDFA302DC4D}"/>
    <cellStyle name="Style 495 3" xfId="47414" xr:uid="{DFED0254-78A0-44FF-850E-2D1E26B27052}"/>
    <cellStyle name="Style 495 4" xfId="17997" xr:uid="{F6382C9A-D521-4CDD-9886-89EDF5EF5129}"/>
    <cellStyle name="Style 496" xfId="2565" xr:uid="{00000000-0005-0000-0000-0000F5090000}"/>
    <cellStyle name="Style 496 2" xfId="30132" xr:uid="{CDE81A0A-6BC7-43D1-808A-B4001A77550A}"/>
    <cellStyle name="Style 497" xfId="2566" xr:uid="{00000000-0005-0000-0000-0000F6090000}"/>
    <cellStyle name="Style 497 2" xfId="30133" xr:uid="{91BBDF84-671F-4B43-8210-554227C89692}"/>
    <cellStyle name="Style 497 3" xfId="37254" xr:uid="{5C8DA488-FB14-45A2-AB7D-1E7B7C8841F9}"/>
    <cellStyle name="Style 497 4" xfId="17998" xr:uid="{A193A892-4D85-44AC-900D-D0F0AA80FAF1}"/>
    <cellStyle name="Style 498" xfId="2567" xr:uid="{00000000-0005-0000-0000-0000F7090000}"/>
    <cellStyle name="Style 498 2" xfId="30134" xr:uid="{BF79FEDA-570F-445A-BBA9-7A6CBAC944B6}"/>
    <cellStyle name="Style 498 3" xfId="48388" xr:uid="{EE10DFB8-92D1-4362-BC2A-AE7B590C6A92}"/>
    <cellStyle name="Style 498 4" xfId="17999" xr:uid="{4B5A9FEC-C478-45DB-A470-D766A860B0E7}"/>
    <cellStyle name="Style 499" xfId="2568" xr:uid="{00000000-0005-0000-0000-0000F8090000}"/>
    <cellStyle name="Style 499 2" xfId="30135" xr:uid="{94B0B268-CA0A-450F-9418-2C1B776CFCB6}"/>
    <cellStyle name="Style 501" xfId="2569" xr:uid="{00000000-0005-0000-0000-0000F9090000}"/>
    <cellStyle name="Style 501 2" xfId="30136" xr:uid="{CA6B122F-F699-4CF6-B445-4AF08B3CF5A7}"/>
    <cellStyle name="Style 501 3" xfId="48328" xr:uid="{4DDC0186-07B1-4603-9AC7-9309172037B3}"/>
    <cellStyle name="Style 501 4" xfId="18000" xr:uid="{51FAC7E1-77DE-475D-B887-C2EC0BFB29CE}"/>
    <cellStyle name="Style 502" xfId="2570" xr:uid="{00000000-0005-0000-0000-0000FA090000}"/>
    <cellStyle name="Style 502 2" xfId="30137" xr:uid="{075E48A7-8777-453A-8AB8-132DBBBA1639}"/>
    <cellStyle name="Style 502 3" xfId="48005" xr:uid="{804B00E6-BF78-4562-B86E-7792717AEA83}"/>
    <cellStyle name="Style 502 4" xfId="18001" xr:uid="{4AC1184E-B360-4655-A4C4-ECD616ED815A}"/>
    <cellStyle name="Style 503" xfId="2571" xr:uid="{00000000-0005-0000-0000-0000FB090000}"/>
    <cellStyle name="Style 503 2" xfId="30138" xr:uid="{A62484F0-17D7-4974-8C0C-685E7E1F11F7}"/>
    <cellStyle name="Style 503 3" xfId="25346" xr:uid="{0A7D507B-5E80-4B75-8A2E-486D2425C7CA}"/>
    <cellStyle name="Style 503 4" xfId="18002" xr:uid="{593D5D3B-504D-47D1-9779-EA08CBF2A0C5}"/>
    <cellStyle name="Style 580" xfId="2572" xr:uid="{00000000-0005-0000-0000-0000FC090000}"/>
    <cellStyle name="Style 580 2" xfId="30139" xr:uid="{47E7D68F-44B8-4D86-BD73-C968B3086A4D}"/>
    <cellStyle name="Style 580 3" xfId="47802" xr:uid="{1BDC2633-5D4C-42C6-8DB3-E872999457FE}"/>
    <cellStyle name="Style 580 4" xfId="18003" xr:uid="{E366B746-506E-4B9D-AB10-E5A4FD5A18B6}"/>
    <cellStyle name="Style 581" xfId="2573" xr:uid="{00000000-0005-0000-0000-0000FD090000}"/>
    <cellStyle name="Style 581 2" xfId="30140" xr:uid="{3A14FBFA-AF3D-4791-9BB9-8EC50BACD7C5}"/>
    <cellStyle name="Style 582" xfId="2574" xr:uid="{00000000-0005-0000-0000-0000FE090000}"/>
    <cellStyle name="Style 582 2" xfId="30141" xr:uid="{4D1525EE-4149-46AD-BFD6-70EB1FFAC353}"/>
    <cellStyle name="Style 582 3" xfId="48317" xr:uid="{862D20EA-537B-4E47-BA9C-D2FA0F41D448}"/>
    <cellStyle name="Style 582 4" xfId="18004" xr:uid="{3CE4C07C-D14F-461D-806D-1A72624018F8}"/>
    <cellStyle name="Style 583" xfId="2575" xr:uid="{00000000-0005-0000-0000-0000FF090000}"/>
    <cellStyle name="Style 583 2" xfId="30142" xr:uid="{82C776F8-2071-4986-A295-829DE9BC4684}"/>
    <cellStyle name="Style 583 3" xfId="47562" xr:uid="{14C6054B-F7EF-4B9A-8563-3DA83F8D769D}"/>
    <cellStyle name="Style 583 4" xfId="18005" xr:uid="{1A8E9981-3DCC-493B-B606-6EDC39066FE9}"/>
    <cellStyle name="Style 584" xfId="2576" xr:uid="{00000000-0005-0000-0000-0000000A0000}"/>
    <cellStyle name="Style 584 2" xfId="30143" xr:uid="{E212B9C0-1449-43F8-AE87-53A1C02EA419}"/>
    <cellStyle name="Style 586" xfId="2577" xr:uid="{00000000-0005-0000-0000-0000010A0000}"/>
    <cellStyle name="Style 586 2" xfId="30144" xr:uid="{FE68D12C-3D91-45AB-958F-C8184BDD2C19}"/>
    <cellStyle name="Style 586 3" xfId="46272" xr:uid="{A73B44D8-B7E4-48A4-9510-D486E689F27E}"/>
    <cellStyle name="Style 586 4" xfId="18006" xr:uid="{B11E81ED-7098-436E-A33A-058BEADA37C2}"/>
    <cellStyle name="Style 587" xfId="2578" xr:uid="{00000000-0005-0000-0000-0000020A0000}"/>
    <cellStyle name="Style 587 2" xfId="30145" xr:uid="{FA6638D1-47F6-49FD-8A69-1DDC729E3CA5}"/>
    <cellStyle name="Style 587 3" xfId="47008" xr:uid="{9B4661AA-F2A1-4C9B-88A3-E4363633DCC3}"/>
    <cellStyle name="Style 587 4" xfId="18007" xr:uid="{352B6684-FDA2-44F9-964E-46EF7FE6DD5E}"/>
    <cellStyle name="Style 588" xfId="2579" xr:uid="{00000000-0005-0000-0000-0000030A0000}"/>
    <cellStyle name="Style 588 2" xfId="30146" xr:uid="{55D56989-D6C4-489A-88B3-FF2ECDCD8B96}"/>
    <cellStyle name="Style 588 3" xfId="47517" xr:uid="{53D74B9E-EC89-45B3-A6F6-716A83928970}"/>
    <cellStyle name="Style 588 4" xfId="18008" xr:uid="{587FD5D5-C237-4DC1-A6D6-FC5E783F4710}"/>
    <cellStyle name="Testo avviso" xfId="1236" xr:uid="{00000000-0005-0000-0000-0000040A0000}"/>
    <cellStyle name="Testo avviso 2" xfId="30148" xr:uid="{4DA31E8B-78EE-472E-B273-839AA97D27FB}"/>
    <cellStyle name="Testo avviso 3" xfId="30149" xr:uid="{96B0EFD5-4EA9-48BD-A064-2697DB3D97F3}"/>
    <cellStyle name="Testo avviso 3 2" xfId="49481" xr:uid="{2A2AE01E-61A0-4397-B644-4A795F6262D4}"/>
    <cellStyle name="Testo avviso 4" xfId="30147" xr:uid="{A64F5CE1-3B2A-4E83-8B37-50534D692B0F}"/>
    <cellStyle name="Testo descrittivo" xfId="1237" xr:uid="{00000000-0005-0000-0000-0000050A0000}"/>
    <cellStyle name="Testo descrittivo 2" xfId="30151" xr:uid="{55EF8484-298B-492C-B0B0-13FA42ABF898}"/>
    <cellStyle name="Testo descrittivo 3" xfId="30152" xr:uid="{A57FE653-FADB-4232-8498-1E259218D70B}"/>
    <cellStyle name="Testo descrittivo 3 2" xfId="49482" xr:uid="{913EB928-72AC-43EB-A041-99670967EE43}"/>
    <cellStyle name="Testo descrittivo 4" xfId="30150" xr:uid="{C8777106-A3E0-426C-A0AC-BF3F3F5BEF14}"/>
    <cellStyle name="Titel 2" xfId="30153" xr:uid="{C000CEE7-774B-4933-90DB-99830A403D5E}"/>
    <cellStyle name="Titel 2 2" xfId="30154" xr:uid="{CD894B32-F0BE-4D5A-B1E9-A3977FFC4737}"/>
    <cellStyle name="Titel 2 3" xfId="30155" xr:uid="{D910C362-8412-4D3E-A04D-E6420CB2BEA3}"/>
    <cellStyle name="Titel 2 3 2" xfId="49483" xr:uid="{877986B2-6B7C-46D6-9744-D082F1DFB4E8}"/>
    <cellStyle name="Title 2" xfId="30156" xr:uid="{F6A5FF4D-F3C2-48F1-9C65-1F5781EF8102}"/>
    <cellStyle name="Title 2 2" xfId="30157" xr:uid="{80490719-7D55-4799-A81B-BF3AE7FD4BFC}"/>
    <cellStyle name="Title 2 3" xfId="30158" xr:uid="{D887D467-FC34-4F3E-9657-BFF149ECFB3D}"/>
    <cellStyle name="Title 2 3 2" xfId="49484" xr:uid="{57494121-0FE5-49CD-9D65-8B8A97B64611}"/>
    <cellStyle name="Title 3" xfId="30252" xr:uid="{1BB97462-D526-4A65-9490-4F09D255C4DD}"/>
    <cellStyle name="Titolo" xfId="1238" xr:uid="{00000000-0005-0000-0000-0000060A0000}"/>
    <cellStyle name="Titolo 1" xfId="1239" xr:uid="{00000000-0005-0000-0000-0000070A0000}"/>
    <cellStyle name="Titolo 1 2" xfId="1240" xr:uid="{00000000-0005-0000-0000-0000080A0000}"/>
    <cellStyle name="Titolo 1 2 2" xfId="30162" xr:uid="{138A7CC1-9470-44C3-BCB6-676ABF662435}"/>
    <cellStyle name="Titolo 1 2 3" xfId="30161" xr:uid="{0F627065-26B4-420D-9B53-F11E6A4537B1}"/>
    <cellStyle name="Titolo 1 3" xfId="30163" xr:uid="{01647556-8ED5-44EA-8961-322D23BAFC11}"/>
    <cellStyle name="Titolo 1 3 2" xfId="49485" xr:uid="{A42A53E5-88A4-4A85-9992-B9360E6860E0}"/>
    <cellStyle name="Titolo 1 4" xfId="30160" xr:uid="{8C7EEEB0-F7ED-4661-9680-DB48CDB5506E}"/>
    <cellStyle name="Titolo 2" xfId="1241" xr:uid="{00000000-0005-0000-0000-0000090A0000}"/>
    <cellStyle name="Titolo 2 2" xfId="1242" xr:uid="{00000000-0005-0000-0000-00000A0A0000}"/>
    <cellStyle name="Titolo 2 2 2" xfId="30166" xr:uid="{B84E2442-3478-411D-8CEA-011B165684CD}"/>
    <cellStyle name="Titolo 2 2 3" xfId="30165" xr:uid="{13B79010-6F65-41D6-A445-4ECF569BE18D}"/>
    <cellStyle name="Titolo 2 3" xfId="30167" xr:uid="{D9C5945D-30D2-415D-B7BD-8597F1C67CE7}"/>
    <cellStyle name="Titolo 2 3 2" xfId="49486" xr:uid="{2EEC4ABF-A8FD-482A-A9F5-D40B0D73CB05}"/>
    <cellStyle name="Titolo 2 4" xfId="30164" xr:uid="{E2B7B0D9-10B4-433A-BF6E-09C4D13FE3C9}"/>
    <cellStyle name="Titolo 3" xfId="1243" xr:uid="{00000000-0005-0000-0000-00000B0A0000}"/>
    <cellStyle name="Titolo 3 2" xfId="1244" xr:uid="{00000000-0005-0000-0000-00000C0A0000}"/>
    <cellStyle name="Titolo 3 2 2" xfId="17426" xr:uid="{70172808-39CB-470B-A03E-DEB15BEF6B31}"/>
    <cellStyle name="Titolo 3 2 2 2" xfId="21240" xr:uid="{28927BCD-EF65-4C90-9008-184481EA0E2D}"/>
    <cellStyle name="Titolo 3 2 2 3" xfId="30170" xr:uid="{B2F64C42-03DF-433D-ACB6-6B62EBC6458C}"/>
    <cellStyle name="Titolo 3 2 3" xfId="17577" xr:uid="{44556675-B045-4654-ABA2-CF0088096935}"/>
    <cellStyle name="Titolo 3 2 3 2" xfId="30171" xr:uid="{2B74858A-E768-4EAF-BA6A-81AEEFD95D15}"/>
    <cellStyle name="Titolo 3 2 4" xfId="30172" xr:uid="{898E9DF1-CCF1-49AE-9656-471701FCBB5E}"/>
    <cellStyle name="Titolo 3 2 5" xfId="30169" xr:uid="{0FD6E6A0-8379-4249-AFD7-D25C45A3A4FF}"/>
    <cellStyle name="Titolo 3 3" xfId="4523" xr:uid="{1EF959C1-F0C8-4104-B19C-1CB50B47E8C3}"/>
    <cellStyle name="Titolo 3 3 2" xfId="17427" xr:uid="{0644E227-CC01-44DE-B91C-2652A3B10BE1}"/>
    <cellStyle name="Titolo 3 3 2 2" xfId="21241" xr:uid="{3E66F410-B5ED-4AAC-8D1E-C9A8C75D9CD4}"/>
    <cellStyle name="Titolo 3 3 3" xfId="17705" xr:uid="{CA7E6AA3-15CD-4E09-BAD2-DC07A266982D}"/>
    <cellStyle name="Titolo 3 3 4" xfId="30173" xr:uid="{D13EF461-9594-4170-8F08-FFAFBE008B38}"/>
    <cellStyle name="Titolo 3 4" xfId="30174" xr:uid="{C828BA82-641C-4C6A-877B-35932266E715}"/>
    <cellStyle name="Titolo 3 4 2" xfId="49487" xr:uid="{831FFA43-7B39-4CD7-8433-AF2DBB121D6C}"/>
    <cellStyle name="Titolo 3 5" xfId="30168" xr:uid="{2C013F49-0483-41DE-BE2B-A7BCC6D656C5}"/>
    <cellStyle name="Titolo 4" xfId="1245" xr:uid="{00000000-0005-0000-0000-00000D0A0000}"/>
    <cellStyle name="Titolo 4 2" xfId="30176" xr:uid="{B48D6712-C9B0-4A61-A229-5D2E0AEEC234}"/>
    <cellStyle name="Titolo 4 3" xfId="30177" xr:uid="{36669F8C-C997-4002-A894-EBE3CC06BE21}"/>
    <cellStyle name="Titolo 4 3 2" xfId="49488" xr:uid="{236B43C5-89B8-48DF-B1C8-4FDCBB914F68}"/>
    <cellStyle name="Titolo 4 4" xfId="30175" xr:uid="{17CD9D06-B066-4791-B909-FB97FED7954E}"/>
    <cellStyle name="Titolo 5" xfId="30178" xr:uid="{DF12656E-C4CF-46FF-AB22-34A761F88389}"/>
    <cellStyle name="Titolo 6" xfId="30179" xr:uid="{E1D5AEE8-78F3-4F05-A0B9-336138574A17}"/>
    <cellStyle name="Titolo 6 2" xfId="49489" xr:uid="{8DB600E1-E9F5-4B24-949E-5AC6191A9FE2}"/>
    <cellStyle name="Titolo 7" xfId="30159" xr:uid="{8FF5E304-A90F-4FD4-B129-F847074BA9F6}"/>
    <cellStyle name="Total 2" xfId="2580" xr:uid="{00000000-0005-0000-0000-00000E0A0000}"/>
    <cellStyle name="Total 2 2" xfId="2581" xr:uid="{00000000-0005-0000-0000-00000F0A0000}"/>
    <cellStyle name="Total 2 2 2" xfId="30182" xr:uid="{5027D9D7-8F8B-4EEB-860D-7FBE208E21C8}"/>
    <cellStyle name="Total 2 2 3" xfId="30181" xr:uid="{4925AA96-3FF2-486D-A3E5-5BDD46E85BA7}"/>
    <cellStyle name="Total 2 3" xfId="30183" xr:uid="{9F65806E-ED8E-473F-B230-784EE090C9FE}"/>
    <cellStyle name="Total 2 4" xfId="30184" xr:uid="{7636AC02-6EF1-404D-B4D2-65B1C410CF01}"/>
    <cellStyle name="Total 2 4 2" xfId="32656" xr:uid="{A243E79E-3E7C-472E-9257-D496FA4D04FB}"/>
    <cellStyle name="Total 2 4 3" xfId="32657" xr:uid="{A8E2F191-F838-4EAC-BFFB-508EB19DCF70}"/>
    <cellStyle name="Total 2 5" xfId="30185" xr:uid="{1553AB72-B89E-4F3C-AC89-C43C5CEA0EFA}"/>
    <cellStyle name="Total 2 6" xfId="30180" xr:uid="{9F4126EF-3514-4F7D-B4FD-C7B269D9A330}"/>
    <cellStyle name="Total 3" xfId="30186" xr:uid="{B31D4AC8-29F9-4612-87D0-EAC8A1D50BAD}"/>
    <cellStyle name="Total 4" xfId="30187" xr:uid="{2F8DB624-A1B7-486E-BCF3-5C0DC27E8FAE}"/>
    <cellStyle name="Total 4 2" xfId="49490" xr:uid="{47F399BD-6B86-4106-9938-B910E12D7AD9}"/>
    <cellStyle name="Totale" xfId="1246" xr:uid="{00000000-0005-0000-0000-0000100A0000}"/>
    <cellStyle name="Totale 2" xfId="1247" xr:uid="{00000000-0005-0000-0000-0000110A0000}"/>
    <cellStyle name="Totale 2 2" xfId="2582" xr:uid="{00000000-0005-0000-0000-0000120A0000}"/>
    <cellStyle name="Totale 2 2 2" xfId="18009" xr:uid="{EDADB06C-39E6-4DD4-84D3-F33D45891ED5}"/>
    <cellStyle name="Totale 2 2 2 2" xfId="30191" xr:uid="{AE6A2569-2807-44C7-9027-ECFD5DC5C66B}"/>
    <cellStyle name="Totale 2 2 3" xfId="30190" xr:uid="{5BAF5390-08A1-423E-ADB3-1C6C81F1772E}"/>
    <cellStyle name="Totale 2 3" xfId="17542" xr:uid="{DF0A09E7-BAB4-41A4-9CFE-859837A2EAFE}"/>
    <cellStyle name="Totale 2 3 2" xfId="32658" xr:uid="{FEAF3803-4B7D-4E51-993D-B924D3266C07}"/>
    <cellStyle name="Totale 2 3 3" xfId="32659" xr:uid="{92451A12-4072-4685-BE8F-C2D37795ED2F}"/>
    <cellStyle name="Totale 2 3 4" xfId="30192" xr:uid="{992E6B8B-C906-4FBE-959F-0338454A3F6E}"/>
    <cellStyle name="Totale 2 4" xfId="30193" xr:uid="{A92BEC07-F6B0-4782-AA35-CF9AF3E339BF}"/>
    <cellStyle name="Totale 2 5" xfId="30253" xr:uid="{F7B7718A-B528-482E-88EE-9256EF147281}"/>
    <cellStyle name="Totale 2 6" xfId="30189" xr:uid="{AD4BE3C3-978D-49F9-8DE0-D43353786908}"/>
    <cellStyle name="Totale 3" xfId="1248" xr:uid="{00000000-0005-0000-0000-0000130A0000}"/>
    <cellStyle name="Totale 3 2" xfId="2583" xr:uid="{00000000-0005-0000-0000-0000140A0000}"/>
    <cellStyle name="Totale 3 2 2" xfId="18010" xr:uid="{04B1BC58-DAF0-448D-8CDC-5D9FEEB9E3B4}"/>
    <cellStyle name="Totale 3 2 2 2" xfId="30196" xr:uid="{ADE1F537-09F8-4786-941B-E750491689EC}"/>
    <cellStyle name="Totale 3 2 3" xfId="30195" xr:uid="{78CF210D-FF83-457F-B85D-0C65A4CF3A92}"/>
    <cellStyle name="Totale 3 3" xfId="17671" xr:uid="{AE79B254-10F9-4CFE-BAB4-70CACA22F61D}"/>
    <cellStyle name="Totale 3 3 2" xfId="32660" xr:uid="{04A357D6-7AB6-4404-8F2D-4288CF23A558}"/>
    <cellStyle name="Totale 3 3 3" xfId="32661" xr:uid="{A62524D3-3EFF-4CC2-9EE4-06A913C38846}"/>
    <cellStyle name="Totale 3 3 4" xfId="30197" xr:uid="{1C32B3DF-A440-4180-B465-0BF10FEB8628}"/>
    <cellStyle name="Totale 3 4" xfId="30198" xr:uid="{509BDD76-F814-4D60-A095-3F67A80BBFFF}"/>
    <cellStyle name="Totale 3 5" xfId="30194" xr:uid="{39F87D39-CD2A-4145-A134-BCA05E4DBB0C}"/>
    <cellStyle name="Totale 4" xfId="2584" xr:uid="{00000000-0005-0000-0000-0000150A0000}"/>
    <cellStyle name="Totale 4 2" xfId="17425" xr:uid="{B477000B-4389-4611-9EC4-6A4FF38A6D11}"/>
    <cellStyle name="Totale 4 2 2" xfId="30200" xr:uid="{6040C15C-330C-40DD-915F-6F73450FD20F}"/>
    <cellStyle name="Totale 4 3" xfId="30201" xr:uid="{C6CA08A9-B384-457B-8921-84A7C690B62E}"/>
    <cellStyle name="Totale 4 3 2" xfId="32662" xr:uid="{A3C380AD-17B5-407B-B0EC-274A1621DC66}"/>
    <cellStyle name="Totale 4 3 3" xfId="32663" xr:uid="{67C792CA-8357-47C4-9A75-8695CE3BDEE1}"/>
    <cellStyle name="Totale 4 4" xfId="30202" xr:uid="{8124C0DA-329A-42DA-AC26-9C533DE3F4BF}"/>
    <cellStyle name="Totale 4 5" xfId="30199" xr:uid="{4BC866A7-4C0A-4F2A-BF1D-FCC4D9E38BB6}"/>
    <cellStyle name="Totale 5" xfId="9591" xr:uid="{3A309893-B3EC-427E-B215-8D1AB2D0D9BD}"/>
    <cellStyle name="Totale 5 2" xfId="30204" xr:uid="{DB02F7C0-40D7-49BA-B2D0-9E47AF1D91F6}"/>
    <cellStyle name="Totale 5 3" xfId="30205" xr:uid="{1A708A0F-2B18-4C8B-A04F-4F4C53783E8C}"/>
    <cellStyle name="Totale 5 3 2" xfId="32664" xr:uid="{779AE650-1535-4C34-8A9C-429E3D08DAC7}"/>
    <cellStyle name="Totale 5 3 3" xfId="32665" xr:uid="{E49A4F37-CC51-4970-87BF-342C2C352A01}"/>
    <cellStyle name="Totale 5 4" xfId="30203" xr:uid="{E5D173DC-973D-4D94-B0FA-D4BF067D147B}"/>
    <cellStyle name="Totale 6" xfId="9592" xr:uid="{65C9D18C-7B70-4A88-A120-009B1C130F6C}"/>
    <cellStyle name="Totale 6 2" xfId="30207" xr:uid="{5632B114-4B3C-41B3-A31C-B11CE7662D0B}"/>
    <cellStyle name="Totale 6 3" xfId="30208" xr:uid="{A758C651-0D5B-43FF-8172-E992E44E8BD4}"/>
    <cellStyle name="Totale 6 3 2" xfId="32666" xr:uid="{3FBF9768-A433-41DC-B62F-96FEAE97D199}"/>
    <cellStyle name="Totale 6 3 3" xfId="32667" xr:uid="{CBD912C6-7770-486B-BC9E-52E7028940CA}"/>
    <cellStyle name="Totale 6 4" xfId="30206" xr:uid="{F4CEB16E-B672-4450-AF76-6B209E178E2B}"/>
    <cellStyle name="Totale 7" xfId="30209" xr:uid="{31AC5B82-3F99-489F-A7FA-69AA1E90E85E}"/>
    <cellStyle name="Totale 8" xfId="30210" xr:uid="{D00E958B-C822-47A4-9445-62A3933C4988}"/>
    <cellStyle name="Totale 8 2" xfId="32668" xr:uid="{D46FD1A9-C764-4DF3-A63E-869E047EF4EB}"/>
    <cellStyle name="Totale 8 3" xfId="32669" xr:uid="{92A6E68E-BC5B-4850-AC1C-A1B11198DAC3}"/>
    <cellStyle name="Totale 9" xfId="30188" xr:uid="{E147208A-E56B-4DC2-9185-029CD673DBE0}"/>
    <cellStyle name="Ugyldig 2" xfId="30211" xr:uid="{F98BDA20-C2B4-4995-BEBA-616545677391}"/>
    <cellStyle name="Uncertain" xfId="9593" xr:uid="{AF8651A8-190A-4F8E-B9B4-C438B62D8F88}"/>
    <cellStyle name="Uncertain 2" xfId="30212" xr:uid="{777CF45A-F1F8-4B0F-B4BC-61A6D869FC1A}"/>
    <cellStyle name="Usikre tal" xfId="1258" xr:uid="{00000000-0005-0000-0000-0000160A0000}"/>
    <cellStyle name="Valore non valido" xfId="1249" xr:uid="{00000000-0005-0000-0000-0000170A0000}"/>
    <cellStyle name="Valore non valido 2" xfId="30214" xr:uid="{A857B998-F08A-4ADC-9BC0-5524BBF4BEAA}"/>
    <cellStyle name="Valore non valido 3" xfId="30215" xr:uid="{B69F8EC5-6943-430D-B4EB-F4A803ED24DA}"/>
    <cellStyle name="Valore non valido 3 2" xfId="49491" xr:uid="{BCD417EA-BDC4-49AD-853B-D4D2DEFC81A3}"/>
    <cellStyle name="Valore non valido 4" xfId="30213" xr:uid="{0A95B2BE-A1EF-4574-96C8-25E0942D59A0}"/>
    <cellStyle name="Valore valido" xfId="1250" xr:uid="{00000000-0005-0000-0000-0000180A0000}"/>
    <cellStyle name="Valore valido 2" xfId="30217" xr:uid="{93AF6CC6-E71B-4E5D-9FC4-D734E4AA36BA}"/>
    <cellStyle name="Valore valido 3" xfId="30218" xr:uid="{51838BBD-D0AE-4893-8D4A-04FC60DC4B13}"/>
    <cellStyle name="Valore valido 3 2" xfId="49492" xr:uid="{A1116586-26E0-4942-90ED-02FC89D114E0}"/>
    <cellStyle name="Valore valido 4" xfId="30216" xr:uid="{29FD51CC-FBA8-47D7-BFF3-E486C492BCEC}"/>
    <cellStyle name="Warning Text 2" xfId="30219" xr:uid="{F7AED2B7-F29C-414C-947F-FA1E092BFD7B}"/>
    <cellStyle name="Warning Text 2 2" xfId="30220" xr:uid="{EE502782-C746-49AE-849A-C0A6A121D2CC}"/>
    <cellStyle name="Warning Text 2 3" xfId="30221" xr:uid="{02F0E41F-8F50-4328-B1CD-C684C50A310F}"/>
    <cellStyle name="Warning Text 2 3 2" xfId="49493" xr:uid="{6804EC70-8075-46A1-BFFE-32B6CF603649}"/>
    <cellStyle name="Warning Text 3" xfId="30222" xr:uid="{02FDC9A1-F1A4-4374-AA04-9ED52332E3CE}"/>
    <cellStyle name="Warning Text 4" xfId="30223" xr:uid="{C32BD348-27D4-474C-A959-14AFD340BC95}"/>
    <cellStyle name="Warning Text 4 2" xfId="49494" xr:uid="{2C004FEE-1F0F-429A-B1C9-830A271C85D4}"/>
    <cellStyle name="X08_Total Oil" xfId="30224" xr:uid="{E1322378-052E-4E86-B662-0E83888926EE}"/>
    <cellStyle name="X12_Total Figs 1 dec" xfId="30225" xr:uid="{9131759A-7833-4FE5-B737-D90B8365AB5D}"/>
    <cellStyle name="Years" xfId="9594" xr:uid="{CF7B546B-30D6-4CE5-89F8-3C68EE7D21A9}"/>
    <cellStyle name="Years 2" xfId="30226" xr:uid="{DD3C5B6B-8210-472F-9506-EEDBF00C598A}"/>
    <cellStyle name="Обычный_2++" xfId="30239" xr:uid="{C6518855-C026-42A0-AE57-538E01B522D8}"/>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5.xml"/><Relationship Id="rId63" Type="http://schemas.openxmlformats.org/officeDocument/2006/relationships/externalLink" Target="externalLinks/externalLink13.xml"/><Relationship Id="rId68"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externalLink" Target="externalLinks/externalLink8.xml"/><Relationship Id="rId66" Type="http://schemas.openxmlformats.org/officeDocument/2006/relationships/theme" Target="theme/theme1.xml"/><Relationship Id="rId7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7.xml"/><Relationship Id="rId61"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externalLink" Target="externalLinks/externalLink10.xml"/><Relationship Id="rId65" Type="http://schemas.openxmlformats.org/officeDocument/2006/relationships/externalLink" Target="externalLinks/externalLink1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6.xml"/><Relationship Id="rId64" Type="http://schemas.openxmlformats.org/officeDocument/2006/relationships/externalLink" Target="externalLinks/externalLink1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9.xml"/><Relationship Id="rId67"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4.xml"/><Relationship Id="rId62" Type="http://schemas.openxmlformats.org/officeDocument/2006/relationships/externalLink" Target="externalLinks/externalLink12.xml"/><Relationship Id="rId7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twoCellAnchor>
    <xdr:from>
      <xdr:col>0</xdr:col>
      <xdr:colOff>0</xdr:colOff>
      <xdr:row>14</xdr:row>
      <xdr:rowOff>0</xdr:rowOff>
    </xdr:from>
    <xdr:to>
      <xdr:col>14</xdr:col>
      <xdr:colOff>581025</xdr:colOff>
      <xdr:row>26</xdr:row>
      <xdr:rowOff>47625</xdr:rowOff>
    </xdr:to>
    <xdr:sp macro="" textlink="">
      <xdr:nvSpPr>
        <xdr:cNvPr id="3" name="Tekstboks 1">
          <a:extLst>
            <a:ext uri="{FF2B5EF4-FFF2-40B4-BE49-F238E27FC236}">
              <a16:creationId xmlns:a16="http://schemas.microsoft.com/office/drawing/2014/main" id="{0DA8BFE0-83DA-460F-BD1B-81567F3DC3E5}"/>
            </a:ext>
          </a:extLst>
        </xdr:cNvPr>
        <xdr:cNvSpPr txBox="1"/>
      </xdr:nvSpPr>
      <xdr:spPr>
        <a:xfrm>
          <a:off x="0" y="266700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r>
            <a:rPr lang="da-DK" sz="1100"/>
            <a:t>Martin</a:t>
          </a:r>
          <a:r>
            <a:rPr lang="da-DK" sz="1100" baseline="0"/>
            <a:t> Hagberg: </a:t>
          </a:r>
          <a:endParaRPr lang="da-DK" sz="1100"/>
        </a:p>
        <a:p>
          <a:endParaRPr lang="da-DK" sz="1100"/>
        </a:p>
        <a:p>
          <a:r>
            <a:rPr lang="da-DK" sz="1100"/>
            <a:t>SE and NO industry</a:t>
          </a:r>
          <a:r>
            <a:rPr lang="da-DK" sz="1100" baseline="0"/>
            <a:t> representation including sector division is based on Eurostat data. </a:t>
          </a:r>
          <a:endParaRPr lang="da-DK" sz="1100"/>
        </a:p>
        <a:p>
          <a:endParaRPr lang="da-DK" sz="1100"/>
        </a:p>
        <a:p>
          <a:endParaRPr lang="da-DK" sz="1100"/>
        </a:p>
        <a:p>
          <a:r>
            <a:rPr lang="da-DK" sz="1100"/>
            <a:t>DK</a:t>
          </a:r>
          <a:r>
            <a:rPr lang="da-DK" sz="1100" baseline="0"/>
            <a:t> industry sector and sector division, which was developed earlier than SE and NO, has been developed based on other sources and therefore differ somewhat to SE and NO. </a:t>
          </a:r>
        </a:p>
        <a:p>
          <a:endParaRPr lang="da-DK" sz="1100" baseline="0"/>
        </a:p>
        <a:p>
          <a:endParaRPr lang="da-DK" sz="1100" baseline="0"/>
        </a:p>
        <a:p>
          <a:r>
            <a:rPr lang="da-DK" sz="1100" baseline="0"/>
            <a:t>The easiest approach for adding new countries to the model would be to follow the approach by SE (for 4 regions</a:t>
          </a:r>
          <a:r>
            <a:rPr lang="da-DK" sz="1100" baseline="0">
              <a:solidFill>
                <a:schemeClr val="dk1"/>
              </a:solidFill>
              <a:effectLst/>
              <a:latin typeface="+mn-lt"/>
              <a:ea typeface="+mn-ea"/>
              <a:cs typeface="+mn-cs"/>
            </a:rPr>
            <a:t>/country</a:t>
          </a:r>
          <a:r>
            <a:rPr lang="da-DK" sz="1100" baseline="0"/>
            <a:t>) or NO (for two regions/country), starting from their respective VT file structure. </a:t>
          </a:r>
        </a:p>
        <a:p>
          <a:endParaRPr lang="da-DK" sz="1100" baseline="0"/>
        </a:p>
        <a:p>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54</xdr:row>
      <xdr:rowOff>0</xdr:rowOff>
    </xdr:from>
    <xdr:to>
      <xdr:col>0</xdr:col>
      <xdr:colOff>2892136</xdr:colOff>
      <xdr:row>64</xdr:row>
      <xdr:rowOff>29154</xdr:rowOff>
    </xdr:to>
    <mc:AlternateContent xmlns:mc="http://schemas.openxmlformats.org/markup-compatibility/2006" xmlns:a14="http://schemas.microsoft.com/office/drawing/2010/main">
      <mc:Choice Requires="a14">
        <xdr:sp macro="" textlink="">
          <xdr:nvSpPr>
            <xdr:cNvPr id="35" name="TextBox 55">
              <a:extLst>
                <a:ext uri="{FF2B5EF4-FFF2-40B4-BE49-F238E27FC236}">
                  <a16:creationId xmlns:a16="http://schemas.microsoft.com/office/drawing/2014/main" id="{00000000-0008-0000-1F00-000023000000}"/>
                </a:ext>
              </a:extLst>
            </xdr:cNvPr>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35" name="TextBox 55"/>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2892136</xdr:colOff>
      <xdr:row>63</xdr:row>
      <xdr:rowOff>168578</xdr:rowOff>
    </xdr:from>
    <xdr:to>
      <xdr:col>1</xdr:col>
      <xdr:colOff>2224135</xdr:colOff>
      <xdr:row>64</xdr:row>
      <xdr:rowOff>33498</xdr:rowOff>
    </xdr:to>
    <xdr:cxnSp macro="">
      <xdr:nvCxnSpPr>
        <xdr:cNvPr id="36" name="Elbow Connector 56">
          <a:extLst>
            <a:ext uri="{FF2B5EF4-FFF2-40B4-BE49-F238E27FC236}">
              <a16:creationId xmlns:a16="http://schemas.microsoft.com/office/drawing/2014/main" id="{00000000-0008-0000-1F00-000024000000}"/>
            </a:ext>
          </a:extLst>
        </xdr:cNvPr>
        <xdr:cNvCxnSpPr/>
      </xdr:nvCxnSpPr>
      <xdr:spPr>
        <a:xfrm flipV="1">
          <a:off x="2892136" y="13655978"/>
          <a:ext cx="2541924"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441906</xdr:colOff>
      <xdr:row>43</xdr:row>
      <xdr:rowOff>57049</xdr:rowOff>
    </xdr:from>
    <xdr:to>
      <xdr:col>30</xdr:col>
      <xdr:colOff>513873</xdr:colOff>
      <xdr:row>63</xdr:row>
      <xdr:rowOff>198578</xdr:rowOff>
    </xdr:to>
    <mc:AlternateContent xmlns:mc="http://schemas.openxmlformats.org/markup-compatibility/2006" xmlns:a14="http://schemas.microsoft.com/office/drawing/2010/main">
      <mc:Choice Requires="a14">
        <xdr:sp macro="" textlink="">
          <xdr:nvSpPr>
            <xdr:cNvPr id="37" name="TextBox 51">
              <a:extLst>
                <a:ext uri="{FF2B5EF4-FFF2-40B4-BE49-F238E27FC236}">
                  <a16:creationId xmlns:a16="http://schemas.microsoft.com/office/drawing/2014/main" id="{00000000-0008-0000-1F00-000025000000}"/>
                </a:ext>
              </a:extLst>
            </xdr:cNvPr>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37" name="TextBox 51"/>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8</xdr:col>
      <xdr:colOff>0</xdr:colOff>
      <xdr:row>57</xdr:row>
      <xdr:rowOff>134471</xdr:rowOff>
    </xdr:from>
    <xdr:to>
      <xdr:col>22</xdr:col>
      <xdr:colOff>470647</xdr:colOff>
      <xdr:row>58</xdr:row>
      <xdr:rowOff>156883</xdr:rowOff>
    </xdr:to>
    <xdr:cxnSp macro="">
      <xdr:nvCxnSpPr>
        <xdr:cNvPr id="38" name="Elbow Connector 52">
          <a:extLst>
            <a:ext uri="{FF2B5EF4-FFF2-40B4-BE49-F238E27FC236}">
              <a16:creationId xmlns:a16="http://schemas.microsoft.com/office/drawing/2014/main" id="{00000000-0008-0000-1F00-000026000000}"/>
            </a:ext>
          </a:extLst>
        </xdr:cNvPr>
        <xdr:cNvCxnSpPr/>
      </xdr:nvCxnSpPr>
      <xdr:spPr>
        <a:xfrm flipV="1">
          <a:off x="9054353" y="12516971"/>
          <a:ext cx="8942294" cy="212912"/>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126021</xdr:colOff>
      <xdr:row>43</xdr:row>
      <xdr:rowOff>11205</xdr:rowOff>
    </xdr:from>
    <xdr:to>
      <xdr:col>13</xdr:col>
      <xdr:colOff>336177</xdr:colOff>
      <xdr:row>46</xdr:row>
      <xdr:rowOff>145677</xdr:rowOff>
    </xdr:to>
    <xdr:sp macro="" textlink="">
      <xdr:nvSpPr>
        <xdr:cNvPr id="39" name="TextBox 53">
          <a:extLst>
            <a:ext uri="{FF2B5EF4-FFF2-40B4-BE49-F238E27FC236}">
              <a16:creationId xmlns:a16="http://schemas.microsoft.com/office/drawing/2014/main" id="{00000000-0008-0000-1F00-000027000000}"/>
            </a:ext>
          </a:extLst>
        </xdr:cNvPr>
        <xdr:cNvSpPr txBox="1"/>
      </xdr:nvSpPr>
      <xdr:spPr>
        <a:xfrm>
          <a:off x="9180374" y="9468970"/>
          <a:ext cx="3235744" cy="73958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6</xdr:col>
      <xdr:colOff>549091</xdr:colOff>
      <xdr:row>44</xdr:row>
      <xdr:rowOff>179294</xdr:rowOff>
    </xdr:from>
    <xdr:to>
      <xdr:col>8</xdr:col>
      <xdr:colOff>126022</xdr:colOff>
      <xdr:row>58</xdr:row>
      <xdr:rowOff>64236</xdr:rowOff>
    </xdr:to>
    <xdr:cxnSp macro="">
      <xdr:nvCxnSpPr>
        <xdr:cNvPr id="40" name="Elbow Connector 54">
          <a:extLst>
            <a:ext uri="{FF2B5EF4-FFF2-40B4-BE49-F238E27FC236}">
              <a16:creationId xmlns:a16="http://schemas.microsoft.com/office/drawing/2014/main" id="{00000000-0008-0000-1F00-000028000000}"/>
            </a:ext>
          </a:extLst>
        </xdr:cNvPr>
        <xdr:cNvCxnSpPr>
          <a:endCxn id="39" idx="1"/>
        </xdr:cNvCxnSpPr>
      </xdr:nvCxnSpPr>
      <xdr:spPr>
        <a:xfrm rot="5400000" flipH="1" flipV="1">
          <a:off x="7387556" y="10844418"/>
          <a:ext cx="2798471" cy="78716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428625</xdr:colOff>
      <xdr:row>9</xdr:row>
      <xdr:rowOff>104776</xdr:rowOff>
    </xdr:from>
    <xdr:to>
      <xdr:col>23</xdr:col>
      <xdr:colOff>236982</xdr:colOff>
      <xdr:row>29</xdr:row>
      <xdr:rowOff>370913</xdr:rowOff>
    </xdr:to>
    <xdr:grpSp>
      <xdr:nvGrpSpPr>
        <xdr:cNvPr id="2" name="Group 1">
          <a:extLst>
            <a:ext uri="{FF2B5EF4-FFF2-40B4-BE49-F238E27FC236}">
              <a16:creationId xmlns:a16="http://schemas.microsoft.com/office/drawing/2014/main" id="{5C018088-2E6C-4B28-B706-27B440834D71}"/>
            </a:ext>
          </a:extLst>
        </xdr:cNvPr>
        <xdr:cNvGrpSpPr/>
      </xdr:nvGrpSpPr>
      <xdr:grpSpPr>
        <a:xfrm>
          <a:off x="11982450" y="2276476"/>
          <a:ext cx="6094857" cy="6790762"/>
          <a:chOff x="13449300" y="2619376"/>
          <a:chExt cx="5904357" cy="6876487"/>
        </a:xfrm>
      </xdr:grpSpPr>
      <xdr:grpSp>
        <xdr:nvGrpSpPr>
          <xdr:cNvPr id="3" name="Group 2">
            <a:extLst>
              <a:ext uri="{FF2B5EF4-FFF2-40B4-BE49-F238E27FC236}">
                <a16:creationId xmlns:a16="http://schemas.microsoft.com/office/drawing/2014/main" id="{7C3E2C3F-320D-424D-B2E5-2C31380FD3F5}"/>
              </a:ext>
            </a:extLst>
          </xdr:cNvPr>
          <xdr:cNvGrpSpPr/>
        </xdr:nvGrpSpPr>
        <xdr:grpSpPr>
          <a:xfrm>
            <a:off x="13449300" y="3381375"/>
            <a:ext cx="5904357" cy="6114488"/>
            <a:chOff x="13449300" y="3381375"/>
            <a:chExt cx="5904357" cy="6114488"/>
          </a:xfrm>
        </xdr:grpSpPr>
        <xdr:grpSp>
          <xdr:nvGrpSpPr>
            <xdr:cNvPr id="5" name="Group 4">
              <a:extLst>
                <a:ext uri="{FF2B5EF4-FFF2-40B4-BE49-F238E27FC236}">
                  <a16:creationId xmlns:a16="http://schemas.microsoft.com/office/drawing/2014/main" id="{0E266C41-8667-49DF-86C9-CAED8FB2A702}"/>
                </a:ext>
              </a:extLst>
            </xdr:cNvPr>
            <xdr:cNvGrpSpPr/>
          </xdr:nvGrpSpPr>
          <xdr:grpSpPr>
            <a:xfrm>
              <a:off x="13449300" y="5153025"/>
              <a:ext cx="5876925" cy="4342838"/>
              <a:chOff x="11239500" y="2200275"/>
              <a:chExt cx="5876925" cy="4342838"/>
            </a:xfrm>
          </xdr:grpSpPr>
          <xdr:pic>
            <xdr:nvPicPr>
              <xdr:cNvPr id="18" name="Picture 17">
                <a:extLst>
                  <a:ext uri="{FF2B5EF4-FFF2-40B4-BE49-F238E27FC236}">
                    <a16:creationId xmlns:a16="http://schemas.microsoft.com/office/drawing/2014/main" id="{E01E6598-CC3A-4E1A-90B3-D403F00810FD}"/>
                  </a:ext>
                </a:extLst>
              </xdr:cNvPr>
              <xdr:cNvPicPr>
                <a:picLocks noChangeAspect="1"/>
              </xdr:cNvPicPr>
            </xdr:nvPicPr>
            <xdr:blipFill>
              <a:blip xmlns:r="http://schemas.openxmlformats.org/officeDocument/2006/relationships" r:embed="rId1"/>
              <a:stretch>
                <a:fillRect/>
              </a:stretch>
            </xdr:blipFill>
            <xdr:spPr>
              <a:xfrm>
                <a:off x="11239500" y="2478456"/>
                <a:ext cx="5876925" cy="4064657"/>
              </a:xfrm>
              <a:prstGeom prst="rect">
                <a:avLst/>
              </a:prstGeom>
            </xdr:spPr>
          </xdr:pic>
          <xdr:sp macro="" textlink="">
            <xdr:nvSpPr>
              <xdr:cNvPr id="19" name="TextBox 18">
                <a:extLst>
                  <a:ext uri="{FF2B5EF4-FFF2-40B4-BE49-F238E27FC236}">
                    <a16:creationId xmlns:a16="http://schemas.microsoft.com/office/drawing/2014/main" id="{B7C170CC-A161-48D3-8CB3-BE7D823781FE}"/>
                  </a:ext>
                </a:extLst>
              </xdr:cNvPr>
              <xdr:cNvSpPr txBox="1"/>
            </xdr:nvSpPr>
            <xdr:spPr>
              <a:xfrm>
                <a:off x="11287125" y="2200275"/>
                <a:ext cx="3648075"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From Danish Energy Agency technology catalogue 2017</a:t>
                </a:r>
              </a:p>
            </xdr:txBody>
          </xdr:sp>
        </xdr:grpSp>
        <xdr:grpSp>
          <xdr:nvGrpSpPr>
            <xdr:cNvPr id="6" name="Group 5">
              <a:extLst>
                <a:ext uri="{FF2B5EF4-FFF2-40B4-BE49-F238E27FC236}">
                  <a16:creationId xmlns:a16="http://schemas.microsoft.com/office/drawing/2014/main" id="{B13B1409-F1FF-483B-B009-F04E7443ED0C}"/>
                </a:ext>
              </a:extLst>
            </xdr:cNvPr>
            <xdr:cNvGrpSpPr/>
          </xdr:nvGrpSpPr>
          <xdr:grpSpPr>
            <a:xfrm>
              <a:off x="13611225" y="3381375"/>
              <a:ext cx="5742432" cy="1362086"/>
              <a:chOff x="1499616" y="2555933"/>
              <a:chExt cx="5742432" cy="1362086"/>
            </a:xfrm>
          </xdr:grpSpPr>
          <xdr:sp macro="" textlink="">
            <xdr:nvSpPr>
              <xdr:cNvPr id="7" name="Rectangle 6">
                <a:extLst>
                  <a:ext uri="{FF2B5EF4-FFF2-40B4-BE49-F238E27FC236}">
                    <a16:creationId xmlns:a16="http://schemas.microsoft.com/office/drawing/2014/main" id="{33DDFACB-9DAD-45CF-AD7D-40D965651E27}"/>
                  </a:ext>
                </a:extLst>
              </xdr:cNvPr>
              <xdr:cNvSpPr/>
            </xdr:nvSpPr>
            <xdr:spPr>
              <a:xfrm>
                <a:off x="3523488" y="2657856"/>
                <a:ext cx="1475232" cy="11216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da-DK">
                    <a:solidFill>
                      <a:schemeClr val="tx1"/>
                    </a:solidFill>
                  </a:rPr>
                  <a:t>Heat Exchanger</a:t>
                </a:r>
              </a:p>
            </xdr:txBody>
          </xdr:sp>
          <xdr:cxnSp macro="">
            <xdr:nvCxnSpPr>
              <xdr:cNvPr id="8" name="Straight Arrow Connector 7">
                <a:extLst>
                  <a:ext uri="{FF2B5EF4-FFF2-40B4-BE49-F238E27FC236}">
                    <a16:creationId xmlns:a16="http://schemas.microsoft.com/office/drawing/2014/main" id="{D4595C06-BC5D-4D72-8163-C55D9C64095D}"/>
                  </a:ext>
                </a:extLst>
              </xdr:cNvPr>
              <xdr:cNvCxnSpPr/>
            </xdr:nvCxnSpPr>
            <xdr:spPr>
              <a:xfrm>
                <a:off x="2401824" y="2889504"/>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 name="Straight Arrow Connector 8">
                <a:extLst>
                  <a:ext uri="{FF2B5EF4-FFF2-40B4-BE49-F238E27FC236}">
                    <a16:creationId xmlns:a16="http://schemas.microsoft.com/office/drawing/2014/main" id="{5A271CB9-AD4B-42A0-AFFA-EC6B65581E00}"/>
                  </a:ext>
                </a:extLst>
              </xdr:cNvPr>
              <xdr:cNvCxnSpPr/>
            </xdr:nvCxnSpPr>
            <xdr:spPr>
              <a:xfrm>
                <a:off x="4998720" y="2907792"/>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 name="Straight Arrow Connector 9">
                <a:extLst>
                  <a:ext uri="{FF2B5EF4-FFF2-40B4-BE49-F238E27FC236}">
                    <a16:creationId xmlns:a16="http://schemas.microsoft.com/office/drawing/2014/main" id="{5725671B-D780-43E9-9448-829C2B8E351A}"/>
                  </a:ext>
                </a:extLst>
              </xdr:cNvPr>
              <xdr:cNvCxnSpPr/>
            </xdr:nvCxnSpPr>
            <xdr:spPr>
              <a:xfrm flipH="1">
                <a:off x="2401824" y="3566160"/>
                <a:ext cx="1121664" cy="609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Straight Arrow Connector 10">
                <a:extLst>
                  <a:ext uri="{FF2B5EF4-FFF2-40B4-BE49-F238E27FC236}">
                    <a16:creationId xmlns:a16="http://schemas.microsoft.com/office/drawing/2014/main" id="{18E1EEB2-1D3B-48EB-AD87-9CBDED0B4F27}"/>
                  </a:ext>
                </a:extLst>
              </xdr:cNvPr>
              <xdr:cNvCxnSpPr/>
            </xdr:nvCxnSpPr>
            <xdr:spPr>
              <a:xfrm flipH="1">
                <a:off x="4998720" y="3566160"/>
                <a:ext cx="1121664" cy="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 name="TextBox 17">
                <a:extLst>
                  <a:ext uri="{FF2B5EF4-FFF2-40B4-BE49-F238E27FC236}">
                    <a16:creationId xmlns:a16="http://schemas.microsoft.com/office/drawing/2014/main" id="{7BC7BCF4-8FCE-4EFF-B2A9-BC9CBF66060E}"/>
                  </a:ext>
                </a:extLst>
              </xdr:cNvPr>
              <xdr:cNvSpPr txBox="1"/>
            </xdr:nvSpPr>
            <xdr:spPr>
              <a:xfrm>
                <a:off x="1499616" y="2993136"/>
                <a:ext cx="902208"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Air from/to data center</a:t>
                </a:r>
              </a:p>
            </xdr:txBody>
          </xdr:sp>
          <xdr:sp macro="" textlink="">
            <xdr:nvSpPr>
              <xdr:cNvPr id="13" name="TextBox 18">
                <a:extLst>
                  <a:ext uri="{FF2B5EF4-FFF2-40B4-BE49-F238E27FC236}">
                    <a16:creationId xmlns:a16="http://schemas.microsoft.com/office/drawing/2014/main" id="{E323AC54-71E0-4FD0-9A9B-526594424545}"/>
                  </a:ext>
                </a:extLst>
              </xdr:cNvPr>
              <xdr:cNvSpPr txBox="1"/>
            </xdr:nvSpPr>
            <xdr:spPr>
              <a:xfrm>
                <a:off x="6120384" y="2998417"/>
                <a:ext cx="1121664"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Closed loop for source of HP</a:t>
                </a:r>
              </a:p>
            </xdr:txBody>
          </xdr:sp>
          <xdr:sp macro="" textlink="">
            <xdr:nvSpPr>
              <xdr:cNvPr id="14" name="TextBox 19">
                <a:extLst>
                  <a:ext uri="{FF2B5EF4-FFF2-40B4-BE49-F238E27FC236}">
                    <a16:creationId xmlns:a16="http://schemas.microsoft.com/office/drawing/2014/main" id="{E8F824C2-C8E5-458A-B4C8-948FB440157B}"/>
                  </a:ext>
                </a:extLst>
              </xdr:cNvPr>
              <xdr:cNvSpPr txBox="1"/>
            </xdr:nvSpPr>
            <xdr:spPr>
              <a:xfrm>
                <a:off x="2401824" y="2577639"/>
                <a:ext cx="107289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T_air,in = 31 C</a:t>
                </a:r>
              </a:p>
            </xdr:txBody>
          </xdr:sp>
          <xdr:sp macro="" textlink="">
            <xdr:nvSpPr>
              <xdr:cNvPr id="15" name="TextBox 20">
                <a:extLst>
                  <a:ext uri="{FF2B5EF4-FFF2-40B4-BE49-F238E27FC236}">
                    <a16:creationId xmlns:a16="http://schemas.microsoft.com/office/drawing/2014/main" id="{568CC209-04CE-46B1-91C6-60A91E1C584E}"/>
                  </a:ext>
                </a:extLst>
              </xdr:cNvPr>
              <xdr:cNvSpPr txBox="1"/>
            </xdr:nvSpPr>
            <xdr:spPr>
              <a:xfrm>
                <a:off x="2316480" y="3641020"/>
                <a:ext cx="115824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T_air,out = 20 C</a:t>
                </a:r>
              </a:p>
            </xdr:txBody>
          </xdr:sp>
          <xdr:sp macro="" textlink="">
            <xdr:nvSpPr>
              <xdr:cNvPr id="16" name="TextBox 21">
                <a:extLst>
                  <a:ext uri="{FF2B5EF4-FFF2-40B4-BE49-F238E27FC236}">
                    <a16:creationId xmlns:a16="http://schemas.microsoft.com/office/drawing/2014/main" id="{8FE0E912-2182-476C-A819-D3B599B855FE}"/>
                  </a:ext>
                </a:extLst>
              </xdr:cNvPr>
              <xdr:cNvSpPr txBox="1"/>
            </xdr:nvSpPr>
            <xdr:spPr>
              <a:xfrm>
                <a:off x="4998720" y="2555933"/>
                <a:ext cx="1395708" cy="27885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T_source,in = 28 C</a:t>
                </a:r>
              </a:p>
            </xdr:txBody>
          </xdr:sp>
          <xdr:sp macro="" textlink="">
            <xdr:nvSpPr>
              <xdr:cNvPr id="17" name="TextBox 22">
                <a:extLst>
                  <a:ext uri="{FF2B5EF4-FFF2-40B4-BE49-F238E27FC236}">
                    <a16:creationId xmlns:a16="http://schemas.microsoft.com/office/drawing/2014/main" id="{CE0F1F1D-F8DB-4D07-8300-9716D387F077}"/>
                  </a:ext>
                </a:extLst>
              </xdr:cNvPr>
              <xdr:cNvSpPr txBox="1"/>
            </xdr:nvSpPr>
            <xdr:spPr>
              <a:xfrm>
                <a:off x="4998720" y="3641019"/>
                <a:ext cx="1426464"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T_source,out = 17 C</a:t>
                </a:r>
              </a:p>
            </xdr:txBody>
          </xdr:sp>
        </xdr:grpSp>
      </xdr:grpSp>
      <xdr:sp macro="" textlink="">
        <xdr:nvSpPr>
          <xdr:cNvPr id="4" name="TextBox 3">
            <a:extLst>
              <a:ext uri="{FF2B5EF4-FFF2-40B4-BE49-F238E27FC236}">
                <a16:creationId xmlns:a16="http://schemas.microsoft.com/office/drawing/2014/main" id="{15CB80F5-BB31-408E-BE21-E0A619746E1D}"/>
              </a:ext>
            </a:extLst>
          </xdr:cNvPr>
          <xdr:cNvSpPr txBox="1"/>
        </xdr:nvSpPr>
        <xdr:spPr>
          <a:xfrm>
            <a:off x="14344650" y="2619376"/>
            <a:ext cx="408622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Assumed configuration:</a:t>
            </a:r>
            <a:r>
              <a:rPr lang="en-US" sz="1400" b="1" baseline="0"/>
              <a:t> HX followed by heat pump</a:t>
            </a:r>
            <a:endParaRPr lang="en-US" sz="1400" b="1"/>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esLab/Modelling/VEDA/VEDA_Models/TIMES-DK_TRA/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ex/Desktop/Kopi%20af%20alternativ_drivmiddelmodel_3.0_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vlse.sharepoint.com/VEDA/VEDA_Models/EMS/SubRES_TMPL/SubRes_ELC_Tech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VEDA/VEDA_Models/EMS/SubRES_TMPL/SubRes_ELC_Tech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olex/(%5e_%5e)/ResLab/Modelling/TIMES/TIMES-DK/SubRES_TMPL/SubRes_ELC_Plants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olex/(%5e_%5e)/ResLab/Modelling/TIMES/TIMES-DK/SubRES_TMPL/SubRes_ELC_Plants202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ivlse.sharepoint.com/VEDA/VEDA_Models/Denmark/TIMES-DK-DEA_ws2016/VT_DK_ELC_v1p1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ppXLS/Scen_SYS_SubAnnual_Data_Reduced-DH.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 val="HOU_EL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ELC_TechD"/>
      <sheetName val="ELC_ProcD"/>
      <sheetName val="Fuel"/>
      <sheetName val="O&amp;M waste and WIN "/>
    </sheetNames>
    <sheetDataSet>
      <sheetData sheetId="0"/>
      <sheetData sheetId="1"/>
      <sheetData sheetId="2"/>
      <sheetData sheetId="3"/>
      <sheetData sheetId="4">
        <row r="5">
          <cell r="E5">
            <v>0.29799999999999999</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TimeSlices"/>
      <sheetName val="ELC_AF-WinOn"/>
      <sheetName val="ELC_AF-WinNear"/>
      <sheetName val="ELC_AF-WinOff"/>
      <sheetName val="ELC_AF-Wav"/>
      <sheetName val="ELC_AF-PV"/>
      <sheetName val="ELC_AF-SOL"/>
      <sheetName val="RES_AF_BSOL_N"/>
      <sheetName val="SUP_Prices-NO"/>
      <sheetName val="SUP_Prices_TS-SE"/>
      <sheetName val="SUP_Prices_TS-DE"/>
      <sheetName val="SUP_Prices_TS-NL"/>
      <sheetName val="SUP_Prices_TS-UK"/>
      <sheetName val="RES_HSav_AF"/>
      <sheetName val="RES_HP_COP"/>
      <sheetName val="RES_DEM_FR"/>
      <sheetName val="ELC_HP_COP"/>
      <sheetName val="IND_HP_COP"/>
      <sheetName val="IND_AF"/>
      <sheetName val="IND_COM_FR"/>
      <sheetName val="LDC_HEAT"/>
      <sheetName val="EXH_COP"/>
      <sheetName val="TimeSeries"/>
      <sheetName val="Data_TS_Price"/>
      <sheetName val="AFA fak"/>
      <sheetName val="AF DATA"/>
      <sheetName val="FILL"/>
      <sheetName val="COPs"/>
      <sheetName val="COP D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
          <cell r="A6" t="str">
            <v>RWDA</v>
          </cell>
          <cell r="C6">
            <v>4.10958904109589E-3</v>
          </cell>
          <cell r="D6">
            <v>7.0368568450620284E-3</v>
          </cell>
          <cell r="E6">
            <v>0.77877242031144867</v>
          </cell>
          <cell r="F6">
            <v>0.8304802540259324</v>
          </cell>
          <cell r="G6">
            <v>0.9210015744607245</v>
          </cell>
          <cell r="H6">
            <v>0.93223097617415007</v>
          </cell>
          <cell r="I6">
            <v>3.8858746200769452E-3</v>
          </cell>
          <cell r="J6">
            <v>4.2752354145144771E-3</v>
          </cell>
          <cell r="K6">
            <v>4.4452098332249945E-3</v>
          </cell>
          <cell r="L6">
            <v>4.5209365948989432E-3</v>
          </cell>
          <cell r="M6">
            <v>4.7877136386355003E-3</v>
          </cell>
          <cell r="N6">
            <v>3.7373963633384353E-3</v>
          </cell>
          <cell r="O6">
            <v>3.791740624560047E-3</v>
          </cell>
          <cell r="P6">
            <v>3.791740624560047E-3</v>
          </cell>
          <cell r="Q6">
            <v>3.0027315305803204E-3</v>
          </cell>
          <cell r="R6">
            <v>3.2830372718914624E-3</v>
          </cell>
          <cell r="S6">
            <v>4.598662055639002E-3</v>
          </cell>
          <cell r="T6">
            <v>3.8024589557303836E-3</v>
          </cell>
        </row>
        <row r="7">
          <cell r="A7" t="str">
            <v>RWDC</v>
          </cell>
        </row>
        <row r="8">
          <cell r="A8" t="str">
            <v>RWDD</v>
          </cell>
        </row>
        <row r="9">
          <cell r="A9" t="str">
            <v>RWDB</v>
          </cell>
        </row>
        <row r="10">
          <cell r="A10" t="str">
            <v>RNWA</v>
          </cell>
        </row>
        <row r="11">
          <cell r="A11" t="str">
            <v>RNWC</v>
          </cell>
        </row>
        <row r="12">
          <cell r="A12" t="str">
            <v>RNWD</v>
          </cell>
        </row>
        <row r="13">
          <cell r="A13" t="str">
            <v>RNWB</v>
          </cell>
        </row>
        <row r="14">
          <cell r="A14" t="str">
            <v>SWDA</v>
          </cell>
        </row>
        <row r="15">
          <cell r="A15" t="str">
            <v>SWDC</v>
          </cell>
        </row>
        <row r="16">
          <cell r="A16" t="str">
            <v>SWDD</v>
          </cell>
        </row>
        <row r="17">
          <cell r="A17" t="str">
            <v>SWDB</v>
          </cell>
        </row>
        <row r="18">
          <cell r="A18" t="str">
            <v>SNWA</v>
          </cell>
        </row>
        <row r="19">
          <cell r="A19" t="str">
            <v>SNWC</v>
          </cell>
        </row>
        <row r="20">
          <cell r="A20" t="str">
            <v>SNWD</v>
          </cell>
        </row>
        <row r="21">
          <cell r="A21" t="str">
            <v>SNWB</v>
          </cell>
        </row>
        <row r="22">
          <cell r="A22" t="str">
            <v>FWDA</v>
          </cell>
        </row>
        <row r="23">
          <cell r="A23" t="str">
            <v>FWDC</v>
          </cell>
        </row>
        <row r="24">
          <cell r="A24" t="str">
            <v>FWDD</v>
          </cell>
        </row>
        <row r="25">
          <cell r="A25" t="str">
            <v>FWDB</v>
          </cell>
        </row>
        <row r="26">
          <cell r="A26" t="str">
            <v>FNWA</v>
          </cell>
        </row>
        <row r="27">
          <cell r="A27" t="str">
            <v>FNWC</v>
          </cell>
        </row>
        <row r="28">
          <cell r="A28" t="str">
            <v>FNWD</v>
          </cell>
        </row>
        <row r="29">
          <cell r="A29" t="str">
            <v>FNWB</v>
          </cell>
        </row>
        <row r="30">
          <cell r="A30" t="str">
            <v>WWDA</v>
          </cell>
        </row>
        <row r="31">
          <cell r="A31" t="str">
            <v>WWDC</v>
          </cell>
        </row>
        <row r="32">
          <cell r="A32" t="str">
            <v>WWDD</v>
          </cell>
        </row>
        <row r="33">
          <cell r="A33" t="str">
            <v>WWDB</v>
          </cell>
        </row>
        <row r="34">
          <cell r="A34" t="str">
            <v>WNWA</v>
          </cell>
        </row>
        <row r="35">
          <cell r="A35" t="str">
            <v>WNWC</v>
          </cell>
        </row>
        <row r="36">
          <cell r="A36" t="str">
            <v>WNWD</v>
          </cell>
        </row>
        <row r="37">
          <cell r="A37" t="str">
            <v>WNWB</v>
          </cell>
        </row>
      </sheetData>
      <sheetData sheetId="25" refreshError="1"/>
      <sheetData sheetId="26" refreshError="1"/>
      <sheetData sheetId="27" refreshError="1"/>
      <sheetData sheetId="28" refreshError="1"/>
      <sheetData sheetId="29">
        <row r="4">
          <cell r="D4">
            <v>1</v>
          </cell>
        </row>
      </sheetData>
      <sheetData sheetId="3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Hareas" connectionId="1" xr16:uid="{00000000-0016-0000-31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planenergi.dk/varmepumper/.%20Drejebog%20til%20store%20varmepumpeprojekter%20i%20fjernvarmesystemet,%202014.%20%5bOnline%5d" TargetMode="External"/><Relationship Id="rId2" Type="http://schemas.openxmlformats.org/officeDocument/2006/relationships/hyperlink" Target="http://www.planenergi.dk/varmepumper/.%20Drejebog%20til%20store%20varmepumpeprojekter%20i%20fjernvarmesystemet,%202014.%20%5bOnline%5d" TargetMode="External"/><Relationship Id="rId1" Type="http://schemas.openxmlformats.org/officeDocument/2006/relationships/hyperlink" Target="http://www.planenergi.dk/varmepumper/.%20Drejebog%20til%20store%20varmepumpeprojekter%20i%20fjernvarmesystemet,%202014.%20%5bOnline%5d"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planenergi.dk/varmepumper/" TargetMode="External"/><Relationship Id="rId1" Type="http://schemas.openxmlformats.org/officeDocument/2006/relationships/hyperlink" Target="http://www.planenergi.dk/varmepumper/"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sciencedirect.com/topics/engineering/partial-load"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50.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hyperlink" Target="https://www.seatemperature.org/europe/denmark/" TargetMode="External"/><Relationship Id="rId1" Type="http://schemas.openxmlformats.org/officeDocument/2006/relationships/hyperlink" Target="https://www.seatemperature.org/europe/denma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31"/>
  <sheetViews>
    <sheetView topLeftCell="D1" zoomScaleNormal="100" workbookViewId="0">
      <selection activeCell="E12" sqref="E12"/>
    </sheetView>
  </sheetViews>
  <sheetFormatPr defaultRowHeight="14.4"/>
  <cols>
    <col min="1" max="1" width="11.5546875" customWidth="1"/>
    <col min="2" max="2" width="24.21875" bestFit="1" customWidth="1"/>
    <col min="3" max="3" width="13.77734375" customWidth="1"/>
    <col min="4" max="4" width="19.77734375" customWidth="1"/>
    <col min="5" max="5" width="235" bestFit="1" customWidth="1"/>
  </cols>
  <sheetData>
    <row r="3" spans="1:5">
      <c r="A3" s="8" t="s">
        <v>501</v>
      </c>
      <c r="B3" s="8" t="s">
        <v>502</v>
      </c>
      <c r="C3" s="8" t="s">
        <v>503</v>
      </c>
      <c r="D3" s="8" t="s">
        <v>504</v>
      </c>
      <c r="E3" s="8" t="s">
        <v>505</v>
      </c>
    </row>
    <row r="4" spans="1:5" s="224" customFormat="1">
      <c r="A4" s="268">
        <v>44368</v>
      </c>
      <c r="B4" s="282" t="s">
        <v>664</v>
      </c>
      <c r="C4" s="8"/>
      <c r="D4" s="8"/>
      <c r="E4" s="282" t="s">
        <v>1953</v>
      </c>
    </row>
    <row r="5" spans="1:5" s="267" customFormat="1">
      <c r="A5" s="268">
        <v>43144</v>
      </c>
      <c r="B5" s="267" t="s">
        <v>506</v>
      </c>
      <c r="C5" s="267" t="s">
        <v>666</v>
      </c>
      <c r="D5" s="267" t="e">
        <f>ADDRESS(ROW(#REF!),COLUMN(#REF!),4,1)</f>
        <v>#REF!</v>
      </c>
      <c r="E5" s="267" t="s">
        <v>667</v>
      </c>
    </row>
    <row r="6" spans="1:5" s="267" customFormat="1">
      <c r="A6" s="268">
        <v>42958</v>
      </c>
      <c r="B6" s="267" t="s">
        <v>664</v>
      </c>
      <c r="C6" s="267" t="s">
        <v>131</v>
      </c>
      <c r="D6" s="267" t="str">
        <f>ADDRESS(ROW('Electric heating'!L39),COLUMN('Electric heating'!L39),4,1)&amp;":"&amp;ADDRESS(ROW('Electric heating'!Q42),COLUMN('Electric heating'!Q42),4,1)</f>
        <v>L39:Q42</v>
      </c>
      <c r="E6" s="267" t="s">
        <v>665</v>
      </c>
    </row>
    <row r="7" spans="1:5" s="224" customFormat="1">
      <c r="A7" s="268">
        <v>42593</v>
      </c>
      <c r="B7" s="282" t="s">
        <v>587</v>
      </c>
      <c r="C7" s="282" t="s">
        <v>557</v>
      </c>
      <c r="D7" s="282"/>
      <c r="E7" s="282" t="s">
        <v>624</v>
      </c>
    </row>
    <row r="8" spans="1:5" s="224" customFormat="1">
      <c r="A8" s="268">
        <v>42578</v>
      </c>
      <c r="B8" s="282" t="s">
        <v>587</v>
      </c>
      <c r="C8" s="282" t="s">
        <v>526</v>
      </c>
      <c r="D8" s="282"/>
      <c r="E8" s="282" t="s">
        <v>616</v>
      </c>
    </row>
    <row r="9" spans="1:5" s="224" customFormat="1">
      <c r="A9" s="268">
        <v>42572</v>
      </c>
      <c r="B9" s="282" t="s">
        <v>587</v>
      </c>
      <c r="C9" s="282" t="s">
        <v>526</v>
      </c>
      <c r="D9" s="282"/>
      <c r="E9" s="282" t="s">
        <v>609</v>
      </c>
    </row>
    <row r="10" spans="1:5" s="224" customFormat="1">
      <c r="A10" s="268">
        <v>42572</v>
      </c>
      <c r="B10" s="282" t="s">
        <v>587</v>
      </c>
      <c r="C10" s="282" t="s">
        <v>604</v>
      </c>
      <c r="D10" s="282"/>
      <c r="E10" s="282" t="s">
        <v>605</v>
      </c>
    </row>
    <row r="11" spans="1:5" s="224" customFormat="1">
      <c r="A11" s="268">
        <v>42536</v>
      </c>
      <c r="B11" s="282" t="s">
        <v>587</v>
      </c>
      <c r="C11" s="282" t="s">
        <v>543</v>
      </c>
      <c r="D11" s="282"/>
      <c r="E11" s="282" t="s">
        <v>603</v>
      </c>
    </row>
    <row r="12" spans="1:5" s="224" customFormat="1">
      <c r="A12" s="268">
        <v>42502</v>
      </c>
      <c r="B12" s="282" t="s">
        <v>587</v>
      </c>
      <c r="C12" s="282" t="s">
        <v>526</v>
      </c>
      <c r="D12" s="282"/>
      <c r="E12" s="282" t="s">
        <v>602</v>
      </c>
    </row>
    <row r="13" spans="1:5" s="224" customFormat="1">
      <c r="A13" s="268">
        <v>42501</v>
      </c>
      <c r="B13" s="282" t="s">
        <v>587</v>
      </c>
      <c r="C13" s="282" t="s">
        <v>526</v>
      </c>
      <c r="D13" s="282"/>
      <c r="E13" s="282" t="s">
        <v>601</v>
      </c>
    </row>
    <row r="14" spans="1:5" s="224" customFormat="1">
      <c r="A14" s="268">
        <v>42488</v>
      </c>
      <c r="B14" s="282" t="s">
        <v>587</v>
      </c>
      <c r="C14" s="282" t="s">
        <v>543</v>
      </c>
      <c r="D14" s="282" t="s">
        <v>598</v>
      </c>
      <c r="E14" s="282" t="s">
        <v>599</v>
      </c>
    </row>
    <row r="15" spans="1:5" s="224" customFormat="1">
      <c r="A15" s="268">
        <v>42487</v>
      </c>
      <c r="B15" s="282" t="s">
        <v>587</v>
      </c>
      <c r="C15" s="282" t="s">
        <v>526</v>
      </c>
      <c r="D15" s="282"/>
      <c r="E15" s="282" t="s">
        <v>596</v>
      </c>
    </row>
    <row r="16" spans="1:5" s="224" customFormat="1">
      <c r="A16" s="268">
        <v>42487</v>
      </c>
      <c r="B16" s="282" t="s">
        <v>587</v>
      </c>
      <c r="C16" s="282" t="s">
        <v>526</v>
      </c>
      <c r="D16" s="282" t="s">
        <v>595</v>
      </c>
      <c r="E16" s="282" t="s">
        <v>594</v>
      </c>
    </row>
    <row r="17" spans="1:5" s="224" customFormat="1">
      <c r="A17" s="268">
        <v>42487</v>
      </c>
      <c r="B17" s="282" t="s">
        <v>587</v>
      </c>
      <c r="C17" s="282" t="s">
        <v>526</v>
      </c>
      <c r="D17" s="282" t="s">
        <v>592</v>
      </c>
      <c r="E17" s="282" t="s">
        <v>593</v>
      </c>
    </row>
    <row r="18" spans="1:5" s="224" customFormat="1">
      <c r="A18" s="268">
        <v>42486</v>
      </c>
      <c r="B18" s="282" t="s">
        <v>587</v>
      </c>
      <c r="C18" s="282" t="s">
        <v>526</v>
      </c>
      <c r="D18" s="282" t="s">
        <v>591</v>
      </c>
      <c r="E18" s="282" t="s">
        <v>590</v>
      </c>
    </row>
    <row r="19" spans="1:5" s="282" customFormat="1">
      <c r="A19" s="268">
        <v>42486</v>
      </c>
      <c r="B19" s="282" t="s">
        <v>587</v>
      </c>
      <c r="C19" s="282" t="s">
        <v>526</v>
      </c>
      <c r="D19" s="282" t="s">
        <v>588</v>
      </c>
      <c r="E19" s="282" t="s">
        <v>589</v>
      </c>
    </row>
    <row r="20" spans="1:5" s="224" customFormat="1">
      <c r="A20" s="268">
        <v>42479</v>
      </c>
      <c r="B20" s="282" t="s">
        <v>529</v>
      </c>
      <c r="C20" s="282" t="s">
        <v>532</v>
      </c>
      <c r="D20" s="282"/>
      <c r="E20" s="282" t="s">
        <v>533</v>
      </c>
    </row>
    <row r="21" spans="1:5" s="224" customFormat="1">
      <c r="A21" s="268">
        <v>42479</v>
      </c>
      <c r="B21" s="282" t="s">
        <v>529</v>
      </c>
      <c r="C21" s="282" t="s">
        <v>530</v>
      </c>
      <c r="D21" s="282"/>
      <c r="E21" s="282" t="s">
        <v>531</v>
      </c>
    </row>
    <row r="22" spans="1:5" s="224" customFormat="1">
      <c r="A22" s="268">
        <v>42467</v>
      </c>
      <c r="B22" s="282" t="s">
        <v>525</v>
      </c>
      <c r="C22" s="282" t="s">
        <v>526</v>
      </c>
      <c r="D22" s="282" t="s">
        <v>528</v>
      </c>
      <c r="E22" s="282" t="s">
        <v>527</v>
      </c>
    </row>
    <row r="23" spans="1:5" s="267" customFormat="1">
      <c r="A23" s="268">
        <v>42261</v>
      </c>
      <c r="B23" s="267" t="s">
        <v>521</v>
      </c>
      <c r="C23" s="267" t="s">
        <v>522</v>
      </c>
      <c r="D23" s="267" t="e">
        <f>ADDRESS(ROW(#REF!),COLUMN(#REF!),4,1)</f>
        <v>#REF!</v>
      </c>
      <c r="E23" s="267" t="s">
        <v>523</v>
      </c>
    </row>
    <row r="24" spans="1:5" s="267" customFormat="1">
      <c r="A24" s="268">
        <v>42129</v>
      </c>
      <c r="B24" s="267" t="s">
        <v>516</v>
      </c>
      <c r="C24" s="267" t="s">
        <v>507</v>
      </c>
      <c r="D24" s="267" t="e">
        <f>ADDRESS(ROW(#REF!),COLUMN(#REF!),4,1)</f>
        <v>#REF!</v>
      </c>
      <c r="E24" s="267" t="s">
        <v>520</v>
      </c>
    </row>
    <row r="25" spans="1:5" s="267" customFormat="1">
      <c r="A25" s="268">
        <v>42129</v>
      </c>
      <c r="B25" s="267" t="s">
        <v>516</v>
      </c>
      <c r="C25" s="267" t="s">
        <v>517</v>
      </c>
      <c r="D25" s="267" t="e">
        <f>ADDRESS(ROW(#REF!),COLUMN(#REF!),4,1)</f>
        <v>#REF!</v>
      </c>
      <c r="E25" s="267" t="s">
        <v>519</v>
      </c>
    </row>
    <row r="26" spans="1:5" s="267" customFormat="1">
      <c r="A26" s="268">
        <v>42129</v>
      </c>
      <c r="B26" s="267" t="s">
        <v>516</v>
      </c>
      <c r="C26" s="267" t="s">
        <v>517</v>
      </c>
      <c r="D26" s="267" t="e">
        <f>ADDRESS(ROW(#REF!),COLUMN(#REF!),4,1)</f>
        <v>#REF!</v>
      </c>
      <c r="E26" s="267" t="s">
        <v>518</v>
      </c>
    </row>
    <row r="27" spans="1:5" s="267" customFormat="1">
      <c r="A27" s="268">
        <v>42074</v>
      </c>
      <c r="B27" s="267" t="s">
        <v>506</v>
      </c>
      <c r="C27" s="267" t="s">
        <v>507</v>
      </c>
      <c r="D27" s="267" t="e">
        <f>ADDRESS(ROW(#REF!),COLUMN(#REF!),4,1)&amp;","&amp;ADDRESS(ROW(#REF!),COLUMN(#REF!),4,1)&amp;","&amp;ADDRESS(ROW(#REF!),COLUMN(#REF!),4,1)&amp;","&amp;ADDRESS(ROW(#REF!),COLUMN(#REF!),4,1)</f>
        <v>#REF!</v>
      </c>
      <c r="E27" s="267" t="s">
        <v>508</v>
      </c>
    </row>
    <row r="28" spans="1:5">
      <c r="A28" s="269">
        <v>41841</v>
      </c>
      <c r="B28" s="224" t="s">
        <v>477</v>
      </c>
      <c r="C28" s="224" t="s">
        <v>479</v>
      </c>
      <c r="D28" s="224" t="s">
        <v>509</v>
      </c>
      <c r="E28" s="224" t="s">
        <v>510</v>
      </c>
    </row>
    <row r="29" spans="1:5">
      <c r="A29" s="269">
        <v>41841</v>
      </c>
      <c r="B29" s="224" t="s">
        <v>477</v>
      </c>
      <c r="C29" s="224" t="s">
        <v>478</v>
      </c>
      <c r="D29" s="224" t="s">
        <v>509</v>
      </c>
      <c r="E29" s="224" t="s">
        <v>510</v>
      </c>
    </row>
    <row r="30" spans="1:5">
      <c r="A30" s="269">
        <v>41802</v>
      </c>
      <c r="B30" s="224" t="s">
        <v>474</v>
      </c>
      <c r="C30" s="224" t="s">
        <v>476</v>
      </c>
      <c r="D30" s="224" t="s">
        <v>511</v>
      </c>
      <c r="E30" s="224" t="s">
        <v>513</v>
      </c>
    </row>
    <row r="31" spans="1:5">
      <c r="A31" s="269">
        <v>41802</v>
      </c>
      <c r="B31" s="224" t="s">
        <v>474</v>
      </c>
      <c r="C31" s="224" t="s">
        <v>475</v>
      </c>
      <c r="D31" s="74" t="s">
        <v>511</v>
      </c>
      <c r="E31" s="224" t="s">
        <v>512</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1">
    <tabColor theme="9"/>
  </sheetPr>
  <dimension ref="B1:D34"/>
  <sheetViews>
    <sheetView topLeftCell="A8" workbookViewId="0">
      <selection activeCell="C15" sqref="C15"/>
    </sheetView>
  </sheetViews>
  <sheetFormatPr defaultColWidth="9.21875" defaultRowHeight="13.8"/>
  <cols>
    <col min="1" max="1" width="9.21875" style="289"/>
    <col min="2" max="2" width="24" style="289" bestFit="1" customWidth="1"/>
    <col min="3" max="3" width="138.44140625" style="289" customWidth="1"/>
    <col min="4" max="16384" width="9.21875" style="289"/>
  </cols>
  <sheetData>
    <row r="1" spans="2:4" ht="18">
      <c r="B1" s="288" t="s">
        <v>534</v>
      </c>
    </row>
    <row r="3" spans="2:4" ht="14.4">
      <c r="B3" s="290" t="s">
        <v>535</v>
      </c>
      <c r="C3" s="289" t="s">
        <v>542</v>
      </c>
    </row>
    <row r="4" spans="2:4" ht="14.4">
      <c r="B4" s="290" t="s">
        <v>536</v>
      </c>
      <c r="C4" s="289" t="s">
        <v>544</v>
      </c>
    </row>
    <row r="5" spans="2:4" ht="14.4">
      <c r="B5" s="290"/>
    </row>
    <row r="6" spans="2:4" ht="14.4">
      <c r="B6" s="290" t="s">
        <v>537</v>
      </c>
      <c r="C6" s="289" t="s">
        <v>541</v>
      </c>
    </row>
    <row r="7" spans="2:4" ht="14.4">
      <c r="B7" s="290"/>
    </row>
    <row r="8" spans="2:4" ht="14.4">
      <c r="B8" s="291" t="s">
        <v>538</v>
      </c>
    </row>
    <row r="9" spans="2:4" ht="14.4">
      <c r="B9" s="290"/>
      <c r="D9" s="289" t="s">
        <v>672</v>
      </c>
    </row>
    <row r="10" spans="2:4" ht="14.4">
      <c r="B10" s="295" t="s">
        <v>539</v>
      </c>
      <c r="C10" s="292" t="s">
        <v>540</v>
      </c>
    </row>
    <row r="11" spans="2:4" ht="14.4">
      <c r="B11" s="294" t="s">
        <v>1940</v>
      </c>
      <c r="C11" s="292" t="s">
        <v>545</v>
      </c>
      <c r="D11" s="289" t="s">
        <v>1939</v>
      </c>
    </row>
    <row r="12" spans="2:4" ht="14.4">
      <c r="B12" s="293" t="s">
        <v>546</v>
      </c>
      <c r="C12" s="292" t="s">
        <v>564</v>
      </c>
    </row>
    <row r="13" spans="2:4" ht="14.4">
      <c r="B13" s="293" t="s">
        <v>37</v>
      </c>
      <c r="C13" s="292" t="s">
        <v>565</v>
      </c>
    </row>
    <row r="14" spans="2:4" ht="14.4">
      <c r="B14" s="293" t="s">
        <v>547</v>
      </c>
      <c r="C14" s="292" t="s">
        <v>566</v>
      </c>
    </row>
    <row r="15" spans="2:4" ht="14.4">
      <c r="B15" s="293" t="s">
        <v>548</v>
      </c>
      <c r="C15" s="292" t="s">
        <v>567</v>
      </c>
    </row>
    <row r="16" spans="2:4" ht="14.4">
      <c r="B16" s="293" t="s">
        <v>549</v>
      </c>
      <c r="C16" s="292" t="s">
        <v>568</v>
      </c>
    </row>
    <row r="17" spans="2:3" ht="14.4">
      <c r="B17" s="293" t="s">
        <v>550</v>
      </c>
      <c r="C17" s="292" t="s">
        <v>569</v>
      </c>
    </row>
    <row r="18" spans="2:3" ht="14.4">
      <c r="B18" s="293" t="s">
        <v>551</v>
      </c>
      <c r="C18" s="292" t="s">
        <v>570</v>
      </c>
    </row>
    <row r="19" spans="2:3" ht="14.4">
      <c r="B19" s="293" t="s">
        <v>93</v>
      </c>
      <c r="C19" s="292" t="s">
        <v>571</v>
      </c>
    </row>
    <row r="20" spans="2:3" ht="14.4">
      <c r="B20" s="293" t="s">
        <v>99</v>
      </c>
      <c r="C20" s="292" t="s">
        <v>572</v>
      </c>
    </row>
    <row r="21" spans="2:3" ht="14.4">
      <c r="B21" s="293" t="s">
        <v>552</v>
      </c>
      <c r="C21" s="292" t="s">
        <v>573</v>
      </c>
    </row>
    <row r="22" spans="2:3" ht="14.4">
      <c r="B22" s="293" t="s">
        <v>553</v>
      </c>
      <c r="C22" s="292" t="s">
        <v>574</v>
      </c>
    </row>
    <row r="23" spans="2:3" ht="14.4">
      <c r="B23" s="293" t="s">
        <v>554</v>
      </c>
      <c r="C23" s="292" t="s">
        <v>575</v>
      </c>
    </row>
    <row r="24" spans="2:3" ht="14.4">
      <c r="B24" s="293" t="s">
        <v>555</v>
      </c>
      <c r="C24" s="292" t="s">
        <v>576</v>
      </c>
    </row>
    <row r="25" spans="2:3" ht="14.4">
      <c r="B25" s="293" t="s">
        <v>556</v>
      </c>
      <c r="C25" s="292" t="s">
        <v>577</v>
      </c>
    </row>
    <row r="26" spans="2:3" ht="14.4">
      <c r="B26" s="293" t="s">
        <v>557</v>
      </c>
      <c r="C26" s="292" t="s">
        <v>578</v>
      </c>
    </row>
    <row r="27" spans="2:3" ht="14.4">
      <c r="B27" s="293" t="s">
        <v>117</v>
      </c>
      <c r="C27" s="292" t="s">
        <v>579</v>
      </c>
    </row>
    <row r="28" spans="2:3" ht="14.4">
      <c r="B28" s="293" t="s">
        <v>558</v>
      </c>
      <c r="C28" s="292" t="s">
        <v>580</v>
      </c>
    </row>
    <row r="29" spans="2:3" ht="14.4">
      <c r="B29" s="293" t="s">
        <v>559</v>
      </c>
      <c r="C29" s="289" t="s">
        <v>581</v>
      </c>
    </row>
    <row r="30" spans="2:3" ht="14.4">
      <c r="B30" s="293" t="s">
        <v>560</v>
      </c>
      <c r="C30" s="289" t="s">
        <v>582</v>
      </c>
    </row>
    <row r="31" spans="2:3" ht="14.4">
      <c r="B31" s="293" t="s">
        <v>561</v>
      </c>
      <c r="C31" s="289" t="s">
        <v>583</v>
      </c>
    </row>
    <row r="32" spans="2:3" ht="14.4">
      <c r="B32" s="293" t="s">
        <v>562</v>
      </c>
      <c r="C32" s="289" t="s">
        <v>584</v>
      </c>
    </row>
    <row r="33" spans="2:3" ht="14.4">
      <c r="B33" s="293" t="s">
        <v>563</v>
      </c>
      <c r="C33" s="289" t="s">
        <v>585</v>
      </c>
    </row>
    <row r="34" spans="2:3" ht="14.4">
      <c r="B34" s="293" t="s">
        <v>264</v>
      </c>
      <c r="C34" s="289" t="s">
        <v>586</v>
      </c>
    </row>
  </sheetData>
  <phoneticPr fontId="115" type="noConversion"/>
  <conditionalFormatting sqref="C3">
    <cfRule type="cellIs" dxfId="7" priority="1" operator="equal">
      <formula>"No"</formula>
    </cfRule>
    <cfRule type="cellIs" dxfId="6" priority="2" operator="equal">
      <formula>"Yes"</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sheetPr>
  <dimension ref="A1"/>
  <sheetViews>
    <sheetView workbookViewId="0">
      <selection activeCell="K32" sqref="K32"/>
    </sheetView>
  </sheetViews>
  <sheetFormatPr defaultRowHeight="14.4"/>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A6EB9-1C0C-4612-96EC-C815945AB094}">
  <dimension ref="B1:C4"/>
  <sheetViews>
    <sheetView workbookViewId="0">
      <selection activeCell="H17" sqref="H17"/>
    </sheetView>
  </sheetViews>
  <sheetFormatPr defaultRowHeight="14.4"/>
  <sheetData>
    <row r="1" spans="2:3">
      <c r="B1" t="s">
        <v>746</v>
      </c>
    </row>
    <row r="2" spans="2:3">
      <c r="B2" s="710" t="s">
        <v>973</v>
      </c>
    </row>
    <row r="3" spans="2:3">
      <c r="B3" s="710" t="s">
        <v>974</v>
      </c>
    </row>
    <row r="4" spans="2:3">
      <c r="C4" s="710" t="s">
        <v>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BBE3B-690C-49E3-BAF7-F1473A0CF8E8}">
  <sheetPr>
    <tabColor theme="6" tint="-0.249977111117893"/>
  </sheetPr>
  <dimension ref="A1:AP303"/>
  <sheetViews>
    <sheetView tabSelected="1" topLeftCell="A147" zoomScale="70" zoomScaleNormal="70" workbookViewId="0">
      <selection activeCell="S189" sqref="S189:T19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7" t="s">
        <v>978</v>
      </c>
      <c r="E1" s="728" t="s">
        <v>678</v>
      </c>
      <c r="N1" s="64"/>
      <c r="O1" s="64"/>
      <c r="P1" s="64"/>
      <c r="S1" s="726" t="s">
        <v>967</v>
      </c>
      <c r="T1" s="775" t="s">
        <v>966</v>
      </c>
      <c r="U1" s="774" t="s">
        <v>1015</v>
      </c>
      <c r="V1" s="775" t="s">
        <v>1016</v>
      </c>
      <c r="W1" s="779">
        <v>0.3</v>
      </c>
    </row>
    <row r="2" spans="2:42" ht="15" thickBot="1">
      <c r="E2" s="729" t="s">
        <v>515</v>
      </c>
      <c r="N2" s="730"/>
      <c r="O2" s="730"/>
      <c r="P2" s="730"/>
      <c r="S2" s="725">
        <f>MATCH($E$1,$AJ$22:$AJ$35)</f>
        <v>5</v>
      </c>
      <c r="T2" s="777">
        <f>MATCH($E$1,$AJ$22:$AJ$35)+1</f>
        <v>6</v>
      </c>
      <c r="U2" s="778"/>
      <c r="V2" s="767" t="s">
        <v>1017</v>
      </c>
      <c r="W2" s="780">
        <v>0.2</v>
      </c>
    </row>
    <row r="3" spans="2:42" ht="15" thickBot="1">
      <c r="N3" s="730"/>
      <c r="O3" s="730"/>
      <c r="P3" s="730"/>
      <c r="S3" s="767"/>
      <c r="T3" s="767"/>
      <c r="U3" s="776"/>
      <c r="V3" s="777" t="s">
        <v>1018</v>
      </c>
      <c r="W3" s="781">
        <v>0</v>
      </c>
    </row>
    <row r="4" spans="2:42">
      <c r="N4" s="730"/>
      <c r="O4" s="730"/>
      <c r="P4" s="730"/>
      <c r="S4" s="767"/>
      <c r="T4" s="767"/>
      <c r="U4" s="767"/>
      <c r="V4" s="767"/>
    </row>
    <row r="5" spans="2:42">
      <c r="J5" s="172" t="s">
        <v>468</v>
      </c>
      <c r="N5" s="730"/>
      <c r="O5" s="730"/>
      <c r="P5" s="730"/>
      <c r="S5" s="767"/>
      <c r="T5" s="767"/>
      <c r="U5" s="767"/>
      <c r="V5" s="767"/>
    </row>
    <row r="6" spans="2:42" ht="26.25" customHeight="1">
      <c r="B6" s="166" t="s">
        <v>977</v>
      </c>
      <c r="C6" s="46"/>
      <c r="D6" s="46" t="s">
        <v>425</v>
      </c>
      <c r="E6" s="46" t="s">
        <v>426</v>
      </c>
      <c r="F6" s="46" t="s">
        <v>668</v>
      </c>
      <c r="G6" s="46" t="s">
        <v>427</v>
      </c>
      <c r="H6" s="46" t="s">
        <v>428</v>
      </c>
      <c r="I6" s="770" t="s">
        <v>1011</v>
      </c>
      <c r="J6" s="46" t="s">
        <v>335</v>
      </c>
      <c r="K6" s="46" t="s">
        <v>336</v>
      </c>
      <c r="L6" s="47" t="s">
        <v>337</v>
      </c>
      <c r="M6" s="47" t="s">
        <v>1014</v>
      </c>
      <c r="N6" s="47" t="s">
        <v>339</v>
      </c>
      <c r="O6" s="48" t="s">
        <v>340</v>
      </c>
      <c r="P6" s="47" t="s">
        <v>341</v>
      </c>
      <c r="Q6" s="49" t="s">
        <v>342</v>
      </c>
      <c r="R6" s="49" t="s">
        <v>343</v>
      </c>
      <c r="S6" s="768" t="s">
        <v>344</v>
      </c>
      <c r="T6" s="769" t="s">
        <v>960</v>
      </c>
      <c r="U6" s="768" t="s">
        <v>1012</v>
      </c>
      <c r="V6" s="782" t="s">
        <v>1013</v>
      </c>
      <c r="W6" s="284"/>
      <c r="X6" s="280" t="str">
        <f>"FEMIS~"&amp;D298</f>
        <v>FEMIS~IADSOx</v>
      </c>
      <c r="Y6" s="280" t="str">
        <f>"FEMIS~"&amp;D299</f>
        <v>FEMIS~IADNOx</v>
      </c>
      <c r="Z6" s="280" t="str">
        <f>"FEMIS~"&amp;D300</f>
        <v>FEMIS~IADCH4</v>
      </c>
      <c r="AA6" s="280" t="str">
        <f>"FEMIS~"&amp;D301</f>
        <v>FEMIS~IADNO2</v>
      </c>
      <c r="AB6" s="280" t="str">
        <f>"FEMIS~"&amp;D302</f>
        <v>FEMIS~IADPM</v>
      </c>
      <c r="AC6" s="224" t="s">
        <v>424</v>
      </c>
      <c r="AD6" s="224" t="s">
        <v>1860</v>
      </c>
      <c r="AE6" s="47" t="s">
        <v>338</v>
      </c>
      <c r="AF6" s="221" t="s">
        <v>473</v>
      </c>
    </row>
    <row r="7" spans="2:42" ht="15" thickBot="1">
      <c r="B7" s="714"/>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6"/>
      <c r="D8" s="224" t="s">
        <v>451</v>
      </c>
      <c r="I8" s="356"/>
      <c r="J8" s="57"/>
      <c r="K8" s="57"/>
      <c r="L8" s="57"/>
      <c r="M8" s="57"/>
      <c r="N8" s="57"/>
      <c r="O8" s="57" t="s">
        <v>470</v>
      </c>
      <c r="P8" s="57" t="s">
        <v>471</v>
      </c>
      <c r="Q8" s="57" t="s">
        <v>472</v>
      </c>
      <c r="R8" s="57" t="s">
        <v>351</v>
      </c>
      <c r="S8" s="57" t="s">
        <v>351</v>
      </c>
      <c r="T8" s="57"/>
      <c r="U8" s="57"/>
      <c r="V8" s="783"/>
      <c r="W8" s="286"/>
      <c r="X8" s="57" t="s">
        <v>352</v>
      </c>
      <c r="Y8" s="57" t="s">
        <v>352</v>
      </c>
      <c r="Z8" s="57" t="s">
        <v>352</v>
      </c>
      <c r="AA8" s="57" t="s">
        <v>352</v>
      </c>
      <c r="AB8" s="57" t="s">
        <v>352</v>
      </c>
      <c r="AE8" s="57"/>
      <c r="AF8" s="220"/>
    </row>
    <row r="9" spans="2:42">
      <c r="B9" s="356" t="s">
        <v>961</v>
      </c>
      <c r="D9" s="212" t="str">
        <f>"AGR"&amp;RIGHT(H9,2)&amp;RIGHT(G9,3)&amp;"N"&amp;RIGHT(E9,1)</f>
        <v>AGRPHELCN1</v>
      </c>
      <c r="E9" s="261" t="str">
        <f>"Agriculture heating technology "&amp;$AJ$12&amp;" "&amp;RIGHT(H9,2)&amp;" - Heat pump utilizing waste heat - new 1"</f>
        <v>Agriculture heating technology Agriculture PH - Heat pump utilizing waste heat - new 1</v>
      </c>
      <c r="F9" s="224" t="s">
        <v>1107</v>
      </c>
      <c r="G9" s="173" t="s">
        <v>1941</v>
      </c>
      <c r="H9" s="174" t="str">
        <f>$AI$14</f>
        <v>AGDPH</v>
      </c>
      <c r="I9" s="173"/>
      <c r="J9" s="224">
        <f>AD9</f>
        <v>2020</v>
      </c>
      <c r="K9" s="81">
        <v>2030</v>
      </c>
      <c r="L9" s="332">
        <v>1</v>
      </c>
      <c r="M9" s="199">
        <f ca="1">VLOOKUP($AD9,INDIRECT("'"&amp;$B9&amp;"'!"&amp;"$P$39:$AD$42"),3,FALSE)</f>
        <v>4.4754761904761899</v>
      </c>
      <c r="N9" s="81">
        <f ca="1">VLOOKUP($AD9,INDIRECT("'"&amp;$B9&amp;"'!"&amp;"$P$39:$AD$42"),5,FALSE)</f>
        <v>20</v>
      </c>
      <c r="O9" s="722">
        <f ca="1">VLOOKUP($AD9,INDIRECT("'"&amp;$B9&amp;"'!"&amp;"$P$39:$AD$42"),6,FALSE)/1000</f>
        <v>5.4385000000000003</v>
      </c>
      <c r="P9" s="722">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7"/>
      <c r="X9" s="697">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6" t="s">
        <v>961</v>
      </c>
      <c r="D10" s="212"/>
      <c r="E10" s="261"/>
      <c r="G10" s="173" t="str">
        <f>$AI$20</f>
        <v>AGRGWH</v>
      </c>
      <c r="H10" s="174"/>
      <c r="I10" s="174"/>
      <c r="K10" s="81"/>
      <c r="L10" s="332"/>
      <c r="M10" s="199"/>
      <c r="N10" s="81"/>
      <c r="O10" s="722"/>
      <c r="P10" s="722"/>
      <c r="Q10" s="81"/>
      <c r="R10" s="200"/>
      <c r="S10" s="771"/>
      <c r="T10" s="771"/>
      <c r="U10" s="199">
        <f ca="1">1-U9</f>
        <v>0.77656008937596421</v>
      </c>
      <c r="V10" s="771"/>
      <c r="W10" s="297"/>
      <c r="X10" s="697"/>
      <c r="Y10" s="81"/>
      <c r="Z10" s="81"/>
      <c r="AA10" s="81"/>
      <c r="AB10" s="81"/>
      <c r="AC10" s="226"/>
      <c r="AD10" s="81"/>
      <c r="AE10" s="81"/>
      <c r="AF10" s="220"/>
    </row>
    <row r="11" spans="2:42">
      <c r="B11" s="356" t="s">
        <v>961</v>
      </c>
      <c r="D11" s="212"/>
      <c r="E11" s="212"/>
      <c r="G11" s="173" t="s">
        <v>1941</v>
      </c>
      <c r="H11" s="174" t="str">
        <f>$AI$14</f>
        <v>AGDPH</v>
      </c>
      <c r="I11" s="173"/>
      <c r="J11" s="224">
        <f>AD11</f>
        <v>2030</v>
      </c>
      <c r="K11" s="81"/>
      <c r="L11" s="332">
        <v>1</v>
      </c>
      <c r="M11" s="199">
        <f ca="1">VLOOKUP($AD11,INDIRECT("'"&amp;$B11&amp;"'!"&amp;"$P$39:$AD$42"),3,FALSE)</f>
        <v>4.5792982142857133</v>
      </c>
      <c r="N11" s="81"/>
      <c r="O11" s="722">
        <f ca="1">VLOOKUP($AD11,INDIRECT("'"&amp;$B11&amp;"'!"&amp;"$P$39:$AD$42"),6,FALSE)/1000</f>
        <v>4.8425000000000002</v>
      </c>
      <c r="P11" s="722">
        <f ca="1">VLOOKUP($AD11,INDIRECT("'"&amp;$B11&amp;"'!"&amp;"$P$39:$AD$42"),7,FALSE)/1000</f>
        <v>1.49E-2</v>
      </c>
      <c r="Q11" s="81">
        <f ca="1">VLOOKUP($AD11,INDIRECT("'"&amp;$B11&amp;"'!"&amp;"$P$39:$AD$42"),8,FALSE)</f>
        <v>6.6222222222222227</v>
      </c>
      <c r="R11" s="299"/>
      <c r="S11" s="299"/>
      <c r="T11" s="299"/>
      <c r="U11" s="199">
        <f ca="1">1/M11</f>
        <v>0.21837407244637849</v>
      </c>
      <c r="V11" s="199"/>
      <c r="W11" s="297"/>
      <c r="X11" s="697">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6" t="s">
        <v>961</v>
      </c>
      <c r="D12" s="212"/>
      <c r="E12" s="212"/>
      <c r="G12" s="173" t="str">
        <f>$AI$20</f>
        <v>AGRGWH</v>
      </c>
      <c r="H12" s="174"/>
      <c r="I12" s="174"/>
      <c r="K12" s="81"/>
      <c r="L12" s="332"/>
      <c r="M12" s="199"/>
      <c r="N12" s="81"/>
      <c r="O12" s="722"/>
      <c r="P12" s="722"/>
      <c r="Q12" s="81"/>
      <c r="R12" s="299"/>
      <c r="S12" s="299"/>
      <c r="T12" s="299"/>
      <c r="U12" s="199">
        <f ca="1">1-U11</f>
        <v>0.78162592755362148</v>
      </c>
      <c r="V12" s="299"/>
      <c r="W12" s="297"/>
      <c r="X12" s="697"/>
      <c r="Y12" s="81"/>
      <c r="Z12" s="81"/>
      <c r="AA12" s="81"/>
      <c r="AB12" s="81"/>
      <c r="AC12" s="226"/>
      <c r="AD12" s="81"/>
      <c r="AE12" s="81"/>
      <c r="AF12" s="220"/>
      <c r="AI12" s="224" t="s">
        <v>514</v>
      </c>
      <c r="AJ12" s="224" t="str">
        <f>E2</f>
        <v>Agriculture</v>
      </c>
    </row>
    <row r="13" spans="2:42">
      <c r="B13" s="356" t="s">
        <v>961</v>
      </c>
      <c r="D13" s="212"/>
      <c r="E13" s="212"/>
      <c r="G13" s="173" t="s">
        <v>1941</v>
      </c>
      <c r="H13" s="174" t="str">
        <f>$AI$14</f>
        <v>AGDPH</v>
      </c>
      <c r="I13" s="173"/>
      <c r="J13" s="224">
        <f>AD13</f>
        <v>2050</v>
      </c>
      <c r="K13" s="81"/>
      <c r="L13" s="332">
        <v>1</v>
      </c>
      <c r="M13" s="199">
        <f ca="1">VLOOKUP($AD13,INDIRECT("'"&amp;$B13&amp;"'!"&amp;"$P$39:$AD$42"),3,FALSE)</f>
        <v>4.7191030203571422</v>
      </c>
      <c r="N13" s="81"/>
      <c r="O13" s="722">
        <f ca="1">VLOOKUP($AD13,INDIRECT("'"&amp;$B13&amp;"'!"&amp;"$P$39:$AD$42"),6,FALSE)/1000</f>
        <v>4.3209999999999997</v>
      </c>
      <c r="P13" s="722">
        <f ca="1">VLOOKUP($AD13,INDIRECT("'"&amp;$B13&amp;"'!"&amp;"$P$39:$AD$42"),7,FALSE)/1000</f>
        <v>1.49E-2</v>
      </c>
      <c r="Q13" s="81">
        <f ca="1">VLOOKUP($AD13,INDIRECT("'"&amp;$B13&amp;"'!"&amp;"$P$39:$AD$42"),8,FALSE)</f>
        <v>6.4566666666666661</v>
      </c>
      <c r="R13" s="299"/>
      <c r="S13" s="299"/>
      <c r="T13" s="299"/>
      <c r="U13" s="199">
        <f ca="1">1/M13</f>
        <v>0.21190467673331698</v>
      </c>
      <c r="V13" s="199"/>
      <c r="W13" s="297"/>
      <c r="X13" s="697">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AGDPH</v>
      </c>
      <c r="AJ13" s="224" t="str">
        <f>AP14</f>
        <v>Agriculture Demand Heat High Temp. over 150C</v>
      </c>
      <c r="AO13" s="224" t="s">
        <v>1954</v>
      </c>
      <c r="AP13" s="224" t="s">
        <v>1108</v>
      </c>
    </row>
    <row r="14" spans="2:42">
      <c r="B14" s="356" t="s">
        <v>961</v>
      </c>
      <c r="D14" s="212"/>
      <c r="E14" s="212"/>
      <c r="G14" s="173" t="str">
        <f>$AI$20</f>
        <v>AGRGWH</v>
      </c>
      <c r="H14" s="174"/>
      <c r="I14" s="174"/>
      <c r="K14" s="81"/>
      <c r="L14" s="332"/>
      <c r="M14" s="199"/>
      <c r="N14" s="81"/>
      <c r="O14" s="722"/>
      <c r="P14" s="722"/>
      <c r="Q14" s="81"/>
      <c r="R14" s="299"/>
      <c r="S14" s="299"/>
      <c r="T14" s="299"/>
      <c r="U14" s="199">
        <f ca="1">1-U13</f>
        <v>0.78809532326668297</v>
      </c>
      <c r="V14" s="299"/>
      <c r="W14" s="297"/>
      <c r="X14" s="697"/>
      <c r="Y14" s="81"/>
      <c r="Z14" s="81"/>
      <c r="AA14" s="81"/>
      <c r="AB14" s="81"/>
      <c r="AC14" s="226"/>
      <c r="AD14" s="81"/>
      <c r="AE14" s="81"/>
      <c r="AF14" s="220"/>
      <c r="AI14" s="224" t="str">
        <f>AO13</f>
        <v>AGDPH</v>
      </c>
      <c r="AJ14" s="224" t="str">
        <f>AP13</f>
        <v>Agriculture Demand Heat Medium Temp. up to 150C</v>
      </c>
      <c r="AO14" s="224" t="s">
        <v>1954</v>
      </c>
      <c r="AP14" s="224" t="s">
        <v>1109</v>
      </c>
    </row>
    <row r="15" spans="2:42">
      <c r="B15" s="356" t="s">
        <v>961</v>
      </c>
      <c r="D15" s="212" t="str">
        <f>"AGR"&amp;RIGHT(H15,2)&amp;RIGHT(G15,3)&amp;"N"&amp;RIGHT(E15,1)</f>
        <v>AGRSHELCN1</v>
      </c>
      <c r="E15" s="261" t="str">
        <f>"Agriculture heating technology "&amp;$AJ$12&amp;" "&amp;RIGHT(H15,2)&amp;" - Heat pump utilizing waste heat - new 1"</f>
        <v>Agriculture heating technology Agriculture SH - Heat pump utilizing waste heat - new 1</v>
      </c>
      <c r="F15" s="224" t="s">
        <v>1107</v>
      </c>
      <c r="G15" s="173" t="s">
        <v>1941</v>
      </c>
      <c r="H15" s="174" t="str">
        <f>$AI$15</f>
        <v>AGDSH</v>
      </c>
      <c r="I15" s="174"/>
      <c r="J15" s="224">
        <f>AD15</f>
        <v>2020</v>
      </c>
      <c r="K15" s="81">
        <v>2030</v>
      </c>
      <c r="L15" s="332">
        <v>1</v>
      </c>
      <c r="M15" s="199">
        <f ca="1">VLOOKUP($AD15,INDIRECT("'"&amp;$B15&amp;"'!"&amp;"$P$39:$AD$42"),3,FALSE)</f>
        <v>4.4754761904761899</v>
      </c>
      <c r="N15" s="81">
        <f ca="1">VLOOKUP($AD15,INDIRECT("'"&amp;$B15&amp;"'!"&amp;"$P$39:$AD$42"),5,FALSE)</f>
        <v>20</v>
      </c>
      <c r="O15" s="722">
        <f ca="1">VLOOKUP($AD15,INDIRECT("'"&amp;$B15&amp;"'!"&amp;"$P$39:$AD$42"),6,FALSE)/1000</f>
        <v>5.4385000000000003</v>
      </c>
      <c r="P15" s="722">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7"/>
      <c r="X15" s="697">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AGDSH</v>
      </c>
      <c r="AJ15" s="224" t="str">
        <f>AP15</f>
        <v>Agriculture Demand Heat Room Heat</v>
      </c>
      <c r="AO15" s="224" t="s">
        <v>1955</v>
      </c>
      <c r="AP15" s="224" t="s">
        <v>1110</v>
      </c>
    </row>
    <row r="16" spans="2:42">
      <c r="B16" s="356" t="s">
        <v>961</v>
      </c>
      <c r="D16" s="212"/>
      <c r="E16" s="261"/>
      <c r="G16" s="173" t="str">
        <f>$AI$20</f>
        <v>AGRGWH</v>
      </c>
      <c r="H16" s="174"/>
      <c r="I16" s="174"/>
      <c r="K16" s="81"/>
      <c r="L16" s="332"/>
      <c r="M16" s="199"/>
      <c r="N16" s="81"/>
      <c r="O16" s="722"/>
      <c r="P16" s="722"/>
      <c r="Q16" s="81"/>
      <c r="R16" s="200"/>
      <c r="S16" s="771"/>
      <c r="T16" s="771"/>
      <c r="U16" s="199">
        <f ca="1">1-U15</f>
        <v>0.77656008937596421</v>
      </c>
      <c r="V16" s="771"/>
      <c r="W16" s="297"/>
      <c r="X16" s="697"/>
      <c r="Y16" s="81"/>
      <c r="Z16" s="81"/>
      <c r="AA16" s="81"/>
      <c r="AB16" s="81"/>
      <c r="AC16" s="226"/>
      <c r="AD16" s="81"/>
      <c r="AE16" s="81"/>
      <c r="AF16" s="220"/>
      <c r="AI16" s="224" t="str">
        <f>AO16</f>
        <v>AGDLA</v>
      </c>
      <c r="AJ16" s="224" t="str">
        <f t="shared" ref="AI16:AJ19" si="0">AP16</f>
        <v>Agriculture Demand Light</v>
      </c>
      <c r="AO16" s="224" t="s">
        <v>1956</v>
      </c>
      <c r="AP16" s="224" t="s">
        <v>1111</v>
      </c>
    </row>
    <row r="17" spans="2:42">
      <c r="B17" s="356" t="s">
        <v>961</v>
      </c>
      <c r="D17" s="212"/>
      <c r="E17" s="212"/>
      <c r="G17" s="173" t="s">
        <v>1941</v>
      </c>
      <c r="H17" s="174" t="str">
        <f>$AI$15</f>
        <v>AGDSH</v>
      </c>
      <c r="I17" s="174"/>
      <c r="J17" s="224">
        <f>AD17</f>
        <v>2030</v>
      </c>
      <c r="K17" s="81"/>
      <c r="L17" s="332">
        <v>1</v>
      </c>
      <c r="M17" s="199">
        <f ca="1">VLOOKUP($AD17,INDIRECT("'"&amp;$B17&amp;"'!"&amp;"$P$39:$AD$42"),3,FALSE)</f>
        <v>4.5792982142857133</v>
      </c>
      <c r="N17" s="81"/>
      <c r="O17" s="722">
        <f ca="1">VLOOKUP($AD17,INDIRECT("'"&amp;$B17&amp;"'!"&amp;"$P$39:$AD$42"),6,FALSE)/1000</f>
        <v>4.8425000000000002</v>
      </c>
      <c r="P17" s="722">
        <f ca="1">VLOOKUP($AD17,INDIRECT("'"&amp;$B17&amp;"'!"&amp;"$P$39:$AD$42"),7,FALSE)/1000</f>
        <v>1.49E-2</v>
      </c>
      <c r="Q17" s="81">
        <f ca="1">VLOOKUP($AD17,INDIRECT("'"&amp;$B17&amp;"'!"&amp;"$P$39:$AD$42"),8,FALSE)</f>
        <v>6.6222222222222227</v>
      </c>
      <c r="R17" s="299"/>
      <c r="S17" s="299"/>
      <c r="T17" s="299"/>
      <c r="U17" s="199">
        <f ca="1">1/M17</f>
        <v>0.21837407244637849</v>
      </c>
      <c r="V17" s="199"/>
      <c r="W17" s="297"/>
      <c r="X17" s="697">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AGDEM</v>
      </c>
      <c r="AJ17" s="224" t="str">
        <f t="shared" si="0"/>
        <v>Agriculture Demand Electric Motors</v>
      </c>
      <c r="AO17" s="224" t="s">
        <v>1957</v>
      </c>
      <c r="AP17" s="224" t="s">
        <v>1112</v>
      </c>
    </row>
    <row r="18" spans="2:42">
      <c r="B18" s="356" t="s">
        <v>961</v>
      </c>
      <c r="D18" s="212"/>
      <c r="E18" s="212"/>
      <c r="G18" s="173" t="str">
        <f>$AI$20</f>
        <v>AGRGWH</v>
      </c>
      <c r="H18" s="174"/>
      <c r="I18" s="174"/>
      <c r="K18" s="81"/>
      <c r="L18" s="332"/>
      <c r="M18" s="199"/>
      <c r="N18" s="81"/>
      <c r="O18" s="722"/>
      <c r="P18" s="722"/>
      <c r="Q18" s="81"/>
      <c r="R18" s="299"/>
      <c r="S18" s="299"/>
      <c r="T18" s="299"/>
      <c r="U18" s="199">
        <f ca="1">1-U17</f>
        <v>0.78162592755362148</v>
      </c>
      <c r="V18" s="299"/>
      <c r="W18" s="297"/>
      <c r="X18" s="697"/>
      <c r="Y18" s="81"/>
      <c r="Z18" s="81"/>
      <c r="AA18" s="81"/>
      <c r="AB18" s="81"/>
      <c r="AC18" s="226"/>
      <c r="AD18" s="81"/>
      <c r="AE18" s="81"/>
      <c r="AF18" s="220"/>
      <c r="AI18" s="224" t="str">
        <f t="shared" si="0"/>
        <v>AGDTF</v>
      </c>
      <c r="AJ18" s="224" t="str">
        <f t="shared" si="0"/>
        <v>Agriculture Demand Haulage Tractors, Trucks, Fishing boats, Forest machines</v>
      </c>
      <c r="AO18" s="224" t="s">
        <v>1958</v>
      </c>
      <c r="AP18" s="224" t="s">
        <v>1113</v>
      </c>
    </row>
    <row r="19" spans="2:42">
      <c r="B19" s="356" t="s">
        <v>961</v>
      </c>
      <c r="D19" s="212"/>
      <c r="E19" s="212"/>
      <c r="G19" s="173" t="s">
        <v>1941</v>
      </c>
      <c r="H19" s="174" t="str">
        <f>$AI$15</f>
        <v>AGDSH</v>
      </c>
      <c r="I19" s="174"/>
      <c r="J19" s="224">
        <f>AD19</f>
        <v>2050</v>
      </c>
      <c r="K19" s="81"/>
      <c r="L19" s="332">
        <v>1</v>
      </c>
      <c r="M19" s="199">
        <f ca="1">VLOOKUP($AD19,INDIRECT("'"&amp;$B19&amp;"'!"&amp;"$P$39:$AD$42"),3,FALSE)</f>
        <v>4.7191030203571422</v>
      </c>
      <c r="N19" s="81"/>
      <c r="O19" s="722">
        <f ca="1">VLOOKUP($AD19,INDIRECT("'"&amp;$B19&amp;"'!"&amp;"$P$39:$AD$42"),6,FALSE)/1000</f>
        <v>4.3209999999999997</v>
      </c>
      <c r="P19" s="722">
        <f ca="1">VLOOKUP($AD19,INDIRECT("'"&amp;$B19&amp;"'!"&amp;"$P$39:$AD$42"),7,FALSE)/1000</f>
        <v>1.49E-2</v>
      </c>
      <c r="Q19" s="81">
        <f ca="1">VLOOKUP($AD19,INDIRECT("'"&amp;$B19&amp;"'!"&amp;"$P$39:$AD$42"),8,FALSE)</f>
        <v>6.4566666666666661</v>
      </c>
      <c r="R19" s="299"/>
      <c r="S19" s="299"/>
      <c r="T19" s="299"/>
      <c r="U19" s="199">
        <f ca="1">1/M19</f>
        <v>0.21190467673331698</v>
      </c>
      <c r="V19" s="199"/>
      <c r="W19" s="297"/>
      <c r="X19" s="697">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AGDFL</v>
      </c>
      <c r="AJ19" s="224" t="str">
        <f>AP19</f>
        <v>Agriculture Demand Haulage Forklifts</v>
      </c>
      <c r="AO19" s="224" t="s">
        <v>1959</v>
      </c>
      <c r="AP19" s="224" t="s">
        <v>1114</v>
      </c>
    </row>
    <row r="20" spans="2:42">
      <c r="B20" s="356" t="s">
        <v>961</v>
      </c>
      <c r="D20" s="212"/>
      <c r="E20" s="212"/>
      <c r="G20" s="173" t="str">
        <f>$AI$20</f>
        <v>AGRGWH</v>
      </c>
      <c r="H20" s="174"/>
      <c r="I20" s="174"/>
      <c r="K20" s="81"/>
      <c r="L20" s="332"/>
      <c r="M20" s="199"/>
      <c r="N20" s="81"/>
      <c r="O20" s="722"/>
      <c r="P20" s="722"/>
      <c r="Q20" s="81"/>
      <c r="R20" s="299"/>
      <c r="S20" s="299"/>
      <c r="T20" s="299"/>
      <c r="U20" s="199">
        <f ca="1">1-U19</f>
        <v>0.78809532326668297</v>
      </c>
      <c r="V20" s="299"/>
      <c r="W20" s="297"/>
      <c r="X20" s="697"/>
      <c r="Y20" s="81"/>
      <c r="Z20" s="81"/>
      <c r="AA20" s="81"/>
      <c r="AB20" s="81"/>
      <c r="AC20" s="226"/>
      <c r="AD20" s="81"/>
      <c r="AE20" s="81"/>
      <c r="AF20" s="220"/>
      <c r="AI20" s="36" t="str">
        <f>"AGR"&amp;MID(AI19,2,1)&amp;"WH"</f>
        <v>AGRGWH</v>
      </c>
      <c r="AJ20" s="224" t="str">
        <f>$AJ$12&amp;" Agriculture Waste Heat"</f>
        <v>Agriculture Agriculture Waste Heat</v>
      </c>
    </row>
    <row r="21" spans="2:42">
      <c r="B21" s="356" t="s">
        <v>962</v>
      </c>
      <c r="D21" s="212" t="str">
        <f>"AGR"&amp;RIGHT(H21,2)&amp;RIGHT(G21,3)&amp;"N"&amp;RIGHT(E21,1)</f>
        <v>AGRPHELCN1</v>
      </c>
      <c r="E21" s="261" t="str">
        <f>"Agriculture heating technology "&amp;$AJ$12&amp;" "&amp;RIGHT(H21,2)&amp;" - Heat pump utilizing waste heat - new 1"</f>
        <v>Agriculture heating technology Agriculture PH - Heat pump utilizing waste heat - new 1</v>
      </c>
      <c r="F21" s="224" t="s">
        <v>1107</v>
      </c>
      <c r="G21" s="173" t="s">
        <v>1941</v>
      </c>
      <c r="H21" s="174" t="str">
        <f>$AI$14</f>
        <v>AGDPH</v>
      </c>
      <c r="I21" s="174"/>
      <c r="J21" s="224">
        <f t="shared" ref="J21" si="1">AD21</f>
        <v>2020</v>
      </c>
      <c r="K21" s="81">
        <v>2030</v>
      </c>
      <c r="L21" s="332">
        <v>1</v>
      </c>
      <c r="M21" s="199">
        <f ca="1">VLOOKUP($AD21,INDIRECT("'"&amp;$B21&amp;"'!"&amp;"$P$39:$AD$42"),3,FALSE)</f>
        <v>1.68</v>
      </c>
      <c r="N21" s="81">
        <f ca="1">VLOOKUP($AD21,INDIRECT("'"&amp;$B21&amp;"'!"&amp;"$P$39:$AD$42"),5,FALSE)</f>
        <v>20</v>
      </c>
      <c r="O21" s="722">
        <f ca="1">VLOOKUP($AD21,INDIRECT("'"&amp;$B21&amp;"'!"&amp;"$P$39:$AD$42"),6,FALSE)/1000</f>
        <v>4.1720000000000006</v>
      </c>
      <c r="P21" s="722">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7"/>
      <c r="X21" s="697">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1960</v>
      </c>
      <c r="AJ21" s="224" t="str">
        <f>AP21</f>
        <v>Agriculture Demand Cooling</v>
      </c>
      <c r="AO21" s="224" t="s">
        <v>1960</v>
      </c>
      <c r="AP21" s="224" t="s">
        <v>1961</v>
      </c>
    </row>
    <row r="22" spans="2:42">
      <c r="B22" s="356" t="s">
        <v>962</v>
      </c>
      <c r="D22" s="212"/>
      <c r="E22" s="261"/>
      <c r="G22" s="173" t="str">
        <f>$AI$20</f>
        <v>AGRGWH</v>
      </c>
      <c r="H22" s="174"/>
      <c r="I22" s="174"/>
      <c r="K22" s="81"/>
      <c r="L22" s="332"/>
      <c r="M22" s="199"/>
      <c r="N22" s="81"/>
      <c r="O22" s="722"/>
      <c r="P22" s="722"/>
      <c r="Q22" s="81"/>
      <c r="R22" s="200"/>
      <c r="S22" s="771"/>
      <c r="T22" s="771"/>
      <c r="U22" s="199">
        <f ca="1">1-U21</f>
        <v>0.40476190476190477</v>
      </c>
      <c r="V22" s="771"/>
      <c r="W22" s="297"/>
      <c r="X22" s="697"/>
      <c r="Y22" s="81"/>
      <c r="Z22" s="81"/>
      <c r="AA22" s="81"/>
      <c r="AB22" s="81"/>
      <c r="AC22" s="226"/>
      <c r="AD22" s="81"/>
      <c r="AE22" s="81"/>
      <c r="AF22" s="220"/>
      <c r="AI22" s="224">
        <v>1</v>
      </c>
    </row>
    <row r="23" spans="2:42">
      <c r="B23" s="356" t="s">
        <v>962</v>
      </c>
      <c r="D23" s="212"/>
      <c r="E23" s="212"/>
      <c r="G23" s="173" t="s">
        <v>1941</v>
      </c>
      <c r="H23" s="174" t="str">
        <f>$AI$14</f>
        <v>AGDPH</v>
      </c>
      <c r="I23" s="174"/>
      <c r="J23" s="224">
        <f t="shared" ref="J23" si="2">AD23</f>
        <v>2030</v>
      </c>
      <c r="K23" s="81"/>
      <c r="L23" s="332">
        <v>1</v>
      </c>
      <c r="M23" s="199">
        <f ca="1">VLOOKUP($AD23,INDIRECT("'"&amp;$B23&amp;"'!"&amp;"$P$39:$AD$42"),3,FALSE)</f>
        <v>1.69</v>
      </c>
      <c r="N23" s="81"/>
      <c r="O23" s="722">
        <f ca="1">VLOOKUP($AD23,INDIRECT("'"&amp;$B23&amp;"'!"&amp;"$P$39:$AD$42"),6,FALSE)/1000</f>
        <v>3.7995000000000001</v>
      </c>
      <c r="P23" s="722">
        <f ca="1">VLOOKUP($AD23,INDIRECT("'"&amp;$B23&amp;"'!"&amp;"$P$39:$AD$42"),7,FALSE)/1000</f>
        <v>1.49E-2</v>
      </c>
      <c r="Q23" s="81">
        <f ca="1">VLOOKUP($AD23,INDIRECT("'"&amp;$B23&amp;"'!"&amp;"$P$39:$AD$42"),8,FALSE)</f>
        <v>2.0694444444444446</v>
      </c>
      <c r="R23" s="299"/>
      <c r="S23" s="299"/>
      <c r="T23" s="299"/>
      <c r="U23" s="199">
        <f ca="1">1/M23</f>
        <v>0.59171597633136097</v>
      </c>
      <c r="V23" s="199"/>
      <c r="W23" s="297"/>
      <c r="X23" s="697">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6" t="s">
        <v>962</v>
      </c>
      <c r="D24" s="212"/>
      <c r="E24" s="212"/>
      <c r="G24" s="173" t="str">
        <f>$AI$20</f>
        <v>AGRGWH</v>
      </c>
      <c r="H24" s="174"/>
      <c r="I24" s="174"/>
      <c r="K24" s="81"/>
      <c r="L24" s="332"/>
      <c r="M24" s="199"/>
      <c r="N24" s="81"/>
      <c r="O24" s="722"/>
      <c r="P24" s="722"/>
      <c r="Q24" s="81"/>
      <c r="R24" s="299"/>
      <c r="S24" s="299"/>
      <c r="T24" s="299"/>
      <c r="U24" s="199">
        <f ca="1">1-U23</f>
        <v>0.40828402366863903</v>
      </c>
      <c r="V24" s="299"/>
      <c r="W24" s="297"/>
      <c r="X24" s="697"/>
      <c r="Y24" s="81"/>
      <c r="Z24" s="81"/>
      <c r="AA24" s="81"/>
      <c r="AB24" s="81"/>
      <c r="AC24" s="226"/>
      <c r="AD24" s="81"/>
      <c r="AE24" s="81"/>
      <c r="AF24" s="220"/>
      <c r="AI24" s="224">
        <v>3</v>
      </c>
    </row>
    <row r="25" spans="2:42" ht="14.55" customHeight="1">
      <c r="B25" s="356" t="s">
        <v>962</v>
      </c>
      <c r="D25" s="212"/>
      <c r="E25" s="212"/>
      <c r="G25" s="173" t="s">
        <v>1941</v>
      </c>
      <c r="H25" s="174" t="str">
        <f>$AI$14</f>
        <v>AGDPH</v>
      </c>
      <c r="I25" s="174"/>
      <c r="J25" s="224">
        <f t="shared" ref="J25" si="3">AD25</f>
        <v>2050</v>
      </c>
      <c r="K25" s="81"/>
      <c r="L25" s="332">
        <v>1</v>
      </c>
      <c r="M25" s="199">
        <f ca="1">VLOOKUP($AD25,INDIRECT("'"&amp;$B25&amp;"'!"&amp;"$P$39:$AD$42"),3,FALSE)</f>
        <v>1.71</v>
      </c>
      <c r="N25" s="81"/>
      <c r="O25" s="722">
        <f ca="1">VLOOKUP($AD25,INDIRECT("'"&amp;$B25&amp;"'!"&amp;"$P$39:$AD$42"),6,FALSE)/1000</f>
        <v>3.427</v>
      </c>
      <c r="P25" s="722">
        <f ca="1">VLOOKUP($AD25,INDIRECT("'"&amp;$B25&amp;"'!"&amp;"$P$39:$AD$42"),7,FALSE)/1000</f>
        <v>1.49E-2</v>
      </c>
      <c r="Q25" s="81">
        <f ca="1">VLOOKUP($AD25,INDIRECT("'"&amp;$B25&amp;"'!"&amp;"$P$39:$AD$42"),8,FALSE)</f>
        <v>2.0487500000000001</v>
      </c>
      <c r="R25" s="299"/>
      <c r="S25" s="299"/>
      <c r="T25" s="299"/>
      <c r="U25" s="199">
        <f ca="1">1/M25</f>
        <v>0.58479532163742687</v>
      </c>
      <c r="V25" s="199"/>
      <c r="W25" s="297"/>
      <c r="X25" s="697">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6" t="s">
        <v>962</v>
      </c>
      <c r="D26" s="212"/>
      <c r="E26" s="212"/>
      <c r="G26" s="173" t="str">
        <f>$AI$20</f>
        <v>AGRGWH</v>
      </c>
      <c r="H26" s="174"/>
      <c r="I26" s="174"/>
      <c r="K26" s="81"/>
      <c r="L26" s="332"/>
      <c r="M26" s="199"/>
      <c r="N26" s="81"/>
      <c r="O26" s="722"/>
      <c r="P26" s="722"/>
      <c r="Q26" s="81"/>
      <c r="R26" s="299"/>
      <c r="S26" s="299"/>
      <c r="T26" s="299"/>
      <c r="U26" s="199">
        <f ca="1">1-U25</f>
        <v>0.41520467836257313</v>
      </c>
      <c r="V26" s="299"/>
      <c r="W26" s="297"/>
      <c r="X26" s="697"/>
      <c r="Y26" s="81"/>
      <c r="Z26" s="81"/>
      <c r="AA26" s="81"/>
      <c r="AB26" s="81"/>
      <c r="AC26" s="226"/>
      <c r="AD26" s="81"/>
      <c r="AE26" s="81"/>
      <c r="AF26" s="220"/>
      <c r="AI26" s="224">
        <v>5</v>
      </c>
      <c r="AJ26" s="224" t="s">
        <v>678</v>
      </c>
    </row>
    <row r="27" spans="2:42">
      <c r="B27" s="356" t="s">
        <v>962</v>
      </c>
      <c r="D27" s="212" t="str">
        <f>"AGR"&amp;RIGHT(H27,2)&amp;RIGHT(G27,3)&amp;"N"&amp;RIGHT(E27,1)</f>
        <v>AGRSHELCN1</v>
      </c>
      <c r="E27" s="261" t="str">
        <f>"Agriculture heating technology "&amp;$AJ$12&amp;" "&amp;RIGHT(H27,2)&amp;" - Heat pump utilizing waste heat - new 1"</f>
        <v>Agriculture heating technology Agriculture SH - Heat pump utilizing waste heat - new 1</v>
      </c>
      <c r="F27" s="224" t="s">
        <v>1107</v>
      </c>
      <c r="G27" s="173" t="s">
        <v>1941</v>
      </c>
      <c r="H27" s="174" t="str">
        <f>$AI$15</f>
        <v>AGDSH</v>
      </c>
      <c r="I27" s="174"/>
      <c r="J27" s="224">
        <f t="shared" ref="J27" si="4">AD27</f>
        <v>2020</v>
      </c>
      <c r="K27" s="81">
        <v>2030</v>
      </c>
      <c r="L27" s="332">
        <v>1</v>
      </c>
      <c r="M27" s="199">
        <f ca="1">VLOOKUP($AD27,INDIRECT("'"&amp;$B27&amp;"'!"&amp;"$P$39:$AD$42"),3,FALSE)</f>
        <v>1.68</v>
      </c>
      <c r="N27" s="81">
        <f ca="1">VLOOKUP($AD27,INDIRECT("'"&amp;$B27&amp;"'!"&amp;"$P$39:$AD$42"),5,FALSE)</f>
        <v>20</v>
      </c>
      <c r="O27" s="722">
        <f ca="1">VLOOKUP($AD27,INDIRECT("'"&amp;$B27&amp;"'!"&amp;"$P$39:$AD$42"),6,FALSE)/1000</f>
        <v>4.1720000000000006</v>
      </c>
      <c r="P27" s="722">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7"/>
      <c r="X27" s="697">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6" t="s">
        <v>962</v>
      </c>
      <c r="D28" s="212"/>
      <c r="E28" s="261"/>
      <c r="G28" s="173" t="str">
        <f>$AI$20</f>
        <v>AGRGWH</v>
      </c>
      <c r="H28" s="174"/>
      <c r="I28" s="174"/>
      <c r="K28" s="81"/>
      <c r="L28" s="332"/>
      <c r="M28" s="199"/>
      <c r="N28" s="81"/>
      <c r="O28" s="722"/>
      <c r="P28" s="722"/>
      <c r="Q28" s="81"/>
      <c r="R28" s="200"/>
      <c r="S28" s="771"/>
      <c r="T28" s="771"/>
      <c r="U28" s="199">
        <f ca="1">1-U27</f>
        <v>0.40476190476190477</v>
      </c>
      <c r="V28" s="771"/>
      <c r="W28" s="297"/>
      <c r="X28" s="697"/>
      <c r="Y28" s="81"/>
      <c r="Z28" s="81"/>
      <c r="AA28" s="81"/>
      <c r="AB28" s="81"/>
      <c r="AD28" s="81"/>
      <c r="AE28" s="81"/>
      <c r="AF28" s="220"/>
      <c r="AI28" s="224">
        <v>7</v>
      </c>
      <c r="AJ28" s="224" t="s">
        <v>679</v>
      </c>
    </row>
    <row r="29" spans="2:42">
      <c r="B29" s="356" t="s">
        <v>962</v>
      </c>
      <c r="D29" s="212"/>
      <c r="E29" s="212"/>
      <c r="G29" s="173" t="s">
        <v>1941</v>
      </c>
      <c r="H29" s="174" t="str">
        <f>$AI$15</f>
        <v>AGDSH</v>
      </c>
      <c r="I29" s="174"/>
      <c r="J29" s="224">
        <f t="shared" ref="J29" si="5">AD29</f>
        <v>2030</v>
      </c>
      <c r="K29" s="81"/>
      <c r="L29" s="332">
        <v>1</v>
      </c>
      <c r="M29" s="199">
        <f ca="1">VLOOKUP($AD29,INDIRECT("'"&amp;$B29&amp;"'!"&amp;"$P$39:$AD$42"),3,FALSE)</f>
        <v>1.69</v>
      </c>
      <c r="N29" s="81"/>
      <c r="O29" s="722">
        <f ca="1">VLOOKUP($AD29,INDIRECT("'"&amp;$B29&amp;"'!"&amp;"$P$39:$AD$42"),6,FALSE)/1000</f>
        <v>3.7995000000000001</v>
      </c>
      <c r="P29" s="722">
        <f ca="1">VLOOKUP($AD29,INDIRECT("'"&amp;$B29&amp;"'!"&amp;"$P$39:$AD$42"),7,FALSE)/1000</f>
        <v>1.49E-2</v>
      </c>
      <c r="Q29" s="81">
        <f ca="1">VLOOKUP($AD29,INDIRECT("'"&amp;$B29&amp;"'!"&amp;"$P$39:$AD$42"),8,FALSE)</f>
        <v>2.0694444444444446</v>
      </c>
      <c r="R29" s="299"/>
      <c r="S29" s="299"/>
      <c r="T29" s="299"/>
      <c r="U29" s="199">
        <f ca="1">1/M29</f>
        <v>0.59171597633136097</v>
      </c>
      <c r="V29" s="199"/>
      <c r="W29" s="297"/>
      <c r="X29" s="697">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6" t="s">
        <v>962</v>
      </c>
      <c r="D30" s="212"/>
      <c r="E30" s="212"/>
      <c r="G30" s="173" t="str">
        <f>$AI$20</f>
        <v>AGRGWH</v>
      </c>
      <c r="H30" s="174"/>
      <c r="I30" s="174"/>
      <c r="K30" s="81"/>
      <c r="L30" s="332"/>
      <c r="M30" s="199"/>
      <c r="N30" s="81"/>
      <c r="O30" s="722"/>
      <c r="P30" s="722"/>
      <c r="Q30" s="81"/>
      <c r="R30" s="299"/>
      <c r="S30" s="299"/>
      <c r="T30" s="299"/>
      <c r="U30" s="199">
        <f ca="1">1-U29</f>
        <v>0.40828402366863903</v>
      </c>
      <c r="V30" s="299"/>
      <c r="W30" s="297"/>
      <c r="X30" s="697"/>
      <c r="Y30" s="81"/>
      <c r="Z30" s="81"/>
      <c r="AA30" s="81"/>
      <c r="AB30" s="81"/>
      <c r="AD30" s="81"/>
      <c r="AE30" s="81"/>
      <c r="AF30" s="220"/>
      <c r="AI30" s="224">
        <v>9</v>
      </c>
      <c r="AJ30" s="224" t="s">
        <v>680</v>
      </c>
    </row>
    <row r="31" spans="2:42">
      <c r="B31" s="356" t="s">
        <v>962</v>
      </c>
      <c r="D31" s="212"/>
      <c r="E31" s="212"/>
      <c r="G31" s="173" t="s">
        <v>1941</v>
      </c>
      <c r="H31" s="174" t="str">
        <f>$AI$15</f>
        <v>AGDSH</v>
      </c>
      <c r="I31" s="174"/>
      <c r="J31" s="224">
        <f t="shared" ref="J31" si="6">AD31</f>
        <v>2050</v>
      </c>
      <c r="K31" s="81"/>
      <c r="L31" s="332">
        <v>1</v>
      </c>
      <c r="M31" s="199">
        <f ca="1">VLOOKUP($AD31,INDIRECT("'"&amp;$B31&amp;"'!"&amp;"$P$39:$AD$42"),3,FALSE)</f>
        <v>1.71</v>
      </c>
      <c r="N31" s="81"/>
      <c r="O31" s="722">
        <f ca="1">VLOOKUP($AD31,INDIRECT("'"&amp;$B31&amp;"'!"&amp;"$P$39:$AD$42"),6,FALSE)/1000</f>
        <v>3.427</v>
      </c>
      <c r="P31" s="722">
        <f ca="1">VLOOKUP($AD31,INDIRECT("'"&amp;$B31&amp;"'!"&amp;"$P$39:$AD$42"),7,FALSE)/1000</f>
        <v>1.49E-2</v>
      </c>
      <c r="Q31" s="81">
        <f ca="1">VLOOKUP($AD31,INDIRECT("'"&amp;$B31&amp;"'!"&amp;"$P$39:$AD$42"),8,FALSE)</f>
        <v>2.0487500000000001</v>
      </c>
      <c r="R31" s="299"/>
      <c r="S31" s="299"/>
      <c r="T31" s="299"/>
      <c r="U31" s="199">
        <f ca="1">1/M31</f>
        <v>0.58479532163742687</v>
      </c>
      <c r="V31" s="199"/>
      <c r="W31" s="297"/>
      <c r="X31" s="697">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6" t="s">
        <v>962</v>
      </c>
      <c r="D32" s="212"/>
      <c r="E32" s="212"/>
      <c r="G32" s="173" t="str">
        <f>$AI$20</f>
        <v>AGRGWH</v>
      </c>
      <c r="H32" s="174"/>
      <c r="I32" s="174"/>
      <c r="K32" s="81"/>
      <c r="L32" s="332"/>
      <c r="M32" s="199"/>
      <c r="N32" s="81"/>
      <c r="O32" s="722"/>
      <c r="P32" s="722"/>
      <c r="Q32" s="81"/>
      <c r="R32" s="299"/>
      <c r="S32" s="299"/>
      <c r="T32" s="299"/>
      <c r="U32" s="199">
        <f ca="1">1-U31</f>
        <v>0.41520467836257313</v>
      </c>
      <c r="V32" s="299"/>
      <c r="W32" s="297"/>
      <c r="X32" s="697"/>
      <c r="Y32" s="81"/>
      <c r="Z32" s="81"/>
      <c r="AA32" s="81"/>
      <c r="AB32" s="81"/>
      <c r="AD32" s="81"/>
      <c r="AE32" s="81"/>
      <c r="AF32" s="220"/>
      <c r="AI32" s="224">
        <v>11</v>
      </c>
      <c r="AJ32" s="224" t="s">
        <v>681</v>
      </c>
    </row>
    <row r="33" spans="2:36">
      <c r="B33" s="356" t="s">
        <v>963</v>
      </c>
      <c r="D33" s="212" t="str">
        <f>"AGR"&amp;RIGHT(H33,2)&amp;RIGHT(G33,3)&amp;"N"&amp;RIGHT(E33,1)</f>
        <v>AGRPHELCN1</v>
      </c>
      <c r="E33" s="261" t="str">
        <f>"Agriculture heating technology "&amp;$AJ$12&amp;" "&amp;RIGHT(H33,2)&amp;" - Heat pump utilizing waste heat - new 1"</f>
        <v>Agriculture heating technology Agriculture PH - Heat pump utilizing waste heat - new 1</v>
      </c>
      <c r="F33" s="224" t="s">
        <v>1107</v>
      </c>
      <c r="G33" s="173" t="s">
        <v>1941</v>
      </c>
      <c r="H33" s="174" t="str">
        <f>$AI$14</f>
        <v>AGDPH</v>
      </c>
      <c r="I33" s="174"/>
      <c r="J33" s="224">
        <f t="shared" ref="J33" si="7">AD33</f>
        <v>2020</v>
      </c>
      <c r="K33" s="81">
        <v>2030</v>
      </c>
      <c r="L33" s="332">
        <v>1</v>
      </c>
      <c r="M33" s="199">
        <f ca="1">VLOOKUP($AD33,INDIRECT("'"&amp;$B33&amp;"'!"&amp;"$P$39:$AD$42"),3,FALSE)</f>
        <v>2.75</v>
      </c>
      <c r="N33" s="81">
        <f ca="1">VLOOKUP($AD33,INDIRECT("'"&amp;$B33&amp;"'!"&amp;"$P$39:$AD$42"),5,FALSE)</f>
        <v>20</v>
      </c>
      <c r="O33" s="722">
        <f ca="1">VLOOKUP($AD33,INDIRECT("'"&amp;$B33&amp;"'!"&amp;"$P$39:$AD$42"),6,FALSE)/1000</f>
        <v>7.1394840000000004</v>
      </c>
      <c r="P33" s="722">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7"/>
      <c r="X33" s="697">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6" t="s">
        <v>963</v>
      </c>
      <c r="D34" s="212"/>
      <c r="E34" s="261"/>
      <c r="G34" s="173" t="str">
        <f>$AI$20</f>
        <v>AGRGWH</v>
      </c>
      <c r="H34" s="174"/>
      <c r="I34" s="174"/>
      <c r="K34" s="81"/>
      <c r="L34" s="332"/>
      <c r="M34" s="199"/>
      <c r="N34" s="81"/>
      <c r="O34" s="722"/>
      <c r="P34" s="722"/>
      <c r="Q34" s="81"/>
      <c r="R34" s="200"/>
      <c r="S34" s="771"/>
      <c r="T34" s="771"/>
      <c r="U34" s="199">
        <f ca="1">1-U33</f>
        <v>0.63636363636363635</v>
      </c>
      <c r="V34" s="771"/>
      <c r="W34" s="297"/>
      <c r="X34" s="697"/>
      <c r="Y34" s="81"/>
      <c r="Z34" s="81"/>
      <c r="AA34" s="81"/>
      <c r="AB34" s="81"/>
      <c r="AD34" s="81"/>
      <c r="AE34" s="81"/>
      <c r="AF34" s="220"/>
      <c r="AI34" s="224">
        <v>13</v>
      </c>
      <c r="AJ34" s="224" t="s">
        <v>682</v>
      </c>
    </row>
    <row r="35" spans="2:36">
      <c r="B35" s="356" t="s">
        <v>963</v>
      </c>
      <c r="D35" s="212"/>
      <c r="E35" s="212"/>
      <c r="G35" s="173" t="s">
        <v>1941</v>
      </c>
      <c r="H35" s="174" t="str">
        <f>$AI$14</f>
        <v>AGDPH</v>
      </c>
      <c r="I35" s="174"/>
      <c r="J35" s="224">
        <f t="shared" ref="J35" si="8">AD35</f>
        <v>2030</v>
      </c>
      <c r="K35" s="81"/>
      <c r="L35" s="332">
        <v>1</v>
      </c>
      <c r="M35" s="199">
        <f ca="1">VLOOKUP($AD35,INDIRECT("'"&amp;$B35&amp;"'!"&amp;"$P$39:$AD$42"),3,FALSE)</f>
        <v>2.875</v>
      </c>
      <c r="N35" s="81"/>
      <c r="O35" s="722">
        <f ca="1">VLOOKUP($AD35,INDIRECT("'"&amp;$B35&amp;"'!"&amp;"$P$39:$AD$42"),6,FALSE)/1000</f>
        <v>6.3822660000000013</v>
      </c>
      <c r="P35" s="722">
        <f ca="1">VLOOKUP($AD35,INDIRECT("'"&amp;$B35&amp;"'!"&amp;"$P$39:$AD$42"),7,FALSE)/1000</f>
        <v>6.4814999999999994E-3</v>
      </c>
      <c r="Q35" s="81">
        <f ca="1">VLOOKUP($AD35,INDIRECT("'"&amp;$B35&amp;"'!"&amp;"$P$39:$AD$42"),8,FALSE)</f>
        <v>6.6222222222222227</v>
      </c>
      <c r="R35" s="299"/>
      <c r="S35" s="299"/>
      <c r="T35" s="299"/>
      <c r="U35" s="199">
        <f ca="1">1/M35</f>
        <v>0.34782608695652173</v>
      </c>
      <c r="V35" s="199"/>
      <c r="W35" s="297"/>
      <c r="X35" s="697">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6" t="s">
        <v>963</v>
      </c>
      <c r="D36" s="212"/>
      <c r="E36" s="212"/>
      <c r="G36" s="173" t="str">
        <f>$AI$20</f>
        <v>AGRGWH</v>
      </c>
      <c r="H36" s="174"/>
      <c r="I36" s="174"/>
      <c r="K36" s="81"/>
      <c r="L36" s="332"/>
      <c r="M36" s="199"/>
      <c r="N36" s="81"/>
      <c r="O36" s="722"/>
      <c r="P36" s="722"/>
      <c r="Q36" s="81"/>
      <c r="R36" s="299"/>
      <c r="S36" s="299"/>
      <c r="T36" s="299"/>
      <c r="U36" s="199">
        <f ca="1">1-U35</f>
        <v>0.65217391304347827</v>
      </c>
      <c r="V36" s="299"/>
      <c r="W36" s="297"/>
      <c r="X36" s="697"/>
      <c r="Y36" s="81"/>
      <c r="Z36" s="81"/>
      <c r="AA36" s="81"/>
      <c r="AB36" s="81"/>
      <c r="AD36" s="81"/>
      <c r="AE36" s="81"/>
      <c r="AF36" s="220"/>
    </row>
    <row r="37" spans="2:36">
      <c r="B37" s="356" t="s">
        <v>963</v>
      </c>
      <c r="D37" s="212"/>
      <c r="E37" s="212"/>
      <c r="G37" s="173" t="s">
        <v>1941</v>
      </c>
      <c r="H37" s="174" t="str">
        <f>$AI$14</f>
        <v>AGDPH</v>
      </c>
      <c r="I37" s="174"/>
      <c r="J37" s="224">
        <f t="shared" ref="J37" si="9">AD37</f>
        <v>2050</v>
      </c>
      <c r="K37" s="81"/>
      <c r="L37" s="332">
        <v>1</v>
      </c>
      <c r="M37" s="199">
        <f ca="1">VLOOKUP($AD37,INDIRECT("'"&amp;$B37&amp;"'!"&amp;"$P$39:$AD$42"),3,FALSE)</f>
        <v>3.0249999999999999</v>
      </c>
      <c r="N37" s="81"/>
      <c r="O37" s="722">
        <f ca="1">VLOOKUP($AD37,INDIRECT("'"&amp;$B37&amp;"'!"&amp;"$P$39:$AD$42"),6,FALSE)/1000</f>
        <v>5.7365000000000004</v>
      </c>
      <c r="P37" s="722">
        <f ca="1">VLOOKUP($AD37,INDIRECT("'"&amp;$B37&amp;"'!"&amp;"$P$39:$AD$42"),7,FALSE)/1000</f>
        <v>5.3639999999999998E-3</v>
      </c>
      <c r="Q37" s="81">
        <f ca="1">VLOOKUP($AD37,INDIRECT("'"&amp;$B37&amp;"'!"&amp;"$P$39:$AD$42"),8,FALSE)</f>
        <v>6.4566666666666661</v>
      </c>
      <c r="R37" s="299"/>
      <c r="S37" s="299"/>
      <c r="T37" s="299"/>
      <c r="U37" s="199">
        <f ca="1">1/M37</f>
        <v>0.33057851239669422</v>
      </c>
      <c r="V37" s="199"/>
      <c r="W37" s="297"/>
      <c r="X37" s="697">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6" t="s">
        <v>963</v>
      </c>
      <c r="D38" s="212"/>
      <c r="E38" s="212"/>
      <c r="G38" s="173" t="str">
        <f>$AI$20</f>
        <v>AGRGWH</v>
      </c>
      <c r="H38" s="174"/>
      <c r="I38" s="174"/>
      <c r="K38" s="81"/>
      <c r="L38" s="332"/>
      <c r="M38" s="199"/>
      <c r="N38" s="81"/>
      <c r="O38" s="722"/>
      <c r="P38" s="722"/>
      <c r="Q38" s="81"/>
      <c r="R38" s="299"/>
      <c r="S38" s="299"/>
      <c r="T38" s="299"/>
      <c r="U38" s="199">
        <f ca="1">1-U37</f>
        <v>0.66942148760330578</v>
      </c>
      <c r="V38" s="299"/>
      <c r="W38" s="297"/>
      <c r="X38" s="697"/>
      <c r="Y38" s="81"/>
      <c r="Z38" s="81"/>
      <c r="AA38" s="81"/>
      <c r="AB38" s="81"/>
      <c r="AD38" s="81"/>
      <c r="AE38" s="81"/>
      <c r="AF38" s="220"/>
    </row>
    <row r="39" spans="2:36">
      <c r="B39" s="356" t="s">
        <v>963</v>
      </c>
      <c r="D39" s="212" t="str">
        <f>"AGR"&amp;RIGHT(H39,2)&amp;RIGHT(G39,3)&amp;"N"&amp;RIGHT(E39,1)</f>
        <v>AGRSHELCN1</v>
      </c>
      <c r="E39" s="261" t="str">
        <f>"Agriculture heating technology "&amp;$AJ$12&amp;" "&amp;RIGHT(H39,2)&amp;" - Heat pump utilizing waste heat - new 1"</f>
        <v>Agriculture heating technology Agriculture SH - Heat pump utilizing waste heat - new 1</v>
      </c>
      <c r="F39" s="224" t="s">
        <v>1107</v>
      </c>
      <c r="G39" s="173" t="s">
        <v>1941</v>
      </c>
      <c r="H39" s="174" t="str">
        <f>$AI$15</f>
        <v>AGDSH</v>
      </c>
      <c r="I39" s="174"/>
      <c r="J39" s="224">
        <f t="shared" ref="J39" si="10">AD39</f>
        <v>2020</v>
      </c>
      <c r="K39" s="81">
        <v>2030</v>
      </c>
      <c r="L39" s="332">
        <v>1</v>
      </c>
      <c r="M39" s="199">
        <f ca="1">VLOOKUP($AD39,INDIRECT("'"&amp;$B39&amp;"'!"&amp;"$P$39:$AD$42"),3,FALSE)</f>
        <v>2.75</v>
      </c>
      <c r="N39" s="81">
        <f ca="1">VLOOKUP($AD39,INDIRECT("'"&amp;$B39&amp;"'!"&amp;"$P$39:$AD$42"),5,FALSE)</f>
        <v>20</v>
      </c>
      <c r="O39" s="722">
        <f ca="1">VLOOKUP($AD39,INDIRECT("'"&amp;$B39&amp;"'!"&amp;"$P$39:$AD$42"),6,FALSE)/1000</f>
        <v>7.1394840000000004</v>
      </c>
      <c r="P39" s="722">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7"/>
      <c r="X39" s="697">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6" t="s">
        <v>963</v>
      </c>
      <c r="D40" s="212"/>
      <c r="E40" s="261"/>
      <c r="G40" s="173" t="str">
        <f>$AI$20</f>
        <v>AGRGWH</v>
      </c>
      <c r="H40" s="174"/>
      <c r="I40" s="174"/>
      <c r="K40" s="81"/>
      <c r="L40" s="332"/>
      <c r="M40" s="199"/>
      <c r="N40" s="81"/>
      <c r="O40" s="722"/>
      <c r="P40" s="722"/>
      <c r="Q40" s="81"/>
      <c r="R40" s="200"/>
      <c r="S40" s="771"/>
      <c r="T40" s="771"/>
      <c r="U40" s="199">
        <f ca="1">1-U39</f>
        <v>0.63636363636363635</v>
      </c>
      <c r="V40" s="771"/>
      <c r="W40" s="297"/>
      <c r="X40" s="697"/>
      <c r="Y40" s="81"/>
      <c r="Z40" s="81"/>
      <c r="AA40" s="81"/>
      <c r="AB40" s="81"/>
      <c r="AD40" s="81"/>
      <c r="AE40" s="81"/>
      <c r="AF40" s="220"/>
    </row>
    <row r="41" spans="2:36">
      <c r="B41" s="356" t="s">
        <v>963</v>
      </c>
      <c r="D41" s="212"/>
      <c r="E41" s="212"/>
      <c r="G41" s="173" t="s">
        <v>1941</v>
      </c>
      <c r="H41" s="174" t="str">
        <f>$AI$15</f>
        <v>AGDSH</v>
      </c>
      <c r="I41" s="174"/>
      <c r="J41" s="224">
        <f t="shared" ref="J41" si="11">AD41</f>
        <v>2030</v>
      </c>
      <c r="K41" s="81"/>
      <c r="L41" s="332">
        <v>1</v>
      </c>
      <c r="M41" s="199">
        <f ca="1">VLOOKUP($AD41,INDIRECT("'"&amp;$B41&amp;"'!"&amp;"$P$39:$AD$42"),3,FALSE)</f>
        <v>2.875</v>
      </c>
      <c r="N41" s="81"/>
      <c r="O41" s="722">
        <f ca="1">VLOOKUP($AD41,INDIRECT("'"&amp;$B41&amp;"'!"&amp;"$P$39:$AD$42"),6,FALSE)/1000</f>
        <v>6.3822660000000013</v>
      </c>
      <c r="P41" s="722">
        <f ca="1">VLOOKUP($AD41,INDIRECT("'"&amp;$B41&amp;"'!"&amp;"$P$39:$AD$42"),7,FALSE)/1000</f>
        <v>6.4814999999999994E-3</v>
      </c>
      <c r="Q41" s="81">
        <f ca="1">VLOOKUP($AD41,INDIRECT("'"&amp;$B41&amp;"'!"&amp;"$P$39:$AD$42"),8,FALSE)</f>
        <v>6.6222222222222227</v>
      </c>
      <c r="R41" s="299"/>
      <c r="S41" s="299"/>
      <c r="T41" s="299"/>
      <c r="U41" s="199">
        <f ca="1">1/M41</f>
        <v>0.34782608695652173</v>
      </c>
      <c r="V41" s="199"/>
      <c r="W41" s="297"/>
      <c r="X41" s="697">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6" t="s">
        <v>963</v>
      </c>
      <c r="D42" s="212"/>
      <c r="E42" s="212"/>
      <c r="G42" s="173" t="str">
        <f>$AI$20</f>
        <v>AGRGWH</v>
      </c>
      <c r="H42" s="174"/>
      <c r="I42" s="174"/>
      <c r="K42" s="81"/>
      <c r="L42" s="332"/>
      <c r="M42" s="199"/>
      <c r="N42" s="81"/>
      <c r="O42" s="722"/>
      <c r="P42" s="722"/>
      <c r="Q42" s="81"/>
      <c r="R42" s="299"/>
      <c r="S42" s="299"/>
      <c r="T42" s="299"/>
      <c r="U42" s="199">
        <f ca="1">1-U41</f>
        <v>0.65217391304347827</v>
      </c>
      <c r="V42" s="299"/>
      <c r="W42" s="297"/>
      <c r="X42" s="697"/>
      <c r="Y42" s="81"/>
      <c r="Z42" s="81"/>
      <c r="AA42" s="81"/>
      <c r="AB42" s="81"/>
      <c r="AD42" s="81"/>
      <c r="AE42" s="81"/>
      <c r="AF42" s="220"/>
    </row>
    <row r="43" spans="2:36">
      <c r="B43" s="356" t="s">
        <v>963</v>
      </c>
      <c r="D43" s="212"/>
      <c r="E43" s="212"/>
      <c r="G43" s="173" t="s">
        <v>1941</v>
      </c>
      <c r="H43" s="174" t="str">
        <f>$AI$15</f>
        <v>AGDSH</v>
      </c>
      <c r="I43" s="174"/>
      <c r="J43" s="224">
        <f t="shared" ref="J43" si="12">AD43</f>
        <v>2050</v>
      </c>
      <c r="K43" s="81"/>
      <c r="L43" s="332">
        <v>1</v>
      </c>
      <c r="M43" s="199">
        <f ca="1">VLOOKUP($AD43,INDIRECT("'"&amp;$B43&amp;"'!"&amp;"$P$39:$AD$42"),3,FALSE)</f>
        <v>3.0249999999999999</v>
      </c>
      <c r="N43" s="81"/>
      <c r="O43" s="722">
        <f ca="1">VLOOKUP($AD43,INDIRECT("'"&amp;$B43&amp;"'!"&amp;"$P$39:$AD$42"),6,FALSE)/1000</f>
        <v>5.7365000000000004</v>
      </c>
      <c r="P43" s="722">
        <f ca="1">VLOOKUP($AD43,INDIRECT("'"&amp;$B43&amp;"'!"&amp;"$P$39:$AD$42"),7,FALSE)/1000</f>
        <v>5.3639999999999998E-3</v>
      </c>
      <c r="Q43" s="81">
        <f ca="1">VLOOKUP($AD43,INDIRECT("'"&amp;$B43&amp;"'!"&amp;"$P$39:$AD$42"),8,FALSE)</f>
        <v>6.4566666666666661</v>
      </c>
      <c r="R43" s="299"/>
      <c r="S43" s="299"/>
      <c r="T43" s="299"/>
      <c r="U43" s="199">
        <f ca="1">1/M43</f>
        <v>0.33057851239669422</v>
      </c>
      <c r="V43" s="199"/>
      <c r="W43" s="297"/>
      <c r="X43" s="697">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6" t="s">
        <v>963</v>
      </c>
      <c r="D44" s="212"/>
      <c r="E44" s="212"/>
      <c r="G44" s="173" t="str">
        <f>$AI$20</f>
        <v>AGRGWH</v>
      </c>
      <c r="H44" s="174"/>
      <c r="I44" s="174"/>
      <c r="K44" s="81"/>
      <c r="L44" s="332"/>
      <c r="M44" s="199"/>
      <c r="N44" s="81"/>
      <c r="O44" s="722"/>
      <c r="P44" s="722"/>
      <c r="Q44" s="81"/>
      <c r="R44" s="299"/>
      <c r="S44" s="299"/>
      <c r="T44" s="299"/>
      <c r="U44" s="199">
        <f ca="1">1-U43</f>
        <v>0.66942148760330578</v>
      </c>
      <c r="V44" s="299"/>
      <c r="W44" s="297"/>
      <c r="X44" s="697"/>
      <c r="Y44" s="81"/>
      <c r="Z44" s="81"/>
      <c r="AA44" s="81"/>
      <c r="AB44" s="81"/>
      <c r="AD44" s="81"/>
      <c r="AE44" s="81"/>
      <c r="AF44" s="220"/>
    </row>
    <row r="45" spans="2:36">
      <c r="B45" s="356" t="s">
        <v>964</v>
      </c>
      <c r="D45" s="212" t="str">
        <f>"AGR"&amp;RIGHT(H45,2)&amp;RIGHT(G45,3)&amp;"N"&amp;RIGHT(E45,1)</f>
        <v>AGRPHELCN1</v>
      </c>
      <c r="E45" s="261" t="str">
        <f>"Agriculture heating technology "&amp;$AJ$12&amp;" "&amp;RIGHT(H45,2)&amp;" - Heat pump utilizing waste heat - new 1"</f>
        <v>Agriculture heating technology Agriculture PH - Heat pump utilizing waste heat - new 1</v>
      </c>
      <c r="F45" s="224" t="s">
        <v>1107</v>
      </c>
      <c r="G45" s="173" t="s">
        <v>1941</v>
      </c>
      <c r="H45" s="174" t="str">
        <f>$AI$14</f>
        <v>AGDPH</v>
      </c>
      <c r="I45" s="174"/>
      <c r="J45" s="224">
        <f t="shared" ref="J45" si="13">AD45</f>
        <v>2020</v>
      </c>
      <c r="K45" s="81">
        <v>2030</v>
      </c>
      <c r="L45" s="332">
        <v>1</v>
      </c>
      <c r="M45" s="199">
        <f ca="1">VLOOKUP($AD45,INDIRECT("'"&amp;$B45&amp;"'!"&amp;"$P$39:$AD$42"),3,FALSE)</f>
        <v>1.93</v>
      </c>
      <c r="N45" s="81">
        <f ca="1">VLOOKUP($AD45,INDIRECT("'"&amp;$B45&amp;"'!"&amp;"$P$39:$AD$42"),5,FALSE)</f>
        <v>20</v>
      </c>
      <c r="O45" s="722">
        <f ca="1">VLOOKUP($AD45,INDIRECT("'"&amp;$B45&amp;"'!"&amp;"$P$39:$AD$42"),6,FALSE)/1000</f>
        <v>12.158890687341184</v>
      </c>
      <c r="P45" s="722">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7"/>
      <c r="X45" s="697">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6" t="s">
        <v>964</v>
      </c>
      <c r="D46" s="212"/>
      <c r="E46" s="261"/>
      <c r="G46" s="173" t="str">
        <f>$AI$20</f>
        <v>AGRGWH</v>
      </c>
      <c r="H46" s="174"/>
      <c r="I46" s="174"/>
      <c r="K46" s="81"/>
      <c r="L46" s="332"/>
      <c r="M46" s="199"/>
      <c r="N46" s="81"/>
      <c r="O46" s="722"/>
      <c r="P46" s="722"/>
      <c r="Q46" s="81"/>
      <c r="R46" s="200"/>
      <c r="S46" s="771"/>
      <c r="T46" s="771"/>
      <c r="U46" s="199">
        <f ca="1">1-U45</f>
        <v>0.4818652849740932</v>
      </c>
      <c r="V46" s="771"/>
      <c r="W46" s="297"/>
      <c r="X46" s="697"/>
      <c r="Y46" s="81"/>
      <c r="Z46" s="81"/>
      <c r="AA46" s="81"/>
      <c r="AB46" s="81"/>
      <c r="AD46" s="81"/>
      <c r="AE46" s="81"/>
      <c r="AF46" s="220"/>
    </row>
    <row r="47" spans="2:36">
      <c r="B47" s="356" t="s">
        <v>964</v>
      </c>
      <c r="D47" s="212"/>
      <c r="E47" s="212"/>
      <c r="G47" s="173" t="s">
        <v>1941</v>
      </c>
      <c r="H47" s="174" t="str">
        <f>$AI$14</f>
        <v>AGDPH</v>
      </c>
      <c r="I47" s="174"/>
      <c r="J47" s="224">
        <f t="shared" ref="J47" si="14">AD47</f>
        <v>2030</v>
      </c>
      <c r="K47" s="81"/>
      <c r="L47" s="332">
        <v>1</v>
      </c>
      <c r="M47" s="199">
        <f ca="1">VLOOKUP($AD47,INDIRECT("'"&amp;$B47&amp;"'!"&amp;"$P$39:$AD$42"),3,FALSE)</f>
        <v>1.9894000000000001</v>
      </c>
      <c r="N47" s="81"/>
      <c r="O47" s="722">
        <f ca="1">VLOOKUP($AD47,INDIRECT("'"&amp;$B47&amp;"'!"&amp;"$P$39:$AD$42"),6,FALSE)/1000</f>
        <v>9.8570539139933757</v>
      </c>
      <c r="P47" s="722">
        <f ca="1">VLOOKUP($AD47,INDIRECT("'"&amp;$B47&amp;"'!"&amp;"$P$39:$AD$42"),7,FALSE)/1000</f>
        <v>1.49E-2</v>
      </c>
      <c r="Q47" s="81">
        <f ca="1">VLOOKUP($AD47,INDIRECT("'"&amp;$B47&amp;"'!"&amp;"$P$39:$AD$42"),8,FALSE)</f>
        <v>6.9740277777777777</v>
      </c>
      <c r="R47" s="299"/>
      <c r="S47" s="299"/>
      <c r="T47" s="299"/>
      <c r="U47" s="199">
        <f ca="1">1/M47</f>
        <v>0.50266411983512616</v>
      </c>
      <c r="V47" s="199"/>
      <c r="W47" s="297"/>
      <c r="X47" s="697">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6" t="s">
        <v>964</v>
      </c>
      <c r="D48" s="212"/>
      <c r="E48" s="212"/>
      <c r="G48" s="173" t="str">
        <f>$AI$20</f>
        <v>AGRGWH</v>
      </c>
      <c r="H48" s="174"/>
      <c r="I48" s="174"/>
      <c r="K48" s="81"/>
      <c r="L48" s="332"/>
      <c r="M48" s="199"/>
      <c r="N48" s="81"/>
      <c r="O48" s="722"/>
      <c r="P48" s="722"/>
      <c r="Q48" s="81"/>
      <c r="R48" s="299"/>
      <c r="S48" s="299"/>
      <c r="T48" s="299"/>
      <c r="U48" s="199">
        <f ca="1">1-U47</f>
        <v>0.49733588016487384</v>
      </c>
      <c r="V48" s="299"/>
      <c r="W48" s="297"/>
      <c r="X48" s="697"/>
      <c r="Y48" s="81"/>
      <c r="Z48" s="81"/>
      <c r="AA48" s="81"/>
      <c r="AB48" s="81"/>
      <c r="AD48" s="81"/>
      <c r="AE48" s="81"/>
      <c r="AF48" s="220"/>
    </row>
    <row r="49" spans="2:32">
      <c r="B49" s="356" t="s">
        <v>964</v>
      </c>
      <c r="D49" s="212"/>
      <c r="E49" s="212"/>
      <c r="G49" s="173" t="s">
        <v>1941</v>
      </c>
      <c r="H49" s="174" t="str">
        <f>$AI$14</f>
        <v>AGDPH</v>
      </c>
      <c r="I49" s="174"/>
      <c r="J49" s="224">
        <f t="shared" ref="J49" si="15">AD49</f>
        <v>2050</v>
      </c>
      <c r="K49" s="81"/>
      <c r="L49" s="332">
        <v>1</v>
      </c>
      <c r="M49" s="199">
        <f ca="1">VLOOKUP($AD49,INDIRECT("'"&amp;$B49&amp;"'!"&amp;"$P$39:$AD$42"),3,FALSE)</f>
        <v>2.0509898799999999</v>
      </c>
      <c r="N49" s="81"/>
      <c r="O49" s="722">
        <f ca="1">VLOOKUP($AD49,INDIRECT("'"&amp;$B49&amp;"'!"&amp;"$P$39:$AD$42"),6,FALSE)/1000</f>
        <v>6.955935359434223</v>
      </c>
      <c r="P49" s="722">
        <f ca="1">VLOOKUP($AD49,INDIRECT("'"&amp;$B49&amp;"'!"&amp;"$P$39:$AD$42"),7,FALSE)/1000</f>
        <v>1.49E-2</v>
      </c>
      <c r="Q49" s="81">
        <f ca="1">VLOOKUP($AD49,INDIRECT("'"&amp;$B49&amp;"'!"&amp;"$P$39:$AD$42"),8,FALSE)</f>
        <v>6.7877777777777784</v>
      </c>
      <c r="R49" s="299"/>
      <c r="S49" s="299"/>
      <c r="T49" s="299"/>
      <c r="U49" s="199">
        <f ca="1">1/M49</f>
        <v>0.48756944622271858</v>
      </c>
      <c r="V49" s="199"/>
      <c r="W49" s="297"/>
      <c r="X49" s="697">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6" t="s">
        <v>964</v>
      </c>
      <c r="D50" s="212"/>
      <c r="E50" s="212"/>
      <c r="G50" s="173" t="str">
        <f>$AI$20</f>
        <v>AGRGWH</v>
      </c>
      <c r="H50" s="174"/>
      <c r="I50" s="174"/>
      <c r="K50" s="81"/>
      <c r="L50" s="332"/>
      <c r="M50" s="199"/>
      <c r="N50" s="81"/>
      <c r="O50" s="722"/>
      <c r="P50" s="722"/>
      <c r="Q50" s="81"/>
      <c r="R50" s="299"/>
      <c r="S50" s="299"/>
      <c r="T50" s="299"/>
      <c r="U50" s="199">
        <f ca="1">1-U49</f>
        <v>0.51243055377728142</v>
      </c>
      <c r="V50" s="299"/>
      <c r="W50" s="297"/>
      <c r="X50" s="697"/>
      <c r="Y50" s="81"/>
      <c r="Z50" s="81"/>
      <c r="AA50" s="81"/>
      <c r="AB50" s="81"/>
      <c r="AD50" s="81"/>
      <c r="AE50" s="81"/>
      <c r="AF50" s="220"/>
    </row>
    <row r="51" spans="2:32">
      <c r="B51" s="356" t="s">
        <v>964</v>
      </c>
      <c r="D51" s="212" t="str">
        <f>"AGR"&amp;RIGHT(H51,2)&amp;RIGHT(G51,3)&amp;"N"&amp;RIGHT(E51,1)</f>
        <v>AGRSHELCN1</v>
      </c>
      <c r="E51" s="261" t="str">
        <f>"Agriculture heating technology "&amp;$AJ$12&amp;" "&amp;RIGHT(H51,2)&amp;" - Heat pump utilizing waste heat - new 1"</f>
        <v>Agriculture heating technology Agriculture SH - Heat pump utilizing waste heat - new 1</v>
      </c>
      <c r="F51" s="224" t="s">
        <v>1107</v>
      </c>
      <c r="G51" s="173" t="s">
        <v>1941</v>
      </c>
      <c r="H51" s="174" t="str">
        <f>$AI$15</f>
        <v>AGDSH</v>
      </c>
      <c r="I51" s="174"/>
      <c r="J51" s="224">
        <f t="shared" ref="J51" si="16">AD51</f>
        <v>2020</v>
      </c>
      <c r="K51" s="81">
        <v>2030</v>
      </c>
      <c r="L51" s="332">
        <v>1</v>
      </c>
      <c r="M51" s="199">
        <f ca="1">VLOOKUP($AD51,INDIRECT("'"&amp;$B51&amp;"'!"&amp;"$P$39:$AD$42"),3,FALSE)</f>
        <v>1.93</v>
      </c>
      <c r="N51" s="81">
        <f ca="1">VLOOKUP($AD51,INDIRECT("'"&amp;$B51&amp;"'!"&amp;"$P$39:$AD$42"),5,FALSE)</f>
        <v>20</v>
      </c>
      <c r="O51" s="722">
        <f ca="1">VLOOKUP($AD51,INDIRECT("'"&amp;$B51&amp;"'!"&amp;"$P$39:$AD$42"),6,FALSE)/1000</f>
        <v>12.158890687341184</v>
      </c>
      <c r="P51" s="722">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7"/>
      <c r="X51" s="697">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6" t="s">
        <v>964</v>
      </c>
      <c r="D52" s="212"/>
      <c r="E52" s="261"/>
      <c r="G52" s="173" t="str">
        <f>$AI$20</f>
        <v>AGRGWH</v>
      </c>
      <c r="H52" s="174"/>
      <c r="I52" s="174"/>
      <c r="K52" s="81"/>
      <c r="L52" s="332"/>
      <c r="M52" s="199"/>
      <c r="N52" s="81"/>
      <c r="O52" s="722"/>
      <c r="P52" s="722"/>
      <c r="Q52" s="81"/>
      <c r="R52" s="200"/>
      <c r="S52" s="771"/>
      <c r="T52" s="771"/>
      <c r="U52" s="199">
        <f ca="1">1-U51</f>
        <v>0.4818652849740932</v>
      </c>
      <c r="V52" s="771"/>
      <c r="W52" s="297"/>
      <c r="X52" s="697"/>
      <c r="Y52" s="81"/>
      <c r="Z52" s="81"/>
      <c r="AA52" s="81"/>
      <c r="AB52" s="81"/>
      <c r="AD52" s="81"/>
      <c r="AE52" s="81"/>
      <c r="AF52" s="220"/>
    </row>
    <row r="53" spans="2:32">
      <c r="B53" s="356" t="s">
        <v>964</v>
      </c>
      <c r="D53" s="212"/>
      <c r="E53" s="212"/>
      <c r="G53" s="173" t="s">
        <v>1941</v>
      </c>
      <c r="H53" s="174" t="str">
        <f>$AI$15</f>
        <v>AGDSH</v>
      </c>
      <c r="I53" s="174"/>
      <c r="J53" s="224">
        <f t="shared" ref="J53" si="17">AD53</f>
        <v>2030</v>
      </c>
      <c r="K53" s="81"/>
      <c r="L53" s="332">
        <v>1</v>
      </c>
      <c r="M53" s="199">
        <f ca="1">VLOOKUP($AD53,INDIRECT("'"&amp;$B53&amp;"'!"&amp;"$P$39:$AD$42"),3,FALSE)</f>
        <v>1.9894000000000001</v>
      </c>
      <c r="N53" s="81"/>
      <c r="O53" s="722">
        <f ca="1">VLOOKUP($AD53,INDIRECT("'"&amp;$B53&amp;"'!"&amp;"$P$39:$AD$42"),6,FALSE)/1000</f>
        <v>9.8570539139933757</v>
      </c>
      <c r="P53" s="722">
        <f ca="1">VLOOKUP($AD53,INDIRECT("'"&amp;$B53&amp;"'!"&amp;"$P$39:$AD$42"),7,FALSE)/1000</f>
        <v>1.49E-2</v>
      </c>
      <c r="Q53" s="81">
        <f ca="1">VLOOKUP($AD53,INDIRECT("'"&amp;$B53&amp;"'!"&amp;"$P$39:$AD$42"),8,FALSE)</f>
        <v>6.9740277777777777</v>
      </c>
      <c r="R53" s="299"/>
      <c r="S53" s="299"/>
      <c r="T53" s="299"/>
      <c r="U53" s="199">
        <f ca="1">1/M53</f>
        <v>0.50266411983512616</v>
      </c>
      <c r="V53" s="199"/>
      <c r="W53" s="297"/>
      <c r="X53" s="697">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6" t="s">
        <v>964</v>
      </c>
      <c r="D54" s="212"/>
      <c r="E54" s="212"/>
      <c r="G54" s="173" t="str">
        <f>$AI$20</f>
        <v>AGRGWH</v>
      </c>
      <c r="H54" s="174"/>
      <c r="I54" s="174"/>
      <c r="K54" s="81"/>
      <c r="L54" s="332"/>
      <c r="M54" s="199"/>
      <c r="N54" s="81"/>
      <c r="O54" s="722"/>
      <c r="P54" s="722"/>
      <c r="Q54" s="81"/>
      <c r="R54" s="299"/>
      <c r="S54" s="299"/>
      <c r="T54" s="299"/>
      <c r="U54" s="199">
        <f ca="1">1-U53</f>
        <v>0.49733588016487384</v>
      </c>
      <c r="V54" s="299"/>
      <c r="W54" s="297"/>
      <c r="X54" s="697"/>
      <c r="Y54" s="81"/>
      <c r="Z54" s="81"/>
      <c r="AA54" s="81"/>
      <c r="AB54" s="81"/>
      <c r="AD54" s="81"/>
      <c r="AE54" s="81"/>
      <c r="AF54" s="220"/>
    </row>
    <row r="55" spans="2:32">
      <c r="B55" s="356" t="s">
        <v>964</v>
      </c>
      <c r="D55" s="212"/>
      <c r="E55" s="212"/>
      <c r="G55" s="173" t="s">
        <v>1941</v>
      </c>
      <c r="H55" s="174" t="str">
        <f>$AI$15</f>
        <v>AGDSH</v>
      </c>
      <c r="I55" s="174"/>
      <c r="J55" s="224">
        <f t="shared" ref="J55" si="18">AD55</f>
        <v>2050</v>
      </c>
      <c r="K55" s="81"/>
      <c r="L55" s="332">
        <v>1</v>
      </c>
      <c r="M55" s="199">
        <f ca="1">VLOOKUP($AD55,INDIRECT("'"&amp;$B55&amp;"'!"&amp;"$P$39:$AD$42"),3,FALSE)</f>
        <v>2.0509898799999999</v>
      </c>
      <c r="N55" s="81"/>
      <c r="O55" s="722">
        <f ca="1">VLOOKUP($AD55,INDIRECT("'"&amp;$B55&amp;"'!"&amp;"$P$39:$AD$42"),6,FALSE)/1000</f>
        <v>6.955935359434223</v>
      </c>
      <c r="P55" s="722">
        <f ca="1">VLOOKUP($AD55,INDIRECT("'"&amp;$B55&amp;"'!"&amp;"$P$39:$AD$42"),7,FALSE)/1000</f>
        <v>1.49E-2</v>
      </c>
      <c r="Q55" s="81">
        <f ca="1">VLOOKUP($AD55,INDIRECT("'"&amp;$B55&amp;"'!"&amp;"$P$39:$AD$42"),8,FALSE)</f>
        <v>6.7877777777777784</v>
      </c>
      <c r="R55" s="299"/>
      <c r="S55" s="299"/>
      <c r="T55" s="299"/>
      <c r="U55" s="199">
        <f ca="1">1/M55</f>
        <v>0.48756944622271858</v>
      </c>
      <c r="V55" s="199"/>
      <c r="W55" s="297"/>
      <c r="X55" s="697">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6" t="s">
        <v>964</v>
      </c>
      <c r="D56" s="212"/>
      <c r="E56" s="212"/>
      <c r="G56" s="173" t="str">
        <f>$AI$20</f>
        <v>AGRGWH</v>
      </c>
      <c r="H56" s="174"/>
      <c r="I56" s="174"/>
      <c r="K56" s="81"/>
      <c r="L56" s="332"/>
      <c r="M56" s="199"/>
      <c r="N56" s="81"/>
      <c r="O56" s="722"/>
      <c r="P56" s="722"/>
      <c r="Q56" s="81"/>
      <c r="R56" s="299"/>
      <c r="S56" s="299"/>
      <c r="T56" s="299"/>
      <c r="U56" s="199">
        <f ca="1">1-U55</f>
        <v>0.51243055377728142</v>
      </c>
      <c r="V56" s="299"/>
      <c r="W56" s="297"/>
      <c r="X56" s="697"/>
      <c r="Y56" s="81"/>
      <c r="Z56" s="81"/>
      <c r="AA56" s="81"/>
      <c r="AB56" s="81"/>
      <c r="AD56" s="81"/>
      <c r="AE56" s="81"/>
      <c r="AF56" s="220"/>
    </row>
    <row r="57" spans="2:32">
      <c r="B57" s="356" t="s">
        <v>965</v>
      </c>
      <c r="D57" s="212" t="str">
        <f>"AGR"&amp;RIGHT(H57,2)&amp;RIGHT(G57,3)&amp;"N"&amp;RIGHT(E57,1)</f>
        <v>AGRPHELCN1</v>
      </c>
      <c r="E57" s="261" t="str">
        <f>"Agriculture heating technology "&amp;$AJ$12&amp;" "&amp;RIGHT(H57,2)&amp;" - Heat pump utilizing waste heat - new 1"</f>
        <v>Agriculture heating technology Agriculture PH - Heat pump utilizing waste heat - new 1</v>
      </c>
      <c r="F57" s="224" t="s">
        <v>1107</v>
      </c>
      <c r="G57" s="173" t="s">
        <v>1941</v>
      </c>
      <c r="H57" s="174" t="str">
        <f>$AI$14</f>
        <v>AGDPH</v>
      </c>
      <c r="I57" s="174"/>
      <c r="J57" s="224">
        <f t="shared" ref="J57" si="19">AD57</f>
        <v>2020</v>
      </c>
      <c r="K57" s="81">
        <v>2030</v>
      </c>
      <c r="L57" s="332">
        <v>1</v>
      </c>
      <c r="M57" s="199">
        <f ca="1">VLOOKUP($AD57,INDIRECT("'"&amp;$B57&amp;"'!"&amp;"$P$39:$AD$42"),3,FALSE)</f>
        <v>12.1</v>
      </c>
      <c r="N57" s="81">
        <f ca="1">VLOOKUP($AD57,INDIRECT("'"&amp;$B57&amp;"'!"&amp;"$P$39:$AD$42"),5,FALSE)</f>
        <v>25</v>
      </c>
      <c r="O57" s="722">
        <f ca="1">VLOOKUP($AD57,INDIRECT("'"&amp;$B57&amp;"'!"&amp;"$P$39:$AD$42"),6,FALSE)/1000</f>
        <v>2.6074999999999999</v>
      </c>
      <c r="P57" s="722">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7"/>
      <c r="X57" s="697">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6" t="s">
        <v>965</v>
      </c>
      <c r="D58" s="212"/>
      <c r="E58" s="261"/>
      <c r="G58" s="173" t="str">
        <f>$AI$20</f>
        <v>AGRGWH</v>
      </c>
      <c r="H58" s="174"/>
      <c r="I58" s="174"/>
      <c r="K58" s="81"/>
      <c r="L58" s="199"/>
      <c r="M58" s="199"/>
      <c r="N58" s="81"/>
      <c r="O58" s="722"/>
      <c r="P58" s="722"/>
      <c r="Q58" s="81"/>
      <c r="R58" s="200"/>
      <c r="S58" s="771"/>
      <c r="T58" s="771"/>
      <c r="U58" s="199">
        <f ca="1">1-U57</f>
        <v>0.9173553719008265</v>
      </c>
      <c r="V58" s="771"/>
      <c r="W58" s="297"/>
      <c r="X58" s="697"/>
      <c r="Y58" s="81"/>
      <c r="Z58" s="81"/>
      <c r="AA58" s="81"/>
      <c r="AB58" s="81"/>
      <c r="AD58" s="81"/>
      <c r="AE58" s="81"/>
      <c r="AF58" s="220"/>
    </row>
    <row r="59" spans="2:32">
      <c r="B59" s="356" t="s">
        <v>965</v>
      </c>
      <c r="D59" s="212"/>
      <c r="E59" s="212"/>
      <c r="G59" s="173" t="s">
        <v>1941</v>
      </c>
      <c r="H59" s="174" t="str">
        <f>$AI$14</f>
        <v>AGDPH</v>
      </c>
      <c r="I59" s="174"/>
      <c r="J59" s="224">
        <f t="shared" ref="J59" si="20">AD59</f>
        <v>2030</v>
      </c>
      <c r="K59" s="81"/>
      <c r="L59" s="332">
        <v>1</v>
      </c>
      <c r="M59" s="199">
        <f ca="1">VLOOKUP($AD59,INDIRECT("'"&amp;$B59&amp;"'!"&amp;"$P$39:$AD$42"),3,FALSE)</f>
        <v>12.7</v>
      </c>
      <c r="N59" s="81"/>
      <c r="O59" s="722">
        <f ca="1">VLOOKUP($AD59,INDIRECT("'"&amp;$B59&amp;"'!"&amp;"$P$39:$AD$42"),6,FALSE)/1000</f>
        <v>2.4585000000000004</v>
      </c>
      <c r="P59" s="722">
        <f ca="1">VLOOKUP($AD59,INDIRECT("'"&amp;$B59&amp;"'!"&amp;"$P$39:$AD$42"),7,FALSE)/1000</f>
        <v>1.49E-2</v>
      </c>
      <c r="Q59" s="81">
        <f ca="1">VLOOKUP($AD59,INDIRECT("'"&amp;$B59&amp;"'!"&amp;"$P$39:$AD$42"),8,FALSE)</f>
        <v>5.0701388888888888</v>
      </c>
      <c r="R59" s="299"/>
      <c r="S59" s="299"/>
      <c r="T59" s="299"/>
      <c r="U59" s="199">
        <f ca="1">1/M59</f>
        <v>7.874015748031496E-2</v>
      </c>
      <c r="V59" s="199"/>
      <c r="W59" s="297"/>
      <c r="X59" s="697">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6" t="s">
        <v>965</v>
      </c>
      <c r="D60" s="212"/>
      <c r="E60" s="212"/>
      <c r="G60" s="173" t="str">
        <f>$AI$20</f>
        <v>AGRGWH</v>
      </c>
      <c r="H60" s="174"/>
      <c r="I60" s="174"/>
      <c r="K60" s="81"/>
      <c r="L60" s="199"/>
      <c r="M60" s="199"/>
      <c r="N60" s="81"/>
      <c r="O60" s="722"/>
      <c r="P60" s="722"/>
      <c r="Q60" s="81"/>
      <c r="R60" s="299"/>
      <c r="S60" s="299"/>
      <c r="T60" s="299"/>
      <c r="U60" s="199">
        <f ca="1">1-U59</f>
        <v>0.92125984251968507</v>
      </c>
      <c r="V60" s="299"/>
      <c r="W60" s="297"/>
      <c r="X60" s="697"/>
      <c r="Y60" s="81"/>
      <c r="Z60" s="81"/>
      <c r="AA60" s="81"/>
      <c r="AB60" s="81"/>
      <c r="AD60" s="81"/>
      <c r="AE60" s="81"/>
      <c r="AF60" s="220"/>
    </row>
    <row r="61" spans="2:32">
      <c r="B61" s="356" t="s">
        <v>965</v>
      </c>
      <c r="D61" s="212"/>
      <c r="E61" s="212"/>
      <c r="G61" s="173" t="s">
        <v>1941</v>
      </c>
      <c r="H61" s="174" t="str">
        <f>$AI$14</f>
        <v>AGDPH</v>
      </c>
      <c r="I61" s="174"/>
      <c r="J61" s="224">
        <f t="shared" ref="J61" si="21">AD61</f>
        <v>2050</v>
      </c>
      <c r="K61" s="81"/>
      <c r="L61" s="332">
        <v>1</v>
      </c>
      <c r="M61" s="199">
        <f ca="1">VLOOKUP($AD61,INDIRECT("'"&amp;$B61&amp;"'!"&amp;"$P$39:$AD$42"),3,FALSE)</f>
        <v>13.8</v>
      </c>
      <c r="N61" s="81"/>
      <c r="O61" s="722">
        <f ca="1">VLOOKUP($AD61,INDIRECT("'"&amp;$B61&amp;"'!"&amp;"$P$39:$AD$42"),6,FALSE)/1000</f>
        <v>2.3094999999999999</v>
      </c>
      <c r="P61" s="722">
        <f ca="1">VLOOKUP($AD61,INDIRECT("'"&amp;$B61&amp;"'!"&amp;"$P$39:$AD$42"),7,FALSE)/1000</f>
        <v>1.49E-2</v>
      </c>
      <c r="Q61" s="81">
        <f ca="1">VLOOKUP($AD61,INDIRECT("'"&amp;$B61&amp;"'!"&amp;"$P$39:$AD$42"),8,FALSE)</f>
        <v>4.8838888888888903</v>
      </c>
      <c r="R61" s="299"/>
      <c r="S61" s="299"/>
      <c r="T61" s="299"/>
      <c r="U61" s="199">
        <f ca="1">1/M61</f>
        <v>7.2463768115942032E-2</v>
      </c>
      <c r="V61" s="199"/>
      <c r="W61" s="297"/>
      <c r="X61" s="697">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5" t="s">
        <v>965</v>
      </c>
      <c r="C62" s="786"/>
      <c r="D62" s="731"/>
      <c r="E62" s="731"/>
      <c r="F62" s="786"/>
      <c r="G62" s="787" t="str">
        <f>$AI$20</f>
        <v>AGRGWH</v>
      </c>
      <c r="H62" s="787"/>
      <c r="I62" s="787"/>
      <c r="K62" s="788"/>
      <c r="L62" s="789"/>
      <c r="M62" s="789"/>
      <c r="N62" s="788"/>
      <c r="O62" s="790"/>
      <c r="P62" s="790"/>
      <c r="Q62" s="788"/>
      <c r="R62" s="791"/>
      <c r="S62" s="791"/>
      <c r="T62" s="791"/>
      <c r="U62" s="789">
        <f ca="1">1-U61</f>
        <v>0.92753623188405798</v>
      </c>
      <c r="V62" s="795"/>
      <c r="W62" s="792"/>
      <c r="X62" s="793"/>
      <c r="Y62" s="788"/>
      <c r="Z62" s="788"/>
      <c r="AA62" s="788"/>
      <c r="AB62" s="788"/>
      <c r="AC62" s="786"/>
      <c r="AD62" s="788"/>
      <c r="AE62" s="788"/>
      <c r="AF62" s="794"/>
    </row>
    <row r="63" spans="2:32">
      <c r="B63" s="356" t="s">
        <v>883</v>
      </c>
      <c r="D63" s="212" t="str">
        <f>"AGR"&amp;RIGHT(H63,2)&amp;RIGHT(G63,3)&amp;"N"&amp;RIGHT(E63,1)</f>
        <v>AGRPHWSTN1</v>
      </c>
      <c r="E63" s="261" t="str">
        <f>"Agriculture heating technology "&amp;$AJ$12&amp;" "&amp;RIGHT(H63,2)&amp;" - Hotdisc - new 1"</f>
        <v>Agriculture heating technology Agriculture PH - Hotdisc - new 1</v>
      </c>
      <c r="F63" s="224" t="s">
        <v>1107</v>
      </c>
      <c r="G63" s="831" t="s">
        <v>1942</v>
      </c>
      <c r="H63" s="174" t="str">
        <f>$AI$13</f>
        <v>AGDPH</v>
      </c>
      <c r="I63" s="173" t="str">
        <f t="shared" ref="I63:I126" si="22">$AI$20</f>
        <v>AGRGWH</v>
      </c>
      <c r="J63" s="224">
        <f>IF(AD63=2020,2011,AD63)</f>
        <v>2011</v>
      </c>
      <c r="K63" s="298">
        <v>2040</v>
      </c>
      <c r="L63" s="698">
        <f t="shared" ref="L63:L80" ca="1" si="23">VLOOKUP($AD63,INDIRECT("'"&amp;$B63&amp;"'!"&amp;"$P$39:$AD$42"),3,FALSE)</f>
        <v>0.9</v>
      </c>
      <c r="M63" s="698"/>
      <c r="N63" s="298">
        <f ca="1">VLOOKUP($AD63,INDIRECT("'"&amp;$B63&amp;"'!"&amp;"$P$39:$AD$42"),5,FALSE)</f>
        <v>20</v>
      </c>
      <c r="O63" s="724">
        <f t="shared" ref="O63:O80" ca="1" si="24">VLOOKUP($AD63,INDIRECT("'"&amp;$B63&amp;"'!"&amp;"$P$39:$AD$42"),6,FALSE)/1000</f>
        <v>3.7250000000000001</v>
      </c>
      <c r="P63" s="724">
        <f t="shared" ref="P63:P80" ca="1" si="25">VLOOKUP($AD63,INDIRECT("'"&amp;$B63&amp;"'!"&amp;"$P$39:$AD$42"),7,FALSE)/1000</f>
        <v>2.98E-3</v>
      </c>
      <c r="Q63" s="298">
        <f t="shared" ref="Q63:Q80" ca="1" si="26">VLOOKUP($AD63,INDIRECT("'"&amp;$B63&amp;"'!"&amp;"$P$39:$AD$42"),8,FALSE)</f>
        <v>2.4315972222222224</v>
      </c>
      <c r="R63" s="298">
        <v>3.1536000000000002E-2</v>
      </c>
      <c r="S63" s="698">
        <v>0.5</v>
      </c>
      <c r="T63" s="698">
        <f ca="1">HLOOKUP($S$2,INDIRECT("'"&amp;$B63&amp;"'!"&amp;"$P$6:$AC$19"),IF(H63=$AI$13,6,IF(H63=$AI$14,9,14)),FALSE)</f>
        <v>0</v>
      </c>
      <c r="U63" s="771"/>
      <c r="V63" s="1130">
        <f ca="1">IF(IF(RIGHT(H63,2)="PH",(1-L63)+$W$2,IF(RIGHT(H63,2)="HT",(1-L63)+$W$1,IF(RIGHT(H63,2)="SH",(1-L63)+$W$3,"")))&gt;0,IF(RIGHT(H63,2)="PH",(1-L63)+$W$2,IF(RIGHT(H63,2)="HT",(1-L63)+$W$1,IF(RIGHT(H63,2)="SH",(1-L63)+$W$3,""))),0)</f>
        <v>0.3</v>
      </c>
      <c r="W63" s="297"/>
      <c r="X63" s="784">
        <f t="shared" ref="X63:X94" ca="1" si="27">IF(VLOOKUP($AD63,INDIRECT("'"&amp;$B63&amp;"'!"&amp;"$P$39:$AD$42"),11,FALSE)="Cf. the utilized electricity",0,VLOOKUP($AD63,INDIRECT("'"&amp;$B63&amp;"'!"&amp;"$P$39:$AD$42"),11,FALSE))</f>
        <v>8.3000000000000007</v>
      </c>
      <c r="Y63" s="298">
        <f t="shared" ref="Y63:Y80" ca="1" si="28">VLOOKUP($AD63,INDIRECT("'"&amp;$B63&amp;"'!"&amp;"$P$39:$AD$42"),12,FALSE)</f>
        <v>56</v>
      </c>
      <c r="Z63" s="298">
        <f t="shared" ref="Z63:Z80" ca="1" si="29">VLOOKUP($AD63,INDIRECT("'"&amp;$B63&amp;"'!"&amp;"$P$39:$AD$42"),13,FALSE)</f>
        <v>0.1</v>
      </c>
      <c r="AA63" s="298">
        <f t="shared" ref="AA63:AA80" ca="1" si="30">VLOOKUP($AD63,INDIRECT("'"&amp;$B63&amp;"'!"&amp;"$P$39:$AD$42"),14,FALSE)</f>
        <v>1</v>
      </c>
      <c r="AB63" s="298">
        <f t="shared" ref="AB63:AB80" ca="1" si="31">VLOOKUP($AD63,INDIRECT("'"&amp;$B63&amp;"'!"&amp;"$P$39:$AD$42"),15,FALSE)</f>
        <v>0.28999999999999998</v>
      </c>
      <c r="AD63" s="298">
        <v>2020</v>
      </c>
      <c r="AE63" s="298"/>
      <c r="AF63" s="220"/>
    </row>
    <row r="64" spans="2:32">
      <c r="B64" s="356" t="s">
        <v>883</v>
      </c>
      <c r="D64" s="212"/>
      <c r="E64" s="212"/>
      <c r="H64" s="174"/>
      <c r="I64" s="173" t="str">
        <f t="shared" si="22"/>
        <v>AGRGWH</v>
      </c>
      <c r="J64" s="224">
        <f t="shared" ref="J64:J127" si="32">IF(AD64=2020,2011,AD64)</f>
        <v>2030</v>
      </c>
      <c r="K64" s="81"/>
      <c r="L64" s="199">
        <f t="shared" ca="1" si="23"/>
        <v>0.91</v>
      </c>
      <c r="M64" s="199"/>
      <c r="N64" s="81"/>
      <c r="O64" s="722">
        <f t="shared" ca="1" si="24"/>
        <v>3.4642500000000003</v>
      </c>
      <c r="P64" s="722">
        <f t="shared" ca="1" si="25"/>
        <v>2.98E-3</v>
      </c>
      <c r="Q64" s="81">
        <f t="shared" ca="1" si="26"/>
        <v>2.4729861111111116</v>
      </c>
      <c r="R64" s="299"/>
      <c r="S64" s="299"/>
      <c r="T64" s="299"/>
      <c r="U64" s="299"/>
      <c r="V64" s="1130">
        <f ca="1">IF(IF(RIGHT(H63,2)="PH",(1-L64)+$W$2,IF(RIGHT(H63,2)="HT",(1-L64)+$W$1,IF(RIGHT(H63,2)="SH",(1-L64)+$W$3,"")))&gt;0,IF(RIGHT(H63,2)="PH",(1-L64)+$W$2,IF(RIGHT(H63,2)="HT",(1-L64)+$W$1,IF(RIGHT(H63,2)="SH",(1-L64)+$W$3,""))),0)</f>
        <v>0.28999999999999998</v>
      </c>
      <c r="W64" s="297"/>
      <c r="X64" s="697">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6" t="s">
        <v>883</v>
      </c>
      <c r="D65" s="212"/>
      <c r="E65" s="212"/>
      <c r="H65" s="174"/>
      <c r="I65" s="173" t="str">
        <f t="shared" si="22"/>
        <v>AGRGWH</v>
      </c>
      <c r="J65" s="224">
        <f t="shared" si="32"/>
        <v>2050</v>
      </c>
      <c r="K65" s="81"/>
      <c r="L65" s="199">
        <f t="shared" ca="1" si="23"/>
        <v>0.93</v>
      </c>
      <c r="M65" s="199"/>
      <c r="N65" s="81"/>
      <c r="O65" s="722">
        <f t="shared" ca="1" si="24"/>
        <v>3.3525</v>
      </c>
      <c r="P65" s="722">
        <f t="shared" ca="1" si="25"/>
        <v>2.98E-3</v>
      </c>
      <c r="Q65" s="81">
        <f t="shared" ca="1" si="26"/>
        <v>2.4936805555555561</v>
      </c>
      <c r="R65" s="299"/>
      <c r="S65" s="299"/>
      <c r="T65" s="299"/>
      <c r="U65" s="299"/>
      <c r="V65" s="1130">
        <f ca="1">IF(IF(RIGHT(H63,2)="PH",(1-L65)+$W$2,IF(RIGHT(H63,2)="HT",(1-L65)+$W$1,IF(RIGHT(H63,2)="SH",(1-L65)+$W$3,"")))&gt;0,IF(RIGHT(H63,2)="PH",(1-L65)+$W$2,IF(RIGHT(H63,2)="HT",(1-L65)+$W$1,IF(RIGHT(H63,2)="SH",(1-L65)+$W$3,""))),0)</f>
        <v>0.26999999999999996</v>
      </c>
      <c r="W65" s="297"/>
      <c r="X65" s="697">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6" t="s">
        <v>885</v>
      </c>
      <c r="D66" s="212" t="str">
        <f>"AGR"&amp;RIGHT(H66,2)&amp;RIGHT(G66,3)&amp;"N"&amp;RIGHT(E66,1)</f>
        <v>AGRPHELCN6</v>
      </c>
      <c r="E66" s="261" t="str">
        <f>"Agriculture heating technology "&amp;$AJ$12&amp;" "&amp;RIGHT(H66,2)&amp;" - Dielectric heating - new 6"</f>
        <v>Agriculture heating technology Agriculture PH - Dielectric heating - new 6</v>
      </c>
      <c r="F66" s="224" t="s">
        <v>1107</v>
      </c>
      <c r="G66" s="173" t="s">
        <v>1941</v>
      </c>
      <c r="H66" s="174" t="str">
        <f>$AI$14</f>
        <v>AGDPH</v>
      </c>
      <c r="I66" s="173" t="str">
        <f t="shared" si="22"/>
        <v>AGRGWH</v>
      </c>
      <c r="J66" s="224">
        <f t="shared" si="32"/>
        <v>2011</v>
      </c>
      <c r="K66" s="298">
        <f>J66</f>
        <v>2011</v>
      </c>
      <c r="L66" s="199">
        <f t="shared" ca="1" si="23"/>
        <v>0.95</v>
      </c>
      <c r="M66" s="199"/>
      <c r="N66" s="81">
        <f ca="1">VLOOKUP($AD66,INDIRECT("'"&amp;$B66&amp;"'!"&amp;"$P$39:$AD$42"),5,FALSE)</f>
        <v>30</v>
      </c>
      <c r="O66" s="722">
        <f t="shared" ca="1" si="24"/>
        <v>20.115000000000002</v>
      </c>
      <c r="P66" s="722">
        <f t="shared" ca="1" si="25"/>
        <v>0</v>
      </c>
      <c r="Q66" s="81">
        <f t="shared" ca="1" si="26"/>
        <v>94.828152777777774</v>
      </c>
      <c r="R66" s="81">
        <v>3.1536000000000002E-2</v>
      </c>
      <c r="S66" s="199">
        <v>0.5</v>
      </c>
      <c r="T66" s="199">
        <f ca="1">HLOOKUP($S$2,INDIRECT("'"&amp;$B66&amp;"'!"&amp;"$P$6:$AC$19"),IF(H66=$AI$13,6,IF(H66=$AI$14,9,14)),FALSE)</f>
        <v>0</v>
      </c>
      <c r="U66" s="771"/>
      <c r="V66" s="1130">
        <f t="shared" ref="V66" ca="1" si="33">IF(IF(RIGHT(H66,2)="PH",(1-L66)+$W$2,IF(RIGHT(H66,2)="HT",(1-L66)+$W$1,IF(RIGHT(H66,2)="SH",(1-L66)+$W$3,"")))&gt;0,IF(RIGHT(H66,2)="PH",(1-L66)+$W$2,IF(RIGHT(H66,2)="HT",(1-L66)+$W$1,IF(RIGHT(H66,2)="SH",(1-L66)+$W$3,""))),0)</f>
        <v>0.25000000000000006</v>
      </c>
      <c r="W66" s="297"/>
      <c r="X66" s="697">
        <f t="shared" ca="1" si="27"/>
        <v>0</v>
      </c>
      <c r="Y66" s="81">
        <f t="shared" ca="1" si="28"/>
        <v>0</v>
      </c>
      <c r="Z66" s="81">
        <f t="shared" ca="1" si="29"/>
        <v>0</v>
      </c>
      <c r="AA66" s="81">
        <f t="shared" ca="1" si="30"/>
        <v>0</v>
      </c>
      <c r="AB66" s="81">
        <f t="shared" ca="1" si="31"/>
        <v>0</v>
      </c>
      <c r="AD66" s="81">
        <v>2020</v>
      </c>
      <c r="AE66" s="81"/>
      <c r="AF66" s="220"/>
    </row>
    <row r="67" spans="2:32">
      <c r="B67" s="356" t="s">
        <v>885</v>
      </c>
      <c r="D67" s="212"/>
      <c r="E67" s="212"/>
      <c r="H67" s="174"/>
      <c r="I67" s="173" t="str">
        <f t="shared" si="22"/>
        <v>AGRGWH</v>
      </c>
      <c r="J67" s="224">
        <f t="shared" si="32"/>
        <v>2030</v>
      </c>
      <c r="K67" s="81"/>
      <c r="L67" s="199">
        <f t="shared" ca="1" si="23"/>
        <v>0.95</v>
      </c>
      <c r="M67" s="199"/>
      <c r="N67" s="81"/>
      <c r="O67" s="722">
        <f t="shared" ca="1" si="24"/>
        <v>19.511550000000003</v>
      </c>
      <c r="P67" s="722">
        <f t="shared" ca="1" si="25"/>
        <v>0</v>
      </c>
      <c r="Q67" s="81">
        <f t="shared" ca="1" si="26"/>
        <v>94.832291666666663</v>
      </c>
      <c r="R67" s="299"/>
      <c r="S67" s="299"/>
      <c r="T67" s="299"/>
      <c r="U67" s="299"/>
      <c r="V67" s="1130">
        <f t="shared" ref="V67" ca="1" si="34">IF(IF(RIGHT(H66,2)="PH",(1-L67)+$W$2,IF(RIGHT(H66,2)="HT",(1-L67)+$W$1,IF(RIGHT(H66,2)="SH",(1-L67)+$W$3,"")))&gt;0,IF(RIGHT(H66,2)="PH",(1-L67)+$W$2,IF(RIGHT(H66,2)="HT",(1-L67)+$W$1,IF(RIGHT(H66,2)="SH",(1-L67)+$W$3,""))),0)</f>
        <v>0.25000000000000006</v>
      </c>
      <c r="W67" s="297"/>
      <c r="X67" s="697">
        <f t="shared" ca="1" si="27"/>
        <v>0</v>
      </c>
      <c r="Y67" s="81">
        <f t="shared" ca="1" si="28"/>
        <v>0</v>
      </c>
      <c r="Z67" s="81">
        <f t="shared" ca="1" si="29"/>
        <v>0</v>
      </c>
      <c r="AA67" s="81">
        <f t="shared" ca="1" si="30"/>
        <v>0</v>
      </c>
      <c r="AB67" s="81">
        <f t="shared" ca="1" si="31"/>
        <v>0</v>
      </c>
      <c r="AD67" s="81">
        <v>2030</v>
      </c>
      <c r="AE67" s="81"/>
      <c r="AF67" s="220"/>
    </row>
    <row r="68" spans="2:32">
      <c r="B68" s="356" t="s">
        <v>885</v>
      </c>
      <c r="D68" s="212"/>
      <c r="E68" s="212"/>
      <c r="H68" s="174"/>
      <c r="I68" s="173" t="str">
        <f t="shared" si="22"/>
        <v>AGRGWH</v>
      </c>
      <c r="J68" s="224">
        <f t="shared" si="32"/>
        <v>2050</v>
      </c>
      <c r="K68" s="81"/>
      <c r="L68" s="199">
        <f t="shared" ca="1" si="23"/>
        <v>0.95</v>
      </c>
      <c r="M68" s="199"/>
      <c r="N68" s="81"/>
      <c r="O68" s="722">
        <f t="shared" ca="1" si="24"/>
        <v>18.1035</v>
      </c>
      <c r="P68" s="722">
        <f t="shared" ca="1" si="25"/>
        <v>0</v>
      </c>
      <c r="Q68" s="81">
        <f t="shared" ca="1" si="26"/>
        <v>94.834361111111107</v>
      </c>
      <c r="R68" s="299"/>
      <c r="S68" s="299"/>
      <c r="T68" s="299"/>
      <c r="U68" s="299"/>
      <c r="V68" s="1130">
        <f t="shared" ref="V68" ca="1" si="35">IF(IF(RIGHT(H66,2)="PH",(1-L68)+$W$2,IF(RIGHT(H66,2)="HT",(1-L68)+$W$1,IF(RIGHT(H66,2)="SH",(1-L68)+$W$3,"")))&gt;0,IF(RIGHT(H66,2)="PH",(1-L68)+$W$2,IF(RIGHT(H66,2)="HT",(1-L68)+$W$1,IF(RIGHT(H66,2)="SH",(1-L68)+$W$3,""))),0)</f>
        <v>0.25000000000000006</v>
      </c>
      <c r="W68" s="297"/>
      <c r="X68" s="697">
        <f t="shared" ca="1" si="27"/>
        <v>0</v>
      </c>
      <c r="Y68" s="81">
        <f t="shared" ca="1" si="28"/>
        <v>0</v>
      </c>
      <c r="Z68" s="81">
        <f t="shared" ca="1" si="29"/>
        <v>0</v>
      </c>
      <c r="AA68" s="81">
        <f t="shared" ca="1" si="30"/>
        <v>0</v>
      </c>
      <c r="AB68" s="81">
        <f t="shared" ca="1" si="31"/>
        <v>0</v>
      </c>
      <c r="AD68" s="81">
        <v>2050</v>
      </c>
      <c r="AE68" s="81"/>
      <c r="AF68" s="220"/>
    </row>
    <row r="69" spans="2:32">
      <c r="B69" s="356" t="s">
        <v>968</v>
      </c>
      <c r="D69" s="212" t="str">
        <f>"AGR"&amp;RIGHT(H69,2)&amp;RIGHT(G69,3)&amp;"N"&amp;RIGHT(E69,1)</f>
        <v>AGRPHELCN7</v>
      </c>
      <c r="E69" s="261" t="str">
        <f>"Agriculture heating technology "&amp;$AJ$12&amp;" "&amp;RIGHT(H69,2)&amp;" - Infrared heating - new 7"</f>
        <v>Agriculture heating technology Agriculture PH - Infrared heating - new 7</v>
      </c>
      <c r="F69" s="224" t="s">
        <v>1107</v>
      </c>
      <c r="G69" s="173" t="s">
        <v>1941</v>
      </c>
      <c r="H69" s="174" t="str">
        <f>$AI$14</f>
        <v>AGDPH</v>
      </c>
      <c r="I69" s="173" t="str">
        <f t="shared" si="22"/>
        <v>AGRGWH</v>
      </c>
      <c r="J69" s="224">
        <f t="shared" si="32"/>
        <v>2011</v>
      </c>
      <c r="K69" s="298">
        <f>J69</f>
        <v>2011</v>
      </c>
      <c r="L69" s="199">
        <f t="shared" ca="1" si="23"/>
        <v>0.96</v>
      </c>
      <c r="M69" s="199"/>
      <c r="N69" s="81">
        <f ca="1">VLOOKUP($AD69,INDIRECT("'"&amp;$B69&amp;"'!"&amp;"$P$39:$AD$42"),5,FALSE)</f>
        <v>30</v>
      </c>
      <c r="O69" s="722">
        <f t="shared" ca="1" si="24"/>
        <v>2.6074999999999999</v>
      </c>
      <c r="P69" s="722">
        <f t="shared" ca="1" si="25"/>
        <v>0</v>
      </c>
      <c r="Q69" s="81">
        <f t="shared" ca="1" si="26"/>
        <v>242.27606944444443</v>
      </c>
      <c r="R69" s="81">
        <v>3.1536000000000002E-2</v>
      </c>
      <c r="S69" s="199">
        <v>0.5</v>
      </c>
      <c r="T69" s="199">
        <f ca="1">HLOOKUP($S$2,INDIRECT("'"&amp;$B69&amp;"'!"&amp;"$P$6:$AC$19"),IF(H69=$AI$13,6,IF(H69=$AI$14,9,14)),FALSE)</f>
        <v>0</v>
      </c>
      <c r="U69" s="771"/>
      <c r="V69" s="1130">
        <f t="shared" ref="V69" ca="1" si="36">IF(IF(RIGHT(H69,2)="PH",(1-L69)+$W$2,IF(RIGHT(H69,2)="HT",(1-L69)+$W$1,IF(RIGHT(H69,2)="SH",(1-L69)+$W$3,"")))&gt;0,IF(RIGHT(H69,2)="PH",(1-L69)+$W$2,IF(RIGHT(H69,2)="HT",(1-L69)+$W$1,IF(RIGHT(H69,2)="SH",(1-L69)+$W$3,""))),0)</f>
        <v>0.24000000000000005</v>
      </c>
      <c r="W69" s="297"/>
      <c r="X69" s="697">
        <f t="shared" ca="1" si="27"/>
        <v>0</v>
      </c>
      <c r="Y69" s="81">
        <f t="shared" ca="1" si="28"/>
        <v>0</v>
      </c>
      <c r="Z69" s="81">
        <f t="shared" ca="1" si="29"/>
        <v>0</v>
      </c>
      <c r="AA69" s="81">
        <f t="shared" ca="1" si="30"/>
        <v>0</v>
      </c>
      <c r="AB69" s="81">
        <f t="shared" ca="1" si="31"/>
        <v>0</v>
      </c>
      <c r="AD69" s="81">
        <v>2020</v>
      </c>
      <c r="AE69" s="81"/>
      <c r="AF69" s="220"/>
    </row>
    <row r="70" spans="2:32">
      <c r="B70" s="356" t="s">
        <v>968</v>
      </c>
      <c r="D70" s="212"/>
      <c r="E70" s="212"/>
      <c r="H70" s="174"/>
      <c r="I70" s="173" t="str">
        <f t="shared" si="22"/>
        <v>AGRGWH</v>
      </c>
      <c r="J70" s="224">
        <f t="shared" si="32"/>
        <v>2030</v>
      </c>
      <c r="K70" s="81"/>
      <c r="L70" s="199">
        <f t="shared" ca="1" si="23"/>
        <v>0.96</v>
      </c>
      <c r="M70" s="199"/>
      <c r="N70" s="81"/>
      <c r="O70" s="722">
        <f t="shared" ca="1" si="24"/>
        <v>2.5330000000000004</v>
      </c>
      <c r="P70" s="722">
        <f t="shared" ca="1" si="25"/>
        <v>0</v>
      </c>
      <c r="Q70" s="81">
        <f t="shared" ca="1" si="26"/>
        <v>242.28020833333332</v>
      </c>
      <c r="R70" s="299"/>
      <c r="S70" s="299"/>
      <c r="T70" s="299"/>
      <c r="U70" s="299"/>
      <c r="V70" s="1130">
        <f t="shared" ref="V70" ca="1" si="37">IF(IF(RIGHT(H69,2)="PH",(1-L70)+$W$2,IF(RIGHT(H69,2)="HT",(1-L70)+$W$1,IF(RIGHT(H69,2)="SH",(1-L70)+$W$3,"")))&gt;0,IF(RIGHT(H69,2)="PH",(1-L70)+$W$2,IF(RIGHT(H69,2)="HT",(1-L70)+$W$1,IF(RIGHT(H69,2)="SH",(1-L70)+$W$3,""))),0)</f>
        <v>0.24000000000000005</v>
      </c>
      <c r="W70" s="297"/>
      <c r="X70" s="697">
        <f t="shared" ca="1" si="27"/>
        <v>0</v>
      </c>
      <c r="Y70" s="81">
        <f t="shared" ca="1" si="28"/>
        <v>0</v>
      </c>
      <c r="Z70" s="81">
        <f t="shared" ca="1" si="29"/>
        <v>0</v>
      </c>
      <c r="AA70" s="81">
        <f t="shared" ca="1" si="30"/>
        <v>0</v>
      </c>
      <c r="AB70" s="81">
        <f t="shared" ca="1" si="31"/>
        <v>0</v>
      </c>
      <c r="AD70" s="81">
        <v>2030</v>
      </c>
      <c r="AE70" s="81"/>
      <c r="AF70" s="220"/>
    </row>
    <row r="71" spans="2:32">
      <c r="B71" s="356" t="s">
        <v>968</v>
      </c>
      <c r="D71" s="212"/>
      <c r="E71" s="212"/>
      <c r="H71" s="174"/>
      <c r="I71" s="174" t="str">
        <f t="shared" si="22"/>
        <v>AGRGWH</v>
      </c>
      <c r="J71" s="224">
        <f t="shared" si="32"/>
        <v>2050</v>
      </c>
      <c r="K71" s="81"/>
      <c r="L71" s="199">
        <f t="shared" ca="1" si="23"/>
        <v>0.96</v>
      </c>
      <c r="M71" s="199"/>
      <c r="N71" s="81"/>
      <c r="O71" s="722">
        <f t="shared" ca="1" si="24"/>
        <v>2.3467500000000001</v>
      </c>
      <c r="P71" s="722">
        <f t="shared" ca="1" si="25"/>
        <v>0</v>
      </c>
      <c r="Q71" s="81">
        <f t="shared" ca="1" si="26"/>
        <v>242.28227777777775</v>
      </c>
      <c r="R71" s="299"/>
      <c r="S71" s="299"/>
      <c r="T71" s="299"/>
      <c r="U71" s="299"/>
      <c r="V71" s="1130">
        <f t="shared" ref="V71" ca="1" si="38">IF(IF(RIGHT(H69,2)="PH",(1-L71)+$W$2,IF(RIGHT(H69,2)="HT",(1-L71)+$W$1,IF(RIGHT(H69,2)="SH",(1-L71)+$W$3,"")))&gt;0,IF(RIGHT(H69,2)="PH",(1-L71)+$W$2,IF(RIGHT(H69,2)="HT",(1-L71)+$W$1,IF(RIGHT(H69,2)="SH",(1-L71)+$W$3,""))),0)</f>
        <v>0.24000000000000005</v>
      </c>
      <c r="W71" s="297"/>
      <c r="X71" s="697">
        <f t="shared" ca="1" si="27"/>
        <v>0</v>
      </c>
      <c r="Y71" s="81">
        <f t="shared" ca="1" si="28"/>
        <v>0</v>
      </c>
      <c r="Z71" s="81">
        <f t="shared" ca="1" si="29"/>
        <v>0</v>
      </c>
      <c r="AA71" s="81">
        <f t="shared" ca="1" si="30"/>
        <v>0</v>
      </c>
      <c r="AB71" s="81">
        <f t="shared" ca="1" si="31"/>
        <v>0</v>
      </c>
      <c r="AD71" s="81">
        <v>2050</v>
      </c>
      <c r="AE71" s="81"/>
      <c r="AF71" s="220"/>
    </row>
    <row r="72" spans="2:32">
      <c r="B72" s="356" t="s">
        <v>969</v>
      </c>
      <c r="D72" s="212" t="str">
        <f>"AGR"&amp;RIGHT(H72,2)&amp;RIGHT(G72,3)&amp;"N"&amp;RIGHT(E72,1)</f>
        <v>AGRPHELCN8</v>
      </c>
      <c r="E72" s="261" t="str">
        <f>"Agriculture heating technology "&amp;$AJ$12&amp;" "&amp;RIGHT(H72,2)&amp;" - Electric boiler (Steam) - new 8"</f>
        <v>Agriculture heating technology Agriculture PH - Electric boiler (Steam) - new 8</v>
      </c>
      <c r="F72" s="224" t="s">
        <v>1107</v>
      </c>
      <c r="G72" s="173" t="s">
        <v>1941</v>
      </c>
      <c r="H72" s="174" t="str">
        <f>$AI$13</f>
        <v>AGDPH</v>
      </c>
      <c r="I72" s="174" t="str">
        <f t="shared" si="22"/>
        <v>AGRGWH</v>
      </c>
      <c r="J72" s="224">
        <f t="shared" si="32"/>
        <v>2011</v>
      </c>
      <c r="K72" s="298">
        <f>J72</f>
        <v>2011</v>
      </c>
      <c r="L72" s="199">
        <f t="shared" ca="1" si="23"/>
        <v>0.99</v>
      </c>
      <c r="M72" s="199"/>
      <c r="N72" s="81">
        <f ca="1">VLOOKUP($AD72,INDIRECT("'"&amp;$B72&amp;"'!"&amp;"$P$39:$AD$42"),5,FALSE)</f>
        <v>25</v>
      </c>
      <c r="O72" s="722">
        <f t="shared" ca="1" si="24"/>
        <v>0.59599999999999997</v>
      </c>
      <c r="P72" s="722">
        <f t="shared" ca="1" si="25"/>
        <v>7.9714999999999994E-3</v>
      </c>
      <c r="Q72" s="81">
        <f t="shared" ca="1" si="26"/>
        <v>1.7900694444444445</v>
      </c>
      <c r="R72" s="81">
        <v>3.1536000000000002E-2</v>
      </c>
      <c r="S72" s="199">
        <v>0.5</v>
      </c>
      <c r="T72" s="199">
        <f ca="1">HLOOKUP($T$2,INDIRECT("'"&amp;$B72&amp;"'!"&amp;"$P$6:$AC$19"),IF(H72=$AI$13,6,IF(H72=$AI$14,9,14)),FALSE)</f>
        <v>1</v>
      </c>
      <c r="U72" s="771"/>
      <c r="V72" s="1130">
        <f t="shared" ref="V72" ca="1" si="39">IF(IF(RIGHT(H72,2)="PH",(1-L72)+$W$2,IF(RIGHT(H72,2)="HT",(1-L72)+$W$1,IF(RIGHT(H72,2)="SH",(1-L72)+$W$3,"")))&gt;0,IF(RIGHT(H72,2)="PH",(1-L72)+$W$2,IF(RIGHT(H72,2)="HT",(1-L72)+$W$1,IF(RIGHT(H72,2)="SH",(1-L72)+$W$3,""))),0)</f>
        <v>0.21000000000000002</v>
      </c>
      <c r="W72" s="297"/>
      <c r="X72" s="697">
        <f t="shared" ca="1" si="27"/>
        <v>0</v>
      </c>
      <c r="Y72" s="81">
        <f t="shared" ca="1" si="28"/>
        <v>0</v>
      </c>
      <c r="Z72" s="81">
        <f t="shared" ca="1" si="29"/>
        <v>0</v>
      </c>
      <c r="AA72" s="81">
        <f t="shared" ca="1" si="30"/>
        <v>0</v>
      </c>
      <c r="AB72" s="81">
        <f t="shared" ca="1" si="31"/>
        <v>0</v>
      </c>
      <c r="AD72" s="81">
        <v>2020</v>
      </c>
      <c r="AE72" s="81"/>
      <c r="AF72" s="220"/>
    </row>
    <row r="73" spans="2:32">
      <c r="B73" s="356" t="s">
        <v>969</v>
      </c>
      <c r="D73" s="212"/>
      <c r="E73" s="212"/>
      <c r="H73" s="174"/>
      <c r="I73" s="174" t="str">
        <f t="shared" si="22"/>
        <v>AGRGWH</v>
      </c>
      <c r="J73" s="224">
        <f t="shared" si="32"/>
        <v>2030</v>
      </c>
      <c r="K73" s="81"/>
      <c r="L73" s="199">
        <f t="shared" ca="1" si="23"/>
        <v>0.99</v>
      </c>
      <c r="M73" s="199"/>
      <c r="N73" s="81"/>
      <c r="O73" s="722">
        <f t="shared" ca="1" si="24"/>
        <v>0.52150000000000007</v>
      </c>
      <c r="P73" s="722">
        <f t="shared" ca="1" si="25"/>
        <v>7.5989999999999999E-3</v>
      </c>
      <c r="Q73" s="81">
        <f t="shared" ca="1" si="26"/>
        <v>1.8107638888888888</v>
      </c>
      <c r="R73" s="299"/>
      <c r="S73" s="299"/>
      <c r="T73" s="299"/>
      <c r="U73" s="299"/>
      <c r="V73" s="1130">
        <f t="shared" ref="V73" ca="1" si="40">IF(IF(RIGHT(H72,2)="PH",(1-L73)+$W$2,IF(RIGHT(H72,2)="HT",(1-L73)+$W$1,IF(RIGHT(H72,2)="SH",(1-L73)+$W$3,"")))&gt;0,IF(RIGHT(H72,2)="PH",(1-L73)+$W$2,IF(RIGHT(H72,2)="HT",(1-L73)+$W$1,IF(RIGHT(H72,2)="SH",(1-L73)+$W$3,""))),0)</f>
        <v>0.21000000000000002</v>
      </c>
      <c r="W73" s="297"/>
      <c r="X73" s="697">
        <f t="shared" ca="1" si="27"/>
        <v>0</v>
      </c>
      <c r="Y73" s="81">
        <f t="shared" ca="1" si="28"/>
        <v>0</v>
      </c>
      <c r="Z73" s="81">
        <f t="shared" ca="1" si="29"/>
        <v>0</v>
      </c>
      <c r="AA73" s="81">
        <f t="shared" ca="1" si="30"/>
        <v>0</v>
      </c>
      <c r="AB73" s="81">
        <f t="shared" ca="1" si="31"/>
        <v>0</v>
      </c>
      <c r="AD73" s="81">
        <v>2030</v>
      </c>
      <c r="AE73" s="81"/>
      <c r="AF73" s="220"/>
    </row>
    <row r="74" spans="2:32">
      <c r="B74" s="356" t="s">
        <v>969</v>
      </c>
      <c r="D74" s="212"/>
      <c r="E74" s="212"/>
      <c r="H74" s="174"/>
      <c r="I74" s="174" t="str">
        <f t="shared" si="22"/>
        <v>AGRGWH</v>
      </c>
      <c r="J74" s="224">
        <f t="shared" si="32"/>
        <v>2050</v>
      </c>
      <c r="K74" s="81"/>
      <c r="L74" s="199">
        <f t="shared" ca="1" si="23"/>
        <v>0.99</v>
      </c>
      <c r="M74" s="199"/>
      <c r="N74" s="81"/>
      <c r="O74" s="722">
        <f t="shared" ca="1" si="24"/>
        <v>0.52150000000000007</v>
      </c>
      <c r="P74" s="722">
        <f t="shared" ca="1" si="25"/>
        <v>6.8539999999999998E-3</v>
      </c>
      <c r="Q74" s="81">
        <f t="shared" ca="1" si="26"/>
        <v>1.6141666666666665</v>
      </c>
      <c r="R74" s="299"/>
      <c r="S74" s="299"/>
      <c r="T74" s="299"/>
      <c r="U74" s="299"/>
      <c r="V74" s="1130">
        <f t="shared" ref="V74" ca="1" si="41">IF(IF(RIGHT(H72,2)="PH",(1-L74)+$W$2,IF(RIGHT(H72,2)="HT",(1-L74)+$W$1,IF(RIGHT(H72,2)="SH",(1-L74)+$W$3,"")))&gt;0,IF(RIGHT(H72,2)="PH",(1-L74)+$W$2,IF(RIGHT(H72,2)="HT",(1-L74)+$W$1,IF(RIGHT(H72,2)="SH",(1-L74)+$W$3,""))),0)</f>
        <v>0.21000000000000002</v>
      </c>
      <c r="W74" s="297"/>
      <c r="X74" s="697">
        <f t="shared" ca="1" si="27"/>
        <v>0</v>
      </c>
      <c r="Y74" s="81">
        <f t="shared" ca="1" si="28"/>
        <v>0</v>
      </c>
      <c r="Z74" s="81">
        <f t="shared" ca="1" si="29"/>
        <v>0</v>
      </c>
      <c r="AA74" s="81">
        <f t="shared" ca="1" si="30"/>
        <v>0</v>
      </c>
      <c r="AB74" s="81">
        <f t="shared" ca="1" si="31"/>
        <v>0</v>
      </c>
      <c r="AD74" s="81">
        <v>2050</v>
      </c>
      <c r="AE74" s="81"/>
      <c r="AF74" s="220"/>
    </row>
    <row r="75" spans="2:32">
      <c r="B75" s="356" t="s">
        <v>969</v>
      </c>
      <c r="D75" s="212" t="str">
        <f>"AGR"&amp;RIGHT(H75,2)&amp;RIGHT(G75,3)&amp;"N"&amp;RIGHT(E75,1)</f>
        <v>AGRPHELCN8</v>
      </c>
      <c r="E75" s="261" t="str">
        <f>"Agriculture heating technology "&amp;$AJ$12&amp;" "&amp;RIGHT(H75,2)&amp;" - Electric boiler (Steam) - new 8"</f>
        <v>Agriculture heating technology Agriculture PH - Electric boiler (Steam) - new 8</v>
      </c>
      <c r="F75" s="224" t="s">
        <v>1107</v>
      </c>
      <c r="G75" s="173" t="s">
        <v>1941</v>
      </c>
      <c r="H75" s="174" t="str">
        <f>$AI$14</f>
        <v>AGDPH</v>
      </c>
      <c r="I75" s="174" t="str">
        <f t="shared" si="22"/>
        <v>AGRGWH</v>
      </c>
      <c r="J75" s="224">
        <f t="shared" si="32"/>
        <v>2011</v>
      </c>
      <c r="K75" s="298">
        <f>J75</f>
        <v>2011</v>
      </c>
      <c r="L75" s="199">
        <f t="shared" ca="1" si="23"/>
        <v>0.99</v>
      </c>
      <c r="M75" s="199"/>
      <c r="N75" s="81">
        <f ca="1">VLOOKUP($AD75,INDIRECT("'"&amp;$B75&amp;"'!"&amp;"$P$39:$AD$42"),5,FALSE)</f>
        <v>25</v>
      </c>
      <c r="O75" s="722">
        <f t="shared" ca="1" si="24"/>
        <v>0.59599999999999997</v>
      </c>
      <c r="P75" s="722">
        <f t="shared" ca="1" si="25"/>
        <v>7.9714999999999994E-3</v>
      </c>
      <c r="Q75" s="81">
        <f t="shared" ca="1" si="26"/>
        <v>1.7900694444444445</v>
      </c>
      <c r="R75" s="81">
        <v>3.1536000000000002E-2</v>
      </c>
      <c r="S75" s="199">
        <v>0.5</v>
      </c>
      <c r="T75" s="199">
        <f ca="1">HLOOKUP($T$2,INDIRECT("'"&amp;$B75&amp;"'!"&amp;"$P$6:$AC$19"),IF(H75=$AI$13,6,IF(H75=$AI$14,9,14)),FALSE)</f>
        <v>1</v>
      </c>
      <c r="U75" s="771"/>
      <c r="V75" s="1130">
        <f t="shared" ref="V75" ca="1" si="42">IF(IF(RIGHT(H75,2)="PH",(1-L75)+$W$2,IF(RIGHT(H75,2)="HT",(1-L75)+$W$1,IF(RIGHT(H75,2)="SH",(1-L75)+$W$3,"")))&gt;0,IF(RIGHT(H75,2)="PH",(1-L75)+$W$2,IF(RIGHT(H75,2)="HT",(1-L75)+$W$1,IF(RIGHT(H75,2)="SH",(1-L75)+$W$3,""))),0)</f>
        <v>0.21000000000000002</v>
      </c>
      <c r="W75" s="297"/>
      <c r="X75" s="697">
        <f t="shared" ca="1" si="27"/>
        <v>0</v>
      </c>
      <c r="Y75" s="81">
        <f t="shared" ca="1" si="28"/>
        <v>0</v>
      </c>
      <c r="Z75" s="81">
        <f t="shared" ca="1" si="29"/>
        <v>0</v>
      </c>
      <c r="AA75" s="81">
        <f t="shared" ca="1" si="30"/>
        <v>0</v>
      </c>
      <c r="AB75" s="81">
        <f t="shared" ca="1" si="31"/>
        <v>0</v>
      </c>
      <c r="AD75" s="81">
        <v>2020</v>
      </c>
      <c r="AE75" s="81"/>
      <c r="AF75" s="220"/>
    </row>
    <row r="76" spans="2:32">
      <c r="B76" s="356" t="s">
        <v>969</v>
      </c>
      <c r="D76" s="212"/>
      <c r="E76" s="212"/>
      <c r="H76" s="174"/>
      <c r="I76" s="174" t="str">
        <f t="shared" si="22"/>
        <v>AGRGWH</v>
      </c>
      <c r="J76" s="224">
        <f t="shared" si="32"/>
        <v>2030</v>
      </c>
      <c r="K76" s="81"/>
      <c r="L76" s="199">
        <f t="shared" ca="1" si="23"/>
        <v>0.99</v>
      </c>
      <c r="M76" s="199"/>
      <c r="N76" s="81"/>
      <c r="O76" s="722">
        <f t="shared" ca="1" si="24"/>
        <v>0.52150000000000007</v>
      </c>
      <c r="P76" s="722">
        <f t="shared" ca="1" si="25"/>
        <v>7.5989999999999999E-3</v>
      </c>
      <c r="Q76" s="81">
        <f t="shared" ca="1" si="26"/>
        <v>1.8107638888888888</v>
      </c>
      <c r="R76" s="299"/>
      <c r="S76" s="299"/>
      <c r="T76" s="299"/>
      <c r="U76" s="299"/>
      <c r="V76" s="1130">
        <f t="shared" ref="V76" ca="1" si="43">IF(IF(RIGHT(H75,2)="PH",(1-L76)+$W$2,IF(RIGHT(H75,2)="HT",(1-L76)+$W$1,IF(RIGHT(H75,2)="SH",(1-L76)+$W$3,"")))&gt;0,IF(RIGHT(H75,2)="PH",(1-L76)+$W$2,IF(RIGHT(H75,2)="HT",(1-L76)+$W$1,IF(RIGHT(H75,2)="SH",(1-L76)+$W$3,""))),0)</f>
        <v>0.21000000000000002</v>
      </c>
      <c r="W76" s="297"/>
      <c r="X76" s="697">
        <f t="shared" ca="1" si="27"/>
        <v>0</v>
      </c>
      <c r="Y76" s="81">
        <f t="shared" ca="1" si="28"/>
        <v>0</v>
      </c>
      <c r="Z76" s="81">
        <f t="shared" ca="1" si="29"/>
        <v>0</v>
      </c>
      <c r="AA76" s="81">
        <f t="shared" ca="1" si="30"/>
        <v>0</v>
      </c>
      <c r="AB76" s="81">
        <f t="shared" ca="1" si="31"/>
        <v>0</v>
      </c>
      <c r="AD76" s="81">
        <v>2030</v>
      </c>
      <c r="AE76" s="81"/>
      <c r="AF76" s="220"/>
    </row>
    <row r="77" spans="2:32">
      <c r="B77" s="356" t="s">
        <v>969</v>
      </c>
      <c r="D77" s="212"/>
      <c r="E77" s="212"/>
      <c r="H77" s="174"/>
      <c r="I77" s="174" t="str">
        <f t="shared" si="22"/>
        <v>AGRGWH</v>
      </c>
      <c r="J77" s="224">
        <f t="shared" si="32"/>
        <v>2050</v>
      </c>
      <c r="K77" s="81"/>
      <c r="L77" s="199">
        <f t="shared" ca="1" si="23"/>
        <v>0.99</v>
      </c>
      <c r="M77" s="199"/>
      <c r="N77" s="81"/>
      <c r="O77" s="722">
        <f t="shared" ca="1" si="24"/>
        <v>0.52150000000000007</v>
      </c>
      <c r="P77" s="722">
        <f t="shared" ca="1" si="25"/>
        <v>6.8539999999999998E-3</v>
      </c>
      <c r="Q77" s="81">
        <f t="shared" ca="1" si="26"/>
        <v>1.6141666666666665</v>
      </c>
      <c r="R77" s="299"/>
      <c r="S77" s="299"/>
      <c r="T77" s="299"/>
      <c r="U77" s="299"/>
      <c r="V77" s="1130">
        <f t="shared" ref="V77" ca="1" si="44">IF(IF(RIGHT(H75,2)="PH",(1-L77)+$W$2,IF(RIGHT(H75,2)="HT",(1-L77)+$W$1,IF(RIGHT(H75,2)="SH",(1-L77)+$W$3,"")))&gt;0,IF(RIGHT(H75,2)="PH",(1-L77)+$W$2,IF(RIGHT(H75,2)="HT",(1-L77)+$W$1,IF(RIGHT(H75,2)="SH",(1-L77)+$W$3,""))),0)</f>
        <v>0.21000000000000002</v>
      </c>
      <c r="W77" s="297"/>
      <c r="X77" s="697">
        <f t="shared" ca="1" si="27"/>
        <v>0</v>
      </c>
      <c r="Y77" s="81">
        <f t="shared" ca="1" si="28"/>
        <v>0</v>
      </c>
      <c r="Z77" s="81">
        <f t="shared" ca="1" si="29"/>
        <v>0</v>
      </c>
      <c r="AA77" s="81">
        <f t="shared" ca="1" si="30"/>
        <v>0</v>
      </c>
      <c r="AB77" s="81">
        <f t="shared" ca="1" si="31"/>
        <v>0</v>
      </c>
      <c r="AD77" s="81">
        <v>2050</v>
      </c>
      <c r="AE77" s="705"/>
      <c r="AF77" s="220"/>
    </row>
    <row r="78" spans="2:32">
      <c r="B78" s="356" t="s">
        <v>969</v>
      </c>
      <c r="D78" s="212" t="str">
        <f>"AGR"&amp;RIGHT(H78,2)&amp;RIGHT(G78,3)&amp;"N"&amp;RIGHT(E78,1)</f>
        <v>AGRSHELCN8</v>
      </c>
      <c r="E78" s="261" t="str">
        <f>"Agriculture heating technology "&amp;$AJ$12&amp;" "&amp;RIGHT(H78,2)&amp;" - Electric boiler (Steam) - new 8"</f>
        <v>Agriculture heating technology Agriculture SH - Electric boiler (Steam) - new 8</v>
      </c>
      <c r="F78" s="224" t="s">
        <v>1107</v>
      </c>
      <c r="G78" s="173" t="s">
        <v>1941</v>
      </c>
      <c r="H78" s="174" t="str">
        <f>$AI$15</f>
        <v>AGDSH</v>
      </c>
      <c r="I78" s="174" t="str">
        <f t="shared" si="22"/>
        <v>AGRGWH</v>
      </c>
      <c r="J78" s="224">
        <f t="shared" si="32"/>
        <v>2011</v>
      </c>
      <c r="K78" s="298">
        <f>J78</f>
        <v>2011</v>
      </c>
      <c r="L78" s="199">
        <f t="shared" ca="1" si="23"/>
        <v>0.99</v>
      </c>
      <c r="M78" s="199"/>
      <c r="N78" s="81">
        <f ca="1">VLOOKUP($AD78,INDIRECT("'"&amp;$B78&amp;"'!"&amp;"$P$39:$AD$42"),5,FALSE)</f>
        <v>25</v>
      </c>
      <c r="O78" s="722">
        <f t="shared" ca="1" si="24"/>
        <v>0.59599999999999997</v>
      </c>
      <c r="P78" s="722">
        <f t="shared" ca="1" si="25"/>
        <v>7.9714999999999994E-3</v>
      </c>
      <c r="Q78" s="81">
        <f t="shared" ca="1" si="26"/>
        <v>1.7900694444444445</v>
      </c>
      <c r="R78" s="81">
        <v>3.1536000000000002E-2</v>
      </c>
      <c r="S78" s="199">
        <v>0.5</v>
      </c>
      <c r="T78" s="199">
        <f ca="1">HLOOKUP($T$2,INDIRECT("'"&amp;$B78&amp;"'!"&amp;"$P$6:$AC$19"),IF(H78=$AI$13,6,IF(H78=$AI$14,9,14)),FALSE)</f>
        <v>1</v>
      </c>
      <c r="U78" s="771"/>
      <c r="V78" s="1130">
        <f t="shared" ref="V78" ca="1" si="45">IF(IF(RIGHT(H78,2)="PH",(1-L78)+$W$2,IF(RIGHT(H78,2)="HT",(1-L78)+$W$1,IF(RIGHT(H78,2)="SH",(1-L78)+$W$3,"")))&gt;0,IF(RIGHT(H78,2)="PH",(1-L78)+$W$2,IF(RIGHT(H78,2)="HT",(1-L78)+$W$1,IF(RIGHT(H78,2)="SH",(1-L78)+$W$3,""))),0)</f>
        <v>1.0000000000000009E-2</v>
      </c>
      <c r="W78" s="297"/>
      <c r="X78" s="697">
        <f t="shared" ca="1" si="27"/>
        <v>0</v>
      </c>
      <c r="Y78" s="81">
        <f t="shared" ca="1" si="28"/>
        <v>0</v>
      </c>
      <c r="Z78" s="81">
        <f t="shared" ca="1" si="29"/>
        <v>0</v>
      </c>
      <c r="AA78" s="81">
        <f t="shared" ca="1" si="30"/>
        <v>0</v>
      </c>
      <c r="AB78" s="81">
        <f t="shared" ca="1" si="31"/>
        <v>0</v>
      </c>
      <c r="AC78" s="296"/>
      <c r="AD78" s="81">
        <v>2020</v>
      </c>
      <c r="AE78" s="81"/>
      <c r="AF78" s="709"/>
    </row>
    <row r="79" spans="2:32">
      <c r="B79" s="356" t="s">
        <v>969</v>
      </c>
      <c r="D79" s="212"/>
      <c r="E79" s="212"/>
      <c r="H79" s="174"/>
      <c r="I79" s="174" t="str">
        <f t="shared" si="22"/>
        <v>AGRGWH</v>
      </c>
      <c r="J79" s="224">
        <f t="shared" si="32"/>
        <v>2030</v>
      </c>
      <c r="K79" s="81"/>
      <c r="L79" s="199">
        <f t="shared" ca="1" si="23"/>
        <v>0.99</v>
      </c>
      <c r="M79" s="199"/>
      <c r="N79" s="81"/>
      <c r="O79" s="722">
        <f t="shared" ca="1" si="24"/>
        <v>0.52150000000000007</v>
      </c>
      <c r="P79" s="722">
        <f t="shared" ca="1" si="25"/>
        <v>7.5989999999999999E-3</v>
      </c>
      <c r="Q79" s="81">
        <f t="shared" ca="1" si="26"/>
        <v>1.8107638888888888</v>
      </c>
      <c r="R79" s="299"/>
      <c r="S79" s="299"/>
      <c r="T79" s="299"/>
      <c r="U79" s="299"/>
      <c r="V79" s="1130">
        <f t="shared" ref="V79" ca="1" si="46">IF(IF(RIGHT(H78,2)="PH",(1-L79)+$W$2,IF(RIGHT(H78,2)="HT",(1-L79)+$W$1,IF(RIGHT(H78,2)="SH",(1-L79)+$W$3,"")))&gt;0,IF(RIGHT(H78,2)="PH",(1-L79)+$W$2,IF(RIGHT(H78,2)="HT",(1-L79)+$W$1,IF(RIGHT(H78,2)="SH",(1-L79)+$W$3,""))),0)</f>
        <v>1.0000000000000009E-2</v>
      </c>
      <c r="W79" s="297"/>
      <c r="X79" s="697">
        <f t="shared" ca="1" si="27"/>
        <v>0</v>
      </c>
      <c r="Y79" s="81">
        <f t="shared" ca="1" si="28"/>
        <v>0</v>
      </c>
      <c r="Z79" s="81">
        <f t="shared" ca="1" si="29"/>
        <v>0</v>
      </c>
      <c r="AA79" s="81">
        <f t="shared" ca="1" si="30"/>
        <v>0</v>
      </c>
      <c r="AB79" s="81">
        <f t="shared" ca="1" si="31"/>
        <v>0</v>
      </c>
      <c r="AC79" s="55"/>
      <c r="AD79" s="81">
        <v>2030</v>
      </c>
      <c r="AE79" s="81"/>
      <c r="AF79" s="699"/>
    </row>
    <row r="80" spans="2:32">
      <c r="B80" s="356" t="s">
        <v>969</v>
      </c>
      <c r="D80" s="212"/>
      <c r="E80" s="212"/>
      <c r="H80" s="174"/>
      <c r="I80" s="174" t="str">
        <f t="shared" si="22"/>
        <v>AGRGWH</v>
      </c>
      <c r="J80" s="224">
        <f t="shared" si="32"/>
        <v>2050</v>
      </c>
      <c r="K80" s="705"/>
      <c r="L80" s="199">
        <f t="shared" ca="1" si="23"/>
        <v>0.99</v>
      </c>
      <c r="M80" s="773"/>
      <c r="N80" s="705"/>
      <c r="O80" s="723">
        <f t="shared" ca="1" si="24"/>
        <v>0.52150000000000007</v>
      </c>
      <c r="P80" s="723">
        <f t="shared" ca="1" si="25"/>
        <v>6.8539999999999998E-3</v>
      </c>
      <c r="Q80" s="705">
        <f t="shared" ca="1" si="26"/>
        <v>1.6141666666666665</v>
      </c>
      <c r="R80" s="299"/>
      <c r="S80" s="299"/>
      <c r="T80" s="299"/>
      <c r="U80" s="299"/>
      <c r="V80" s="1130">
        <f t="shared" ref="V80" ca="1" si="47">IF(IF(RIGHT(H78,2)="PH",(1-L80)+$W$2,IF(RIGHT(H78,2)="HT",(1-L80)+$W$1,IF(RIGHT(H78,2)="SH",(1-L80)+$W$3,"")))&gt;0,IF(RIGHT(H78,2)="PH",(1-L80)+$W$2,IF(RIGHT(H78,2)="HT",(1-L80)+$W$1,IF(RIGHT(H78,2)="SH",(1-L80)+$W$3,""))),0)</f>
        <v>1.0000000000000009E-2</v>
      </c>
      <c r="W80" s="297"/>
      <c r="X80" s="697">
        <f t="shared" ca="1" si="27"/>
        <v>0</v>
      </c>
      <c r="Y80" s="705">
        <f t="shared" ca="1" si="28"/>
        <v>0</v>
      </c>
      <c r="Z80" s="705">
        <f t="shared" ca="1" si="29"/>
        <v>0</v>
      </c>
      <c r="AA80" s="705">
        <f t="shared" ca="1" si="30"/>
        <v>0</v>
      </c>
      <c r="AB80" s="705">
        <f t="shared" ca="1" si="31"/>
        <v>0</v>
      </c>
      <c r="AC80" s="55"/>
      <c r="AD80" s="705">
        <v>2050</v>
      </c>
      <c r="AE80" s="81"/>
      <c r="AF80" s="699"/>
    </row>
    <row r="81" spans="1:33">
      <c r="B81" s="715" t="s">
        <v>969</v>
      </c>
      <c r="C81" s="296"/>
      <c r="D81" s="212" t="str">
        <f>"AGR"&amp;RIGHT(H81,2)&amp;RIGHT(G81,3)&amp;"N"&amp;RIGHT(E81,1)</f>
        <v>AGRPHELCN9</v>
      </c>
      <c r="E81" s="706" t="str">
        <f>"Agriculture heating technology "&amp;$AJ$12&amp;" "&amp;RIGHT(H81,2)&amp;" - Electric boiler (Hot Water) - new 9"</f>
        <v>Agriculture heating technology Agriculture PH - Electric boiler (Hot Water) - new 9</v>
      </c>
      <c r="F81" s="296" t="s">
        <v>1107</v>
      </c>
      <c r="G81" s="707" t="s">
        <v>1941</v>
      </c>
      <c r="H81" s="707" t="str">
        <f>$AI$14</f>
        <v>AGDPH</v>
      </c>
      <c r="I81" s="707" t="str">
        <f t="shared" si="22"/>
        <v>AGRGWH</v>
      </c>
      <c r="J81" s="224">
        <f t="shared" si="32"/>
        <v>2011</v>
      </c>
      <c r="K81" s="298">
        <f>J81</f>
        <v>2011</v>
      </c>
      <c r="L81" s="199">
        <f t="shared" ref="L81:L86" ca="1" si="48">VLOOKUP($AD81,INDIRECT("'"&amp;$B81&amp;"'!"&amp;"$P$118:$AD$121"),3,FALSE)</f>
        <v>0.99</v>
      </c>
      <c r="M81" s="199"/>
      <c r="N81" s="81">
        <f ca="1">VLOOKUP($AD81,INDIRECT("'"&amp;$B81&amp;"'!"&amp;"$P$118:$AD$121"),5,FALSE)</f>
        <v>25</v>
      </c>
      <c r="O81" s="722">
        <f t="shared" ref="O81:O86" ca="1" si="49">VLOOKUP($AD81,INDIRECT("'"&amp;$B81&amp;"'!"&amp;"$P$118:$AD$121"),6,FALSE)/1000</f>
        <v>0.52150000000000007</v>
      </c>
      <c r="P81" s="722">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2"/>
      <c r="V81" s="1130">
        <f t="shared" ref="V81" ca="1" si="52">IF(IF(RIGHT(H81,2)="PH",(1-L81)+$W$2,IF(RIGHT(H81,2)="HT",(1-L81)+$W$1,IF(RIGHT(H81,2)="SH",(1-L81)+$W$3,"")))&gt;0,IF(RIGHT(H81,2)="PH",(1-L81)+$W$2,IF(RIGHT(H81,2)="HT",(1-L81)+$W$1,IF(RIGHT(H81,2)="SH",(1-L81)+$W$3,""))),0)</f>
        <v>0.21000000000000002</v>
      </c>
      <c r="W81" s="708"/>
      <c r="X81" s="697">
        <f t="shared" ca="1" si="27"/>
        <v>0</v>
      </c>
      <c r="Y81" s="697">
        <f t="shared" ref="Y81:Y86" ca="1" si="53">VLOOKUP($AD81,INDIRECT("'"&amp;$B81&amp;"'!"&amp;"$P$118:$AD$121"),12,FALSE)</f>
        <v>0</v>
      </c>
      <c r="Z81" s="697">
        <f t="shared" ref="Z81:Z86" ca="1" si="54">VLOOKUP($AD81,INDIRECT("'"&amp;$B81&amp;"'!"&amp;"$P$118:$AD$121"),13,FALSE)</f>
        <v>0</v>
      </c>
      <c r="AA81" s="697">
        <f t="shared" ref="AA81:AA86" ca="1" si="55">VLOOKUP($AD81,INDIRECT("'"&amp;$B81&amp;"'!"&amp;"$P$118:$AD$121"),14,FALSE)</f>
        <v>0</v>
      </c>
      <c r="AB81" s="697">
        <f t="shared" ref="AB81:AB86" ca="1" si="56">VLOOKUP($AD81,INDIRECT("'"&amp;$B81&amp;"'!"&amp;"$P$118:$AD$121"),15,FALSE)</f>
        <v>0</v>
      </c>
      <c r="AC81" s="55"/>
      <c r="AD81" s="81">
        <v>2020</v>
      </c>
      <c r="AE81" s="81"/>
      <c r="AF81" s="699"/>
    </row>
    <row r="82" spans="1:33">
      <c r="B82" s="356" t="s">
        <v>969</v>
      </c>
      <c r="C82" s="55"/>
      <c r="D82" s="261"/>
      <c r="E82" s="261"/>
      <c r="F82" s="55"/>
      <c r="G82" s="55"/>
      <c r="H82" s="174"/>
      <c r="I82" s="174" t="str">
        <f t="shared" si="22"/>
        <v>AGRGWH</v>
      </c>
      <c r="J82" s="224">
        <f t="shared" si="32"/>
        <v>2030</v>
      </c>
      <c r="K82" s="81"/>
      <c r="L82" s="199">
        <f t="shared" ca="1" si="48"/>
        <v>0.99</v>
      </c>
      <c r="M82" s="199"/>
      <c r="N82" s="81"/>
      <c r="O82" s="722">
        <f t="shared" ca="1" si="49"/>
        <v>0.44700000000000001</v>
      </c>
      <c r="P82" s="722">
        <f t="shared" ca="1" si="50"/>
        <v>7.5989999999999999E-3</v>
      </c>
      <c r="Q82" s="81">
        <f t="shared" ca="1" si="51"/>
        <v>1.8107638888888888</v>
      </c>
      <c r="R82" s="299"/>
      <c r="S82" s="299"/>
      <c r="T82" s="299"/>
      <c r="U82" s="299"/>
      <c r="V82" s="1130">
        <f t="shared" ref="V82" ca="1" si="57">IF(IF(RIGHT(H81,2)="PH",(1-L82)+$W$2,IF(RIGHT(H81,2)="HT",(1-L82)+$W$1,IF(RIGHT(H81,2)="SH",(1-L82)+$W$3,"")))&gt;0,IF(RIGHT(H81,2)="PH",(1-L82)+$W$2,IF(RIGHT(H81,2)="HT",(1-L82)+$W$1,IF(RIGHT(H81,2)="SH",(1-L82)+$W$3,""))),0)</f>
        <v>0.21000000000000002</v>
      </c>
      <c r="W82" s="297"/>
      <c r="X82" s="697">
        <f t="shared" ca="1" si="27"/>
        <v>0</v>
      </c>
      <c r="Y82" s="697">
        <f t="shared" ca="1" si="53"/>
        <v>0</v>
      </c>
      <c r="Z82" s="697">
        <f t="shared" ca="1" si="54"/>
        <v>0</v>
      </c>
      <c r="AA82" s="697">
        <f t="shared" ca="1" si="55"/>
        <v>0</v>
      </c>
      <c r="AB82" s="697">
        <f t="shared" ca="1" si="56"/>
        <v>0</v>
      </c>
      <c r="AC82" s="55"/>
      <c r="AD82" s="81">
        <v>2030</v>
      </c>
      <c r="AE82" s="81"/>
      <c r="AF82" s="699"/>
    </row>
    <row r="83" spans="1:33">
      <c r="B83" s="356" t="s">
        <v>969</v>
      </c>
      <c r="C83" s="55"/>
      <c r="D83" s="261"/>
      <c r="E83" s="261"/>
      <c r="F83" s="55"/>
      <c r="G83" s="55"/>
      <c r="H83" s="174"/>
      <c r="I83" s="174" t="str">
        <f t="shared" si="22"/>
        <v>AGRGWH</v>
      </c>
      <c r="J83" s="224">
        <f t="shared" si="32"/>
        <v>2050</v>
      </c>
      <c r="K83" s="81"/>
      <c r="L83" s="199">
        <f t="shared" ca="1" si="48"/>
        <v>0.99</v>
      </c>
      <c r="M83" s="199"/>
      <c r="N83" s="81"/>
      <c r="O83" s="722">
        <f t="shared" ca="1" si="49"/>
        <v>0.44700000000000001</v>
      </c>
      <c r="P83" s="722">
        <f t="shared" ca="1" si="50"/>
        <v>6.8539999999999998E-3</v>
      </c>
      <c r="Q83" s="81">
        <f t="shared" ca="1" si="51"/>
        <v>1.6141666666666665</v>
      </c>
      <c r="R83" s="299"/>
      <c r="S83" s="299"/>
      <c r="T83" s="299"/>
      <c r="U83" s="299"/>
      <c r="V83" s="1130">
        <f t="shared" ref="V83" ca="1" si="58">IF(IF(RIGHT(H81,2)="PH",(1-L83)+$W$2,IF(RIGHT(H81,2)="HT",(1-L83)+$W$1,IF(RIGHT(H81,2)="SH",(1-L83)+$W$3,"")))&gt;0,IF(RIGHT(H81,2)="PH",(1-L83)+$W$2,IF(RIGHT(H81,2)="HT",(1-L83)+$W$1,IF(RIGHT(H81,2)="SH",(1-L83)+$W$3,""))),0)</f>
        <v>0.21000000000000002</v>
      </c>
      <c r="W83" s="297"/>
      <c r="X83" s="697">
        <f t="shared" ca="1" si="27"/>
        <v>0</v>
      </c>
      <c r="Y83" s="697">
        <f t="shared" ca="1" si="53"/>
        <v>0</v>
      </c>
      <c r="Z83" s="697">
        <f t="shared" ca="1" si="54"/>
        <v>0</v>
      </c>
      <c r="AA83" s="697">
        <f t="shared" ca="1" si="55"/>
        <v>0</v>
      </c>
      <c r="AB83" s="697">
        <f t="shared" ca="1" si="56"/>
        <v>0</v>
      </c>
      <c r="AC83" s="203"/>
      <c r="AD83" s="81">
        <v>2050</v>
      </c>
      <c r="AE83" s="81"/>
      <c r="AF83" s="704"/>
    </row>
    <row r="84" spans="1:33">
      <c r="B84" s="356" t="s">
        <v>969</v>
      </c>
      <c r="C84" s="55"/>
      <c r="D84" s="212" t="str">
        <f>"AGR"&amp;RIGHT(H84,2)&amp;RIGHT(G84,3)&amp;"N"&amp;RIGHT(E84,1)</f>
        <v>AGRSHELCN9</v>
      </c>
      <c r="E84" s="261" t="str">
        <f>"Agriculture heating technology "&amp;$AJ$12&amp;" "&amp;RIGHT(H84,2)&amp;" - Electric boiler (Hot Water) - new 9"</f>
        <v>Agriculture heating technology Agriculture SH - Electric boiler (Hot Water) - new 9</v>
      </c>
      <c r="F84" s="55" t="s">
        <v>1107</v>
      </c>
      <c r="G84" s="174" t="s">
        <v>1941</v>
      </c>
      <c r="H84" s="174" t="str">
        <f>$AI$15</f>
        <v>AGDSH</v>
      </c>
      <c r="I84" s="174" t="str">
        <f t="shared" si="22"/>
        <v>AGRGWH</v>
      </c>
      <c r="J84" s="224">
        <f t="shared" si="32"/>
        <v>2011</v>
      </c>
      <c r="K84" s="298">
        <f>J84</f>
        <v>2011</v>
      </c>
      <c r="L84" s="199">
        <f t="shared" ca="1" si="48"/>
        <v>0.99</v>
      </c>
      <c r="M84" s="199"/>
      <c r="N84" s="81">
        <f ca="1">VLOOKUP($AD84,INDIRECT("'"&amp;$B84&amp;"'!"&amp;"$P$118:$AD$121"),5,FALSE)</f>
        <v>25</v>
      </c>
      <c r="O84" s="722">
        <f t="shared" ca="1" si="49"/>
        <v>0.52150000000000007</v>
      </c>
      <c r="P84" s="722">
        <f t="shared" ca="1" si="50"/>
        <v>7.9714999999999994E-3</v>
      </c>
      <c r="Q84" s="81">
        <f t="shared" ca="1" si="51"/>
        <v>1.7900694444444445</v>
      </c>
      <c r="R84" s="81">
        <v>3.1536000000000002E-2</v>
      </c>
      <c r="S84" s="199">
        <v>0.5</v>
      </c>
      <c r="T84" s="199">
        <f ca="1">HLOOKUP($T$2,INDIRECT("'"&amp;$B84&amp;"'!"&amp;"$P$85:$AC$98"),IF(H84=$AI$13,6,IF(H84=$AI$14,9,14)),FALSE)</f>
        <v>1</v>
      </c>
      <c r="U84" s="771"/>
      <c r="V84" s="1130">
        <f t="shared" ref="V84" ca="1" si="59">IF(IF(RIGHT(H84,2)="PH",(1-L84)+$W$2,IF(RIGHT(H84,2)="HT",(1-L84)+$W$1,IF(RIGHT(H84,2)="SH",(1-L84)+$W$3,"")))&gt;0,IF(RIGHT(H84,2)="PH",(1-L84)+$W$2,IF(RIGHT(H84,2)="HT",(1-L84)+$W$1,IF(RIGHT(H84,2)="SH",(1-L84)+$W$3,""))),0)</f>
        <v>1.0000000000000009E-2</v>
      </c>
      <c r="W84" s="297"/>
      <c r="X84" s="697">
        <f t="shared" ca="1" si="27"/>
        <v>0</v>
      </c>
      <c r="Y84" s="697">
        <f t="shared" ca="1" si="53"/>
        <v>0</v>
      </c>
      <c r="Z84" s="697">
        <f t="shared" ca="1" si="54"/>
        <v>0</v>
      </c>
      <c r="AA84" s="697">
        <f t="shared" ca="1" si="55"/>
        <v>0</v>
      </c>
      <c r="AB84" s="697">
        <f t="shared" ca="1" si="56"/>
        <v>0</v>
      </c>
      <c r="AD84" s="81">
        <v>2020</v>
      </c>
      <c r="AE84" s="298"/>
      <c r="AF84" s="220"/>
    </row>
    <row r="85" spans="1:33">
      <c r="B85" s="356" t="s">
        <v>969</v>
      </c>
      <c r="C85" s="55"/>
      <c r="D85" s="261"/>
      <c r="E85" s="261"/>
      <c r="F85" s="55"/>
      <c r="G85" s="55"/>
      <c r="H85" s="174"/>
      <c r="I85" s="174" t="str">
        <f t="shared" si="22"/>
        <v>AGRGWH</v>
      </c>
      <c r="J85" s="224">
        <f t="shared" si="32"/>
        <v>2030</v>
      </c>
      <c r="K85" s="81"/>
      <c r="L85" s="199">
        <f t="shared" ca="1" si="48"/>
        <v>0.99</v>
      </c>
      <c r="M85" s="199"/>
      <c r="N85" s="81"/>
      <c r="O85" s="722">
        <f t="shared" ca="1" si="49"/>
        <v>0.44700000000000001</v>
      </c>
      <c r="P85" s="722">
        <f t="shared" ca="1" si="50"/>
        <v>7.5989999999999999E-3</v>
      </c>
      <c r="Q85" s="81">
        <f t="shared" ca="1" si="51"/>
        <v>1.8107638888888888</v>
      </c>
      <c r="R85" s="299"/>
      <c r="S85" s="299"/>
      <c r="T85" s="299"/>
      <c r="U85" s="299"/>
      <c r="V85" s="1130">
        <f t="shared" ref="V85" ca="1" si="60">IF(IF(RIGHT(H84,2)="PH",(1-L85)+$W$2,IF(RIGHT(H84,2)="HT",(1-L85)+$W$1,IF(RIGHT(H84,2)="SH",(1-L85)+$W$3,"")))&gt;0,IF(RIGHT(H84,2)="PH",(1-L85)+$W$2,IF(RIGHT(H84,2)="HT",(1-L85)+$W$1,IF(RIGHT(H84,2)="SH",(1-L85)+$W$3,""))),0)</f>
        <v>1.0000000000000009E-2</v>
      </c>
      <c r="W85" s="297"/>
      <c r="X85" s="697">
        <f t="shared" ca="1" si="27"/>
        <v>0</v>
      </c>
      <c r="Y85" s="697">
        <f t="shared" ca="1" si="53"/>
        <v>0</v>
      </c>
      <c r="Z85" s="697">
        <f t="shared" ca="1" si="54"/>
        <v>0</v>
      </c>
      <c r="AA85" s="697">
        <f t="shared" ca="1" si="55"/>
        <v>0</v>
      </c>
      <c r="AB85" s="697">
        <f t="shared" ca="1" si="56"/>
        <v>0</v>
      </c>
      <c r="AD85" s="81">
        <v>2030</v>
      </c>
      <c r="AE85" s="81"/>
      <c r="AF85" s="220"/>
    </row>
    <row r="86" spans="1:33">
      <c r="B86" s="355" t="s">
        <v>969</v>
      </c>
      <c r="C86" s="203"/>
      <c r="D86" s="700"/>
      <c r="E86" s="700"/>
      <c r="F86" s="203"/>
      <c r="G86" s="203"/>
      <c r="H86" s="701"/>
      <c r="I86" s="701" t="str">
        <f t="shared" si="22"/>
        <v>AGRGWH</v>
      </c>
      <c r="J86" s="224">
        <f t="shared" si="32"/>
        <v>2050</v>
      </c>
      <c r="K86" s="81"/>
      <c r="L86" s="199">
        <f t="shared" ca="1" si="48"/>
        <v>0.99</v>
      </c>
      <c r="M86" s="199"/>
      <c r="N86" s="81"/>
      <c r="O86" s="722">
        <f t="shared" ca="1" si="49"/>
        <v>0.44700000000000001</v>
      </c>
      <c r="P86" s="722">
        <f t="shared" ca="1" si="50"/>
        <v>6.8539999999999998E-3</v>
      </c>
      <c r="Q86" s="81">
        <f t="shared" ca="1" si="51"/>
        <v>1.6141666666666665</v>
      </c>
      <c r="R86" s="702"/>
      <c r="S86" s="702"/>
      <c r="T86" s="702"/>
      <c r="U86" s="702"/>
      <c r="V86" s="1130">
        <f t="shared" ref="V86" ca="1" si="61">IF(IF(RIGHT(H84,2)="PH",(1-L86)+$W$2,IF(RIGHT(H84,2)="HT",(1-L86)+$W$1,IF(RIGHT(H84,2)="SH",(1-L86)+$W$3,"")))&gt;0,IF(RIGHT(H84,2)="PH",(1-L86)+$W$2,IF(RIGHT(H84,2)="HT",(1-L86)+$W$1,IF(RIGHT(H84,2)="SH",(1-L86)+$W$3,""))),0)</f>
        <v>1.0000000000000009E-2</v>
      </c>
      <c r="W86" s="703"/>
      <c r="X86" s="697">
        <f t="shared" ca="1" si="27"/>
        <v>0</v>
      </c>
      <c r="Y86" s="697">
        <f t="shared" ca="1" si="53"/>
        <v>0</v>
      </c>
      <c r="Z86" s="697">
        <f t="shared" ca="1" si="54"/>
        <v>0</v>
      </c>
      <c r="AA86" s="697">
        <f t="shared" ca="1" si="55"/>
        <v>0</v>
      </c>
      <c r="AB86" s="697">
        <f t="shared" ca="1" si="56"/>
        <v>0</v>
      </c>
      <c r="AD86" s="81">
        <v>2050</v>
      </c>
      <c r="AE86" s="81"/>
      <c r="AF86" s="220"/>
    </row>
    <row r="87" spans="1:33">
      <c r="B87" s="356" t="s">
        <v>970</v>
      </c>
      <c r="D87" s="212" t="str">
        <f>"AGR"&amp;RIGHT(H87,2)&amp;RIGHT(G87,3)&amp;"N"&amp;RIGHT(E87,1)</f>
        <v>AGRPHWCHN1</v>
      </c>
      <c r="E87" s="261" t="str">
        <f>"Agriculture heating technology "&amp;$AJ$12&amp;" "&amp;RIGHT(H87,2)&amp;" - Wood chip boiler (Steam) - new 1"</f>
        <v>Agriculture heating technology Agriculture PH - Wood chip boiler (Steam) - new 1</v>
      </c>
      <c r="F87" s="224" t="s">
        <v>1107</v>
      </c>
      <c r="G87" s="173" t="s">
        <v>1943</v>
      </c>
      <c r="H87" s="174" t="str">
        <f>$AI$13</f>
        <v>AGDPH</v>
      </c>
      <c r="I87" s="174" t="str">
        <f t="shared" si="22"/>
        <v>AGRGWH</v>
      </c>
      <c r="J87" s="224">
        <f t="shared" si="32"/>
        <v>2011</v>
      </c>
      <c r="K87" s="298">
        <v>2020</v>
      </c>
      <c r="L87" s="199">
        <f t="shared" ref="L87:L95" ca="1" si="62">VLOOKUP($AD87,INDIRECT("'"&amp;$B87&amp;"'!"&amp;"$P$39:$AD$42"),3,FALSE)</f>
        <v>0.89</v>
      </c>
      <c r="M87" s="698"/>
      <c r="N87" s="298">
        <f ca="1">VLOOKUP($AD87,INDIRECT("'"&amp;$B87&amp;"'!"&amp;"$P$39:$AD$42"),5,FALSE)</f>
        <v>25</v>
      </c>
      <c r="O87" s="724">
        <f t="shared" ref="O87:O95" ca="1" si="63">VLOOKUP($AD87,INDIRECT("'"&amp;$B87&amp;"'!"&amp;"$P$39:$AD$42"),6,FALSE)/1000</f>
        <v>4.6054545454545455</v>
      </c>
      <c r="P87" s="724">
        <f t="shared" ref="P87:P95" ca="1" si="64">VLOOKUP($AD87,INDIRECT("'"&amp;$B87&amp;"'!"&amp;"$P$39:$AD$42"),7,FALSE)/1000</f>
        <v>0.25106499999999998</v>
      </c>
      <c r="Q87" s="298">
        <f t="shared" ref="Q87:Q95" ca="1" si="65">VLOOKUP($AD87,INDIRECT("'"&amp;$B87&amp;"'!"&amp;"$P$39:$AD$42"),8,FALSE)</f>
        <v>5.7509861111111107</v>
      </c>
      <c r="R87" s="298">
        <v>3.1536000000000002E-2</v>
      </c>
      <c r="S87" s="698">
        <v>0.5</v>
      </c>
      <c r="T87" s="698">
        <f ca="1">HLOOKUP($T$2,INDIRECT("'"&amp;$B87&amp;"'!"&amp;"$P$6:$AC$19"),IF(H87=$AI$13,6,IF(H87=$AI$14,9,14)),FALSE)</f>
        <v>1</v>
      </c>
      <c r="U87" s="771"/>
      <c r="V87" s="1130">
        <f t="shared" ref="V87" ca="1" si="66">IF(IF(RIGHT(H87,2)="PH",(1-L87)+$W$2,IF(RIGHT(H87,2)="HT",(1-L87)+$W$1,IF(RIGHT(H87,2)="SH",(1-L87)+$W$3,"")))&gt;0,IF(RIGHT(H87,2)="PH",(1-L87)+$W$2,IF(RIGHT(H87,2)="HT",(1-L87)+$W$1,IF(RIGHT(H87,2)="SH",(1-L87)+$W$3,""))),0)</f>
        <v>0.31</v>
      </c>
      <c r="W87" s="297"/>
      <c r="X87" s="697">
        <f t="shared" ca="1" si="27"/>
        <v>11</v>
      </c>
      <c r="Y87" s="298">
        <f t="shared" ref="Y87:Y95" ca="1" si="67">VLOOKUP($AD87,INDIRECT("'"&amp;$B87&amp;"'!"&amp;"$P$39:$AD$42"),12,FALSE)</f>
        <v>63</v>
      </c>
      <c r="Z87" s="298">
        <f t="shared" ref="Z87:Z95" ca="1" si="68">VLOOKUP($AD87,INDIRECT("'"&amp;$B87&amp;"'!"&amp;"$P$39:$AD$42"),13,FALSE)</f>
        <v>11</v>
      </c>
      <c r="AA87" s="298">
        <f t="shared" ref="AA87:AA95" ca="1" si="69">VLOOKUP($AD87,INDIRECT("'"&amp;$B87&amp;"'!"&amp;"$P$39:$AD$42"),14,FALSE)</f>
        <v>3</v>
      </c>
      <c r="AB87" s="298">
        <f t="shared" ref="AB87:AB95" ca="1" si="70">VLOOKUP($AD87,INDIRECT("'"&amp;$B87&amp;"'!"&amp;"$P$39:$AD$42"),15,FALSE)</f>
        <v>10</v>
      </c>
      <c r="AD87" s="298">
        <v>2020</v>
      </c>
      <c r="AE87" s="81"/>
      <c r="AF87" s="220"/>
    </row>
    <row r="88" spans="1:33">
      <c r="B88" s="356" t="s">
        <v>970</v>
      </c>
      <c r="D88" s="212"/>
      <c r="E88" s="212"/>
      <c r="H88" s="174"/>
      <c r="I88" s="174" t="str">
        <f t="shared" si="22"/>
        <v>AGRGWH</v>
      </c>
      <c r="J88" s="224">
        <f t="shared" si="32"/>
        <v>2030</v>
      </c>
      <c r="K88" s="81"/>
      <c r="L88" s="199">
        <f t="shared" ca="1" si="62"/>
        <v>0.89</v>
      </c>
      <c r="M88" s="199"/>
      <c r="N88" s="81"/>
      <c r="O88" s="722">
        <f t="shared" ca="1" si="63"/>
        <v>4.4022727272727264</v>
      </c>
      <c r="P88" s="722">
        <f t="shared" ca="1" si="64"/>
        <v>0.267455</v>
      </c>
      <c r="Q88" s="81">
        <f t="shared" ca="1" si="65"/>
        <v>5.8461805555555557</v>
      </c>
      <c r="R88" s="299"/>
      <c r="S88" s="299"/>
      <c r="T88" s="299"/>
      <c r="U88" s="299"/>
      <c r="V88" s="1130">
        <f t="shared" ref="V88" ca="1" si="71">IF(IF(RIGHT(H87,2)="PH",(1-L88)+$W$2,IF(RIGHT(H87,2)="HT",(1-L88)+$W$1,IF(RIGHT(H87,2)="SH",(1-L88)+$W$3,"")))&gt;0,IF(RIGHT(H87,2)="PH",(1-L88)+$W$2,IF(RIGHT(H87,2)="HT",(1-L88)+$W$1,IF(RIGHT(H87,2)="SH",(1-L88)+$W$3,""))),0)</f>
        <v>0.31</v>
      </c>
      <c r="W88" s="297"/>
      <c r="X88" s="697">
        <f t="shared" ca="1" si="27"/>
        <v>11</v>
      </c>
      <c r="Y88" s="81">
        <f t="shared" ca="1" si="67"/>
        <v>49</v>
      </c>
      <c r="Z88" s="81">
        <f t="shared" ca="1" si="68"/>
        <v>8</v>
      </c>
      <c r="AA88" s="81">
        <f t="shared" ca="1" si="69"/>
        <v>3</v>
      </c>
      <c r="AB88" s="81">
        <f t="shared" ca="1" si="70"/>
        <v>10</v>
      </c>
      <c r="AD88" s="81">
        <v>2030</v>
      </c>
      <c r="AE88" s="81"/>
      <c r="AF88" s="220"/>
    </row>
    <row r="89" spans="1:33">
      <c r="B89" s="356" t="s">
        <v>970</v>
      </c>
      <c r="D89" s="212"/>
      <c r="E89" s="212"/>
      <c r="H89" s="174"/>
      <c r="I89" s="174" t="str">
        <f t="shared" si="22"/>
        <v>AGRGWH</v>
      </c>
      <c r="J89" s="224">
        <f t="shared" si="32"/>
        <v>2050</v>
      </c>
      <c r="K89" s="81"/>
      <c r="L89" s="199">
        <f t="shared" ca="1" si="62"/>
        <v>0.9</v>
      </c>
      <c r="M89" s="199"/>
      <c r="N89" s="81"/>
      <c r="O89" s="722">
        <f t="shared" ca="1" si="63"/>
        <v>3.9959090909090902</v>
      </c>
      <c r="P89" s="722">
        <f t="shared" ca="1" si="64"/>
        <v>0.25106499999999998</v>
      </c>
      <c r="Q89" s="81">
        <f t="shared" ca="1" si="65"/>
        <v>5.8937777777777782</v>
      </c>
      <c r="R89" s="299"/>
      <c r="S89" s="299"/>
      <c r="T89" s="299"/>
      <c r="U89" s="299"/>
      <c r="V89" s="1130">
        <f t="shared" ref="V89" ca="1" si="72">IF(IF(RIGHT(H87,2)="PH",(1-L89)+$W$2,IF(RIGHT(H87,2)="HT",(1-L89)+$W$1,IF(RIGHT(H87,2)="SH",(1-L89)+$W$3,"")))&gt;0,IF(RIGHT(H87,2)="PH",(1-L89)+$W$2,IF(RIGHT(H87,2)="HT",(1-L89)+$W$1,IF(RIGHT(H87,2)="SH",(1-L89)+$W$3,""))),0)</f>
        <v>0.3</v>
      </c>
      <c r="W89" s="297"/>
      <c r="X89" s="697">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6" t="s">
        <v>970</v>
      </c>
      <c r="C90" s="224"/>
      <c r="D90" s="212" t="str">
        <f>"AGR"&amp;RIGHT(H90,2)&amp;RIGHT(G90,3)&amp;"N"&amp;RIGHT(E90,1)</f>
        <v>AGRPHWCHN1</v>
      </c>
      <c r="E90" s="261" t="str">
        <f>"Agriculture heating technology "&amp;$AJ$12&amp;" "&amp;RIGHT(H90,2)&amp;" - Wood chip boiler (Steam) - new 1"</f>
        <v>Agriculture heating technology Agriculture PH - Wood chip boiler (Steam) - new 1</v>
      </c>
      <c r="F90" s="224" t="s">
        <v>1107</v>
      </c>
      <c r="G90" s="173" t="s">
        <v>1943</v>
      </c>
      <c r="H90" s="174" t="str">
        <f>$AI$14</f>
        <v>AGDPH</v>
      </c>
      <c r="I90" s="174" t="str">
        <f t="shared" si="22"/>
        <v>AGRGWH</v>
      </c>
      <c r="J90" s="224">
        <f t="shared" si="32"/>
        <v>2011</v>
      </c>
      <c r="K90" s="298">
        <v>2020</v>
      </c>
      <c r="L90" s="199">
        <f t="shared" ca="1" si="62"/>
        <v>0.89</v>
      </c>
      <c r="M90" s="199"/>
      <c r="N90" s="81">
        <f ca="1">VLOOKUP($AD90,INDIRECT("'"&amp;$B90&amp;"'!"&amp;"$P$39:$AD$42"),5,FALSE)</f>
        <v>25</v>
      </c>
      <c r="O90" s="722">
        <f t="shared" ca="1" si="63"/>
        <v>4.6054545454545455</v>
      </c>
      <c r="P90" s="722">
        <f t="shared" ca="1" si="64"/>
        <v>0.25106499999999998</v>
      </c>
      <c r="Q90" s="81">
        <f t="shared" ca="1" si="65"/>
        <v>5.7509861111111107</v>
      </c>
      <c r="R90" s="81">
        <v>3.1536000000000002E-2</v>
      </c>
      <c r="S90" s="199">
        <v>0.5</v>
      </c>
      <c r="T90" s="199">
        <f ca="1">HLOOKUP($T$2,INDIRECT("'"&amp;$B90&amp;"'!"&amp;"$P$6:$AC$19"),IF(H90=$AI$13,6,IF(H90=$AI$14,9,14)),FALSE)</f>
        <v>1</v>
      </c>
      <c r="U90" s="771"/>
      <c r="V90" s="1130">
        <f t="shared" ref="V90" ca="1" si="73">IF(IF(RIGHT(H90,2)="PH",(1-L90)+$W$2,IF(RIGHT(H90,2)="HT",(1-L90)+$W$1,IF(RIGHT(H90,2)="SH",(1-L90)+$W$3,"")))&gt;0,IF(RIGHT(H90,2)="PH",(1-L90)+$W$2,IF(RIGHT(H90,2)="HT",(1-L90)+$W$1,IF(RIGHT(H90,2)="SH",(1-L90)+$W$3,""))),0)</f>
        <v>0.31</v>
      </c>
      <c r="W90" s="297"/>
      <c r="X90" s="697">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6" t="s">
        <v>970</v>
      </c>
      <c r="C91" s="224"/>
      <c r="D91" s="212"/>
      <c r="E91" s="212"/>
      <c r="F91" s="224"/>
      <c r="G91" s="224"/>
      <c r="H91" s="174"/>
      <c r="I91" s="174" t="str">
        <f t="shared" si="22"/>
        <v>AGRGWH</v>
      </c>
      <c r="J91" s="224">
        <f t="shared" si="32"/>
        <v>2030</v>
      </c>
      <c r="K91" s="81"/>
      <c r="L91" s="199">
        <f t="shared" ca="1" si="62"/>
        <v>0.89</v>
      </c>
      <c r="M91" s="199"/>
      <c r="N91" s="81"/>
      <c r="O91" s="722">
        <f t="shared" ca="1" si="63"/>
        <v>4.4022727272727264</v>
      </c>
      <c r="P91" s="722">
        <f t="shared" ca="1" si="64"/>
        <v>0.267455</v>
      </c>
      <c r="Q91" s="81">
        <f t="shared" ca="1" si="65"/>
        <v>5.8461805555555557</v>
      </c>
      <c r="R91" s="299"/>
      <c r="S91" s="299"/>
      <c r="T91" s="299"/>
      <c r="U91" s="299"/>
      <c r="V91" s="1130">
        <f t="shared" ref="V91" ca="1" si="74">IF(IF(RIGHT(H90,2)="PH",(1-L91)+$W$2,IF(RIGHT(H90,2)="HT",(1-L91)+$W$1,IF(RIGHT(H90,2)="SH",(1-L91)+$W$3,"")))&gt;0,IF(RIGHT(H90,2)="PH",(1-L91)+$W$2,IF(RIGHT(H90,2)="HT",(1-L91)+$W$1,IF(RIGHT(H90,2)="SH",(1-L91)+$W$3,""))),0)</f>
        <v>0.31</v>
      </c>
      <c r="W91" s="297"/>
      <c r="X91" s="697">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6" t="s">
        <v>970</v>
      </c>
      <c r="C92" s="224"/>
      <c r="D92" s="212"/>
      <c r="E92" s="212"/>
      <c r="F92" s="224"/>
      <c r="G92" s="224"/>
      <c r="H92" s="174"/>
      <c r="I92" s="174" t="str">
        <f t="shared" si="22"/>
        <v>AGRGWH</v>
      </c>
      <c r="J92" s="224">
        <f t="shared" si="32"/>
        <v>2050</v>
      </c>
      <c r="K92" s="81"/>
      <c r="L92" s="199">
        <f t="shared" ca="1" si="62"/>
        <v>0.9</v>
      </c>
      <c r="M92" s="199"/>
      <c r="N92" s="81"/>
      <c r="O92" s="722">
        <f t="shared" ca="1" si="63"/>
        <v>3.9959090909090902</v>
      </c>
      <c r="P92" s="722">
        <f t="shared" ca="1" si="64"/>
        <v>0.25106499999999998</v>
      </c>
      <c r="Q92" s="81">
        <f t="shared" ca="1" si="65"/>
        <v>5.8937777777777782</v>
      </c>
      <c r="R92" s="299"/>
      <c r="S92" s="299"/>
      <c r="T92" s="299"/>
      <c r="U92" s="299"/>
      <c r="V92" s="1130">
        <f t="shared" ref="V92" ca="1" si="75">IF(IF(RIGHT(H90,2)="PH",(1-L92)+$W$2,IF(RIGHT(H90,2)="HT",(1-L92)+$W$1,IF(RIGHT(H90,2)="SH",(1-L92)+$W$3,"")))&gt;0,IF(RIGHT(H90,2)="PH",(1-L92)+$W$2,IF(RIGHT(H90,2)="HT",(1-L92)+$W$1,IF(RIGHT(H90,2)="SH",(1-L92)+$W$3,""))),0)</f>
        <v>0.3</v>
      </c>
      <c r="W92" s="297"/>
      <c r="X92" s="697">
        <f t="shared" ca="1" si="27"/>
        <v>11</v>
      </c>
      <c r="Y92" s="81">
        <f t="shared" ca="1" si="67"/>
        <v>41</v>
      </c>
      <c r="Z92" s="81">
        <f t="shared" ca="1" si="68"/>
        <v>4</v>
      </c>
      <c r="AA92" s="81">
        <f t="shared" ca="1" si="69"/>
        <v>1</v>
      </c>
      <c r="AB92" s="81">
        <f t="shared" ca="1" si="70"/>
        <v>10</v>
      </c>
      <c r="AC92" s="224"/>
      <c r="AD92" s="81">
        <v>2050</v>
      </c>
      <c r="AE92" s="705"/>
      <c r="AF92" s="220"/>
    </row>
    <row r="93" spans="1:33" s="226" customFormat="1">
      <c r="A93" s="224"/>
      <c r="B93" s="356" t="s">
        <v>970</v>
      </c>
      <c r="C93" s="224"/>
      <c r="D93" s="212" t="str">
        <f>"AGR"&amp;RIGHT(H93,2)&amp;RIGHT(G93,3)&amp;"N"&amp;RIGHT(E93,1)</f>
        <v>AGRSHWCHN1</v>
      </c>
      <c r="E93" s="261" t="str">
        <f>"Agriculture heating technology "&amp;$AJ$12&amp;" "&amp;RIGHT(H93,2)&amp;" - Wood chip boiler (Steam) - new 1"</f>
        <v>Agriculture heating technology Agriculture SH - Wood chip boiler (Steam) - new 1</v>
      </c>
      <c r="F93" s="224" t="s">
        <v>1107</v>
      </c>
      <c r="G93" s="173" t="s">
        <v>1943</v>
      </c>
      <c r="H93" s="174" t="str">
        <f>$AI$15</f>
        <v>AGDSH</v>
      </c>
      <c r="I93" s="174" t="str">
        <f t="shared" si="22"/>
        <v>AGRGWH</v>
      </c>
      <c r="J93" s="224">
        <f t="shared" si="32"/>
        <v>2011</v>
      </c>
      <c r="K93" s="298">
        <v>2020</v>
      </c>
      <c r="L93" s="199">
        <f t="shared" ca="1" si="62"/>
        <v>0.89</v>
      </c>
      <c r="M93" s="199"/>
      <c r="N93" s="81">
        <f ca="1">VLOOKUP($AD93,INDIRECT("'"&amp;$B93&amp;"'!"&amp;"$P$39:$AD$42"),5,FALSE)</f>
        <v>25</v>
      </c>
      <c r="O93" s="722">
        <f t="shared" ca="1" si="63"/>
        <v>4.6054545454545455</v>
      </c>
      <c r="P93" s="722">
        <f t="shared" ca="1" si="64"/>
        <v>0.25106499999999998</v>
      </c>
      <c r="Q93" s="81">
        <f t="shared" ca="1" si="65"/>
        <v>5.7509861111111107</v>
      </c>
      <c r="R93" s="81">
        <v>3.1536000000000002E-2</v>
      </c>
      <c r="S93" s="199">
        <v>0.5</v>
      </c>
      <c r="T93" s="199">
        <f ca="1">HLOOKUP($T$2,INDIRECT("'"&amp;$B93&amp;"'!"&amp;"$P$6:$AC$19"),IF(H93=$AI$13,6,IF(H93=$AI$14,9,14)),FALSE)</f>
        <v>1</v>
      </c>
      <c r="U93" s="771"/>
      <c r="V93" s="1130">
        <f t="shared" ref="V93" ca="1" si="76">IF(IF(RIGHT(H93,2)="PH",(1-L93)+$W$2,IF(RIGHT(H93,2)="HT",(1-L93)+$W$1,IF(RIGHT(H93,2)="SH",(1-L93)+$W$3,"")))&gt;0,IF(RIGHT(H93,2)="PH",(1-L93)+$W$2,IF(RIGHT(H93,2)="HT",(1-L93)+$W$1,IF(RIGHT(H93,2)="SH",(1-L93)+$W$3,""))),0)</f>
        <v>0.10999999999999999</v>
      </c>
      <c r="W93" s="297"/>
      <c r="X93" s="697">
        <f t="shared" ca="1" si="27"/>
        <v>11</v>
      </c>
      <c r="Y93" s="81">
        <f t="shared" ca="1" si="67"/>
        <v>63</v>
      </c>
      <c r="Z93" s="81">
        <f t="shared" ca="1" si="68"/>
        <v>11</v>
      </c>
      <c r="AA93" s="81">
        <f t="shared" ca="1" si="69"/>
        <v>3</v>
      </c>
      <c r="AB93" s="81">
        <f t="shared" ca="1" si="70"/>
        <v>10</v>
      </c>
      <c r="AC93" s="296"/>
      <c r="AD93" s="81">
        <v>2020</v>
      </c>
      <c r="AE93" s="81"/>
      <c r="AF93" s="709"/>
    </row>
    <row r="94" spans="1:33" s="226" customFormat="1">
      <c r="A94" s="224"/>
      <c r="B94" s="356" t="s">
        <v>970</v>
      </c>
      <c r="C94" s="224"/>
      <c r="D94" s="212"/>
      <c r="E94" s="212"/>
      <c r="F94" s="224"/>
      <c r="G94" s="224"/>
      <c r="H94" s="174"/>
      <c r="I94" s="174" t="str">
        <f t="shared" si="22"/>
        <v>AGRGWH</v>
      </c>
      <c r="J94" s="224">
        <f t="shared" si="32"/>
        <v>2030</v>
      </c>
      <c r="K94" s="81"/>
      <c r="L94" s="199">
        <f t="shared" ca="1" si="62"/>
        <v>0.89</v>
      </c>
      <c r="M94" s="199"/>
      <c r="N94" s="81"/>
      <c r="O94" s="722">
        <f t="shared" ca="1" si="63"/>
        <v>4.4022727272727264</v>
      </c>
      <c r="P94" s="722">
        <f t="shared" ca="1" si="64"/>
        <v>0.267455</v>
      </c>
      <c r="Q94" s="81">
        <f t="shared" ca="1" si="65"/>
        <v>5.8461805555555557</v>
      </c>
      <c r="R94" s="299"/>
      <c r="S94" s="299"/>
      <c r="T94" s="299"/>
      <c r="U94" s="299"/>
      <c r="V94" s="1130">
        <f t="shared" ref="V94" ca="1" si="77">IF(IF(RIGHT(H93,2)="PH",(1-L94)+$W$2,IF(RIGHT(H93,2)="HT",(1-L94)+$W$1,IF(RIGHT(H93,2)="SH",(1-L94)+$W$3,"")))&gt;0,IF(RIGHT(H93,2)="PH",(1-L94)+$W$2,IF(RIGHT(H93,2)="HT",(1-L94)+$W$1,IF(RIGHT(H93,2)="SH",(1-L94)+$W$3,""))),0)</f>
        <v>0.10999999999999999</v>
      </c>
      <c r="W94" s="297"/>
      <c r="X94" s="697">
        <f t="shared" ca="1" si="27"/>
        <v>11</v>
      </c>
      <c r="Y94" s="81">
        <f t="shared" ca="1" si="67"/>
        <v>49</v>
      </c>
      <c r="Z94" s="81">
        <f t="shared" ca="1" si="68"/>
        <v>8</v>
      </c>
      <c r="AA94" s="81">
        <f t="shared" ca="1" si="69"/>
        <v>3</v>
      </c>
      <c r="AB94" s="81">
        <f t="shared" ca="1" si="70"/>
        <v>10</v>
      </c>
      <c r="AC94" s="55"/>
      <c r="AD94" s="81">
        <v>2030</v>
      </c>
      <c r="AE94" s="81"/>
      <c r="AF94" s="699"/>
    </row>
    <row r="95" spans="1:33" s="226" customFormat="1">
      <c r="A95" s="224"/>
      <c r="B95" s="356" t="s">
        <v>970</v>
      </c>
      <c r="C95" s="224"/>
      <c r="D95" s="212"/>
      <c r="E95" s="212"/>
      <c r="F95" s="224"/>
      <c r="G95" s="224"/>
      <c r="H95" s="174"/>
      <c r="I95" s="174" t="str">
        <f t="shared" si="22"/>
        <v>AGRGWH</v>
      </c>
      <c r="J95" s="224">
        <f t="shared" si="32"/>
        <v>2050</v>
      </c>
      <c r="K95" s="705"/>
      <c r="L95" s="199">
        <f t="shared" ca="1" si="62"/>
        <v>0.9</v>
      </c>
      <c r="M95" s="773"/>
      <c r="N95" s="705"/>
      <c r="O95" s="723">
        <f t="shared" ca="1" si="63"/>
        <v>3.9959090909090902</v>
      </c>
      <c r="P95" s="723">
        <f t="shared" ca="1" si="64"/>
        <v>0.25106499999999998</v>
      </c>
      <c r="Q95" s="705">
        <f t="shared" ca="1" si="65"/>
        <v>5.8937777777777782</v>
      </c>
      <c r="R95" s="299"/>
      <c r="S95" s="299"/>
      <c r="T95" s="299"/>
      <c r="U95" s="299"/>
      <c r="V95" s="1130">
        <f t="shared" ref="V95" ca="1" si="78">IF(IF(RIGHT(H93,2)="PH",(1-L95)+$W$2,IF(RIGHT(H93,2)="HT",(1-L95)+$W$1,IF(RIGHT(H93,2)="SH",(1-L95)+$W$3,"")))&gt;0,IF(RIGHT(H93,2)="PH",(1-L95)+$W$2,IF(RIGHT(H93,2)="HT",(1-L95)+$W$1,IF(RIGHT(H93,2)="SH",(1-L95)+$W$3,""))),0)</f>
        <v>9.9999999999999978E-2</v>
      </c>
      <c r="W95" s="297"/>
      <c r="X95" s="697">
        <f t="shared" ref="X95:X126" ca="1" si="79">IF(VLOOKUP($AD95,INDIRECT("'"&amp;$B95&amp;"'!"&amp;"$P$39:$AD$42"),11,FALSE)="Cf. the utilized electricity",0,VLOOKUP($AD95,INDIRECT("'"&amp;$B95&amp;"'!"&amp;"$P$39:$AD$42"),11,FALSE))</f>
        <v>11</v>
      </c>
      <c r="Y95" s="705">
        <f t="shared" ca="1" si="67"/>
        <v>41</v>
      </c>
      <c r="Z95" s="705">
        <f t="shared" ca="1" si="68"/>
        <v>4</v>
      </c>
      <c r="AA95" s="705">
        <f t="shared" ca="1" si="69"/>
        <v>1</v>
      </c>
      <c r="AB95" s="705">
        <f t="shared" ca="1" si="70"/>
        <v>10</v>
      </c>
      <c r="AC95" s="55"/>
      <c r="AD95" s="705">
        <v>2050</v>
      </c>
      <c r="AE95" s="81"/>
      <c r="AF95" s="699"/>
    </row>
    <row r="96" spans="1:33">
      <c r="B96" s="715" t="s">
        <v>970</v>
      </c>
      <c r="C96" s="296"/>
      <c r="D96" s="212" t="str">
        <f>"AGR"&amp;RIGHT(H96,2)&amp;RIGHT(G96,3)&amp;"N"&amp;RIGHT(E96,1)</f>
        <v>AGRPHWCHN2</v>
      </c>
      <c r="E96" s="706" t="str">
        <f>"Agriculture heating technology "&amp;$AJ$12&amp;" "&amp;RIGHT(H96,2)&amp;" - Wood chip boiler (Steam - condensing) - new 2"</f>
        <v>Agriculture heating technology Agriculture PH - Wood chip boiler (Steam - condensing) - new 2</v>
      </c>
      <c r="F96" s="296" t="s">
        <v>1107</v>
      </c>
      <c r="G96" s="707" t="s">
        <v>1943</v>
      </c>
      <c r="H96" s="707" t="str">
        <f>$AI$14</f>
        <v>AGDPH</v>
      </c>
      <c r="I96" s="707" t="str">
        <f t="shared" si="22"/>
        <v>AGRGWH</v>
      </c>
      <c r="J96" s="224">
        <f t="shared" si="32"/>
        <v>2011</v>
      </c>
      <c r="K96" s="298">
        <v>2020</v>
      </c>
      <c r="L96" s="199">
        <f t="shared" ref="L96:L101" ca="1" si="80">VLOOKUP($AD96,INDIRECT("'"&amp;$B96&amp;"'!"&amp;"$P$118:$AD$121"),3,FALSE)</f>
        <v>1.1618960947726835</v>
      </c>
      <c r="M96" s="199"/>
      <c r="N96" s="81">
        <f ca="1">VLOOKUP($AD96,INDIRECT("'"&amp;$B96&amp;"'!"&amp;"$P$118:$AD$121"),5,FALSE)</f>
        <v>25</v>
      </c>
      <c r="O96" s="722">
        <f t="shared" ref="O96:O101" ca="1" si="81">VLOOKUP($AD96,INDIRECT("'"&amp;$B96&amp;"'!"&amp;"$P$118:$AD$121"),6,FALSE)/1000</f>
        <v>5.0660000000000007</v>
      </c>
      <c r="P96" s="722">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2"/>
      <c r="V96" s="1130">
        <f t="shared" ref="V96" ca="1" si="84">IF(IF(RIGHT(H96,2)="PH",(1-L96)+$W$2,IF(RIGHT(H96,2)="HT",(1-L96)+$W$1,IF(RIGHT(H96,2)="SH",(1-L96)+$W$3,"")))&gt;0,IF(RIGHT(H96,2)="PH",(1-L96)+$W$2,IF(RIGHT(H96,2)="HT",(1-L96)+$W$1,IF(RIGHT(H96,2)="SH",(1-L96)+$W$3,""))),0)</f>
        <v>3.8103905227316492E-2</v>
      </c>
      <c r="W96" s="708"/>
      <c r="X96" s="697">
        <f t="shared" ca="1" si="79"/>
        <v>11</v>
      </c>
      <c r="Y96" s="697">
        <f t="shared" ref="Y96:Y101" ca="1" si="85">VLOOKUP($AD96,INDIRECT("'"&amp;$B96&amp;"'!"&amp;"$P$118:$AD$121"),12,FALSE)</f>
        <v>63</v>
      </c>
      <c r="Z96" s="697">
        <f t="shared" ref="Z96:Z101" ca="1" si="86">VLOOKUP($AD96,INDIRECT("'"&amp;$B96&amp;"'!"&amp;"$P$118:$AD$121"),13,FALSE)</f>
        <v>11</v>
      </c>
      <c r="AA96" s="697">
        <f t="shared" ref="AA96:AA101" ca="1" si="87">VLOOKUP($AD96,INDIRECT("'"&amp;$B96&amp;"'!"&amp;"$P$118:$AD$121"),14,FALSE)</f>
        <v>3</v>
      </c>
      <c r="AB96" s="697">
        <f t="shared" ref="AB96:AB101" ca="1" si="88">VLOOKUP($AD96,INDIRECT("'"&amp;$B96&amp;"'!"&amp;"$P$118:$AD$121"),15,FALSE)</f>
        <v>10</v>
      </c>
      <c r="AC96" s="55"/>
      <c r="AD96" s="81">
        <v>2020</v>
      </c>
      <c r="AE96" s="81"/>
      <c r="AF96" s="699"/>
      <c r="AG96" s="226"/>
    </row>
    <row r="97" spans="2:32">
      <c r="B97" s="356" t="s">
        <v>970</v>
      </c>
      <c r="C97" s="55"/>
      <c r="D97" s="261"/>
      <c r="E97" s="261"/>
      <c r="F97" s="55"/>
      <c r="G97" s="55"/>
      <c r="H97" s="174"/>
      <c r="I97" s="174" t="str">
        <f t="shared" si="22"/>
        <v>AGRGWH</v>
      </c>
      <c r="J97" s="224">
        <f t="shared" si="32"/>
        <v>2030</v>
      </c>
      <c r="K97" s="81"/>
      <c r="L97" s="199">
        <f t="shared" ca="1" si="80"/>
        <v>1.1618960947726835</v>
      </c>
      <c r="M97" s="199"/>
      <c r="N97" s="81"/>
      <c r="O97" s="722">
        <f t="shared" ca="1" si="81"/>
        <v>4.8425000000000002</v>
      </c>
      <c r="P97" s="722">
        <f t="shared" ca="1" si="82"/>
        <v>0.267455</v>
      </c>
      <c r="Q97" s="81">
        <f t="shared" ca="1" si="83"/>
        <v>5.8461805555555557</v>
      </c>
      <c r="R97" s="299"/>
      <c r="S97" s="299"/>
      <c r="T97" s="299"/>
      <c r="U97" s="299"/>
      <c r="V97" s="1130">
        <f t="shared" ref="V97" ca="1" si="89">IF(IF(RIGHT(H96,2)="PH",(1-L97)+$W$2,IF(RIGHT(H96,2)="HT",(1-L97)+$W$1,IF(RIGHT(H96,2)="SH",(1-L97)+$W$3,"")))&gt;0,IF(RIGHT(H96,2)="PH",(1-L97)+$W$2,IF(RIGHT(H96,2)="HT",(1-L97)+$W$1,IF(RIGHT(H96,2)="SH",(1-L97)+$W$3,""))),0)</f>
        <v>3.8103905227316492E-2</v>
      </c>
      <c r="W97" s="297"/>
      <c r="X97" s="697">
        <f t="shared" ca="1" si="79"/>
        <v>11</v>
      </c>
      <c r="Y97" s="697">
        <f t="shared" ca="1" si="85"/>
        <v>49</v>
      </c>
      <c r="Z97" s="697">
        <f t="shared" ca="1" si="86"/>
        <v>8</v>
      </c>
      <c r="AA97" s="697">
        <f t="shared" ca="1" si="87"/>
        <v>3</v>
      </c>
      <c r="AB97" s="697">
        <f t="shared" ca="1" si="88"/>
        <v>10</v>
      </c>
      <c r="AC97" s="55"/>
      <c r="AD97" s="81">
        <v>2030</v>
      </c>
      <c r="AE97" s="81"/>
      <c r="AF97" s="699"/>
    </row>
    <row r="98" spans="2:32">
      <c r="B98" s="356" t="s">
        <v>970</v>
      </c>
      <c r="C98" s="55"/>
      <c r="D98" s="261"/>
      <c r="E98" s="261"/>
      <c r="F98" s="55"/>
      <c r="G98" s="55"/>
      <c r="H98" s="174"/>
      <c r="I98" s="174" t="str">
        <f t="shared" si="22"/>
        <v>AGRGWH</v>
      </c>
      <c r="J98" s="224">
        <f t="shared" si="32"/>
        <v>2050</v>
      </c>
      <c r="K98" s="81"/>
      <c r="L98" s="199">
        <f t="shared" ca="1" si="80"/>
        <v>1.1618960947726835</v>
      </c>
      <c r="M98" s="199"/>
      <c r="N98" s="81"/>
      <c r="O98" s="722">
        <f t="shared" ca="1" si="81"/>
        <v>4.3955000000000002</v>
      </c>
      <c r="P98" s="722">
        <f t="shared" ca="1" si="82"/>
        <v>0.25106499999999998</v>
      </c>
      <c r="Q98" s="81">
        <f t="shared" ca="1" si="83"/>
        <v>5.8937777777777782</v>
      </c>
      <c r="R98" s="299"/>
      <c r="S98" s="299"/>
      <c r="T98" s="299"/>
      <c r="U98" s="299"/>
      <c r="V98" s="1130">
        <f t="shared" ref="V98" ca="1" si="90">IF(IF(RIGHT(H96,2)="PH",(1-L98)+$W$2,IF(RIGHT(H96,2)="HT",(1-L98)+$W$1,IF(RIGHT(H96,2)="SH",(1-L98)+$W$3,"")))&gt;0,IF(RIGHT(H96,2)="PH",(1-L98)+$W$2,IF(RIGHT(H96,2)="HT",(1-L98)+$W$1,IF(RIGHT(H96,2)="SH",(1-L98)+$W$3,""))),0)</f>
        <v>3.8103905227316492E-2</v>
      </c>
      <c r="W98" s="297"/>
      <c r="X98" s="697">
        <f t="shared" ca="1" si="79"/>
        <v>11</v>
      </c>
      <c r="Y98" s="697">
        <f t="shared" ca="1" si="85"/>
        <v>41</v>
      </c>
      <c r="Z98" s="697">
        <f t="shared" ca="1" si="86"/>
        <v>4</v>
      </c>
      <c r="AA98" s="697">
        <f t="shared" ca="1" si="87"/>
        <v>1</v>
      </c>
      <c r="AB98" s="697">
        <f t="shared" ca="1" si="88"/>
        <v>10</v>
      </c>
      <c r="AC98" s="203"/>
      <c r="AD98" s="81">
        <v>2050</v>
      </c>
      <c r="AE98" s="81"/>
      <c r="AF98" s="704"/>
    </row>
    <row r="99" spans="2:32">
      <c r="B99" s="356" t="s">
        <v>970</v>
      </c>
      <c r="C99" s="55"/>
      <c r="D99" s="212" t="str">
        <f>"AGR"&amp;RIGHT(H99,2)&amp;RIGHT(G99,3)&amp;"N"&amp;RIGHT(E99,1)</f>
        <v>AGRSHWCHN2</v>
      </c>
      <c r="E99" s="261" t="str">
        <f>"Agriculture heating technology "&amp;$AJ$12&amp;" "&amp;RIGHT(H99,2)&amp;" - Wood chip boiler (Steam - condensing) - new 2"</f>
        <v>Agriculture heating technology Agriculture SH - Wood chip boiler (Steam - condensing) - new 2</v>
      </c>
      <c r="F99" s="55" t="s">
        <v>1107</v>
      </c>
      <c r="G99" s="174" t="s">
        <v>1943</v>
      </c>
      <c r="H99" s="174" t="str">
        <f>$AI$15</f>
        <v>AGDSH</v>
      </c>
      <c r="I99" s="174" t="str">
        <f t="shared" si="22"/>
        <v>AGRGWH</v>
      </c>
      <c r="J99" s="224">
        <f t="shared" si="32"/>
        <v>2011</v>
      </c>
      <c r="K99" s="298">
        <v>2020</v>
      </c>
      <c r="L99" s="199">
        <f t="shared" ca="1" si="80"/>
        <v>1.1618960947726835</v>
      </c>
      <c r="M99" s="199"/>
      <c r="N99" s="81">
        <f ca="1">VLOOKUP($AD99,INDIRECT("'"&amp;$B99&amp;"'!"&amp;"$P$118:$AD$121"),5,FALSE)</f>
        <v>25</v>
      </c>
      <c r="O99" s="722">
        <f t="shared" ca="1" si="81"/>
        <v>5.0660000000000007</v>
      </c>
      <c r="P99" s="722">
        <f t="shared" ca="1" si="82"/>
        <v>0.27564999999999995</v>
      </c>
      <c r="Q99" s="81">
        <f t="shared" ca="1" si="83"/>
        <v>5.7509861111111107</v>
      </c>
      <c r="R99" s="81">
        <v>3.1536000000000002E-2</v>
      </c>
      <c r="S99" s="199">
        <v>0.5</v>
      </c>
      <c r="T99" s="199">
        <f ca="1">HLOOKUP($T$2,INDIRECT("'"&amp;$B99&amp;"'!"&amp;"$P$85:$AC$98"),IF(H99=$AI$13,6,IF(H99=$AI$14,9,14)),FALSE)</f>
        <v>1</v>
      </c>
      <c r="U99" s="771"/>
      <c r="V99" s="1130">
        <f t="shared" ref="V99" ca="1" si="91">IF(IF(RIGHT(H99,2)="PH",(1-L99)+$W$2,IF(RIGHT(H99,2)="HT",(1-L99)+$W$1,IF(RIGHT(H99,2)="SH",(1-L99)+$W$3,"")))&gt;0,IF(RIGHT(H99,2)="PH",(1-L99)+$W$2,IF(RIGHT(H99,2)="HT",(1-L99)+$W$1,IF(RIGHT(H99,2)="SH",(1-L99)+$W$3,""))),0)</f>
        <v>0</v>
      </c>
      <c r="W99" s="297"/>
      <c r="X99" s="697">
        <f t="shared" ca="1" si="79"/>
        <v>11</v>
      </c>
      <c r="Y99" s="697">
        <f t="shared" ca="1" si="85"/>
        <v>63</v>
      </c>
      <c r="Z99" s="697">
        <f t="shared" ca="1" si="86"/>
        <v>11</v>
      </c>
      <c r="AA99" s="697">
        <f t="shared" ca="1" si="87"/>
        <v>3</v>
      </c>
      <c r="AB99" s="697">
        <f t="shared" ca="1" si="88"/>
        <v>10</v>
      </c>
      <c r="AC99" s="296"/>
      <c r="AD99" s="81">
        <v>2020</v>
      </c>
      <c r="AE99" s="81"/>
      <c r="AF99" s="709"/>
    </row>
    <row r="100" spans="2:32">
      <c r="B100" s="356" t="s">
        <v>970</v>
      </c>
      <c r="C100" s="55"/>
      <c r="D100" s="261"/>
      <c r="E100" s="261"/>
      <c r="F100" s="55"/>
      <c r="G100" s="55"/>
      <c r="H100" s="174"/>
      <c r="I100" s="174" t="str">
        <f t="shared" si="22"/>
        <v>AGRGWH</v>
      </c>
      <c r="J100" s="224">
        <f t="shared" si="32"/>
        <v>2030</v>
      </c>
      <c r="K100" s="81"/>
      <c r="L100" s="199">
        <f t="shared" ca="1" si="80"/>
        <v>1.1618960947726835</v>
      </c>
      <c r="M100" s="199"/>
      <c r="N100" s="81"/>
      <c r="O100" s="722">
        <f t="shared" ca="1" si="81"/>
        <v>4.8425000000000002</v>
      </c>
      <c r="P100" s="722">
        <f t="shared" ca="1" si="82"/>
        <v>0.267455</v>
      </c>
      <c r="Q100" s="81">
        <f t="shared" ca="1" si="83"/>
        <v>5.8461805555555557</v>
      </c>
      <c r="R100" s="299"/>
      <c r="S100" s="299"/>
      <c r="T100" s="299"/>
      <c r="U100" s="299"/>
      <c r="V100" s="1130">
        <f t="shared" ref="V100" ca="1" si="92">IF(IF(RIGHT(H99,2)="PH",(1-L100)+$W$2,IF(RIGHT(H99,2)="HT",(1-L100)+$W$1,IF(RIGHT(H99,2)="SH",(1-L100)+$W$3,"")))&gt;0,IF(RIGHT(H99,2)="PH",(1-L100)+$W$2,IF(RIGHT(H99,2)="HT",(1-L100)+$W$1,IF(RIGHT(H99,2)="SH",(1-L100)+$W$3,""))),0)</f>
        <v>0</v>
      </c>
      <c r="W100" s="297"/>
      <c r="X100" s="697">
        <f t="shared" ca="1" si="79"/>
        <v>11</v>
      </c>
      <c r="Y100" s="697">
        <f t="shared" ca="1" si="85"/>
        <v>49</v>
      </c>
      <c r="Z100" s="697">
        <f t="shared" ca="1" si="86"/>
        <v>8</v>
      </c>
      <c r="AA100" s="697">
        <f t="shared" ca="1" si="87"/>
        <v>3</v>
      </c>
      <c r="AB100" s="697">
        <f t="shared" ca="1" si="88"/>
        <v>10</v>
      </c>
      <c r="AC100" s="55"/>
      <c r="AD100" s="81">
        <v>2030</v>
      </c>
      <c r="AE100" s="81"/>
      <c r="AF100" s="699"/>
    </row>
    <row r="101" spans="2:32">
      <c r="B101" s="355" t="s">
        <v>970</v>
      </c>
      <c r="C101" s="203"/>
      <c r="D101" s="700"/>
      <c r="E101" s="700"/>
      <c r="F101" s="203"/>
      <c r="G101" s="203"/>
      <c r="H101" s="701"/>
      <c r="I101" s="701" t="str">
        <f t="shared" si="22"/>
        <v>AGRGWH</v>
      </c>
      <c r="J101" s="224">
        <f t="shared" si="32"/>
        <v>2050</v>
      </c>
      <c r="K101" s="81"/>
      <c r="L101" s="199">
        <f t="shared" ca="1" si="80"/>
        <v>1.1618960947726835</v>
      </c>
      <c r="M101" s="199"/>
      <c r="N101" s="81"/>
      <c r="O101" s="722">
        <f t="shared" ca="1" si="81"/>
        <v>4.3955000000000002</v>
      </c>
      <c r="P101" s="722">
        <f t="shared" ca="1" si="82"/>
        <v>0.25106499999999998</v>
      </c>
      <c r="Q101" s="81">
        <f t="shared" ca="1" si="83"/>
        <v>5.8937777777777782</v>
      </c>
      <c r="R101" s="702"/>
      <c r="S101" s="702"/>
      <c r="T101" s="702"/>
      <c r="U101" s="702"/>
      <c r="V101" s="1130">
        <f t="shared" ref="V101" ca="1" si="93">IF(IF(RIGHT(H99,2)="PH",(1-L101)+$W$2,IF(RIGHT(H99,2)="HT",(1-L101)+$W$1,IF(RIGHT(H99,2)="SH",(1-L101)+$W$3,"")))&gt;0,IF(RIGHT(H99,2)="PH",(1-L101)+$W$2,IF(RIGHT(H99,2)="HT",(1-L101)+$W$1,IF(RIGHT(H99,2)="SH",(1-L101)+$W$3,""))),0)</f>
        <v>0</v>
      </c>
      <c r="W101" s="703"/>
      <c r="X101" s="697">
        <f t="shared" ca="1" si="79"/>
        <v>11</v>
      </c>
      <c r="Y101" s="697">
        <f t="shared" ca="1" si="85"/>
        <v>41</v>
      </c>
      <c r="Z101" s="697">
        <f t="shared" ca="1" si="86"/>
        <v>4</v>
      </c>
      <c r="AA101" s="697">
        <f t="shared" ca="1" si="87"/>
        <v>1</v>
      </c>
      <c r="AB101" s="697">
        <f t="shared" ca="1" si="88"/>
        <v>10</v>
      </c>
      <c r="AC101" s="55"/>
      <c r="AD101" s="81">
        <v>2050</v>
      </c>
      <c r="AE101" s="81"/>
      <c r="AF101" s="699"/>
    </row>
    <row r="102" spans="2:32">
      <c r="B102" s="716" t="s">
        <v>970</v>
      </c>
      <c r="C102" s="711"/>
      <c r="D102" s="212" t="str">
        <f>"AGR"&amp;RIGHT(H102,2)&amp;RIGHT(G102,3)&amp;"N"&amp;RIGHT(E102,1)</f>
        <v>AGRPHWCHN3</v>
      </c>
      <c r="E102" s="706" t="str">
        <f>"Agriculture heating technology "&amp;$AJ$12&amp;" "&amp;RIGHT(H102,2)&amp;" - Wood chip boiler (Hot Water) - new 3"</f>
        <v>Agriculture heating technology Agriculture PH - Wood chip boiler (Hot Water) - new 3</v>
      </c>
      <c r="F102" s="296" t="s">
        <v>1107</v>
      </c>
      <c r="G102" s="707" t="s">
        <v>1943</v>
      </c>
      <c r="H102" s="707" t="str">
        <f>$AI$14</f>
        <v>AGDPH</v>
      </c>
      <c r="I102" s="707" t="str">
        <f t="shared" si="22"/>
        <v>AGRGWH</v>
      </c>
      <c r="J102" s="224">
        <f t="shared" si="32"/>
        <v>2011</v>
      </c>
      <c r="K102" s="298">
        <v>2020</v>
      </c>
      <c r="L102" s="199">
        <f t="shared" ref="L102:L107" ca="1" si="94">VLOOKUP($AD102,INDIRECT("'"&amp;$B102&amp;"'!"&amp;"$P$200:$AD$203"),3,FALSE)</f>
        <v>0.9</v>
      </c>
      <c r="M102" s="199"/>
      <c r="N102" s="81">
        <f ca="1">VLOOKUP($AD102,INDIRECT("'"&amp;$B102&amp;"'!"&amp;"$P$200:$AD$203"),5,FALSE)</f>
        <v>25</v>
      </c>
      <c r="O102" s="722">
        <f t="shared" ref="O102:O107" ca="1" si="95">VLOOKUP($AD102,INDIRECT("'"&amp;$B102&amp;"'!"&amp;"$P$200:$AD$203"),6,FALSE)/1000</f>
        <v>4.6054545454545437</v>
      </c>
      <c r="P102" s="722">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2"/>
      <c r="V102" s="1130">
        <f t="shared" ref="V102" ca="1" si="98">IF(IF(RIGHT(H102,2)="PH",(1-L102)+$W$2,IF(RIGHT(H102,2)="HT",(1-L102)+$W$1,IF(RIGHT(H102,2)="SH",(1-L102)+$W$3,"")))&gt;0,IF(RIGHT(H102,2)="PH",(1-L102)+$W$2,IF(RIGHT(H102,2)="HT",(1-L102)+$W$1,IF(RIGHT(H102,2)="SH",(1-L102)+$W$3,""))),0)</f>
        <v>0.3</v>
      </c>
      <c r="W102" s="708"/>
      <c r="X102" s="697">
        <f t="shared" ca="1" si="79"/>
        <v>11</v>
      </c>
      <c r="Y102" s="697">
        <f t="shared" ref="Y102:Y107" ca="1" si="99">VLOOKUP($AD102,INDIRECT("'"&amp;$B102&amp;"'!"&amp;"$P$200:$AD$203"),12,FALSE)</f>
        <v>63</v>
      </c>
      <c r="Z102" s="697">
        <f t="shared" ref="Z102:Z107" ca="1" si="100">VLOOKUP($AD102,INDIRECT("'"&amp;$B102&amp;"'!"&amp;"$P$200:$AD$203"),13,FALSE)</f>
        <v>11</v>
      </c>
      <c r="AA102" s="697">
        <f t="shared" ref="AA102:AA107" ca="1" si="101">VLOOKUP($AD102,INDIRECT("'"&amp;$B102&amp;"'!"&amp;"$P$200:$AD$203"),14,FALSE)</f>
        <v>3</v>
      </c>
      <c r="AB102" s="697">
        <f t="shared" ref="AB102:AB107" ca="1" si="102">VLOOKUP($AD102,INDIRECT("'"&amp;$B102&amp;"'!"&amp;"$P$200:$AD$203"),15,FALSE)</f>
        <v>10</v>
      </c>
      <c r="AC102" s="55"/>
      <c r="AD102" s="81">
        <v>2020</v>
      </c>
      <c r="AE102" s="81"/>
      <c r="AF102" s="699"/>
    </row>
    <row r="103" spans="2:32">
      <c r="B103" s="717" t="s">
        <v>970</v>
      </c>
      <c r="C103" s="226"/>
      <c r="D103" s="261"/>
      <c r="E103" s="261"/>
      <c r="F103" s="55"/>
      <c r="G103" s="55"/>
      <c r="H103" s="174"/>
      <c r="I103" s="174" t="str">
        <f t="shared" si="22"/>
        <v>AGRGWH</v>
      </c>
      <c r="J103" s="224">
        <f t="shared" si="32"/>
        <v>2030</v>
      </c>
      <c r="K103" s="81"/>
      <c r="L103" s="199">
        <f t="shared" ca="1" si="94"/>
        <v>0.9</v>
      </c>
      <c r="M103" s="199"/>
      <c r="N103" s="81"/>
      <c r="O103" s="722">
        <f t="shared" ca="1" si="95"/>
        <v>4.4022727272727282</v>
      </c>
      <c r="P103" s="722">
        <f t="shared" ca="1" si="96"/>
        <v>0.267455</v>
      </c>
      <c r="Q103" s="81">
        <f t="shared" ca="1" si="97"/>
        <v>5.8461805555555557</v>
      </c>
      <c r="R103" s="299"/>
      <c r="S103" s="299"/>
      <c r="T103" s="299"/>
      <c r="U103" s="299"/>
      <c r="V103" s="1130">
        <f t="shared" ref="V103" ca="1" si="103">IF(IF(RIGHT(H102,2)="PH",(1-L103)+$W$2,IF(RIGHT(H102,2)="HT",(1-L103)+$W$1,IF(RIGHT(H102,2)="SH",(1-L103)+$W$3,"")))&gt;0,IF(RIGHT(H102,2)="PH",(1-L103)+$W$2,IF(RIGHT(H102,2)="HT",(1-L103)+$W$1,IF(RIGHT(H102,2)="SH",(1-L103)+$W$3,""))),0)</f>
        <v>0.3</v>
      </c>
      <c r="W103" s="297"/>
      <c r="X103" s="697">
        <f t="shared" ca="1" si="79"/>
        <v>11</v>
      </c>
      <c r="Y103" s="697">
        <f t="shared" ca="1" si="99"/>
        <v>49</v>
      </c>
      <c r="Z103" s="697">
        <f t="shared" ca="1" si="100"/>
        <v>8</v>
      </c>
      <c r="AA103" s="697">
        <f t="shared" ca="1" si="101"/>
        <v>3</v>
      </c>
      <c r="AB103" s="697">
        <f t="shared" ca="1" si="102"/>
        <v>10</v>
      </c>
      <c r="AC103" s="55"/>
      <c r="AD103" s="81">
        <v>2030</v>
      </c>
      <c r="AE103" s="81"/>
      <c r="AF103" s="699"/>
    </row>
    <row r="104" spans="2:32">
      <c r="B104" s="717" t="s">
        <v>970</v>
      </c>
      <c r="C104" s="226"/>
      <c r="D104" s="261"/>
      <c r="E104" s="261"/>
      <c r="F104" s="55"/>
      <c r="G104" s="55"/>
      <c r="H104" s="174"/>
      <c r="I104" s="174" t="str">
        <f t="shared" si="22"/>
        <v>AGRGWH</v>
      </c>
      <c r="J104" s="224">
        <f t="shared" si="32"/>
        <v>2050</v>
      </c>
      <c r="K104" s="81"/>
      <c r="L104" s="199">
        <f t="shared" ca="1" si="94"/>
        <v>0.91</v>
      </c>
      <c r="M104" s="199"/>
      <c r="N104" s="81"/>
      <c r="O104" s="722">
        <f t="shared" ca="1" si="95"/>
        <v>3.9959090909090884</v>
      </c>
      <c r="P104" s="722">
        <f t="shared" ca="1" si="96"/>
        <v>0.25106499999999998</v>
      </c>
      <c r="Q104" s="81">
        <f t="shared" ca="1" si="97"/>
        <v>5.8937777777777782</v>
      </c>
      <c r="R104" s="299"/>
      <c r="S104" s="299"/>
      <c r="T104" s="299"/>
      <c r="U104" s="299"/>
      <c r="V104" s="1130">
        <f t="shared" ref="V104" ca="1" si="104">IF(IF(RIGHT(H102,2)="PH",(1-L104)+$W$2,IF(RIGHT(H102,2)="HT",(1-L104)+$W$1,IF(RIGHT(H102,2)="SH",(1-L104)+$W$3,"")))&gt;0,IF(RIGHT(H102,2)="PH",(1-L104)+$W$2,IF(RIGHT(H102,2)="HT",(1-L104)+$W$1,IF(RIGHT(H102,2)="SH",(1-L104)+$W$3,""))),0)</f>
        <v>0.28999999999999998</v>
      </c>
      <c r="W104" s="297"/>
      <c r="X104" s="697">
        <f t="shared" ca="1" si="79"/>
        <v>11</v>
      </c>
      <c r="Y104" s="697">
        <f t="shared" ca="1" si="99"/>
        <v>41</v>
      </c>
      <c r="Z104" s="697">
        <f t="shared" ca="1" si="100"/>
        <v>4</v>
      </c>
      <c r="AA104" s="697">
        <f t="shared" ca="1" si="101"/>
        <v>1</v>
      </c>
      <c r="AB104" s="697">
        <f t="shared" ca="1" si="102"/>
        <v>10</v>
      </c>
      <c r="AC104" s="203"/>
      <c r="AD104" s="81">
        <v>2050</v>
      </c>
      <c r="AE104" s="81"/>
      <c r="AF104" s="704"/>
    </row>
    <row r="105" spans="2:32">
      <c r="B105" s="717" t="s">
        <v>970</v>
      </c>
      <c r="C105" s="226"/>
      <c r="D105" s="212" t="str">
        <f>"AGR"&amp;RIGHT(H105,2)&amp;RIGHT(G105,3)&amp;"N"&amp;RIGHT(E105,1)</f>
        <v>AGRSHWCHN3</v>
      </c>
      <c r="E105" s="261" t="str">
        <f>"Agriculture heating technology "&amp;$AJ$12&amp;" "&amp;RIGHT(H105,2)&amp;" - Wood chip boiler (Hot Water) - new 3"</f>
        <v>Agriculture heating technology Agriculture SH - Wood chip boiler (Hot Water) - new 3</v>
      </c>
      <c r="F105" s="55" t="s">
        <v>1107</v>
      </c>
      <c r="G105" s="174" t="s">
        <v>1943</v>
      </c>
      <c r="H105" s="174" t="str">
        <f>$AI$15</f>
        <v>AGDSH</v>
      </c>
      <c r="I105" s="174" t="str">
        <f t="shared" si="22"/>
        <v>AGRGWH</v>
      </c>
      <c r="J105" s="224">
        <f t="shared" si="32"/>
        <v>2011</v>
      </c>
      <c r="K105" s="298">
        <v>2020</v>
      </c>
      <c r="L105" s="199">
        <f t="shared" ca="1" si="94"/>
        <v>0.9</v>
      </c>
      <c r="M105" s="199"/>
      <c r="N105" s="81">
        <f ca="1">VLOOKUP($AD105,INDIRECT("'"&amp;$B105&amp;"'!"&amp;"$P$200:$AD$203"),5,FALSE)</f>
        <v>25</v>
      </c>
      <c r="O105" s="722">
        <f t="shared" ca="1" si="95"/>
        <v>4.6054545454545437</v>
      </c>
      <c r="P105" s="722">
        <f t="shared" ca="1" si="96"/>
        <v>0.25106499999999998</v>
      </c>
      <c r="Q105" s="81">
        <f t="shared" ca="1" si="97"/>
        <v>5.7509861111111107</v>
      </c>
      <c r="R105" s="81">
        <v>3.1536000000000002E-2</v>
      </c>
      <c r="S105" s="199">
        <v>0.5</v>
      </c>
      <c r="T105" s="199">
        <f ca="1">HLOOKUP($T$2,INDIRECT("'"&amp;$B105&amp;"'!"&amp;"$P$167:$AC$180"),IF(H105=$AI$13,6,IF(H105=$AI$14,9,14)),FALSE)</f>
        <v>1</v>
      </c>
      <c r="U105" s="772"/>
      <c r="V105" s="1130">
        <f t="shared" ref="V105" ca="1" si="105">IF(IF(RIGHT(H105,2)="PH",(1-L105)+$W$2,IF(RIGHT(H105,2)="HT",(1-L105)+$W$1,IF(RIGHT(H105,2)="SH",(1-L105)+$W$3,"")))&gt;0,IF(RIGHT(H105,2)="PH",(1-L105)+$W$2,IF(RIGHT(H105,2)="HT",(1-L105)+$W$1,IF(RIGHT(H105,2)="SH",(1-L105)+$W$3,""))),0)</f>
        <v>9.9999999999999978E-2</v>
      </c>
      <c r="W105" s="708"/>
      <c r="X105" s="697">
        <f t="shared" ca="1" si="79"/>
        <v>11</v>
      </c>
      <c r="Y105" s="697">
        <f t="shared" ca="1" si="99"/>
        <v>63</v>
      </c>
      <c r="Z105" s="697">
        <f t="shared" ca="1" si="100"/>
        <v>11</v>
      </c>
      <c r="AA105" s="697">
        <f t="shared" ca="1" si="101"/>
        <v>3</v>
      </c>
      <c r="AB105" s="697">
        <f t="shared" ca="1" si="102"/>
        <v>10</v>
      </c>
      <c r="AC105" s="296"/>
      <c r="AD105" s="81">
        <v>2020</v>
      </c>
      <c r="AE105" s="81"/>
      <c r="AF105" s="709"/>
    </row>
    <row r="106" spans="2:32">
      <c r="B106" s="717" t="s">
        <v>970</v>
      </c>
      <c r="C106" s="226"/>
      <c r="D106" s="261"/>
      <c r="E106" s="261"/>
      <c r="F106" s="55"/>
      <c r="G106" s="55"/>
      <c r="H106" s="174"/>
      <c r="I106" s="174" t="str">
        <f t="shared" si="22"/>
        <v>AGRGWH</v>
      </c>
      <c r="J106" s="224">
        <f t="shared" si="32"/>
        <v>2030</v>
      </c>
      <c r="K106" s="81"/>
      <c r="L106" s="199">
        <f t="shared" ca="1" si="94"/>
        <v>0.9</v>
      </c>
      <c r="M106" s="199"/>
      <c r="N106" s="81"/>
      <c r="O106" s="722">
        <f t="shared" ca="1" si="95"/>
        <v>4.4022727272727282</v>
      </c>
      <c r="P106" s="722">
        <f t="shared" ca="1" si="96"/>
        <v>0.267455</v>
      </c>
      <c r="Q106" s="81">
        <f t="shared" ca="1" si="97"/>
        <v>5.8461805555555557</v>
      </c>
      <c r="R106" s="299"/>
      <c r="S106" s="299"/>
      <c r="T106" s="299"/>
      <c r="U106" s="299"/>
      <c r="V106" s="1130">
        <f t="shared" ref="V106" ca="1" si="106">IF(IF(RIGHT(H105,2)="PH",(1-L106)+$W$2,IF(RIGHT(H105,2)="HT",(1-L106)+$W$1,IF(RIGHT(H105,2)="SH",(1-L106)+$W$3,"")))&gt;0,IF(RIGHT(H105,2)="PH",(1-L106)+$W$2,IF(RIGHT(H105,2)="HT",(1-L106)+$W$1,IF(RIGHT(H105,2)="SH",(1-L106)+$W$3,""))),0)</f>
        <v>9.9999999999999978E-2</v>
      </c>
      <c r="W106" s="297"/>
      <c r="X106" s="697">
        <f t="shared" ca="1" si="79"/>
        <v>11</v>
      </c>
      <c r="Y106" s="697">
        <f t="shared" ca="1" si="99"/>
        <v>49</v>
      </c>
      <c r="Z106" s="697">
        <f t="shared" ca="1" si="100"/>
        <v>8</v>
      </c>
      <c r="AA106" s="697">
        <f t="shared" ca="1" si="101"/>
        <v>3</v>
      </c>
      <c r="AB106" s="697">
        <f t="shared" ca="1" si="102"/>
        <v>10</v>
      </c>
      <c r="AC106" s="55"/>
      <c r="AD106" s="81">
        <v>2030</v>
      </c>
      <c r="AE106" s="81"/>
      <c r="AF106" s="699"/>
    </row>
    <row r="107" spans="2:32">
      <c r="B107" s="718" t="s">
        <v>970</v>
      </c>
      <c r="C107" s="712"/>
      <c r="D107" s="700"/>
      <c r="E107" s="700"/>
      <c r="F107" s="203"/>
      <c r="G107" s="203"/>
      <c r="H107" s="701"/>
      <c r="I107" s="701" t="str">
        <f t="shared" si="22"/>
        <v>AGRGWH</v>
      </c>
      <c r="J107" s="224">
        <f t="shared" si="32"/>
        <v>2050</v>
      </c>
      <c r="K107" s="81"/>
      <c r="L107" s="199">
        <f t="shared" ca="1" si="94"/>
        <v>0.91</v>
      </c>
      <c r="M107" s="199"/>
      <c r="N107" s="81"/>
      <c r="O107" s="722">
        <f t="shared" ca="1" si="95"/>
        <v>3.9959090909090884</v>
      </c>
      <c r="P107" s="722">
        <f t="shared" ca="1" si="96"/>
        <v>0.25106499999999998</v>
      </c>
      <c r="Q107" s="81">
        <f t="shared" ca="1" si="97"/>
        <v>5.8937777777777782</v>
      </c>
      <c r="R107" s="299"/>
      <c r="S107" s="299"/>
      <c r="T107" s="299"/>
      <c r="U107" s="299"/>
      <c r="V107" s="1130">
        <f t="shared" ref="V107" ca="1" si="107">IF(IF(RIGHT(H105,2)="PH",(1-L107)+$W$2,IF(RIGHT(H105,2)="HT",(1-L107)+$W$1,IF(RIGHT(H105,2)="SH",(1-L107)+$W$3,"")))&gt;0,IF(RIGHT(H105,2)="PH",(1-L107)+$W$2,IF(RIGHT(H105,2)="HT",(1-L107)+$W$1,IF(RIGHT(H105,2)="SH",(1-L107)+$W$3,""))),0)</f>
        <v>8.9999999999999969E-2</v>
      </c>
      <c r="W107" s="297"/>
      <c r="X107" s="697">
        <f t="shared" ca="1" si="79"/>
        <v>11</v>
      </c>
      <c r="Y107" s="697">
        <f t="shared" ca="1" si="99"/>
        <v>41</v>
      </c>
      <c r="Z107" s="697">
        <f t="shared" ca="1" si="100"/>
        <v>4</v>
      </c>
      <c r="AA107" s="697">
        <f t="shared" ca="1" si="101"/>
        <v>1</v>
      </c>
      <c r="AB107" s="697">
        <f t="shared" ca="1" si="102"/>
        <v>10</v>
      </c>
      <c r="AC107" s="55"/>
      <c r="AD107" s="81">
        <v>2050</v>
      </c>
      <c r="AE107" s="81"/>
      <c r="AF107" s="699"/>
    </row>
    <row r="108" spans="2:32">
      <c r="B108" s="716" t="s">
        <v>970</v>
      </c>
      <c r="C108" s="711"/>
      <c r="D108" s="212" t="str">
        <f>"AGR"&amp;RIGHT(H108,2)&amp;RIGHT(G108,3)&amp;"N"&amp;RIGHT(E108,1)</f>
        <v>AGRPHWCHN4</v>
      </c>
      <c r="E108" s="706" t="str">
        <f>"Agriculture heating technology "&amp;$AJ$12&amp;" "&amp;RIGHT(H108,2)&amp;" - Wood chip boiler (Hot Water - condensing) - new 4"</f>
        <v>Agriculture heating technology Agriculture PH - Wood chip boiler (Hot Water - condensing) - new 4</v>
      </c>
      <c r="F108" s="296" t="s">
        <v>1107</v>
      </c>
      <c r="G108" s="707" t="s">
        <v>1943</v>
      </c>
      <c r="H108" s="707" t="str">
        <f>$AI$14</f>
        <v>AGDPH</v>
      </c>
      <c r="I108" s="707" t="str">
        <f t="shared" si="22"/>
        <v>AGRGWH</v>
      </c>
      <c r="J108" s="224">
        <f t="shared" si="32"/>
        <v>2011</v>
      </c>
      <c r="K108" s="298">
        <v>2020</v>
      </c>
      <c r="L108" s="199">
        <f t="shared" ref="L108:L113" ca="1" si="108">VLOOKUP($AD108,INDIRECT("'"&amp;$B108&amp;"'!"&amp;"$P$279:$AD$282"),3,FALSE)</f>
        <v>1.1618960947726835</v>
      </c>
      <c r="M108" s="199"/>
      <c r="N108" s="81">
        <f ca="1">VLOOKUP($AD108,INDIRECT("'"&amp;$B108&amp;"'!"&amp;"$P$279:$AD$282"),5,FALSE)</f>
        <v>25</v>
      </c>
      <c r="O108" s="722">
        <f t="shared" ref="O108:O113" ca="1" si="109">VLOOKUP($AD108,INDIRECT("'"&amp;$B108&amp;"'!"&amp;"$P$279:$AD$282"),6,FALSE)/1000</f>
        <v>5.0660000000000007</v>
      </c>
      <c r="P108" s="722">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2"/>
      <c r="V108" s="1130">
        <f t="shared" ref="V108" ca="1" si="112">IF(IF(RIGHT(H108,2)="PH",(1-L108)+$W$2,IF(RIGHT(H108,2)="HT",(1-L108)+$W$1,IF(RIGHT(H108,2)="SH",(1-L108)+$W$3,"")))&gt;0,IF(RIGHT(H108,2)="PH",(1-L108)+$W$2,IF(RIGHT(H108,2)="HT",(1-L108)+$W$1,IF(RIGHT(H108,2)="SH",(1-L108)+$W$3,""))),0)</f>
        <v>3.8103905227316492E-2</v>
      </c>
      <c r="W108" s="708"/>
      <c r="X108" s="697">
        <f t="shared" ca="1" si="79"/>
        <v>11</v>
      </c>
      <c r="Y108" s="697">
        <f t="shared" ref="Y108:Y113" ca="1" si="113">VLOOKUP($AD108,INDIRECT("'"&amp;$B108&amp;"'!"&amp;"$P$279:$AD$282"),12,FALSE)</f>
        <v>63</v>
      </c>
      <c r="Z108" s="697">
        <f t="shared" ref="Z108:Z113" ca="1" si="114">VLOOKUP($AD108,INDIRECT("'"&amp;$B108&amp;"'!"&amp;"$P$279:$AD$282"),13,FALSE)</f>
        <v>11</v>
      </c>
      <c r="AA108" s="697">
        <f t="shared" ref="AA108:AA113" ca="1" si="115">VLOOKUP($AD108,INDIRECT("'"&amp;$B108&amp;"'!"&amp;"$P$279:$AD$282"),14,FALSE)</f>
        <v>3</v>
      </c>
      <c r="AB108" s="697">
        <f t="shared" ref="AB108:AB113" ca="1" si="116">VLOOKUP($AD108,INDIRECT("'"&amp;$B108&amp;"'!"&amp;"$P$279:$AD$282"),15,FALSE)</f>
        <v>10</v>
      </c>
      <c r="AC108" s="55"/>
      <c r="AD108" s="81">
        <v>2020</v>
      </c>
      <c r="AE108" s="81"/>
      <c r="AF108" s="699"/>
    </row>
    <row r="109" spans="2:32">
      <c r="B109" s="717" t="s">
        <v>970</v>
      </c>
      <c r="C109" s="226"/>
      <c r="D109" s="261"/>
      <c r="E109" s="261"/>
      <c r="F109" s="55"/>
      <c r="G109" s="55"/>
      <c r="H109" s="174"/>
      <c r="I109" s="174" t="str">
        <f t="shared" si="22"/>
        <v>AGRGWH</v>
      </c>
      <c r="J109" s="224">
        <f t="shared" si="32"/>
        <v>2030</v>
      </c>
      <c r="K109" s="81"/>
      <c r="L109" s="199">
        <f t="shared" ca="1" si="108"/>
        <v>1.1618960947726835</v>
      </c>
      <c r="M109" s="199"/>
      <c r="N109" s="81"/>
      <c r="O109" s="722">
        <f t="shared" ca="1" si="109"/>
        <v>4.8425000000000002</v>
      </c>
      <c r="P109" s="722">
        <f t="shared" ca="1" si="110"/>
        <v>0.267455</v>
      </c>
      <c r="Q109" s="81">
        <f t="shared" ca="1" si="111"/>
        <v>5.8461805555555557</v>
      </c>
      <c r="R109" s="299"/>
      <c r="S109" s="299"/>
      <c r="T109" s="299"/>
      <c r="U109" s="299"/>
      <c r="V109" s="1130">
        <f t="shared" ref="V109" ca="1" si="117">IF(IF(RIGHT(H108,2)="PH",(1-L109)+$W$2,IF(RIGHT(H108,2)="HT",(1-L109)+$W$1,IF(RIGHT(H108,2)="SH",(1-L109)+$W$3,"")))&gt;0,IF(RIGHT(H108,2)="PH",(1-L109)+$W$2,IF(RIGHT(H108,2)="HT",(1-L109)+$W$1,IF(RIGHT(H108,2)="SH",(1-L109)+$W$3,""))),0)</f>
        <v>3.8103905227316492E-2</v>
      </c>
      <c r="W109" s="297"/>
      <c r="X109" s="697">
        <f t="shared" ca="1" si="79"/>
        <v>11</v>
      </c>
      <c r="Y109" s="697">
        <f t="shared" ca="1" si="113"/>
        <v>49</v>
      </c>
      <c r="Z109" s="697">
        <f t="shared" ca="1" si="114"/>
        <v>8</v>
      </c>
      <c r="AA109" s="697">
        <f t="shared" ca="1" si="115"/>
        <v>3</v>
      </c>
      <c r="AB109" s="697">
        <f t="shared" ca="1" si="116"/>
        <v>10</v>
      </c>
      <c r="AC109" s="55"/>
      <c r="AD109" s="81">
        <v>2030</v>
      </c>
      <c r="AE109" s="81"/>
      <c r="AF109" s="699"/>
    </row>
    <row r="110" spans="2:32">
      <c r="B110" s="717" t="s">
        <v>970</v>
      </c>
      <c r="C110" s="226"/>
      <c r="D110" s="261"/>
      <c r="E110" s="261"/>
      <c r="F110" s="55"/>
      <c r="G110" s="55"/>
      <c r="H110" s="174"/>
      <c r="I110" s="174" t="str">
        <f t="shared" si="22"/>
        <v>AGRGWH</v>
      </c>
      <c r="J110" s="224">
        <f t="shared" si="32"/>
        <v>2050</v>
      </c>
      <c r="K110" s="81"/>
      <c r="L110" s="199">
        <f t="shared" ca="1" si="108"/>
        <v>1.1618960947726835</v>
      </c>
      <c r="M110" s="199"/>
      <c r="N110" s="81"/>
      <c r="O110" s="722">
        <f t="shared" ca="1" si="109"/>
        <v>4.3955000000000002</v>
      </c>
      <c r="P110" s="722">
        <f t="shared" ca="1" si="110"/>
        <v>0.25106499999999998</v>
      </c>
      <c r="Q110" s="81">
        <f t="shared" ca="1" si="111"/>
        <v>5.8937777777777782</v>
      </c>
      <c r="R110" s="299"/>
      <c r="S110" s="299"/>
      <c r="T110" s="299"/>
      <c r="U110" s="299"/>
      <c r="V110" s="1130">
        <f t="shared" ref="V110" ca="1" si="118">IF(IF(RIGHT(H108,2)="PH",(1-L110)+$W$2,IF(RIGHT(H108,2)="HT",(1-L110)+$W$1,IF(RIGHT(H108,2)="SH",(1-L110)+$W$3,"")))&gt;0,IF(RIGHT(H108,2)="PH",(1-L110)+$W$2,IF(RIGHT(H108,2)="HT",(1-L110)+$W$1,IF(RIGHT(H108,2)="SH",(1-L110)+$W$3,""))),0)</f>
        <v>3.8103905227316492E-2</v>
      </c>
      <c r="W110" s="297"/>
      <c r="X110" s="697">
        <f t="shared" ca="1" si="79"/>
        <v>11</v>
      </c>
      <c r="Y110" s="697">
        <f t="shared" ca="1" si="113"/>
        <v>41</v>
      </c>
      <c r="Z110" s="697">
        <f t="shared" ca="1" si="114"/>
        <v>4</v>
      </c>
      <c r="AA110" s="697">
        <f t="shared" ca="1" si="115"/>
        <v>1</v>
      </c>
      <c r="AB110" s="697">
        <f t="shared" ca="1" si="116"/>
        <v>10</v>
      </c>
      <c r="AC110" s="203"/>
      <c r="AD110" s="81">
        <v>2050</v>
      </c>
      <c r="AE110" s="81"/>
      <c r="AF110" s="704"/>
    </row>
    <row r="111" spans="2:32">
      <c r="B111" s="717" t="s">
        <v>970</v>
      </c>
      <c r="C111" s="226"/>
      <c r="D111" s="212" t="str">
        <f>"AGR"&amp;RIGHT(H111,2)&amp;RIGHT(G111,3)&amp;"N"&amp;RIGHT(E111,1)</f>
        <v>AGRSHWCHN4</v>
      </c>
      <c r="E111" s="261" t="str">
        <f>"Agriculture heating technology "&amp;$AJ$12&amp;" "&amp;RIGHT(H111,2)&amp;" - Wood chip boiler (Hot Water- condensing) - new 4"</f>
        <v>Agriculture heating technology Agriculture SH - Wood chip boiler (Hot Water- condensing) - new 4</v>
      </c>
      <c r="F111" s="55" t="s">
        <v>1107</v>
      </c>
      <c r="G111" s="174" t="s">
        <v>1943</v>
      </c>
      <c r="H111" s="174" t="str">
        <f>$AI$15</f>
        <v>AGDSH</v>
      </c>
      <c r="I111" s="174" t="str">
        <f t="shared" si="22"/>
        <v>AGRGWH</v>
      </c>
      <c r="J111" s="224">
        <f t="shared" si="32"/>
        <v>2011</v>
      </c>
      <c r="K111" s="298">
        <v>2020</v>
      </c>
      <c r="L111" s="199">
        <f t="shared" ca="1" si="108"/>
        <v>1.1618960947726835</v>
      </c>
      <c r="M111" s="199"/>
      <c r="N111" s="81">
        <f ca="1">VLOOKUP($AD111,INDIRECT("'"&amp;$B111&amp;"'!"&amp;"$P$279:$AD$282"),5,FALSE)</f>
        <v>25</v>
      </c>
      <c r="O111" s="722">
        <f t="shared" ca="1" si="109"/>
        <v>5.0660000000000007</v>
      </c>
      <c r="P111" s="722">
        <f t="shared" ca="1" si="110"/>
        <v>0.27564999999999995</v>
      </c>
      <c r="Q111" s="81">
        <f t="shared" ca="1" si="111"/>
        <v>5.7509861111111107</v>
      </c>
      <c r="R111" s="81">
        <v>3.1536000000000002E-2</v>
      </c>
      <c r="S111" s="199">
        <v>0.5</v>
      </c>
      <c r="T111" s="199">
        <f ca="1">HLOOKUP($T$2,INDIRECT("'"&amp;$B111&amp;"'!"&amp;"$P$246:$AC$259"),IF(H111=$AI$13,6,IF(H111=$AI$14,9,14)),FALSE)</f>
        <v>1</v>
      </c>
      <c r="U111" s="772"/>
      <c r="V111" s="1130">
        <f t="shared" ref="V111" ca="1" si="119">IF(IF(RIGHT(H111,2)="PH",(1-L111)+$W$2,IF(RIGHT(H111,2)="HT",(1-L111)+$W$1,IF(RIGHT(H111,2)="SH",(1-L111)+$W$3,"")))&gt;0,IF(RIGHT(H111,2)="PH",(1-L111)+$W$2,IF(RIGHT(H111,2)="HT",(1-L111)+$W$1,IF(RIGHT(H111,2)="SH",(1-L111)+$W$3,""))),0)</f>
        <v>0</v>
      </c>
      <c r="W111" s="708"/>
      <c r="X111" s="697">
        <f t="shared" ca="1" si="79"/>
        <v>11</v>
      </c>
      <c r="Y111" s="697">
        <f t="shared" ca="1" si="113"/>
        <v>63</v>
      </c>
      <c r="Z111" s="697">
        <f t="shared" ca="1" si="114"/>
        <v>11</v>
      </c>
      <c r="AA111" s="697">
        <f t="shared" ca="1" si="115"/>
        <v>3</v>
      </c>
      <c r="AB111" s="697">
        <f t="shared" ca="1" si="116"/>
        <v>10</v>
      </c>
      <c r="AD111" s="81">
        <v>2020</v>
      </c>
      <c r="AE111" s="81"/>
      <c r="AF111" s="220"/>
    </row>
    <row r="112" spans="2:32">
      <c r="B112" s="717" t="s">
        <v>970</v>
      </c>
      <c r="C112" s="226"/>
      <c r="D112" s="261"/>
      <c r="E112" s="261"/>
      <c r="F112" s="55"/>
      <c r="G112" s="55"/>
      <c r="H112" s="174"/>
      <c r="I112" s="174" t="str">
        <f t="shared" si="22"/>
        <v>AGRGWH</v>
      </c>
      <c r="J112" s="224">
        <f t="shared" si="32"/>
        <v>2030</v>
      </c>
      <c r="K112" s="81"/>
      <c r="L112" s="199">
        <f t="shared" ca="1" si="108"/>
        <v>1.1618960947726835</v>
      </c>
      <c r="M112" s="199"/>
      <c r="N112" s="81"/>
      <c r="O112" s="722">
        <f t="shared" ca="1" si="109"/>
        <v>4.8425000000000002</v>
      </c>
      <c r="P112" s="722">
        <f t="shared" ca="1" si="110"/>
        <v>0.267455</v>
      </c>
      <c r="Q112" s="81">
        <f t="shared" ca="1" si="111"/>
        <v>5.8461805555555557</v>
      </c>
      <c r="R112" s="299"/>
      <c r="S112" s="299"/>
      <c r="T112" s="299"/>
      <c r="U112" s="299"/>
      <c r="V112" s="1130">
        <f t="shared" ref="V112" ca="1" si="120">IF(IF(RIGHT(H111,2)="PH",(1-L112)+$W$2,IF(RIGHT(H111,2)="HT",(1-L112)+$W$1,IF(RIGHT(H111,2)="SH",(1-L112)+$W$3,"")))&gt;0,IF(RIGHT(H111,2)="PH",(1-L112)+$W$2,IF(RIGHT(H111,2)="HT",(1-L112)+$W$1,IF(RIGHT(H111,2)="SH",(1-L112)+$W$3,""))),0)</f>
        <v>0</v>
      </c>
      <c r="W112" s="297"/>
      <c r="X112" s="697">
        <f t="shared" ca="1" si="79"/>
        <v>11</v>
      </c>
      <c r="Y112" s="697">
        <f t="shared" ca="1" si="113"/>
        <v>49</v>
      </c>
      <c r="Z112" s="697">
        <f t="shared" ca="1" si="114"/>
        <v>8</v>
      </c>
      <c r="AA112" s="697">
        <f t="shared" ca="1" si="115"/>
        <v>3</v>
      </c>
      <c r="AB112" s="697">
        <f t="shared" ca="1" si="116"/>
        <v>10</v>
      </c>
      <c r="AD112" s="81">
        <v>2030</v>
      </c>
      <c r="AE112" s="81"/>
      <c r="AF112" s="220"/>
    </row>
    <row r="113" spans="2:32">
      <c r="B113" s="718" t="s">
        <v>970</v>
      </c>
      <c r="C113" s="712"/>
      <c r="D113" s="700"/>
      <c r="E113" s="700"/>
      <c r="F113" s="203"/>
      <c r="G113" s="203"/>
      <c r="H113" s="701"/>
      <c r="I113" s="701" t="str">
        <f t="shared" si="22"/>
        <v>AGRGWH</v>
      </c>
      <c r="J113" s="224">
        <f t="shared" si="32"/>
        <v>2050</v>
      </c>
      <c r="K113" s="81"/>
      <c r="L113" s="199">
        <f t="shared" ca="1" si="108"/>
        <v>1.1618960947726835</v>
      </c>
      <c r="M113" s="199"/>
      <c r="N113" s="81"/>
      <c r="O113" s="722">
        <f t="shared" ca="1" si="109"/>
        <v>4.3955000000000002</v>
      </c>
      <c r="P113" s="722">
        <f t="shared" ca="1" si="110"/>
        <v>0.25106499999999998</v>
      </c>
      <c r="Q113" s="81">
        <f t="shared" ca="1" si="111"/>
        <v>5.8937777777777782</v>
      </c>
      <c r="R113" s="299"/>
      <c r="S113" s="299"/>
      <c r="T113" s="299"/>
      <c r="U113" s="299"/>
      <c r="V113" s="1130">
        <f t="shared" ref="V113" ca="1" si="121">IF(IF(RIGHT(H111,2)="PH",(1-L113)+$W$2,IF(RIGHT(H111,2)="HT",(1-L113)+$W$1,IF(RIGHT(H111,2)="SH",(1-L113)+$W$3,"")))&gt;0,IF(RIGHT(H111,2)="PH",(1-L113)+$W$2,IF(RIGHT(H111,2)="HT",(1-L113)+$W$1,IF(RIGHT(H111,2)="SH",(1-L113)+$W$3,""))),0)</f>
        <v>0</v>
      </c>
      <c r="W113" s="713"/>
      <c r="X113" s="697">
        <f t="shared" ca="1" si="79"/>
        <v>11</v>
      </c>
      <c r="Y113" s="697">
        <f t="shared" ca="1" si="113"/>
        <v>41</v>
      </c>
      <c r="Z113" s="697">
        <f t="shared" ca="1" si="114"/>
        <v>4</v>
      </c>
      <c r="AA113" s="697">
        <f t="shared" ca="1" si="115"/>
        <v>1</v>
      </c>
      <c r="AB113" s="697">
        <f t="shared" ca="1" si="116"/>
        <v>10</v>
      </c>
      <c r="AD113" s="81">
        <v>2050</v>
      </c>
      <c r="AE113" s="81"/>
      <c r="AF113" s="220"/>
    </row>
    <row r="114" spans="2:32">
      <c r="B114" s="717" t="s">
        <v>976</v>
      </c>
      <c r="C114" s="226"/>
      <c r="D114" s="212" t="str">
        <f>"AGR"&amp;RIGHT(H114,2)&amp;RIGHT(G114,3)&amp;"N"&amp;RIGHT(E114,1)</f>
        <v>AGRPHELCN0</v>
      </c>
      <c r="E114" s="261" t="str">
        <f>"Agriculture heating technology "&amp;$AJ$12&amp;" "&amp;RIGHT(H114,2)&amp;" - Direct electric heating - new 10"</f>
        <v>Agriculture heating technology Agriculture PH - Direct electric heating - new 10</v>
      </c>
      <c r="F114" s="224" t="s">
        <v>1107</v>
      </c>
      <c r="G114" s="173" t="s">
        <v>1941</v>
      </c>
      <c r="H114" s="174" t="str">
        <f>$AI$13</f>
        <v>AGDPH</v>
      </c>
      <c r="I114" s="174" t="str">
        <f t="shared" si="22"/>
        <v>AGRGWH</v>
      </c>
      <c r="J114" s="224">
        <f t="shared" si="32"/>
        <v>2011</v>
      </c>
      <c r="K114" s="298">
        <v>2020</v>
      </c>
      <c r="L114" s="199">
        <f t="shared" ref="L114:L128" ca="1" si="122">VLOOKUP($AD114,INDIRECT("'"&amp;$B114&amp;"'!"&amp;"$P$39:$AD$42"),3,FALSE)</f>
        <v>1</v>
      </c>
      <c r="M114" s="199"/>
      <c r="N114" s="81">
        <f ca="1">VLOOKUP($AD114,INDIRECT("'"&amp;$B114&amp;"'!"&amp;"$P$39:$AD$42"),5,FALSE)</f>
        <v>12.5</v>
      </c>
      <c r="O114" s="722">
        <f t="shared" ref="O114:O128" ca="1" si="123">VLOOKUP($AD114,INDIRECT("'"&amp;$B114&amp;"'!"&amp;"$P$39:$AD$42"),6,FALSE)/1000</f>
        <v>0.44700000000000001</v>
      </c>
      <c r="P114" s="722">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1"/>
      <c r="V114" s="1130">
        <f t="shared" ref="V114" ca="1" si="126">IF(IF(RIGHT(H114,2)="PH",(1-L114)+$W$2,IF(RIGHT(H114,2)="HT",(1-L114)+$W$1,IF(RIGHT(H114,2)="SH",(1-L114)+$W$3,"")))&gt;0,IF(RIGHT(H114,2)="PH",(1-L114)+$W$2,IF(RIGHT(H114,2)="HT",(1-L114)+$W$1,IF(RIGHT(H114,2)="SH",(1-L114)+$W$3,""))),0)</f>
        <v>0.2</v>
      </c>
      <c r="W114" s="297"/>
      <c r="X114" s="697">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7" t="s">
        <v>976</v>
      </c>
      <c r="C115" s="226"/>
      <c r="D115" s="212"/>
      <c r="E115" s="212"/>
      <c r="H115" s="174"/>
      <c r="I115" s="174" t="str">
        <f t="shared" si="22"/>
        <v>AGRGWH</v>
      </c>
      <c r="J115" s="224">
        <f t="shared" si="32"/>
        <v>2030</v>
      </c>
      <c r="K115" s="81"/>
      <c r="L115" s="199">
        <f t="shared" ca="1" si="122"/>
        <v>1</v>
      </c>
      <c r="M115" s="199"/>
      <c r="N115" s="81"/>
      <c r="O115" s="722">
        <f t="shared" ca="1" si="123"/>
        <v>0.44700000000000001</v>
      </c>
      <c r="P115" s="722">
        <f t="shared" ca="1" si="124"/>
        <v>0</v>
      </c>
      <c r="Q115" s="81">
        <f t="shared" ca="1" si="125"/>
        <v>0.38802083333333331</v>
      </c>
      <c r="R115" s="299"/>
      <c r="S115" s="299"/>
      <c r="T115" s="299"/>
      <c r="U115" s="299"/>
      <c r="V115" s="1130">
        <f t="shared" ref="V115" ca="1" si="131">IF(IF(RIGHT(H114,2)="PH",(1-L115)+$W$2,IF(RIGHT(H114,2)="HT",(1-L115)+$W$1,IF(RIGHT(H114,2)="SH",(1-L115)+$W$3,"")))&gt;0,IF(RIGHT(H114,2)="PH",(1-L115)+$W$2,IF(RIGHT(H114,2)="HT",(1-L115)+$W$1,IF(RIGHT(H114,2)="SH",(1-L115)+$W$3,""))),0)</f>
        <v>0.2</v>
      </c>
      <c r="W115" s="297"/>
      <c r="X115" s="697">
        <f t="shared" ca="1" si="79"/>
        <v>0</v>
      </c>
      <c r="Y115" s="81">
        <f t="shared" ca="1" si="127"/>
        <v>0</v>
      </c>
      <c r="Z115" s="81">
        <f t="shared" ca="1" si="128"/>
        <v>0</v>
      </c>
      <c r="AA115" s="81">
        <f t="shared" ca="1" si="129"/>
        <v>0</v>
      </c>
      <c r="AB115" s="81">
        <f t="shared" ca="1" si="130"/>
        <v>0</v>
      </c>
      <c r="AD115" s="81">
        <v>2030</v>
      </c>
      <c r="AE115" s="81"/>
      <c r="AF115" s="220"/>
    </row>
    <row r="116" spans="2:32">
      <c r="B116" s="717" t="s">
        <v>976</v>
      </c>
      <c r="C116" s="226"/>
      <c r="D116" s="212"/>
      <c r="E116" s="212"/>
      <c r="H116" s="174"/>
      <c r="I116" s="174" t="str">
        <f t="shared" si="22"/>
        <v>AGRGWH</v>
      </c>
      <c r="J116" s="224">
        <f t="shared" si="32"/>
        <v>2050</v>
      </c>
      <c r="K116" s="81"/>
      <c r="L116" s="199">
        <f t="shared" ca="1" si="122"/>
        <v>1</v>
      </c>
      <c r="M116" s="199"/>
      <c r="N116" s="81"/>
      <c r="O116" s="722">
        <f t="shared" ca="1" si="123"/>
        <v>0.44700000000000001</v>
      </c>
      <c r="P116" s="722">
        <f t="shared" ca="1" si="124"/>
        <v>0</v>
      </c>
      <c r="Q116" s="81">
        <f t="shared" ca="1" si="125"/>
        <v>0.39319444444444446</v>
      </c>
      <c r="R116" s="299"/>
      <c r="S116" s="299"/>
      <c r="T116" s="299"/>
      <c r="U116" s="299"/>
      <c r="V116" s="1130">
        <f t="shared" ref="V116" ca="1" si="132">IF(IF(RIGHT(H114,2)="PH",(1-L116)+$W$2,IF(RIGHT(H114,2)="HT",(1-L116)+$W$1,IF(RIGHT(H114,2)="SH",(1-L116)+$W$3,"")))&gt;0,IF(RIGHT(H114,2)="PH",(1-L116)+$W$2,IF(RIGHT(H114,2)="HT",(1-L116)+$W$1,IF(RIGHT(H114,2)="SH",(1-L116)+$W$3,""))),0)</f>
        <v>0.2</v>
      </c>
      <c r="W116" s="297"/>
      <c r="X116" s="697">
        <f t="shared" ca="1" si="79"/>
        <v>0</v>
      </c>
      <c r="Y116" s="81">
        <f t="shared" ca="1" si="127"/>
        <v>0</v>
      </c>
      <c r="Z116" s="81">
        <f t="shared" ca="1" si="128"/>
        <v>0</v>
      </c>
      <c r="AA116" s="81">
        <f t="shared" ca="1" si="129"/>
        <v>0</v>
      </c>
      <c r="AB116" s="81">
        <f t="shared" ca="1" si="130"/>
        <v>0</v>
      </c>
      <c r="AC116" s="203"/>
      <c r="AD116" s="81">
        <v>2050</v>
      </c>
      <c r="AE116" s="81"/>
      <c r="AF116" s="704"/>
    </row>
    <row r="117" spans="2:32">
      <c r="B117" s="717" t="s">
        <v>976</v>
      </c>
      <c r="C117" s="226"/>
      <c r="D117" s="212" t="str">
        <f>"AGR"&amp;RIGHT(H117,2)&amp;RIGHT(G117,3)&amp;"N"&amp;RIGHT(E117,1)</f>
        <v>AGRPHELCN0</v>
      </c>
      <c r="E117" s="261" t="str">
        <f>"Agriculture heating technology "&amp;$AJ$12&amp;" "&amp;RIGHT(H117,2)&amp;" - Direct electric heating - new 10"</f>
        <v>Agriculture heating technology Agriculture PH - Direct electric heating - new 10</v>
      </c>
      <c r="F117" s="224" t="s">
        <v>1107</v>
      </c>
      <c r="G117" s="173" t="s">
        <v>1941</v>
      </c>
      <c r="H117" s="174" t="str">
        <f>$AI$14</f>
        <v>AGDPH</v>
      </c>
      <c r="I117" s="174" t="str">
        <f t="shared" si="22"/>
        <v>AGRGWH</v>
      </c>
      <c r="J117" s="224">
        <f t="shared" si="32"/>
        <v>2011</v>
      </c>
      <c r="K117" s="298">
        <v>2020</v>
      </c>
      <c r="L117" s="199">
        <f t="shared" ca="1" si="122"/>
        <v>1</v>
      </c>
      <c r="M117" s="199"/>
      <c r="N117" s="81">
        <f ca="1">VLOOKUP($AD117,INDIRECT("'"&amp;$B117&amp;"'!"&amp;"$P$39:$AD$42"),5,FALSE)</f>
        <v>12.5</v>
      </c>
      <c r="O117" s="722">
        <f t="shared" ca="1" si="123"/>
        <v>0.44700000000000001</v>
      </c>
      <c r="P117" s="722">
        <f t="shared" ca="1" si="124"/>
        <v>0</v>
      </c>
      <c r="Q117" s="81">
        <f t="shared" ca="1" si="125"/>
        <v>0.37767361111111114</v>
      </c>
      <c r="R117" s="81">
        <v>3.1536000000000002E-2</v>
      </c>
      <c r="S117" s="199">
        <v>0.5</v>
      </c>
      <c r="T117" s="199">
        <f ca="1">HLOOKUP($S$2,INDIRECT("'"&amp;$B117&amp;"'!"&amp;"$P$6:$AC$19"),IF(H117=$AI$13,6,IF(H117=$AI$14,9,14)),FALSE)</f>
        <v>1</v>
      </c>
      <c r="U117" s="771"/>
      <c r="V117" s="1130">
        <f t="shared" ref="V117" ca="1" si="133">IF(IF(RIGHT(H117,2)="PH",(1-L117)+$W$2,IF(RIGHT(H117,2)="HT",(1-L117)+$W$1,IF(RIGHT(H117,2)="SH",(1-L117)+$W$3,"")))&gt;0,IF(RIGHT(H117,2)="PH",(1-L117)+$W$2,IF(RIGHT(H117,2)="HT",(1-L117)+$W$1,IF(RIGHT(H117,2)="SH",(1-L117)+$W$3,""))),0)</f>
        <v>0.2</v>
      </c>
      <c r="W117" s="297"/>
      <c r="X117" s="697">
        <f t="shared" ca="1" si="79"/>
        <v>0</v>
      </c>
      <c r="Y117" s="81">
        <f t="shared" ca="1" si="127"/>
        <v>0</v>
      </c>
      <c r="Z117" s="81">
        <f t="shared" ca="1" si="128"/>
        <v>0</v>
      </c>
      <c r="AA117" s="81">
        <f t="shared" ca="1" si="129"/>
        <v>0</v>
      </c>
      <c r="AB117" s="81">
        <f t="shared" ca="1" si="130"/>
        <v>0</v>
      </c>
      <c r="AD117" s="81">
        <v>2020</v>
      </c>
      <c r="AE117" s="298"/>
      <c r="AF117" s="220"/>
    </row>
    <row r="118" spans="2:32">
      <c r="B118" s="717" t="s">
        <v>976</v>
      </c>
      <c r="C118" s="226"/>
      <c r="D118" s="212"/>
      <c r="E118" s="212"/>
      <c r="H118" s="174"/>
      <c r="I118" s="174" t="str">
        <f t="shared" si="22"/>
        <v>AGRGWH</v>
      </c>
      <c r="J118" s="224">
        <f t="shared" si="32"/>
        <v>2030</v>
      </c>
      <c r="K118" s="81"/>
      <c r="L118" s="199">
        <f t="shared" ca="1" si="122"/>
        <v>1</v>
      </c>
      <c r="M118" s="199"/>
      <c r="N118" s="81"/>
      <c r="O118" s="722">
        <f t="shared" ca="1" si="123"/>
        <v>0.44700000000000001</v>
      </c>
      <c r="P118" s="722">
        <f t="shared" ca="1" si="124"/>
        <v>0</v>
      </c>
      <c r="Q118" s="81">
        <f t="shared" ca="1" si="125"/>
        <v>0.38802083333333331</v>
      </c>
      <c r="R118" s="299"/>
      <c r="S118" s="299"/>
      <c r="T118" s="299"/>
      <c r="U118" s="299"/>
      <c r="V118" s="1130">
        <f t="shared" ref="V118" ca="1" si="134">IF(IF(RIGHT(H117,2)="PH",(1-L118)+$W$2,IF(RIGHT(H117,2)="HT",(1-L118)+$W$1,IF(RIGHT(H117,2)="SH",(1-L118)+$W$3,"")))&gt;0,IF(RIGHT(H117,2)="PH",(1-L118)+$W$2,IF(RIGHT(H117,2)="HT",(1-L118)+$W$1,IF(RIGHT(H117,2)="SH",(1-L118)+$W$3,""))),0)</f>
        <v>0.2</v>
      </c>
      <c r="W118" s="297"/>
      <c r="X118" s="697">
        <f t="shared" ca="1" si="79"/>
        <v>0</v>
      </c>
      <c r="Y118" s="81">
        <f t="shared" ca="1" si="127"/>
        <v>0</v>
      </c>
      <c r="Z118" s="81">
        <f t="shared" ca="1" si="128"/>
        <v>0</v>
      </c>
      <c r="AA118" s="81">
        <f t="shared" ca="1" si="129"/>
        <v>0</v>
      </c>
      <c r="AB118" s="81">
        <f t="shared" ca="1" si="130"/>
        <v>0</v>
      </c>
      <c r="AD118" s="81">
        <v>2030</v>
      </c>
      <c r="AE118" s="81"/>
      <c r="AF118" s="220"/>
    </row>
    <row r="119" spans="2:32">
      <c r="B119" s="718" t="s">
        <v>976</v>
      </c>
      <c r="C119" s="712"/>
      <c r="D119" s="700"/>
      <c r="E119" s="700"/>
      <c r="F119" s="203"/>
      <c r="G119" s="203"/>
      <c r="H119" s="701"/>
      <c r="I119" s="701" t="str">
        <f t="shared" si="22"/>
        <v>AGRGWH</v>
      </c>
      <c r="J119" s="224">
        <f t="shared" si="32"/>
        <v>2050</v>
      </c>
      <c r="K119" s="81"/>
      <c r="L119" s="199">
        <f t="shared" ca="1" si="122"/>
        <v>1</v>
      </c>
      <c r="M119" s="199"/>
      <c r="N119" s="81"/>
      <c r="O119" s="722">
        <f t="shared" ca="1" si="123"/>
        <v>0.44700000000000001</v>
      </c>
      <c r="P119" s="722">
        <f t="shared" ca="1" si="124"/>
        <v>0</v>
      </c>
      <c r="Q119" s="81">
        <f t="shared" ca="1" si="125"/>
        <v>0.39319444444444446</v>
      </c>
      <c r="R119" s="702"/>
      <c r="S119" s="702"/>
      <c r="T119" s="702"/>
      <c r="U119" s="702"/>
      <c r="V119" s="1130">
        <f t="shared" ref="V119" ca="1" si="135">IF(IF(RIGHT(H117,2)="PH",(1-L119)+$W$2,IF(RIGHT(H117,2)="HT",(1-L119)+$W$1,IF(RIGHT(H117,2)="SH",(1-L119)+$W$3,"")))&gt;0,IF(RIGHT(H117,2)="PH",(1-L119)+$W$2,IF(RIGHT(H117,2)="HT",(1-L119)+$W$1,IF(RIGHT(H117,2)="SH",(1-L119)+$W$3,""))),0)</f>
        <v>0.2</v>
      </c>
      <c r="W119" s="703"/>
      <c r="X119" s="697">
        <f t="shared" ca="1" si="79"/>
        <v>0</v>
      </c>
      <c r="Y119" s="81">
        <f t="shared" ca="1" si="127"/>
        <v>0</v>
      </c>
      <c r="Z119" s="81">
        <f t="shared" ca="1" si="128"/>
        <v>0</v>
      </c>
      <c r="AA119" s="81">
        <f t="shared" ca="1" si="129"/>
        <v>0</v>
      </c>
      <c r="AB119" s="81">
        <f t="shared" ca="1" si="130"/>
        <v>0</v>
      </c>
      <c r="AD119" s="81">
        <v>2050</v>
      </c>
      <c r="AE119" s="81"/>
      <c r="AF119" s="220"/>
    </row>
    <row r="120" spans="2:32">
      <c r="B120" s="717" t="s">
        <v>971</v>
      </c>
      <c r="C120" s="226"/>
      <c r="D120" s="212" t="str">
        <f>"AGR"&amp;RIGHT(H120,2)&amp;RIGHT(G120,3)&amp;"N"&amp;RIGHT(E120,1)</f>
        <v>AGRPHGSBN1</v>
      </c>
      <c r="E120" s="261" t="str">
        <f>"Agriculture heating technology "&amp;$AJ$12&amp;" "&amp;RIGHT(H120,2)&amp;" - Oil boiler (Steam) - new 1"</f>
        <v>Agriculture heating technology Agriculture PH - Oil boiler (Steam) - new 1</v>
      </c>
      <c r="F120" s="224" t="s">
        <v>1107</v>
      </c>
      <c r="G120" s="173" t="s">
        <v>1944</v>
      </c>
      <c r="H120" s="174" t="str">
        <f>$AI$13</f>
        <v>AGDPH</v>
      </c>
      <c r="I120" s="174" t="str">
        <f t="shared" si="22"/>
        <v>AGRGWH</v>
      </c>
      <c r="J120" s="224">
        <f t="shared" si="32"/>
        <v>2011</v>
      </c>
      <c r="K120" s="298">
        <v>2025</v>
      </c>
      <c r="L120" s="199">
        <f t="shared" ca="1" si="122"/>
        <v>0.94</v>
      </c>
      <c r="M120" s="698"/>
      <c r="N120" s="298">
        <f ca="1">VLOOKUP($AD120,INDIRECT("'"&amp;$B120&amp;"'!"&amp;"$P$39:$AD$42"),5,FALSE)</f>
        <v>25</v>
      </c>
      <c r="O120" s="724">
        <f t="shared" ca="1" si="123"/>
        <v>0.40975</v>
      </c>
      <c r="P120" s="724">
        <f t="shared" ca="1" si="124"/>
        <v>1.341E-2</v>
      </c>
      <c r="Q120" s="298">
        <f t="shared" ca="1" si="125"/>
        <v>2.0694444444444446</v>
      </c>
      <c r="R120" s="298">
        <v>3.1536000000000002E-2</v>
      </c>
      <c r="S120" s="698">
        <v>0.5</v>
      </c>
      <c r="T120" s="698">
        <f ca="1">HLOOKUP($T$2,INDIRECT("'"&amp;$B120&amp;"'!"&amp;"$P$6:$AC$19"),IF(H120=$AI$13,6,IF(H120=$AI$14,9,14)),FALSE)</f>
        <v>1</v>
      </c>
      <c r="U120" s="771"/>
      <c r="V120" s="1130">
        <f t="shared" ref="V120" ca="1" si="136">IF(IF(RIGHT(H120,2)="PH",(1-L120)+$W$2,IF(RIGHT(H120,2)="HT",(1-L120)+$W$1,IF(RIGHT(H120,2)="SH",(1-L120)+$W$3,"")))&gt;0,IF(RIGHT(H120,2)="PH",(1-L120)+$W$2,IF(RIGHT(H120,2)="HT",(1-L120)+$W$1,IF(RIGHT(H120,2)="SH",(1-L120)+$W$3,""))),0)</f>
        <v>0.26000000000000006</v>
      </c>
      <c r="W120" s="297"/>
      <c r="X120" s="697">
        <f t="shared" ca="1" si="79"/>
        <v>0.5</v>
      </c>
      <c r="Y120" s="298">
        <f t="shared" ca="1" si="127"/>
        <v>25</v>
      </c>
      <c r="Z120" s="298">
        <f t="shared" ca="1" si="128"/>
        <v>0</v>
      </c>
      <c r="AA120" s="298">
        <f t="shared" ca="1" si="129"/>
        <v>0</v>
      </c>
      <c r="AB120" s="298">
        <f t="shared" ca="1" si="130"/>
        <v>0.1</v>
      </c>
      <c r="AD120" s="298">
        <v>2020</v>
      </c>
      <c r="AE120" s="81"/>
      <c r="AF120" s="220"/>
    </row>
    <row r="121" spans="2:32">
      <c r="B121" s="717" t="s">
        <v>971</v>
      </c>
      <c r="C121" s="226"/>
      <c r="D121" s="212"/>
      <c r="E121" s="212"/>
      <c r="H121" s="174"/>
      <c r="I121" s="174" t="str">
        <f t="shared" si="22"/>
        <v>AGRGWH</v>
      </c>
      <c r="J121" s="224">
        <f t="shared" si="32"/>
        <v>2030</v>
      </c>
      <c r="K121" s="81"/>
      <c r="L121" s="199">
        <f t="shared" ca="1" si="122"/>
        <v>0.95</v>
      </c>
      <c r="M121" s="199"/>
      <c r="N121" s="81"/>
      <c r="O121" s="722">
        <f t="shared" ca="1" si="123"/>
        <v>0.3469940346244772</v>
      </c>
      <c r="P121" s="722">
        <f t="shared" ca="1" si="124"/>
        <v>1.2664999999999999E-2</v>
      </c>
      <c r="Q121" s="81">
        <f t="shared" ca="1" si="125"/>
        <v>1.8625</v>
      </c>
      <c r="R121" s="299"/>
      <c r="S121" s="299"/>
      <c r="T121" s="299"/>
      <c r="U121" s="299"/>
      <c r="V121" s="1130">
        <f t="shared" ref="V121" ca="1" si="137">IF(IF(RIGHT(H120,2)="PH",(1-L121)+$W$2,IF(RIGHT(H120,2)="HT",(1-L121)+$W$1,IF(RIGHT(H120,2)="SH",(1-L121)+$W$3,"")))&gt;0,IF(RIGHT(H120,2)="PH",(1-L121)+$W$2,IF(RIGHT(H120,2)="HT",(1-L121)+$W$1,IF(RIGHT(H120,2)="SH",(1-L121)+$W$3,""))),0)</f>
        <v>0.25000000000000006</v>
      </c>
      <c r="W121" s="297"/>
      <c r="X121" s="697">
        <f t="shared" ca="1" si="79"/>
        <v>0.5</v>
      </c>
      <c r="Y121" s="81">
        <f t="shared" ca="1" si="127"/>
        <v>20</v>
      </c>
      <c r="Z121" s="81">
        <f t="shared" ca="1" si="128"/>
        <v>0</v>
      </c>
      <c r="AA121" s="81">
        <f t="shared" ca="1" si="129"/>
        <v>0</v>
      </c>
      <c r="AB121" s="81">
        <f t="shared" ca="1" si="130"/>
        <v>0.1</v>
      </c>
      <c r="AD121" s="81">
        <v>2030</v>
      </c>
      <c r="AE121" s="81"/>
      <c r="AF121" s="220"/>
    </row>
    <row r="122" spans="2:32">
      <c r="B122" s="717" t="s">
        <v>971</v>
      </c>
      <c r="C122" s="226"/>
      <c r="D122" s="212"/>
      <c r="E122" s="212"/>
      <c r="H122" s="174"/>
      <c r="I122" s="174" t="str">
        <f t="shared" si="22"/>
        <v>AGRGWH</v>
      </c>
      <c r="J122" s="224">
        <f t="shared" si="32"/>
        <v>2050</v>
      </c>
      <c r="K122" s="81"/>
      <c r="L122" s="199">
        <f t="shared" ca="1" si="122"/>
        <v>0.96</v>
      </c>
      <c r="M122" s="199"/>
      <c r="N122" s="81"/>
      <c r="O122" s="722">
        <f t="shared" ca="1" si="123"/>
        <v>0.32813985758696651</v>
      </c>
      <c r="P122" s="722">
        <f t="shared" ca="1" si="124"/>
        <v>1.1175000000000001E-2</v>
      </c>
      <c r="Q122" s="81">
        <f t="shared" ca="1" si="125"/>
        <v>1.8625</v>
      </c>
      <c r="R122" s="299"/>
      <c r="S122" s="299"/>
      <c r="T122" s="299"/>
      <c r="U122" s="299"/>
      <c r="V122" s="1130">
        <f t="shared" ref="V122" ca="1" si="138">IF(IF(RIGHT(H120,2)="PH",(1-L122)+$W$2,IF(RIGHT(H120,2)="HT",(1-L122)+$W$1,IF(RIGHT(H120,2)="SH",(1-L122)+$W$3,"")))&gt;0,IF(RIGHT(H120,2)="PH",(1-L122)+$W$2,IF(RIGHT(H120,2)="HT",(1-L122)+$W$1,IF(RIGHT(H120,2)="SH",(1-L122)+$W$3,""))),0)</f>
        <v>0.24000000000000005</v>
      </c>
      <c r="W122" s="297"/>
      <c r="X122" s="697">
        <f t="shared" ca="1" si="79"/>
        <v>0.5</v>
      </c>
      <c r="Y122" s="81">
        <f t="shared" ca="1" si="127"/>
        <v>15</v>
      </c>
      <c r="Z122" s="81">
        <f t="shared" ca="1" si="128"/>
        <v>0</v>
      </c>
      <c r="AA122" s="81">
        <f t="shared" ca="1" si="129"/>
        <v>0</v>
      </c>
      <c r="AB122" s="81">
        <f t="shared" ca="1" si="130"/>
        <v>0.1</v>
      </c>
      <c r="AD122" s="81">
        <v>2050</v>
      </c>
      <c r="AE122" s="81"/>
      <c r="AF122" s="220"/>
    </row>
    <row r="123" spans="2:32">
      <c r="B123" s="717" t="s">
        <v>971</v>
      </c>
      <c r="C123" s="226"/>
      <c r="D123" s="212" t="str">
        <f>"AGR"&amp;RIGHT(H123,2)&amp;RIGHT(G123,3)&amp;"N"&amp;RIGHT(E123,1)</f>
        <v>AGRPHGSBN1</v>
      </c>
      <c r="E123" s="261" t="str">
        <f>"Agriculture heating technology "&amp;$AJ$12&amp;" "&amp;RIGHT(H123,2)&amp;" - Oil boiler (Steam) - new 1"</f>
        <v>Agriculture heating technology Agriculture PH - Oil boiler (Steam) - new 1</v>
      </c>
      <c r="F123" s="224" t="s">
        <v>1107</v>
      </c>
      <c r="G123" s="173" t="s">
        <v>1944</v>
      </c>
      <c r="H123" s="174" t="str">
        <f>$AI$14</f>
        <v>AGDPH</v>
      </c>
      <c r="I123" s="174" t="str">
        <f t="shared" si="22"/>
        <v>AGRGWH</v>
      </c>
      <c r="J123" s="224">
        <f t="shared" si="32"/>
        <v>2011</v>
      </c>
      <c r="K123" s="298">
        <v>2025</v>
      </c>
      <c r="L123" s="199">
        <f t="shared" ca="1" si="122"/>
        <v>0.94</v>
      </c>
      <c r="M123" s="199"/>
      <c r="N123" s="81">
        <f ca="1">VLOOKUP($AD123,INDIRECT("'"&amp;$B123&amp;"'!"&amp;"$P$39:$AD$42"),5,FALSE)</f>
        <v>25</v>
      </c>
      <c r="O123" s="722">
        <f t="shared" ca="1" si="123"/>
        <v>0.40975</v>
      </c>
      <c r="P123" s="722">
        <f t="shared" ca="1" si="124"/>
        <v>1.341E-2</v>
      </c>
      <c r="Q123" s="81">
        <f t="shared" ca="1" si="125"/>
        <v>2.0694444444444446</v>
      </c>
      <c r="R123" s="81">
        <v>3.1536000000000002E-2</v>
      </c>
      <c r="S123" s="199">
        <v>0.5</v>
      </c>
      <c r="T123" s="199">
        <f ca="1">HLOOKUP($T$2,INDIRECT("'"&amp;$B123&amp;"'!"&amp;"$P$6:$AC$19"),IF(H123=$AI$13,6,IF(H123=$AI$14,9,14)),FALSE)</f>
        <v>1</v>
      </c>
      <c r="U123" s="771"/>
      <c r="V123" s="1130">
        <f t="shared" ref="V123" ca="1" si="139">IF(IF(RIGHT(H123,2)="PH",(1-L123)+$W$2,IF(RIGHT(H123,2)="HT",(1-L123)+$W$1,IF(RIGHT(H123,2)="SH",(1-L123)+$W$3,"")))&gt;0,IF(RIGHT(H123,2)="PH",(1-L123)+$W$2,IF(RIGHT(H123,2)="HT",(1-L123)+$W$1,IF(RIGHT(H123,2)="SH",(1-L123)+$W$3,""))),0)</f>
        <v>0.26000000000000006</v>
      </c>
      <c r="W123" s="297"/>
      <c r="X123" s="697">
        <f t="shared" ca="1" si="79"/>
        <v>0.5</v>
      </c>
      <c r="Y123" s="81">
        <f t="shared" ca="1" si="127"/>
        <v>25</v>
      </c>
      <c r="Z123" s="81">
        <f t="shared" ca="1" si="128"/>
        <v>0</v>
      </c>
      <c r="AA123" s="81">
        <f t="shared" ca="1" si="129"/>
        <v>0</v>
      </c>
      <c r="AB123" s="81">
        <f t="shared" ca="1" si="130"/>
        <v>0.1</v>
      </c>
      <c r="AD123" s="81">
        <v>2020</v>
      </c>
      <c r="AE123" s="81"/>
      <c r="AF123" s="220"/>
    </row>
    <row r="124" spans="2:32">
      <c r="B124" s="717" t="s">
        <v>971</v>
      </c>
      <c r="C124" s="226"/>
      <c r="D124" s="212"/>
      <c r="E124" s="212"/>
      <c r="H124" s="174"/>
      <c r="I124" s="174" t="str">
        <f t="shared" si="22"/>
        <v>AGRGWH</v>
      </c>
      <c r="J124" s="224">
        <f t="shared" si="32"/>
        <v>2030</v>
      </c>
      <c r="K124" s="81"/>
      <c r="L124" s="199">
        <f t="shared" ca="1" si="122"/>
        <v>0.95</v>
      </c>
      <c r="M124" s="199"/>
      <c r="N124" s="81"/>
      <c r="O124" s="722">
        <f t="shared" ca="1" si="123"/>
        <v>0.3469940346244772</v>
      </c>
      <c r="P124" s="722">
        <f t="shared" ca="1" si="124"/>
        <v>1.2664999999999999E-2</v>
      </c>
      <c r="Q124" s="81">
        <f t="shared" ca="1" si="125"/>
        <v>1.8625</v>
      </c>
      <c r="R124" s="299"/>
      <c r="S124" s="299"/>
      <c r="T124" s="299"/>
      <c r="U124" s="299"/>
      <c r="V124" s="1130">
        <f t="shared" ref="V124" ca="1" si="140">IF(IF(RIGHT(H123,2)="PH",(1-L124)+$W$2,IF(RIGHT(H123,2)="HT",(1-L124)+$W$1,IF(RIGHT(H123,2)="SH",(1-L124)+$W$3,"")))&gt;0,IF(RIGHT(H123,2)="PH",(1-L124)+$W$2,IF(RIGHT(H123,2)="HT",(1-L124)+$W$1,IF(RIGHT(H123,2)="SH",(1-L124)+$W$3,""))),0)</f>
        <v>0.25000000000000006</v>
      </c>
      <c r="W124" s="297"/>
      <c r="X124" s="697">
        <f t="shared" ca="1" si="79"/>
        <v>0.5</v>
      </c>
      <c r="Y124" s="81">
        <f t="shared" ca="1" si="127"/>
        <v>20</v>
      </c>
      <c r="Z124" s="81">
        <f t="shared" ca="1" si="128"/>
        <v>0</v>
      </c>
      <c r="AA124" s="81">
        <f t="shared" ca="1" si="129"/>
        <v>0</v>
      </c>
      <c r="AB124" s="81">
        <f t="shared" ca="1" si="130"/>
        <v>0.1</v>
      </c>
      <c r="AD124" s="81">
        <v>2030</v>
      </c>
      <c r="AE124" s="81"/>
      <c r="AF124" s="220"/>
    </row>
    <row r="125" spans="2:32">
      <c r="B125" s="717" t="s">
        <v>971</v>
      </c>
      <c r="C125" s="226"/>
      <c r="D125" s="212"/>
      <c r="E125" s="212"/>
      <c r="H125" s="174"/>
      <c r="I125" s="174" t="str">
        <f t="shared" si="22"/>
        <v>AGRGWH</v>
      </c>
      <c r="J125" s="224">
        <f t="shared" si="32"/>
        <v>2050</v>
      </c>
      <c r="K125" s="81"/>
      <c r="L125" s="199">
        <f t="shared" ca="1" si="122"/>
        <v>0.96</v>
      </c>
      <c r="M125" s="199"/>
      <c r="N125" s="81"/>
      <c r="O125" s="722">
        <f t="shared" ca="1" si="123"/>
        <v>0.32813985758696651</v>
      </c>
      <c r="P125" s="722">
        <f t="shared" ca="1" si="124"/>
        <v>1.1175000000000001E-2</v>
      </c>
      <c r="Q125" s="81">
        <f t="shared" ca="1" si="125"/>
        <v>1.8625</v>
      </c>
      <c r="R125" s="299"/>
      <c r="S125" s="299"/>
      <c r="T125" s="299"/>
      <c r="U125" s="299"/>
      <c r="V125" s="1130">
        <f t="shared" ref="V125" ca="1" si="141">IF(IF(RIGHT(H123,2)="PH",(1-L125)+$W$2,IF(RIGHT(H123,2)="HT",(1-L125)+$W$1,IF(RIGHT(H123,2)="SH",(1-L125)+$W$3,"")))&gt;0,IF(RIGHT(H123,2)="PH",(1-L125)+$W$2,IF(RIGHT(H123,2)="HT",(1-L125)+$W$1,IF(RIGHT(H123,2)="SH",(1-L125)+$W$3,""))),0)</f>
        <v>0.24000000000000005</v>
      </c>
      <c r="W125" s="297"/>
      <c r="X125" s="697">
        <f t="shared" ca="1" si="79"/>
        <v>0.5</v>
      </c>
      <c r="Y125" s="81">
        <f t="shared" ca="1" si="127"/>
        <v>15</v>
      </c>
      <c r="Z125" s="81">
        <f t="shared" ca="1" si="128"/>
        <v>0</v>
      </c>
      <c r="AA125" s="81">
        <f t="shared" ca="1" si="129"/>
        <v>0</v>
      </c>
      <c r="AB125" s="81">
        <f t="shared" ca="1" si="130"/>
        <v>0.1</v>
      </c>
      <c r="AC125" s="203"/>
      <c r="AD125" s="81">
        <v>2050</v>
      </c>
      <c r="AE125" s="81"/>
      <c r="AF125" s="704"/>
    </row>
    <row r="126" spans="2:32">
      <c r="B126" s="717" t="s">
        <v>971</v>
      </c>
      <c r="C126" s="226"/>
      <c r="D126" s="212" t="str">
        <f>"AGR"&amp;RIGHT(H126,2)&amp;RIGHT(G126,3)&amp;"N"&amp;RIGHT(E126,1)</f>
        <v>AGRSHGSBN1</v>
      </c>
      <c r="E126" s="261" t="str">
        <f>"Agriculture heating technology "&amp;$AJ$12&amp;" "&amp;RIGHT(H126,2)&amp;" - Oil boiler (Steam) - new 1"</f>
        <v>Agriculture heating technology Agriculture SH - Oil boiler (Steam) - new 1</v>
      </c>
      <c r="F126" s="224" t="s">
        <v>1107</v>
      </c>
      <c r="G126" s="173" t="s">
        <v>1944</v>
      </c>
      <c r="H126" s="174" t="str">
        <f>$AI$15</f>
        <v>AGDSH</v>
      </c>
      <c r="I126" s="174" t="str">
        <f t="shared" si="22"/>
        <v>AGRGWH</v>
      </c>
      <c r="J126" s="224">
        <f t="shared" si="32"/>
        <v>2011</v>
      </c>
      <c r="K126" s="298">
        <v>2025</v>
      </c>
      <c r="L126" s="199">
        <f t="shared" ca="1" si="122"/>
        <v>0.94</v>
      </c>
      <c r="M126" s="199"/>
      <c r="N126" s="81">
        <f ca="1">VLOOKUP($AD126,INDIRECT("'"&amp;$B126&amp;"'!"&amp;"$P$39:$AD$42"),5,FALSE)</f>
        <v>25</v>
      </c>
      <c r="O126" s="722">
        <f t="shared" ca="1" si="123"/>
        <v>0.40975</v>
      </c>
      <c r="P126" s="722">
        <f t="shared" ca="1" si="124"/>
        <v>1.341E-2</v>
      </c>
      <c r="Q126" s="81">
        <f t="shared" ca="1" si="125"/>
        <v>2.0694444444444446</v>
      </c>
      <c r="R126" s="81">
        <v>3.1536000000000002E-2</v>
      </c>
      <c r="S126" s="199">
        <v>0.5</v>
      </c>
      <c r="T126" s="199">
        <f ca="1">HLOOKUP($T$2,INDIRECT("'"&amp;$B126&amp;"'!"&amp;"$P$6:$AC$19"),IF(H126=$AI$13,6,IF(H126=$AI$14,9,14)),FALSE)</f>
        <v>1</v>
      </c>
      <c r="U126" s="771"/>
      <c r="V126" s="1130">
        <f t="shared" ref="V126" ca="1" si="142">IF(IF(RIGHT(H126,2)="PH",(1-L126)+$W$2,IF(RIGHT(H126,2)="HT",(1-L126)+$W$1,IF(RIGHT(H126,2)="SH",(1-L126)+$W$3,"")))&gt;0,IF(RIGHT(H126,2)="PH",(1-L126)+$W$2,IF(RIGHT(H126,2)="HT",(1-L126)+$W$1,IF(RIGHT(H126,2)="SH",(1-L126)+$W$3,""))),0)</f>
        <v>6.0000000000000053E-2</v>
      </c>
      <c r="W126" s="297"/>
      <c r="X126" s="697">
        <f t="shared" ca="1" si="79"/>
        <v>0.5</v>
      </c>
      <c r="Y126" s="81">
        <f t="shared" ca="1" si="127"/>
        <v>25</v>
      </c>
      <c r="Z126" s="81">
        <f t="shared" ca="1" si="128"/>
        <v>0</v>
      </c>
      <c r="AA126" s="81">
        <f t="shared" ca="1" si="129"/>
        <v>0</v>
      </c>
      <c r="AB126" s="81">
        <f t="shared" ca="1" si="130"/>
        <v>0.1</v>
      </c>
      <c r="AC126" s="296"/>
      <c r="AD126" s="81">
        <v>2020</v>
      </c>
      <c r="AE126" s="81"/>
      <c r="AF126" s="709"/>
    </row>
    <row r="127" spans="2:32">
      <c r="B127" s="717" t="s">
        <v>971</v>
      </c>
      <c r="C127" s="226"/>
      <c r="D127" s="212"/>
      <c r="E127" s="212"/>
      <c r="H127" s="174"/>
      <c r="I127" s="174" t="str">
        <f t="shared" ref="I127:I182" si="143">$AI$20</f>
        <v>AGRGWH</v>
      </c>
      <c r="J127" s="224">
        <f t="shared" si="32"/>
        <v>2030</v>
      </c>
      <c r="K127" s="81"/>
      <c r="L127" s="199">
        <f t="shared" ca="1" si="122"/>
        <v>0.95</v>
      </c>
      <c r="M127" s="199"/>
      <c r="N127" s="81"/>
      <c r="O127" s="722">
        <f t="shared" ca="1" si="123"/>
        <v>0.3469940346244772</v>
      </c>
      <c r="P127" s="722">
        <f t="shared" ca="1" si="124"/>
        <v>1.2664999999999999E-2</v>
      </c>
      <c r="Q127" s="81">
        <f t="shared" ca="1" si="125"/>
        <v>1.8625</v>
      </c>
      <c r="R127" s="299"/>
      <c r="S127" s="299"/>
      <c r="T127" s="299"/>
      <c r="U127" s="299"/>
      <c r="V127" s="1130">
        <f t="shared" ref="V127" ca="1" si="144">IF(IF(RIGHT(H126,2)="PH",(1-L127)+$W$2,IF(RIGHT(H126,2)="HT",(1-L127)+$W$1,IF(RIGHT(H126,2)="SH",(1-L127)+$W$3,"")))&gt;0,IF(RIGHT(H126,2)="PH",(1-L127)+$W$2,IF(RIGHT(H126,2)="HT",(1-L127)+$W$1,IF(RIGHT(H126,2)="SH",(1-L127)+$W$3,""))),0)</f>
        <v>5.0000000000000044E-2</v>
      </c>
      <c r="W127" s="297"/>
      <c r="X127" s="697">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699"/>
    </row>
    <row r="128" spans="2:32">
      <c r="B128" s="718" t="s">
        <v>971</v>
      </c>
      <c r="C128" s="712"/>
      <c r="D128" s="700"/>
      <c r="E128" s="700"/>
      <c r="F128" s="203"/>
      <c r="G128" s="203"/>
      <c r="H128" s="701"/>
      <c r="I128" s="701" t="str">
        <f t="shared" si="143"/>
        <v>AGRGWH</v>
      </c>
      <c r="J128" s="224">
        <f t="shared" ref="J128:J186" si="146">IF(AD128=2020,2011,AD128)</f>
        <v>2050</v>
      </c>
      <c r="K128" s="81"/>
      <c r="L128" s="199">
        <f t="shared" ca="1" si="122"/>
        <v>0.96</v>
      </c>
      <c r="M128" s="199"/>
      <c r="N128" s="81"/>
      <c r="O128" s="722">
        <f t="shared" ca="1" si="123"/>
        <v>0.32813985758696651</v>
      </c>
      <c r="P128" s="722">
        <f t="shared" ca="1" si="124"/>
        <v>1.1175000000000001E-2</v>
      </c>
      <c r="Q128" s="81">
        <f t="shared" ca="1" si="125"/>
        <v>1.8625</v>
      </c>
      <c r="R128" s="702"/>
      <c r="S128" s="702"/>
      <c r="T128" s="702"/>
      <c r="U128" s="702"/>
      <c r="V128" s="1130">
        <f t="shared" ref="V128" ca="1" si="147">IF(IF(RIGHT(H126,2)="PH",(1-L128)+$W$2,IF(RIGHT(H126,2)="HT",(1-L128)+$W$1,IF(RIGHT(H126,2)="SH",(1-L128)+$W$3,"")))&gt;0,IF(RIGHT(H126,2)="PH",(1-L128)+$W$2,IF(RIGHT(H126,2)="HT",(1-L128)+$W$1,IF(RIGHT(H126,2)="SH",(1-L128)+$W$3,""))),0)</f>
        <v>4.0000000000000036E-2</v>
      </c>
      <c r="W128" s="703"/>
      <c r="X128" s="697">
        <f t="shared" ca="1" si="145"/>
        <v>0.5</v>
      </c>
      <c r="Y128" s="81">
        <f t="shared" ca="1" si="127"/>
        <v>15</v>
      </c>
      <c r="Z128" s="81">
        <f t="shared" ca="1" si="128"/>
        <v>0</v>
      </c>
      <c r="AA128" s="81">
        <f t="shared" ca="1" si="129"/>
        <v>0</v>
      </c>
      <c r="AB128" s="81">
        <f t="shared" ca="1" si="130"/>
        <v>0.1</v>
      </c>
      <c r="AC128" s="55"/>
      <c r="AD128" s="81">
        <v>2050</v>
      </c>
      <c r="AE128" s="81"/>
      <c r="AF128" s="699"/>
    </row>
    <row r="129" spans="2:32">
      <c r="B129" s="717" t="s">
        <v>971</v>
      </c>
      <c r="C129" s="226"/>
      <c r="D129" s="212" t="str">
        <f>"AGR"&amp;RIGHT(H129,2)&amp;RIGHT(G129,3)&amp;"N"&amp;RIGHT(E129,1)</f>
        <v>AGRPHGSBN2</v>
      </c>
      <c r="E129" s="706" t="str">
        <f>"Agriculture heating technology "&amp;$AJ$12&amp;" "&amp;RIGHT(H129,2)&amp;" - Oil boiler (Steam - condensing) - new 2"</f>
        <v>Agriculture heating technology Agriculture PH - Oil boiler (Steam - condensing) - new 2</v>
      </c>
      <c r="F129" s="296" t="s">
        <v>1107</v>
      </c>
      <c r="G129" s="173" t="s">
        <v>1944</v>
      </c>
      <c r="H129" s="707" t="str">
        <f>$AI$14</f>
        <v>AGDPH</v>
      </c>
      <c r="I129" s="707" t="str">
        <f t="shared" si="143"/>
        <v>AGRGWH</v>
      </c>
      <c r="J129" s="224">
        <f t="shared" si="146"/>
        <v>2011</v>
      </c>
      <c r="K129" s="298">
        <v>2025</v>
      </c>
      <c r="L129" s="199">
        <f t="shared" ref="L129:L134" ca="1" si="148">VLOOKUP($AD129,INDIRECT("'"&amp;$B129&amp;"'!"&amp;"$P$118:$AD$121"),3,FALSE)</f>
        <v>0.95</v>
      </c>
      <c r="M129" s="199"/>
      <c r="N129" s="81">
        <f ca="1">VLOOKUP($AD129,INDIRECT("'"&amp;$B129&amp;"'!"&amp;"$P$118:$AD$121"),5,FALSE)</f>
        <v>25</v>
      </c>
      <c r="O129" s="722">
        <f t="shared" ref="O129:O134" ca="1" si="149">VLOOKUP($AD129,INDIRECT("'"&amp;$B129&amp;"'!"&amp;"$P$118:$AD$121"),6,FALSE)/1000</f>
        <v>0.32780000000000004</v>
      </c>
      <c r="P129" s="722">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2"/>
      <c r="V129" s="1130">
        <f t="shared" ref="V129" ca="1" si="152">IF(IF(RIGHT(H129,2)="PH",(1-L129)+$W$2,IF(RIGHT(H129,2)="HT",(1-L129)+$W$1,IF(RIGHT(H129,2)="SH",(1-L129)+$W$3,"")))&gt;0,IF(RIGHT(H129,2)="PH",(1-L129)+$W$2,IF(RIGHT(H129,2)="HT",(1-L129)+$W$1,IF(RIGHT(H129,2)="SH",(1-L129)+$W$3,""))),0)</f>
        <v>0.25000000000000006</v>
      </c>
      <c r="W129" s="708"/>
      <c r="X129" s="697">
        <f t="shared" ca="1" si="145"/>
        <v>0.5</v>
      </c>
      <c r="Y129" s="697">
        <f t="shared" ref="Y129:Y134" ca="1" si="153">VLOOKUP($AD129,INDIRECT("'"&amp;$B129&amp;"'!"&amp;"$P$118:$AD$121"),12,FALSE)</f>
        <v>25</v>
      </c>
      <c r="Z129" s="697">
        <f t="shared" ref="Z129:Z134" ca="1" si="154">VLOOKUP($AD129,INDIRECT("'"&amp;$B129&amp;"'!"&amp;"$P$118:$AD$121"),13,FALSE)</f>
        <v>0</v>
      </c>
      <c r="AA129" s="697">
        <f t="shared" ref="AA129:AA134" ca="1" si="155">VLOOKUP($AD129,INDIRECT("'"&amp;$B129&amp;"'!"&amp;"$P$118:$AD$121"),14,FALSE)</f>
        <v>0</v>
      </c>
      <c r="AB129" s="697">
        <f t="shared" ref="AB129:AB134" ca="1" si="156">VLOOKUP($AD129,INDIRECT("'"&amp;$B129&amp;"'!"&amp;"$P$118:$AD$121"),15,FALSE)</f>
        <v>0.1</v>
      </c>
      <c r="AC129" s="55"/>
      <c r="AD129" s="81">
        <v>2020</v>
      </c>
      <c r="AE129" s="81"/>
      <c r="AF129" s="699"/>
    </row>
    <row r="130" spans="2:32">
      <c r="B130" s="717" t="s">
        <v>971</v>
      </c>
      <c r="C130" s="226"/>
      <c r="D130" s="212"/>
      <c r="E130" s="261"/>
      <c r="F130" s="55"/>
      <c r="G130" s="55"/>
      <c r="H130" s="174"/>
      <c r="I130" s="174" t="str">
        <f t="shared" si="143"/>
        <v>AGRGWH</v>
      </c>
      <c r="J130" s="224">
        <f t="shared" si="146"/>
        <v>2030</v>
      </c>
      <c r="K130" s="81"/>
      <c r="L130" s="199">
        <f t="shared" ca="1" si="148"/>
        <v>0.96</v>
      </c>
      <c r="M130" s="199"/>
      <c r="N130" s="81"/>
      <c r="O130" s="722">
        <f t="shared" ca="1" si="149"/>
        <v>0.27759522769958173</v>
      </c>
      <c r="P130" s="722">
        <f t="shared" ca="1" si="150"/>
        <v>1.2664999999999999E-2</v>
      </c>
      <c r="Q130" s="81">
        <f t="shared" ca="1" si="151"/>
        <v>1.8625</v>
      </c>
      <c r="R130" s="299"/>
      <c r="S130" s="299"/>
      <c r="T130" s="299"/>
      <c r="U130" s="299"/>
      <c r="V130" s="1130">
        <f t="shared" ref="V130" ca="1" si="157">IF(IF(RIGHT(H129,2)="PH",(1-L130)+$W$2,IF(RIGHT(H129,2)="HT",(1-L130)+$W$1,IF(RIGHT(H129,2)="SH",(1-L130)+$W$3,"")))&gt;0,IF(RIGHT(H129,2)="PH",(1-L130)+$W$2,IF(RIGHT(H129,2)="HT",(1-L130)+$W$1,IF(RIGHT(H129,2)="SH",(1-L130)+$W$3,""))),0)</f>
        <v>0.24000000000000005</v>
      </c>
      <c r="W130" s="297"/>
      <c r="X130" s="697">
        <f t="shared" ca="1" si="145"/>
        <v>0.5</v>
      </c>
      <c r="Y130" s="697">
        <f t="shared" ca="1" si="153"/>
        <v>20</v>
      </c>
      <c r="Z130" s="697">
        <f t="shared" ca="1" si="154"/>
        <v>0</v>
      </c>
      <c r="AA130" s="697">
        <f t="shared" ca="1" si="155"/>
        <v>0</v>
      </c>
      <c r="AB130" s="697">
        <f t="shared" ca="1" si="156"/>
        <v>0.1</v>
      </c>
      <c r="AC130" s="55"/>
      <c r="AD130" s="81">
        <v>2030</v>
      </c>
      <c r="AE130" s="81"/>
      <c r="AF130" s="699"/>
    </row>
    <row r="131" spans="2:32">
      <c r="B131" s="717" t="s">
        <v>971</v>
      </c>
      <c r="C131" s="226"/>
      <c r="E131" s="261"/>
      <c r="F131" s="55"/>
      <c r="G131" s="55"/>
      <c r="H131" s="174"/>
      <c r="I131" s="174" t="str">
        <f t="shared" si="143"/>
        <v>AGRGWH</v>
      </c>
      <c r="J131" s="224">
        <f t="shared" si="146"/>
        <v>2050</v>
      </c>
      <c r="K131" s="81"/>
      <c r="L131" s="199">
        <f t="shared" ca="1" si="148"/>
        <v>0.97</v>
      </c>
      <c r="M131" s="199"/>
      <c r="N131" s="81"/>
      <c r="O131" s="722">
        <f t="shared" ca="1" si="149"/>
        <v>0.26251188606957326</v>
      </c>
      <c r="P131" s="722">
        <f t="shared" ca="1" si="150"/>
        <v>1.1175000000000001E-2</v>
      </c>
      <c r="Q131" s="81">
        <f t="shared" ca="1" si="151"/>
        <v>1.8625</v>
      </c>
      <c r="R131" s="299"/>
      <c r="S131" s="299"/>
      <c r="T131" s="299"/>
      <c r="U131" s="299"/>
      <c r="V131" s="1130">
        <f t="shared" ref="V131" ca="1" si="158">IF(IF(RIGHT(H129,2)="PH",(1-L131)+$W$2,IF(RIGHT(H129,2)="HT",(1-L131)+$W$1,IF(RIGHT(H129,2)="SH",(1-L131)+$W$3,"")))&gt;0,IF(RIGHT(H129,2)="PH",(1-L131)+$W$2,IF(RIGHT(H129,2)="HT",(1-L131)+$W$1,IF(RIGHT(H129,2)="SH",(1-L131)+$W$3,""))),0)</f>
        <v>0.23000000000000004</v>
      </c>
      <c r="W131" s="297"/>
      <c r="X131" s="697">
        <f t="shared" ca="1" si="145"/>
        <v>0.5</v>
      </c>
      <c r="Y131" s="697">
        <f t="shared" ca="1" si="153"/>
        <v>15</v>
      </c>
      <c r="Z131" s="697">
        <f t="shared" ca="1" si="154"/>
        <v>0</v>
      </c>
      <c r="AA131" s="697">
        <f t="shared" ca="1" si="155"/>
        <v>0</v>
      </c>
      <c r="AB131" s="697">
        <f t="shared" ca="1" si="156"/>
        <v>0.1</v>
      </c>
      <c r="AC131" s="203"/>
      <c r="AD131" s="81">
        <v>2050</v>
      </c>
      <c r="AE131" s="81"/>
      <c r="AF131" s="704"/>
    </row>
    <row r="132" spans="2:32">
      <c r="B132" s="717" t="s">
        <v>971</v>
      </c>
      <c r="C132" s="226"/>
      <c r="D132" s="212" t="str">
        <f>"AGR"&amp;RIGHT(H132,2)&amp;RIGHT(G132,3)&amp;"N"&amp;RIGHT(E132,1)</f>
        <v>AGRSHGSBN2</v>
      </c>
      <c r="E132" s="261" t="str">
        <f>"Agriculture heating technology "&amp;$AJ$12&amp;" "&amp;RIGHT(H132,2)&amp;" - Oil boiler (Steam - condensing) - new 2"</f>
        <v>Agriculture heating technology Agriculture SH - Oil boiler (Steam - condensing) - new 2</v>
      </c>
      <c r="F132" s="55" t="s">
        <v>1107</v>
      </c>
      <c r="G132" s="173" t="s">
        <v>1944</v>
      </c>
      <c r="H132" s="174" t="str">
        <f>$AI$15</f>
        <v>AGDSH</v>
      </c>
      <c r="I132" s="174" t="str">
        <f t="shared" si="143"/>
        <v>AGRGWH</v>
      </c>
      <c r="J132" s="224">
        <f t="shared" si="146"/>
        <v>2011</v>
      </c>
      <c r="K132" s="298">
        <v>2025</v>
      </c>
      <c r="L132" s="199">
        <f t="shared" ca="1" si="148"/>
        <v>0.95</v>
      </c>
      <c r="M132" s="199"/>
      <c r="N132" s="81">
        <f ca="1">VLOOKUP($AD132,INDIRECT("'"&amp;$B132&amp;"'!"&amp;"$P$118:$AD$121"),5,FALSE)</f>
        <v>25</v>
      </c>
      <c r="O132" s="722">
        <f t="shared" ca="1" si="149"/>
        <v>0.32780000000000004</v>
      </c>
      <c r="P132" s="722">
        <f t="shared" ca="1" si="150"/>
        <v>1.341E-2</v>
      </c>
      <c r="Q132" s="81">
        <f t="shared" ca="1" si="151"/>
        <v>2.0694444444444446</v>
      </c>
      <c r="R132" s="81">
        <v>3.1536000000000002E-2</v>
      </c>
      <c r="S132" s="199">
        <v>0.5</v>
      </c>
      <c r="T132" s="199">
        <f ca="1">HLOOKUP($T$2,INDIRECT("'"&amp;$B132&amp;"'!"&amp;"$P$85:$AC$98"),IF(H132=$AI$13,6,IF(H132=$AI$14,9,14)),FALSE)</f>
        <v>1</v>
      </c>
      <c r="U132" s="771"/>
      <c r="V132" s="1130">
        <f t="shared" ref="V132" ca="1" si="159">IF(IF(RIGHT(H132,2)="PH",(1-L132)+$W$2,IF(RIGHT(H132,2)="HT",(1-L132)+$W$1,IF(RIGHT(H132,2)="SH",(1-L132)+$W$3,"")))&gt;0,IF(RIGHT(H132,2)="PH",(1-L132)+$W$2,IF(RIGHT(H132,2)="HT",(1-L132)+$W$1,IF(RIGHT(H132,2)="SH",(1-L132)+$W$3,""))),0)</f>
        <v>5.0000000000000044E-2</v>
      </c>
      <c r="W132" s="297"/>
      <c r="X132" s="697">
        <f t="shared" ca="1" si="145"/>
        <v>0.5</v>
      </c>
      <c r="Y132" s="697">
        <f t="shared" ca="1" si="153"/>
        <v>25</v>
      </c>
      <c r="Z132" s="697">
        <f t="shared" ca="1" si="154"/>
        <v>0</v>
      </c>
      <c r="AA132" s="697">
        <f t="shared" ca="1" si="155"/>
        <v>0</v>
      </c>
      <c r="AB132" s="697">
        <f t="shared" ca="1" si="156"/>
        <v>0.1</v>
      </c>
      <c r="AD132" s="81">
        <v>2020</v>
      </c>
      <c r="AE132" s="298"/>
      <c r="AF132" s="220"/>
    </row>
    <row r="133" spans="2:32">
      <c r="B133" s="717" t="s">
        <v>971</v>
      </c>
      <c r="C133" s="226"/>
      <c r="E133" s="261"/>
      <c r="F133" s="55"/>
      <c r="G133" s="55"/>
      <c r="H133" s="174"/>
      <c r="I133" s="174" t="str">
        <f t="shared" si="143"/>
        <v>AGRGWH</v>
      </c>
      <c r="J133" s="224">
        <f t="shared" si="146"/>
        <v>2030</v>
      </c>
      <c r="K133" s="81"/>
      <c r="L133" s="199">
        <f t="shared" ca="1" si="148"/>
        <v>0.96</v>
      </c>
      <c r="M133" s="199"/>
      <c r="N133" s="81"/>
      <c r="O133" s="722">
        <f t="shared" ca="1" si="149"/>
        <v>0.27759522769958173</v>
      </c>
      <c r="P133" s="722">
        <f t="shared" ca="1" si="150"/>
        <v>1.2664999999999999E-2</v>
      </c>
      <c r="Q133" s="81">
        <f t="shared" ca="1" si="151"/>
        <v>1.8625</v>
      </c>
      <c r="R133" s="299"/>
      <c r="S133" s="299"/>
      <c r="T133" s="299"/>
      <c r="U133" s="299"/>
      <c r="V133" s="1130">
        <f t="shared" ref="V133" ca="1" si="160">IF(IF(RIGHT(H132,2)="PH",(1-L133)+$W$2,IF(RIGHT(H132,2)="HT",(1-L133)+$W$1,IF(RIGHT(H132,2)="SH",(1-L133)+$W$3,"")))&gt;0,IF(RIGHT(H132,2)="PH",(1-L133)+$W$2,IF(RIGHT(H132,2)="HT",(1-L133)+$W$1,IF(RIGHT(H132,2)="SH",(1-L133)+$W$3,""))),0)</f>
        <v>4.0000000000000036E-2</v>
      </c>
      <c r="W133" s="297"/>
      <c r="X133" s="697">
        <f t="shared" ca="1" si="145"/>
        <v>0.5</v>
      </c>
      <c r="Y133" s="697">
        <f t="shared" ca="1" si="153"/>
        <v>20</v>
      </c>
      <c r="Z133" s="697">
        <f t="shared" ca="1" si="154"/>
        <v>0</v>
      </c>
      <c r="AA133" s="697">
        <f t="shared" ca="1" si="155"/>
        <v>0</v>
      </c>
      <c r="AB133" s="697">
        <f t="shared" ca="1" si="156"/>
        <v>0.1</v>
      </c>
      <c r="AD133" s="81">
        <v>2030</v>
      </c>
      <c r="AE133" s="81"/>
      <c r="AF133" s="220"/>
    </row>
    <row r="134" spans="2:32">
      <c r="B134" s="718" t="s">
        <v>971</v>
      </c>
      <c r="C134" s="712"/>
      <c r="D134" s="700"/>
      <c r="E134" s="700"/>
      <c r="F134" s="203"/>
      <c r="G134" s="203"/>
      <c r="H134" s="701"/>
      <c r="I134" s="701" t="str">
        <f t="shared" si="143"/>
        <v>AGRGWH</v>
      </c>
      <c r="J134" s="224">
        <f t="shared" si="146"/>
        <v>2050</v>
      </c>
      <c r="K134" s="81"/>
      <c r="L134" s="199">
        <f t="shared" ca="1" si="148"/>
        <v>0.97</v>
      </c>
      <c r="M134" s="199"/>
      <c r="N134" s="81"/>
      <c r="O134" s="722">
        <f t="shared" ca="1" si="149"/>
        <v>0.26251188606957326</v>
      </c>
      <c r="P134" s="722">
        <f t="shared" ca="1" si="150"/>
        <v>1.1175000000000001E-2</v>
      </c>
      <c r="Q134" s="81">
        <f t="shared" ca="1" si="151"/>
        <v>1.8625</v>
      </c>
      <c r="R134" s="702"/>
      <c r="S134" s="702"/>
      <c r="T134" s="702"/>
      <c r="U134" s="702"/>
      <c r="V134" s="1130">
        <f t="shared" ref="V134" ca="1" si="161">IF(IF(RIGHT(H132,2)="PH",(1-L134)+$W$2,IF(RIGHT(H132,2)="HT",(1-L134)+$W$1,IF(RIGHT(H132,2)="SH",(1-L134)+$W$3,"")))&gt;0,IF(RIGHT(H132,2)="PH",(1-L134)+$W$2,IF(RIGHT(H132,2)="HT",(1-L134)+$W$1,IF(RIGHT(H132,2)="SH",(1-L134)+$W$3,""))),0)</f>
        <v>3.0000000000000027E-2</v>
      </c>
      <c r="W134" s="703"/>
      <c r="X134" s="697">
        <f t="shared" ca="1" si="145"/>
        <v>0.5</v>
      </c>
      <c r="Y134" s="697">
        <f t="shared" ca="1" si="153"/>
        <v>15</v>
      </c>
      <c r="Z134" s="697">
        <f t="shared" ca="1" si="154"/>
        <v>0</v>
      </c>
      <c r="AA134" s="697">
        <f t="shared" ca="1" si="155"/>
        <v>0</v>
      </c>
      <c r="AB134" s="697">
        <f t="shared" ca="1" si="156"/>
        <v>0.1</v>
      </c>
      <c r="AD134" s="81">
        <v>2050</v>
      </c>
      <c r="AE134" s="81"/>
      <c r="AF134" s="220"/>
    </row>
    <row r="135" spans="2:32">
      <c r="B135" s="717" t="s">
        <v>972</v>
      </c>
      <c r="C135" s="226"/>
      <c r="D135" s="212" t="str">
        <f>"AGR"&amp;RIGHT(H135,2)&amp;RIGHT(G135,3)&amp;"N"&amp;RIGHT(E135,1)</f>
        <v>AGRPHSYNN1</v>
      </c>
      <c r="E135" s="261" t="str">
        <f>"Agriculture heating technology "&amp;$AJ$12&amp;" "&amp;RIGHT(H135,2)&amp;" - Gas boiler (Steam) - new 1"</f>
        <v>Agriculture heating technology Agriculture PH - Gas boiler (Steam) - new 1</v>
      </c>
      <c r="F135" s="224" t="s">
        <v>1107</v>
      </c>
      <c r="G135" s="173" t="s">
        <v>1945</v>
      </c>
      <c r="H135" s="174" t="str">
        <f>$AI$13</f>
        <v>AGDPH</v>
      </c>
      <c r="I135" s="174" t="str">
        <f t="shared" si="143"/>
        <v>AGRGWH</v>
      </c>
      <c r="J135" s="224">
        <f t="shared" si="146"/>
        <v>2011</v>
      </c>
      <c r="K135" s="298">
        <v>2025</v>
      </c>
      <c r="L135" s="199">
        <f t="shared" ref="L135:L143" ca="1" si="162">VLOOKUP($AD135,INDIRECT("'"&amp;$B135&amp;"'!"&amp;"$P$39:$AD$42"),3,FALSE)</f>
        <v>0.92</v>
      </c>
      <c r="M135" s="698"/>
      <c r="N135" s="298">
        <f ca="1">VLOOKUP($AD135,INDIRECT("'"&amp;$B135&amp;"'!"&amp;"$P$39:$AD$42"),5,FALSE)</f>
        <v>25</v>
      </c>
      <c r="O135" s="724">
        <f t="shared" ref="O135:O143" ca="1" si="163">VLOOKUP($AD135,INDIRECT("'"&amp;$B135&amp;"'!"&amp;"$P$39:$AD$42"),6,FALSE)/1000</f>
        <v>0.40636363636363632</v>
      </c>
      <c r="P135" s="724">
        <f t="shared" ref="P135:P143" ca="1" si="164">VLOOKUP($AD135,INDIRECT("'"&amp;$B135&amp;"'!"&amp;"$P$39:$AD$42"),7,FALSE)/1000</f>
        <v>1.49E-2</v>
      </c>
      <c r="Q135" s="298">
        <f t="shared" ref="Q135:Q143" ca="1" si="165">VLOOKUP($AD135,INDIRECT("'"&amp;$B135&amp;"'!"&amp;"$P$39:$AD$42"),8,FALSE)</f>
        <v>2.276388888888889</v>
      </c>
      <c r="R135" s="298">
        <v>3.1536000000000002E-2</v>
      </c>
      <c r="S135" s="698">
        <v>0.5</v>
      </c>
      <c r="T135" s="698">
        <f ca="1">HLOOKUP($T$2,INDIRECT("'"&amp;$B135&amp;"'!"&amp;"$P$6:$AC$19"),IF(H135=$AI$13,6,IF(H135=$AI$14,9,14)),FALSE)</f>
        <v>1</v>
      </c>
      <c r="U135" s="771"/>
      <c r="V135" s="1130">
        <f t="shared" ref="V135" ca="1" si="166">IF(IF(RIGHT(H135,2)="PH",(1-L135)+$W$2,IF(RIGHT(H135,2)="HT",(1-L135)+$W$1,IF(RIGHT(H135,2)="SH",(1-L135)+$W$3,"")))&gt;0,IF(RIGHT(H135,2)="PH",(1-L135)+$W$2,IF(RIGHT(H135,2)="HT",(1-L135)+$W$1,IF(RIGHT(H135,2)="SH",(1-L135)+$W$3,""))),0)</f>
        <v>0.27999999999999997</v>
      </c>
      <c r="W135" s="297"/>
      <c r="X135" s="697">
        <f t="shared" ca="1" si="145"/>
        <v>0.3</v>
      </c>
      <c r="Y135" s="298">
        <f t="shared" ref="Y135:Y143" ca="1" si="167">VLOOKUP($AD135,INDIRECT("'"&amp;$B135&amp;"'!"&amp;"$P$39:$AD$42"),12,FALSE)</f>
        <v>9</v>
      </c>
      <c r="Z135" s="298">
        <f t="shared" ref="Z135:Z143" ca="1" si="168">VLOOKUP($AD135,INDIRECT("'"&amp;$B135&amp;"'!"&amp;"$P$39:$AD$42"),13,FALSE)</f>
        <v>3</v>
      </c>
      <c r="AA135" s="298">
        <f t="shared" ref="AA135:AA143" ca="1" si="169">VLOOKUP($AD135,INDIRECT("'"&amp;$B135&amp;"'!"&amp;"$P$39:$AD$42"),14,FALSE)</f>
        <v>1</v>
      </c>
      <c r="AB135" s="298">
        <f t="shared" ref="AB135:AB143" ca="1" si="170">VLOOKUP($AD135,INDIRECT("'"&amp;$B135&amp;"'!"&amp;"$P$39:$AD$42"),15,FALSE)</f>
        <v>0.1</v>
      </c>
      <c r="AD135" s="298">
        <v>2020</v>
      </c>
      <c r="AE135" s="81"/>
      <c r="AF135" s="220"/>
    </row>
    <row r="136" spans="2:32">
      <c r="B136" s="717" t="s">
        <v>972</v>
      </c>
      <c r="C136" s="226"/>
      <c r="E136" s="212"/>
      <c r="H136" s="174"/>
      <c r="I136" s="174" t="str">
        <f t="shared" si="143"/>
        <v>AGRGWH</v>
      </c>
      <c r="J136" s="224">
        <f t="shared" si="146"/>
        <v>2030</v>
      </c>
      <c r="K136" s="81"/>
      <c r="L136" s="199">
        <f t="shared" ca="1" si="162"/>
        <v>0.93</v>
      </c>
      <c r="M136" s="199"/>
      <c r="N136" s="81"/>
      <c r="O136" s="722">
        <f t="shared" ca="1" si="163"/>
        <v>0.33863636363636368</v>
      </c>
      <c r="P136" s="722">
        <f t="shared" ca="1" si="164"/>
        <v>1.4154999999999999E-2</v>
      </c>
      <c r="Q136" s="81">
        <f t="shared" ca="1" si="165"/>
        <v>2.0694444444444446</v>
      </c>
      <c r="R136" s="299"/>
      <c r="S136" s="299"/>
      <c r="T136" s="299"/>
      <c r="U136" s="299"/>
      <c r="V136" s="1130">
        <f t="shared" ref="V136" ca="1" si="171">IF(IF(RIGHT(H135,2)="PH",(1-L136)+$W$2,IF(RIGHT(H135,2)="HT",(1-L136)+$W$1,IF(RIGHT(H135,2)="SH",(1-L136)+$W$3,"")))&gt;0,IF(RIGHT(H135,2)="PH",(1-L136)+$W$2,IF(RIGHT(H135,2)="HT",(1-L136)+$W$1,IF(RIGHT(H135,2)="SH",(1-L136)+$W$3,""))),0)</f>
        <v>0.26999999999999996</v>
      </c>
      <c r="W136" s="297"/>
      <c r="X136" s="697">
        <f t="shared" ca="1" si="145"/>
        <v>0.3</v>
      </c>
      <c r="Y136" s="81">
        <f t="shared" ca="1" si="167"/>
        <v>7</v>
      </c>
      <c r="Z136" s="81">
        <f t="shared" ca="1" si="168"/>
        <v>2</v>
      </c>
      <c r="AA136" s="81">
        <f t="shared" ca="1" si="169"/>
        <v>1</v>
      </c>
      <c r="AB136" s="81">
        <f t="shared" ca="1" si="170"/>
        <v>0.1</v>
      </c>
      <c r="AD136" s="81">
        <v>2030</v>
      </c>
      <c r="AE136" s="81"/>
      <c r="AF136" s="220"/>
    </row>
    <row r="137" spans="2:32">
      <c r="B137" s="717" t="s">
        <v>972</v>
      </c>
      <c r="C137" s="226"/>
      <c r="E137" s="212"/>
      <c r="H137" s="174"/>
      <c r="I137" s="174" t="str">
        <f t="shared" si="143"/>
        <v>AGRGWH</v>
      </c>
      <c r="J137" s="224">
        <f t="shared" si="146"/>
        <v>2050</v>
      </c>
      <c r="K137" s="81"/>
      <c r="L137" s="199">
        <f t="shared" ca="1" si="162"/>
        <v>0.94</v>
      </c>
      <c r="M137" s="199"/>
      <c r="N137" s="81"/>
      <c r="O137" s="722">
        <f t="shared" ca="1" si="163"/>
        <v>0.33863636363636368</v>
      </c>
      <c r="P137" s="722">
        <f t="shared" ca="1" si="164"/>
        <v>1.2664999999999999E-2</v>
      </c>
      <c r="Q137" s="81">
        <f t="shared" ca="1" si="165"/>
        <v>2.0694444444444446</v>
      </c>
      <c r="R137" s="299"/>
      <c r="S137" s="299"/>
      <c r="T137" s="299"/>
      <c r="U137" s="299"/>
      <c r="V137" s="1130">
        <f t="shared" ref="V137" ca="1" si="172">IF(IF(RIGHT(H135,2)="PH",(1-L137)+$W$2,IF(RIGHT(H135,2)="HT",(1-L137)+$W$1,IF(RIGHT(H135,2)="SH",(1-L137)+$W$3,"")))&gt;0,IF(RIGHT(H135,2)="PH",(1-L137)+$W$2,IF(RIGHT(H135,2)="HT",(1-L137)+$W$1,IF(RIGHT(H135,2)="SH",(1-L137)+$W$3,""))),0)</f>
        <v>0.26000000000000006</v>
      </c>
      <c r="W137" s="297"/>
      <c r="X137" s="697">
        <f t="shared" ca="1" si="145"/>
        <v>0.3</v>
      </c>
      <c r="Y137" s="81">
        <f t="shared" ca="1" si="167"/>
        <v>6</v>
      </c>
      <c r="Z137" s="81">
        <f t="shared" ca="1" si="168"/>
        <v>2</v>
      </c>
      <c r="AA137" s="81">
        <f t="shared" ca="1" si="169"/>
        <v>1</v>
      </c>
      <c r="AB137" s="81">
        <f t="shared" ca="1" si="170"/>
        <v>0.1</v>
      </c>
      <c r="AD137" s="81">
        <v>2050</v>
      </c>
      <c r="AE137" s="81"/>
      <c r="AF137" s="220"/>
    </row>
    <row r="138" spans="2:32">
      <c r="B138" s="717" t="s">
        <v>972</v>
      </c>
      <c r="C138" s="226"/>
      <c r="D138" s="212" t="str">
        <f>"AGR"&amp;RIGHT(H138,2)&amp;RIGHT(G138,3)&amp;"N"&amp;RIGHT(E138,1)</f>
        <v>AGRPHSYNN1</v>
      </c>
      <c r="E138" s="261" t="str">
        <f>"Agriculture heating technology "&amp;$AJ$12&amp;" "&amp;RIGHT(H138,2)&amp;" - Gas boiler (Steam) - new 1"</f>
        <v>Agriculture heating technology Agriculture PH - Gas boiler (Steam) - new 1</v>
      </c>
      <c r="F138" s="224" t="s">
        <v>1107</v>
      </c>
      <c r="G138" s="173" t="s">
        <v>1945</v>
      </c>
      <c r="H138" s="174" t="str">
        <f>$AI$14</f>
        <v>AGDPH</v>
      </c>
      <c r="I138" s="174" t="str">
        <f t="shared" si="143"/>
        <v>AGRGWH</v>
      </c>
      <c r="J138" s="224">
        <f t="shared" si="146"/>
        <v>2011</v>
      </c>
      <c r="K138" s="298">
        <v>2025</v>
      </c>
      <c r="L138" s="199">
        <f t="shared" ca="1" si="162"/>
        <v>0.92</v>
      </c>
      <c r="M138" s="199"/>
      <c r="N138" s="81">
        <f ca="1">VLOOKUP($AD138,INDIRECT("'"&amp;$B138&amp;"'!"&amp;"$P$39:$AD$42"),5,FALSE)</f>
        <v>25</v>
      </c>
      <c r="O138" s="722">
        <f t="shared" ca="1" si="163"/>
        <v>0.40636363636363632</v>
      </c>
      <c r="P138" s="722">
        <f t="shared" ca="1" si="164"/>
        <v>1.49E-2</v>
      </c>
      <c r="Q138" s="81">
        <f t="shared" ca="1" si="165"/>
        <v>2.276388888888889</v>
      </c>
      <c r="R138" s="81">
        <v>3.1536000000000002E-2</v>
      </c>
      <c r="S138" s="199">
        <v>0.5</v>
      </c>
      <c r="T138" s="199">
        <f ca="1">HLOOKUP($T$2,INDIRECT("'"&amp;$B138&amp;"'!"&amp;"$P$6:$AC$19"),IF(H138=$AI$13,6,IF(H138=$AI$14,9,14)),FALSE)</f>
        <v>1</v>
      </c>
      <c r="U138" s="771"/>
      <c r="V138" s="1130">
        <f t="shared" ref="V138" ca="1" si="173">IF(IF(RIGHT(H138,2)="PH",(1-L138)+$W$2,IF(RIGHT(H138,2)="HT",(1-L138)+$W$1,IF(RIGHT(H138,2)="SH",(1-L138)+$W$3,"")))&gt;0,IF(RIGHT(H138,2)="PH",(1-L138)+$W$2,IF(RIGHT(H138,2)="HT",(1-L138)+$W$1,IF(RIGHT(H138,2)="SH",(1-L138)+$W$3,""))),0)</f>
        <v>0.27999999999999997</v>
      </c>
      <c r="W138" s="297"/>
      <c r="X138" s="697">
        <f t="shared" ca="1" si="145"/>
        <v>0.3</v>
      </c>
      <c r="Y138" s="81">
        <f t="shared" ca="1" si="167"/>
        <v>9</v>
      </c>
      <c r="Z138" s="81">
        <f t="shared" ca="1" si="168"/>
        <v>3</v>
      </c>
      <c r="AA138" s="81">
        <f t="shared" ca="1" si="169"/>
        <v>1</v>
      </c>
      <c r="AB138" s="81">
        <f t="shared" ca="1" si="170"/>
        <v>0.1</v>
      </c>
      <c r="AD138" s="81">
        <v>2020</v>
      </c>
      <c r="AE138" s="81"/>
      <c r="AF138" s="220"/>
    </row>
    <row r="139" spans="2:32">
      <c r="B139" s="717" t="s">
        <v>972</v>
      </c>
      <c r="C139" s="226"/>
      <c r="E139" s="212"/>
      <c r="H139" s="174"/>
      <c r="I139" s="174" t="str">
        <f t="shared" si="143"/>
        <v>AGRGWH</v>
      </c>
      <c r="J139" s="224">
        <f t="shared" si="146"/>
        <v>2030</v>
      </c>
      <c r="K139" s="81"/>
      <c r="L139" s="199">
        <f t="shared" ca="1" si="162"/>
        <v>0.93</v>
      </c>
      <c r="M139" s="199"/>
      <c r="N139" s="81"/>
      <c r="O139" s="722">
        <f t="shared" ca="1" si="163"/>
        <v>0.33863636363636368</v>
      </c>
      <c r="P139" s="722">
        <f t="shared" ca="1" si="164"/>
        <v>1.4154999999999999E-2</v>
      </c>
      <c r="Q139" s="81">
        <f t="shared" ca="1" si="165"/>
        <v>2.0694444444444446</v>
      </c>
      <c r="R139" s="299"/>
      <c r="S139" s="299"/>
      <c r="T139" s="299"/>
      <c r="U139" s="299"/>
      <c r="V139" s="1130">
        <f t="shared" ref="V139" ca="1" si="174">IF(IF(RIGHT(H138,2)="PH",(1-L139)+$W$2,IF(RIGHT(H138,2)="HT",(1-L139)+$W$1,IF(RIGHT(H138,2)="SH",(1-L139)+$W$3,"")))&gt;0,IF(RIGHT(H138,2)="PH",(1-L139)+$W$2,IF(RIGHT(H138,2)="HT",(1-L139)+$W$1,IF(RIGHT(H138,2)="SH",(1-L139)+$W$3,""))),0)</f>
        <v>0.26999999999999996</v>
      </c>
      <c r="W139" s="297"/>
      <c r="X139" s="697">
        <f t="shared" ca="1" si="145"/>
        <v>0.3</v>
      </c>
      <c r="Y139" s="81">
        <f t="shared" ca="1" si="167"/>
        <v>7</v>
      </c>
      <c r="Z139" s="81">
        <f t="shared" ca="1" si="168"/>
        <v>2</v>
      </c>
      <c r="AA139" s="81">
        <f t="shared" ca="1" si="169"/>
        <v>1</v>
      </c>
      <c r="AB139" s="81">
        <f t="shared" ca="1" si="170"/>
        <v>0.1</v>
      </c>
      <c r="AD139" s="81">
        <v>2030</v>
      </c>
      <c r="AE139" s="81"/>
      <c r="AF139" s="220"/>
    </row>
    <row r="140" spans="2:32">
      <c r="B140" s="717" t="s">
        <v>972</v>
      </c>
      <c r="C140" s="226"/>
      <c r="E140" s="212"/>
      <c r="H140" s="174"/>
      <c r="I140" s="174" t="str">
        <f t="shared" si="143"/>
        <v>AGRGWH</v>
      </c>
      <c r="J140" s="224">
        <f t="shared" si="146"/>
        <v>2050</v>
      </c>
      <c r="K140" s="81"/>
      <c r="L140" s="199">
        <f t="shared" ca="1" si="162"/>
        <v>0.94</v>
      </c>
      <c r="M140" s="199"/>
      <c r="N140" s="81"/>
      <c r="O140" s="722">
        <f t="shared" ca="1" si="163"/>
        <v>0.33863636363636368</v>
      </c>
      <c r="P140" s="722">
        <f t="shared" ca="1" si="164"/>
        <v>1.2664999999999999E-2</v>
      </c>
      <c r="Q140" s="81">
        <f t="shared" ca="1" si="165"/>
        <v>2.0694444444444446</v>
      </c>
      <c r="R140" s="299"/>
      <c r="S140" s="299"/>
      <c r="T140" s="299"/>
      <c r="U140" s="299"/>
      <c r="V140" s="1130">
        <f t="shared" ref="V140" ca="1" si="175">IF(IF(RIGHT(H138,2)="PH",(1-L140)+$W$2,IF(RIGHT(H138,2)="HT",(1-L140)+$W$1,IF(RIGHT(H138,2)="SH",(1-L140)+$W$3,"")))&gt;0,IF(RIGHT(H138,2)="PH",(1-L140)+$W$2,IF(RIGHT(H138,2)="HT",(1-L140)+$W$1,IF(RIGHT(H138,2)="SH",(1-L140)+$W$3,""))),0)</f>
        <v>0.26000000000000006</v>
      </c>
      <c r="W140" s="297"/>
      <c r="X140" s="697">
        <f t="shared" ca="1" si="145"/>
        <v>0.3</v>
      </c>
      <c r="Y140" s="81">
        <f t="shared" ca="1" si="167"/>
        <v>6</v>
      </c>
      <c r="Z140" s="81">
        <f t="shared" ca="1" si="168"/>
        <v>2</v>
      </c>
      <c r="AA140" s="81">
        <f t="shared" ca="1" si="169"/>
        <v>1</v>
      </c>
      <c r="AB140" s="81">
        <f t="shared" ca="1" si="170"/>
        <v>0.1</v>
      </c>
      <c r="AC140" s="203"/>
      <c r="AD140" s="81">
        <v>2050</v>
      </c>
      <c r="AE140" s="81"/>
      <c r="AF140" s="704"/>
    </row>
    <row r="141" spans="2:32">
      <c r="B141" s="717" t="s">
        <v>972</v>
      </c>
      <c r="C141" s="226"/>
      <c r="D141" s="212" t="str">
        <f>"AGR"&amp;RIGHT(H141,2)&amp;RIGHT(G141,3)&amp;"N"&amp;RIGHT(E141,1)</f>
        <v>AGRSHSYNN1</v>
      </c>
      <c r="E141" s="261" t="str">
        <f>"Agriculture heating technology "&amp;$AJ$12&amp;" "&amp;RIGHT(H141,2)&amp;" - Gas boiler (Steam) - new 1"</f>
        <v>Agriculture heating technology Agriculture SH - Gas boiler (Steam) - new 1</v>
      </c>
      <c r="F141" s="224" t="s">
        <v>1107</v>
      </c>
      <c r="G141" s="173" t="s">
        <v>1945</v>
      </c>
      <c r="H141" s="174" t="str">
        <f>$AI$15</f>
        <v>AGDSH</v>
      </c>
      <c r="I141" s="174" t="str">
        <f t="shared" si="143"/>
        <v>AGRGWH</v>
      </c>
      <c r="J141" s="224">
        <f t="shared" si="146"/>
        <v>2011</v>
      </c>
      <c r="K141" s="298">
        <v>2025</v>
      </c>
      <c r="L141" s="199">
        <f t="shared" ca="1" si="162"/>
        <v>0.92</v>
      </c>
      <c r="M141" s="199"/>
      <c r="N141" s="81">
        <f ca="1">VLOOKUP($AD141,INDIRECT("'"&amp;$B141&amp;"'!"&amp;"$P$39:$AD$42"),5,FALSE)</f>
        <v>25</v>
      </c>
      <c r="O141" s="722">
        <f t="shared" ca="1" si="163"/>
        <v>0.40636363636363632</v>
      </c>
      <c r="P141" s="722">
        <f t="shared" ca="1" si="164"/>
        <v>1.49E-2</v>
      </c>
      <c r="Q141" s="81">
        <f t="shared" ca="1" si="165"/>
        <v>2.276388888888889</v>
      </c>
      <c r="R141" s="81">
        <v>3.1536000000000002E-2</v>
      </c>
      <c r="S141" s="199">
        <v>0.5</v>
      </c>
      <c r="T141" s="199">
        <f ca="1">HLOOKUP($T$2,INDIRECT("'"&amp;$B141&amp;"'!"&amp;"$P$6:$AC$19"),IF(H141=$AI$13,6,IF(H141=$AI$14,9,14)),FALSE)</f>
        <v>1</v>
      </c>
      <c r="U141" s="771"/>
      <c r="V141" s="1130">
        <f t="shared" ref="V141" ca="1" si="176">IF(IF(RIGHT(H141,2)="PH",(1-L141)+$W$2,IF(RIGHT(H141,2)="HT",(1-L141)+$W$1,IF(RIGHT(H141,2)="SH",(1-L141)+$W$3,"")))&gt;0,IF(RIGHT(H141,2)="PH",(1-L141)+$W$2,IF(RIGHT(H141,2)="HT",(1-L141)+$W$1,IF(RIGHT(H141,2)="SH",(1-L141)+$W$3,""))),0)</f>
        <v>7.999999999999996E-2</v>
      </c>
      <c r="W141" s="297"/>
      <c r="X141" s="697">
        <f t="shared" ca="1" si="145"/>
        <v>0.3</v>
      </c>
      <c r="Y141" s="81">
        <f t="shared" ca="1" si="167"/>
        <v>9</v>
      </c>
      <c r="Z141" s="81">
        <f t="shared" ca="1" si="168"/>
        <v>3</v>
      </c>
      <c r="AA141" s="81">
        <f t="shared" ca="1" si="169"/>
        <v>1</v>
      </c>
      <c r="AB141" s="81">
        <f t="shared" ca="1" si="170"/>
        <v>0.1</v>
      </c>
      <c r="AC141" s="296"/>
      <c r="AD141" s="81">
        <v>2020</v>
      </c>
      <c r="AE141" s="81"/>
      <c r="AF141" s="709"/>
    </row>
    <row r="142" spans="2:32">
      <c r="B142" s="717" t="s">
        <v>972</v>
      </c>
      <c r="C142" s="226"/>
      <c r="E142" s="212"/>
      <c r="H142" s="174"/>
      <c r="I142" s="174" t="str">
        <f t="shared" si="143"/>
        <v>AGRGWH</v>
      </c>
      <c r="J142" s="224">
        <f t="shared" si="146"/>
        <v>2030</v>
      </c>
      <c r="K142" s="81"/>
      <c r="L142" s="199">
        <f t="shared" ca="1" si="162"/>
        <v>0.93</v>
      </c>
      <c r="M142" s="199"/>
      <c r="N142" s="81"/>
      <c r="O142" s="722">
        <f t="shared" ca="1" si="163"/>
        <v>0.33863636363636368</v>
      </c>
      <c r="P142" s="722">
        <f t="shared" ca="1" si="164"/>
        <v>1.4154999999999999E-2</v>
      </c>
      <c r="Q142" s="81">
        <f t="shared" ca="1" si="165"/>
        <v>2.0694444444444446</v>
      </c>
      <c r="R142" s="299"/>
      <c r="S142" s="299"/>
      <c r="T142" s="299"/>
      <c r="U142" s="299"/>
      <c r="V142" s="1130">
        <f t="shared" ref="V142" ca="1" si="177">IF(IF(RIGHT(H141,2)="PH",(1-L142)+$W$2,IF(RIGHT(H141,2)="HT",(1-L142)+$W$1,IF(RIGHT(H141,2)="SH",(1-L142)+$W$3,"")))&gt;0,IF(RIGHT(H141,2)="PH",(1-L142)+$W$2,IF(RIGHT(H141,2)="HT",(1-L142)+$W$1,IF(RIGHT(H141,2)="SH",(1-L142)+$W$3,""))),0)</f>
        <v>6.9999999999999951E-2</v>
      </c>
      <c r="W142" s="297"/>
      <c r="X142" s="697">
        <f t="shared" ca="1" si="145"/>
        <v>0.3</v>
      </c>
      <c r="Y142" s="81">
        <f t="shared" ca="1" si="167"/>
        <v>7</v>
      </c>
      <c r="Z142" s="81">
        <f t="shared" ca="1" si="168"/>
        <v>2</v>
      </c>
      <c r="AA142" s="81">
        <f t="shared" ca="1" si="169"/>
        <v>1</v>
      </c>
      <c r="AB142" s="81">
        <f t="shared" ca="1" si="170"/>
        <v>0.1</v>
      </c>
      <c r="AC142" s="55"/>
      <c r="AD142" s="81">
        <v>2030</v>
      </c>
      <c r="AE142" s="81"/>
      <c r="AF142" s="699"/>
    </row>
    <row r="143" spans="2:32">
      <c r="B143" s="718" t="s">
        <v>972</v>
      </c>
      <c r="C143" s="712"/>
      <c r="D143" s="203"/>
      <c r="E143" s="700"/>
      <c r="F143" s="203"/>
      <c r="G143" s="203"/>
      <c r="H143" s="701"/>
      <c r="I143" s="701" t="str">
        <f t="shared" si="143"/>
        <v>AGRGWH</v>
      </c>
      <c r="J143" s="224">
        <f t="shared" si="146"/>
        <v>2050</v>
      </c>
      <c r="K143" s="81"/>
      <c r="L143" s="199">
        <f t="shared" ca="1" si="162"/>
        <v>0.94</v>
      </c>
      <c r="M143" s="199"/>
      <c r="N143" s="81"/>
      <c r="O143" s="722">
        <f t="shared" ca="1" si="163"/>
        <v>0.33863636363636368</v>
      </c>
      <c r="P143" s="722">
        <f t="shared" ca="1" si="164"/>
        <v>1.2664999999999999E-2</v>
      </c>
      <c r="Q143" s="81">
        <f t="shared" ca="1" si="165"/>
        <v>2.0694444444444446</v>
      </c>
      <c r="R143" s="702"/>
      <c r="S143" s="702"/>
      <c r="T143" s="702"/>
      <c r="U143" s="702"/>
      <c r="V143" s="1130">
        <f t="shared" ref="V143" ca="1" si="178">IF(IF(RIGHT(H141,2)="PH",(1-L143)+$W$2,IF(RIGHT(H141,2)="HT",(1-L143)+$W$1,IF(RIGHT(H141,2)="SH",(1-L143)+$W$3,"")))&gt;0,IF(RIGHT(H141,2)="PH",(1-L143)+$W$2,IF(RIGHT(H141,2)="HT",(1-L143)+$W$1,IF(RIGHT(H141,2)="SH",(1-L143)+$W$3,""))),0)</f>
        <v>6.0000000000000053E-2</v>
      </c>
      <c r="W143" s="703"/>
      <c r="X143" s="697">
        <f t="shared" ca="1" si="145"/>
        <v>0.3</v>
      </c>
      <c r="Y143" s="81">
        <f t="shared" ca="1" si="167"/>
        <v>6</v>
      </c>
      <c r="Z143" s="81">
        <f t="shared" ca="1" si="168"/>
        <v>2</v>
      </c>
      <c r="AA143" s="81">
        <f t="shared" ca="1" si="169"/>
        <v>1</v>
      </c>
      <c r="AB143" s="81">
        <f t="shared" ca="1" si="170"/>
        <v>0.1</v>
      </c>
      <c r="AC143" s="55"/>
      <c r="AD143" s="81">
        <v>2050</v>
      </c>
      <c r="AE143" s="81"/>
      <c r="AF143" s="699"/>
    </row>
    <row r="144" spans="2:32">
      <c r="B144" s="717" t="s">
        <v>972</v>
      </c>
      <c r="C144" s="226"/>
      <c r="D144" s="212" t="str">
        <f>"AGR"&amp;RIGHT(H144,2)&amp;RIGHT(G144,3)&amp;"N"&amp;RIGHT(E144,1)</f>
        <v>AGRPHSYNN2</v>
      </c>
      <c r="E144" s="706" t="str">
        <f>"Agriculture heating technology "&amp;$AJ$12&amp;" "&amp;RIGHT(H144,2)&amp;" - Gas boiler (Steam - condensing) - new 2"</f>
        <v>Agriculture heating technology Agriculture PH - Gas boiler (Steam - condensing) - new 2</v>
      </c>
      <c r="F144" s="296" t="s">
        <v>1107</v>
      </c>
      <c r="G144" s="173" t="s">
        <v>1945</v>
      </c>
      <c r="H144" s="707" t="str">
        <f>$AI$14</f>
        <v>AGDPH</v>
      </c>
      <c r="I144" s="707" t="str">
        <f t="shared" si="143"/>
        <v>AGRGWH</v>
      </c>
      <c r="J144" s="224">
        <f t="shared" si="146"/>
        <v>2011</v>
      </c>
      <c r="K144" s="298">
        <v>2025</v>
      </c>
      <c r="L144" s="199">
        <f t="shared" ref="L144:L149" ca="1" si="179">VLOOKUP($AD144,INDIRECT("'"&amp;$B144&amp;"'!"&amp;"$P$118:$AD$121"),3,FALSE)</f>
        <v>1.01</v>
      </c>
      <c r="M144" s="199"/>
      <c r="N144" s="81">
        <f ca="1">VLOOKUP($AD144,INDIRECT("'"&amp;$B144&amp;"'!"&amp;"$P$118:$AD$121"),5,FALSE)</f>
        <v>25</v>
      </c>
      <c r="O144" s="722">
        <f t="shared" ref="O144:O149" ca="1" si="180">VLOOKUP($AD144,INDIRECT("'"&amp;$B144&amp;"'!"&amp;"$P$118:$AD$121"),6,FALSE)/1000</f>
        <v>0.44700000000000001</v>
      </c>
      <c r="P144" s="722">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2"/>
      <c r="V144" s="1130">
        <f t="shared" ref="V144" ca="1" si="183">IF(IF(RIGHT(H144,2)="PH",(1-L144)+$W$2,IF(RIGHT(H144,2)="HT",(1-L144)+$W$1,IF(RIGHT(H144,2)="SH",(1-L144)+$W$3,"")))&gt;0,IF(RIGHT(H144,2)="PH",(1-L144)+$W$2,IF(RIGHT(H144,2)="HT",(1-L144)+$W$1,IF(RIGHT(H144,2)="SH",(1-L144)+$W$3,""))),0)</f>
        <v>0.19</v>
      </c>
      <c r="W144" s="708"/>
      <c r="X144" s="697">
        <f t="shared" ca="1" si="145"/>
        <v>0.3</v>
      </c>
      <c r="Y144" s="697">
        <f t="shared" ref="Y144:Y149" ca="1" si="184">VLOOKUP($AD144,INDIRECT("'"&amp;$B144&amp;"'!"&amp;"$P$118:$AD$121"),12,FALSE)</f>
        <v>9</v>
      </c>
      <c r="Z144" s="697">
        <f t="shared" ref="Z144:Z149" ca="1" si="185">VLOOKUP($AD144,INDIRECT("'"&amp;$B144&amp;"'!"&amp;"$P$118:$AD$121"),13,FALSE)</f>
        <v>3</v>
      </c>
      <c r="AA144" s="697">
        <f t="shared" ref="AA144:AA149" ca="1" si="186">VLOOKUP($AD144,INDIRECT("'"&amp;$B144&amp;"'!"&amp;"$P$118:$AD$121"),14,FALSE)</f>
        <v>1</v>
      </c>
      <c r="AB144" s="697">
        <f t="shared" ref="AB144:AB149" ca="1" si="187">VLOOKUP($AD144,INDIRECT("'"&amp;$B144&amp;"'!"&amp;"$P$118:$AD$121"),15,FALSE)</f>
        <v>0.1</v>
      </c>
      <c r="AC144" s="55"/>
      <c r="AD144" s="81">
        <v>2020</v>
      </c>
      <c r="AE144" s="81"/>
      <c r="AF144" s="699"/>
    </row>
    <row r="145" spans="1:32">
      <c r="B145" s="717" t="s">
        <v>972</v>
      </c>
      <c r="C145" s="226"/>
      <c r="E145" s="261"/>
      <c r="F145" s="55"/>
      <c r="G145" s="55"/>
      <c r="H145" s="174"/>
      <c r="I145" s="174" t="str">
        <f t="shared" si="143"/>
        <v>AGRGWH</v>
      </c>
      <c r="J145" s="224">
        <f t="shared" si="146"/>
        <v>2030</v>
      </c>
      <c r="K145" s="81"/>
      <c r="L145" s="199">
        <f t="shared" ca="1" si="179"/>
        <v>1.03</v>
      </c>
      <c r="M145" s="199"/>
      <c r="N145" s="81"/>
      <c r="O145" s="722">
        <f t="shared" ca="1" si="180"/>
        <v>0.37250000000000005</v>
      </c>
      <c r="P145" s="722">
        <f t="shared" ca="1" si="181"/>
        <v>1.4154999999999999E-2</v>
      </c>
      <c r="Q145" s="81">
        <f t="shared" ca="1" si="182"/>
        <v>2.0694444444444446</v>
      </c>
      <c r="R145" s="299"/>
      <c r="S145" s="299"/>
      <c r="T145" s="299"/>
      <c r="U145" s="299"/>
      <c r="V145" s="1130">
        <f t="shared" ref="V145" ca="1" si="188">IF(IF(RIGHT(H144,2)="PH",(1-L145)+$W$2,IF(RIGHT(H144,2)="HT",(1-L145)+$W$1,IF(RIGHT(H144,2)="SH",(1-L145)+$W$3,"")))&gt;0,IF(RIGHT(H144,2)="PH",(1-L145)+$W$2,IF(RIGHT(H144,2)="HT",(1-L145)+$W$1,IF(RIGHT(H144,2)="SH",(1-L145)+$W$3,""))),0)</f>
        <v>0.16999999999999998</v>
      </c>
      <c r="W145" s="297"/>
      <c r="X145" s="697">
        <f t="shared" ca="1" si="145"/>
        <v>0.3</v>
      </c>
      <c r="Y145" s="697">
        <f t="shared" ca="1" si="184"/>
        <v>7</v>
      </c>
      <c r="Z145" s="697">
        <f t="shared" ca="1" si="185"/>
        <v>2</v>
      </c>
      <c r="AA145" s="697">
        <f t="shared" ca="1" si="186"/>
        <v>1</v>
      </c>
      <c r="AB145" s="697">
        <f t="shared" ca="1" si="187"/>
        <v>0.1</v>
      </c>
      <c r="AC145" s="55"/>
      <c r="AD145" s="81">
        <v>2030</v>
      </c>
      <c r="AE145" s="81"/>
      <c r="AF145" s="699"/>
    </row>
    <row r="146" spans="1:32">
      <c r="A146" s="226"/>
      <c r="B146" s="717" t="s">
        <v>972</v>
      </c>
      <c r="C146" s="226"/>
      <c r="E146" s="261"/>
      <c r="F146" s="55"/>
      <c r="G146" s="55"/>
      <c r="H146" s="174"/>
      <c r="I146" s="174" t="str">
        <f t="shared" si="143"/>
        <v>AGRGWH</v>
      </c>
      <c r="J146" s="224">
        <f t="shared" si="146"/>
        <v>2050</v>
      </c>
      <c r="K146" s="81"/>
      <c r="L146" s="199">
        <f t="shared" ca="1" si="179"/>
        <v>1.03</v>
      </c>
      <c r="M146" s="199"/>
      <c r="N146" s="81"/>
      <c r="O146" s="722">
        <f t="shared" ca="1" si="180"/>
        <v>0.37250000000000005</v>
      </c>
      <c r="P146" s="722">
        <f t="shared" ca="1" si="181"/>
        <v>1.2664999999999999E-2</v>
      </c>
      <c r="Q146" s="81">
        <f t="shared" ca="1" si="182"/>
        <v>2.0694444444444446</v>
      </c>
      <c r="R146" s="299"/>
      <c r="S146" s="299"/>
      <c r="T146" s="299"/>
      <c r="U146" s="299"/>
      <c r="V146" s="1130">
        <f t="shared" ref="V146" ca="1" si="189">IF(IF(RIGHT(H144,2)="PH",(1-L146)+$W$2,IF(RIGHT(H144,2)="HT",(1-L146)+$W$1,IF(RIGHT(H144,2)="SH",(1-L146)+$W$3,"")))&gt;0,IF(RIGHT(H144,2)="PH",(1-L146)+$W$2,IF(RIGHT(H144,2)="HT",(1-L146)+$W$1,IF(RIGHT(H144,2)="SH",(1-L146)+$W$3,""))),0)</f>
        <v>0.16999999999999998</v>
      </c>
      <c r="W146" s="297"/>
      <c r="X146" s="697">
        <f t="shared" ca="1" si="145"/>
        <v>0.3</v>
      </c>
      <c r="Y146" s="697">
        <f t="shared" ca="1" si="184"/>
        <v>6</v>
      </c>
      <c r="Z146" s="697">
        <f t="shared" ca="1" si="185"/>
        <v>2</v>
      </c>
      <c r="AA146" s="697">
        <f t="shared" ca="1" si="186"/>
        <v>1</v>
      </c>
      <c r="AB146" s="697">
        <f t="shared" ca="1" si="187"/>
        <v>0.1</v>
      </c>
      <c r="AC146" s="203"/>
      <c r="AD146" s="81">
        <v>2050</v>
      </c>
      <c r="AE146" s="81"/>
      <c r="AF146" s="704"/>
    </row>
    <row r="147" spans="1:32">
      <c r="A147" s="226"/>
      <c r="B147" s="717" t="s">
        <v>972</v>
      </c>
      <c r="C147" s="226"/>
      <c r="D147" s="212" t="str">
        <f>"AGR"&amp;RIGHT(H147,2)&amp;RIGHT(G147,3)&amp;"N"&amp;RIGHT(E147,1)</f>
        <v>AGRSHSYNN2</v>
      </c>
      <c r="E147" s="261" t="str">
        <f>"Agriculture heating technology "&amp;$AJ$12&amp;" "&amp;RIGHT(H147,2)&amp;" - Gas boiler (Steam - condensing) - new 2"</f>
        <v>Agriculture heating technology Agriculture SH - Gas boiler (Steam - condensing) - new 2</v>
      </c>
      <c r="F147" s="55" t="s">
        <v>1107</v>
      </c>
      <c r="G147" s="173" t="s">
        <v>1945</v>
      </c>
      <c r="H147" s="174" t="str">
        <f>$AI$15</f>
        <v>AGDSH</v>
      </c>
      <c r="I147" s="174" t="str">
        <f t="shared" si="143"/>
        <v>AGRGWH</v>
      </c>
      <c r="J147" s="224">
        <f t="shared" si="146"/>
        <v>2011</v>
      </c>
      <c r="K147" s="298">
        <v>2025</v>
      </c>
      <c r="L147" s="199">
        <f t="shared" ca="1" si="179"/>
        <v>1.01</v>
      </c>
      <c r="M147" s="199"/>
      <c r="N147" s="81">
        <f ca="1">VLOOKUP($AD147,INDIRECT("'"&amp;$B147&amp;"'!"&amp;"$P$118:$AD$121"),5,FALSE)</f>
        <v>25</v>
      </c>
      <c r="O147" s="722">
        <f t="shared" ca="1" si="180"/>
        <v>0.44700000000000001</v>
      </c>
      <c r="P147" s="722">
        <f t="shared" ca="1" si="181"/>
        <v>1.49E-2</v>
      </c>
      <c r="Q147" s="81">
        <f t="shared" ca="1" si="182"/>
        <v>2.276388888888889</v>
      </c>
      <c r="R147" s="81">
        <v>3.1536000000000002E-2</v>
      </c>
      <c r="S147" s="199">
        <v>0.5</v>
      </c>
      <c r="T147" s="199">
        <f ca="1">HLOOKUP($T$2,INDIRECT("'"&amp;$B147&amp;"'!"&amp;"$P$85:$AC$98"),IF(H147=$AI$13,6,IF(H147=$AI$14,9,14)),FALSE)</f>
        <v>1</v>
      </c>
      <c r="U147" s="771"/>
      <c r="V147" s="1130">
        <f t="shared" ref="V147" ca="1" si="190">IF(IF(RIGHT(H147,2)="PH",(1-L147)+$W$2,IF(RIGHT(H147,2)="HT",(1-L147)+$W$1,IF(RIGHT(H147,2)="SH",(1-L147)+$W$3,"")))&gt;0,IF(RIGHT(H147,2)="PH",(1-L147)+$W$2,IF(RIGHT(H147,2)="HT",(1-L147)+$W$1,IF(RIGHT(H147,2)="SH",(1-L147)+$W$3,""))),0)</f>
        <v>0</v>
      </c>
      <c r="W147" s="297"/>
      <c r="X147" s="697">
        <f t="shared" ca="1" si="145"/>
        <v>0.3</v>
      </c>
      <c r="Y147" s="697">
        <f t="shared" ca="1" si="184"/>
        <v>9</v>
      </c>
      <c r="Z147" s="697">
        <f t="shared" ca="1" si="185"/>
        <v>3</v>
      </c>
      <c r="AA147" s="697">
        <f t="shared" ca="1" si="186"/>
        <v>1</v>
      </c>
      <c r="AB147" s="697">
        <f t="shared" ca="1" si="187"/>
        <v>0.1</v>
      </c>
      <c r="AC147" s="296"/>
      <c r="AD147" s="81">
        <v>2020</v>
      </c>
      <c r="AE147" s="81"/>
      <c r="AF147" s="709"/>
    </row>
    <row r="148" spans="1:32">
      <c r="A148" s="226"/>
      <c r="B148" s="717" t="s">
        <v>972</v>
      </c>
      <c r="C148" s="226"/>
      <c r="E148" s="261"/>
      <c r="F148" s="55"/>
      <c r="G148" s="55"/>
      <c r="H148" s="174"/>
      <c r="I148" s="174" t="str">
        <f t="shared" si="143"/>
        <v>AGRGWH</v>
      </c>
      <c r="J148" s="224">
        <f t="shared" si="146"/>
        <v>2030</v>
      </c>
      <c r="K148" s="81"/>
      <c r="L148" s="199">
        <f t="shared" ca="1" si="179"/>
        <v>1.03</v>
      </c>
      <c r="M148" s="199"/>
      <c r="N148" s="81"/>
      <c r="O148" s="722">
        <f t="shared" ca="1" si="180"/>
        <v>0.37250000000000005</v>
      </c>
      <c r="P148" s="722">
        <f t="shared" ca="1" si="181"/>
        <v>1.4154999999999999E-2</v>
      </c>
      <c r="Q148" s="81">
        <f t="shared" ca="1" si="182"/>
        <v>2.0694444444444446</v>
      </c>
      <c r="R148" s="299"/>
      <c r="S148" s="299"/>
      <c r="T148" s="299"/>
      <c r="U148" s="299"/>
      <c r="V148" s="1130">
        <f t="shared" ref="V148" ca="1" si="191">IF(IF(RIGHT(H147,2)="PH",(1-L148)+$W$2,IF(RIGHT(H147,2)="HT",(1-L148)+$W$1,IF(RIGHT(H147,2)="SH",(1-L148)+$W$3,"")))&gt;0,IF(RIGHT(H147,2)="PH",(1-L148)+$W$2,IF(RIGHT(H147,2)="HT",(1-L148)+$W$1,IF(RIGHT(H147,2)="SH",(1-L148)+$W$3,""))),0)</f>
        <v>0</v>
      </c>
      <c r="W148" s="297"/>
      <c r="X148" s="697">
        <f t="shared" ca="1" si="145"/>
        <v>0.3</v>
      </c>
      <c r="Y148" s="697">
        <f t="shared" ca="1" si="184"/>
        <v>7</v>
      </c>
      <c r="Z148" s="697">
        <f t="shared" ca="1" si="185"/>
        <v>2</v>
      </c>
      <c r="AA148" s="697">
        <f t="shared" ca="1" si="186"/>
        <v>1</v>
      </c>
      <c r="AB148" s="697">
        <f t="shared" ca="1" si="187"/>
        <v>0.1</v>
      </c>
      <c r="AC148" s="55"/>
      <c r="AD148" s="81">
        <v>2030</v>
      </c>
      <c r="AE148" s="81"/>
      <c r="AF148" s="699"/>
    </row>
    <row r="149" spans="1:32">
      <c r="A149" s="226"/>
      <c r="B149" s="718" t="s">
        <v>972</v>
      </c>
      <c r="C149" s="712"/>
      <c r="D149" s="203"/>
      <c r="E149" s="700"/>
      <c r="F149" s="203"/>
      <c r="G149" s="203"/>
      <c r="H149" s="701"/>
      <c r="I149" s="701" t="str">
        <f t="shared" si="143"/>
        <v>AGRGWH</v>
      </c>
      <c r="J149" s="224">
        <f t="shared" si="146"/>
        <v>2050</v>
      </c>
      <c r="K149" s="81"/>
      <c r="L149" s="199">
        <f t="shared" ca="1" si="179"/>
        <v>1.03</v>
      </c>
      <c r="M149" s="199"/>
      <c r="N149" s="81"/>
      <c r="O149" s="722">
        <f t="shared" ca="1" si="180"/>
        <v>0.37250000000000005</v>
      </c>
      <c r="P149" s="722">
        <f t="shared" ca="1" si="181"/>
        <v>1.2664999999999999E-2</v>
      </c>
      <c r="Q149" s="81">
        <f t="shared" ca="1" si="182"/>
        <v>2.0694444444444446</v>
      </c>
      <c r="R149" s="702"/>
      <c r="S149" s="702"/>
      <c r="T149" s="702"/>
      <c r="U149" s="702"/>
      <c r="V149" s="1130">
        <f t="shared" ref="V149" ca="1" si="192">IF(IF(RIGHT(H147,2)="PH",(1-L149)+$W$2,IF(RIGHT(H147,2)="HT",(1-L149)+$W$1,IF(RIGHT(H147,2)="SH",(1-L149)+$W$3,"")))&gt;0,IF(RIGHT(H147,2)="PH",(1-L149)+$W$2,IF(RIGHT(H147,2)="HT",(1-L149)+$W$1,IF(RIGHT(H147,2)="SH",(1-L149)+$W$3,""))),0)</f>
        <v>0</v>
      </c>
      <c r="W149" s="703"/>
      <c r="X149" s="697">
        <f t="shared" ca="1" si="145"/>
        <v>0.3</v>
      </c>
      <c r="Y149" s="697">
        <f t="shared" ca="1" si="184"/>
        <v>6</v>
      </c>
      <c r="Z149" s="697">
        <f t="shared" ca="1" si="185"/>
        <v>2</v>
      </c>
      <c r="AA149" s="697">
        <f t="shared" ca="1" si="186"/>
        <v>1</v>
      </c>
      <c r="AB149" s="697">
        <f t="shared" ca="1" si="187"/>
        <v>0.1</v>
      </c>
      <c r="AC149" s="55"/>
      <c r="AD149" s="81">
        <v>2050</v>
      </c>
      <c r="AE149" s="81"/>
      <c r="AF149" s="699"/>
    </row>
    <row r="150" spans="1:32">
      <c r="A150" s="226"/>
      <c r="B150" s="717" t="s">
        <v>972</v>
      </c>
      <c r="C150" s="226"/>
      <c r="D150" s="212" t="str">
        <f>"AGR"&amp;RIGHT(H150,2)&amp;RIGHT(G150,3)&amp;"N"&amp;RIGHT(E150,1)</f>
        <v>AGRPHSYNN3</v>
      </c>
      <c r="E150" s="706" t="str">
        <f>"Agriculture heating technology "&amp;$AJ$12&amp;" "&amp;RIGHT(H150,2)&amp;" - Gas boiler (Hot Water) - new 3"</f>
        <v>Agriculture heating technology Agriculture PH - Gas boiler (Hot Water) - new 3</v>
      </c>
      <c r="F150" s="296" t="s">
        <v>1107</v>
      </c>
      <c r="G150" s="173" t="s">
        <v>1945</v>
      </c>
      <c r="H150" s="707" t="str">
        <f>$AI$14</f>
        <v>AGDPH</v>
      </c>
      <c r="I150" s="707" t="str">
        <f t="shared" si="143"/>
        <v>AGRGWH</v>
      </c>
      <c r="J150" s="224">
        <f t="shared" si="146"/>
        <v>2011</v>
      </c>
      <c r="K150" s="298">
        <v>2025</v>
      </c>
      <c r="L150" s="199">
        <f t="shared" ref="L150:L155" ca="1" si="193">VLOOKUP($AD150,INDIRECT("'"&amp;$B150&amp;"'!"&amp;"$P$200:$AD$203"),3,FALSE)</f>
        <v>0.93</v>
      </c>
      <c r="M150" s="199"/>
      <c r="N150" s="81">
        <f ca="1">VLOOKUP($AD150,INDIRECT("'"&amp;$B150&amp;"'!"&amp;"$P$200:$AD$203"),5,FALSE)</f>
        <v>25</v>
      </c>
      <c r="O150" s="722">
        <f t="shared" ref="O150:O155" ca="1" si="194">VLOOKUP($AD150,INDIRECT("'"&amp;$B150&amp;"'!"&amp;"$P$200:$AD$203"),6,FALSE)/1000</f>
        <v>0.3250909090909091</v>
      </c>
      <c r="P150" s="722">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2"/>
      <c r="V150" s="1130">
        <f t="shared" ref="V150" ca="1" si="197">IF(IF(RIGHT(H150,2)="PH",(1-L150)+$W$2,IF(RIGHT(H150,2)="HT",(1-L150)+$W$1,IF(RIGHT(H150,2)="SH",(1-L150)+$W$3,"")))&gt;0,IF(RIGHT(H150,2)="PH",(1-L150)+$W$2,IF(RIGHT(H150,2)="HT",(1-L150)+$W$1,IF(RIGHT(H150,2)="SH",(1-L150)+$W$3,""))),0)</f>
        <v>0.26999999999999996</v>
      </c>
      <c r="W150" s="708"/>
      <c r="X150" s="697">
        <f t="shared" ca="1" si="145"/>
        <v>0.3</v>
      </c>
      <c r="Y150" s="697">
        <f t="shared" ref="Y150:Y155" ca="1" si="198">VLOOKUP($AD150,INDIRECT("'"&amp;$B150&amp;"'!"&amp;"$P$200:$AD$203"),12,FALSE)</f>
        <v>9</v>
      </c>
      <c r="Z150" s="697">
        <f t="shared" ref="Z150:Z155" ca="1" si="199">VLOOKUP($AD150,INDIRECT("'"&amp;$B150&amp;"'!"&amp;"$P$200:$AD$203"),13,FALSE)</f>
        <v>3</v>
      </c>
      <c r="AA150" s="697">
        <f t="shared" ref="AA150:AA155" ca="1" si="200">VLOOKUP($AD150,INDIRECT("'"&amp;$B150&amp;"'!"&amp;"$P$200:$AD$203"),14,FALSE)</f>
        <v>1</v>
      </c>
      <c r="AB150" s="697">
        <f t="shared" ref="AB150:AB155" ca="1" si="201">VLOOKUP($AD150,INDIRECT("'"&amp;$B150&amp;"'!"&amp;"$P$200:$AD$203"),15,FALSE)</f>
        <v>0.1</v>
      </c>
      <c r="AC150" s="55"/>
      <c r="AD150" s="81">
        <v>2020</v>
      </c>
      <c r="AE150" s="81"/>
      <c r="AF150" s="699"/>
    </row>
    <row r="151" spans="1:32">
      <c r="A151" s="226"/>
      <c r="B151" s="717" t="s">
        <v>972</v>
      </c>
      <c r="C151" s="226"/>
      <c r="E151" s="261"/>
      <c r="F151" s="55"/>
      <c r="G151" s="55"/>
      <c r="H151" s="174"/>
      <c r="I151" s="174" t="str">
        <f t="shared" si="143"/>
        <v>AGRGWH</v>
      </c>
      <c r="J151" s="224">
        <f t="shared" si="146"/>
        <v>2030</v>
      </c>
      <c r="K151" s="81"/>
      <c r="L151" s="199">
        <f t="shared" ca="1" si="193"/>
        <v>0.94</v>
      </c>
      <c r="M151" s="199"/>
      <c r="N151" s="81"/>
      <c r="O151" s="722">
        <f t="shared" ca="1" si="194"/>
        <v>0.27090909090909093</v>
      </c>
      <c r="P151" s="722">
        <f t="shared" ca="1" si="195"/>
        <v>1.4154999999999999E-2</v>
      </c>
      <c r="Q151" s="81">
        <f t="shared" ca="1" si="196"/>
        <v>2.0694444444444446</v>
      </c>
      <c r="R151" s="299"/>
      <c r="S151" s="299"/>
      <c r="T151" s="299"/>
      <c r="U151" s="299"/>
      <c r="V151" s="1130">
        <f t="shared" ref="V151" ca="1" si="202">IF(IF(RIGHT(H150,2)="PH",(1-L151)+$W$2,IF(RIGHT(H150,2)="HT",(1-L151)+$W$1,IF(RIGHT(H150,2)="SH",(1-L151)+$W$3,"")))&gt;0,IF(RIGHT(H150,2)="PH",(1-L151)+$W$2,IF(RIGHT(H150,2)="HT",(1-L151)+$W$1,IF(RIGHT(H150,2)="SH",(1-L151)+$W$3,""))),0)</f>
        <v>0.26000000000000006</v>
      </c>
      <c r="W151" s="297"/>
      <c r="X151" s="697">
        <f t="shared" ca="1" si="145"/>
        <v>0.3</v>
      </c>
      <c r="Y151" s="697">
        <f t="shared" ca="1" si="198"/>
        <v>7</v>
      </c>
      <c r="Z151" s="697">
        <f t="shared" ca="1" si="199"/>
        <v>2</v>
      </c>
      <c r="AA151" s="697">
        <f t="shared" ca="1" si="200"/>
        <v>1</v>
      </c>
      <c r="AB151" s="697">
        <f t="shared" ca="1" si="201"/>
        <v>0.1</v>
      </c>
      <c r="AC151" s="55"/>
      <c r="AD151" s="81">
        <v>2030</v>
      </c>
      <c r="AE151" s="81"/>
      <c r="AF151" s="699"/>
    </row>
    <row r="152" spans="1:32">
      <c r="B152" s="717" t="s">
        <v>972</v>
      </c>
      <c r="C152" s="226"/>
      <c r="E152" s="261"/>
      <c r="F152" s="55"/>
      <c r="G152" s="55"/>
      <c r="H152" s="174"/>
      <c r="I152" s="174" t="str">
        <f t="shared" si="143"/>
        <v>AGRGWH</v>
      </c>
      <c r="J152" s="224">
        <f t="shared" si="146"/>
        <v>2050</v>
      </c>
      <c r="K152" s="81"/>
      <c r="L152" s="199">
        <f t="shared" ca="1" si="193"/>
        <v>0.95</v>
      </c>
      <c r="M152" s="199"/>
      <c r="N152" s="81"/>
      <c r="O152" s="722">
        <f t="shared" ca="1" si="194"/>
        <v>0.27090909090909093</v>
      </c>
      <c r="P152" s="722">
        <f t="shared" ca="1" si="195"/>
        <v>1.2664999999999999E-2</v>
      </c>
      <c r="Q152" s="81">
        <f t="shared" ca="1" si="196"/>
        <v>2.0694444444444446</v>
      </c>
      <c r="R152" s="299"/>
      <c r="S152" s="299"/>
      <c r="T152" s="299"/>
      <c r="U152" s="299"/>
      <c r="V152" s="1130">
        <f t="shared" ref="V152" ca="1" si="203">IF(IF(RIGHT(H150,2)="PH",(1-L152)+$W$2,IF(RIGHT(H150,2)="HT",(1-L152)+$W$1,IF(RIGHT(H150,2)="SH",(1-L152)+$W$3,"")))&gt;0,IF(RIGHT(H150,2)="PH",(1-L152)+$W$2,IF(RIGHT(H150,2)="HT",(1-L152)+$W$1,IF(RIGHT(H150,2)="SH",(1-L152)+$W$3,""))),0)</f>
        <v>0.25000000000000006</v>
      </c>
      <c r="W152" s="719"/>
      <c r="X152" s="697">
        <f t="shared" ca="1" si="145"/>
        <v>0.3</v>
      </c>
      <c r="Y152" s="697">
        <f t="shared" ca="1" si="198"/>
        <v>6</v>
      </c>
      <c r="Z152" s="697">
        <f t="shared" ca="1" si="199"/>
        <v>2</v>
      </c>
      <c r="AA152" s="697">
        <f t="shared" ca="1" si="200"/>
        <v>1</v>
      </c>
      <c r="AB152" s="697">
        <f t="shared" ca="1" si="201"/>
        <v>0.1</v>
      </c>
      <c r="AC152" s="203"/>
      <c r="AD152" s="81">
        <v>2050</v>
      </c>
      <c r="AE152" s="81"/>
      <c r="AF152" s="704"/>
    </row>
    <row r="153" spans="1:32">
      <c r="B153" s="717" t="s">
        <v>972</v>
      </c>
      <c r="C153" s="64"/>
      <c r="D153" s="212" t="str">
        <f>"AGR"&amp;RIGHT(H153,2)&amp;RIGHT(G153,3)&amp;"N"&amp;RIGHT(E153,1)</f>
        <v>AGRSHSYNN3</v>
      </c>
      <c r="E153" s="261" t="str">
        <f>"Agriculture heating technology "&amp;$AJ$12&amp;" "&amp;RIGHT(H153,2)&amp;" - Gas boiler (Hot Water) - new 3"</f>
        <v>Agriculture heating technology Agriculture SH - Gas boiler (Hot Water) - new 3</v>
      </c>
      <c r="F153" s="55" t="s">
        <v>1107</v>
      </c>
      <c r="G153" s="173" t="s">
        <v>1945</v>
      </c>
      <c r="H153" s="174" t="str">
        <f>$AI$15</f>
        <v>AGDSH</v>
      </c>
      <c r="I153" s="174" t="str">
        <f t="shared" si="143"/>
        <v>AGRGWH</v>
      </c>
      <c r="J153" s="224">
        <f t="shared" si="146"/>
        <v>2011</v>
      </c>
      <c r="K153" s="298">
        <v>2025</v>
      </c>
      <c r="L153" s="199">
        <f t="shared" ca="1" si="193"/>
        <v>0.93</v>
      </c>
      <c r="M153" s="199"/>
      <c r="N153" s="81">
        <f ca="1">VLOOKUP($AD153,INDIRECT("'"&amp;$B153&amp;"'!"&amp;"$P$200:$AD$203"),5,FALSE)</f>
        <v>25</v>
      </c>
      <c r="O153" s="722">
        <f t="shared" ca="1" si="194"/>
        <v>0.3250909090909091</v>
      </c>
      <c r="P153" s="722">
        <f t="shared" ca="1" si="195"/>
        <v>1.49E-2</v>
      </c>
      <c r="Q153" s="81">
        <f t="shared" ca="1" si="196"/>
        <v>2.276388888888889</v>
      </c>
      <c r="R153" s="81">
        <v>3.1536000000000002E-2</v>
      </c>
      <c r="S153" s="199">
        <v>0.5</v>
      </c>
      <c r="T153" s="199">
        <f ca="1">HLOOKUP($T$2,INDIRECT("'"&amp;$B153&amp;"'!"&amp;"$P$167:$AC$180"),IF(H153=$AI$13,6,IF(H153=$AI$14,9,14)),FALSE)</f>
        <v>1</v>
      </c>
      <c r="U153" s="771"/>
      <c r="V153" s="1130">
        <f t="shared" ref="V153" ca="1" si="204">IF(IF(RIGHT(H153,2)="PH",(1-L153)+$W$2,IF(RIGHT(H153,2)="HT",(1-L153)+$W$1,IF(RIGHT(H153,2)="SH",(1-L153)+$W$3,"")))&gt;0,IF(RIGHT(H153,2)="PH",(1-L153)+$W$2,IF(RIGHT(H153,2)="HT",(1-L153)+$W$1,IF(RIGHT(H153,2)="SH",(1-L153)+$W$3,""))),0)</f>
        <v>6.9999999999999951E-2</v>
      </c>
      <c r="W153" s="297"/>
      <c r="X153" s="697">
        <f t="shared" ca="1" si="145"/>
        <v>0.3</v>
      </c>
      <c r="Y153" s="697">
        <f t="shared" ca="1" si="198"/>
        <v>9</v>
      </c>
      <c r="Z153" s="697">
        <f t="shared" ca="1" si="199"/>
        <v>3</v>
      </c>
      <c r="AA153" s="697">
        <f t="shared" ca="1" si="200"/>
        <v>1</v>
      </c>
      <c r="AB153" s="697">
        <f t="shared" ca="1" si="201"/>
        <v>0.1</v>
      </c>
      <c r="AC153" s="296"/>
      <c r="AD153" s="81">
        <v>2020</v>
      </c>
      <c r="AE153" s="81"/>
      <c r="AF153" s="709"/>
    </row>
    <row r="154" spans="1:32">
      <c r="B154" s="717" t="s">
        <v>972</v>
      </c>
      <c r="C154" s="64"/>
      <c r="E154" s="261"/>
      <c r="F154" s="55"/>
      <c r="G154" s="55"/>
      <c r="H154" s="174"/>
      <c r="I154" s="174" t="str">
        <f t="shared" si="143"/>
        <v>AGRGWH</v>
      </c>
      <c r="J154" s="224">
        <f t="shared" si="146"/>
        <v>2030</v>
      </c>
      <c r="K154" s="81"/>
      <c r="L154" s="199">
        <f t="shared" ca="1" si="193"/>
        <v>0.94</v>
      </c>
      <c r="M154" s="199"/>
      <c r="N154" s="81"/>
      <c r="O154" s="722">
        <f t="shared" ca="1" si="194"/>
        <v>0.27090909090909093</v>
      </c>
      <c r="P154" s="722">
        <f t="shared" ca="1" si="195"/>
        <v>1.4154999999999999E-2</v>
      </c>
      <c r="Q154" s="81">
        <f t="shared" ca="1" si="196"/>
        <v>2.0694444444444446</v>
      </c>
      <c r="R154" s="299"/>
      <c r="S154" s="299"/>
      <c r="T154" s="299"/>
      <c r="U154" s="299"/>
      <c r="V154" s="1130">
        <f t="shared" ref="V154" ca="1" si="205">IF(IF(RIGHT(H153,2)="PH",(1-L154)+$W$2,IF(RIGHT(H153,2)="HT",(1-L154)+$W$1,IF(RIGHT(H153,2)="SH",(1-L154)+$W$3,"")))&gt;0,IF(RIGHT(H153,2)="PH",(1-L154)+$W$2,IF(RIGHT(H153,2)="HT",(1-L154)+$W$1,IF(RIGHT(H153,2)="SH",(1-L154)+$W$3,""))),0)</f>
        <v>6.0000000000000053E-2</v>
      </c>
      <c r="W154" s="297"/>
      <c r="X154" s="697">
        <f t="shared" ca="1" si="145"/>
        <v>0.3</v>
      </c>
      <c r="Y154" s="697">
        <f t="shared" ca="1" si="198"/>
        <v>7</v>
      </c>
      <c r="Z154" s="697">
        <f t="shared" ca="1" si="199"/>
        <v>2</v>
      </c>
      <c r="AA154" s="697">
        <f t="shared" ca="1" si="200"/>
        <v>1</v>
      </c>
      <c r="AB154" s="697">
        <f t="shared" ca="1" si="201"/>
        <v>0.1</v>
      </c>
      <c r="AC154" s="55"/>
      <c r="AD154" s="81">
        <v>2030</v>
      </c>
      <c r="AE154" s="81"/>
      <c r="AF154" s="699"/>
    </row>
    <row r="155" spans="1:32">
      <c r="A155" s="226"/>
      <c r="B155" s="718" t="s">
        <v>972</v>
      </c>
      <c r="C155" s="712"/>
      <c r="D155" s="203"/>
      <c r="E155" s="700"/>
      <c r="F155" s="203"/>
      <c r="G155" s="203"/>
      <c r="H155" s="701"/>
      <c r="I155" s="701" t="str">
        <f t="shared" si="143"/>
        <v>AGRGWH</v>
      </c>
      <c r="J155" s="224">
        <f t="shared" si="146"/>
        <v>2050</v>
      </c>
      <c r="K155" s="81"/>
      <c r="L155" s="199">
        <f t="shared" ca="1" si="193"/>
        <v>0.95</v>
      </c>
      <c r="M155" s="199"/>
      <c r="N155" s="81"/>
      <c r="O155" s="722">
        <f t="shared" ca="1" si="194"/>
        <v>0.27090909090909093</v>
      </c>
      <c r="P155" s="722">
        <f t="shared" ca="1" si="195"/>
        <v>1.2664999999999999E-2</v>
      </c>
      <c r="Q155" s="81">
        <f t="shared" ca="1" si="196"/>
        <v>2.0694444444444446</v>
      </c>
      <c r="R155" s="299"/>
      <c r="S155" s="299"/>
      <c r="T155" s="299"/>
      <c r="U155" s="299"/>
      <c r="V155" s="1130">
        <f t="shared" ref="V155" ca="1" si="206">IF(IF(RIGHT(H153,2)="PH",(1-L155)+$W$2,IF(RIGHT(H153,2)="HT",(1-L155)+$W$1,IF(RIGHT(H153,2)="SH",(1-L155)+$W$3,"")))&gt;0,IF(RIGHT(H153,2)="PH",(1-L155)+$W$2,IF(RIGHT(H153,2)="HT",(1-L155)+$W$1,IF(RIGHT(H153,2)="SH",(1-L155)+$W$3,""))),0)</f>
        <v>5.0000000000000044E-2</v>
      </c>
      <c r="W155" s="297"/>
      <c r="X155" s="697">
        <f t="shared" ca="1" si="145"/>
        <v>0.3</v>
      </c>
      <c r="Y155" s="697">
        <f t="shared" ca="1" si="198"/>
        <v>6</v>
      </c>
      <c r="Z155" s="697">
        <f t="shared" ca="1" si="199"/>
        <v>2</v>
      </c>
      <c r="AA155" s="697">
        <f t="shared" ca="1" si="200"/>
        <v>1</v>
      </c>
      <c r="AB155" s="697">
        <f t="shared" ca="1" si="201"/>
        <v>0.1</v>
      </c>
      <c r="AC155" s="55"/>
      <c r="AD155" s="81">
        <v>2050</v>
      </c>
      <c r="AE155" s="81"/>
      <c r="AF155" s="699"/>
    </row>
    <row r="156" spans="1:32">
      <c r="B156" s="717" t="s">
        <v>972</v>
      </c>
      <c r="C156" s="64"/>
      <c r="D156" s="212" t="str">
        <f>"AGR"&amp;RIGHT(H156,2)&amp;RIGHT(G156,3)&amp;"N"&amp;RIGHT(E156,1)</f>
        <v>AGRPHSYNN4</v>
      </c>
      <c r="E156" s="706" t="str">
        <f>"Agriculture heating technology "&amp;$AJ$12&amp;" "&amp;RIGHT(H156,2)&amp;" - Gas boiler (Hot Water - condensing) - new 4"</f>
        <v>Agriculture heating technology Agriculture PH - Gas boiler (Hot Water - condensing) - new 4</v>
      </c>
      <c r="F156" s="296" t="s">
        <v>1107</v>
      </c>
      <c r="G156" s="173" t="s">
        <v>1945</v>
      </c>
      <c r="H156" s="707" t="str">
        <f>$AI$14</f>
        <v>AGDPH</v>
      </c>
      <c r="I156" s="707" t="str">
        <f t="shared" si="143"/>
        <v>AGRGWH</v>
      </c>
      <c r="J156" s="224">
        <f t="shared" si="146"/>
        <v>2011</v>
      </c>
      <c r="K156" s="298">
        <v>2025</v>
      </c>
      <c r="L156" s="199">
        <f t="shared" ref="L156:L161" ca="1" si="207">VLOOKUP($AD156,INDIRECT("'"&amp;$B156&amp;"'!"&amp;"$P$279:$AD$282"),3,FALSE)</f>
        <v>1.01</v>
      </c>
      <c r="M156" s="199"/>
      <c r="N156" s="81">
        <f ca="1">VLOOKUP($AD156,INDIRECT("'"&amp;$B156&amp;"'!"&amp;"$P$279:$AD$282"),5,FALSE)</f>
        <v>25</v>
      </c>
      <c r="O156" s="722">
        <f ca="1">VLOOKUP($AD156,INDIRECT("'"&amp;$B156&amp;"'!"&amp;"$P$279:$AD$282"),6,FALSE)/1000</f>
        <v>0.35760000000000003</v>
      </c>
      <c r="P156" s="722">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2"/>
      <c r="V156" s="1130">
        <f t="shared" ref="V156" ca="1" si="210">IF(IF(RIGHT(H156,2)="PH",(1-L156)+$W$2,IF(RIGHT(H156,2)="HT",(1-L156)+$W$1,IF(RIGHT(H156,2)="SH",(1-L156)+$W$3,"")))&gt;0,IF(RIGHT(H156,2)="PH",(1-L156)+$W$2,IF(RIGHT(H156,2)="HT",(1-L156)+$W$1,IF(RIGHT(H156,2)="SH",(1-L156)+$W$3,""))),0)</f>
        <v>0.19</v>
      </c>
      <c r="W156" s="708"/>
      <c r="X156" s="697">
        <f t="shared" ca="1" si="145"/>
        <v>0.3</v>
      </c>
      <c r="Y156" s="697">
        <f t="shared" ref="Y156:Y161" ca="1" si="211">VLOOKUP($AD156,INDIRECT("'"&amp;$B156&amp;"'!"&amp;"$P$279:$AD$282"),12,FALSE)</f>
        <v>9</v>
      </c>
      <c r="Z156" s="697">
        <f t="shared" ref="Z156:Z161" ca="1" si="212">VLOOKUP($AD156,INDIRECT("'"&amp;$B156&amp;"'!"&amp;"$P$279:$AD$282"),13,FALSE)</f>
        <v>3</v>
      </c>
      <c r="AA156" s="697">
        <f t="shared" ref="AA156:AA161" ca="1" si="213">VLOOKUP($AD156,INDIRECT("'"&amp;$B156&amp;"'!"&amp;"$P$279:$AD$282"),14,FALSE)</f>
        <v>1</v>
      </c>
      <c r="AB156" s="697">
        <f t="shared" ref="AB156:AB161" ca="1" si="214">VLOOKUP($AD156,INDIRECT("'"&amp;$B156&amp;"'!"&amp;"$P$279:$AD$282"),15,FALSE)</f>
        <v>0.1</v>
      </c>
      <c r="AC156" s="55"/>
      <c r="AD156" s="81">
        <v>2020</v>
      </c>
      <c r="AE156" s="81"/>
      <c r="AF156" s="699"/>
    </row>
    <row r="157" spans="1:32">
      <c r="B157" s="717" t="s">
        <v>972</v>
      </c>
      <c r="C157" s="64"/>
      <c r="E157" s="261"/>
      <c r="F157" s="55"/>
      <c r="G157" s="55"/>
      <c r="H157" s="174"/>
      <c r="I157" s="174" t="str">
        <f t="shared" si="143"/>
        <v>AGRGWH</v>
      </c>
      <c r="J157" s="224">
        <f t="shared" si="146"/>
        <v>2030</v>
      </c>
      <c r="K157" s="81"/>
      <c r="L157" s="199">
        <f t="shared" ca="1" si="207"/>
        <v>1.03</v>
      </c>
      <c r="M157" s="199"/>
      <c r="N157" s="81"/>
      <c r="O157" s="722">
        <f t="shared" ref="O157:O161" ca="1" si="215">VLOOKUP($AD157,INDIRECT("'"&amp;$B157&amp;"'!"&amp;"$P$279:$AD$282"),6,FALSE)/1000</f>
        <v>0.29800000000000004</v>
      </c>
      <c r="P157" s="722">
        <f t="shared" ca="1" si="208"/>
        <v>1.4154999999999999E-2</v>
      </c>
      <c r="Q157" s="81">
        <f t="shared" ca="1" si="209"/>
        <v>2.0694444444444446</v>
      </c>
      <c r="R157" s="299"/>
      <c r="S157" s="299"/>
      <c r="T157" s="299"/>
      <c r="U157" s="299"/>
      <c r="V157" s="1130">
        <f t="shared" ref="V157" ca="1" si="216">IF(IF(RIGHT(H156,2)="PH",(1-L157)+$W$2,IF(RIGHT(H156,2)="HT",(1-L157)+$W$1,IF(RIGHT(H156,2)="SH",(1-L157)+$W$3,"")))&gt;0,IF(RIGHT(H156,2)="PH",(1-L157)+$W$2,IF(RIGHT(H156,2)="HT",(1-L157)+$W$1,IF(RIGHT(H156,2)="SH",(1-L157)+$W$3,""))),0)</f>
        <v>0.16999999999999998</v>
      </c>
      <c r="W157" s="297"/>
      <c r="X157" s="697">
        <f t="shared" ca="1" si="145"/>
        <v>0.3</v>
      </c>
      <c r="Y157" s="697">
        <f t="shared" ca="1" si="211"/>
        <v>7</v>
      </c>
      <c r="Z157" s="697">
        <f t="shared" ca="1" si="212"/>
        <v>2</v>
      </c>
      <c r="AA157" s="697">
        <f t="shared" ca="1" si="213"/>
        <v>1</v>
      </c>
      <c r="AB157" s="697">
        <f t="shared" ca="1" si="214"/>
        <v>0.1</v>
      </c>
      <c r="AC157" s="55"/>
      <c r="AD157" s="81">
        <v>2030</v>
      </c>
      <c r="AE157" s="81"/>
      <c r="AF157" s="699"/>
    </row>
    <row r="158" spans="1:32">
      <c r="B158" s="717" t="s">
        <v>972</v>
      </c>
      <c r="C158" s="64"/>
      <c r="E158" s="261"/>
      <c r="F158" s="55"/>
      <c r="G158" s="55"/>
      <c r="H158" s="174"/>
      <c r="I158" s="174" t="str">
        <f t="shared" si="143"/>
        <v>AGRGWH</v>
      </c>
      <c r="J158" s="224">
        <f t="shared" si="146"/>
        <v>2050</v>
      </c>
      <c r="K158" s="81"/>
      <c r="L158" s="199">
        <f t="shared" ca="1" si="207"/>
        <v>1.03</v>
      </c>
      <c r="M158" s="199"/>
      <c r="N158" s="81"/>
      <c r="O158" s="722">
        <f t="shared" ca="1" si="215"/>
        <v>0.29800000000000004</v>
      </c>
      <c r="P158" s="722">
        <f t="shared" ca="1" si="208"/>
        <v>1.2664999999999999E-2</v>
      </c>
      <c r="Q158" s="81">
        <f t="shared" ca="1" si="209"/>
        <v>2.0694444444444446</v>
      </c>
      <c r="R158" s="299"/>
      <c r="S158" s="299"/>
      <c r="T158" s="299"/>
      <c r="U158" s="299"/>
      <c r="V158" s="1130">
        <f t="shared" ref="V158" ca="1" si="217">IF(IF(RIGHT(H156,2)="PH",(1-L158)+$W$2,IF(RIGHT(H156,2)="HT",(1-L158)+$W$1,IF(RIGHT(H156,2)="SH",(1-L158)+$W$3,"")))&gt;0,IF(RIGHT(H156,2)="PH",(1-L158)+$W$2,IF(RIGHT(H156,2)="HT",(1-L158)+$W$1,IF(RIGHT(H156,2)="SH",(1-L158)+$W$3,""))),0)</f>
        <v>0.16999999999999998</v>
      </c>
      <c r="W158" s="297"/>
      <c r="X158" s="697">
        <f t="shared" ca="1" si="145"/>
        <v>0.3</v>
      </c>
      <c r="Y158" s="697">
        <f t="shared" ca="1" si="211"/>
        <v>6</v>
      </c>
      <c r="Z158" s="697">
        <f t="shared" ca="1" si="212"/>
        <v>2</v>
      </c>
      <c r="AA158" s="697">
        <f t="shared" ca="1" si="213"/>
        <v>1</v>
      </c>
      <c r="AB158" s="697">
        <f t="shared" ca="1" si="214"/>
        <v>0.1</v>
      </c>
      <c r="AC158" s="203"/>
      <c r="AD158" s="81">
        <v>2050</v>
      </c>
      <c r="AE158" s="81"/>
      <c r="AF158" s="704"/>
    </row>
    <row r="159" spans="1:32">
      <c r="A159" s="226"/>
      <c r="B159" s="717" t="s">
        <v>972</v>
      </c>
      <c r="C159" s="64"/>
      <c r="D159" s="212" t="str">
        <f>"AGR"&amp;RIGHT(H159,2)&amp;RIGHT(G159,3)&amp;"N"&amp;RIGHT(E159,1)</f>
        <v>AGRSHSYNN4</v>
      </c>
      <c r="E159" s="261" t="str">
        <f>"Agriculture heating technology "&amp;$AJ$12&amp;" "&amp;RIGHT(H159,2)&amp;" - Gas boiler (Hot Water- condensing) - new 4"</f>
        <v>Agriculture heating technology Agriculture SH - Gas boiler (Hot Water- condensing) - new 4</v>
      </c>
      <c r="F159" s="55" t="s">
        <v>1107</v>
      </c>
      <c r="G159" s="173" t="s">
        <v>1945</v>
      </c>
      <c r="H159" s="174" t="str">
        <f>$AI$15</f>
        <v>AGDSH</v>
      </c>
      <c r="I159" s="174" t="str">
        <f t="shared" si="143"/>
        <v>AGRGWH</v>
      </c>
      <c r="J159" s="224">
        <f t="shared" si="146"/>
        <v>2011</v>
      </c>
      <c r="K159" s="298">
        <v>2025</v>
      </c>
      <c r="L159" s="199">
        <f t="shared" ca="1" si="207"/>
        <v>1.01</v>
      </c>
      <c r="M159" s="199"/>
      <c r="N159" s="81">
        <f ca="1">VLOOKUP($AD159,INDIRECT("'"&amp;$B159&amp;"'!"&amp;"$P$279:$AD$282"),5,FALSE)</f>
        <v>25</v>
      </c>
      <c r="O159" s="722">
        <f t="shared" ca="1" si="215"/>
        <v>0.35760000000000003</v>
      </c>
      <c r="P159" s="722">
        <f t="shared" ca="1" si="208"/>
        <v>1.49E-2</v>
      </c>
      <c r="Q159" s="81">
        <f t="shared" ca="1" si="209"/>
        <v>2.276388888888889</v>
      </c>
      <c r="R159" s="81">
        <v>3.1536000000000002E-2</v>
      </c>
      <c r="S159" s="199">
        <v>0.5</v>
      </c>
      <c r="T159" s="199">
        <f ca="1">HLOOKUP($T$2,INDIRECT("'"&amp;$B159&amp;"'!"&amp;"$P$246:$AC$259"),IF(H159=$AI$13,6,IF(H159=$AI$14,9,14)),FALSE)</f>
        <v>1</v>
      </c>
      <c r="U159" s="772"/>
      <c r="V159" s="1130">
        <f t="shared" ref="V159" ca="1" si="218">IF(IF(RIGHT(H159,2)="PH",(1-L159)+$W$2,IF(RIGHT(H159,2)="HT",(1-L159)+$W$1,IF(RIGHT(H159,2)="SH",(1-L159)+$W$3,"")))&gt;0,IF(RIGHT(H159,2)="PH",(1-L159)+$W$2,IF(RIGHT(H159,2)="HT",(1-L159)+$W$1,IF(RIGHT(H159,2)="SH",(1-L159)+$W$3,""))),0)</f>
        <v>0</v>
      </c>
      <c r="W159" s="708"/>
      <c r="X159" s="697">
        <f t="shared" ref="X159:X177" ca="1" si="219">IF(VLOOKUP($AD159,INDIRECT("'"&amp;$B159&amp;"'!"&amp;"$P$39:$AD$42"),11,FALSE)="Cf. the utilized electricity",0,VLOOKUP($AD159,INDIRECT("'"&amp;$B159&amp;"'!"&amp;"$P$39:$AD$42"),11,FALSE))</f>
        <v>0.3</v>
      </c>
      <c r="Y159" s="697">
        <f t="shared" ca="1" si="211"/>
        <v>9</v>
      </c>
      <c r="Z159" s="697">
        <f t="shared" ca="1" si="212"/>
        <v>3</v>
      </c>
      <c r="AA159" s="697">
        <f t="shared" ca="1" si="213"/>
        <v>1</v>
      </c>
      <c r="AB159" s="697">
        <f t="shared" ca="1" si="214"/>
        <v>0.1</v>
      </c>
      <c r="AC159" s="296"/>
      <c r="AD159" s="81">
        <v>2020</v>
      </c>
      <c r="AE159" s="81"/>
      <c r="AF159" s="709"/>
    </row>
    <row r="160" spans="1:32">
      <c r="B160" s="717" t="s">
        <v>972</v>
      </c>
      <c r="C160" s="64"/>
      <c r="E160" s="261"/>
      <c r="F160" s="55"/>
      <c r="G160" s="55"/>
      <c r="H160" s="174"/>
      <c r="I160" s="174" t="str">
        <f t="shared" si="143"/>
        <v>AGRGWH</v>
      </c>
      <c r="J160" s="224">
        <f t="shared" si="146"/>
        <v>2030</v>
      </c>
      <c r="K160" s="81"/>
      <c r="L160" s="199">
        <f t="shared" ca="1" si="207"/>
        <v>1.03</v>
      </c>
      <c r="M160" s="199"/>
      <c r="N160" s="81"/>
      <c r="O160" s="722">
        <f t="shared" ca="1" si="215"/>
        <v>0.29800000000000004</v>
      </c>
      <c r="P160" s="722">
        <f t="shared" ca="1" si="208"/>
        <v>1.4154999999999999E-2</v>
      </c>
      <c r="Q160" s="81">
        <f t="shared" ca="1" si="209"/>
        <v>2.0694444444444446</v>
      </c>
      <c r="R160" s="299"/>
      <c r="S160" s="299"/>
      <c r="T160" s="299"/>
      <c r="U160" s="299"/>
      <c r="V160" s="1130">
        <f t="shared" ref="V160" ca="1" si="220">IF(IF(RIGHT(H159,2)="PH",(1-L160)+$W$2,IF(RIGHT(H159,2)="HT",(1-L160)+$W$1,IF(RIGHT(H159,2)="SH",(1-L160)+$W$3,"")))&gt;0,IF(RIGHT(H159,2)="PH",(1-L160)+$W$2,IF(RIGHT(H159,2)="HT",(1-L160)+$W$1,IF(RIGHT(H159,2)="SH",(1-L160)+$W$3,""))),0)</f>
        <v>0</v>
      </c>
      <c r="W160" s="297"/>
      <c r="X160" s="697">
        <f t="shared" ca="1" si="219"/>
        <v>0.3</v>
      </c>
      <c r="Y160" s="697">
        <f t="shared" ca="1" si="211"/>
        <v>7</v>
      </c>
      <c r="Z160" s="697">
        <f t="shared" ca="1" si="212"/>
        <v>2</v>
      </c>
      <c r="AA160" s="697">
        <f t="shared" ca="1" si="213"/>
        <v>1</v>
      </c>
      <c r="AB160" s="697">
        <f t="shared" ca="1" si="214"/>
        <v>0.1</v>
      </c>
      <c r="AC160" s="55"/>
      <c r="AD160" s="81">
        <v>2030</v>
      </c>
      <c r="AE160" s="81"/>
      <c r="AF160" s="699"/>
    </row>
    <row r="161" spans="1:32">
      <c r="B161" s="718" t="s">
        <v>972</v>
      </c>
      <c r="C161" s="712"/>
      <c r="D161" s="700"/>
      <c r="E161" s="700"/>
      <c r="F161" s="203"/>
      <c r="G161" s="203"/>
      <c r="H161" s="701"/>
      <c r="I161" s="701" t="str">
        <f t="shared" si="143"/>
        <v>AGRGWH</v>
      </c>
      <c r="J161" s="224">
        <f t="shared" si="146"/>
        <v>2050</v>
      </c>
      <c r="K161" s="81"/>
      <c r="L161" s="199">
        <f t="shared" ca="1" si="207"/>
        <v>1.03</v>
      </c>
      <c r="M161" s="199"/>
      <c r="N161" s="81"/>
      <c r="O161" s="722">
        <f t="shared" ca="1" si="215"/>
        <v>0.29800000000000004</v>
      </c>
      <c r="P161" s="722">
        <f t="shared" ca="1" si="208"/>
        <v>1.2664999999999999E-2</v>
      </c>
      <c r="Q161" s="81">
        <f t="shared" ca="1" si="209"/>
        <v>2.0694444444444446</v>
      </c>
      <c r="R161" s="299"/>
      <c r="S161" s="299"/>
      <c r="T161" s="299"/>
      <c r="U161" s="299"/>
      <c r="V161" s="1130">
        <f t="shared" ref="V161" ca="1" si="221">IF(IF(RIGHT(H159,2)="PH",(1-L161)+$W$2,IF(RIGHT(H159,2)="HT",(1-L161)+$W$1,IF(RIGHT(H159,2)="SH",(1-L161)+$W$3,"")))&gt;0,IF(RIGHT(H159,2)="PH",(1-L161)+$W$2,IF(RIGHT(H159,2)="HT",(1-L161)+$W$1,IF(RIGHT(H159,2)="SH",(1-L161)+$W$3,""))),0)</f>
        <v>0</v>
      </c>
      <c r="W161" s="713"/>
      <c r="X161" s="697">
        <f t="shared" ca="1" si="219"/>
        <v>0.3</v>
      </c>
      <c r="Y161" s="697">
        <f t="shared" ca="1" si="211"/>
        <v>6</v>
      </c>
      <c r="Z161" s="697">
        <f t="shared" ca="1" si="212"/>
        <v>2</v>
      </c>
      <c r="AA161" s="697">
        <f t="shared" ca="1" si="213"/>
        <v>1</v>
      </c>
      <c r="AB161" s="697">
        <f t="shared" ca="1" si="214"/>
        <v>0.1</v>
      </c>
      <c r="AC161" s="55"/>
      <c r="AD161" s="81">
        <v>2050</v>
      </c>
      <c r="AE161" s="81"/>
      <c r="AF161" s="699"/>
    </row>
    <row r="162" spans="1:32">
      <c r="B162" s="717" t="s">
        <v>972</v>
      </c>
      <c r="C162" s="64"/>
      <c r="D162" s="212" t="str">
        <f>"AGR"&amp;RIGHT(H162,2)&amp;RIGHT(G162,3)&amp;"N"&amp;RIGHT(E162,1)</f>
        <v>AGRPHSYNN5</v>
      </c>
      <c r="E162" s="706" t="str">
        <f>"Agriculture heating technology "&amp;$AJ$12&amp;" "&amp;RIGHT(H162,2)&amp;" - Gas boiler (Direct firing) - new 5"</f>
        <v>Agriculture heating technology Agriculture PH - Gas boiler (Direct firing) - new 5</v>
      </c>
      <c r="F162" s="296" t="s">
        <v>1107</v>
      </c>
      <c r="G162" s="173" t="s">
        <v>1945</v>
      </c>
      <c r="H162" s="174" t="str">
        <f>$AI$13</f>
        <v>AGDPH</v>
      </c>
      <c r="I162" s="174" t="str">
        <f t="shared" si="143"/>
        <v>AGRGWH</v>
      </c>
      <c r="J162" s="224">
        <f t="shared" si="146"/>
        <v>2011</v>
      </c>
      <c r="K162" s="298">
        <v>2025</v>
      </c>
      <c r="L162" s="199">
        <f t="shared" ref="L162:L167" ca="1" si="222">VLOOKUP($AD162,INDIRECT("'"&amp;$B162&amp;"'!"&amp;"$P$345:$AD$348"),3,FALSE)</f>
        <v>1</v>
      </c>
      <c r="M162" s="199"/>
      <c r="N162" s="81">
        <f ca="1">VLOOKUP($AD162,INDIRECT("'"&amp;$B162&amp;"'!"&amp;"$P$345:$AD$348"),5,FALSE)</f>
        <v>15</v>
      </c>
      <c r="O162" s="722">
        <f t="shared" ref="O162:O167" ca="1" si="223">VLOOKUP($AD162,INDIRECT("'"&amp;$B162&amp;"'!"&amp;"$P$345:$AD$348"),6,FALSE)/1000</f>
        <v>0.11175</v>
      </c>
      <c r="P162" s="722">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2"/>
      <c r="V162" s="1130">
        <f t="shared" ref="V162" ca="1" si="226">IF(IF(RIGHT(H162,2)="PH",(1-L162)+$W$2,IF(RIGHT(H162,2)="HT",(1-L162)+$W$1,IF(RIGHT(H162,2)="SH",(1-L162)+$W$3,"")))&gt;0,IF(RIGHT(H162,2)="PH",(1-L162)+$W$2,IF(RIGHT(H162,2)="HT",(1-L162)+$W$1,IF(RIGHT(H162,2)="SH",(1-L162)+$W$3,""))),0)</f>
        <v>0.2</v>
      </c>
      <c r="W162" s="708"/>
      <c r="X162" s="697">
        <f t="shared" ca="1" si="219"/>
        <v>0.3</v>
      </c>
      <c r="Y162" s="697">
        <f t="shared" ref="Y162:Y167" ca="1" si="227">VLOOKUP($AD162,INDIRECT("'"&amp;$B162&amp;"'!"&amp;"$P$345:$AD$348"),12,FALSE)</f>
        <v>9</v>
      </c>
      <c r="Z162" s="697">
        <f t="shared" ref="Z162:Z167" ca="1" si="228">VLOOKUP($AD162,INDIRECT("'"&amp;$B162&amp;"'!"&amp;"$P$345:$AD$348"),13,FALSE)</f>
        <v>3</v>
      </c>
      <c r="AA162" s="697">
        <f t="shared" ref="AA162:AA167" ca="1" si="229">VLOOKUP($AD162,INDIRECT("'"&amp;$B162&amp;"'!"&amp;"$P$345:$AD$348"),14,FALSE)</f>
        <v>1</v>
      </c>
      <c r="AB162" s="697">
        <f t="shared" ref="AB162:AB167" ca="1" si="230">VLOOKUP($AD162,INDIRECT("'"&amp;$B162&amp;"'!"&amp;"$P$345:$AD$348"),15,FALSE)</f>
        <v>0.1</v>
      </c>
      <c r="AC162" s="55"/>
      <c r="AD162" s="81">
        <v>2020</v>
      </c>
      <c r="AE162" s="81"/>
      <c r="AF162" s="699"/>
    </row>
    <row r="163" spans="1:32">
      <c r="B163" s="717" t="s">
        <v>972</v>
      </c>
      <c r="C163" s="64"/>
      <c r="E163" s="261"/>
      <c r="F163" s="55"/>
      <c r="G163" s="55"/>
      <c r="H163" s="174"/>
      <c r="I163" s="174" t="str">
        <f t="shared" si="143"/>
        <v>AGRGWH</v>
      </c>
      <c r="J163" s="224">
        <f t="shared" si="146"/>
        <v>2030</v>
      </c>
      <c r="K163" s="81"/>
      <c r="L163" s="199">
        <f t="shared" ca="1" si="222"/>
        <v>1</v>
      </c>
      <c r="M163" s="199"/>
      <c r="N163" s="81"/>
      <c r="O163" s="722">
        <f t="shared" ca="1" si="223"/>
        <v>0.11175</v>
      </c>
      <c r="P163" s="722">
        <f t="shared" ca="1" si="224"/>
        <v>1.3206818181818161E-3</v>
      </c>
      <c r="Q163" s="81">
        <f t="shared" ca="1" si="225"/>
        <v>0.5742708333333334</v>
      </c>
      <c r="R163" s="299"/>
      <c r="S163" s="299"/>
      <c r="T163" s="299"/>
      <c r="U163" s="299"/>
      <c r="V163" s="1130">
        <f t="shared" ref="V163" ca="1" si="231">IF(IF(RIGHT(H162,2)="PH",(1-L163)+$W$2,IF(RIGHT(H162,2)="HT",(1-L163)+$W$1,IF(RIGHT(H162,2)="SH",(1-L163)+$W$3,"")))&gt;0,IF(RIGHT(H162,2)="PH",(1-L163)+$W$2,IF(RIGHT(H162,2)="HT",(1-L163)+$W$1,IF(RIGHT(H162,2)="SH",(1-L163)+$W$3,""))),0)</f>
        <v>0.2</v>
      </c>
      <c r="W163" s="297"/>
      <c r="X163" s="697">
        <f t="shared" ca="1" si="219"/>
        <v>0.3</v>
      </c>
      <c r="Y163" s="697">
        <f t="shared" ca="1" si="227"/>
        <v>7</v>
      </c>
      <c r="Z163" s="697">
        <f t="shared" ca="1" si="228"/>
        <v>2</v>
      </c>
      <c r="AA163" s="697">
        <f t="shared" ca="1" si="229"/>
        <v>1</v>
      </c>
      <c r="AB163" s="697">
        <f t="shared" ca="1" si="230"/>
        <v>0.1</v>
      </c>
      <c r="AC163" s="55"/>
      <c r="AD163" s="81">
        <v>2030</v>
      </c>
      <c r="AE163" s="81"/>
      <c r="AF163" s="699"/>
    </row>
    <row r="164" spans="1:32">
      <c r="B164" s="717" t="s">
        <v>972</v>
      </c>
      <c r="C164" s="64"/>
      <c r="E164" s="261"/>
      <c r="F164" s="55"/>
      <c r="G164" s="55"/>
      <c r="H164" s="174"/>
      <c r="I164" s="174" t="str">
        <f t="shared" si="143"/>
        <v>AGRGWH</v>
      </c>
      <c r="J164" s="224">
        <f t="shared" si="146"/>
        <v>2050</v>
      </c>
      <c r="K164" s="81"/>
      <c r="L164" s="199">
        <f t="shared" ca="1" si="222"/>
        <v>1</v>
      </c>
      <c r="M164" s="199"/>
      <c r="N164" s="81"/>
      <c r="O164" s="722">
        <f t="shared" ca="1" si="223"/>
        <v>0.11175</v>
      </c>
      <c r="P164" s="722">
        <f t="shared" ca="1" si="224"/>
        <v>1.1513636363636396E-3</v>
      </c>
      <c r="Q164" s="81">
        <f t="shared" ca="1" si="225"/>
        <v>0.57944444444444443</v>
      </c>
      <c r="R164" s="299"/>
      <c r="S164" s="299"/>
      <c r="T164" s="299"/>
      <c r="U164" s="299"/>
      <c r="V164" s="1130">
        <f t="shared" ref="V164" ca="1" si="232">IF(IF(RIGHT(H162,2)="PH",(1-L164)+$W$2,IF(RIGHT(H162,2)="HT",(1-L164)+$W$1,IF(RIGHT(H162,2)="SH",(1-L164)+$W$3,"")))&gt;0,IF(RIGHT(H162,2)="PH",(1-L164)+$W$2,IF(RIGHT(H162,2)="HT",(1-L164)+$W$1,IF(RIGHT(H162,2)="SH",(1-L164)+$W$3,""))),0)</f>
        <v>0.2</v>
      </c>
      <c r="W164" s="297"/>
      <c r="X164" s="697">
        <f t="shared" ca="1" si="219"/>
        <v>0.3</v>
      </c>
      <c r="Y164" s="697">
        <f t="shared" ca="1" si="227"/>
        <v>6</v>
      </c>
      <c r="Z164" s="697">
        <f t="shared" ca="1" si="228"/>
        <v>2</v>
      </c>
      <c r="AA164" s="697">
        <f t="shared" ca="1" si="229"/>
        <v>1</v>
      </c>
      <c r="AB164" s="697">
        <f t="shared" ca="1" si="230"/>
        <v>0.1</v>
      </c>
      <c r="AC164" s="203"/>
      <c r="AD164" s="81">
        <v>2050</v>
      </c>
      <c r="AE164" s="81"/>
      <c r="AF164" s="699"/>
    </row>
    <row r="165" spans="1:32">
      <c r="B165" s="717" t="s">
        <v>972</v>
      </c>
      <c r="C165" s="64"/>
      <c r="D165" s="212" t="str">
        <f>"AGR"&amp;RIGHT(H165,2)&amp;RIGHT(G165,3)&amp;"N"&amp;RIGHT(E165,1)</f>
        <v>AGRPHSYNN5</v>
      </c>
      <c r="E165" s="261" t="str">
        <f>"Agriculture heating technology "&amp;$AJ$12&amp;" "&amp;RIGHT(H165,2)&amp;" - Gas boiler (Direct firing) - new 5"</f>
        <v>Agriculture heating technology Agriculture PH - Gas boiler (Direct firing) - new 5</v>
      </c>
      <c r="F165" s="55" t="s">
        <v>1107</v>
      </c>
      <c r="G165" s="173" t="s">
        <v>1945</v>
      </c>
      <c r="H165" s="174" t="str">
        <f>$AI$14</f>
        <v>AGDPH</v>
      </c>
      <c r="I165" s="720" t="str">
        <f t="shared" si="143"/>
        <v>AGRGWH</v>
      </c>
      <c r="J165" s="224">
        <f t="shared" si="146"/>
        <v>2011</v>
      </c>
      <c r="K165" s="298">
        <v>2025</v>
      </c>
      <c r="L165" s="199">
        <f t="shared" ca="1" si="222"/>
        <v>1</v>
      </c>
      <c r="M165" s="199"/>
      <c r="N165" s="81">
        <f ca="1">VLOOKUP($AD165,INDIRECT("'"&amp;$B165&amp;"'!"&amp;"$P$279:$AD$282"),5,FALSE)</f>
        <v>25</v>
      </c>
      <c r="O165" s="722">
        <f t="shared" ca="1" si="223"/>
        <v>0.11175</v>
      </c>
      <c r="P165" s="722">
        <f t="shared" ca="1" si="224"/>
        <v>1.3545454545454561E-3</v>
      </c>
      <c r="Q165" s="81">
        <f t="shared" ca="1" si="225"/>
        <v>0.58461805555555546</v>
      </c>
      <c r="R165" s="81">
        <v>3.1536000000000002E-2</v>
      </c>
      <c r="S165" s="199">
        <v>0.5</v>
      </c>
      <c r="T165" s="199">
        <f ca="1">HLOOKUP($S$2,INDIRECT("'"&amp;$B165&amp;"'!"&amp;"$P$312:$AC$325"),IF(H165=$AI$13,6,IF(H165=$AI$14,9,14)),FALSE)</f>
        <v>1</v>
      </c>
      <c r="U165" s="772"/>
      <c r="V165" s="1130">
        <f t="shared" ref="V165" ca="1" si="233">IF(IF(RIGHT(H165,2)="PH",(1-L165)+$W$2,IF(RIGHT(H165,2)="HT",(1-L165)+$W$1,IF(RIGHT(H165,2)="SH",(1-L165)+$W$3,"")))&gt;0,IF(RIGHT(H165,2)="PH",(1-L165)+$W$2,IF(RIGHT(H165,2)="HT",(1-L165)+$W$1,IF(RIGHT(H165,2)="SH",(1-L165)+$W$3,""))),0)</f>
        <v>0.2</v>
      </c>
      <c r="W165" s="708"/>
      <c r="X165" s="697">
        <f t="shared" ca="1" si="219"/>
        <v>0.3</v>
      </c>
      <c r="Y165" s="697">
        <f t="shared" ca="1" si="227"/>
        <v>9</v>
      </c>
      <c r="Z165" s="697">
        <f t="shared" ca="1" si="228"/>
        <v>3</v>
      </c>
      <c r="AA165" s="697">
        <f t="shared" ca="1" si="229"/>
        <v>1</v>
      </c>
      <c r="AB165" s="697">
        <f t="shared" ca="1" si="230"/>
        <v>0.1</v>
      </c>
      <c r="AD165" s="277">
        <v>2020</v>
      </c>
      <c r="AE165" s="273"/>
      <c r="AF165" s="829"/>
    </row>
    <row r="166" spans="1:32">
      <c r="B166" s="717" t="s">
        <v>972</v>
      </c>
      <c r="C166" s="64"/>
      <c r="E166" s="261"/>
      <c r="F166" s="55"/>
      <c r="G166" s="55"/>
      <c r="H166" s="174"/>
      <c r="I166" s="174" t="str">
        <f t="shared" si="143"/>
        <v>AGRGWH</v>
      </c>
      <c r="J166" s="224">
        <f t="shared" si="146"/>
        <v>2030</v>
      </c>
      <c r="K166" s="81"/>
      <c r="L166" s="199">
        <f t="shared" ca="1" si="222"/>
        <v>1</v>
      </c>
      <c r="M166" s="199"/>
      <c r="N166" s="81"/>
      <c r="O166" s="722">
        <f t="shared" ca="1" si="223"/>
        <v>0.11175</v>
      </c>
      <c r="P166" s="722">
        <f t="shared" ca="1" si="224"/>
        <v>1.3206818181818161E-3</v>
      </c>
      <c r="Q166" s="81">
        <f t="shared" ca="1" si="225"/>
        <v>0.5742708333333334</v>
      </c>
      <c r="R166" s="299"/>
      <c r="S166" s="299"/>
      <c r="T166" s="299"/>
      <c r="U166" s="299"/>
      <c r="V166" s="1130">
        <f t="shared" ref="V166" ca="1" si="234">IF(IF(RIGHT(H165,2)="PH",(1-L166)+$W$2,IF(RIGHT(H165,2)="HT",(1-L166)+$W$1,IF(RIGHT(H165,2)="SH",(1-L166)+$W$3,"")))&gt;0,IF(RIGHT(H165,2)="PH",(1-L166)+$W$2,IF(RIGHT(H165,2)="HT",(1-L166)+$W$1,IF(RIGHT(H165,2)="SH",(1-L166)+$W$3,""))),0)</f>
        <v>0.2</v>
      </c>
      <c r="W166" s="297"/>
      <c r="X166" s="697">
        <f t="shared" ca="1" si="219"/>
        <v>0.3</v>
      </c>
      <c r="Y166" s="697">
        <f t="shared" ca="1" si="227"/>
        <v>7</v>
      </c>
      <c r="Z166" s="697">
        <f t="shared" ca="1" si="228"/>
        <v>2</v>
      </c>
      <c r="AA166" s="697">
        <f t="shared" ca="1" si="229"/>
        <v>1</v>
      </c>
      <c r="AB166" s="697">
        <f t="shared" ca="1" si="230"/>
        <v>0.1</v>
      </c>
      <c r="AD166" s="81">
        <v>2030</v>
      </c>
      <c r="AE166" s="273"/>
      <c r="AF166" s="827"/>
    </row>
    <row r="167" spans="1:32">
      <c r="A167" s="169"/>
      <c r="B167" s="718" t="s">
        <v>972</v>
      </c>
      <c r="C167" s="712"/>
      <c r="D167" s="700"/>
      <c r="E167" s="700"/>
      <c r="F167" s="203"/>
      <c r="G167" s="203"/>
      <c r="H167" s="701"/>
      <c r="I167" s="701" t="str">
        <f t="shared" si="143"/>
        <v>AGRGWH</v>
      </c>
      <c r="J167" s="224">
        <f t="shared" si="146"/>
        <v>2050</v>
      </c>
      <c r="K167" s="81"/>
      <c r="L167" s="199">
        <f t="shared" ca="1" si="222"/>
        <v>1</v>
      </c>
      <c r="M167" s="199"/>
      <c r="N167" s="81"/>
      <c r="O167" s="722">
        <f t="shared" ca="1" si="223"/>
        <v>0.11175</v>
      </c>
      <c r="P167" s="722">
        <f t="shared" ca="1" si="224"/>
        <v>1.1513636363636396E-3</v>
      </c>
      <c r="Q167" s="81">
        <f t="shared" ca="1" si="225"/>
        <v>0.57944444444444443</v>
      </c>
      <c r="R167" s="721"/>
      <c r="S167" s="702"/>
      <c r="T167" s="702"/>
      <c r="U167" s="702"/>
      <c r="V167" s="1130">
        <f t="shared" ref="V167" ca="1" si="235">IF(IF(RIGHT(H165,2)="PH",(1-L167)+$W$2,IF(RIGHT(H165,2)="HT",(1-L167)+$W$1,IF(RIGHT(H165,2)="SH",(1-L167)+$W$3,"")))&gt;0,IF(RIGHT(H165,2)="PH",(1-L167)+$W$2,IF(RIGHT(H165,2)="HT",(1-L167)+$W$1,IF(RIGHT(H165,2)="SH",(1-L167)+$W$3,""))),0)</f>
        <v>0.2</v>
      </c>
      <c r="W167" s="713"/>
      <c r="X167" s="697">
        <f t="shared" ca="1" si="219"/>
        <v>0.3</v>
      </c>
      <c r="Y167" s="697">
        <f t="shared" ca="1" si="227"/>
        <v>6</v>
      </c>
      <c r="Z167" s="697">
        <f t="shared" ca="1" si="228"/>
        <v>2</v>
      </c>
      <c r="AA167" s="697">
        <f t="shared" ca="1" si="229"/>
        <v>1</v>
      </c>
      <c r="AB167" s="697">
        <f t="shared" ca="1" si="230"/>
        <v>0.1</v>
      </c>
      <c r="AD167" s="81">
        <v>2050</v>
      </c>
      <c r="AE167" s="273"/>
      <c r="AF167" s="827"/>
    </row>
    <row r="168" spans="1:32">
      <c r="A168" s="169"/>
      <c r="B168" s="717" t="s">
        <v>1061</v>
      </c>
      <c r="C168" s="226"/>
      <c r="D168" s="212" t="str">
        <f>"AGR"&amp;RIGHT(H168,2)&amp;RIGHT(G168,3)&amp;"N"&amp;RIGHT(E168,1)</f>
        <v>AGRPHCOAN1</v>
      </c>
      <c r="E168" s="261" t="str">
        <f>"Agriculture heating technology "&amp;$AJ$12&amp;" "&amp;RIGHT(H168,2)&amp;" - Coal boiler (Steam) - new 1"</f>
        <v>Agriculture heating technology Agriculture PH - Coal boiler (Steam) - new 1</v>
      </c>
      <c r="F168" s="55" t="s">
        <v>1107</v>
      </c>
      <c r="G168" s="55" t="s">
        <v>1946</v>
      </c>
      <c r="H168" s="174" t="str">
        <f>$AI$13</f>
        <v>AGDPH</v>
      </c>
      <c r="I168" s="174" t="str">
        <f t="shared" si="143"/>
        <v>AGRGWH</v>
      </c>
      <c r="J168" s="224">
        <f t="shared" si="146"/>
        <v>2011</v>
      </c>
      <c r="K168" s="298">
        <v>2025</v>
      </c>
      <c r="L168" s="199">
        <f t="shared" ref="L168:L176" ca="1" si="236">VLOOKUP($AD168,INDIRECT("'"&amp;$B168&amp;"'!"&amp;"$P$39:$AD$42"),3,FALSE)</f>
        <v>0.89</v>
      </c>
      <c r="M168" s="698"/>
      <c r="N168" s="298">
        <f ca="1">VLOOKUP($AD168,INDIRECT("'"&amp;$B168&amp;"'!"&amp;"$P$39:$AD$42"),5,FALSE)</f>
        <v>25</v>
      </c>
      <c r="O168" s="724">
        <f t="shared" ref="O168:O176" ca="1" si="237">VLOOKUP($AD168,INDIRECT("'"&amp;$B168&amp;"'!"&amp;"$P$39:$AD$42"),6,FALSE)/1000</f>
        <v>3.7250000000000001</v>
      </c>
      <c r="P168" s="724">
        <f t="shared" ref="P168:P176" ca="1" si="238">VLOOKUP($AD168,INDIRECT("'"&amp;$B168&amp;"'!"&amp;"$P$39:$AD$42"),7,FALSE)/1000</f>
        <v>0.25106499999999998</v>
      </c>
      <c r="Q168" s="298">
        <f t="shared" ref="Q168:Q176" ca="1" si="239">VLOOKUP($AD168,INDIRECT("'"&amp;$B168&amp;"'!"&amp;"$P$39:$AD$42"),8,FALSE)</f>
        <v>3.9381527777777778</v>
      </c>
      <c r="R168" s="298">
        <v>3.1536000000000002E-2</v>
      </c>
      <c r="S168" s="698">
        <v>0.5</v>
      </c>
      <c r="T168" s="698">
        <f ca="1">HLOOKUP($T$2,INDIRECT("'"&amp;$B168&amp;"'!"&amp;"$P$6:$AC$19"),IF(H168=$AI$13,6,IF(H168=$AI$14,9,14)),FALSE)</f>
        <v>1</v>
      </c>
      <c r="U168" s="771"/>
      <c r="V168" s="1130">
        <f t="shared" ref="V168" ca="1" si="240">IF(IF(RIGHT(H168,2)="PH",(1-L168)+$W$2,IF(RIGHT(H168,2)="HT",(1-L168)+$W$1,IF(RIGHT(H168,2)="SH",(1-L168)+$W$3,"")))&gt;0,IF(RIGHT(H168,2)="PH",(1-L168)+$W$2,IF(RIGHT(H168,2)="HT",(1-L168)+$W$1,IF(RIGHT(H168,2)="SH",(1-L168)+$W$3,""))),0)</f>
        <v>0.31</v>
      </c>
      <c r="W168" s="297"/>
      <c r="X168" s="697">
        <f t="shared" ca="1" si="219"/>
        <v>8</v>
      </c>
      <c r="Y168" s="298">
        <f t="shared" ref="Y168:Y176" ca="1" si="241">VLOOKUP($AD168,INDIRECT("'"&amp;$B168&amp;"'!"&amp;"$P$39:$AD$42"),12,FALSE)</f>
        <v>35</v>
      </c>
      <c r="Z168" s="298">
        <f t="shared" ref="Z168:Z176" ca="1" si="242">VLOOKUP($AD168,INDIRECT("'"&amp;$B168&amp;"'!"&amp;"$P$39:$AD$42"),13,FALSE)</f>
        <v>1.5</v>
      </c>
      <c r="AA168" s="298">
        <f t="shared" ref="AA168:AA176" ca="1" si="243">VLOOKUP($AD168,INDIRECT("'"&amp;$B168&amp;"'!"&amp;"$P$39:$AD$42"),14,FALSE)</f>
        <v>0.8</v>
      </c>
      <c r="AB168" s="298">
        <f t="shared" ref="AB168:AB176" ca="1" si="244">VLOOKUP($AD168,INDIRECT("'"&amp;$B168&amp;"'!"&amp;"$P$39:$AD$42"),15,FALSE)</f>
        <v>2.1</v>
      </c>
      <c r="AD168" s="81">
        <v>2020</v>
      </c>
      <c r="AE168" s="273"/>
      <c r="AF168" s="827"/>
    </row>
    <row r="169" spans="1:32">
      <c r="A169" s="169"/>
      <c r="B169" s="717" t="s">
        <v>1061</v>
      </c>
      <c r="C169" s="226"/>
      <c r="D169" s="261"/>
      <c r="E169" s="261"/>
      <c r="F169" s="55"/>
      <c r="G169" s="55"/>
      <c r="H169" s="174"/>
      <c r="I169" s="174" t="str">
        <f t="shared" si="143"/>
        <v>AGRGWH</v>
      </c>
      <c r="J169" s="224">
        <f t="shared" si="146"/>
        <v>2030</v>
      </c>
      <c r="K169" s="81"/>
      <c r="L169" s="199">
        <f t="shared" ca="1" si="236"/>
        <v>0.89</v>
      </c>
      <c r="M169" s="771"/>
      <c r="N169" s="200"/>
      <c r="O169" s="724">
        <f t="shared" ca="1" si="237"/>
        <v>3.4699403462447704</v>
      </c>
      <c r="P169" s="724">
        <f t="shared" ca="1" si="238"/>
        <v>0.24287</v>
      </c>
      <c r="Q169" s="298">
        <f t="shared" ca="1" si="239"/>
        <v>3.9836805555555559</v>
      </c>
      <c r="R169" s="822"/>
      <c r="S169" s="299"/>
      <c r="T169" s="299"/>
      <c r="U169" s="299"/>
      <c r="V169" s="1130">
        <f t="shared" ref="V169" ca="1" si="245">IF(IF(RIGHT(H168,2)="PH",(1-L169)+$W$2,IF(RIGHT(H168,2)="HT",(1-L169)+$W$1,IF(RIGHT(H168,2)="SH",(1-L169)+$W$3,"")))&gt;0,IF(RIGHT(H168,2)="PH",(1-L169)+$W$2,IF(RIGHT(H168,2)="HT",(1-L169)+$W$1,IF(RIGHT(H168,2)="SH",(1-L169)+$W$3,""))),0)</f>
        <v>0.31</v>
      </c>
      <c r="W169" s="297"/>
      <c r="X169" s="697">
        <f t="shared" ca="1" si="219"/>
        <v>8</v>
      </c>
      <c r="Y169" s="298">
        <f t="shared" ca="1" si="241"/>
        <v>35</v>
      </c>
      <c r="Z169" s="298">
        <f t="shared" ca="1" si="242"/>
        <v>1.5</v>
      </c>
      <c r="AA169" s="298">
        <f t="shared" ca="1" si="243"/>
        <v>0.8</v>
      </c>
      <c r="AB169" s="298">
        <f t="shared" ca="1" si="244"/>
        <v>2.1</v>
      </c>
      <c r="AD169" s="81">
        <v>2030</v>
      </c>
      <c r="AE169" s="273"/>
      <c r="AF169" s="827"/>
    </row>
    <row r="170" spans="1:32">
      <c r="A170" s="169"/>
      <c r="B170" s="717" t="s">
        <v>1061</v>
      </c>
      <c r="C170" s="226"/>
      <c r="D170" s="261"/>
      <c r="E170" s="261"/>
      <c r="F170" s="55"/>
      <c r="G170" s="55"/>
      <c r="H170" s="174"/>
      <c r="I170" s="174" t="str">
        <f t="shared" si="143"/>
        <v>AGRGWH</v>
      </c>
      <c r="J170" s="224">
        <f t="shared" si="146"/>
        <v>2050</v>
      </c>
      <c r="K170" s="81"/>
      <c r="L170" s="199">
        <f t="shared" ca="1" si="236"/>
        <v>0.91</v>
      </c>
      <c r="M170" s="771"/>
      <c r="N170" s="200"/>
      <c r="O170" s="724">
        <f t="shared" ca="1" si="237"/>
        <v>3.2813985758696647</v>
      </c>
      <c r="P170" s="724">
        <f t="shared" ca="1" si="238"/>
        <v>0.22797000000000001</v>
      </c>
      <c r="Q170" s="298">
        <f t="shared" ca="1" si="239"/>
        <v>4.0064444444444449</v>
      </c>
      <c r="R170" s="822"/>
      <c r="S170" s="299"/>
      <c r="T170" s="299"/>
      <c r="U170" s="299"/>
      <c r="V170" s="1130">
        <f t="shared" ref="V170" ca="1" si="246">IF(IF(RIGHT(H168,2)="PH",(1-L170)+$W$2,IF(RIGHT(H168,2)="HT",(1-L170)+$W$1,IF(RIGHT(H168,2)="SH",(1-L170)+$W$3,"")))&gt;0,IF(RIGHT(H168,2)="PH",(1-L170)+$W$2,IF(RIGHT(H168,2)="HT",(1-L170)+$W$1,IF(RIGHT(H168,2)="SH",(1-L170)+$W$3,""))),0)</f>
        <v>0.28999999999999998</v>
      </c>
      <c r="W170" s="297"/>
      <c r="X170" s="697">
        <f t="shared" ca="1" si="219"/>
        <v>8</v>
      </c>
      <c r="Y170" s="298">
        <f t="shared" ca="1" si="241"/>
        <v>35</v>
      </c>
      <c r="Z170" s="298">
        <f t="shared" ca="1" si="242"/>
        <v>1.5</v>
      </c>
      <c r="AA170" s="298">
        <f t="shared" ca="1" si="243"/>
        <v>0.8</v>
      </c>
      <c r="AB170" s="298">
        <f t="shared" ca="1" si="244"/>
        <v>2.1</v>
      </c>
      <c r="AD170" s="81">
        <v>2050</v>
      </c>
      <c r="AE170" s="273"/>
      <c r="AF170" s="827"/>
    </row>
    <row r="171" spans="1:32">
      <c r="A171" s="169"/>
      <c r="B171" s="717" t="s">
        <v>1061</v>
      </c>
      <c r="C171" s="226"/>
      <c r="D171" s="212" t="str">
        <f>"AGR"&amp;RIGHT(H171,2)&amp;RIGHT(G171,3)&amp;"N"&amp;RIGHT(E171,1)</f>
        <v>AGRPHCOAN1</v>
      </c>
      <c r="E171" s="261" t="str">
        <f>"Agriculture heating technology "&amp;$AJ$12&amp;" "&amp;RIGHT(H171,2)&amp;" - Coal boiler (Steam) - new 1"</f>
        <v>Agriculture heating technology Agriculture PH - Coal boiler (Steam) - new 1</v>
      </c>
      <c r="F171" s="55" t="s">
        <v>1107</v>
      </c>
      <c r="G171" s="55" t="s">
        <v>1946</v>
      </c>
      <c r="H171" s="174" t="str">
        <f>$AI$14</f>
        <v>AGDPH</v>
      </c>
      <c r="I171" s="174" t="str">
        <f t="shared" si="143"/>
        <v>AGRGWH</v>
      </c>
      <c r="J171" s="224">
        <f t="shared" si="146"/>
        <v>2011</v>
      </c>
      <c r="K171" s="298">
        <v>2025</v>
      </c>
      <c r="L171" s="199">
        <f t="shared" ca="1" si="236"/>
        <v>0.89</v>
      </c>
      <c r="M171" s="199"/>
      <c r="N171" s="81">
        <f ca="1">VLOOKUP($AD171,INDIRECT("'"&amp;$B171&amp;"'!"&amp;"$P$39:$AD$42"),5,FALSE)</f>
        <v>25</v>
      </c>
      <c r="O171" s="724">
        <f t="shared" ca="1" si="237"/>
        <v>3.7250000000000001</v>
      </c>
      <c r="P171" s="724">
        <f t="shared" ca="1" si="238"/>
        <v>0.25106499999999998</v>
      </c>
      <c r="Q171" s="298">
        <f t="shared" ca="1" si="239"/>
        <v>3.9381527777777778</v>
      </c>
      <c r="R171" s="81">
        <v>3.1536000000000002E-2</v>
      </c>
      <c r="S171" s="199">
        <v>0.5</v>
      </c>
      <c r="T171" s="199">
        <f ca="1">HLOOKUP($T$2,INDIRECT("'"&amp;$B171&amp;"'!"&amp;"$P$6:$AC$19"),IF(H171=$AI$13,6,IF(H171=$AI$14,9,14)),FALSE)</f>
        <v>1</v>
      </c>
      <c r="U171" s="771"/>
      <c r="V171" s="1130">
        <f t="shared" ref="V171" ca="1" si="247">IF(IF(RIGHT(H171,2)="PH",(1-L171)+$W$2,IF(RIGHT(H171,2)="HT",(1-L171)+$W$1,IF(RIGHT(H171,2)="SH",(1-L171)+$W$3,"")))&gt;0,IF(RIGHT(H171,2)="PH",(1-L171)+$W$2,IF(RIGHT(H171,2)="HT",(1-L171)+$W$1,IF(RIGHT(H171,2)="SH",(1-L171)+$W$3,""))),0)</f>
        <v>0.31</v>
      </c>
      <c r="W171" s="297"/>
      <c r="X171" s="697">
        <f t="shared" ca="1" si="219"/>
        <v>8</v>
      </c>
      <c r="Y171" s="298">
        <f t="shared" ca="1" si="241"/>
        <v>35</v>
      </c>
      <c r="Z171" s="298">
        <f t="shared" ca="1" si="242"/>
        <v>1.5</v>
      </c>
      <c r="AA171" s="298">
        <f t="shared" ca="1" si="243"/>
        <v>0.8</v>
      </c>
      <c r="AB171" s="298">
        <f t="shared" ca="1" si="244"/>
        <v>2.1</v>
      </c>
      <c r="AD171" s="81">
        <v>2020</v>
      </c>
      <c r="AE171" s="273"/>
      <c r="AF171" s="827"/>
    </row>
    <row r="172" spans="1:32">
      <c r="A172" s="169"/>
      <c r="B172" s="717" t="s">
        <v>1061</v>
      </c>
      <c r="C172" s="226"/>
      <c r="D172" s="261"/>
      <c r="E172" s="261"/>
      <c r="F172" s="55"/>
      <c r="G172" s="55"/>
      <c r="H172" s="174"/>
      <c r="I172" s="174" t="str">
        <f t="shared" si="143"/>
        <v>AGRGWH</v>
      </c>
      <c r="J172" s="224">
        <f t="shared" si="146"/>
        <v>2030</v>
      </c>
      <c r="K172" s="81"/>
      <c r="L172" s="199">
        <f t="shared" ca="1" si="236"/>
        <v>0.89</v>
      </c>
      <c r="M172" s="771"/>
      <c r="N172" s="200"/>
      <c r="O172" s="724">
        <f t="shared" ca="1" si="237"/>
        <v>3.4699403462447704</v>
      </c>
      <c r="P172" s="724">
        <f t="shared" ca="1" si="238"/>
        <v>0.24287</v>
      </c>
      <c r="Q172" s="298">
        <f t="shared" ca="1" si="239"/>
        <v>3.9836805555555559</v>
      </c>
      <c r="R172" s="822"/>
      <c r="S172" s="299"/>
      <c r="T172" s="299"/>
      <c r="U172" s="299"/>
      <c r="V172" s="1130">
        <f t="shared" ref="V172" ca="1" si="248">IF(IF(RIGHT(H171,2)="PH",(1-L172)+$W$2,IF(RIGHT(H171,2)="HT",(1-L172)+$W$1,IF(RIGHT(H171,2)="SH",(1-L172)+$W$3,"")))&gt;0,IF(RIGHT(H171,2)="PH",(1-L172)+$W$2,IF(RIGHT(H171,2)="HT",(1-L172)+$W$1,IF(RIGHT(H171,2)="SH",(1-L172)+$W$3,""))),0)</f>
        <v>0.31</v>
      </c>
      <c r="W172" s="297"/>
      <c r="X172" s="697">
        <f t="shared" ca="1" si="219"/>
        <v>8</v>
      </c>
      <c r="Y172" s="298">
        <f t="shared" ca="1" si="241"/>
        <v>35</v>
      </c>
      <c r="Z172" s="298">
        <f t="shared" ca="1" si="242"/>
        <v>1.5</v>
      </c>
      <c r="AA172" s="298">
        <f t="shared" ca="1" si="243"/>
        <v>0.8</v>
      </c>
      <c r="AB172" s="298">
        <f t="shared" ca="1" si="244"/>
        <v>2.1</v>
      </c>
      <c r="AD172" s="81">
        <v>2030</v>
      </c>
      <c r="AE172" s="273"/>
      <c r="AF172" s="827"/>
    </row>
    <row r="173" spans="1:32">
      <c r="A173" s="169"/>
      <c r="B173" s="717" t="s">
        <v>1061</v>
      </c>
      <c r="C173" s="226"/>
      <c r="D173" s="261"/>
      <c r="E173" s="261"/>
      <c r="F173" s="55"/>
      <c r="G173" s="55"/>
      <c r="H173" s="174"/>
      <c r="I173" s="174" t="str">
        <f t="shared" si="143"/>
        <v>AGRGWH</v>
      </c>
      <c r="J173" s="224">
        <f t="shared" si="146"/>
        <v>2050</v>
      </c>
      <c r="K173" s="81"/>
      <c r="L173" s="199">
        <f t="shared" ca="1" si="236"/>
        <v>0.91</v>
      </c>
      <c r="M173" s="771"/>
      <c r="N173" s="200"/>
      <c r="O173" s="724">
        <f t="shared" ca="1" si="237"/>
        <v>3.2813985758696647</v>
      </c>
      <c r="P173" s="724">
        <f t="shared" ca="1" si="238"/>
        <v>0.22797000000000001</v>
      </c>
      <c r="Q173" s="298">
        <f t="shared" ca="1" si="239"/>
        <v>4.0064444444444449</v>
      </c>
      <c r="R173" s="822"/>
      <c r="S173" s="299"/>
      <c r="T173" s="299"/>
      <c r="U173" s="299"/>
      <c r="V173" s="1130">
        <f t="shared" ref="V173" ca="1" si="249">IF(IF(RIGHT(H171,2)="PH",(1-L173)+$W$2,IF(RIGHT(H171,2)="HT",(1-L173)+$W$1,IF(RIGHT(H171,2)="SH",(1-L173)+$W$3,"")))&gt;0,IF(RIGHT(H171,2)="PH",(1-L173)+$W$2,IF(RIGHT(H171,2)="HT",(1-L173)+$W$1,IF(RIGHT(H171,2)="SH",(1-L173)+$W$3,""))),0)</f>
        <v>0.28999999999999998</v>
      </c>
      <c r="W173" s="297"/>
      <c r="X173" s="697">
        <f t="shared" ca="1" si="219"/>
        <v>8</v>
      </c>
      <c r="Y173" s="298">
        <f t="shared" ca="1" si="241"/>
        <v>35</v>
      </c>
      <c r="Z173" s="298">
        <f t="shared" ca="1" si="242"/>
        <v>1.5</v>
      </c>
      <c r="AA173" s="298">
        <f t="shared" ca="1" si="243"/>
        <v>0.8</v>
      </c>
      <c r="AB173" s="298">
        <f t="shared" ca="1" si="244"/>
        <v>2.1</v>
      </c>
      <c r="AD173" s="81">
        <v>2050</v>
      </c>
      <c r="AE173" s="273"/>
      <c r="AF173" s="827"/>
    </row>
    <row r="174" spans="1:32">
      <c r="A174" s="169"/>
      <c r="B174" s="717" t="s">
        <v>1061</v>
      </c>
      <c r="C174" s="226"/>
      <c r="D174" s="212" t="str">
        <f>"AGR"&amp;RIGHT(H174,2)&amp;RIGHT(G174,3)&amp;"N"&amp;RIGHT(E174,1)</f>
        <v>AGRSHCOAN1</v>
      </c>
      <c r="E174" s="261" t="str">
        <f>"Agriculture heating technology "&amp;$AJ$12&amp;" "&amp;RIGHT(H174,2)&amp;" - Coal boiler (Steam) - new 1"</f>
        <v>Agriculture heating technology Agriculture SH - Coal boiler (Steam) - new 1</v>
      </c>
      <c r="F174" s="55" t="s">
        <v>1107</v>
      </c>
      <c r="G174" s="55" t="s">
        <v>1946</v>
      </c>
      <c r="H174" s="174" t="str">
        <f>$AI$15</f>
        <v>AGDSH</v>
      </c>
      <c r="I174" s="174" t="str">
        <f t="shared" si="143"/>
        <v>AGRGWH</v>
      </c>
      <c r="J174" s="224">
        <f t="shared" si="146"/>
        <v>2011</v>
      </c>
      <c r="K174" s="298">
        <v>2025</v>
      </c>
      <c r="L174" s="199">
        <f t="shared" ca="1" si="236"/>
        <v>0.89</v>
      </c>
      <c r="M174" s="199"/>
      <c r="N174" s="81">
        <f ca="1">VLOOKUP($AD174,INDIRECT("'"&amp;$B174&amp;"'!"&amp;"$P$39:$AD$42"),5,FALSE)</f>
        <v>25</v>
      </c>
      <c r="O174" s="724">
        <f t="shared" ca="1" si="237"/>
        <v>3.7250000000000001</v>
      </c>
      <c r="P174" s="724">
        <f t="shared" ca="1" si="238"/>
        <v>0.25106499999999998</v>
      </c>
      <c r="Q174" s="298">
        <f t="shared" ca="1" si="239"/>
        <v>3.9381527777777778</v>
      </c>
      <c r="R174" s="81">
        <v>3.1536000000000002E-2</v>
      </c>
      <c r="S174" s="199">
        <v>0.5</v>
      </c>
      <c r="T174" s="199">
        <f ca="1">HLOOKUP($T$2,INDIRECT("'"&amp;$B174&amp;"'!"&amp;"$P$6:$AC$19"),IF(H174=$AI$13,6,IF(H174=$AI$14,9,14)),FALSE)</f>
        <v>1</v>
      </c>
      <c r="U174" s="771"/>
      <c r="V174" s="1130">
        <f t="shared" ref="V174" ca="1" si="250">IF(IF(RIGHT(H174,2)="PH",(1-L174)+$W$2,IF(RIGHT(H174,2)="HT",(1-L174)+$W$1,IF(RIGHT(H174,2)="SH",(1-L174)+$W$3,"")))&gt;0,IF(RIGHT(H174,2)="PH",(1-L174)+$W$2,IF(RIGHT(H174,2)="HT",(1-L174)+$W$1,IF(RIGHT(H174,2)="SH",(1-L174)+$W$3,""))),0)</f>
        <v>0.10999999999999999</v>
      </c>
      <c r="W174" s="297"/>
      <c r="X174" s="697">
        <f t="shared" ca="1" si="219"/>
        <v>8</v>
      </c>
      <c r="Y174" s="298">
        <f t="shared" ca="1" si="241"/>
        <v>35</v>
      </c>
      <c r="Z174" s="298">
        <f t="shared" ca="1" si="242"/>
        <v>1.5</v>
      </c>
      <c r="AA174" s="298">
        <f t="shared" ca="1" si="243"/>
        <v>0.8</v>
      </c>
      <c r="AB174" s="298">
        <f t="shared" ca="1" si="244"/>
        <v>2.1</v>
      </c>
      <c r="AD174" s="81">
        <v>2020</v>
      </c>
      <c r="AE174" s="273"/>
      <c r="AF174" s="827"/>
    </row>
    <row r="175" spans="1:32">
      <c r="A175" s="169"/>
      <c r="B175" s="717" t="s">
        <v>1061</v>
      </c>
      <c r="C175" s="226"/>
      <c r="D175" s="261"/>
      <c r="E175" s="261"/>
      <c r="F175" s="55"/>
      <c r="G175" s="55"/>
      <c r="H175" s="174"/>
      <c r="I175" s="174" t="str">
        <f t="shared" si="143"/>
        <v>AGRGWH</v>
      </c>
      <c r="J175" s="224">
        <f t="shared" si="146"/>
        <v>2030</v>
      </c>
      <c r="K175" s="81"/>
      <c r="L175" s="199">
        <f t="shared" ca="1" si="236"/>
        <v>0.89</v>
      </c>
      <c r="M175" s="771"/>
      <c r="N175" s="200"/>
      <c r="O175" s="724">
        <f t="shared" ca="1" si="237"/>
        <v>3.4699403462447704</v>
      </c>
      <c r="P175" s="724">
        <f t="shared" ca="1" si="238"/>
        <v>0.24287</v>
      </c>
      <c r="Q175" s="298">
        <f t="shared" ca="1" si="239"/>
        <v>3.9836805555555559</v>
      </c>
      <c r="R175" s="822"/>
      <c r="S175" s="299"/>
      <c r="T175" s="299"/>
      <c r="U175" s="299"/>
      <c r="V175" s="1130">
        <f t="shared" ref="V175" ca="1" si="251">IF(IF(RIGHT(H174,2)="PH",(1-L175)+$W$2,IF(RIGHT(H174,2)="HT",(1-L175)+$W$1,IF(RIGHT(H174,2)="SH",(1-L175)+$W$3,"")))&gt;0,IF(RIGHT(H174,2)="PH",(1-L175)+$W$2,IF(RIGHT(H174,2)="HT",(1-L175)+$W$1,IF(RIGHT(H174,2)="SH",(1-L175)+$W$3,""))),0)</f>
        <v>0.10999999999999999</v>
      </c>
      <c r="W175" s="297"/>
      <c r="X175" s="697">
        <f t="shared" ca="1" si="219"/>
        <v>8</v>
      </c>
      <c r="Y175" s="298">
        <f t="shared" ca="1" si="241"/>
        <v>35</v>
      </c>
      <c r="Z175" s="298">
        <f t="shared" ca="1" si="242"/>
        <v>1.5</v>
      </c>
      <c r="AA175" s="298">
        <f t="shared" ca="1" si="243"/>
        <v>0.8</v>
      </c>
      <c r="AB175" s="298">
        <f t="shared" ca="1" si="244"/>
        <v>2.1</v>
      </c>
      <c r="AD175" s="81">
        <v>2030</v>
      </c>
      <c r="AE175" s="273"/>
      <c r="AF175" s="827"/>
    </row>
    <row r="176" spans="1:32">
      <c r="A176" s="169"/>
      <c r="B176" s="718" t="s">
        <v>1061</v>
      </c>
      <c r="C176" s="712"/>
      <c r="D176" s="700"/>
      <c r="E176" s="700"/>
      <c r="F176" s="203"/>
      <c r="G176" s="203"/>
      <c r="H176" s="701"/>
      <c r="I176" s="701" t="str">
        <f t="shared" si="143"/>
        <v>AGRGWH</v>
      </c>
      <c r="J176" s="224">
        <f t="shared" si="146"/>
        <v>2050</v>
      </c>
      <c r="K176" s="81"/>
      <c r="L176" s="199">
        <f t="shared" ca="1" si="236"/>
        <v>0.91</v>
      </c>
      <c r="M176" s="825"/>
      <c r="N176" s="824"/>
      <c r="O176" s="724">
        <f t="shared" ca="1" si="237"/>
        <v>3.2813985758696647</v>
      </c>
      <c r="P176" s="724">
        <f t="shared" ca="1" si="238"/>
        <v>0.22797000000000001</v>
      </c>
      <c r="Q176" s="298">
        <f t="shared" ca="1" si="239"/>
        <v>4.0064444444444449</v>
      </c>
      <c r="R176" s="721"/>
      <c r="S176" s="702"/>
      <c r="T176" s="702"/>
      <c r="U176" s="702"/>
      <c r="V176" s="1130">
        <f t="shared" ref="V176" ca="1" si="252">IF(IF(RIGHT(H174,2)="PH",(1-L176)+$W$2,IF(RIGHT(H174,2)="HT",(1-L176)+$W$1,IF(RIGHT(H174,2)="SH",(1-L176)+$W$3,"")))&gt;0,IF(RIGHT(H174,2)="PH",(1-L176)+$W$2,IF(RIGHT(H174,2)="HT",(1-L176)+$W$1,IF(RIGHT(H174,2)="SH",(1-L176)+$W$3,""))),0)</f>
        <v>8.9999999999999969E-2</v>
      </c>
      <c r="W176" s="703"/>
      <c r="X176" s="697">
        <f t="shared" ca="1" si="219"/>
        <v>8</v>
      </c>
      <c r="Y176" s="298">
        <f t="shared" ca="1" si="241"/>
        <v>35</v>
      </c>
      <c r="Z176" s="298">
        <f t="shared" ca="1" si="242"/>
        <v>1.5</v>
      </c>
      <c r="AA176" s="298">
        <f t="shared" ca="1" si="243"/>
        <v>0.8</v>
      </c>
      <c r="AB176" s="298">
        <f t="shared" ca="1" si="244"/>
        <v>2.1</v>
      </c>
      <c r="AC176" s="203"/>
      <c r="AD176" s="81">
        <v>2050</v>
      </c>
      <c r="AE176" s="273"/>
      <c r="AF176" s="828"/>
    </row>
    <row r="177" spans="1:32">
      <c r="A177" s="169"/>
      <c r="B177" s="717" t="s">
        <v>1061</v>
      </c>
      <c r="C177" s="226"/>
      <c r="D177" s="212" t="str">
        <f>"AGR"&amp;RIGHT(H177,2)&amp;RIGHT(G177,3)&amp;"N"&amp;RIGHT(E177,1)</f>
        <v>AGRPHCOAN2</v>
      </c>
      <c r="E177" s="261" t="str">
        <f>"Agriculture heating technology "&amp;$AJ$12&amp;" "&amp;RIGHT(H177,2)&amp;" - Coal boiler (Hot Water) - new 2"</f>
        <v>Agriculture heating technology Agriculture PH - Coal boiler (Hot Water) - new 2</v>
      </c>
      <c r="F177" s="55" t="s">
        <v>1107</v>
      </c>
      <c r="G177" s="55" t="s">
        <v>1946</v>
      </c>
      <c r="H177" s="174" t="str">
        <f>$AI$14</f>
        <v>AGDPH</v>
      </c>
      <c r="I177" s="174" t="str">
        <f t="shared" si="143"/>
        <v>AGRGWH</v>
      </c>
      <c r="J177" s="224">
        <f t="shared" si="146"/>
        <v>2011</v>
      </c>
      <c r="K177" s="298">
        <v>2025</v>
      </c>
      <c r="L177" s="199">
        <f ca="1">VLOOKUP($AD177,INDIRECT("'"&amp;$B177&amp;"'!"&amp;"$P$118:$AD$121"),3,FALSE)</f>
        <v>0.89</v>
      </c>
      <c r="M177" s="199"/>
      <c r="N177" s="81">
        <f ca="1">VLOOKUP($AD177,INDIRECT("'"&amp;$B177&amp;"'!"&amp;"$P$118:$AD$121"),5,FALSE)</f>
        <v>25</v>
      </c>
      <c r="O177" s="722">
        <f t="shared" ref="O177:O182" ca="1" si="253">VLOOKUP($AD177,INDIRECT("'"&amp;$B177&amp;"'!"&amp;"$P$118:$AD$121"),6,FALSE)/1000</f>
        <v>3.7250000000000001</v>
      </c>
      <c r="P177" s="722">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2"/>
      <c r="V177" s="1130">
        <f t="shared" ref="V177" ca="1" si="256">IF(IF(RIGHT(H177,2)="PH",(1-L177)+$W$2,IF(RIGHT(H177,2)="HT",(1-L177)+$W$1,IF(RIGHT(H177,2)="SH",(1-L177)+$W$3,"")))&gt;0,IF(RIGHT(H177,2)="PH",(1-L177)+$W$2,IF(RIGHT(H177,2)="HT",(1-L177)+$W$1,IF(RIGHT(H177,2)="SH",(1-L177)+$W$3,""))),0)</f>
        <v>0.31</v>
      </c>
      <c r="W177" s="708"/>
      <c r="X177" s="697">
        <f t="shared" ca="1" si="219"/>
        <v>8</v>
      </c>
      <c r="Y177" s="697">
        <f ca="1">VLOOKUP($AD177,INDIRECT("'"&amp;$B177&amp;"'!"&amp;"$P$118:$AD$121"),12,FALSE)</f>
        <v>35</v>
      </c>
      <c r="Z177" s="697">
        <f ca="1">VLOOKUP($AD177,INDIRECT("'"&amp;$B177&amp;"'!"&amp;"$P$118:$AD$121"),13,FALSE)</f>
        <v>1.5</v>
      </c>
      <c r="AA177" s="697">
        <f ca="1">VLOOKUP($AD177,INDIRECT("'"&amp;$B177&amp;"'!"&amp;"$P$118:$AD$121"),14,FALSE)</f>
        <v>0.8</v>
      </c>
      <c r="AB177" s="697">
        <f ca="1">VLOOKUP($AD177,INDIRECT("'"&amp;$B177&amp;"'!"&amp;"$P$118:$AD$121"),15,FALSE)</f>
        <v>2.1</v>
      </c>
      <c r="AC177" s="55"/>
      <c r="AD177" s="81">
        <v>2020</v>
      </c>
      <c r="AE177" s="273"/>
      <c r="AF177" s="827"/>
    </row>
    <row r="178" spans="1:32">
      <c r="A178" s="169"/>
      <c r="B178" s="717" t="s">
        <v>1061</v>
      </c>
      <c r="C178" s="226"/>
      <c r="D178" s="261"/>
      <c r="E178" s="261"/>
      <c r="F178" s="55"/>
      <c r="G178" s="55"/>
      <c r="H178" s="174"/>
      <c r="I178" s="174" t="str">
        <f t="shared" si="143"/>
        <v>AGRGWH</v>
      </c>
      <c r="J178" s="224">
        <f t="shared" si="146"/>
        <v>2030</v>
      </c>
      <c r="K178" s="81"/>
      <c r="L178" s="199">
        <f t="shared" ref="L178:L182" ca="1" si="257">VLOOKUP($AD178,INDIRECT("'"&amp;$B178&amp;"'!"&amp;"$P$118:$AD$121"),3,FALSE)</f>
        <v>0.89</v>
      </c>
      <c r="M178" s="771"/>
      <c r="N178" s="200"/>
      <c r="O178" s="722">
        <f t="shared" ca="1" si="253"/>
        <v>3.7250000000000001</v>
      </c>
      <c r="P178" s="722">
        <f t="shared" ca="1" si="254"/>
        <v>0.24287</v>
      </c>
      <c r="Q178" s="81">
        <f t="shared" ca="1" si="255"/>
        <v>3.9836805555555559</v>
      </c>
      <c r="R178" s="822"/>
      <c r="S178" s="299"/>
      <c r="T178" s="299"/>
      <c r="U178" s="299"/>
      <c r="V178" s="1130">
        <f t="shared" ref="V178" ca="1" si="258">IF(IF(RIGHT(H177,2)="PH",(1-L178)+$W$2,IF(RIGHT(H177,2)="HT",(1-L178)+$W$1,IF(RIGHT(H177,2)="SH",(1-L178)+$W$3,"")))&gt;0,IF(RIGHT(H177,2)="PH",(1-L178)+$W$2,IF(RIGHT(H177,2)="HT",(1-L178)+$W$1,IF(RIGHT(H177,2)="SH",(1-L178)+$W$3,""))),0)</f>
        <v>0.31</v>
      </c>
      <c r="W178" s="297"/>
      <c r="X178" s="823"/>
      <c r="Y178" s="823"/>
      <c r="Z178" s="823"/>
      <c r="AA178" s="823"/>
      <c r="AB178" s="823"/>
      <c r="AD178" s="81">
        <v>2030</v>
      </c>
      <c r="AE178" s="273"/>
      <c r="AF178" s="827"/>
    </row>
    <row r="179" spans="1:32">
      <c r="A179" s="169"/>
      <c r="B179" s="717" t="s">
        <v>1061</v>
      </c>
      <c r="C179" s="226"/>
      <c r="D179" s="261"/>
      <c r="E179" s="261"/>
      <c r="F179" s="55"/>
      <c r="G179" s="55"/>
      <c r="H179" s="174"/>
      <c r="I179" s="174" t="str">
        <f t="shared" si="143"/>
        <v>AGRGWH</v>
      </c>
      <c r="J179" s="224">
        <f t="shared" si="146"/>
        <v>2050</v>
      </c>
      <c r="K179" s="81"/>
      <c r="L179" s="199">
        <f t="shared" ca="1" si="257"/>
        <v>0.91</v>
      </c>
      <c r="M179" s="771"/>
      <c r="N179" s="200"/>
      <c r="O179" s="722">
        <f t="shared" ca="1" si="253"/>
        <v>3.7250000000000001</v>
      </c>
      <c r="P179" s="722">
        <f t="shared" ca="1" si="254"/>
        <v>0.22797000000000001</v>
      </c>
      <c r="Q179" s="81">
        <f t="shared" ca="1" si="255"/>
        <v>4.0064444444444449</v>
      </c>
      <c r="R179" s="822"/>
      <c r="S179" s="299"/>
      <c r="T179" s="299"/>
      <c r="U179" s="299"/>
      <c r="V179" s="1130">
        <f t="shared" ref="V179" ca="1" si="259">IF(IF(RIGHT(H177,2)="PH",(1-L179)+$W$2,IF(RIGHT(H177,2)="HT",(1-L179)+$W$1,IF(RIGHT(H177,2)="SH",(1-L179)+$W$3,"")))&gt;0,IF(RIGHT(H177,2)="PH",(1-L179)+$W$2,IF(RIGHT(H177,2)="HT",(1-L179)+$W$1,IF(RIGHT(H177,2)="SH",(1-L179)+$W$3,""))),0)</f>
        <v>0.28999999999999998</v>
      </c>
      <c r="W179" s="297"/>
      <c r="X179" s="823"/>
      <c r="Y179" s="823"/>
      <c r="Z179" s="823"/>
      <c r="AA179" s="823"/>
      <c r="AB179" s="823"/>
      <c r="AD179" s="81">
        <v>2050</v>
      </c>
      <c r="AE179" s="273"/>
      <c r="AF179" s="827"/>
    </row>
    <row r="180" spans="1:32">
      <c r="A180" s="169"/>
      <c r="B180" s="717" t="s">
        <v>1061</v>
      </c>
      <c r="C180" s="226"/>
      <c r="D180" s="212" t="str">
        <f>"AGR"&amp;RIGHT(H180,2)&amp;RIGHT(G180,3)&amp;"N"&amp;RIGHT(E180,1)</f>
        <v>AGRSHCOAN2</v>
      </c>
      <c r="E180" s="261" t="str">
        <f>"Agriculture heating technology "&amp;$AJ$12&amp;" "&amp;RIGHT(H180,2)&amp;" - Coal boiler (Hot Water) - new 2"</f>
        <v>Agriculture heating technology Agriculture SH - Coal boiler (Hot Water) - new 2</v>
      </c>
      <c r="F180" s="55" t="s">
        <v>1107</v>
      </c>
      <c r="G180" s="55" t="s">
        <v>1946</v>
      </c>
      <c r="H180" s="174" t="str">
        <f>$AI$15</f>
        <v>AGDSH</v>
      </c>
      <c r="I180" s="174" t="str">
        <f t="shared" si="143"/>
        <v>AGRGWH</v>
      </c>
      <c r="J180" s="224">
        <f t="shared" si="146"/>
        <v>2011</v>
      </c>
      <c r="K180" s="298">
        <v>2025</v>
      </c>
      <c r="L180" s="199">
        <f t="shared" ca="1" si="257"/>
        <v>0.89</v>
      </c>
      <c r="M180" s="199"/>
      <c r="N180" s="81">
        <f ca="1">VLOOKUP($AD180,INDIRECT("'"&amp;$B180&amp;"'!"&amp;"$P$118:$AD$121"),5,FALSE)</f>
        <v>25</v>
      </c>
      <c r="O180" s="722">
        <f t="shared" ca="1" si="253"/>
        <v>3.7250000000000001</v>
      </c>
      <c r="P180" s="722">
        <f t="shared" ca="1" si="254"/>
        <v>0.25106499999999998</v>
      </c>
      <c r="Q180" s="81">
        <f t="shared" ca="1" si="255"/>
        <v>3.9381527777777778</v>
      </c>
      <c r="R180" s="81">
        <v>3.1536000000000002E-2</v>
      </c>
      <c r="S180" s="199">
        <v>0.5</v>
      </c>
      <c r="T180" s="199">
        <f ca="1">HLOOKUP($T$2,INDIRECT("'"&amp;$B180&amp;"'!"&amp;"$P$85:$AC$98"),IF(H180=$AI$13,6,IF(H180=$AI$14,9,14)),FALSE)</f>
        <v>1</v>
      </c>
      <c r="U180" s="772"/>
      <c r="V180" s="1130">
        <f t="shared" ref="V180" ca="1" si="260">IF(IF(RIGHT(H180,2)="PH",(1-L180)+$W$2,IF(RIGHT(H180,2)="HT",(1-L180)+$W$1,IF(RIGHT(H180,2)="SH",(1-L180)+$W$3,"")))&gt;0,IF(RIGHT(H180,2)="PH",(1-L180)+$W$2,IF(RIGHT(H180,2)="HT",(1-L180)+$W$1,IF(RIGHT(H180,2)="SH",(1-L180)+$W$3,""))),0)</f>
        <v>0.10999999999999999</v>
      </c>
      <c r="W180" s="708"/>
      <c r="X180" s="697">
        <f ca="1">IF(VLOOKUP($AD180,INDIRECT("'"&amp;$B180&amp;"'!"&amp;"$P$39:$AD$42"),11,FALSE)="Cf. the utilized electricity",0,VLOOKUP($AD180,INDIRECT("'"&amp;$B180&amp;"'!"&amp;"$P$39:$AD$42"),11,FALSE))</f>
        <v>8</v>
      </c>
      <c r="Y180" s="697">
        <f ca="1">VLOOKUP($AD180,INDIRECT("'"&amp;$B180&amp;"'!"&amp;"$P$118:$AD$121"),12,FALSE)</f>
        <v>35</v>
      </c>
      <c r="Z180" s="697">
        <f ca="1">VLOOKUP($AD180,INDIRECT("'"&amp;$B180&amp;"'!"&amp;"$P$118:$AD$121"),13,FALSE)</f>
        <v>1.5</v>
      </c>
      <c r="AA180" s="697">
        <f ca="1">VLOOKUP($AD180,INDIRECT("'"&amp;$B180&amp;"'!"&amp;"$P$118:$AD$121"),14,FALSE)</f>
        <v>0.8</v>
      </c>
      <c r="AB180" s="697">
        <f ca="1">VLOOKUP($AD180,INDIRECT("'"&amp;$B180&amp;"'!"&amp;"$P$118:$AD$121"),15,FALSE)</f>
        <v>2.1</v>
      </c>
      <c r="AC180" s="55"/>
      <c r="AD180" s="81">
        <v>2020</v>
      </c>
      <c r="AE180" s="273"/>
      <c r="AF180" s="827"/>
    </row>
    <row r="181" spans="1:32">
      <c r="A181" s="169"/>
      <c r="B181" s="717" t="s">
        <v>1061</v>
      </c>
      <c r="C181" s="226"/>
      <c r="D181" s="261"/>
      <c r="E181" s="261"/>
      <c r="F181" s="55"/>
      <c r="G181" s="55"/>
      <c r="H181" s="174"/>
      <c r="I181" s="174" t="str">
        <f t="shared" si="143"/>
        <v>AGRGWH</v>
      </c>
      <c r="J181" s="224">
        <f t="shared" si="146"/>
        <v>2030</v>
      </c>
      <c r="K181" s="200"/>
      <c r="L181" s="199">
        <f t="shared" ca="1" si="257"/>
        <v>0.89</v>
      </c>
      <c r="M181" s="771"/>
      <c r="N181" s="200"/>
      <c r="O181" s="722">
        <f t="shared" ca="1" si="253"/>
        <v>3.7250000000000001</v>
      </c>
      <c r="P181" s="722">
        <f t="shared" ca="1" si="254"/>
        <v>0.24287</v>
      </c>
      <c r="Q181" s="81">
        <f t="shared" ca="1" si="255"/>
        <v>3.9836805555555559</v>
      </c>
      <c r="R181" s="822"/>
      <c r="S181" s="299"/>
      <c r="T181" s="299"/>
      <c r="U181" s="299"/>
      <c r="V181" s="1130">
        <f t="shared" ref="V181" ca="1" si="261">IF(IF(RIGHT(H180,2)="PH",(1-L181)+$W$2,IF(RIGHT(H180,2)="HT",(1-L181)+$W$1,IF(RIGHT(H180,2)="SH",(1-L181)+$W$3,"")))&gt;0,IF(RIGHT(H180,2)="PH",(1-L181)+$W$2,IF(RIGHT(H180,2)="HT",(1-L181)+$W$1,IF(RIGHT(H180,2)="SH",(1-L181)+$W$3,""))),0)</f>
        <v>0.10999999999999999</v>
      </c>
      <c r="W181" s="297"/>
      <c r="X181" s="823"/>
      <c r="Y181" s="823"/>
      <c r="Z181" s="823"/>
      <c r="AA181" s="823"/>
      <c r="AB181" s="823"/>
      <c r="AD181" s="81">
        <v>2030</v>
      </c>
      <c r="AE181" s="273"/>
      <c r="AF181" s="827"/>
    </row>
    <row r="182" spans="1:32">
      <c r="A182" s="830"/>
      <c r="B182" s="718" t="s">
        <v>1061</v>
      </c>
      <c r="C182" s="712"/>
      <c r="D182" s="700"/>
      <c r="E182" s="700"/>
      <c r="F182" s="203"/>
      <c r="G182" s="203"/>
      <c r="H182" s="701"/>
      <c r="I182" s="266" t="str">
        <f t="shared" si="143"/>
        <v>AGRGWH</v>
      </c>
      <c r="J182" s="224">
        <f t="shared" si="146"/>
        <v>2050</v>
      </c>
      <c r="K182" s="824"/>
      <c r="L182" s="199">
        <f t="shared" ca="1" si="257"/>
        <v>0.91</v>
      </c>
      <c r="M182" s="825"/>
      <c r="N182" s="824"/>
      <c r="O182" s="722">
        <f t="shared" ca="1" si="253"/>
        <v>3.7250000000000001</v>
      </c>
      <c r="P182" s="722">
        <f t="shared" ca="1" si="254"/>
        <v>0.22797000000000001</v>
      </c>
      <c r="Q182" s="81">
        <f t="shared" ca="1" si="255"/>
        <v>4.0064444444444449</v>
      </c>
      <c r="R182" s="721"/>
      <c r="S182" s="702"/>
      <c r="T182" s="702"/>
      <c r="U182" s="702"/>
      <c r="V182" s="1130">
        <f t="shared" ref="V182" ca="1" si="262">IF(IF(RIGHT(H180,2)="PH",(1-L182)+$W$2,IF(RIGHT(H180,2)="HT",(1-L182)+$W$1,IF(RIGHT(H180,2)="SH",(1-L182)+$W$3,"")))&gt;0,IF(RIGHT(H180,2)="PH",(1-L182)+$W$2,IF(RIGHT(H180,2)="HT",(1-L182)+$W$1,IF(RIGHT(H180,2)="SH",(1-L182)+$W$3,""))),0)</f>
        <v>8.9999999999999969E-2</v>
      </c>
      <c r="W182" s="703"/>
      <c r="X182" s="826"/>
      <c r="Y182" s="826"/>
      <c r="Z182" s="826"/>
      <c r="AA182" s="826"/>
      <c r="AB182" s="826"/>
      <c r="AC182" s="203"/>
      <c r="AD182" s="81">
        <v>2050</v>
      </c>
      <c r="AE182" s="273"/>
      <c r="AF182" s="828"/>
    </row>
    <row r="183" spans="1:32">
      <c r="A183" s="830"/>
      <c r="B183" s="226" t="s">
        <v>557</v>
      </c>
      <c r="C183" s="900"/>
      <c r="D183" s="212" t="str">
        <f>"AGR"&amp;RIGHT(H183,2)&amp;RIGHT(G183,3)&amp;"N"&amp;RIGHT(E183,1)</f>
        <v>AGRSHSOLN1</v>
      </c>
      <c r="E183" s="261" t="str">
        <f>"Agriculture heating technology "&amp;$AJ$12&amp;" "&amp;RIGHT(H183,2)&amp;" - Solar - new 1"</f>
        <v>Agriculture heating technology Agriculture SH - Solar - new 1</v>
      </c>
      <c r="F183" s="55" t="s">
        <v>1107</v>
      </c>
      <c r="G183" s="55" t="s">
        <v>1947</v>
      </c>
      <c r="H183" s="174" t="str">
        <f>$AI$15</f>
        <v>AGDSH</v>
      </c>
      <c r="I183" s="174"/>
      <c r="J183" s="224">
        <f t="shared" si="146"/>
        <v>2011</v>
      </c>
      <c r="K183" s="298">
        <v>2025</v>
      </c>
      <c r="L183" s="199">
        <f ca="1">VLOOKUP($AD183,INDIRECT("'"&amp;$B183&amp;"'!"&amp;"$J$40:$X$43"),3,FALSE)</f>
        <v>1</v>
      </c>
      <c r="M183" s="771"/>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299"/>
      <c r="V183" s="199"/>
      <c r="W183" s="297"/>
      <c r="X183" s="697">
        <v>0</v>
      </c>
      <c r="Y183" s="81">
        <v>0</v>
      </c>
      <c r="Z183" s="81">
        <v>0</v>
      </c>
      <c r="AA183" s="81">
        <v>0</v>
      </c>
      <c r="AB183" s="81">
        <v>0</v>
      </c>
      <c r="AC183" s="55"/>
      <c r="AD183" s="81">
        <v>2020</v>
      </c>
      <c r="AE183" s="200"/>
      <c r="AF183" s="699"/>
    </row>
    <row r="184" spans="1:32">
      <c r="A184" s="830"/>
      <c r="B184" s="226" t="s">
        <v>557</v>
      </c>
      <c r="C184" s="901"/>
      <c r="D184" s="261"/>
      <c r="E184" s="261"/>
      <c r="F184" s="55"/>
      <c r="G184" s="55"/>
      <c r="H184" s="174"/>
      <c r="I184" s="174"/>
      <c r="J184" s="224">
        <f t="shared" si="146"/>
        <v>2030</v>
      </c>
      <c r="K184" s="200"/>
      <c r="L184" s="199">
        <f ca="1">VLOOKUP($AD184,INDIRECT("'"&amp;$B184&amp;"'!"&amp;"$J$40:$X$43"),3,FALSE)</f>
        <v>1</v>
      </c>
      <c r="M184" s="771"/>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2"/>
      <c r="S184" s="299"/>
      <c r="T184" s="299"/>
      <c r="U184" s="299"/>
      <c r="V184" s="771"/>
      <c r="W184" s="297"/>
      <c r="X184" s="823"/>
      <c r="Y184" s="823"/>
      <c r="Z184" s="823"/>
      <c r="AA184" s="823"/>
      <c r="AB184" s="823"/>
      <c r="AC184" s="55"/>
      <c r="AD184" s="81">
        <v>2030</v>
      </c>
      <c r="AE184" s="200"/>
      <c r="AF184" s="699"/>
    </row>
    <row r="185" spans="1:32" s="203" customFormat="1">
      <c r="A185" s="899"/>
      <c r="B185" s="712" t="s">
        <v>557</v>
      </c>
      <c r="C185" s="902"/>
      <c r="D185" s="700"/>
      <c r="E185" s="700"/>
      <c r="H185" s="701"/>
      <c r="I185" s="701"/>
      <c r="J185" s="224">
        <f t="shared" si="146"/>
        <v>2050</v>
      </c>
      <c r="K185" s="824"/>
      <c r="L185" s="199">
        <f ca="1">VLOOKUP($AD185,INDIRECT("'"&amp;$B185&amp;"'!"&amp;"$J$40:$X$43"),3,FALSE)</f>
        <v>1</v>
      </c>
      <c r="M185" s="825"/>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1"/>
      <c r="S185" s="702"/>
      <c r="T185" s="702"/>
      <c r="U185" s="702"/>
      <c r="V185" s="825"/>
      <c r="W185" s="703"/>
      <c r="X185" s="826"/>
      <c r="Y185" s="826"/>
      <c r="Z185" s="826"/>
      <c r="AA185" s="826"/>
      <c r="AB185" s="826"/>
      <c r="AD185" s="81">
        <v>2050</v>
      </c>
      <c r="AE185" s="824"/>
      <c r="AF185" s="704"/>
    </row>
    <row r="186" spans="1:32">
      <c r="A186" s="169"/>
      <c r="D186" s="36" t="s">
        <v>499</v>
      </c>
      <c r="E186" s="36"/>
      <c r="F186" s="224" t="s">
        <v>1107</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"AGR"&amp;RIGHT(H187,2)&amp;RIGHT(G187,3)&amp;"N"&amp;RIGHT(E187,1)</f>
        <v>AGRSHHCEN1</v>
      </c>
      <c r="E187" s="224" t="str">
        <f>"Agriculture heating technology "&amp;$AJ$12&amp;" "&amp;RIGHT(H187,2)&amp;" - central district heating - within DH area - new 1"</f>
        <v>Agriculture heating technology Agriculture SH - central district heating - within DH area - new 1</v>
      </c>
      <c r="F187" s="224" t="s">
        <v>1107</v>
      </c>
      <c r="G187" s="225" t="s">
        <v>1948</v>
      </c>
      <c r="H187" s="225" t="str">
        <f>AI15</f>
        <v>AGDSH</v>
      </c>
      <c r="I187" s="225"/>
      <c r="J187" s="81">
        <v>2011</v>
      </c>
      <c r="K187" s="81">
        <v>2011</v>
      </c>
      <c r="L187" s="81">
        <v>0.96</v>
      </c>
      <c r="M187" s="81"/>
      <c r="N187" s="81">
        <v>30</v>
      </c>
      <c r="O187" s="253">
        <v>1.17</v>
      </c>
      <c r="P187" s="254">
        <f>'DH network'!$M$9</f>
        <v>5.8735799999999998E-2</v>
      </c>
      <c r="Q187" s="254">
        <f ca="1">Q31*0.95</f>
        <v>1.9463124999999999</v>
      </c>
      <c r="R187" s="201">
        <v>3.1536000000000002E-2</v>
      </c>
      <c r="S187" s="1360">
        <v>0</v>
      </c>
      <c r="T187" s="1361">
        <v>0</v>
      </c>
      <c r="U187" s="228"/>
      <c r="V187" s="228"/>
      <c r="W187" s="287"/>
      <c r="X187" s="278"/>
      <c r="Y187" s="61"/>
      <c r="Z187" s="61"/>
      <c r="AA187" s="61"/>
      <c r="AB187" s="61"/>
    </row>
    <row r="188" spans="1:32">
      <c r="A188" s="169"/>
      <c r="D188" s="212" t="str">
        <f t="shared" ref="D188:D194" si="263">"AGR"&amp;RIGHT(H188,2)&amp;RIGHT(G188,3)&amp;"N"&amp;RIGHT(E188,1)</f>
        <v>AGRPHHCEN1</v>
      </c>
      <c r="E188" s="224" t="str">
        <f>"Agriculture heating technology "&amp;$AJ$12&amp;" "&amp;RIGHT(H188,2)&amp;" - central district heating - within DH area - new 1"</f>
        <v>Agriculture heating technology Agriculture PH - central district heating - within DH area - new 1</v>
      </c>
      <c r="F188" s="224" t="s">
        <v>1107</v>
      </c>
      <c r="G188" s="225" t="s">
        <v>1948</v>
      </c>
      <c r="H188" s="281" t="str">
        <f>AI14</f>
        <v>AGDPH</v>
      </c>
      <c r="I188" s="281"/>
      <c r="J188" s="81">
        <v>2011</v>
      </c>
      <c r="K188" s="81">
        <v>2011</v>
      </c>
      <c r="L188" s="81">
        <v>0.96</v>
      </c>
      <c r="M188" s="81"/>
      <c r="N188" s="81">
        <v>30</v>
      </c>
      <c r="O188" s="253">
        <v>1.17</v>
      </c>
      <c r="P188" s="254">
        <f>'DH network'!$M$9</f>
        <v>5.8735799999999998E-2</v>
      </c>
      <c r="Q188" s="254">
        <f ca="1">Q33*0.95</f>
        <v>6.4090694444444436</v>
      </c>
      <c r="R188" s="201">
        <v>3.1536000000000002E-2</v>
      </c>
      <c r="S188" s="1360">
        <v>0</v>
      </c>
      <c r="T188" s="1361">
        <v>0</v>
      </c>
      <c r="U188" s="228"/>
      <c r="V188" s="228"/>
      <c r="W188" s="287"/>
      <c r="X188" s="278"/>
      <c r="Y188" s="61"/>
      <c r="Z188" s="61"/>
      <c r="AA188" s="61"/>
      <c r="AB188" s="61"/>
      <c r="AC188" s="226"/>
      <c r="AD188" s="226"/>
      <c r="AE188" s="226"/>
      <c r="AF188" s="226"/>
    </row>
    <row r="189" spans="1:32">
      <c r="A189" s="169"/>
      <c r="D189" s="212" t="str">
        <f t="shared" si="263"/>
        <v>AGRSHHSEN1</v>
      </c>
      <c r="E189" s="224" t="str">
        <f>"Agriculture heating technology "&amp;$AJ$12&amp;" "&amp;RIGHT(H189,2)&amp;" - central district heating - within DH area - new 1"</f>
        <v>Agriculture heating technology Agriculture SH - central district heating - within DH area - new 1</v>
      </c>
      <c r="F189" s="224" t="s">
        <v>1107</v>
      </c>
      <c r="G189" s="225" t="s">
        <v>1963</v>
      </c>
      <c r="H189" s="225" t="str">
        <f>H187</f>
        <v>AGDSH</v>
      </c>
      <c r="I189" s="225"/>
      <c r="J189" s="81">
        <v>2011</v>
      </c>
      <c r="K189" s="81">
        <v>2011</v>
      </c>
      <c r="L189" s="81">
        <v>0.96</v>
      </c>
      <c r="M189" s="81"/>
      <c r="N189" s="81">
        <v>30</v>
      </c>
      <c r="O189" s="253">
        <v>1.17</v>
      </c>
      <c r="P189" s="254">
        <f>'DH network'!$M$9</f>
        <v>5.8735799999999998E-2</v>
      </c>
      <c r="Q189" s="254">
        <f ca="1">Q187</f>
        <v>1.9463124999999999</v>
      </c>
      <c r="R189" s="201">
        <v>3.1536000000000002E-2</v>
      </c>
      <c r="S189" s="1360">
        <v>0</v>
      </c>
      <c r="T189" s="1361">
        <v>0</v>
      </c>
      <c r="U189" s="228"/>
      <c r="V189" s="228"/>
      <c r="W189" s="287"/>
      <c r="X189" s="278"/>
      <c r="Y189" s="61"/>
      <c r="Z189" s="61"/>
      <c r="AA189" s="61"/>
      <c r="AB189" s="61"/>
    </row>
    <row r="190" spans="1:32">
      <c r="A190" s="169"/>
      <c r="D190" s="212" t="str">
        <f t="shared" si="263"/>
        <v>AGRPHHSEN1</v>
      </c>
      <c r="E190" s="224" t="str">
        <f>"Agriculture heating technology "&amp;$AJ$12&amp;" "&amp;RIGHT(H190,2)&amp;" - central district heating - within DH area - new 1"</f>
        <v>Agriculture heating technology Agriculture PH - central district heating - within DH area - new 1</v>
      </c>
      <c r="F190" s="224" t="s">
        <v>1107</v>
      </c>
      <c r="G190" s="225" t="s">
        <v>1963</v>
      </c>
      <c r="H190" s="225" t="str">
        <f>H188</f>
        <v>AGDPH</v>
      </c>
      <c r="I190" s="281"/>
      <c r="J190" s="81">
        <v>2011</v>
      </c>
      <c r="K190" s="81">
        <v>2011</v>
      </c>
      <c r="L190" s="81">
        <v>0.96</v>
      </c>
      <c r="M190" s="81"/>
      <c r="N190" s="81">
        <v>30</v>
      </c>
      <c r="O190" s="253">
        <v>1.17</v>
      </c>
      <c r="P190" s="254">
        <f>'DH network'!$M$9</f>
        <v>5.8735799999999998E-2</v>
      </c>
      <c r="Q190" s="254">
        <f ca="1">Q188</f>
        <v>6.4090694444444436</v>
      </c>
      <c r="R190" s="201">
        <v>3.1536000000000002E-2</v>
      </c>
      <c r="S190" s="1360">
        <v>0</v>
      </c>
      <c r="T190" s="1361">
        <v>0</v>
      </c>
      <c r="U190" s="228"/>
      <c r="V190" s="228"/>
      <c r="W190" s="287"/>
      <c r="X190" s="278"/>
      <c r="Y190" s="61"/>
      <c r="Z190" s="61"/>
      <c r="AA190" s="61"/>
      <c r="AB190" s="61"/>
      <c r="AC190" s="226"/>
      <c r="AD190" s="226"/>
      <c r="AE190" s="226"/>
      <c r="AF190" s="226"/>
    </row>
    <row r="191" spans="1:32">
      <c r="A191" s="169"/>
      <c r="D191" s="212" t="str">
        <f t="shared" si="263"/>
        <v>AGRSHHDEN1</v>
      </c>
      <c r="E191" s="224" t="str">
        <f>"Agriculture heating technology "&amp;$AJ$12&amp;" "&amp;RIGHT(H191,2)&amp;" - decentral district heating - within DH area - new 1"</f>
        <v>Agriculture heating technology Agriculture SH - decentral district heating - within DH area - new 1</v>
      </c>
      <c r="F191" s="224" t="s">
        <v>1107</v>
      </c>
      <c r="G191" s="259" t="s">
        <v>1949</v>
      </c>
      <c r="H191" s="265" t="str">
        <f>AI15</f>
        <v>AGDSH</v>
      </c>
      <c r="I191" s="265"/>
      <c r="J191" s="81">
        <v>2011</v>
      </c>
      <c r="K191" s="81">
        <v>2011</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AGRPHHDEN1</v>
      </c>
      <c r="E192" s="224" t="str">
        <f>"Agriculture heating technology "&amp;$AJ$12&amp;" "&amp;RIGHT(H192,2)&amp;" - decentral district heating - within DH area - new 1"</f>
        <v>Agriculture heating technology Agriculture PH - decentral district heating - within DH area - new 1</v>
      </c>
      <c r="F192" s="224" t="s">
        <v>1107</v>
      </c>
      <c r="G192" s="259" t="s">
        <v>1949</v>
      </c>
      <c r="H192" s="225" t="str">
        <f>AI14</f>
        <v>AGDPH</v>
      </c>
      <c r="I192" s="225"/>
      <c r="J192" s="81">
        <v>2011</v>
      </c>
      <c r="K192" s="81">
        <v>2011</v>
      </c>
      <c r="L192" s="81">
        <f>L188</f>
        <v>0.96</v>
      </c>
      <c r="M192" s="81"/>
      <c r="N192" s="81">
        <v>30</v>
      </c>
      <c r="O192" s="253">
        <v>1.25</v>
      </c>
      <c r="P192" s="254">
        <f>'DH network'!$M$9</f>
        <v>5.8735799999999998E-2</v>
      </c>
      <c r="Q192" s="254">
        <f ca="1">Q188</f>
        <v>6.4090694444444436</v>
      </c>
      <c r="R192" s="201">
        <v>3.1536000000000002E-2</v>
      </c>
      <c r="S192" s="275">
        <v>0.5</v>
      </c>
      <c r="T192" s="228">
        <v>0</v>
      </c>
      <c r="U192" s="228"/>
      <c r="V192" s="228"/>
      <c r="W192" s="287"/>
      <c r="X192" s="278"/>
      <c r="Y192" s="61"/>
      <c r="Z192" s="61"/>
      <c r="AA192" s="61"/>
      <c r="AB192" s="61"/>
      <c r="AC192" s="226"/>
      <c r="AD192" s="226"/>
      <c r="AE192" s="226"/>
      <c r="AF192" s="226"/>
    </row>
    <row r="193" spans="1:32">
      <c r="A193" s="169"/>
      <c r="B193" s="226"/>
      <c r="C193" s="226"/>
      <c r="D193" s="258" t="s">
        <v>497</v>
      </c>
      <c r="E193" s="258"/>
      <c r="F193" s="224" t="s">
        <v>1107</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 t="shared" si="263"/>
        <v>AGRLAELCN1</v>
      </c>
      <c r="E194" s="224" t="str">
        <f>"Agriculture "&amp;$AJ$12&amp;" "&amp;RIGHT(H194,2)&amp;" Electricity Motors - New 1"</f>
        <v>Agriculture Agriculture LA Electricity Motors - New 1</v>
      </c>
      <c r="F194" s="224" t="s">
        <v>1107</v>
      </c>
      <c r="G194" s="225" t="s">
        <v>1941</v>
      </c>
      <c r="H194" s="225" t="str">
        <f>AI16</f>
        <v>AGDLA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1107</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1107</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1107</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 t="shared" ref="D198" si="264">"AGR"&amp;RIGHT(H198,2)&amp;RIGHT(G198,3)&amp;"N"&amp;RIGHT(E198,1)</f>
        <v>AGREMELCN1</v>
      </c>
      <c r="E198" s="224" t="str">
        <f>"Agriculture "&amp;$AJ$12&amp;" "&amp;RIGHT(H198,2)&amp;" Electricity Motors - New 1"</f>
        <v>Agriculture Agriculture EM Electricity Motors - New 1</v>
      </c>
      <c r="F198" s="224" t="s">
        <v>1107</v>
      </c>
      <c r="G198" s="225" t="s">
        <v>1941</v>
      </c>
      <c r="H198" s="225" t="str">
        <f>AI17</f>
        <v>AGDEM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1107</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1107</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1107</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1917</v>
      </c>
      <c r="B202" s="224" t="s">
        <v>1862</v>
      </c>
      <c r="D202" s="212" t="str">
        <f t="shared" ref="D202" si="265">"AGR"&amp;RIGHT(H202,2)&amp;RIGHT(G202,3)&amp;"N"&amp;RIGHT(E202,1)</f>
        <v>AGRTFGSBN1</v>
      </c>
      <c r="E202" s="224" t="str">
        <f>"Agriculture "&amp;$AJ$12&amp;" "&amp;RIGHT(H202,2)&amp;" Tractors, Trucks, Fishing boats - New 1"</f>
        <v>Agriculture Agriculture TF Tractors, Trucks, Fishing boats - New 1</v>
      </c>
      <c r="F202" s="224" t="s">
        <v>1107</v>
      </c>
      <c r="G202" s="173" t="s">
        <v>1944</v>
      </c>
      <c r="H202" s="174" t="str">
        <f>$AI$18</f>
        <v>AGDTF</v>
      </c>
      <c r="I202" s="174"/>
      <c r="J202" s="81">
        <v>2011</v>
      </c>
      <c r="K202" s="81">
        <v>2011</v>
      </c>
      <c r="L202" s="1128">
        <f>L203</f>
        <v>1</v>
      </c>
      <c r="M202" s="256"/>
      <c r="N202" s="256">
        <v>20</v>
      </c>
      <c r="O202" s="1128">
        <f>O203</f>
        <v>279.78945097871406</v>
      </c>
      <c r="P202" s="254"/>
      <c r="Q202" s="254"/>
      <c r="R202" s="1127">
        <v>1</v>
      </c>
      <c r="S202" s="1128">
        <v>1</v>
      </c>
      <c r="T202" s="228"/>
      <c r="U202" s="228"/>
      <c r="V202" s="228"/>
      <c r="W202" s="287"/>
      <c r="X202" s="55"/>
      <c r="Y202" s="55"/>
      <c r="Z202" s="55"/>
      <c r="AA202" s="55"/>
      <c r="AB202" s="55"/>
    </row>
    <row r="203" spans="1:32">
      <c r="A203" s="169" t="s">
        <v>1917</v>
      </c>
      <c r="B203" s="224" t="s">
        <v>1862</v>
      </c>
      <c r="D203" s="55"/>
      <c r="E203" s="55"/>
      <c r="F203" s="224" t="s">
        <v>1107</v>
      </c>
      <c r="G203" s="55"/>
      <c r="H203" s="174"/>
      <c r="I203" s="174"/>
      <c r="J203" s="256">
        <v>2017</v>
      </c>
      <c r="K203" s="256"/>
      <c r="L203" s="1128">
        <f>1/SUMIFS(Transport!$AS$13:$AS$264,Transport!$D$13:$D$264,$B203,Transport!$E$13:$E$264,$A203,Transport!$A$13:$A$264,$J203)</f>
        <v>1</v>
      </c>
      <c r="M203" s="256"/>
      <c r="N203" s="256"/>
      <c r="O203" s="1128">
        <f>SUMIFS(Transport!$AT$13:$AT$264,Transport!$D$13:$D$264,$B203,Transport!$E$13:$E$264,$A203,Transport!$A$13:$A$264,$J203)/1000*6.5</f>
        <v>279.78945097871406</v>
      </c>
      <c r="P203" s="254"/>
      <c r="Q203" s="254"/>
      <c r="R203" s="1127"/>
      <c r="S203" s="275"/>
      <c r="T203" s="228"/>
      <c r="U203" s="228"/>
      <c r="V203" s="228"/>
      <c r="W203" s="228"/>
      <c r="X203" s="55"/>
      <c r="Y203" s="55"/>
      <c r="Z203" s="55"/>
      <c r="AA203" s="55"/>
      <c r="AB203" s="55"/>
    </row>
    <row r="204" spans="1:32">
      <c r="A204" s="169" t="s">
        <v>1917</v>
      </c>
      <c r="B204" s="224" t="s">
        <v>1862</v>
      </c>
      <c r="D204" s="55"/>
      <c r="E204" s="55"/>
      <c r="F204" s="224" t="s">
        <v>1107</v>
      </c>
      <c r="G204" s="55"/>
      <c r="J204" s="256">
        <v>2030</v>
      </c>
      <c r="K204" s="256"/>
      <c r="L204" s="1128">
        <f>1/SUMIFS(Transport!$AS$13:$AS$264,Transport!$D$13:$D$264,$B204,Transport!$E$13:$E$264,$A204,Transport!$A$13:$A$264,$J204)</f>
        <v>1.4046484835552921</v>
      </c>
      <c r="M204" s="256"/>
      <c r="N204" s="256"/>
      <c r="O204" s="1128">
        <f>SUMIFS(Transport!$AT$13:$AT$264,Transport!$D$13:$D$264,$B204,Transport!$E$13:$E$264,$A204,Transport!$A$13:$A$264,$J204)/1000*6.5</f>
        <v>300.47088698015551</v>
      </c>
      <c r="P204" s="254"/>
      <c r="Q204" s="254"/>
      <c r="R204" s="1127"/>
      <c r="S204" s="275"/>
      <c r="T204" s="228"/>
      <c r="U204" s="228"/>
      <c r="V204" s="228"/>
      <c r="W204" s="228"/>
      <c r="X204" s="55"/>
      <c r="Y204" s="55"/>
      <c r="Z204" s="55"/>
      <c r="AA204" s="55"/>
      <c r="AB204" s="55"/>
    </row>
    <row r="205" spans="1:32">
      <c r="A205" s="169" t="s">
        <v>1917</v>
      </c>
      <c r="B205" s="224" t="s">
        <v>1862</v>
      </c>
      <c r="D205" s="55"/>
      <c r="E205" s="55"/>
      <c r="F205" s="224" t="s">
        <v>1107</v>
      </c>
      <c r="G205" s="55"/>
      <c r="J205" s="256">
        <v>2050</v>
      </c>
      <c r="K205" s="256"/>
      <c r="L205" s="1128">
        <f>1/SUMIFS(Transport!$AS$13:$AS$264,Transport!$D$13:$D$264,$B205,Transport!$E$13:$E$264,$A205,Transport!$A$13:$A$264,$J205)</f>
        <v>1.6086150385343718</v>
      </c>
      <c r="M205" s="256"/>
      <c r="N205" s="256"/>
      <c r="O205" s="1128">
        <f>SUMIFS(Transport!$AT$13:$AT$264,Transport!$D$13:$D$264,$B205,Transport!$E$13:$E$264,$A205,Transport!$A$13:$A$264,$J205)/1000*6.5</f>
        <v>318.69268910124492</v>
      </c>
      <c r="P205" s="254"/>
      <c r="Q205" s="254"/>
      <c r="R205" s="1127"/>
      <c r="S205" s="275"/>
      <c r="T205" s="228"/>
      <c r="U205" s="228"/>
      <c r="V205" s="228"/>
      <c r="W205" s="228"/>
      <c r="X205" s="55"/>
      <c r="Y205" s="55"/>
      <c r="Z205" s="55"/>
      <c r="AA205" s="55"/>
      <c r="AB205" s="55"/>
    </row>
    <row r="206" spans="1:32">
      <c r="A206" s="169" t="s">
        <v>1922</v>
      </c>
      <c r="B206" s="224" t="s">
        <v>1862</v>
      </c>
      <c r="D206" s="212" t="str">
        <f t="shared" ref="D206" si="266">"AGR"&amp;RIGHT(H206,2)&amp;RIGHT(G206,3)&amp;"N"&amp;RIGHT(E206,1)</f>
        <v>AGRTFRH2N2</v>
      </c>
      <c r="E206" s="224" t="str">
        <f>"Agriculture "&amp;$AJ$12&amp;" "&amp;RIGHT(H206,2)&amp;" Tractors, Trucks, Fishing boats - New 2"</f>
        <v>Agriculture Agriculture TF Tractors, Trucks, Fishing boats - New 2</v>
      </c>
      <c r="F206" s="224" t="s">
        <v>1107</v>
      </c>
      <c r="G206" s="55" t="s">
        <v>1950</v>
      </c>
      <c r="H206" s="174" t="str">
        <f>$AI$18</f>
        <v>AGDTF</v>
      </c>
      <c r="I206" s="174"/>
      <c r="J206" s="81">
        <v>2017</v>
      </c>
      <c r="K206" s="81">
        <v>2030</v>
      </c>
      <c r="L206" s="1128">
        <f>1/SUMIFS(Transport!$AS$13:$AS$264,Transport!$D$13:$D$264,$B206,Transport!$E$13:$E$264,$A206,Transport!$A$13:$A$264,$J206)</f>
        <v>1.1557252432810943</v>
      </c>
      <c r="M206" s="256"/>
      <c r="N206" s="256">
        <v>20</v>
      </c>
      <c r="O206" s="1128">
        <f>SUMIFS(Transport!$AT$13:$AT$264,Transport!$D$13:$D$264,$B206,Transport!$E$13:$E$264,$A206,Transport!$A$13:$A$264,$J206)/1000*6.5</f>
        <v>818.20978043562081</v>
      </c>
      <c r="P206" s="254"/>
      <c r="Q206" s="254"/>
      <c r="R206" s="1127">
        <v>1</v>
      </c>
      <c r="S206" s="1128">
        <v>1</v>
      </c>
      <c r="T206" s="228"/>
      <c r="U206" s="228"/>
      <c r="V206" s="228"/>
      <c r="W206" s="287"/>
      <c r="X206" s="55"/>
      <c r="Y206" s="55"/>
      <c r="Z206" s="55"/>
      <c r="AA206" s="55"/>
      <c r="AB206" s="55"/>
    </row>
    <row r="207" spans="1:32">
      <c r="A207" s="169" t="s">
        <v>1922</v>
      </c>
      <c r="B207" s="224" t="s">
        <v>1862</v>
      </c>
      <c r="D207" s="55"/>
      <c r="E207" s="55"/>
      <c r="F207" s="224" t="s">
        <v>1107</v>
      </c>
      <c r="G207" s="55"/>
      <c r="H207" s="174"/>
      <c r="I207" s="174"/>
      <c r="J207" s="256">
        <v>2017</v>
      </c>
      <c r="K207" s="256"/>
      <c r="L207" s="1128">
        <f>1/SUMIFS(Transport!$AS$13:$AS$264,Transport!$D$13:$D$264,$B207,Transport!$E$13:$E$264,$A207,Transport!$A$13:$A$264,$J207)</f>
        <v>1.1557252432810943</v>
      </c>
      <c r="M207" s="256"/>
      <c r="N207" s="256"/>
      <c r="O207" s="1128">
        <f>SUMIFS(Transport!$AT$13:$AT$264,Transport!$D$13:$D$264,$B207,Transport!$E$13:$E$264,$A207,Transport!$A$13:$A$264,$J207)/1000*6.5</f>
        <v>818.20978043562081</v>
      </c>
      <c r="P207" s="254"/>
      <c r="Q207" s="254"/>
      <c r="R207" s="1127"/>
      <c r="S207" s="275"/>
      <c r="T207" s="228"/>
      <c r="U207" s="228"/>
      <c r="V207" s="228"/>
      <c r="W207" s="228"/>
      <c r="X207" s="55"/>
      <c r="Y207" s="55"/>
      <c r="Z207" s="55"/>
      <c r="AA207" s="55"/>
      <c r="AB207" s="55"/>
    </row>
    <row r="208" spans="1:32">
      <c r="A208" s="169" t="s">
        <v>1922</v>
      </c>
      <c r="B208" s="224" t="s">
        <v>1862</v>
      </c>
      <c r="D208" s="55"/>
      <c r="E208" s="55"/>
      <c r="F208" s="224" t="s">
        <v>1107</v>
      </c>
      <c r="G208" s="55"/>
      <c r="J208" s="256">
        <v>2030</v>
      </c>
      <c r="K208" s="256"/>
      <c r="L208" s="1128">
        <f>1/SUMIFS(Transport!$AS$13:$AS$264,Transport!$D$13:$D$264,$B208,Transport!$E$13:$E$264,$A208,Transport!$A$13:$A$264,$J208)</f>
        <v>1.5866318034806797</v>
      </c>
      <c r="M208" s="256"/>
      <c r="N208" s="256"/>
      <c r="O208" s="1128">
        <f>SUMIFS(Transport!$AT$13:$AT$264,Transport!$D$13:$D$264,$B208,Transport!$E$13:$E$264,$A208,Transport!$A$13:$A$264,$J208)/1000*6.5</f>
        <v>450.84209093363188</v>
      </c>
      <c r="P208" s="254"/>
      <c r="Q208" s="254"/>
      <c r="R208" s="1127"/>
      <c r="S208" s="275"/>
      <c r="T208" s="228"/>
      <c r="U208" s="228"/>
      <c r="V208" s="228"/>
      <c r="W208" s="228"/>
      <c r="X208" s="55"/>
      <c r="Y208" s="55"/>
      <c r="Z208" s="55"/>
      <c r="AA208" s="55"/>
      <c r="AB208" s="55"/>
    </row>
    <row r="209" spans="1:28">
      <c r="A209" s="169" t="s">
        <v>1922</v>
      </c>
      <c r="B209" s="224" t="s">
        <v>1862</v>
      </c>
      <c r="D209" s="55"/>
      <c r="E209" s="55"/>
      <c r="F209" s="224" t="s">
        <v>1107</v>
      </c>
      <c r="G209" s="55"/>
      <c r="J209" s="256">
        <v>2050</v>
      </c>
      <c r="K209" s="256"/>
      <c r="L209" s="1128">
        <f>1/SUMIFS(Transport!$AS$13:$AS$264,Transport!$D$13:$D$264,$B209,Transport!$E$13:$E$264,$A209,Transport!$A$13:$A$264,$J209)</f>
        <v>1.9302508934025056</v>
      </c>
      <c r="M209" s="256"/>
      <c r="N209" s="256"/>
      <c r="O209" s="1128">
        <f>SUMIFS(Transport!$AT$13:$AT$264,Transport!$D$13:$D$264,$B209,Transport!$E$13:$E$264,$A209,Transport!$A$13:$A$264,$J209)/1000*6.5</f>
        <v>386.98967492796902</v>
      </c>
      <c r="P209" s="254"/>
      <c r="Q209" s="254"/>
      <c r="R209" s="1127"/>
      <c r="S209" s="275"/>
      <c r="T209" s="228"/>
      <c r="U209" s="228"/>
      <c r="V209" s="228"/>
      <c r="W209" s="228"/>
      <c r="X209" s="55"/>
      <c r="Y209" s="55"/>
      <c r="Z209" s="55"/>
      <c r="AA209" s="55"/>
      <c r="AB209" s="55"/>
    </row>
    <row r="210" spans="1:28">
      <c r="A210" s="169" t="s">
        <v>1921</v>
      </c>
      <c r="B210" s="224" t="s">
        <v>1862</v>
      </c>
      <c r="D210" s="212" t="str">
        <f t="shared" ref="D210" si="267">"AGR"&amp;RIGHT(H210,2)&amp;RIGHT(G210,3)&amp;"N"&amp;RIGHT(E210,1)</f>
        <v>AGRTFELCN3</v>
      </c>
      <c r="E210" s="224" t="str">
        <f>"Agriculture "&amp;$AJ$12&amp;" "&amp;RIGHT(H210,2)&amp;" Tractors, Trucks, Fishing boats - New 3"</f>
        <v>Agriculture Agriculture TF Tractors, Trucks, Fishing boats - New 3</v>
      </c>
      <c r="F210" s="224" t="s">
        <v>1107</v>
      </c>
      <c r="G210" s="55" t="s">
        <v>1941</v>
      </c>
      <c r="H210" s="174" t="str">
        <f>$AI$18</f>
        <v>AGDTF</v>
      </c>
      <c r="I210" s="174"/>
      <c r="J210" s="81">
        <v>2017</v>
      </c>
      <c r="K210" s="81">
        <v>2025</v>
      </c>
      <c r="L210" s="1128">
        <f>1/SUMIFS(Transport!$AS$13:$AS$264,Transport!$D$13:$D$264,$B210,Transport!$E$13:$E$264,$A210,Transport!$A$13:$A$264,$J210)</f>
        <v>1.8824571845352338</v>
      </c>
      <c r="M210" s="256"/>
      <c r="N210" s="256">
        <v>20</v>
      </c>
      <c r="O210" s="1128">
        <f>SUMIFS(Transport!$AT$13:$AT$264,Transport!$D$13:$D$264,$B210,Transport!$E$13:$E$264,$A210,Transport!$A$13:$A$264,$J210)/1000*6.5</f>
        <v>1695.1550028788029</v>
      </c>
      <c r="P210" s="254"/>
      <c r="Q210" s="254"/>
      <c r="R210" s="1127">
        <v>1</v>
      </c>
      <c r="S210" s="1128">
        <v>1</v>
      </c>
      <c r="T210" s="228"/>
      <c r="U210" s="228"/>
      <c r="V210" s="228"/>
      <c r="W210" s="287"/>
      <c r="X210" s="55"/>
      <c r="Y210" s="55"/>
      <c r="Z210" s="55"/>
      <c r="AA210" s="55"/>
      <c r="AB210" s="55"/>
    </row>
    <row r="211" spans="1:28">
      <c r="A211" s="169" t="s">
        <v>1921</v>
      </c>
      <c r="B211" s="224" t="s">
        <v>1862</v>
      </c>
      <c r="D211" s="55"/>
      <c r="E211" s="55"/>
      <c r="F211" s="224" t="s">
        <v>1107</v>
      </c>
      <c r="G211" s="55"/>
      <c r="H211" s="174"/>
      <c r="I211" s="174"/>
      <c r="J211" s="256">
        <v>2017</v>
      </c>
      <c r="K211" s="256"/>
      <c r="L211" s="1128">
        <f>1/SUMIFS(Transport!$AS$13:$AS$264,Transport!$D$13:$D$264,$B211,Transport!$E$13:$E$264,$A211,Transport!$A$13:$A$264,$J211)</f>
        <v>1.8824571845352338</v>
      </c>
      <c r="M211" s="256"/>
      <c r="N211" s="256"/>
      <c r="O211" s="1128">
        <f>SUMIFS(Transport!$AT$13:$AT$264,Transport!$D$13:$D$264,$B211,Transport!$E$13:$E$264,$A211,Transport!$A$13:$A$264,$J211)/1000*6.5</f>
        <v>1695.1550028788029</v>
      </c>
      <c r="P211" s="254"/>
      <c r="Q211" s="254"/>
      <c r="R211" s="201"/>
      <c r="S211" s="275"/>
      <c r="T211" s="228"/>
      <c r="U211" s="228"/>
      <c r="V211" s="228"/>
      <c r="W211" s="228"/>
      <c r="X211" s="55"/>
      <c r="Y211" s="55"/>
      <c r="Z211" s="55"/>
      <c r="AA211" s="55"/>
      <c r="AB211" s="55"/>
    </row>
    <row r="212" spans="1:28">
      <c r="A212" s="169" t="s">
        <v>1921</v>
      </c>
      <c r="B212" s="224" t="s">
        <v>1862</v>
      </c>
      <c r="D212" s="55"/>
      <c r="E212" s="55"/>
      <c r="F212" s="224" t="s">
        <v>1107</v>
      </c>
      <c r="G212" s="55"/>
      <c r="J212" s="256">
        <v>2030</v>
      </c>
      <c r="K212" s="256"/>
      <c r="L212" s="1128">
        <f>1/SUMIFS(Transport!$AS$13:$AS$264,Transport!$D$13:$D$264,$B212,Transport!$E$13:$E$264,$A212,Transport!$A$13:$A$264,$J212)</f>
        <v>2.6320534673004508</v>
      </c>
      <c r="M212" s="256"/>
      <c r="N212" s="256"/>
      <c r="O212" s="1128">
        <f>SUMIFS(Transport!$AT$13:$AT$264,Transport!$D$13:$D$264,$B212,Transport!$E$13:$E$264,$A212,Transport!$A$13:$A$264,$J212)/1000*6.5</f>
        <v>671.43520546506602</v>
      </c>
      <c r="P212" s="254"/>
      <c r="Q212" s="254"/>
      <c r="R212" s="201"/>
      <c r="S212" s="275"/>
      <c r="T212" s="228"/>
      <c r="U212" s="228"/>
      <c r="V212" s="228"/>
      <c r="W212" s="228"/>
      <c r="X212" s="55"/>
      <c r="Y212" s="55"/>
      <c r="Z212" s="55"/>
      <c r="AA212" s="55"/>
      <c r="AB212" s="55"/>
    </row>
    <row r="213" spans="1:28">
      <c r="A213" s="169" t="s">
        <v>1921</v>
      </c>
      <c r="B213" s="224" t="s">
        <v>1862</v>
      </c>
      <c r="D213" s="55"/>
      <c r="E213" s="55"/>
      <c r="F213" s="224" t="s">
        <v>1107</v>
      </c>
      <c r="G213" s="55"/>
      <c r="J213" s="256">
        <v>2050</v>
      </c>
      <c r="K213" s="256"/>
      <c r="L213" s="1128">
        <f>1/SUMIFS(Transport!$AS$13:$AS$264,Transport!$D$13:$D$264,$B213,Transport!$E$13:$E$264,$A213,Transport!$A$13:$A$264,$J213)</f>
        <v>2.9979595757071462</v>
      </c>
      <c r="M213" s="256"/>
      <c r="N213" s="256"/>
      <c r="O213" s="1128">
        <f>SUMIFS(Transport!$AT$13:$AT$264,Transport!$D$13:$D$264,$B213,Transport!$E$13:$E$264,$A213,Transport!$A$13:$A$264,$J213)/1000*6.5</f>
        <v>474.27185340602051</v>
      </c>
      <c r="P213" s="254"/>
      <c r="Q213" s="254"/>
      <c r="R213" s="201"/>
      <c r="S213" s="275"/>
      <c r="T213" s="228"/>
      <c r="U213" s="228"/>
      <c r="V213" s="228"/>
      <c r="W213" s="228"/>
      <c r="X213" s="55"/>
      <c r="Y213" s="55"/>
      <c r="Z213" s="55"/>
      <c r="AA213" s="55"/>
      <c r="AB213" s="55"/>
    </row>
    <row r="214" spans="1:28">
      <c r="A214" s="169"/>
      <c r="D214" s="212" t="str">
        <f t="shared" ref="D214" si="268">"AGR"&amp;RIGHT(H214,2)&amp;RIGHT(G214,3)&amp;"N"&amp;RIGHT(E214,1)</f>
        <v>AGRFLSYNN1</v>
      </c>
      <c r="E214" s="224" t="str">
        <f>"Agriculture "&amp;$AJ$12&amp;" "&amp;RIGHT(H202,2)&amp;" Forklifts - New 1"</f>
        <v>Agriculture Agriculture TF Forklifts - New 1</v>
      </c>
      <c r="F214" s="224" t="s">
        <v>1107</v>
      </c>
      <c r="G214" s="173" t="s">
        <v>1951</v>
      </c>
      <c r="H214" s="224" t="str">
        <f>AI19</f>
        <v>AGDFL</v>
      </c>
      <c r="J214" s="81">
        <v>2011</v>
      </c>
      <c r="K214" s="81">
        <v>2011</v>
      </c>
      <c r="L214" s="256">
        <v>1</v>
      </c>
      <c r="M214" s="256"/>
      <c r="N214" s="256">
        <v>10</v>
      </c>
      <c r="O214" s="1128"/>
      <c r="P214" s="254"/>
      <c r="Q214" s="254"/>
      <c r="R214" s="201"/>
      <c r="S214" s="275">
        <v>0.9</v>
      </c>
      <c r="T214" s="228"/>
      <c r="U214" s="228"/>
      <c r="V214" s="228"/>
      <c r="W214" s="228"/>
      <c r="X214" s="55"/>
      <c r="Y214" s="55"/>
      <c r="Z214" s="55"/>
      <c r="AA214" s="55"/>
      <c r="AB214" s="55"/>
    </row>
    <row r="215" spans="1:28">
      <c r="A215" s="169"/>
      <c r="D215" s="55"/>
      <c r="E215" s="55"/>
      <c r="F215" s="224" t="s">
        <v>1107</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1107</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1107</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c r="D218" s="212" t="str">
        <f t="shared" ref="D218:D219" si="269">"AGR"&amp;RIGHT(H218,2)&amp;RIGHT(G218,3)&amp;"N"&amp;RIGHT(E218,1)</f>
        <v>AGRFBGSBN1</v>
      </c>
      <c r="E218" s="1107" t="s">
        <v>1861</v>
      </c>
      <c r="F218" s="224" t="s">
        <v>1107</v>
      </c>
      <c r="G218" s="173" t="s">
        <v>1944</v>
      </c>
      <c r="H218" s="224" t="s">
        <v>1952</v>
      </c>
      <c r="J218" s="1106">
        <v>2011</v>
      </c>
      <c r="K218" s="224">
        <v>2011</v>
      </c>
      <c r="L218" s="224">
        <v>1</v>
      </c>
      <c r="N218" s="226">
        <v>10</v>
      </c>
      <c r="R218" s="201">
        <v>3.1536000000000002E-2</v>
      </c>
      <c r="S218" s="224">
        <v>0.9</v>
      </c>
    </row>
    <row r="219" spans="1:28">
      <c r="A219" s="169" t="s">
        <v>1962</v>
      </c>
      <c r="D219" s="212" t="str">
        <f t="shared" si="269"/>
        <v>AGRCOELCN1</v>
      </c>
      <c r="E219" s="224" t="str">
        <f>"Agriculture "&amp;$AJ$12&amp;" "&amp;RIGHT(H207,2)&amp;" Forklifts - New 1"</f>
        <v>Agriculture Agriculture  Forklifts - New 1</v>
      </c>
      <c r="F219" s="224" t="s">
        <v>1107</v>
      </c>
      <c r="G219" s="173" t="s">
        <v>1941</v>
      </c>
      <c r="H219" s="224" t="str">
        <f>AI21</f>
        <v>AGDCO</v>
      </c>
      <c r="J219" s="81">
        <v>2015</v>
      </c>
      <c r="K219" s="81">
        <v>2015</v>
      </c>
      <c r="L219" s="1129">
        <v>1</v>
      </c>
      <c r="M219" s="256"/>
      <c r="N219" s="256">
        <v>12</v>
      </c>
      <c r="O219" s="1128">
        <v>3.3525</v>
      </c>
      <c r="P219" s="254">
        <v>0.31662500000000005</v>
      </c>
      <c r="Q219" s="254"/>
      <c r="R219" s="201">
        <v>3.1536000000000002E-2</v>
      </c>
      <c r="S219" s="275">
        <v>8.3999999999999991E-2</v>
      </c>
    </row>
    <row r="220" spans="1:28">
      <c r="A220" s="169"/>
      <c r="D220" s="55"/>
      <c r="E220" s="55"/>
      <c r="F220" s="224" t="s">
        <v>1107</v>
      </c>
      <c r="G220" s="55"/>
      <c r="H220" s="174"/>
      <c r="I220" s="174"/>
      <c r="J220" s="256">
        <v>2020</v>
      </c>
      <c r="K220" s="256"/>
      <c r="L220" s="1129">
        <v>1</v>
      </c>
      <c r="M220" s="256"/>
      <c r="N220" s="257">
        <v>12</v>
      </c>
      <c r="O220" s="61">
        <v>3.1662499999999998</v>
      </c>
      <c r="P220" s="61">
        <v>0.30110722454958749</v>
      </c>
      <c r="Q220" s="61"/>
      <c r="R220" s="61">
        <v>3.1536000000000002E-2</v>
      </c>
      <c r="S220" s="276">
        <v>8.3999999999999991E-2</v>
      </c>
    </row>
    <row r="221" spans="1:28">
      <c r="A221" s="169"/>
      <c r="D221" s="55"/>
      <c r="E221" s="55"/>
      <c r="F221" s="224" t="s">
        <v>1107</v>
      </c>
      <c r="G221" s="55"/>
      <c r="J221" s="256">
        <v>2030</v>
      </c>
      <c r="K221" s="256"/>
      <c r="L221" s="1129">
        <v>1</v>
      </c>
      <c r="M221" s="256"/>
      <c r="N221" s="257">
        <v>12</v>
      </c>
      <c r="O221" s="61">
        <v>3.1662499999999998</v>
      </c>
      <c r="P221" s="61">
        <v>0.30110722454958749</v>
      </c>
      <c r="Q221" s="61"/>
      <c r="R221" s="61">
        <v>3.1536000000000002E-2</v>
      </c>
      <c r="S221" s="276">
        <v>8.3999999999999991E-2</v>
      </c>
    </row>
    <row r="222" spans="1:28">
      <c r="A222" s="169"/>
      <c r="D222" s="55"/>
      <c r="E222" s="55"/>
      <c r="F222" s="224" t="s">
        <v>1107</v>
      </c>
      <c r="G222" s="55"/>
      <c r="H222" s="174"/>
      <c r="I222" s="174"/>
      <c r="J222" s="256">
        <v>2050</v>
      </c>
      <c r="K222" s="256"/>
      <c r="L222" s="1129">
        <v>1</v>
      </c>
      <c r="M222" s="256"/>
      <c r="N222" s="257">
        <v>12</v>
      </c>
      <c r="O222" s="61">
        <v>3.1662499999999998</v>
      </c>
      <c r="P222" s="61">
        <v>0.30110722454958749</v>
      </c>
      <c r="Q222" s="61"/>
      <c r="R222" s="61">
        <v>3.1536000000000002E-2</v>
      </c>
      <c r="S222" s="276">
        <v>8.3999999999999991E-2</v>
      </c>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500</v>
      </c>
      <c r="D229" s="212" t="str">
        <f>D9</f>
        <v>AGRPHELCN1</v>
      </c>
      <c r="E229" s="212" t="str">
        <f t="shared" ref="E229:E260" si="270">VLOOKUP(D229,$D$9:$E$218,2,FALSE)</f>
        <v>Agriculture heating technology Agriculture PH - Heat pump utilizing waste heat - new 1</v>
      </c>
      <c r="F229" s="211" t="s">
        <v>450</v>
      </c>
      <c r="G229" s="211" t="s">
        <v>449</v>
      </c>
      <c r="H229" s="263" t="s">
        <v>600</v>
      </c>
      <c r="I229" s="300"/>
      <c r="J229" s="208" t="s">
        <v>469</v>
      </c>
    </row>
    <row r="230" spans="1:10">
      <c r="A230" s="169"/>
      <c r="B230" s="300"/>
      <c r="C230" s="300"/>
      <c r="D230" s="212" t="str">
        <f t="shared" ref="D230:D238" ca="1" si="271">OFFSET($D$9,(ROW(D1)*6),0)</f>
        <v>AGRSHELCN1</v>
      </c>
      <c r="E230" s="212" t="str">
        <f t="shared" ca="1" si="270"/>
        <v>Agriculture heating technology Agriculture SH - Heat pump utilizing waste heat - new 1</v>
      </c>
      <c r="F230" s="262" t="s">
        <v>450</v>
      </c>
      <c r="G230" s="262" t="s">
        <v>449</v>
      </c>
      <c r="H230" s="263" t="s">
        <v>600</v>
      </c>
      <c r="I230" s="300"/>
      <c r="J230" s="264" t="s">
        <v>469</v>
      </c>
    </row>
    <row r="231" spans="1:10">
      <c r="A231" s="169"/>
      <c r="D231" s="212" t="str">
        <f t="shared" ca="1" si="271"/>
        <v>AGRPHELCN1</v>
      </c>
      <c r="E231" s="212" t="str">
        <f t="shared" ca="1" si="270"/>
        <v>Agriculture heating technology Agriculture PH - Heat pump utilizing waste heat - new 1</v>
      </c>
      <c r="F231" s="211" t="s">
        <v>450</v>
      </c>
      <c r="G231" s="211" t="s">
        <v>449</v>
      </c>
      <c r="H231" s="263" t="s">
        <v>600</v>
      </c>
      <c r="I231" s="208"/>
      <c r="J231" s="264" t="s">
        <v>469</v>
      </c>
    </row>
    <row r="232" spans="1:10">
      <c r="A232" s="169"/>
      <c r="B232" s="211"/>
      <c r="C232" s="211"/>
      <c r="D232" s="212" t="str">
        <f t="shared" ca="1" si="271"/>
        <v>AGRSHELCN1</v>
      </c>
      <c r="E232" s="212" t="str">
        <f t="shared" ca="1" si="270"/>
        <v>Agriculture heating technology Agriculture SH - Heat pump utilizing waste heat - new 1</v>
      </c>
      <c r="F232" s="262" t="s">
        <v>450</v>
      </c>
      <c r="G232" s="262" t="s">
        <v>449</v>
      </c>
      <c r="H232" s="263" t="s">
        <v>600</v>
      </c>
      <c r="I232" s="264"/>
      <c r="J232" s="264" t="s">
        <v>469</v>
      </c>
    </row>
    <row r="233" spans="1:10">
      <c r="A233" s="169"/>
      <c r="B233" s="211"/>
      <c r="C233" s="211"/>
      <c r="D233" s="212" t="str">
        <f t="shared" ca="1" si="271"/>
        <v>AGRPHELCN1</v>
      </c>
      <c r="E233" s="212" t="str">
        <f t="shared" ca="1" si="270"/>
        <v>Agriculture heating technology Agriculture PH - Heat pump utilizing waste heat - new 1</v>
      </c>
      <c r="F233" s="262" t="s">
        <v>450</v>
      </c>
      <c r="G233" s="262" t="s">
        <v>449</v>
      </c>
      <c r="H233" s="263" t="s">
        <v>600</v>
      </c>
      <c r="I233" s="264"/>
      <c r="J233" s="264" t="s">
        <v>469</v>
      </c>
    </row>
    <row r="234" spans="1:10">
      <c r="A234" s="169"/>
      <c r="B234" s="211"/>
      <c r="C234" s="211"/>
      <c r="D234" s="212" t="str">
        <f t="shared" ca="1" si="271"/>
        <v>AGRSHELCN1</v>
      </c>
      <c r="E234" s="212" t="str">
        <f t="shared" ca="1" si="270"/>
        <v>Agriculture heating technology Agriculture SH - Heat pump utilizing waste heat - new 1</v>
      </c>
      <c r="F234" s="262" t="s">
        <v>450</v>
      </c>
      <c r="G234" s="262" t="s">
        <v>449</v>
      </c>
      <c r="H234" s="263" t="s">
        <v>600</v>
      </c>
      <c r="I234" s="264"/>
      <c r="J234" s="264" t="s">
        <v>469</v>
      </c>
    </row>
    <row r="235" spans="1:10">
      <c r="A235" s="169"/>
      <c r="B235" s="211"/>
      <c r="C235" s="211"/>
      <c r="D235" s="212" t="str">
        <f t="shared" ca="1" si="271"/>
        <v>AGRPHELCN1</v>
      </c>
      <c r="E235" s="212" t="str">
        <f t="shared" ca="1" si="270"/>
        <v>Agriculture heating technology Agriculture PH - Heat pump utilizing waste heat - new 1</v>
      </c>
      <c r="F235" s="262" t="s">
        <v>450</v>
      </c>
      <c r="G235" s="262" t="s">
        <v>449</v>
      </c>
      <c r="H235" s="263" t="s">
        <v>600</v>
      </c>
      <c r="I235" s="264"/>
      <c r="J235" s="264" t="s">
        <v>469</v>
      </c>
    </row>
    <row r="236" spans="1:10">
      <c r="A236" s="169"/>
      <c r="B236" s="211"/>
      <c r="C236" s="211"/>
      <c r="D236" s="212" t="str">
        <f t="shared" ca="1" si="271"/>
        <v>AGRSHELCN1</v>
      </c>
      <c r="E236" s="212" t="str">
        <f t="shared" ca="1" si="270"/>
        <v>Agriculture heating technology Agriculture SH - Heat pump utilizing waste heat - new 1</v>
      </c>
      <c r="F236" s="262" t="s">
        <v>450</v>
      </c>
      <c r="G236" s="262" t="s">
        <v>449</v>
      </c>
      <c r="H236" s="263" t="s">
        <v>600</v>
      </c>
      <c r="I236" s="264"/>
      <c r="J236" s="264" t="s">
        <v>469</v>
      </c>
    </row>
    <row r="237" spans="1:10">
      <c r="A237" s="169"/>
      <c r="B237" s="211"/>
      <c r="C237" s="211"/>
      <c r="D237" s="212" t="str">
        <f t="shared" ca="1" si="271"/>
        <v>AGRPHELCN1</v>
      </c>
      <c r="E237" s="212" t="str">
        <f t="shared" ca="1" si="270"/>
        <v>Agriculture heating technology Agriculture PH - Heat pump utilizing waste heat - new 1</v>
      </c>
      <c r="F237" s="262" t="s">
        <v>450</v>
      </c>
      <c r="G237" s="262" t="s">
        <v>449</v>
      </c>
      <c r="H237" s="263"/>
      <c r="I237" s="264"/>
      <c r="J237" s="264" t="s">
        <v>469</v>
      </c>
    </row>
    <row r="238" spans="1:10">
      <c r="A238" s="169"/>
      <c r="B238" s="211"/>
      <c r="C238" s="211"/>
      <c r="D238" s="212" t="str">
        <f t="shared" ca="1" si="271"/>
        <v>AGRPHWSTN1</v>
      </c>
      <c r="E238" s="212" t="str">
        <f t="shared" ca="1" si="270"/>
        <v>Agriculture heating technology Agriculture PH - Hotdisc - new 1</v>
      </c>
      <c r="F238" s="262" t="s">
        <v>450</v>
      </c>
      <c r="G238" s="262" t="s">
        <v>449</v>
      </c>
      <c r="H238" s="263" t="s">
        <v>600</v>
      </c>
      <c r="I238" s="264"/>
      <c r="J238" s="264" t="s">
        <v>469</v>
      </c>
    </row>
    <row r="239" spans="1:10">
      <c r="A239" s="169"/>
      <c r="B239" s="211"/>
      <c r="C239" s="211"/>
      <c r="D239" s="212" t="str">
        <f t="shared" ref="D239:D278" ca="1" si="272">OFFSET($D$9,(ROW(D19)*3),0)</f>
        <v>AGRPHELCN6</v>
      </c>
      <c r="E239" s="212" t="str">
        <f t="shared" ca="1" si="270"/>
        <v>Agriculture heating technology Agriculture PH - Dielectric heating - new 6</v>
      </c>
      <c r="F239" s="262" t="s">
        <v>450</v>
      </c>
      <c r="G239" s="262" t="s">
        <v>449</v>
      </c>
      <c r="H239" s="263" t="s">
        <v>600</v>
      </c>
      <c r="I239" s="264"/>
      <c r="J239" s="264" t="s">
        <v>469</v>
      </c>
    </row>
    <row r="240" spans="1:10">
      <c r="A240" s="169"/>
      <c r="B240" s="211"/>
      <c r="C240" s="211"/>
      <c r="D240" s="212" t="str">
        <f t="shared" ca="1" si="272"/>
        <v>AGRPHELCN7</v>
      </c>
      <c r="E240" s="212" t="str">
        <f t="shared" ca="1" si="270"/>
        <v>Agriculture heating technology Agriculture PH - Infrared heating - new 7</v>
      </c>
      <c r="F240" s="262" t="s">
        <v>450</v>
      </c>
      <c r="G240" s="262" t="s">
        <v>449</v>
      </c>
      <c r="H240" s="263" t="s">
        <v>600</v>
      </c>
      <c r="I240" s="264"/>
      <c r="J240" s="264" t="s">
        <v>469</v>
      </c>
    </row>
    <row r="241" spans="1:16">
      <c r="A241" s="169"/>
      <c r="B241" s="211"/>
      <c r="C241" s="211"/>
      <c r="D241" s="212" t="str">
        <f t="shared" ca="1" si="272"/>
        <v>AGRPHELCN8</v>
      </c>
      <c r="E241" s="212" t="str">
        <f t="shared" ca="1" si="270"/>
        <v>Agriculture heating technology Agriculture PH - Electric boiler (Steam) - new 8</v>
      </c>
      <c r="F241" s="262" t="s">
        <v>450</v>
      </c>
      <c r="G241" s="262" t="s">
        <v>449</v>
      </c>
      <c r="H241" s="263" t="s">
        <v>600</v>
      </c>
      <c r="I241" s="264"/>
      <c r="J241" s="264" t="s">
        <v>469</v>
      </c>
    </row>
    <row r="242" spans="1:16">
      <c r="A242" s="169"/>
      <c r="B242" s="211"/>
      <c r="C242" s="211"/>
      <c r="D242" s="212" t="str">
        <f t="shared" ca="1" si="272"/>
        <v>AGRPHELCN8</v>
      </c>
      <c r="E242" s="212" t="str">
        <f t="shared" ca="1" si="270"/>
        <v>Agriculture heating technology Agriculture PH - Electric boiler (Steam) - new 8</v>
      </c>
      <c r="F242" s="262" t="s">
        <v>450</v>
      </c>
      <c r="G242" s="262" t="s">
        <v>449</v>
      </c>
      <c r="H242" s="263" t="s">
        <v>600</v>
      </c>
      <c r="I242" s="264"/>
      <c r="J242" s="264" t="s">
        <v>469</v>
      </c>
    </row>
    <row r="243" spans="1:16">
      <c r="A243" s="169"/>
      <c r="B243" s="211"/>
      <c r="C243" s="211"/>
      <c r="D243" s="212" t="str">
        <f t="shared" ca="1" si="272"/>
        <v>AGRSHELCN8</v>
      </c>
      <c r="E243" s="212" t="str">
        <f t="shared" ca="1" si="270"/>
        <v>Agriculture heating technology Agriculture SH - Electric boiler (Steam) - new 8</v>
      </c>
      <c r="F243" s="262" t="s">
        <v>450</v>
      </c>
      <c r="G243" s="262" t="s">
        <v>449</v>
      </c>
      <c r="H243" s="263" t="s">
        <v>600</v>
      </c>
      <c r="I243" s="264"/>
      <c r="J243" s="264" t="s">
        <v>469</v>
      </c>
      <c r="P243" s="173"/>
    </row>
    <row r="244" spans="1:16">
      <c r="A244" s="169"/>
      <c r="B244" s="211"/>
      <c r="C244" s="211"/>
      <c r="D244" s="212" t="str">
        <f t="shared" ca="1" si="272"/>
        <v>AGRPHELCN9</v>
      </c>
      <c r="E244" s="212" t="str">
        <f t="shared" ca="1" si="270"/>
        <v>Agriculture heating technology Agriculture PH - Electric boiler (Hot Water) - new 9</v>
      </c>
      <c r="F244" s="262" t="s">
        <v>450</v>
      </c>
      <c r="G244" s="262" t="s">
        <v>449</v>
      </c>
      <c r="H244" s="263" t="s">
        <v>600</v>
      </c>
      <c r="I244" s="264"/>
      <c r="J244" s="264" t="s">
        <v>469</v>
      </c>
      <c r="P244" s="173"/>
    </row>
    <row r="245" spans="1:16">
      <c r="A245" s="169"/>
      <c r="B245" s="211"/>
      <c r="C245" s="211"/>
      <c r="D245" s="212" t="str">
        <f t="shared" ca="1" si="272"/>
        <v>AGRSHELCN9</v>
      </c>
      <c r="E245" s="212" t="str">
        <f t="shared" ca="1" si="270"/>
        <v>Agriculture heating technology Agriculture SH - Electric boiler (Hot Water) - new 9</v>
      </c>
      <c r="F245" s="262" t="s">
        <v>450</v>
      </c>
      <c r="G245" s="262" t="s">
        <v>449</v>
      </c>
      <c r="H245" s="263" t="s">
        <v>600</v>
      </c>
      <c r="I245" s="264"/>
      <c r="J245" s="264" t="s">
        <v>469</v>
      </c>
      <c r="P245" s="173"/>
    </row>
    <row r="246" spans="1:16">
      <c r="A246" s="169"/>
      <c r="B246" s="211"/>
      <c r="C246" s="211"/>
      <c r="D246" s="212" t="str">
        <f t="shared" ca="1" si="272"/>
        <v>AGRPHWCHN1</v>
      </c>
      <c r="E246" s="212" t="str">
        <f t="shared" ca="1" si="270"/>
        <v>Agriculture heating technology Agriculture PH - Wood chip boiler (Steam) - new 1</v>
      </c>
      <c r="F246" s="262" t="s">
        <v>450</v>
      </c>
      <c r="G246" s="262" t="s">
        <v>449</v>
      </c>
      <c r="H246" s="263"/>
      <c r="I246" s="264"/>
      <c r="J246" s="264" t="s">
        <v>469</v>
      </c>
      <c r="P246" s="173"/>
    </row>
    <row r="247" spans="1:16">
      <c r="A247" s="169"/>
      <c r="B247" s="211"/>
      <c r="C247" s="211"/>
      <c r="D247" s="212" t="str">
        <f t="shared" ca="1" si="272"/>
        <v>AGRPHWCHN1</v>
      </c>
      <c r="E247" s="212" t="str">
        <f t="shared" ca="1" si="270"/>
        <v>Agriculture heating technology Agriculture PH - Wood chip boiler (Steam) - new 1</v>
      </c>
      <c r="F247" s="262" t="s">
        <v>450</v>
      </c>
      <c r="G247" s="262" t="s">
        <v>449</v>
      </c>
      <c r="H247" s="263"/>
      <c r="I247" s="264"/>
      <c r="J247" s="264" t="s">
        <v>469</v>
      </c>
      <c r="M247" s="171"/>
      <c r="N247" s="171"/>
      <c r="P247" s="173"/>
    </row>
    <row r="248" spans="1:16">
      <c r="A248" s="169"/>
      <c r="B248" s="211"/>
      <c r="C248" s="211"/>
      <c r="D248" s="212" t="str">
        <f t="shared" ca="1" si="272"/>
        <v>AGRSHWCHN1</v>
      </c>
      <c r="E248" s="212" t="str">
        <f t="shared" ca="1" si="270"/>
        <v>Agriculture heating technology Agriculture SH - Wood chip boiler (Steam) - new 1</v>
      </c>
      <c r="F248" s="262" t="s">
        <v>450</v>
      </c>
      <c r="G248" s="262" t="s">
        <v>449</v>
      </c>
      <c r="H248" s="263"/>
      <c r="I248" s="264"/>
      <c r="J248" s="264" t="s">
        <v>469</v>
      </c>
      <c r="M248" s="171"/>
      <c r="N248" s="171"/>
      <c r="P248" s="173"/>
    </row>
    <row r="249" spans="1:16">
      <c r="A249" s="169"/>
      <c r="B249" s="211"/>
      <c r="C249" s="211"/>
      <c r="D249" s="212" t="str">
        <f t="shared" ca="1" si="272"/>
        <v>AGRPHWCHN2</v>
      </c>
      <c r="E249" s="212" t="str">
        <f t="shared" ca="1" si="270"/>
        <v>Agriculture heating technology Agriculture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72"/>
        <v>AGRSHWCHN2</v>
      </c>
      <c r="E250" s="212" t="str">
        <f t="shared" ca="1" si="270"/>
        <v>Agriculture heating technology Agriculture SH - Wood chip boiler (Steam - condensing) - new 2</v>
      </c>
      <c r="F250" s="262" t="s">
        <v>450</v>
      </c>
      <c r="G250" s="262" t="s">
        <v>449</v>
      </c>
      <c r="H250" s="263"/>
      <c r="I250" s="264"/>
      <c r="J250" s="264" t="s">
        <v>469</v>
      </c>
    </row>
    <row r="251" spans="1:16">
      <c r="A251" s="169"/>
      <c r="B251" s="212"/>
      <c r="C251" s="212"/>
      <c r="D251" s="212" t="str">
        <f t="shared" ca="1" si="272"/>
        <v>AGRPHWCHN3</v>
      </c>
      <c r="E251" s="212" t="str">
        <f t="shared" ca="1" si="270"/>
        <v>Agriculture heating technology Agriculture PH - Wood chip boiler (Hot Water) - new 3</v>
      </c>
      <c r="F251" s="262" t="s">
        <v>450</v>
      </c>
      <c r="G251" s="262" t="s">
        <v>449</v>
      </c>
      <c r="H251" s="261"/>
      <c r="I251" s="261"/>
      <c r="J251" s="264" t="s">
        <v>469</v>
      </c>
    </row>
    <row r="252" spans="1:16">
      <c r="A252" s="169"/>
      <c r="B252" s="212"/>
      <c r="C252" s="212"/>
      <c r="D252" s="212" t="str">
        <f t="shared" ca="1" si="272"/>
        <v>AGRSHWCHN3</v>
      </c>
      <c r="E252" s="212" t="str">
        <f t="shared" ca="1" si="270"/>
        <v>Agriculture heating technology Agriculture SH - Wood chip boiler (Hot Water) - new 3</v>
      </c>
      <c r="F252" s="262" t="s">
        <v>450</v>
      </c>
      <c r="G252" s="262" t="s">
        <v>449</v>
      </c>
      <c r="H252" s="261"/>
      <c r="I252" s="261"/>
      <c r="J252" s="264" t="s">
        <v>469</v>
      </c>
    </row>
    <row r="253" spans="1:16">
      <c r="A253" s="169"/>
      <c r="B253" s="212"/>
      <c r="C253" s="212"/>
      <c r="D253" s="212" t="str">
        <f t="shared" ca="1" si="272"/>
        <v>AGRPHWCHN4</v>
      </c>
      <c r="E253" s="212" t="str">
        <f t="shared" ca="1" si="270"/>
        <v>Agriculture heating technology Agriculture PH - Wood chip boiler (Hot Water - condensing) - new 4</v>
      </c>
      <c r="F253" s="262" t="s">
        <v>450</v>
      </c>
      <c r="G253" s="262" t="s">
        <v>449</v>
      </c>
      <c r="H253" s="261"/>
      <c r="I253" s="261"/>
      <c r="J253" s="264" t="s">
        <v>469</v>
      </c>
    </row>
    <row r="254" spans="1:16">
      <c r="A254" s="169"/>
      <c r="B254" s="212"/>
      <c r="C254" s="212"/>
      <c r="D254" s="212" t="str">
        <f t="shared" ca="1" si="272"/>
        <v>AGRSHWCHN4</v>
      </c>
      <c r="E254" s="212" t="str">
        <f t="shared" ca="1" si="270"/>
        <v>Agriculture heating technology Agriculture SH - Wood chip boiler (Hot Water- condensing) - new 4</v>
      </c>
      <c r="F254" s="262" t="s">
        <v>450</v>
      </c>
      <c r="G254" s="262" t="s">
        <v>449</v>
      </c>
      <c r="H254" s="261"/>
      <c r="I254" s="261"/>
      <c r="J254" s="264" t="s">
        <v>469</v>
      </c>
    </row>
    <row r="255" spans="1:16">
      <c r="B255" s="212"/>
      <c r="C255" s="212"/>
      <c r="D255" s="212" t="str">
        <f t="shared" ca="1" si="272"/>
        <v>AGRPHELCN0</v>
      </c>
      <c r="E255" s="212" t="str">
        <f t="shared" ca="1" si="270"/>
        <v>Agriculture heating technology Agriculture PH - Direct electric heating - new 10</v>
      </c>
      <c r="F255" s="262" t="s">
        <v>450</v>
      </c>
      <c r="G255" s="262" t="s">
        <v>449</v>
      </c>
      <c r="H255" s="261"/>
      <c r="I255" s="261"/>
      <c r="J255" s="264" t="s">
        <v>469</v>
      </c>
    </row>
    <row r="256" spans="1:16">
      <c r="B256" s="212"/>
      <c r="C256" s="212"/>
      <c r="D256" s="212" t="str">
        <f t="shared" ca="1" si="272"/>
        <v>AGRPHELCN0</v>
      </c>
      <c r="E256" s="212" t="str">
        <f t="shared" ca="1" si="270"/>
        <v>Agriculture heating technology Agriculture PH - Direct electric heating - new 10</v>
      </c>
      <c r="F256" s="262" t="s">
        <v>450</v>
      </c>
      <c r="G256" s="262" t="s">
        <v>449</v>
      </c>
      <c r="H256" s="261"/>
      <c r="I256" s="261"/>
      <c r="J256" s="264" t="s">
        <v>469</v>
      </c>
    </row>
    <row r="257" spans="1:10">
      <c r="B257" s="212"/>
      <c r="C257" s="212"/>
      <c r="D257" s="212" t="str">
        <f t="shared" ca="1" si="272"/>
        <v>AGRPHGSBN1</v>
      </c>
      <c r="E257" s="212" t="str">
        <f t="shared" ca="1" si="270"/>
        <v>Agriculture heating technology Agriculture PH - Oil boiler (Steam) - new 1</v>
      </c>
      <c r="F257" s="262" t="s">
        <v>450</v>
      </c>
      <c r="G257" s="262" t="s">
        <v>449</v>
      </c>
      <c r="H257" s="261"/>
      <c r="I257" s="261"/>
      <c r="J257" s="264" t="s">
        <v>469</v>
      </c>
    </row>
    <row r="258" spans="1:10">
      <c r="B258" s="212"/>
      <c r="C258" s="212"/>
      <c r="D258" s="212" t="str">
        <f t="shared" ca="1" si="272"/>
        <v>AGRPHGSBN1</v>
      </c>
      <c r="E258" s="212" t="str">
        <f t="shared" ca="1" si="270"/>
        <v>Agriculture heating technology Agriculture PH - Oil boiler (Steam) - new 1</v>
      </c>
      <c r="F258" s="262" t="s">
        <v>450</v>
      </c>
      <c r="G258" s="262" t="s">
        <v>449</v>
      </c>
      <c r="H258" s="261"/>
      <c r="I258" s="261"/>
      <c r="J258" s="264" t="s">
        <v>469</v>
      </c>
    </row>
    <row r="259" spans="1:10">
      <c r="B259" s="212"/>
      <c r="C259" s="212"/>
      <c r="D259" s="212" t="str">
        <f t="shared" ca="1" si="272"/>
        <v>AGRSHGSBN1</v>
      </c>
      <c r="E259" s="212" t="str">
        <f t="shared" ca="1" si="270"/>
        <v>Agriculture heating technology Agriculture SH - Oil boiler (Steam) - new 1</v>
      </c>
      <c r="F259" s="262" t="s">
        <v>450</v>
      </c>
      <c r="G259" s="262" t="s">
        <v>449</v>
      </c>
      <c r="H259" s="261"/>
      <c r="I259" s="261"/>
      <c r="J259" s="264" t="s">
        <v>469</v>
      </c>
    </row>
    <row r="260" spans="1:10">
      <c r="A260" s="214"/>
      <c r="B260" s="212"/>
      <c r="C260" s="212"/>
      <c r="D260" s="212" t="str">
        <f t="shared" ca="1" si="272"/>
        <v>AGRPHGSBN2</v>
      </c>
      <c r="E260" s="212" t="str">
        <f t="shared" ca="1" si="270"/>
        <v>Agriculture heating technology Agriculture PH - Oil boiler (Steam - condensing) - new 2</v>
      </c>
      <c r="F260" s="262" t="s">
        <v>450</v>
      </c>
      <c r="G260" s="262" t="s">
        <v>449</v>
      </c>
      <c r="H260" s="261"/>
      <c r="I260" s="261"/>
      <c r="J260" s="264" t="s">
        <v>469</v>
      </c>
    </row>
    <row r="261" spans="1:10">
      <c r="A261" s="214"/>
      <c r="B261" s="212"/>
      <c r="C261" s="212"/>
      <c r="D261" s="212" t="str">
        <f t="shared" ca="1" si="272"/>
        <v>AGRSHGSBN2</v>
      </c>
      <c r="E261" s="212" t="str">
        <f t="shared" ref="E261:E287" ca="1" si="273">VLOOKUP(D261,$D$9:$E$218,2,FALSE)</f>
        <v>Agriculture heating technology Agriculture SH - Oil boiler (Steam - condensing) - new 2</v>
      </c>
      <c r="F261" s="262" t="s">
        <v>450</v>
      </c>
      <c r="G261" s="262" t="s">
        <v>449</v>
      </c>
      <c r="H261" s="261"/>
      <c r="I261" s="261"/>
      <c r="J261" s="264" t="s">
        <v>469</v>
      </c>
    </row>
    <row r="262" spans="1:10">
      <c r="A262" s="214"/>
      <c r="B262" s="212"/>
      <c r="C262" s="212"/>
      <c r="D262" s="212" t="str">
        <f t="shared" ca="1" si="272"/>
        <v>AGRPHSYNN1</v>
      </c>
      <c r="E262" s="212" t="str">
        <f t="shared" ca="1" si="273"/>
        <v>Agriculture heating technology Agriculture PH - Gas boiler (Steam) - new 1</v>
      </c>
      <c r="F262" s="262" t="s">
        <v>450</v>
      </c>
      <c r="G262" s="262" t="s">
        <v>449</v>
      </c>
      <c r="H262" s="261"/>
      <c r="I262" s="261"/>
      <c r="J262" s="264" t="s">
        <v>469</v>
      </c>
    </row>
    <row r="263" spans="1:10">
      <c r="A263" s="214"/>
      <c r="B263" s="212"/>
      <c r="C263" s="212"/>
      <c r="D263" s="212" t="str">
        <f t="shared" ca="1" si="272"/>
        <v>AGRPHSYNN1</v>
      </c>
      <c r="E263" s="212" t="str">
        <f t="shared" ca="1" si="273"/>
        <v>Agriculture heating technology Agriculture PH - Gas boiler (Steam) - new 1</v>
      </c>
      <c r="F263" s="262" t="s">
        <v>450</v>
      </c>
      <c r="G263" s="262" t="s">
        <v>449</v>
      </c>
      <c r="H263" s="261"/>
      <c r="I263" s="261"/>
      <c r="J263" s="264" t="s">
        <v>469</v>
      </c>
    </row>
    <row r="264" spans="1:10">
      <c r="B264" s="212"/>
      <c r="C264" s="212"/>
      <c r="D264" s="212" t="str">
        <f t="shared" ca="1" si="272"/>
        <v>AGRSHSYNN1</v>
      </c>
      <c r="E264" s="212" t="str">
        <f t="shared" ca="1" si="273"/>
        <v>Agriculture heating technology Agriculture SH - Gas boiler (Steam) - new 1</v>
      </c>
      <c r="F264" s="262" t="s">
        <v>450</v>
      </c>
      <c r="G264" s="262" t="s">
        <v>449</v>
      </c>
      <c r="H264" s="261"/>
      <c r="I264" s="261"/>
      <c r="J264" s="264" t="s">
        <v>469</v>
      </c>
    </row>
    <row r="265" spans="1:10">
      <c r="B265" s="212"/>
      <c r="C265" s="212"/>
      <c r="D265" s="212" t="str">
        <f t="shared" ca="1" si="272"/>
        <v>AGRPHSYNN2</v>
      </c>
      <c r="E265" s="212" t="str">
        <f t="shared" ca="1" si="273"/>
        <v>Agriculture heating technology Agriculture PH - Gas boiler (Steam - condensing) - new 2</v>
      </c>
      <c r="F265" s="262" t="s">
        <v>450</v>
      </c>
      <c r="G265" s="262" t="s">
        <v>449</v>
      </c>
      <c r="H265" s="261"/>
      <c r="I265" s="261"/>
      <c r="J265" s="264" t="s">
        <v>469</v>
      </c>
    </row>
    <row r="266" spans="1:10">
      <c r="B266" s="212"/>
      <c r="C266" s="212"/>
      <c r="D266" s="212" t="str">
        <f t="shared" ca="1" si="272"/>
        <v>AGRSHSYNN2</v>
      </c>
      <c r="E266" s="212" t="str">
        <f t="shared" ca="1" si="273"/>
        <v>Agriculture heating technology Agriculture SH - Gas boiler (Steam - condensing) - new 2</v>
      </c>
      <c r="F266" s="262" t="s">
        <v>450</v>
      </c>
      <c r="G266" s="262" t="s">
        <v>449</v>
      </c>
      <c r="H266" s="261"/>
      <c r="I266" s="261"/>
      <c r="J266" s="264" t="s">
        <v>469</v>
      </c>
    </row>
    <row r="267" spans="1:10">
      <c r="B267" s="212"/>
      <c r="C267" s="212"/>
      <c r="D267" s="212" t="str">
        <f t="shared" ca="1" si="272"/>
        <v>AGRPHSYNN3</v>
      </c>
      <c r="E267" s="212" t="str">
        <f t="shared" ca="1" si="273"/>
        <v>Agriculture heating technology Agriculture PH - Gas boiler (Hot Water) - new 3</v>
      </c>
      <c r="F267" s="262" t="s">
        <v>450</v>
      </c>
      <c r="G267" s="262" t="s">
        <v>449</v>
      </c>
      <c r="H267" s="261"/>
      <c r="I267" s="261"/>
      <c r="J267" s="264" t="s">
        <v>469</v>
      </c>
    </row>
    <row r="268" spans="1:10">
      <c r="B268" s="212"/>
      <c r="C268" s="212"/>
      <c r="D268" s="212" t="str">
        <f t="shared" ca="1" si="272"/>
        <v>AGRSHSYNN3</v>
      </c>
      <c r="E268" s="212" t="str">
        <f t="shared" ca="1" si="273"/>
        <v>Agriculture heating technology Agriculture SH - Gas boiler (Hot Water) - new 3</v>
      </c>
      <c r="F268" s="262" t="s">
        <v>450</v>
      </c>
      <c r="G268" s="262" t="s">
        <v>449</v>
      </c>
      <c r="H268" s="261"/>
      <c r="I268" s="261"/>
      <c r="J268" s="264" t="s">
        <v>469</v>
      </c>
    </row>
    <row r="269" spans="1:10">
      <c r="B269" s="212"/>
      <c r="C269" s="212"/>
      <c r="D269" s="212" t="str">
        <f t="shared" ca="1" si="272"/>
        <v>AGRPHSYNN4</v>
      </c>
      <c r="E269" s="212" t="str">
        <f t="shared" ca="1" si="273"/>
        <v>Agriculture heating technology Agriculture PH - Gas boiler (Hot Water - condensing) - new 4</v>
      </c>
      <c r="F269" s="262" t="s">
        <v>450</v>
      </c>
      <c r="G269" s="262" t="s">
        <v>449</v>
      </c>
      <c r="H269" s="261"/>
      <c r="I269" s="261"/>
      <c r="J269" s="264" t="s">
        <v>469</v>
      </c>
    </row>
    <row r="270" spans="1:10">
      <c r="B270" s="212"/>
      <c r="C270" s="212"/>
      <c r="D270" s="212" t="str">
        <f t="shared" ca="1" si="272"/>
        <v>AGRSHSYNN4</v>
      </c>
      <c r="E270" s="212" t="str">
        <f t="shared" ca="1" si="273"/>
        <v>Agriculture heating technology Agriculture SH - Gas boiler (Hot Water- condensing) - new 4</v>
      </c>
      <c r="F270" s="262" t="s">
        <v>450</v>
      </c>
      <c r="G270" s="262" t="s">
        <v>449</v>
      </c>
      <c r="H270" s="261"/>
      <c r="I270" s="261"/>
      <c r="J270" s="264" t="s">
        <v>469</v>
      </c>
    </row>
    <row r="271" spans="1:10">
      <c r="B271" s="212"/>
      <c r="C271" s="212"/>
      <c r="D271" s="212" t="str">
        <f t="shared" ca="1" si="272"/>
        <v>AGRPHSYNN5</v>
      </c>
      <c r="E271" s="212" t="str">
        <f t="shared" ca="1" si="273"/>
        <v>Agriculture heating technology Agriculture PH - Gas boiler (Direct firing) - new 5</v>
      </c>
      <c r="F271" s="262" t="s">
        <v>450</v>
      </c>
      <c r="G271" s="262" t="s">
        <v>449</v>
      </c>
      <c r="H271" s="261"/>
      <c r="I271" s="261"/>
      <c r="J271" s="264" t="s">
        <v>469</v>
      </c>
    </row>
    <row r="272" spans="1:10">
      <c r="B272" s="212"/>
      <c r="C272" s="212"/>
      <c r="D272" s="212" t="str">
        <f t="shared" ca="1" si="272"/>
        <v>AGRPHSYNN5</v>
      </c>
      <c r="E272" s="212" t="str">
        <f t="shared" ca="1" si="273"/>
        <v>Agriculture heating technology Agriculture PH - Gas boiler (Direct firing) - new 5</v>
      </c>
      <c r="F272" s="262" t="s">
        <v>450</v>
      </c>
      <c r="G272" s="262" t="s">
        <v>449</v>
      </c>
      <c r="H272" s="261"/>
      <c r="I272" s="261"/>
      <c r="J272" s="264" t="s">
        <v>469</v>
      </c>
    </row>
    <row r="273" spans="2:10">
      <c r="B273" s="212"/>
      <c r="C273" s="212"/>
      <c r="D273" s="212" t="str">
        <f t="shared" ca="1" si="272"/>
        <v>AGRPHCOAN1</v>
      </c>
      <c r="E273" s="212" t="str">
        <f t="shared" ca="1" si="273"/>
        <v>Agriculture heating technology Agriculture PH - Coal boiler (Steam) - new 1</v>
      </c>
      <c r="F273" s="262" t="s">
        <v>450</v>
      </c>
      <c r="G273" s="262" t="s">
        <v>449</v>
      </c>
      <c r="H273" s="261"/>
      <c r="I273" s="261"/>
      <c r="J273" s="264" t="s">
        <v>469</v>
      </c>
    </row>
    <row r="274" spans="2:10">
      <c r="B274" s="212"/>
      <c r="C274" s="212"/>
      <c r="D274" s="212" t="str">
        <f t="shared" ca="1" si="272"/>
        <v>AGRPHCOAN1</v>
      </c>
      <c r="E274" s="212" t="str">
        <f t="shared" ca="1" si="273"/>
        <v>Agriculture heating technology Agriculture PH - Coal boiler (Steam) - new 1</v>
      </c>
      <c r="F274" s="262" t="s">
        <v>450</v>
      </c>
      <c r="G274" s="262" t="s">
        <v>449</v>
      </c>
      <c r="H274" s="261"/>
      <c r="I274" s="261"/>
      <c r="J274" s="264" t="s">
        <v>469</v>
      </c>
    </row>
    <row r="275" spans="2:10">
      <c r="B275" s="212"/>
      <c r="C275" s="212"/>
      <c r="D275" s="212" t="str">
        <f t="shared" ca="1" si="272"/>
        <v>AGRSHCOAN1</v>
      </c>
      <c r="E275" s="212" t="str">
        <f t="shared" ca="1" si="273"/>
        <v>Agriculture heating technology Agriculture SH - Coal boiler (Steam) - new 1</v>
      </c>
      <c r="F275" s="262" t="s">
        <v>450</v>
      </c>
      <c r="G275" s="262" t="s">
        <v>449</v>
      </c>
      <c r="H275" s="261"/>
      <c r="I275" s="261"/>
      <c r="J275" s="264" t="s">
        <v>469</v>
      </c>
    </row>
    <row r="276" spans="2:10">
      <c r="B276" s="212"/>
      <c r="C276" s="212"/>
      <c r="D276" s="212" t="str">
        <f t="shared" ca="1" si="272"/>
        <v>AGRPHCOAN2</v>
      </c>
      <c r="E276" s="212" t="str">
        <f t="shared" ca="1" si="273"/>
        <v>Agriculture heating technology Agriculture PH - Coal boiler (Hot Water) - new 2</v>
      </c>
      <c r="F276" s="262" t="s">
        <v>450</v>
      </c>
      <c r="G276" s="262" t="s">
        <v>449</v>
      </c>
      <c r="H276" s="261"/>
      <c r="I276" s="261"/>
      <c r="J276" s="264" t="s">
        <v>469</v>
      </c>
    </row>
    <row r="277" spans="2:10">
      <c r="B277" s="212"/>
      <c r="C277" s="212"/>
      <c r="D277" s="212" t="str">
        <f t="shared" ca="1" si="272"/>
        <v>AGRSHCOAN2</v>
      </c>
      <c r="E277" s="212" t="str">
        <f t="shared" ca="1" si="273"/>
        <v>Agriculture heating technology Agriculture SH - Coal boiler (Hot Water) - new 2</v>
      </c>
      <c r="F277" s="262" t="s">
        <v>450</v>
      </c>
      <c r="G277" s="262" t="s">
        <v>449</v>
      </c>
      <c r="H277" s="261"/>
      <c r="I277" s="261"/>
      <c r="J277" s="264" t="s">
        <v>469</v>
      </c>
    </row>
    <row r="278" spans="2:10">
      <c r="B278" s="212"/>
      <c r="C278" s="212"/>
      <c r="D278" s="212" t="str">
        <f t="shared" ca="1" si="272"/>
        <v>AGRSHSOLN1</v>
      </c>
      <c r="E278" s="212" t="str">
        <f t="shared" ca="1" si="273"/>
        <v>Agriculture heating technology Agriculture SH - Solar - new 1</v>
      </c>
      <c r="F278" s="262" t="s">
        <v>450</v>
      </c>
      <c r="G278" s="262" t="s">
        <v>449</v>
      </c>
      <c r="H278" s="263" t="s">
        <v>600</v>
      </c>
      <c r="I278" s="261"/>
      <c r="J278" s="264" t="s">
        <v>469</v>
      </c>
    </row>
    <row r="279" spans="2:10">
      <c r="B279" s="212"/>
      <c r="C279" s="212"/>
      <c r="D279" s="888" t="str">
        <f>D187</f>
        <v>AGRSHHCEN1</v>
      </c>
      <c r="E279" s="888" t="str">
        <f t="shared" si="273"/>
        <v>Agriculture heating technology Agriculture SH - central district heating - within DH area - new 1</v>
      </c>
      <c r="F279" s="262" t="s">
        <v>450</v>
      </c>
      <c r="G279" s="262" t="s">
        <v>449</v>
      </c>
      <c r="H279" s="889"/>
      <c r="I279" s="889"/>
      <c r="J279" s="263" t="s">
        <v>469</v>
      </c>
    </row>
    <row r="280" spans="2:10">
      <c r="B280" s="212"/>
      <c r="C280" s="212"/>
      <c r="D280" s="888" t="str">
        <f>D188</f>
        <v>AGRPHHCEN1</v>
      </c>
      <c r="E280" s="888" t="str">
        <f t="shared" si="273"/>
        <v>Agriculture heating technology Agriculture PH - central district heating - within DH area - new 1</v>
      </c>
      <c r="F280" s="262" t="s">
        <v>450</v>
      </c>
      <c r="G280" s="262" t="s">
        <v>449</v>
      </c>
      <c r="H280" s="889"/>
      <c r="I280" s="889"/>
      <c r="J280" s="263" t="s">
        <v>469</v>
      </c>
    </row>
    <row r="281" spans="2:10">
      <c r="B281" s="212"/>
      <c r="C281" s="212"/>
      <c r="D281" s="888" t="str">
        <f>D189</f>
        <v>AGRSHHSEN1</v>
      </c>
      <c r="E281" s="888" t="str">
        <f t="shared" si="273"/>
        <v>Agriculture heating technology Agriculture SH - central district heating - within DH area - new 1</v>
      </c>
      <c r="F281" s="262" t="s">
        <v>450</v>
      </c>
      <c r="G281" s="262" t="s">
        <v>449</v>
      </c>
      <c r="H281" s="889"/>
      <c r="I281" s="889"/>
      <c r="J281" s="263" t="s">
        <v>469</v>
      </c>
    </row>
    <row r="282" spans="2:10">
      <c r="B282" s="212"/>
      <c r="C282" s="212"/>
      <c r="D282" s="888" t="str">
        <f>D190</f>
        <v>AGRPHHSEN1</v>
      </c>
      <c r="E282" s="888" t="str">
        <f t="shared" si="273"/>
        <v>Agriculture heating technology Agriculture PH - central district heating - within DH area - new 1</v>
      </c>
      <c r="F282" s="262" t="s">
        <v>450</v>
      </c>
      <c r="G282" s="262" t="s">
        <v>449</v>
      </c>
      <c r="H282" s="889"/>
      <c r="I282" s="889"/>
      <c r="J282" s="263" t="s">
        <v>469</v>
      </c>
    </row>
    <row r="283" spans="2:10">
      <c r="B283" s="212"/>
      <c r="C283" s="212"/>
      <c r="D283" s="212" t="str">
        <f t="shared" ref="D283" si="274">D191</f>
        <v>AGRSHHDEN1</v>
      </c>
      <c r="E283" s="212" t="str">
        <f t="shared" si="273"/>
        <v>Agriculture heating technology Agriculture SH - decentral district heating - within DH area - new 1</v>
      </c>
      <c r="F283" s="262" t="s">
        <v>450</v>
      </c>
      <c r="G283" s="262" t="s">
        <v>449</v>
      </c>
      <c r="H283" s="261"/>
      <c r="I283" s="261"/>
      <c r="J283" s="264" t="s">
        <v>469</v>
      </c>
    </row>
    <row r="284" spans="2:10">
      <c r="B284" s="212"/>
      <c r="C284" s="212"/>
      <c r="D284" s="212" t="str">
        <f>D192</f>
        <v>AGRPHHDEN1</v>
      </c>
      <c r="E284" s="212" t="str">
        <f t="shared" si="273"/>
        <v>Agriculture heating technology Agriculture PH - decentral district heating - within DH area - new 1</v>
      </c>
      <c r="F284" s="262" t="s">
        <v>450</v>
      </c>
      <c r="G284" s="262" t="s">
        <v>449</v>
      </c>
      <c r="H284" s="261"/>
      <c r="I284" s="261"/>
      <c r="J284" s="264" t="s">
        <v>469</v>
      </c>
    </row>
    <row r="285" spans="2:10">
      <c r="B285" s="212"/>
      <c r="C285" s="212"/>
      <c r="D285" s="212" t="str">
        <f>D194</f>
        <v>AGRLAELCN1</v>
      </c>
      <c r="E285" s="212" t="str">
        <f t="shared" si="273"/>
        <v>Agriculture Agriculture LA Electricity Motors - New 1</v>
      </c>
      <c r="F285" s="262" t="s">
        <v>450</v>
      </c>
      <c r="G285" s="262" t="s">
        <v>449</v>
      </c>
      <c r="H285" s="261"/>
      <c r="I285" s="261"/>
      <c r="J285" s="264" t="s">
        <v>469</v>
      </c>
    </row>
    <row r="286" spans="2:10">
      <c r="B286" s="212"/>
      <c r="C286" s="212"/>
      <c r="D286" s="212" t="str">
        <f>D198</f>
        <v>AGREMELCN1</v>
      </c>
      <c r="E286" s="212" t="str">
        <f t="shared" si="273"/>
        <v>Agriculture Agriculture EM Electricity Motors - New 1</v>
      </c>
      <c r="F286" s="262" t="s">
        <v>450</v>
      </c>
      <c r="G286" s="262" t="s">
        <v>449</v>
      </c>
      <c r="H286" s="261"/>
      <c r="I286" s="261"/>
      <c r="J286" s="264" t="s">
        <v>469</v>
      </c>
    </row>
    <row r="287" spans="2:10">
      <c r="B287" s="212"/>
      <c r="C287" s="212"/>
      <c r="D287" s="212" t="str">
        <f>D202</f>
        <v>AGRTFGSBN1</v>
      </c>
      <c r="E287" s="212" t="str">
        <f t="shared" si="273"/>
        <v>Agriculture Agriculture TF Tractors, Trucks, Fishing boats - New 1</v>
      </c>
      <c r="F287" s="262" t="s">
        <v>450</v>
      </c>
      <c r="G287" s="262" t="s">
        <v>1937</v>
      </c>
      <c r="H287" s="261"/>
      <c r="I287" s="261"/>
      <c r="J287" s="264" t="s">
        <v>469</v>
      </c>
    </row>
    <row r="288" spans="2:10">
      <c r="B288" s="212"/>
      <c r="C288" s="212"/>
      <c r="D288" s="212" t="str">
        <f>D206</f>
        <v>AGRTFRH2N2</v>
      </c>
      <c r="E288" s="212" t="str">
        <f>E206</f>
        <v>Agriculture Agriculture TF Tractors, Trucks, Fishing boats - New 2</v>
      </c>
      <c r="F288" s="262" t="s">
        <v>450</v>
      </c>
      <c r="G288" s="262" t="s">
        <v>1937</v>
      </c>
      <c r="H288" s="261"/>
      <c r="I288" s="261"/>
      <c r="J288" s="264" t="s">
        <v>469</v>
      </c>
    </row>
    <row r="289" spans="2:10">
      <c r="B289" s="212"/>
      <c r="C289" s="212"/>
      <c r="D289" s="212" t="str">
        <f>D210</f>
        <v>AGRTFELCN3</v>
      </c>
      <c r="E289" s="212" t="str">
        <f>E210</f>
        <v>Agriculture Agriculture TF Tractors, Trucks, Fishing boats - New 3</v>
      </c>
      <c r="F289" s="262" t="s">
        <v>450</v>
      </c>
      <c r="G289" s="262" t="s">
        <v>1937</v>
      </c>
      <c r="H289" s="261"/>
      <c r="I289" s="261"/>
      <c r="J289" s="264" t="s">
        <v>469</v>
      </c>
    </row>
    <row r="290" spans="2:10">
      <c r="B290" s="212"/>
      <c r="C290" s="212"/>
      <c r="D290" s="212" t="str">
        <f>D214</f>
        <v>AGRFLSYNN1</v>
      </c>
      <c r="E290" s="212" t="str">
        <f>VLOOKUP(D290,$D$9:$E$218,2,FALSE)</f>
        <v>Agriculture Agriculture TF Forklifts - New 1</v>
      </c>
      <c r="F290" s="262" t="s">
        <v>450</v>
      </c>
      <c r="G290" s="262" t="s">
        <v>449</v>
      </c>
      <c r="H290" s="261"/>
      <c r="I290" s="261"/>
      <c r="J290" s="264" t="s">
        <v>469</v>
      </c>
    </row>
    <row r="291" spans="2:10">
      <c r="B291" s="212"/>
      <c r="C291" s="212"/>
      <c r="D291" s="212" t="str">
        <f>D218</f>
        <v>AGRFBGSBN1</v>
      </c>
      <c r="E291" s="212" t="str">
        <f>E218</f>
        <v>Agriculture Fishing boats - Diesel New 1</v>
      </c>
      <c r="F291" s="262" t="s">
        <v>450</v>
      </c>
      <c r="G291" s="262" t="s">
        <v>449</v>
      </c>
      <c r="H291" s="261"/>
      <c r="I291" s="261"/>
      <c r="J291" s="264" t="s">
        <v>469</v>
      </c>
    </row>
    <row r="292" spans="2:10">
      <c r="B292" s="212"/>
      <c r="C292" s="212"/>
      <c r="D292" s="212" t="str">
        <f>D219</f>
        <v>AGRCOELCN1</v>
      </c>
      <c r="E292" s="212" t="str">
        <f>E219</f>
        <v>Agriculture Agriculture  Forklifts - New 1</v>
      </c>
      <c r="F292" s="262" t="s">
        <v>450</v>
      </c>
      <c r="G292" s="262" t="s">
        <v>449</v>
      </c>
      <c r="H292" s="261" t="s">
        <v>600</v>
      </c>
      <c r="I292" s="261"/>
      <c r="J292" s="264"/>
    </row>
    <row r="293" spans="2:10">
      <c r="B293" s="212"/>
      <c r="C293" s="212"/>
      <c r="D293" s="212"/>
      <c r="E293" s="212"/>
      <c r="F293" s="262"/>
      <c r="G293" s="262"/>
      <c r="H293" s="261"/>
      <c r="I293" s="261"/>
      <c r="J293" s="264"/>
    </row>
    <row r="294" spans="2:10">
      <c r="D294" s="212"/>
      <c r="E294" s="212"/>
    </row>
    <row r="295" spans="2:10">
      <c r="B295" s="213" t="s">
        <v>448</v>
      </c>
      <c r="C295" s="213"/>
      <c r="D295" s="214"/>
      <c r="E295" s="214"/>
      <c r="F295" s="214"/>
      <c r="G295" s="214"/>
      <c r="H295" s="214"/>
      <c r="I295" s="214"/>
      <c r="J295" s="214"/>
    </row>
    <row r="296" spans="2:10">
      <c r="B296" s="209" t="s">
        <v>447</v>
      </c>
      <c r="C296" s="209" t="s">
        <v>446</v>
      </c>
      <c r="D296" s="209" t="s">
        <v>445</v>
      </c>
      <c r="E296" s="209" t="s">
        <v>444</v>
      </c>
      <c r="F296" s="209" t="s">
        <v>435</v>
      </c>
      <c r="G296" s="209" t="s">
        <v>443</v>
      </c>
      <c r="H296" s="209" t="s">
        <v>442</v>
      </c>
      <c r="I296" s="209" t="s">
        <v>441</v>
      </c>
      <c r="J296" s="209" t="s">
        <v>440</v>
      </c>
    </row>
    <row r="297" spans="2:10" ht="21" thickBot="1">
      <c r="B297" s="215" t="s">
        <v>439</v>
      </c>
      <c r="C297" s="216" t="s">
        <v>438</v>
      </c>
      <c r="D297" s="216" t="s">
        <v>437</v>
      </c>
      <c r="E297" s="216" t="s">
        <v>436</v>
      </c>
      <c r="F297" s="216" t="s">
        <v>435</v>
      </c>
      <c r="G297" s="216" t="s">
        <v>434</v>
      </c>
      <c r="H297" s="216" t="s">
        <v>433</v>
      </c>
      <c r="I297" s="216" t="s">
        <v>432</v>
      </c>
      <c r="J297" s="216" t="s">
        <v>431</v>
      </c>
    </row>
    <row r="298" spans="2:10">
      <c r="B298" s="217" t="s">
        <v>430</v>
      </c>
      <c r="C298" s="218"/>
      <c r="D298" s="260" t="str">
        <f>"I"&amp;LEFT($AJ$12,1)&amp;"DSOx"</f>
        <v>IADSOx</v>
      </c>
      <c r="E298" s="270" t="str">
        <f>"Agriculture heating  heating technology "&amp;$AJ$12&amp;" - SOx emission"</f>
        <v>Agriculture heating  heating technology Agriculture - SOx emission</v>
      </c>
      <c r="F298" s="219" t="s">
        <v>352</v>
      </c>
      <c r="G298" s="211"/>
      <c r="H298" s="211"/>
      <c r="I298" s="211"/>
      <c r="J298" s="211"/>
    </row>
    <row r="299" spans="2:10">
      <c r="B299" s="214"/>
      <c r="C299" s="214"/>
      <c r="D299" s="260" t="str">
        <f>"I"&amp;LEFT($AJ$12,1)&amp;"DNOx"</f>
        <v>IADNOx</v>
      </c>
      <c r="E299" s="270" t="str">
        <f>"Agriculture heating  heating technology "&amp;$AJ$12&amp;" - NOx emission"</f>
        <v>Agriculture heating  heating technology Agriculture - NOx emission</v>
      </c>
      <c r="F299" s="219" t="s">
        <v>352</v>
      </c>
      <c r="G299" s="211"/>
      <c r="H299" s="214"/>
      <c r="I299" s="214"/>
      <c r="J299" s="214"/>
    </row>
    <row r="300" spans="2:10">
      <c r="B300" s="214"/>
      <c r="C300" s="214"/>
      <c r="D300" s="260" t="str">
        <f>"I"&amp;LEFT($AJ$12,1)&amp;"DCH4"</f>
        <v>IADCH4</v>
      </c>
      <c r="E300" s="270" t="str">
        <f>"Agriculture heating  heating technology "&amp;$AJ$12&amp;" - CH4 emission"</f>
        <v>Agriculture heating  heating technology Agriculture - CH4 emission</v>
      </c>
      <c r="F300" s="219" t="s">
        <v>352</v>
      </c>
      <c r="G300" s="211"/>
      <c r="H300" s="214"/>
      <c r="I300" s="214"/>
      <c r="J300" s="214"/>
    </row>
    <row r="301" spans="2:10">
      <c r="B301" s="214"/>
      <c r="C301" s="214"/>
      <c r="D301" s="260" t="str">
        <f>"I"&amp;LEFT($AJ$12,1)&amp;"DNO2"</f>
        <v>IADNO2</v>
      </c>
      <c r="E301" s="270" t="str">
        <f>"Agriculture heating  heating technology "&amp;$AJ$12&amp;" - NO2 emission"</f>
        <v>Agriculture heating  heating technology Agriculture - NO2 emission</v>
      </c>
      <c r="F301" s="219" t="s">
        <v>352</v>
      </c>
      <c r="G301" s="211"/>
      <c r="H301" s="214"/>
      <c r="I301" s="214"/>
      <c r="J301" s="214"/>
    </row>
    <row r="302" spans="2:10">
      <c r="B302" s="214"/>
      <c r="C302" s="214"/>
      <c r="D302" s="260" t="str">
        <f>"I"&amp;LEFT($AJ$12,1)&amp;"DPM"</f>
        <v>IADPM</v>
      </c>
      <c r="E302" s="270" t="str">
        <f>"Agriculture heating  heating technology "&amp;$AJ$12&amp;" - Particle emission"</f>
        <v>Agriculture heating  heating technology Agriculture - Particle emission</v>
      </c>
      <c r="F302" s="219" t="s">
        <v>352</v>
      </c>
      <c r="G302" s="211"/>
      <c r="H302" s="214"/>
      <c r="I302" s="214"/>
      <c r="J302" s="214"/>
    </row>
    <row r="303" spans="2:10">
      <c r="B303" s="224" t="s">
        <v>1019</v>
      </c>
      <c r="D303" s="224" t="str">
        <f>AI20</f>
        <v>AGRGWH</v>
      </c>
      <c r="E303" s="270" t="str">
        <f>"Agriculture heating technology "&amp;$AJ$12&amp;" - Waste heat"</f>
        <v>Agriculture heating technology Agriculture - Waste heat</v>
      </c>
      <c r="F303" s="263" t="s">
        <v>450</v>
      </c>
    </row>
  </sheetData>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3DE310B-E851-4BE0-B70C-7C925933B753}">
          <x14:formula1>
            <xm:f>'Oil-fired boiler_NEW'!$T$4:$X$4</xm:f>
          </x14:formula1>
          <xm:sqref>E1</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072A8-A721-4E40-88EE-BB1F0F28A315}">
  <sheetPr>
    <tabColor rgb="FFFFFF00"/>
  </sheetPr>
  <dimension ref="A2:AR387"/>
  <sheetViews>
    <sheetView zoomScale="70" zoomScaleNormal="70" workbookViewId="0">
      <selection activeCell="H16" sqref="H16"/>
    </sheetView>
  </sheetViews>
  <sheetFormatPr defaultColWidth="8.77734375" defaultRowHeight="14.4" outlineLevelRow="1"/>
  <cols>
    <col min="1" max="1" width="42.6640625" style="224" bestFit="1" customWidth="1"/>
    <col min="2" max="2" width="63.44140625" style="224" bestFit="1" customWidth="1"/>
    <col min="3" max="3" width="11.44140625" style="224" customWidth="1"/>
    <col min="4" max="6" width="11" style="224" bestFit="1" customWidth="1"/>
    <col min="7" max="12" width="11" style="224" customWidth="1"/>
    <col min="13" max="13" width="8.77734375" style="224"/>
    <col min="14" max="14" width="4.44140625" style="224" customWidth="1"/>
    <col min="15" max="15" width="15.77734375" style="224" customWidth="1"/>
    <col min="16" max="16" width="11" style="224" bestFit="1" customWidth="1"/>
    <col min="17" max="17" width="12" style="224" customWidth="1"/>
    <col min="18" max="18" width="11.33203125" style="224" customWidth="1"/>
    <col min="19" max="20" width="8.77734375" style="224"/>
    <col min="21" max="21" width="15.21875" style="224" customWidth="1"/>
    <col min="22" max="22" width="10" style="224" customWidth="1"/>
    <col min="23" max="24" width="8.77734375" style="224"/>
    <col min="25" max="25" width="28.21875" style="224" customWidth="1"/>
    <col min="26" max="16384" width="8.77734375" style="224"/>
  </cols>
  <sheetData>
    <row r="2" spans="1:29">
      <c r="B2" s="637" t="str">
        <f>C7</f>
        <v>Post-combustion carbon capture retrofit - 100 MW(th) WtE or biomass CHP plant</v>
      </c>
    </row>
    <row r="4" spans="1:29" ht="25.05" customHeight="1">
      <c r="E4" s="224" t="s">
        <v>358</v>
      </c>
      <c r="F4" s="358">
        <v>7.45</v>
      </c>
      <c r="G4" s="358" t="s">
        <v>328</v>
      </c>
      <c r="O4" s="843" t="s">
        <v>445</v>
      </c>
      <c r="P4" s="844" t="s">
        <v>1076</v>
      </c>
      <c r="Q4" s="845" t="s">
        <v>1077</v>
      </c>
      <c r="R4" s="845" t="s">
        <v>1078</v>
      </c>
      <c r="S4" s="845" t="s">
        <v>1079</v>
      </c>
      <c r="T4" s="845" t="s">
        <v>1080</v>
      </c>
      <c r="U4" s="845" t="s">
        <v>1081</v>
      </c>
      <c r="V4" s="845" t="s">
        <v>1082</v>
      </c>
      <c r="W4" s="845" t="s">
        <v>1083</v>
      </c>
      <c r="X4" s="845" t="s">
        <v>1084</v>
      </c>
      <c r="Y4" s="845" t="s">
        <v>1085</v>
      </c>
      <c r="Z4" s="845" t="s">
        <v>1086</v>
      </c>
      <c r="AA4" s="845" t="s">
        <v>1087</v>
      </c>
      <c r="AB4" s="845" t="s">
        <v>1088</v>
      </c>
      <c r="AC4" s="845" t="s">
        <v>1089</v>
      </c>
    </row>
    <row r="5" spans="1:29" ht="15" customHeight="1" thickBot="1">
      <c r="A5" s="359" t="s">
        <v>979</v>
      </c>
      <c r="B5" s="1204"/>
      <c r="C5" s="1140"/>
      <c r="D5" s="1140"/>
      <c r="E5" s="1140"/>
      <c r="F5" s="1140"/>
      <c r="G5" s="1140"/>
      <c r="H5" s="1140"/>
      <c r="I5" s="1140"/>
      <c r="J5" s="1140"/>
      <c r="K5" s="1140"/>
      <c r="L5" s="1140"/>
      <c r="M5" s="1140"/>
      <c r="N5" s="360"/>
      <c r="O5" s="846" t="s">
        <v>1090</v>
      </c>
      <c r="P5" s="847" t="s">
        <v>1091</v>
      </c>
      <c r="Q5" s="847" t="s">
        <v>1091</v>
      </c>
      <c r="R5" s="847" t="s">
        <v>1091</v>
      </c>
      <c r="S5" s="847" t="s">
        <v>1091</v>
      </c>
      <c r="T5" s="847" t="s">
        <v>1091</v>
      </c>
      <c r="U5" s="847" t="s">
        <v>1091</v>
      </c>
      <c r="V5" s="847" t="s">
        <v>1091</v>
      </c>
      <c r="W5" s="847" t="s">
        <v>1091</v>
      </c>
      <c r="X5" s="847" t="s">
        <v>1091</v>
      </c>
      <c r="Y5" s="847" t="s">
        <v>1091</v>
      </c>
      <c r="Z5" s="847" t="s">
        <v>1091</v>
      </c>
      <c r="AA5" s="847" t="s">
        <v>1091</v>
      </c>
      <c r="AB5" s="847" t="s">
        <v>1091</v>
      </c>
      <c r="AC5" s="847" t="s">
        <v>1091</v>
      </c>
    </row>
    <row r="6" spans="1:29" ht="15.75" customHeight="1" outlineLevel="1">
      <c r="B6" s="1204"/>
      <c r="C6" s="1140"/>
      <c r="D6" s="1140"/>
      <c r="E6" s="1140"/>
      <c r="F6" s="1140"/>
      <c r="G6" s="1140"/>
      <c r="H6" s="1140"/>
      <c r="I6" s="1140"/>
      <c r="J6" s="1140"/>
      <c r="K6" s="1140"/>
      <c r="L6" s="1140"/>
      <c r="M6" s="1140"/>
      <c r="N6" s="360"/>
      <c r="O6" s="848" t="s">
        <v>1092</v>
      </c>
      <c r="P6" s="849">
        <v>94.6</v>
      </c>
      <c r="Q6" s="849">
        <v>79.28</v>
      </c>
      <c r="R6" s="849">
        <v>74</v>
      </c>
      <c r="S6" s="849">
        <v>56.95</v>
      </c>
      <c r="T6" s="849">
        <v>0</v>
      </c>
      <c r="U6" s="849">
        <v>0</v>
      </c>
      <c r="V6" s="849">
        <v>0</v>
      </c>
      <c r="W6" s="849">
        <v>0</v>
      </c>
      <c r="X6" s="849">
        <v>37</v>
      </c>
      <c r="Y6" s="849">
        <v>0</v>
      </c>
      <c r="Z6" s="849">
        <v>0</v>
      </c>
      <c r="AA6" s="849">
        <v>0</v>
      </c>
      <c r="AB6" s="849">
        <v>0</v>
      </c>
      <c r="AC6" s="849">
        <v>0</v>
      </c>
    </row>
    <row r="7" spans="1:29" ht="20.25" customHeight="1" outlineLevel="1">
      <c r="B7" s="732" t="s">
        <v>0</v>
      </c>
      <c r="C7" s="1205" t="s">
        <v>980</v>
      </c>
      <c r="D7" s="1210"/>
      <c r="E7" s="1210"/>
      <c r="F7" s="1210"/>
      <c r="G7" s="1210"/>
      <c r="H7" s="1210"/>
      <c r="I7" s="1210"/>
      <c r="J7" s="1210"/>
      <c r="K7" s="1210"/>
      <c r="L7" s="1210"/>
      <c r="M7" s="1211"/>
      <c r="N7" s="362"/>
    </row>
    <row r="8" spans="1:29" ht="15" customHeight="1" outlineLevel="1">
      <c r="B8" s="733"/>
      <c r="C8" s="750">
        <v>2020</v>
      </c>
      <c r="D8" s="750">
        <v>2025</v>
      </c>
      <c r="E8" s="751">
        <v>2030</v>
      </c>
      <c r="F8" s="751">
        <v>2040</v>
      </c>
      <c r="G8" s="752">
        <v>2050</v>
      </c>
      <c r="H8" s="1208" t="s">
        <v>981</v>
      </c>
      <c r="I8" s="1209"/>
      <c r="J8" s="1208" t="s">
        <v>628</v>
      </c>
      <c r="K8" s="1209"/>
      <c r="L8" s="751" t="s">
        <v>2</v>
      </c>
      <c r="M8" s="734" t="s">
        <v>3</v>
      </c>
      <c r="N8" s="366"/>
      <c r="P8" s="224">
        <f>C11*C16</f>
        <v>26.655999999999999</v>
      </c>
    </row>
    <row r="9" spans="1:29" outlineLevel="1">
      <c r="B9" s="733"/>
      <c r="C9" s="753"/>
      <c r="D9" s="754"/>
      <c r="E9" s="755"/>
      <c r="F9" s="755"/>
      <c r="G9" s="755"/>
      <c r="H9" s="756" t="s">
        <v>629</v>
      </c>
      <c r="I9" s="756" t="s">
        <v>630</v>
      </c>
      <c r="J9" s="756" t="s">
        <v>629</v>
      </c>
      <c r="K9" s="756" t="s">
        <v>630</v>
      </c>
      <c r="L9" s="755"/>
      <c r="M9" s="735"/>
      <c r="N9" s="369"/>
    </row>
    <row r="10" spans="1:29" outlineLevel="1">
      <c r="B10" s="736" t="s">
        <v>4</v>
      </c>
      <c r="C10" s="755"/>
      <c r="D10" s="755"/>
      <c r="E10" s="755"/>
      <c r="F10" s="755"/>
      <c r="G10" s="755"/>
      <c r="H10" s="755"/>
      <c r="I10" s="755"/>
      <c r="J10" s="755"/>
      <c r="K10" s="755"/>
      <c r="L10" s="755"/>
      <c r="M10" s="735"/>
      <c r="N10" s="369"/>
    </row>
    <row r="11" spans="1:29" ht="24.6" customHeight="1" outlineLevel="1">
      <c r="A11" s="808">
        <f>1/A12</f>
        <v>0.32</v>
      </c>
      <c r="B11" s="737" t="s">
        <v>982</v>
      </c>
      <c r="C11" s="757">
        <v>32</v>
      </c>
      <c r="D11" s="757">
        <v>32</v>
      </c>
      <c r="E11" s="757">
        <v>32</v>
      </c>
      <c r="F11" s="757">
        <v>34</v>
      </c>
      <c r="G11" s="757">
        <v>34</v>
      </c>
      <c r="H11" s="757">
        <v>30</v>
      </c>
      <c r="I11" s="757">
        <v>34</v>
      </c>
      <c r="J11" s="757">
        <v>33</v>
      </c>
      <c r="K11" s="757">
        <v>35</v>
      </c>
      <c r="L11" s="757" t="s">
        <v>6</v>
      </c>
      <c r="M11" s="738"/>
      <c r="N11" s="369"/>
      <c r="P11" s="224">
        <f>57/P12</f>
        <v>0.17093159999999996</v>
      </c>
    </row>
    <row r="12" spans="1:29" ht="32.549999999999997" customHeight="1" outlineLevel="1">
      <c r="A12" s="224">
        <f>100/32</f>
        <v>3.125</v>
      </c>
      <c r="B12" s="739" t="s">
        <v>983</v>
      </c>
      <c r="C12" s="758"/>
      <c r="D12" s="758"/>
      <c r="E12" s="758"/>
      <c r="F12" s="758"/>
      <c r="G12" s="758"/>
      <c r="H12" s="758"/>
      <c r="I12" s="758"/>
      <c r="J12" s="758"/>
      <c r="K12" s="758"/>
      <c r="L12" s="758"/>
      <c r="M12" s="740"/>
      <c r="N12" s="369"/>
      <c r="O12" s="224" t="s">
        <v>1035</v>
      </c>
      <c r="P12" s="224">
        <f>P13*1/3.6*1000000/1000</f>
        <v>333.46672002134193</v>
      </c>
      <c r="Q12" s="224">
        <f t="shared" ref="Q12:T12" si="0">Q13*1/3.6*1000000/1000</f>
        <v>333.46672002134193</v>
      </c>
      <c r="R12" s="224">
        <f t="shared" si="0"/>
        <v>385.80246913580248</v>
      </c>
      <c r="S12" s="224">
        <f t="shared" si="0"/>
        <v>420.87542087542084</v>
      </c>
      <c r="T12" s="224">
        <f t="shared" si="0"/>
        <v>420.87542087542084</v>
      </c>
    </row>
    <row r="13" spans="1:29" outlineLevel="1">
      <c r="A13" s="224">
        <f>500/164</f>
        <v>3.0487804878048781</v>
      </c>
      <c r="B13" s="737" t="s">
        <v>984</v>
      </c>
      <c r="C13" s="757">
        <v>5.0999999999999996</v>
      </c>
      <c r="D13" s="757">
        <v>5.0999999999999996</v>
      </c>
      <c r="E13" s="757">
        <v>5.0999999999999996</v>
      </c>
      <c r="F13" s="757">
        <v>4.9000000000000004</v>
      </c>
      <c r="G13" s="757">
        <v>4.9000000000000004</v>
      </c>
      <c r="H13" s="757">
        <v>4.8</v>
      </c>
      <c r="I13" s="757">
        <v>6</v>
      </c>
      <c r="J13" s="757">
        <v>4.7</v>
      </c>
      <c r="K13" s="757">
        <v>6</v>
      </c>
      <c r="L13" s="757"/>
      <c r="M13" s="738"/>
      <c r="N13" s="369"/>
      <c r="O13" s="802"/>
      <c r="P13" s="224">
        <f>1/C16</f>
        <v>1.2004801920768309</v>
      </c>
      <c r="Q13" s="224">
        <f>1/D16</f>
        <v>1.2004801920768309</v>
      </c>
      <c r="R13" s="224">
        <f>1/E16</f>
        <v>1.3888888888888888</v>
      </c>
      <c r="S13" s="224">
        <f>1/F16</f>
        <v>1.5151515151515151</v>
      </c>
      <c r="T13" s="224">
        <f>1/G16</f>
        <v>1.5151515151515151</v>
      </c>
    </row>
    <row r="14" spans="1:29" ht="15" customHeight="1" outlineLevel="1">
      <c r="A14" s="224">
        <f>26.7/32</f>
        <v>0.83437499999999998</v>
      </c>
      <c r="B14" s="741" t="s">
        <v>985</v>
      </c>
      <c r="C14" s="759">
        <v>15</v>
      </c>
      <c r="D14" s="759">
        <v>15</v>
      </c>
      <c r="E14" s="759">
        <v>15</v>
      </c>
      <c r="F14" s="759">
        <v>15</v>
      </c>
      <c r="G14" s="759">
        <v>15</v>
      </c>
      <c r="H14" s="759">
        <v>12</v>
      </c>
      <c r="I14" s="759">
        <v>15</v>
      </c>
      <c r="J14" s="759">
        <v>12</v>
      </c>
      <c r="K14" s="759">
        <v>15</v>
      </c>
      <c r="L14" s="759"/>
      <c r="M14" s="742"/>
      <c r="N14" s="369"/>
    </row>
    <row r="15" spans="1:29" outlineLevel="1">
      <c r="B15" s="741" t="s">
        <v>986</v>
      </c>
      <c r="C15" s="757">
        <v>35</v>
      </c>
      <c r="D15" s="757">
        <v>35</v>
      </c>
      <c r="E15" s="757">
        <v>35</v>
      </c>
      <c r="F15" s="757">
        <v>35</v>
      </c>
      <c r="G15" s="757">
        <v>35</v>
      </c>
      <c r="H15" s="757">
        <v>30</v>
      </c>
      <c r="I15" s="757">
        <v>40</v>
      </c>
      <c r="J15" s="757">
        <v>30</v>
      </c>
      <c r="K15" s="757">
        <v>40</v>
      </c>
      <c r="L15" s="757" t="s">
        <v>59</v>
      </c>
      <c r="M15" s="738"/>
      <c r="N15" s="366"/>
      <c r="T15" s="224" t="s">
        <v>1052</v>
      </c>
      <c r="U15" s="224" t="s">
        <v>1052</v>
      </c>
      <c r="V15" s="224" t="s">
        <v>1062</v>
      </c>
      <c r="W15" s="710" t="s">
        <v>1063</v>
      </c>
    </row>
    <row r="16" spans="1:29" outlineLevel="1">
      <c r="B16" s="803" t="s">
        <v>987</v>
      </c>
      <c r="C16" s="804">
        <f>0.833</f>
        <v>0.83299999999999996</v>
      </c>
      <c r="D16" s="804">
        <v>0.83299999999999996</v>
      </c>
      <c r="E16" s="804">
        <v>0.72</v>
      </c>
      <c r="F16" s="804">
        <v>0.66</v>
      </c>
      <c r="G16" s="804">
        <v>0.66</v>
      </c>
      <c r="H16" s="805">
        <v>0.66</v>
      </c>
      <c r="I16" s="805">
        <v>1</v>
      </c>
      <c r="J16" s="805">
        <v>0.55000000000000004</v>
      </c>
      <c r="K16" s="805">
        <v>0.72</v>
      </c>
      <c r="L16" s="805" t="s">
        <v>16</v>
      </c>
      <c r="M16" s="744"/>
      <c r="N16" s="362"/>
      <c r="P16" s="224">
        <f>P17/P13</f>
        <v>0.17078165999999997</v>
      </c>
      <c r="T16" s="224" t="s">
        <v>1049</v>
      </c>
      <c r="U16" s="224" t="s">
        <v>1050</v>
      </c>
      <c r="V16" s="224" t="s">
        <v>1051</v>
      </c>
    </row>
    <row r="17" spans="1:36" outlineLevel="1">
      <c r="B17" s="806" t="s">
        <v>988</v>
      </c>
      <c r="C17" s="807">
        <v>0.03</v>
      </c>
      <c r="D17" s="807">
        <v>0.03</v>
      </c>
      <c r="E17" s="807">
        <v>2.5000000000000001E-2</v>
      </c>
      <c r="F17" s="807">
        <v>2.3E-2</v>
      </c>
      <c r="G17" s="807">
        <v>0.02</v>
      </c>
      <c r="H17" s="807">
        <v>2.5000000000000001E-2</v>
      </c>
      <c r="I17" s="807">
        <v>3.5000000000000003E-2</v>
      </c>
      <c r="J17" s="807">
        <v>1.7000000000000001E-2</v>
      </c>
      <c r="K17" s="807">
        <v>2.5000000000000001E-2</v>
      </c>
      <c r="L17" s="807" t="s">
        <v>20</v>
      </c>
      <c r="M17" s="742"/>
      <c r="N17" s="362"/>
      <c r="O17" s="224" t="s">
        <v>1047</v>
      </c>
      <c r="P17" s="224">
        <f>S6/1*3.6/1000000*1000</f>
        <v>0.20502000000000001</v>
      </c>
      <c r="Q17" s="224" t="s">
        <v>1046</v>
      </c>
      <c r="S17" s="224">
        <f>P17/0.9</f>
        <v>0.2278</v>
      </c>
      <c r="T17" s="36">
        <f>S17*C33*7.45</f>
        <v>5.6004629999999995</v>
      </c>
      <c r="U17" s="36">
        <f>S17*C39*7.45</f>
        <v>0.16801389</v>
      </c>
      <c r="V17" s="36">
        <f>S17*C40*7.45/3.6</f>
        <v>1.178548611111111</v>
      </c>
    </row>
    <row r="18" spans="1:36" outlineLevel="1">
      <c r="B18" s="743" t="s">
        <v>989</v>
      </c>
      <c r="C18" s="760">
        <v>0.3</v>
      </c>
      <c r="D18" s="760">
        <v>0.3</v>
      </c>
      <c r="E18" s="760">
        <v>0.2</v>
      </c>
      <c r="F18" s="760">
        <v>0.15</v>
      </c>
      <c r="G18" s="760">
        <v>0.1</v>
      </c>
      <c r="H18" s="760">
        <v>0.15</v>
      </c>
      <c r="I18" s="760">
        <v>1.5</v>
      </c>
      <c r="J18" s="760">
        <v>0.05</v>
      </c>
      <c r="K18" s="760">
        <v>0.3</v>
      </c>
      <c r="L18" s="760"/>
      <c r="M18" s="744"/>
      <c r="N18" s="362"/>
      <c r="P18" s="224">
        <f>1/P17</f>
        <v>4.8775729197151492</v>
      </c>
      <c r="Q18" s="224" t="s">
        <v>1048</v>
      </c>
      <c r="T18" s="36">
        <f>0.998*6.32</f>
        <v>6.3073600000000001</v>
      </c>
    </row>
    <row r="19" spans="1:36" ht="15" outlineLevel="1" thickBot="1">
      <c r="B19" s="737" t="s">
        <v>990</v>
      </c>
      <c r="C19" s="761"/>
      <c r="D19" s="757"/>
      <c r="E19" s="757"/>
      <c r="F19" s="757"/>
      <c r="G19" s="757"/>
      <c r="H19" s="757"/>
      <c r="I19" s="757"/>
      <c r="J19" s="757"/>
      <c r="K19" s="757"/>
      <c r="L19" s="757"/>
      <c r="M19" s="738"/>
      <c r="N19" s="362"/>
    </row>
    <row r="20" spans="1:36" outlineLevel="1">
      <c r="B20" s="739" t="s">
        <v>991</v>
      </c>
      <c r="C20" s="758"/>
      <c r="D20" s="758"/>
      <c r="E20" s="758"/>
      <c r="F20" s="758"/>
      <c r="G20" s="758"/>
      <c r="H20" s="758"/>
      <c r="I20" s="758"/>
      <c r="J20" s="758"/>
      <c r="K20" s="758"/>
      <c r="L20" s="758"/>
      <c r="M20" s="740"/>
      <c r="N20" s="362"/>
      <c r="O20" s="856"/>
      <c r="P20" s="861" t="s">
        <v>1095</v>
      </c>
      <c r="Q20" s="857" t="s">
        <v>1046</v>
      </c>
      <c r="R20" s="857" t="s">
        <v>1096</v>
      </c>
      <c r="S20" s="857" t="s">
        <v>1093</v>
      </c>
      <c r="T20" s="858" t="s">
        <v>1049</v>
      </c>
      <c r="U20" s="857" t="s">
        <v>1050</v>
      </c>
      <c r="V20" s="857" t="s">
        <v>1051</v>
      </c>
      <c r="W20" s="857" t="s">
        <v>1064</v>
      </c>
      <c r="X20" s="857" t="s">
        <v>337</v>
      </c>
      <c r="Y20" s="862" t="s">
        <v>1066</v>
      </c>
      <c r="Z20" s="857"/>
      <c r="AA20" s="857"/>
      <c r="AB20" s="859"/>
      <c r="AC20" s="850"/>
      <c r="AD20" s="850"/>
      <c r="AE20" s="850"/>
      <c r="AF20" s="850"/>
      <c r="AG20" s="850"/>
      <c r="AH20" s="850"/>
      <c r="AI20" s="850"/>
      <c r="AJ20" s="851"/>
    </row>
    <row r="21" spans="1:36" outlineLevel="1">
      <c r="B21" s="745" t="s">
        <v>992</v>
      </c>
      <c r="C21" s="757">
        <v>97</v>
      </c>
      <c r="D21" s="757">
        <v>97</v>
      </c>
      <c r="E21" s="757">
        <v>98</v>
      </c>
      <c r="F21" s="757">
        <v>99</v>
      </c>
      <c r="G21" s="757">
        <v>99</v>
      </c>
      <c r="H21" s="757">
        <v>96</v>
      </c>
      <c r="I21" s="757">
        <v>98</v>
      </c>
      <c r="J21" s="757">
        <v>98</v>
      </c>
      <c r="K21" s="757">
        <v>99</v>
      </c>
      <c r="L21" s="757" t="s">
        <v>76</v>
      </c>
      <c r="M21" s="738"/>
      <c r="N21" s="362"/>
      <c r="O21" s="852"/>
      <c r="P21" s="271"/>
      <c r="Q21" s="203"/>
      <c r="R21" s="203"/>
      <c r="S21" s="203"/>
      <c r="T21" s="203" t="s">
        <v>1052</v>
      </c>
      <c r="U21" s="203" t="s">
        <v>1052</v>
      </c>
      <c r="V21" s="203" t="s">
        <v>1062</v>
      </c>
      <c r="W21" s="203" t="s">
        <v>1094</v>
      </c>
      <c r="X21" s="203"/>
      <c r="Y21" s="355" t="s">
        <v>1067</v>
      </c>
      <c r="Z21" s="55"/>
      <c r="AA21" s="55"/>
      <c r="AB21" s="853"/>
      <c r="AC21" s="55"/>
      <c r="AD21" s="55"/>
      <c r="AE21" s="55"/>
      <c r="AF21" s="55"/>
      <c r="AG21" s="55"/>
      <c r="AH21" s="55"/>
      <c r="AI21" s="55"/>
      <c r="AJ21" s="853"/>
    </row>
    <row r="22" spans="1:36" outlineLevel="1">
      <c r="B22" s="745" t="s">
        <v>993</v>
      </c>
      <c r="C22" s="757">
        <v>160</v>
      </c>
      <c r="D22" s="757">
        <v>160</v>
      </c>
      <c r="E22" s="757">
        <v>300</v>
      </c>
      <c r="F22" s="757">
        <v>400</v>
      </c>
      <c r="G22" s="757">
        <v>400</v>
      </c>
      <c r="H22" s="757">
        <v>120</v>
      </c>
      <c r="I22" s="757">
        <v>300</v>
      </c>
      <c r="J22" s="757">
        <v>300</v>
      </c>
      <c r="K22" s="757">
        <v>600</v>
      </c>
      <c r="L22" s="757" t="s">
        <v>25</v>
      </c>
      <c r="M22" s="738"/>
      <c r="N22" s="419"/>
      <c r="O22" s="860" t="s">
        <v>1047</v>
      </c>
      <c r="P22" s="863">
        <v>2020</v>
      </c>
      <c r="Q22" s="882">
        <f>$S$6/1*3.6/1000000*1000</f>
        <v>0.20502000000000001</v>
      </c>
      <c r="R22" s="864">
        <f>C23/100</f>
        <v>0.9</v>
      </c>
      <c r="S22" s="882">
        <f>Q22/R22</f>
        <v>0.2278</v>
      </c>
      <c r="T22" s="882">
        <f>S22*C33*F4</f>
        <v>5.6004629999999995</v>
      </c>
      <c r="U22" s="882">
        <f>S22*C39*$F$4</f>
        <v>0.16801389</v>
      </c>
      <c r="V22" s="882">
        <f>S22*C40*$F$4/3.6</f>
        <v>1.178548611111111</v>
      </c>
      <c r="W22" s="882">
        <f>C17/S22</f>
        <v>0.13169446883230904</v>
      </c>
      <c r="X22" s="864">
        <f>VLOOKUP($P22,'Natural gas boiler_New'!$P$39:$AD$42,3,FALSE)</f>
        <v>0.92</v>
      </c>
      <c r="Y22" s="885">
        <f>$S$6/R22/X22</f>
        <v>68.780193236714979</v>
      </c>
      <c r="Z22" s="55"/>
      <c r="AA22" s="55"/>
      <c r="AB22" s="853"/>
      <c r="AC22" s="55"/>
      <c r="AD22" s="55"/>
      <c r="AE22" s="55"/>
      <c r="AF22" s="55"/>
      <c r="AG22" s="55"/>
      <c r="AH22" s="55"/>
      <c r="AI22" s="55"/>
      <c r="AJ22" s="853"/>
    </row>
    <row r="23" spans="1:36" ht="38.25" customHeight="1" outlineLevel="1">
      <c r="B23" s="737" t="s">
        <v>994</v>
      </c>
      <c r="C23" s="757">
        <v>90</v>
      </c>
      <c r="D23" s="757">
        <v>90</v>
      </c>
      <c r="E23" s="757">
        <v>90</v>
      </c>
      <c r="F23" s="757">
        <v>95</v>
      </c>
      <c r="G23" s="757">
        <v>95</v>
      </c>
      <c r="H23" s="757">
        <v>85</v>
      </c>
      <c r="I23" s="757">
        <v>95</v>
      </c>
      <c r="J23" s="757">
        <v>92</v>
      </c>
      <c r="K23" s="757">
        <v>99</v>
      </c>
      <c r="L23" s="757" t="s">
        <v>33</v>
      </c>
      <c r="M23" s="738"/>
      <c r="N23" s="427"/>
      <c r="O23" s="852"/>
      <c r="P23" s="865">
        <v>2030</v>
      </c>
      <c r="Q23" s="883">
        <f t="shared" ref="Q23:Q24" si="1">$S$6/1*3.6/1000000*1000</f>
        <v>0.20502000000000001</v>
      </c>
      <c r="R23" s="866">
        <f>E23/100</f>
        <v>0.9</v>
      </c>
      <c r="S23" s="883">
        <f t="shared" ref="S23:S24" si="2">Q23/R23</f>
        <v>0.2278</v>
      </c>
      <c r="T23" s="883">
        <f>S23*E33*F4</f>
        <v>4.5821970000000007</v>
      </c>
      <c r="U23" s="883">
        <f>S23*E39*$F$4</f>
        <v>0.13746591</v>
      </c>
      <c r="V23" s="883">
        <f>S23*E40*$F$4/3.6</f>
        <v>1.178548611111111</v>
      </c>
      <c r="W23" s="883">
        <f>E17/S23</f>
        <v>0.10974539069359088</v>
      </c>
      <c r="X23" s="866">
        <f>VLOOKUP($P23,'Natural gas boiler_New'!$P$39:$AD$42,3,FALSE)</f>
        <v>0.93</v>
      </c>
      <c r="Y23" s="886">
        <f t="shared" ref="Y23:Y24" si="3">$S$6/R23/X23</f>
        <v>68.040621266427721</v>
      </c>
      <c r="Z23" s="55"/>
      <c r="AA23" s="55"/>
      <c r="AB23" s="853"/>
      <c r="AC23" s="55"/>
      <c r="AD23" s="55"/>
      <c r="AE23" s="55"/>
      <c r="AF23" s="55"/>
      <c r="AG23" s="55"/>
      <c r="AH23" s="55"/>
      <c r="AI23" s="55"/>
      <c r="AJ23" s="853"/>
    </row>
    <row r="24" spans="1:36" ht="15" outlineLevel="1" thickBot="1">
      <c r="B24" s="737" t="s">
        <v>995</v>
      </c>
      <c r="C24" s="757">
        <v>0.83299999999999996</v>
      </c>
      <c r="D24" s="757">
        <v>0.83299999999999996</v>
      </c>
      <c r="E24" s="757">
        <v>0.72</v>
      </c>
      <c r="F24" s="757">
        <v>0.66</v>
      </c>
      <c r="G24" s="757">
        <v>0.66</v>
      </c>
      <c r="H24" s="760">
        <v>0.66</v>
      </c>
      <c r="I24" s="760">
        <v>1</v>
      </c>
      <c r="J24" s="760">
        <v>0.55000000000000004</v>
      </c>
      <c r="K24" s="760">
        <v>0.72</v>
      </c>
      <c r="L24" s="757"/>
      <c r="M24" s="738"/>
      <c r="N24" s="427"/>
      <c r="O24" s="854"/>
      <c r="P24" s="867">
        <v>2050</v>
      </c>
      <c r="Q24" s="884">
        <f t="shared" si="1"/>
        <v>0.20502000000000001</v>
      </c>
      <c r="R24" s="868">
        <f>G23/100</f>
        <v>0.95</v>
      </c>
      <c r="S24" s="884">
        <f t="shared" si="2"/>
        <v>0.21581052631578948</v>
      </c>
      <c r="T24" s="884">
        <f>S24*G33*F4</f>
        <v>3.2155768421052633</v>
      </c>
      <c r="U24" s="884">
        <f>S24*G39*$F$4</f>
        <v>9.6467305263157888E-2</v>
      </c>
      <c r="V24" s="884">
        <f>S24*G40*$F$4/3.6</f>
        <v>1.1165197368421054</v>
      </c>
      <c r="W24" s="884">
        <f>G17/S24</f>
        <v>9.2673885474587839E-2</v>
      </c>
      <c r="X24" s="868">
        <f>VLOOKUP($P24,'Natural gas boiler_New'!$P$39:$AD$42,3,FALSE)</f>
        <v>0.94</v>
      </c>
      <c r="Y24" s="887">
        <f t="shared" si="3"/>
        <v>63.77379619260919</v>
      </c>
      <c r="Z24" s="786"/>
      <c r="AA24" s="786"/>
      <c r="AB24" s="855"/>
      <c r="AC24" s="55"/>
      <c r="AD24" s="55"/>
      <c r="AE24" s="55"/>
      <c r="AF24" s="55"/>
      <c r="AG24" s="55"/>
      <c r="AH24" s="55"/>
      <c r="AI24" s="55"/>
      <c r="AJ24" s="853"/>
    </row>
    <row r="25" spans="1:36" outlineLevel="1">
      <c r="B25" s="741" t="s">
        <v>996</v>
      </c>
      <c r="C25" s="757">
        <v>60</v>
      </c>
      <c r="D25" s="757">
        <v>60</v>
      </c>
      <c r="E25" s="757">
        <v>60</v>
      </c>
      <c r="F25" s="757">
        <v>70</v>
      </c>
      <c r="G25" s="757">
        <v>70</v>
      </c>
      <c r="H25" s="757">
        <v>50</v>
      </c>
      <c r="I25" s="757">
        <v>80</v>
      </c>
      <c r="J25" s="757">
        <v>50</v>
      </c>
      <c r="K25" s="757">
        <v>120</v>
      </c>
      <c r="L25" s="757" t="s">
        <v>51</v>
      </c>
      <c r="M25" s="738"/>
      <c r="N25" s="427"/>
      <c r="O25" s="878" t="s">
        <v>1097</v>
      </c>
      <c r="P25" s="55"/>
      <c r="Q25" s="55"/>
      <c r="R25" s="55"/>
      <c r="S25" s="55"/>
      <c r="T25" s="55"/>
      <c r="U25" s="55"/>
      <c r="V25" s="55"/>
      <c r="W25" s="55"/>
      <c r="X25" s="55"/>
      <c r="Y25" s="55"/>
      <c r="Z25" s="55"/>
      <c r="AA25" s="55"/>
      <c r="AB25" s="55"/>
      <c r="AC25" s="55"/>
      <c r="AD25" s="55"/>
      <c r="AE25" s="55"/>
      <c r="AF25" s="55"/>
      <c r="AG25" s="55"/>
      <c r="AH25" s="55"/>
      <c r="AI25" s="55"/>
      <c r="AJ25" s="853"/>
    </row>
    <row r="26" spans="1:36" ht="27.6" outlineLevel="1">
      <c r="B26" s="746" t="s">
        <v>997</v>
      </c>
      <c r="C26" s="760"/>
      <c r="D26" s="760"/>
      <c r="E26" s="760"/>
      <c r="F26" s="760"/>
      <c r="G26" s="760"/>
      <c r="H26" s="760"/>
      <c r="I26" s="760"/>
      <c r="J26" s="760"/>
      <c r="K26" s="760"/>
      <c r="L26" s="760"/>
      <c r="M26" s="744"/>
      <c r="N26" s="427"/>
      <c r="O26" s="852"/>
      <c r="P26" s="55"/>
      <c r="Q26" s="55"/>
      <c r="R26" s="879" t="s">
        <v>427</v>
      </c>
      <c r="S26" s="879" t="s">
        <v>1068</v>
      </c>
      <c r="T26" s="879" t="s">
        <v>428</v>
      </c>
      <c r="U26" s="770" t="s">
        <v>1011</v>
      </c>
      <c r="V26" s="879" t="s">
        <v>335</v>
      </c>
      <c r="W26" s="879" t="s">
        <v>336</v>
      </c>
      <c r="X26" s="880" t="s">
        <v>1064</v>
      </c>
      <c r="Y26" s="768" t="s">
        <v>337</v>
      </c>
      <c r="Z26" s="768" t="s">
        <v>1014</v>
      </c>
      <c r="AA26" s="768" t="s">
        <v>339</v>
      </c>
      <c r="AB26" s="881" t="s">
        <v>340</v>
      </c>
      <c r="AC26" s="47" t="s">
        <v>341</v>
      </c>
      <c r="AD26" s="49" t="s">
        <v>342</v>
      </c>
      <c r="AE26" s="49" t="s">
        <v>343</v>
      </c>
      <c r="AF26" s="768" t="s">
        <v>344</v>
      </c>
      <c r="AG26" s="768" t="s">
        <v>1066</v>
      </c>
      <c r="AH26" s="769" t="s">
        <v>960</v>
      </c>
      <c r="AI26" s="768" t="s">
        <v>1012</v>
      </c>
      <c r="AJ26" s="870" t="s">
        <v>1013</v>
      </c>
    </row>
    <row r="27" spans="1:36" ht="58.2" outlineLevel="1" thickBot="1">
      <c r="B27" s="739" t="s">
        <v>998</v>
      </c>
      <c r="C27" s="760"/>
      <c r="D27" s="760"/>
      <c r="E27" s="760"/>
      <c r="F27" s="760"/>
      <c r="G27" s="760"/>
      <c r="H27" s="760"/>
      <c r="I27" s="760"/>
      <c r="J27" s="760"/>
      <c r="K27" s="760"/>
      <c r="L27" s="760"/>
      <c r="M27" s="744"/>
      <c r="N27" s="427"/>
      <c r="O27" s="852"/>
      <c r="P27" s="55"/>
      <c r="Q27" s="55"/>
      <c r="R27" s="833" t="s">
        <v>1069</v>
      </c>
      <c r="S27" s="833" t="s">
        <v>1070</v>
      </c>
      <c r="T27" s="833" t="s">
        <v>1071</v>
      </c>
      <c r="U27" s="834" t="s">
        <v>1072</v>
      </c>
      <c r="V27" s="50"/>
      <c r="W27" s="50"/>
      <c r="X27" s="832" t="s">
        <v>1065</v>
      </c>
      <c r="Y27" s="51"/>
      <c r="Z27" s="51"/>
      <c r="AA27" s="51"/>
      <c r="AB27" s="52"/>
      <c r="AC27" s="50"/>
      <c r="AD27" s="50"/>
      <c r="AE27" s="50"/>
      <c r="AF27" s="50"/>
      <c r="AG27" s="832" t="s">
        <v>1067</v>
      </c>
      <c r="AH27" s="50"/>
      <c r="AI27" s="50"/>
      <c r="AJ27" s="871"/>
    </row>
    <row r="28" spans="1:36" outlineLevel="1">
      <c r="B28" s="737" t="s">
        <v>637</v>
      </c>
      <c r="C28" s="757">
        <v>5</v>
      </c>
      <c r="D28" s="757">
        <v>5</v>
      </c>
      <c r="E28" s="757">
        <v>3</v>
      </c>
      <c r="F28" s="757">
        <v>3</v>
      </c>
      <c r="G28" s="757">
        <v>3</v>
      </c>
      <c r="H28" s="757">
        <v>3</v>
      </c>
      <c r="I28" s="757">
        <v>3</v>
      </c>
      <c r="J28" s="757">
        <v>3</v>
      </c>
      <c r="K28" s="757">
        <v>3</v>
      </c>
      <c r="L28" s="757"/>
      <c r="M28" s="738"/>
      <c r="N28" s="427"/>
      <c r="O28" s="852"/>
      <c r="P28" s="55"/>
      <c r="Q28" s="55"/>
      <c r="R28" s="55" t="s">
        <v>1073</v>
      </c>
      <c r="S28" s="55"/>
      <c r="T28" s="55" t="s">
        <v>1075</v>
      </c>
      <c r="U28" s="55" t="s">
        <v>1020</v>
      </c>
      <c r="V28" s="465">
        <v>2020</v>
      </c>
      <c r="W28" s="869">
        <v>2020</v>
      </c>
      <c r="X28" s="866"/>
      <c r="Y28" s="869">
        <f>VLOOKUP($V28,'Natural gas boiler_New'!$P$39:$AD$42,3,FALSE)</f>
        <v>0.92</v>
      </c>
      <c r="Z28" s="866"/>
      <c r="AA28" s="869">
        <v>25</v>
      </c>
      <c r="AB28" s="58">
        <f>VLOOKUP($V28,$P$22:$Y$24,5,FALSE)</f>
        <v>5.6004629999999995</v>
      </c>
      <c r="AC28" s="58">
        <f>VLOOKUP($V28,$P$22:$Y$24,6,FALSE)</f>
        <v>0.16801389</v>
      </c>
      <c r="AD28" s="58">
        <f>VLOOKUP($V28,$P$22:$Y$24,7,FALSE)</f>
        <v>1.178548611111111</v>
      </c>
      <c r="AE28" s="58"/>
      <c r="AF28" s="58"/>
      <c r="AG28" s="866"/>
      <c r="AH28" s="866"/>
      <c r="AI28" s="866"/>
      <c r="AJ28" s="872"/>
    </row>
    <row r="29" spans="1:36" ht="52.05" customHeight="1" outlineLevel="1">
      <c r="A29" s="434"/>
      <c r="B29" s="737" t="s">
        <v>638</v>
      </c>
      <c r="C29" s="757">
        <v>3</v>
      </c>
      <c r="D29" s="757">
        <v>3</v>
      </c>
      <c r="E29" s="757">
        <v>3</v>
      </c>
      <c r="F29" s="757">
        <v>2</v>
      </c>
      <c r="G29" s="757">
        <v>2</v>
      </c>
      <c r="H29" s="757">
        <v>2</v>
      </c>
      <c r="I29" s="757">
        <v>4</v>
      </c>
      <c r="J29" s="757">
        <v>2</v>
      </c>
      <c r="K29" s="757">
        <v>3</v>
      </c>
      <c r="L29" s="757"/>
      <c r="M29" s="738"/>
      <c r="N29" s="419"/>
      <c r="O29" s="852"/>
      <c r="P29" s="55"/>
      <c r="Q29" s="55"/>
      <c r="R29" s="55"/>
      <c r="S29" s="55" t="s">
        <v>498</v>
      </c>
      <c r="T29" s="55"/>
      <c r="U29" s="55" t="s">
        <v>1020</v>
      </c>
      <c r="V29" s="465">
        <v>2020</v>
      </c>
      <c r="W29" s="866"/>
      <c r="X29" s="82">
        <f>VLOOKUP($V29,$P$22:$Y$24,8,FALSE)</f>
        <v>0.13169446883230904</v>
      </c>
      <c r="Y29" s="873"/>
      <c r="Z29" s="866"/>
      <c r="AA29" s="866"/>
      <c r="AB29" s="866"/>
      <c r="AC29" s="866"/>
      <c r="AD29" s="866"/>
      <c r="AE29" s="866"/>
      <c r="AF29" s="866"/>
      <c r="AG29" s="866"/>
      <c r="AH29" s="866"/>
      <c r="AI29" s="866"/>
      <c r="AJ29" s="872"/>
    </row>
    <row r="30" spans="1:36" outlineLevel="1">
      <c r="B30" s="737" t="s">
        <v>11</v>
      </c>
      <c r="C30" s="757">
        <v>25</v>
      </c>
      <c r="D30" s="757">
        <v>25</v>
      </c>
      <c r="E30" s="757">
        <v>25</v>
      </c>
      <c r="F30" s="757">
        <v>25</v>
      </c>
      <c r="G30" s="757">
        <v>25</v>
      </c>
      <c r="H30" s="757">
        <v>25</v>
      </c>
      <c r="I30" s="757">
        <v>25</v>
      </c>
      <c r="J30" s="757">
        <v>25</v>
      </c>
      <c r="K30" s="757">
        <v>25</v>
      </c>
      <c r="L30" s="757"/>
      <c r="M30" s="738"/>
      <c r="N30" s="419"/>
      <c r="O30" s="852"/>
      <c r="P30" s="55"/>
      <c r="Q30" s="55"/>
      <c r="R30" s="55"/>
      <c r="S30" s="55"/>
      <c r="T30" s="55"/>
      <c r="U30" s="55" t="s">
        <v>1074</v>
      </c>
      <c r="V30" s="465">
        <v>2020</v>
      </c>
      <c r="W30" s="866"/>
      <c r="X30" s="198"/>
      <c r="Y30" s="873"/>
      <c r="Z30" s="866"/>
      <c r="AA30" s="866"/>
      <c r="AB30" s="866"/>
      <c r="AC30" s="866"/>
      <c r="AD30" s="866"/>
      <c r="AE30" s="866"/>
      <c r="AF30" s="866"/>
      <c r="AG30" s="58">
        <f>VLOOKUP($V30,$P$22:$Y$24,10,FALSE)</f>
        <v>68.780193236714979</v>
      </c>
      <c r="AH30" s="866"/>
      <c r="AI30" s="866"/>
      <c r="AJ30" s="872"/>
    </row>
    <row r="31" spans="1:36" outlineLevel="1">
      <c r="B31" s="737" t="s">
        <v>273</v>
      </c>
      <c r="C31" s="757">
        <v>2.5</v>
      </c>
      <c r="D31" s="757">
        <v>2.5</v>
      </c>
      <c r="E31" s="757">
        <v>2.5</v>
      </c>
      <c r="F31" s="757">
        <v>2</v>
      </c>
      <c r="G31" s="757">
        <v>2</v>
      </c>
      <c r="H31" s="757">
        <v>2</v>
      </c>
      <c r="I31" s="757">
        <v>4</v>
      </c>
      <c r="J31" s="757">
        <v>2</v>
      </c>
      <c r="K31" s="757">
        <v>3</v>
      </c>
      <c r="L31" s="757"/>
      <c r="M31" s="738"/>
      <c r="N31" s="419"/>
      <c r="O31" s="852"/>
      <c r="P31" s="55"/>
      <c r="Q31" s="55"/>
      <c r="R31" s="55"/>
      <c r="S31" s="55"/>
      <c r="T31" s="55"/>
      <c r="U31" s="55" t="s">
        <v>1020</v>
      </c>
      <c r="V31" s="465">
        <v>2030</v>
      </c>
      <c r="W31" s="866"/>
      <c r="X31" s="198"/>
      <c r="Y31" s="58">
        <f>VLOOKUP($V31,'Natural gas boiler_New'!$P$39:$AD$42,3,FALSE)</f>
        <v>0.93</v>
      </c>
      <c r="Z31" s="866"/>
      <c r="AA31" s="58">
        <v>25</v>
      </c>
      <c r="AB31" s="58">
        <f>VLOOKUP($V31,$P$22:$Y$24,5,FALSE)</f>
        <v>4.5821970000000007</v>
      </c>
      <c r="AC31" s="58">
        <f>VLOOKUP($V31,$P$22:$Y$24,6,FALSE)</f>
        <v>0.13746591</v>
      </c>
      <c r="AD31" s="58">
        <f>VLOOKUP($V31,$P$22:$Y$24,7,FALSE)</f>
        <v>1.178548611111111</v>
      </c>
      <c r="AE31" s="866"/>
      <c r="AF31" s="866"/>
      <c r="AG31" s="866"/>
      <c r="AH31" s="866"/>
      <c r="AI31" s="866"/>
      <c r="AJ31" s="872"/>
    </row>
    <row r="32" spans="1:36" outlineLevel="1">
      <c r="B32" s="747" t="s">
        <v>654</v>
      </c>
      <c r="C32" s="762"/>
      <c r="D32" s="762"/>
      <c r="E32" s="762"/>
      <c r="F32" s="762"/>
      <c r="G32" s="762"/>
      <c r="H32" s="762"/>
      <c r="I32" s="762"/>
      <c r="J32" s="762"/>
      <c r="K32" s="762"/>
      <c r="L32" s="762"/>
      <c r="M32" s="747"/>
      <c r="N32" s="419"/>
      <c r="O32" s="852"/>
      <c r="P32" s="55"/>
      <c r="Q32" s="55"/>
      <c r="R32" s="55"/>
      <c r="S32" s="55" t="s">
        <v>498</v>
      </c>
      <c r="T32" s="55"/>
      <c r="U32" s="55" t="s">
        <v>1020</v>
      </c>
      <c r="V32" s="465">
        <v>2030</v>
      </c>
      <c r="W32" s="866"/>
      <c r="X32" s="82">
        <f>VLOOKUP($V32,$P$22:$Y$24,8,FALSE)</f>
        <v>0.10974539069359088</v>
      </c>
      <c r="Y32" s="873"/>
      <c r="Z32" s="866"/>
      <c r="AA32" s="866"/>
      <c r="AB32" s="866"/>
      <c r="AC32" s="866"/>
      <c r="AD32" s="866"/>
      <c r="AE32" s="866"/>
      <c r="AF32" s="866"/>
      <c r="AG32" s="866"/>
      <c r="AH32" s="866"/>
      <c r="AI32" s="866"/>
      <c r="AJ32" s="872"/>
    </row>
    <row r="33" spans="2:36" ht="37.049999999999997" customHeight="1" outlineLevel="1">
      <c r="B33" s="835" t="s">
        <v>999</v>
      </c>
      <c r="C33" s="836">
        <v>3.3</v>
      </c>
      <c r="D33" s="836">
        <v>3</v>
      </c>
      <c r="E33" s="836">
        <v>2.7</v>
      </c>
      <c r="F33" s="836">
        <v>2.4</v>
      </c>
      <c r="G33" s="836">
        <v>2</v>
      </c>
      <c r="H33" s="836">
        <v>2.5</v>
      </c>
      <c r="I33" s="836">
        <v>5</v>
      </c>
      <c r="J33" s="836">
        <v>1.6</v>
      </c>
      <c r="K33" s="836">
        <v>2.8</v>
      </c>
      <c r="L33" s="836" t="s">
        <v>52</v>
      </c>
      <c r="M33" s="837"/>
      <c r="N33" s="360"/>
      <c r="O33" s="852"/>
      <c r="P33" s="55"/>
      <c r="Q33" s="55"/>
      <c r="R33" s="55"/>
      <c r="S33" s="55"/>
      <c r="T33" s="55"/>
      <c r="U33" s="55" t="s">
        <v>1020</v>
      </c>
      <c r="V33" s="465">
        <v>2050</v>
      </c>
      <c r="W33" s="866"/>
      <c r="X33" s="198"/>
      <c r="Y33" s="58">
        <f>VLOOKUP($V33,'Natural gas boiler_New'!$P$39:$AD$42,3,FALSE)</f>
        <v>0.94</v>
      </c>
      <c r="Z33" s="866"/>
      <c r="AA33" s="58">
        <v>25</v>
      </c>
      <c r="AB33" s="58">
        <f>VLOOKUP($V33,$P$22:$Y$24,5,FALSE)</f>
        <v>3.2155768421052633</v>
      </c>
      <c r="AC33" s="58">
        <f>VLOOKUP($V33,$P$22:$Y$24,6,FALSE)</f>
        <v>9.6467305263157888E-2</v>
      </c>
      <c r="AD33" s="58">
        <f>VLOOKUP($V33,$P$22:$Y$24,7,FALSE)</f>
        <v>1.1165197368421054</v>
      </c>
      <c r="AE33" s="866"/>
      <c r="AF33" s="866"/>
      <c r="AG33" s="866"/>
      <c r="AH33" s="866"/>
      <c r="AI33" s="866"/>
      <c r="AJ33" s="872"/>
    </row>
    <row r="34" spans="2:36" ht="15.75" customHeight="1" outlineLevel="1" thickBot="1">
      <c r="B34" s="741" t="s">
        <v>1000</v>
      </c>
      <c r="C34" s="757">
        <v>50</v>
      </c>
      <c r="D34" s="757">
        <v>50</v>
      </c>
      <c r="E34" s="757">
        <v>50</v>
      </c>
      <c r="F34" s="757">
        <v>50</v>
      </c>
      <c r="G34" s="757">
        <v>50</v>
      </c>
      <c r="H34" s="757"/>
      <c r="I34" s="757"/>
      <c r="J34" s="757"/>
      <c r="K34" s="764"/>
      <c r="L34" s="757" t="s">
        <v>55</v>
      </c>
      <c r="M34" s="738"/>
      <c r="N34" s="360"/>
      <c r="O34" s="854"/>
      <c r="P34" s="786"/>
      <c r="Q34" s="786"/>
      <c r="R34" s="786"/>
      <c r="S34" s="786" t="s">
        <v>498</v>
      </c>
      <c r="T34" s="786"/>
      <c r="U34" s="786" t="s">
        <v>1020</v>
      </c>
      <c r="V34" s="874">
        <v>2050</v>
      </c>
      <c r="W34" s="868"/>
      <c r="X34" s="875">
        <f>VLOOKUP($V34,$P$22:$Y$24,8,FALSE)</f>
        <v>9.2673885474587839E-2</v>
      </c>
      <c r="Y34" s="876"/>
      <c r="Z34" s="868"/>
      <c r="AA34" s="868"/>
      <c r="AB34" s="868"/>
      <c r="AC34" s="868"/>
      <c r="AD34" s="868"/>
      <c r="AE34" s="868"/>
      <c r="AF34" s="868"/>
      <c r="AG34" s="868"/>
      <c r="AH34" s="868"/>
      <c r="AI34" s="868"/>
      <c r="AJ34" s="877"/>
    </row>
    <row r="35" spans="2:36" ht="15" outlineLevel="1" thickBot="1">
      <c r="B35" s="737" t="s">
        <v>1001</v>
      </c>
      <c r="C35" s="757">
        <v>10</v>
      </c>
      <c r="D35" s="757">
        <v>10</v>
      </c>
      <c r="E35" s="757">
        <v>10</v>
      </c>
      <c r="F35" s="757">
        <v>10</v>
      </c>
      <c r="G35" s="757">
        <v>10</v>
      </c>
      <c r="H35" s="757"/>
      <c r="I35" s="757"/>
      <c r="J35" s="757"/>
      <c r="K35" s="764"/>
      <c r="L35" s="757" t="s">
        <v>49</v>
      </c>
      <c r="M35" s="738"/>
      <c r="N35" s="362"/>
    </row>
    <row r="36" spans="2:36" outlineLevel="1">
      <c r="B36" s="748" t="s">
        <v>1002</v>
      </c>
      <c r="C36" s="757">
        <v>10</v>
      </c>
      <c r="D36" s="757">
        <v>10</v>
      </c>
      <c r="E36" s="757">
        <v>10</v>
      </c>
      <c r="F36" s="757">
        <v>10</v>
      </c>
      <c r="G36" s="757">
        <v>10</v>
      </c>
      <c r="H36" s="757"/>
      <c r="I36" s="757"/>
      <c r="J36" s="757"/>
      <c r="K36" s="764"/>
      <c r="L36" s="257"/>
      <c r="M36" s="738"/>
      <c r="N36" s="366"/>
      <c r="O36" s="856"/>
      <c r="P36" s="861" t="s">
        <v>1095</v>
      </c>
      <c r="Q36" s="857" t="s">
        <v>1046</v>
      </c>
      <c r="R36" s="857" t="s">
        <v>1096</v>
      </c>
      <c r="S36" s="857" t="s">
        <v>1093</v>
      </c>
      <c r="T36" s="858" t="s">
        <v>1049</v>
      </c>
      <c r="U36" s="857" t="s">
        <v>1050</v>
      </c>
      <c r="V36" s="857" t="s">
        <v>1051</v>
      </c>
      <c r="W36" s="857" t="s">
        <v>1064</v>
      </c>
      <c r="X36" s="857" t="s">
        <v>337</v>
      </c>
      <c r="Y36" s="862" t="s">
        <v>1066</v>
      </c>
      <c r="Z36" s="857"/>
      <c r="AA36" s="857"/>
      <c r="AB36" s="859"/>
      <c r="AC36" s="850"/>
      <c r="AD36" s="850"/>
      <c r="AE36" s="850"/>
      <c r="AF36" s="850"/>
      <c r="AG36" s="850"/>
      <c r="AH36" s="850"/>
      <c r="AI36" s="850"/>
      <c r="AJ36" s="851"/>
    </row>
    <row r="37" spans="2:36" outlineLevel="1">
      <c r="B37" s="737" t="s">
        <v>1003</v>
      </c>
      <c r="C37" s="757">
        <v>15</v>
      </c>
      <c r="D37" s="757">
        <v>15</v>
      </c>
      <c r="E37" s="757">
        <v>15</v>
      </c>
      <c r="F37" s="757">
        <v>15</v>
      </c>
      <c r="G37" s="757">
        <v>15</v>
      </c>
      <c r="H37" s="757"/>
      <c r="I37" s="757"/>
      <c r="J37" s="757"/>
      <c r="K37" s="764"/>
      <c r="L37" s="757" t="s">
        <v>374</v>
      </c>
      <c r="M37" s="738"/>
      <c r="N37" s="362"/>
      <c r="O37" s="852"/>
      <c r="P37" s="271"/>
      <c r="Q37" s="203"/>
      <c r="R37" s="203"/>
      <c r="S37" s="203"/>
      <c r="T37" s="203" t="s">
        <v>1052</v>
      </c>
      <c r="U37" s="203" t="s">
        <v>1052</v>
      </c>
      <c r="V37" s="203" t="s">
        <v>1062</v>
      </c>
      <c r="W37" s="203" t="s">
        <v>1094</v>
      </c>
      <c r="X37" s="203"/>
      <c r="Y37" s="355" t="s">
        <v>1067</v>
      </c>
      <c r="Z37" s="55"/>
      <c r="AA37" s="55"/>
      <c r="AB37" s="853"/>
      <c r="AC37" s="55"/>
      <c r="AD37" s="55"/>
      <c r="AE37" s="55"/>
      <c r="AF37" s="55"/>
      <c r="AG37" s="55"/>
      <c r="AH37" s="55"/>
      <c r="AI37" s="55"/>
      <c r="AJ37" s="853"/>
    </row>
    <row r="38" spans="2:36" outlineLevel="1">
      <c r="B38" s="737" t="s">
        <v>1004</v>
      </c>
      <c r="C38" s="757">
        <v>15</v>
      </c>
      <c r="D38" s="757">
        <v>15</v>
      </c>
      <c r="E38" s="757">
        <v>15</v>
      </c>
      <c r="F38" s="757">
        <v>15</v>
      </c>
      <c r="G38" s="757">
        <v>15</v>
      </c>
      <c r="H38" s="757"/>
      <c r="I38" s="757"/>
      <c r="J38" s="757"/>
      <c r="K38" s="765"/>
      <c r="L38" s="257"/>
      <c r="M38" s="738"/>
      <c r="N38" s="362"/>
      <c r="O38" s="860" t="s">
        <v>1098</v>
      </c>
      <c r="P38" s="863">
        <v>2020</v>
      </c>
      <c r="Q38" s="882">
        <f>$P$6/1*3.6/1000000*1000</f>
        <v>0.34056000000000003</v>
      </c>
      <c r="R38" s="864">
        <f>R22</f>
        <v>0.9</v>
      </c>
      <c r="S38" s="882">
        <f>Q38/R38</f>
        <v>0.37840000000000001</v>
      </c>
      <c r="T38" s="882">
        <f>S38*C33*$F$4</f>
        <v>9.3029640000000011</v>
      </c>
      <c r="U38" s="882">
        <f>S38*C39*$F$4</f>
        <v>0.27908891999999996</v>
      </c>
      <c r="V38" s="882">
        <f>S38*C40*$F$4/3.6</f>
        <v>1.9576944444444446</v>
      </c>
      <c r="W38" s="882">
        <f>C17/S38</f>
        <v>7.9281183932346719E-2</v>
      </c>
      <c r="X38" s="864">
        <f>VLOOKUP($P38,'Coal boiler'!$P$39:$AD$42,3,FALSE)</f>
        <v>0.89</v>
      </c>
      <c r="Y38" s="885">
        <f>$P$6/R38/X38</f>
        <v>118.10237203495629</v>
      </c>
      <c r="Z38" s="55"/>
      <c r="AA38" s="55"/>
      <c r="AB38" s="853"/>
      <c r="AC38" s="55"/>
      <c r="AD38" s="55"/>
      <c r="AE38" s="55"/>
      <c r="AF38" s="55"/>
      <c r="AG38" s="55"/>
      <c r="AH38" s="55"/>
      <c r="AI38" s="55"/>
      <c r="AJ38" s="853"/>
    </row>
    <row r="39" spans="2:36" outlineLevel="1">
      <c r="B39" s="838" t="s">
        <v>1005</v>
      </c>
      <c r="C39" s="839">
        <f>C33*0.03</f>
        <v>9.8999999999999991E-2</v>
      </c>
      <c r="D39" s="839">
        <f t="shared" ref="D39:K39" si="4">D33*0.03</f>
        <v>0.09</v>
      </c>
      <c r="E39" s="839">
        <f t="shared" si="4"/>
        <v>8.1000000000000003E-2</v>
      </c>
      <c r="F39" s="839">
        <f t="shared" si="4"/>
        <v>7.1999999999999995E-2</v>
      </c>
      <c r="G39" s="839">
        <f t="shared" si="4"/>
        <v>0.06</v>
      </c>
      <c r="H39" s="839">
        <f t="shared" si="4"/>
        <v>7.4999999999999997E-2</v>
      </c>
      <c r="I39" s="839">
        <f t="shared" si="4"/>
        <v>0.15</v>
      </c>
      <c r="J39" s="839">
        <f t="shared" si="4"/>
        <v>4.8000000000000001E-2</v>
      </c>
      <c r="K39" s="839">
        <f t="shared" si="4"/>
        <v>8.3999999999999991E-2</v>
      </c>
      <c r="L39" s="836" t="s">
        <v>849</v>
      </c>
      <c r="M39" s="840"/>
      <c r="N39" s="362"/>
      <c r="O39" s="852"/>
      <c r="P39" s="865">
        <v>2030</v>
      </c>
      <c r="Q39" s="883">
        <f t="shared" ref="Q39:Q40" si="5">$P$6/1*3.6/1000000*1000</f>
        <v>0.34056000000000003</v>
      </c>
      <c r="R39" s="866">
        <f t="shared" ref="R39:R40" si="6">R23</f>
        <v>0.9</v>
      </c>
      <c r="S39" s="883">
        <f t="shared" ref="S39:S40" si="7">Q39/R39</f>
        <v>0.37840000000000001</v>
      </c>
      <c r="T39" s="883">
        <f>S39*E33*$F$4</f>
        <v>7.6115160000000008</v>
      </c>
      <c r="U39" s="883">
        <f>S39*E39*$F$4</f>
        <v>0.22834548000000002</v>
      </c>
      <c r="V39" s="883">
        <f>S39*E40*$F$4/3.6</f>
        <v>1.9576944444444446</v>
      </c>
      <c r="W39" s="883">
        <f>E17/S39</f>
        <v>6.6067653276955601E-2</v>
      </c>
      <c r="X39" s="866">
        <f>VLOOKUP($P39,'Coal boiler'!$P$39:$AD$42,3,FALSE)</f>
        <v>0.89</v>
      </c>
      <c r="Y39" s="886">
        <f t="shared" ref="Y39:Y40" si="8">$P$6/R39/X39</f>
        <v>118.10237203495629</v>
      </c>
      <c r="Z39" s="55"/>
      <c r="AA39" s="55"/>
      <c r="AB39" s="853"/>
      <c r="AC39" s="55"/>
      <c r="AD39" s="55"/>
      <c r="AE39" s="55"/>
      <c r="AF39" s="55"/>
      <c r="AG39" s="55"/>
      <c r="AH39" s="55"/>
      <c r="AI39" s="55"/>
      <c r="AJ39" s="853"/>
    </row>
    <row r="40" spans="2:36" ht="14.55" customHeight="1" outlineLevel="1" thickBot="1">
      <c r="B40" s="841" t="s">
        <v>1006</v>
      </c>
      <c r="C40" s="836">
        <v>2.5</v>
      </c>
      <c r="D40" s="836">
        <v>2.5</v>
      </c>
      <c r="E40" s="836">
        <v>2.5</v>
      </c>
      <c r="F40" s="836">
        <v>2.5</v>
      </c>
      <c r="G40" s="836">
        <v>2.5</v>
      </c>
      <c r="H40" s="839">
        <v>1.5</v>
      </c>
      <c r="I40" s="839">
        <v>3.5</v>
      </c>
      <c r="J40" s="839">
        <v>1.5</v>
      </c>
      <c r="K40" s="839">
        <v>3.5</v>
      </c>
      <c r="L40" s="842"/>
      <c r="M40" s="837"/>
      <c r="N40" s="362"/>
      <c r="O40" s="854"/>
      <c r="P40" s="867">
        <v>2050</v>
      </c>
      <c r="Q40" s="884">
        <f t="shared" si="5"/>
        <v>0.34056000000000003</v>
      </c>
      <c r="R40" s="868">
        <f t="shared" si="6"/>
        <v>0.95</v>
      </c>
      <c r="S40" s="884">
        <f t="shared" si="7"/>
        <v>0.35848421052631585</v>
      </c>
      <c r="T40" s="884">
        <f>S40*G33*$F$4</f>
        <v>5.3414147368421059</v>
      </c>
      <c r="U40" s="884">
        <f>S40*G39*$F$4</f>
        <v>0.16024244210526317</v>
      </c>
      <c r="V40" s="884">
        <f>S40*G40*$F$4/3.6</f>
        <v>1.8546578947368424</v>
      </c>
      <c r="W40" s="884">
        <f>G17/S40</f>
        <v>5.5790462767206943E-2</v>
      </c>
      <c r="X40" s="868">
        <f>VLOOKUP($P40,'Coal boiler'!$P$39:$AD$42,3,FALSE)</f>
        <v>0.91</v>
      </c>
      <c r="Y40" s="887">
        <f t="shared" si="8"/>
        <v>109.42741469057259</v>
      </c>
      <c r="Z40" s="786"/>
      <c r="AA40" s="786"/>
      <c r="AB40" s="855"/>
      <c r="AC40" s="55"/>
      <c r="AD40" s="55"/>
      <c r="AE40" s="55"/>
      <c r="AF40" s="55"/>
      <c r="AG40" s="55"/>
      <c r="AH40" s="55"/>
      <c r="AI40" s="55"/>
      <c r="AJ40" s="853"/>
    </row>
    <row r="41" spans="2:36" outlineLevel="1">
      <c r="B41" s="745" t="s">
        <v>1007</v>
      </c>
      <c r="C41" s="757">
        <v>25</v>
      </c>
      <c r="D41" s="757">
        <v>25</v>
      </c>
      <c r="E41" s="757">
        <v>25</v>
      </c>
      <c r="F41" s="757">
        <v>25</v>
      </c>
      <c r="G41" s="757">
        <v>25</v>
      </c>
      <c r="H41" s="757"/>
      <c r="I41" s="757"/>
      <c r="J41" s="757"/>
      <c r="K41" s="764"/>
      <c r="L41" s="257"/>
      <c r="M41" s="738"/>
      <c r="N41" s="362"/>
      <c r="O41" s="878" t="s">
        <v>1097</v>
      </c>
      <c r="P41" s="55"/>
      <c r="Q41" s="55"/>
      <c r="R41" s="55"/>
      <c r="S41" s="55"/>
      <c r="T41" s="55"/>
      <c r="U41" s="55"/>
      <c r="V41" s="55"/>
      <c r="W41" s="55"/>
      <c r="X41" s="55"/>
      <c r="Y41" s="55"/>
      <c r="Z41" s="55"/>
      <c r="AA41" s="55"/>
      <c r="AB41" s="55"/>
      <c r="AC41" s="55"/>
      <c r="AD41" s="55"/>
      <c r="AE41" s="55"/>
      <c r="AF41" s="55"/>
      <c r="AG41" s="55"/>
      <c r="AH41" s="55"/>
      <c r="AI41" s="55"/>
      <c r="AJ41" s="853"/>
    </row>
    <row r="42" spans="2:36" ht="14.55" customHeight="1" outlineLevel="1">
      <c r="B42" s="736" t="s">
        <v>1008</v>
      </c>
      <c r="C42" s="755"/>
      <c r="D42" s="755"/>
      <c r="E42" s="755"/>
      <c r="F42" s="755"/>
      <c r="G42" s="755"/>
      <c r="H42" s="755"/>
      <c r="I42" s="755"/>
      <c r="J42" s="755"/>
      <c r="K42" s="755"/>
      <c r="L42" s="755"/>
      <c r="M42" s="749"/>
      <c r="N42" s="362"/>
      <c r="O42" s="852"/>
      <c r="P42" s="55"/>
      <c r="Q42" s="55"/>
      <c r="R42" s="879" t="s">
        <v>427</v>
      </c>
      <c r="S42" s="879" t="s">
        <v>1068</v>
      </c>
      <c r="T42" s="879" t="s">
        <v>428</v>
      </c>
      <c r="U42" s="770" t="s">
        <v>1011</v>
      </c>
      <c r="V42" s="879" t="s">
        <v>335</v>
      </c>
      <c r="W42" s="879" t="s">
        <v>336</v>
      </c>
      <c r="X42" s="880" t="s">
        <v>1064</v>
      </c>
      <c r="Y42" s="768" t="s">
        <v>337</v>
      </c>
      <c r="Z42" s="768" t="s">
        <v>1014</v>
      </c>
      <c r="AA42" s="768" t="s">
        <v>339</v>
      </c>
      <c r="AB42" s="881" t="s">
        <v>340</v>
      </c>
      <c r="AC42" s="47" t="s">
        <v>341</v>
      </c>
      <c r="AD42" s="49" t="s">
        <v>342</v>
      </c>
      <c r="AE42" s="49" t="s">
        <v>343</v>
      </c>
      <c r="AF42" s="768" t="s">
        <v>344</v>
      </c>
      <c r="AG42" s="768" t="s">
        <v>1066</v>
      </c>
      <c r="AH42" s="769" t="s">
        <v>960</v>
      </c>
      <c r="AI42" s="768" t="s">
        <v>1012</v>
      </c>
      <c r="AJ42" s="870" t="s">
        <v>1013</v>
      </c>
    </row>
    <row r="43" spans="2:36" ht="58.2" outlineLevel="1" thickBot="1">
      <c r="B43" s="741" t="s">
        <v>1009</v>
      </c>
      <c r="C43" s="766">
        <v>0.1</v>
      </c>
      <c r="D43" s="766">
        <v>0.1</v>
      </c>
      <c r="E43" s="757">
        <v>8.5000000000000006E-2</v>
      </c>
      <c r="F43" s="757">
        <v>7.4999999999999997E-2</v>
      </c>
      <c r="G43" s="757">
        <v>7.4999999999999997E-2</v>
      </c>
      <c r="H43" s="757">
        <v>0.09</v>
      </c>
      <c r="I43" s="757">
        <v>0.11</v>
      </c>
      <c r="J43" s="757">
        <v>7.0000000000000007E-2</v>
      </c>
      <c r="K43" s="759">
        <v>0.09</v>
      </c>
      <c r="L43" s="757" t="s">
        <v>850</v>
      </c>
      <c r="M43" s="738"/>
      <c r="N43" s="366"/>
      <c r="O43" s="852"/>
      <c r="P43" s="55"/>
      <c r="Q43" s="55"/>
      <c r="R43" s="833" t="s">
        <v>1069</v>
      </c>
      <c r="S43" s="833" t="s">
        <v>1070</v>
      </c>
      <c r="T43" s="833" t="s">
        <v>1071</v>
      </c>
      <c r="U43" s="834" t="s">
        <v>1072</v>
      </c>
      <c r="V43" s="50"/>
      <c r="W43" s="50"/>
      <c r="X43" s="832" t="s">
        <v>1065</v>
      </c>
      <c r="Y43" s="51"/>
      <c r="Z43" s="51"/>
      <c r="AA43" s="51"/>
      <c r="AB43" s="52"/>
      <c r="AC43" s="50"/>
      <c r="AD43" s="50"/>
      <c r="AE43" s="50"/>
      <c r="AF43" s="50"/>
      <c r="AG43" s="832" t="s">
        <v>1067</v>
      </c>
      <c r="AH43" s="50"/>
      <c r="AI43" s="50"/>
      <c r="AJ43" s="871"/>
    </row>
    <row r="44" spans="2:36" outlineLevel="1">
      <c r="B44" s="741" t="s">
        <v>1010</v>
      </c>
      <c r="C44" s="757">
        <v>0.16</v>
      </c>
      <c r="D44" s="757">
        <v>0.16</v>
      </c>
      <c r="E44" s="757">
        <v>0.14000000000000001</v>
      </c>
      <c r="F44" s="757">
        <v>0.13</v>
      </c>
      <c r="G44" s="757">
        <v>0.13</v>
      </c>
      <c r="H44" s="757">
        <v>0.14000000000000001</v>
      </c>
      <c r="I44" s="757">
        <v>0.18</v>
      </c>
      <c r="J44" s="757">
        <v>0.12</v>
      </c>
      <c r="K44" s="759">
        <v>0.15</v>
      </c>
      <c r="L44" s="757" t="s">
        <v>850</v>
      </c>
      <c r="M44" s="738"/>
      <c r="N44" s="362"/>
      <c r="O44" s="852"/>
      <c r="P44" s="55"/>
      <c r="Q44" s="55"/>
      <c r="R44" s="55" t="s">
        <v>597</v>
      </c>
      <c r="S44" s="55"/>
      <c r="T44" s="55" t="s">
        <v>1075</v>
      </c>
      <c r="U44" s="55" t="s">
        <v>1020</v>
      </c>
      <c r="V44" s="465">
        <v>2020</v>
      </c>
      <c r="W44" s="869">
        <v>2020</v>
      </c>
      <c r="X44" s="866"/>
      <c r="Y44" s="82">
        <f>VLOOKUP($V44,$P$38:$Y$40,9,FALSE)</f>
        <v>0.89</v>
      </c>
      <c r="Z44" s="866"/>
      <c r="AA44" s="869">
        <v>25</v>
      </c>
      <c r="AB44" s="58">
        <f>VLOOKUP($V44,$P$38:$Y$40,5,FALSE)</f>
        <v>9.3029640000000011</v>
      </c>
      <c r="AC44" s="58">
        <f>VLOOKUP($V44,$P$38:$Y$40,6,FALSE)</f>
        <v>0.27908891999999996</v>
      </c>
      <c r="AD44" s="58">
        <f>VLOOKUP($V44,$P$38:$Y$40,7,FALSE)</f>
        <v>1.9576944444444446</v>
      </c>
      <c r="AE44" s="58"/>
      <c r="AF44" s="58"/>
      <c r="AG44" s="866"/>
      <c r="AH44" s="866"/>
      <c r="AI44" s="866"/>
      <c r="AJ44" s="872"/>
    </row>
    <row r="45" spans="2:36" outlineLevel="1">
      <c r="B45" s="741"/>
      <c r="C45" s="757"/>
      <c r="D45" s="757"/>
      <c r="E45" s="757"/>
      <c r="F45" s="757"/>
      <c r="G45" s="757"/>
      <c r="H45" s="757"/>
      <c r="I45" s="757"/>
      <c r="J45" s="757"/>
      <c r="K45" s="764"/>
      <c r="L45" s="757"/>
      <c r="M45" s="738"/>
      <c r="N45" s="362"/>
      <c r="O45" s="852"/>
      <c r="P45" s="55"/>
      <c r="Q45" s="55"/>
      <c r="R45" s="55"/>
      <c r="S45" s="55" t="s">
        <v>498</v>
      </c>
      <c r="T45" s="55"/>
      <c r="U45" s="55" t="s">
        <v>1020</v>
      </c>
      <c r="V45" s="465">
        <v>2020</v>
      </c>
      <c r="W45" s="866"/>
      <c r="X45" s="82">
        <f>VLOOKUP($V45,$P$38:$Y$40,8,FALSE)</f>
        <v>7.9281183932346719E-2</v>
      </c>
      <c r="Y45" s="873"/>
      <c r="Z45" s="866"/>
      <c r="AA45" s="866"/>
      <c r="AB45" s="866"/>
      <c r="AC45" s="866"/>
      <c r="AD45" s="866"/>
      <c r="AE45" s="866"/>
      <c r="AF45" s="866"/>
      <c r="AG45" s="866"/>
      <c r="AH45" s="866"/>
      <c r="AI45" s="866"/>
      <c r="AJ45" s="872"/>
    </row>
    <row r="46" spans="2:36" outlineLevel="1">
      <c r="B46" s="737"/>
      <c r="C46" s="757"/>
      <c r="D46" s="757"/>
      <c r="E46" s="757"/>
      <c r="F46" s="757"/>
      <c r="G46" s="765"/>
      <c r="H46" s="757"/>
      <c r="I46" s="757"/>
      <c r="J46" s="757"/>
      <c r="K46" s="765"/>
      <c r="L46" s="757"/>
      <c r="M46" s="738"/>
      <c r="N46" s="362"/>
      <c r="O46" s="852"/>
      <c r="P46" s="55"/>
      <c r="Q46" s="55"/>
      <c r="R46" s="55"/>
      <c r="S46" s="55"/>
      <c r="T46" s="55"/>
      <c r="U46" s="55" t="s">
        <v>1074</v>
      </c>
      <c r="V46" s="465">
        <v>2020</v>
      </c>
      <c r="W46" s="866"/>
      <c r="X46" s="198"/>
      <c r="Y46" s="873"/>
      <c r="Z46" s="866"/>
      <c r="AA46" s="866"/>
      <c r="AB46" s="866"/>
      <c r="AC46" s="866"/>
      <c r="AD46" s="866"/>
      <c r="AE46" s="866"/>
      <c r="AF46" s="866"/>
      <c r="AG46" s="58">
        <f>VLOOKUP($V46,$P$38:$Y$40,10,FALSE)</f>
        <v>118.10237203495629</v>
      </c>
      <c r="AH46" s="866"/>
      <c r="AI46" s="866"/>
      <c r="AJ46" s="872"/>
    </row>
    <row r="47" spans="2:36" ht="57.6" outlineLevel="1">
      <c r="B47" s="460" t="s">
        <v>732</v>
      </c>
      <c r="C47" s="482">
        <f>C33*$F$4*1/C16*1000</f>
        <v>29513.805522208888</v>
      </c>
      <c r="D47" s="482">
        <f t="shared" ref="D47:G47" si="9">D33*$F$4*1/D16*1000</f>
        <v>26830.732292917168</v>
      </c>
      <c r="E47" s="482">
        <f t="shared" si="9"/>
        <v>27937.500000000004</v>
      </c>
      <c r="F47" s="482">
        <f t="shared" si="9"/>
        <v>27090.909090909085</v>
      </c>
      <c r="G47" s="482">
        <f t="shared" si="9"/>
        <v>22575.757575757576</v>
      </c>
      <c r="H47" s="483"/>
      <c r="I47" s="419" t="s">
        <v>332</v>
      </c>
      <c r="J47" s="419"/>
      <c r="K47" s="483"/>
      <c r="L47" s="483"/>
      <c r="N47" s="419"/>
      <c r="O47" s="852"/>
      <c r="P47" s="55"/>
      <c r="Q47" s="55"/>
      <c r="R47" s="55"/>
      <c r="S47" s="55"/>
      <c r="T47" s="55"/>
      <c r="U47" s="55" t="s">
        <v>1020</v>
      </c>
      <c r="V47" s="465">
        <v>2030</v>
      </c>
      <c r="W47" s="866"/>
      <c r="X47" s="198"/>
      <c r="Y47" s="82">
        <f>VLOOKUP($V47,$P$38:$Y$40,9,FALSE)</f>
        <v>0.89</v>
      </c>
      <c r="Z47" s="866"/>
      <c r="AA47" s="58">
        <v>25</v>
      </c>
      <c r="AB47" s="58">
        <f>VLOOKUP($V47,$P$38:$Y$40,5,FALSE)</f>
        <v>7.6115160000000008</v>
      </c>
      <c r="AC47" s="58">
        <f>VLOOKUP($V47,$P$38:$Y$40,6,FALSE)</f>
        <v>0.22834548000000002</v>
      </c>
      <c r="AD47" s="58">
        <f>VLOOKUP($V47,$P$38:$Y$40,7,FALSE)</f>
        <v>1.9576944444444446</v>
      </c>
      <c r="AE47" s="866"/>
      <c r="AF47" s="866"/>
      <c r="AG47" s="866"/>
      <c r="AH47" s="866"/>
      <c r="AI47" s="866"/>
      <c r="AJ47" s="872"/>
    </row>
    <row r="48" spans="2:36" ht="14.55" customHeight="1" outlineLevel="1">
      <c r="B48" s="484" t="s">
        <v>733</v>
      </c>
      <c r="C48" s="485">
        <f>C47*$I48</f>
        <v>14756902.761104444</v>
      </c>
      <c r="D48" s="485">
        <f>D47*$I48</f>
        <v>13415366.146458585</v>
      </c>
      <c r="E48" s="485">
        <f>E47*$I48</f>
        <v>13968750.000000002</v>
      </c>
      <c r="F48" s="485">
        <f>F47*$I48</f>
        <v>13545454.545454543</v>
      </c>
      <c r="G48" s="485"/>
      <c r="H48" s="483"/>
      <c r="I48" s="71">
        <v>500</v>
      </c>
      <c r="J48" s="419" t="s">
        <v>330</v>
      </c>
      <c r="K48" s="483"/>
      <c r="L48" s="483"/>
      <c r="N48" s="419"/>
      <c r="O48" s="852"/>
      <c r="P48" s="55"/>
      <c r="Q48" s="55"/>
      <c r="R48" s="55"/>
      <c r="S48" s="55" t="s">
        <v>498</v>
      </c>
      <c r="T48" s="55"/>
      <c r="U48" s="55" t="s">
        <v>1020</v>
      </c>
      <c r="V48" s="465">
        <v>2030</v>
      </c>
      <c r="W48" s="866"/>
      <c r="X48" s="82">
        <f>VLOOKUP($V48,$P$38:$Y$40,8,FALSE)</f>
        <v>6.6067653276955601E-2</v>
      </c>
      <c r="Y48" s="873"/>
      <c r="Z48" s="866"/>
      <c r="AA48" s="866"/>
      <c r="AB48" s="866"/>
      <c r="AC48" s="866"/>
      <c r="AD48" s="866"/>
      <c r="AE48" s="866"/>
      <c r="AF48" s="866"/>
      <c r="AG48" s="866"/>
      <c r="AH48" s="866"/>
      <c r="AI48" s="866"/>
      <c r="AJ48" s="872"/>
    </row>
    <row r="49" spans="2:36" ht="43.2" outlineLevel="1">
      <c r="B49" s="460" t="s">
        <v>1036</v>
      </c>
      <c r="C49" s="358">
        <f>C39*$F$4*1/C16*1000</f>
        <v>885.4141656662664</v>
      </c>
      <c r="D49" s="358">
        <f t="shared" ref="D49:G49" si="10">D39*$F$4*1/D16*1000</f>
        <v>804.92196878751497</v>
      </c>
      <c r="E49" s="358">
        <f t="shared" si="10"/>
        <v>838.12500000000011</v>
      </c>
      <c r="F49" s="358">
        <f t="shared" si="10"/>
        <v>812.72727272727263</v>
      </c>
      <c r="G49" s="358">
        <f t="shared" si="10"/>
        <v>677.27272727272725</v>
      </c>
      <c r="I49" s="419" t="s">
        <v>333</v>
      </c>
      <c r="J49" s="419"/>
      <c r="N49" s="419" t="s">
        <v>1099</v>
      </c>
      <c r="O49" s="852"/>
      <c r="P49" s="55"/>
      <c r="Q49" s="55"/>
      <c r="R49" s="55"/>
      <c r="S49" s="55"/>
      <c r="T49" s="55"/>
      <c r="U49" s="55" t="s">
        <v>1020</v>
      </c>
      <c r="V49" s="465">
        <v>2050</v>
      </c>
      <c r="W49" s="866"/>
      <c r="X49" s="198"/>
      <c r="Y49" s="82">
        <f>VLOOKUP($V49,$P$38:$Y$40,9,FALSE)</f>
        <v>0.91</v>
      </c>
      <c r="Z49" s="866"/>
      <c r="AA49" s="58">
        <v>25</v>
      </c>
      <c r="AB49" s="58">
        <f>VLOOKUP($V49,$P$38:$Y$40,5,FALSE)</f>
        <v>5.3414147368421059</v>
      </c>
      <c r="AC49" s="58">
        <f>VLOOKUP($V49,$P$38:$Y$40,6,FALSE)</f>
        <v>0.16024244210526317</v>
      </c>
      <c r="AD49" s="58">
        <f>VLOOKUP($V49,$P$38:$Y$40,7,FALSE)</f>
        <v>1.8546578947368424</v>
      </c>
      <c r="AE49" s="866"/>
      <c r="AF49" s="866"/>
      <c r="AG49" s="866"/>
      <c r="AH49" s="866"/>
      <c r="AI49" s="866"/>
      <c r="AJ49" s="872"/>
    </row>
    <row r="50" spans="2:36" ht="43.8" outlineLevel="1" thickBot="1">
      <c r="B50" s="460" t="s">
        <v>809</v>
      </c>
      <c r="C50" s="486">
        <f>C40*$F$4*1/C24/3.6</f>
        <v>6.2108176603974927</v>
      </c>
      <c r="D50" s="486">
        <f t="shared" ref="D50:G50" si="11">D40*$F$4*1/D24/3.6</f>
        <v>6.2108176603974927</v>
      </c>
      <c r="E50" s="486">
        <f t="shared" si="11"/>
        <v>7.1855709876543212</v>
      </c>
      <c r="F50" s="486">
        <f t="shared" si="11"/>
        <v>7.8388047138047137</v>
      </c>
      <c r="G50" s="486">
        <f t="shared" si="11"/>
        <v>7.8388047138047137</v>
      </c>
      <c r="M50" s="419"/>
      <c r="N50" s="419"/>
      <c r="O50" s="854"/>
      <c r="P50" s="786"/>
      <c r="Q50" s="786"/>
      <c r="R50" s="786"/>
      <c r="S50" s="786" t="s">
        <v>498</v>
      </c>
      <c r="T50" s="786"/>
      <c r="U50" s="786" t="s">
        <v>1020</v>
      </c>
      <c r="V50" s="874">
        <v>2050</v>
      </c>
      <c r="W50" s="868"/>
      <c r="X50" s="875">
        <f>VLOOKUP($V50,$P$38:$Y$40,8,FALSE)</f>
        <v>5.5790462767206943E-2</v>
      </c>
      <c r="Y50" s="876"/>
      <c r="Z50" s="868"/>
      <c r="AA50" s="868"/>
      <c r="AB50" s="868"/>
      <c r="AC50" s="868"/>
      <c r="AD50" s="868"/>
      <c r="AE50" s="868"/>
      <c r="AF50" s="868"/>
      <c r="AG50" s="868"/>
      <c r="AH50" s="868"/>
      <c r="AI50" s="868"/>
      <c r="AJ50" s="877"/>
    </row>
    <row r="51" spans="2:36" outlineLevel="1"/>
    <row r="52" spans="2:36" outlineLevel="1"/>
    <row r="53" spans="2:36" outlineLevel="1"/>
    <row r="54" spans="2:36" outlineLevel="1"/>
    <row r="55" spans="2:36" outlineLevel="1">
      <c r="E55" s="357"/>
      <c r="F55" s="357"/>
      <c r="G55" s="357"/>
      <c r="H55" s="357"/>
      <c r="I55" s="357"/>
      <c r="J55" s="357"/>
      <c r="K55" s="357"/>
      <c r="L55" s="357"/>
    </row>
    <row r="56" spans="2:36" outlineLevel="1">
      <c r="B56" s="796" t="s">
        <v>736</v>
      </c>
      <c r="C56" s="223"/>
      <c r="D56" s="797"/>
      <c r="E56" s="797"/>
      <c r="F56" s="797"/>
      <c r="G56" s="797"/>
      <c r="H56" s="797"/>
      <c r="I56" s="797"/>
      <c r="J56" s="797"/>
      <c r="K56" s="797"/>
      <c r="L56" s="798"/>
    </row>
    <row r="57" spans="2:36" outlineLevel="1">
      <c r="B57" s="223">
        <v>1</v>
      </c>
      <c r="C57" s="223"/>
      <c r="D57" s="223"/>
      <c r="E57" s="799"/>
      <c r="F57" s="223"/>
      <c r="G57" s="223"/>
      <c r="H57" s="223"/>
      <c r="I57" s="223"/>
      <c r="J57" s="223"/>
      <c r="K57" s="223"/>
      <c r="L57" s="223"/>
    </row>
    <row r="58" spans="2:36" outlineLevel="1">
      <c r="B58" s="223">
        <v>2</v>
      </c>
      <c r="C58" s="223"/>
      <c r="D58" s="223"/>
      <c r="E58" s="799"/>
      <c r="F58" s="223"/>
      <c r="G58" s="223"/>
      <c r="H58" s="223"/>
      <c r="I58" s="223"/>
      <c r="J58" s="223"/>
      <c r="K58" s="223"/>
      <c r="L58" s="223"/>
    </row>
    <row r="59" spans="2:36" outlineLevel="1">
      <c r="B59" s="223">
        <v>3</v>
      </c>
      <c r="C59" s="223"/>
      <c r="D59" s="223"/>
      <c r="E59" s="799"/>
      <c r="F59" s="223"/>
      <c r="G59" s="223"/>
      <c r="H59" s="223"/>
      <c r="I59" s="223"/>
      <c r="J59" s="223"/>
      <c r="K59" s="223"/>
      <c r="L59" s="223"/>
    </row>
    <row r="60" spans="2:36" outlineLevel="1">
      <c r="B60" s="223"/>
      <c r="C60" s="223"/>
      <c r="D60" s="223"/>
      <c r="E60" s="223"/>
      <c r="F60" s="223"/>
      <c r="G60" s="223"/>
      <c r="H60" s="223"/>
      <c r="I60" s="223"/>
      <c r="J60" s="223"/>
      <c r="K60" s="223"/>
      <c r="L60" s="223"/>
    </row>
    <row r="61" spans="2:36" outlineLevel="1">
      <c r="B61" s="223"/>
      <c r="C61" s="223"/>
      <c r="D61" s="223"/>
      <c r="E61" s="223"/>
      <c r="F61" s="223"/>
      <c r="G61" s="223"/>
      <c r="H61" s="223"/>
      <c r="I61" s="223"/>
      <c r="J61" s="223"/>
      <c r="K61" s="223"/>
      <c r="L61" s="223"/>
    </row>
    <row r="62" spans="2:36" outlineLevel="1">
      <c r="B62" s="800" t="s">
        <v>746</v>
      </c>
      <c r="C62" s="223"/>
      <c r="D62" s="223"/>
      <c r="E62" s="223"/>
      <c r="F62" s="223"/>
      <c r="G62" s="223"/>
      <c r="H62" s="223"/>
      <c r="I62" s="223"/>
      <c r="J62" s="223"/>
      <c r="K62" s="223"/>
      <c r="L62" s="223"/>
    </row>
    <row r="63" spans="2:36" outlineLevel="1">
      <c r="B63" s="801" t="s">
        <v>6</v>
      </c>
      <c r="C63" s="223" t="s">
        <v>1021</v>
      </c>
      <c r="D63" s="223"/>
      <c r="E63" s="223"/>
      <c r="F63" s="223"/>
      <c r="G63" s="223"/>
      <c r="H63" s="223"/>
      <c r="I63" s="223"/>
      <c r="J63" s="223"/>
      <c r="K63" s="223"/>
      <c r="L63" s="223"/>
    </row>
    <row r="64" spans="2:36" outlineLevel="1">
      <c r="B64" s="801" t="s">
        <v>59</v>
      </c>
      <c r="C64" s="223" t="s">
        <v>1022</v>
      </c>
      <c r="D64" s="223"/>
      <c r="E64" s="223"/>
      <c r="F64" s="223"/>
      <c r="G64" s="223"/>
      <c r="H64" s="223"/>
      <c r="I64" s="223"/>
      <c r="J64" s="223"/>
      <c r="K64" s="223"/>
      <c r="L64" s="223"/>
    </row>
    <row r="65" spans="2:12" outlineLevel="1">
      <c r="B65" s="801" t="s">
        <v>16</v>
      </c>
      <c r="C65" s="223" t="s">
        <v>1023</v>
      </c>
      <c r="D65" s="223"/>
      <c r="E65" s="223"/>
      <c r="F65" s="223"/>
      <c r="G65" s="223"/>
      <c r="H65" s="223"/>
      <c r="I65" s="223"/>
      <c r="J65" s="223"/>
      <c r="K65" s="223"/>
      <c r="L65" s="223"/>
    </row>
    <row r="66" spans="2:12" outlineLevel="1">
      <c r="B66" s="801" t="s">
        <v>20</v>
      </c>
      <c r="C66" s="223" t="s">
        <v>1024</v>
      </c>
      <c r="D66" s="223"/>
      <c r="E66" s="223"/>
      <c r="F66" s="223"/>
      <c r="G66" s="223"/>
      <c r="H66" s="223"/>
      <c r="I66" s="223"/>
      <c r="J66" s="223"/>
      <c r="K66" s="223"/>
      <c r="L66" s="223"/>
    </row>
    <row r="67" spans="2:12" outlineLevel="1">
      <c r="B67" s="801" t="s">
        <v>76</v>
      </c>
      <c r="C67" s="223" t="s">
        <v>1025</v>
      </c>
      <c r="D67" s="223"/>
      <c r="E67" s="223"/>
      <c r="F67" s="223"/>
      <c r="G67" s="223"/>
      <c r="H67" s="223"/>
      <c r="I67" s="223"/>
      <c r="J67" s="223"/>
      <c r="K67" s="223"/>
      <c r="L67" s="223"/>
    </row>
    <row r="68" spans="2:12" outlineLevel="1">
      <c r="B68" s="801" t="s">
        <v>25</v>
      </c>
      <c r="C68" s="223" t="s">
        <v>1026</v>
      </c>
      <c r="D68" s="223"/>
      <c r="E68" s="223"/>
      <c r="F68" s="223"/>
      <c r="G68" s="223"/>
      <c r="H68" s="223"/>
      <c r="I68" s="223"/>
      <c r="J68" s="223"/>
      <c r="K68" s="223"/>
      <c r="L68" s="223"/>
    </row>
    <row r="69" spans="2:12" outlineLevel="1">
      <c r="B69" s="801" t="s">
        <v>33</v>
      </c>
      <c r="C69" s="223" t="s">
        <v>1027</v>
      </c>
      <c r="D69" s="223"/>
      <c r="E69" s="223"/>
      <c r="F69" s="223"/>
      <c r="G69" s="223"/>
      <c r="H69" s="223"/>
      <c r="I69" s="223"/>
      <c r="J69" s="223"/>
      <c r="K69" s="223"/>
      <c r="L69" s="223"/>
    </row>
    <row r="70" spans="2:12" outlineLevel="1">
      <c r="B70" s="801" t="s">
        <v>51</v>
      </c>
      <c r="C70" s="223" t="s">
        <v>1028</v>
      </c>
      <c r="D70" s="223"/>
      <c r="E70" s="223"/>
      <c r="F70" s="223"/>
      <c r="G70" s="223"/>
      <c r="H70" s="223"/>
      <c r="I70" s="223"/>
      <c r="J70" s="223"/>
      <c r="K70" s="223"/>
      <c r="L70" s="223"/>
    </row>
    <row r="71" spans="2:12" outlineLevel="1">
      <c r="B71" s="801" t="s">
        <v>52</v>
      </c>
      <c r="C71" s="223" t="s">
        <v>1029</v>
      </c>
      <c r="D71" s="223"/>
      <c r="E71" s="223"/>
      <c r="F71" s="223"/>
      <c r="G71" s="223"/>
      <c r="H71" s="223"/>
      <c r="I71" s="223"/>
      <c r="J71" s="223"/>
      <c r="K71" s="223"/>
      <c r="L71" s="223"/>
    </row>
    <row r="72" spans="2:12" outlineLevel="1">
      <c r="B72" s="801" t="s">
        <v>55</v>
      </c>
      <c r="C72" s="223" t="s">
        <v>1030</v>
      </c>
      <c r="D72" s="223"/>
      <c r="E72" s="223"/>
      <c r="F72" s="223"/>
      <c r="G72" s="223"/>
      <c r="H72" s="223"/>
      <c r="I72" s="223"/>
      <c r="J72" s="223"/>
      <c r="K72" s="223"/>
      <c r="L72" s="223"/>
    </row>
    <row r="73" spans="2:12" outlineLevel="1">
      <c r="B73" s="801" t="s">
        <v>49</v>
      </c>
      <c r="C73" s="223" t="s">
        <v>1031</v>
      </c>
      <c r="D73" s="223"/>
      <c r="E73" s="223"/>
      <c r="F73" s="223"/>
      <c r="G73" s="223"/>
      <c r="H73" s="223"/>
      <c r="I73" s="223"/>
      <c r="J73" s="223"/>
      <c r="K73" s="223"/>
      <c r="L73" s="223"/>
    </row>
    <row r="74" spans="2:12" outlineLevel="1">
      <c r="B74" s="801" t="s">
        <v>374</v>
      </c>
      <c r="C74" s="223" t="s">
        <v>1032</v>
      </c>
      <c r="D74" s="223"/>
      <c r="E74" s="223"/>
      <c r="F74" s="223"/>
      <c r="G74" s="223"/>
      <c r="H74" s="223"/>
      <c r="I74" s="223"/>
      <c r="J74" s="223"/>
      <c r="K74" s="223"/>
      <c r="L74" s="223"/>
    </row>
    <row r="75" spans="2:12" outlineLevel="1">
      <c r="B75" s="801" t="s">
        <v>849</v>
      </c>
      <c r="C75" s="223" t="s">
        <v>1033</v>
      </c>
      <c r="D75" s="223"/>
      <c r="E75" s="223"/>
      <c r="F75" s="223"/>
      <c r="G75" s="223"/>
      <c r="H75" s="223"/>
      <c r="I75" s="223"/>
      <c r="J75" s="223"/>
      <c r="K75" s="223"/>
      <c r="L75" s="223"/>
    </row>
    <row r="76" spans="2:12" outlineLevel="1">
      <c r="B76" s="801" t="s">
        <v>850</v>
      </c>
      <c r="C76" s="223" t="s">
        <v>1034</v>
      </c>
      <c r="D76" s="223"/>
      <c r="E76" s="223"/>
      <c r="F76" s="223"/>
      <c r="G76" s="223"/>
      <c r="H76" s="223"/>
      <c r="I76" s="223"/>
      <c r="J76" s="223"/>
      <c r="K76" s="223"/>
      <c r="L76" s="223"/>
    </row>
    <row r="77" spans="2:12" outlineLevel="1">
      <c r="B77" s="495"/>
      <c r="C77" s="497"/>
      <c r="G77" s="357"/>
      <c r="H77" s="357"/>
      <c r="I77" s="357"/>
      <c r="J77" s="357"/>
      <c r="K77" s="357"/>
      <c r="L77" s="357"/>
    </row>
    <row r="78" spans="2:12" outlineLevel="1">
      <c r="B78" s="495"/>
      <c r="C78" s="488"/>
      <c r="G78" s="357"/>
      <c r="H78" s="357"/>
      <c r="I78" s="357"/>
      <c r="J78" s="357"/>
      <c r="K78" s="357"/>
      <c r="L78" s="357"/>
    </row>
    <row r="79" spans="2:12" outlineLevel="1">
      <c r="E79" s="489"/>
      <c r="F79" s="489"/>
    </row>
    <row r="80" spans="2:12" outlineLevel="1"/>
    <row r="81" spans="1:21" outlineLevel="1">
      <c r="B81" s="495"/>
      <c r="C81" s="488"/>
      <c r="D81" s="488"/>
    </row>
    <row r="82" spans="1:21" outlineLevel="1">
      <c r="B82" s="637" t="str">
        <f>C87</f>
        <v>Post-combustion carbon capture retrofit - 500 MW(th) biomass-fired boiler</v>
      </c>
    </row>
    <row r="85" spans="1:21" ht="15" customHeight="1">
      <c r="A85" s="359" t="s">
        <v>979</v>
      </c>
      <c r="B85" s="1204"/>
      <c r="C85" s="1140"/>
      <c r="D85" s="1140"/>
      <c r="E85" s="1140"/>
      <c r="F85" s="1140"/>
      <c r="G85" s="1140"/>
      <c r="H85" s="1140"/>
      <c r="I85" s="1140"/>
      <c r="J85" s="1140"/>
      <c r="K85" s="1140"/>
      <c r="L85" s="1140"/>
      <c r="M85" s="1140"/>
      <c r="N85" s="692"/>
    </row>
    <row r="86" spans="1:21" ht="15.75" customHeight="1" outlineLevel="1">
      <c r="B86" s="1204"/>
      <c r="C86" s="1140"/>
      <c r="D86" s="1140"/>
      <c r="E86" s="1140"/>
      <c r="F86" s="1140"/>
      <c r="G86" s="1140"/>
      <c r="H86" s="1140"/>
      <c r="I86" s="1140"/>
      <c r="J86" s="1140"/>
      <c r="K86" s="1140"/>
      <c r="L86" s="1140"/>
      <c r="M86" s="1140"/>
      <c r="N86" s="692"/>
    </row>
    <row r="87" spans="1:21" ht="20.25" customHeight="1" outlineLevel="1">
      <c r="B87" s="732" t="s">
        <v>0</v>
      </c>
      <c r="C87" s="1205" t="s">
        <v>1037</v>
      </c>
      <c r="D87" s="1206"/>
      <c r="E87" s="1206"/>
      <c r="F87" s="1206"/>
      <c r="G87" s="1206"/>
      <c r="H87" s="1206"/>
      <c r="I87" s="1206"/>
      <c r="J87" s="1206"/>
      <c r="K87" s="1206"/>
      <c r="L87" s="1206"/>
      <c r="M87" s="1207"/>
      <c r="N87" s="362"/>
    </row>
    <row r="88" spans="1:21" ht="15" customHeight="1" outlineLevel="1">
      <c r="B88" s="733"/>
      <c r="C88" s="750">
        <v>2020</v>
      </c>
      <c r="D88" s="750">
        <v>2025</v>
      </c>
      <c r="E88" s="751">
        <v>2030</v>
      </c>
      <c r="F88" s="751">
        <v>2040</v>
      </c>
      <c r="G88" s="752">
        <v>2050</v>
      </c>
      <c r="H88" s="1208" t="s">
        <v>981</v>
      </c>
      <c r="I88" s="1209"/>
      <c r="J88" s="1208" t="s">
        <v>628</v>
      </c>
      <c r="K88" s="1209"/>
      <c r="L88" s="751" t="s">
        <v>2</v>
      </c>
      <c r="M88" s="734" t="s">
        <v>3</v>
      </c>
      <c r="N88" s="366"/>
      <c r="P88" s="1140"/>
      <c r="Q88" s="1140"/>
      <c r="R88" s="1140"/>
      <c r="S88" s="1140"/>
      <c r="T88" s="1140"/>
      <c r="U88" s="1140"/>
    </row>
    <row r="89" spans="1:21" outlineLevel="1">
      <c r="B89" s="733"/>
      <c r="C89" s="753"/>
      <c r="D89" s="754"/>
      <c r="E89" s="755"/>
      <c r="F89" s="755"/>
      <c r="G89" s="755"/>
      <c r="H89" s="756" t="s">
        <v>629</v>
      </c>
      <c r="I89" s="756" t="s">
        <v>630</v>
      </c>
      <c r="J89" s="756" t="s">
        <v>629</v>
      </c>
      <c r="K89" s="756" t="s">
        <v>630</v>
      </c>
      <c r="L89" s="755"/>
      <c r="M89" s="735"/>
      <c r="N89" s="369"/>
    </row>
    <row r="90" spans="1:21" outlineLevel="1">
      <c r="B90" s="736" t="s">
        <v>4</v>
      </c>
      <c r="C90" s="755"/>
      <c r="D90" s="755"/>
      <c r="E90" s="755"/>
      <c r="F90" s="755"/>
      <c r="G90" s="755"/>
      <c r="H90" s="755"/>
      <c r="I90" s="755"/>
      <c r="J90" s="755"/>
      <c r="K90" s="755"/>
      <c r="L90" s="755"/>
      <c r="M90" s="735"/>
      <c r="N90" s="369"/>
    </row>
    <row r="91" spans="1:21" ht="24.6" customHeight="1" outlineLevel="1">
      <c r="B91" s="737" t="s">
        <v>1040</v>
      </c>
      <c r="C91" s="757">
        <v>164</v>
      </c>
      <c r="D91" s="757">
        <v>164</v>
      </c>
      <c r="E91" s="757">
        <v>164</v>
      </c>
      <c r="F91" s="757">
        <v>173</v>
      </c>
      <c r="G91" s="757">
        <v>173</v>
      </c>
      <c r="H91" s="757">
        <v>155</v>
      </c>
      <c r="I91" s="757">
        <v>173</v>
      </c>
      <c r="J91" s="757">
        <v>167</v>
      </c>
      <c r="K91" s="757">
        <v>180</v>
      </c>
      <c r="L91" s="757"/>
      <c r="M91" s="738"/>
      <c r="N91" s="369"/>
    </row>
    <row r="92" spans="1:21" ht="32.549999999999997" customHeight="1" outlineLevel="1">
      <c r="B92" s="739" t="s">
        <v>983</v>
      </c>
      <c r="C92" s="758"/>
      <c r="D92" s="758"/>
      <c r="E92" s="758"/>
      <c r="F92" s="758"/>
      <c r="G92" s="758"/>
      <c r="H92" s="758"/>
      <c r="I92" s="758"/>
      <c r="J92" s="758"/>
      <c r="K92" s="758"/>
      <c r="L92" s="758"/>
      <c r="M92" s="740"/>
      <c r="N92" s="369"/>
    </row>
    <row r="93" spans="1:21" ht="14.55" customHeight="1" outlineLevel="1">
      <c r="B93" s="737" t="s">
        <v>984</v>
      </c>
      <c r="C93" s="757">
        <v>5.0999999999999996</v>
      </c>
      <c r="D93" s="757">
        <v>5.0999999999999996</v>
      </c>
      <c r="E93" s="757">
        <v>5.0999999999999996</v>
      </c>
      <c r="F93" s="757">
        <v>4.8</v>
      </c>
      <c r="G93" s="757">
        <v>4.8</v>
      </c>
      <c r="H93" s="757">
        <v>5.4</v>
      </c>
      <c r="I93" s="757">
        <v>4.8</v>
      </c>
      <c r="J93" s="757">
        <v>5</v>
      </c>
      <c r="K93" s="757">
        <v>4.7</v>
      </c>
      <c r="L93" s="757"/>
      <c r="M93" s="738"/>
      <c r="N93" s="369"/>
    </row>
    <row r="94" spans="1:21" ht="15" customHeight="1" outlineLevel="1">
      <c r="B94" s="741" t="s">
        <v>1041</v>
      </c>
      <c r="C94" s="759">
        <v>17</v>
      </c>
      <c r="D94" s="759">
        <v>17</v>
      </c>
      <c r="E94" s="759">
        <v>17</v>
      </c>
      <c r="F94" s="759">
        <v>17</v>
      </c>
      <c r="G94" s="759">
        <v>17</v>
      </c>
      <c r="H94" s="759">
        <v>15</v>
      </c>
      <c r="I94" s="759">
        <v>17</v>
      </c>
      <c r="J94" s="759">
        <v>15</v>
      </c>
      <c r="K94" s="759">
        <v>17</v>
      </c>
      <c r="L94" s="759"/>
      <c r="M94" s="742"/>
      <c r="N94" s="369"/>
      <c r="P94" s="224">
        <f>C91*C96</f>
        <v>136.61199999999999</v>
      </c>
    </row>
    <row r="95" spans="1:21" ht="14.55" customHeight="1" outlineLevel="1">
      <c r="B95" s="741" t="s">
        <v>1042</v>
      </c>
      <c r="C95" s="757">
        <v>35</v>
      </c>
      <c r="D95" s="757">
        <v>35</v>
      </c>
      <c r="E95" s="757">
        <v>35</v>
      </c>
      <c r="F95" s="757">
        <v>35</v>
      </c>
      <c r="G95" s="757">
        <v>35</v>
      </c>
      <c r="H95" s="757">
        <v>30</v>
      </c>
      <c r="I95" s="757">
        <v>40</v>
      </c>
      <c r="J95" s="757">
        <v>30</v>
      </c>
      <c r="K95" s="757">
        <v>40</v>
      </c>
      <c r="L95" s="757" t="s">
        <v>59</v>
      </c>
      <c r="M95" s="738"/>
      <c r="N95" s="366"/>
    </row>
    <row r="96" spans="1:21" outlineLevel="1">
      <c r="B96" s="803" t="s">
        <v>987</v>
      </c>
      <c r="C96" s="804">
        <v>0.83299999999999996</v>
      </c>
      <c r="D96" s="804">
        <v>0.83299999999999996</v>
      </c>
      <c r="E96" s="804">
        <v>0.72</v>
      </c>
      <c r="F96" s="804">
        <v>0.66</v>
      </c>
      <c r="G96" s="804">
        <v>0.66</v>
      </c>
      <c r="H96" s="805">
        <v>0.66</v>
      </c>
      <c r="I96" s="805">
        <v>1</v>
      </c>
      <c r="J96" s="805">
        <v>0.55000000000000004</v>
      </c>
      <c r="K96" s="805">
        <v>0.72</v>
      </c>
      <c r="L96" s="805" t="s">
        <v>16</v>
      </c>
      <c r="M96" s="744"/>
      <c r="N96" s="362"/>
    </row>
    <row r="97" spans="1:20" outlineLevel="1">
      <c r="B97" s="806" t="s">
        <v>988</v>
      </c>
      <c r="C97" s="807">
        <v>0.03</v>
      </c>
      <c r="D97" s="807">
        <v>0.03</v>
      </c>
      <c r="E97" s="807">
        <v>2.5000000000000001E-2</v>
      </c>
      <c r="F97" s="807">
        <v>2.3E-2</v>
      </c>
      <c r="G97" s="807">
        <v>0.02</v>
      </c>
      <c r="H97" s="807">
        <v>2.5000000000000001E-2</v>
      </c>
      <c r="I97" s="807">
        <v>3.5000000000000003E-2</v>
      </c>
      <c r="J97" s="807">
        <v>1.7000000000000001E-2</v>
      </c>
      <c r="K97" s="807">
        <v>2.5000000000000001E-2</v>
      </c>
      <c r="L97" s="807" t="s">
        <v>20</v>
      </c>
      <c r="M97" s="742"/>
      <c r="N97" s="362"/>
      <c r="P97" s="224">
        <f>57/P98</f>
        <v>0.17093159999999996</v>
      </c>
    </row>
    <row r="98" spans="1:20" outlineLevel="1">
      <c r="B98" s="743" t="s">
        <v>989</v>
      </c>
      <c r="C98" s="760">
        <v>0.3</v>
      </c>
      <c r="D98" s="760">
        <v>0.3</v>
      </c>
      <c r="E98" s="760">
        <v>0.2</v>
      </c>
      <c r="F98" s="760">
        <v>0.15</v>
      </c>
      <c r="G98" s="760">
        <v>0.1</v>
      </c>
      <c r="H98" s="760">
        <v>0.15</v>
      </c>
      <c r="I98" s="760">
        <v>1.5</v>
      </c>
      <c r="J98" s="760">
        <v>0.05</v>
      </c>
      <c r="K98" s="760">
        <v>0.3</v>
      </c>
      <c r="L98" s="760"/>
      <c r="M98" s="744"/>
      <c r="N98" s="362"/>
      <c r="O98" s="224" t="s">
        <v>1035</v>
      </c>
      <c r="P98" s="224">
        <f>P99*1/3.6*1000000/1000</f>
        <v>333.46672002134193</v>
      </c>
      <c r="Q98" s="224">
        <f t="shared" ref="Q98" si="12">Q99*1/3.6*1000000/1000</f>
        <v>333.46672002134193</v>
      </c>
      <c r="R98" s="224">
        <f t="shared" ref="R98" si="13">R99*1/3.6*1000000/1000</f>
        <v>385.80246913580248</v>
      </c>
      <c r="S98" s="224">
        <f t="shared" ref="S98" si="14">S99*1/3.6*1000000/1000</f>
        <v>420.87542087542084</v>
      </c>
      <c r="T98" s="224">
        <f t="shared" ref="T98" si="15">T99*1/3.6*1000000/1000</f>
        <v>420.87542087542084</v>
      </c>
    </row>
    <row r="99" spans="1:20" outlineLevel="1">
      <c r="B99" s="737" t="s">
        <v>1043</v>
      </c>
      <c r="C99" s="761"/>
      <c r="D99" s="757"/>
      <c r="E99" s="757"/>
      <c r="F99" s="757"/>
      <c r="G99" s="757"/>
      <c r="H99" s="757"/>
      <c r="I99" s="757"/>
      <c r="J99" s="757"/>
      <c r="K99" s="757"/>
      <c r="L99" s="757"/>
      <c r="M99" s="738"/>
      <c r="N99" s="362"/>
      <c r="O99" s="802"/>
      <c r="P99" s="224">
        <f>1/C96</f>
        <v>1.2004801920768309</v>
      </c>
      <c r="Q99" s="224">
        <f t="shared" ref="Q99" si="16">1/D96</f>
        <v>1.2004801920768309</v>
      </c>
      <c r="R99" s="224">
        <f t="shared" ref="R99" si="17">1/E96</f>
        <v>1.3888888888888888</v>
      </c>
      <c r="S99" s="224">
        <f t="shared" ref="S99" si="18">1/F96</f>
        <v>1.5151515151515151</v>
      </c>
      <c r="T99" s="224">
        <f t="shared" ref="T99" si="19">1/G96</f>
        <v>1.5151515151515151</v>
      </c>
    </row>
    <row r="100" spans="1:20" outlineLevel="1">
      <c r="B100" s="739" t="s">
        <v>991</v>
      </c>
      <c r="C100" s="758"/>
      <c r="D100" s="758"/>
      <c r="E100" s="758"/>
      <c r="F100" s="758"/>
      <c r="G100" s="758"/>
      <c r="H100" s="758"/>
      <c r="I100" s="758"/>
      <c r="J100" s="758"/>
      <c r="K100" s="758"/>
      <c r="L100" s="758"/>
      <c r="M100" s="740"/>
      <c r="N100" s="362"/>
    </row>
    <row r="101" spans="1:20" outlineLevel="1">
      <c r="B101" s="745" t="s">
        <v>1038</v>
      </c>
      <c r="C101" s="757">
        <v>97</v>
      </c>
      <c r="D101" s="757">
        <v>97</v>
      </c>
      <c r="E101" s="757">
        <v>98</v>
      </c>
      <c r="F101" s="757">
        <v>99</v>
      </c>
      <c r="G101" s="757">
        <v>99</v>
      </c>
      <c r="H101" s="757">
        <v>96</v>
      </c>
      <c r="I101" s="757">
        <v>98</v>
      </c>
      <c r="J101" s="757">
        <v>98</v>
      </c>
      <c r="K101" s="757">
        <v>99</v>
      </c>
      <c r="L101" s="757" t="s">
        <v>76</v>
      </c>
      <c r="M101" s="738"/>
      <c r="N101" s="362"/>
    </row>
    <row r="102" spans="1:20" outlineLevel="1">
      <c r="B102" s="745" t="s">
        <v>1039</v>
      </c>
      <c r="C102" s="757">
        <v>160</v>
      </c>
      <c r="D102" s="757">
        <v>160</v>
      </c>
      <c r="E102" s="757">
        <v>300</v>
      </c>
      <c r="F102" s="757">
        <v>400</v>
      </c>
      <c r="G102" s="757">
        <v>400</v>
      </c>
      <c r="H102" s="757">
        <v>120</v>
      </c>
      <c r="I102" s="757">
        <v>300</v>
      </c>
      <c r="J102" s="757">
        <v>300</v>
      </c>
      <c r="K102" s="757">
        <v>600</v>
      </c>
      <c r="L102" s="757" t="s">
        <v>25</v>
      </c>
      <c r="M102" s="738"/>
      <c r="N102" s="419"/>
      <c r="P102" s="224">
        <f>P103/P99</f>
        <v>0.17093159999999999</v>
      </c>
    </row>
    <row r="103" spans="1:20" ht="38.25" customHeight="1" outlineLevel="1">
      <c r="B103" s="737" t="s">
        <v>1044</v>
      </c>
      <c r="C103" s="757">
        <v>90</v>
      </c>
      <c r="D103" s="757">
        <v>90</v>
      </c>
      <c r="E103" s="757">
        <v>90</v>
      </c>
      <c r="F103" s="757">
        <v>95</v>
      </c>
      <c r="G103" s="757">
        <v>95</v>
      </c>
      <c r="H103" s="757">
        <v>85</v>
      </c>
      <c r="I103" s="757">
        <v>95</v>
      </c>
      <c r="J103" s="757">
        <v>92</v>
      </c>
      <c r="K103" s="757">
        <v>99</v>
      </c>
      <c r="L103" s="757"/>
      <c r="M103" s="738"/>
      <c r="N103" s="427"/>
      <c r="P103" s="224">
        <f>57/1*3.6/1000000*1000</f>
        <v>0.20520000000000002</v>
      </c>
    </row>
    <row r="104" spans="1:20" outlineLevel="1">
      <c r="B104" s="737" t="s">
        <v>995</v>
      </c>
      <c r="C104" s="757">
        <v>0.83299999999999996</v>
      </c>
      <c r="D104" s="757">
        <v>0.83299999999999996</v>
      </c>
      <c r="E104" s="757">
        <v>0.72</v>
      </c>
      <c r="F104" s="757">
        <v>0.66</v>
      </c>
      <c r="G104" s="757">
        <v>0.66</v>
      </c>
      <c r="H104" s="760">
        <v>0.66</v>
      </c>
      <c r="I104" s="760">
        <v>1</v>
      </c>
      <c r="J104" s="760">
        <v>0.55000000000000004</v>
      </c>
      <c r="K104" s="760">
        <v>0.72</v>
      </c>
      <c r="L104" s="757"/>
      <c r="M104" s="738"/>
      <c r="N104" s="427"/>
      <c r="P104" s="224">
        <f>333.5/1*3.6/1000000*1000</f>
        <v>1.2006000000000003</v>
      </c>
    </row>
    <row r="105" spans="1:20" outlineLevel="1">
      <c r="B105" s="741" t="s">
        <v>1045</v>
      </c>
      <c r="C105" s="757">
        <v>60</v>
      </c>
      <c r="D105" s="757">
        <v>60</v>
      </c>
      <c r="E105" s="757">
        <v>60</v>
      </c>
      <c r="F105" s="757">
        <v>70</v>
      </c>
      <c r="G105" s="757">
        <v>70</v>
      </c>
      <c r="H105" s="757">
        <v>50</v>
      </c>
      <c r="I105" s="757">
        <v>80</v>
      </c>
      <c r="J105" s="757">
        <v>50</v>
      </c>
      <c r="K105" s="757">
        <v>120</v>
      </c>
      <c r="L105" s="757" t="s">
        <v>51</v>
      </c>
      <c r="M105" s="738"/>
      <c r="N105" s="427"/>
    </row>
    <row r="106" spans="1:20" outlineLevel="1">
      <c r="B106" s="746" t="s">
        <v>997</v>
      </c>
      <c r="C106" s="760"/>
      <c r="D106" s="760"/>
      <c r="E106" s="760"/>
      <c r="F106" s="760"/>
      <c r="G106" s="760"/>
      <c r="H106" s="760"/>
      <c r="I106" s="760"/>
      <c r="J106" s="760"/>
      <c r="K106" s="760"/>
      <c r="L106" s="760"/>
      <c r="M106" s="744"/>
      <c r="N106" s="427"/>
    </row>
    <row r="107" spans="1:20" outlineLevel="1">
      <c r="B107" s="739" t="s">
        <v>998</v>
      </c>
      <c r="C107" s="760"/>
      <c r="D107" s="760"/>
      <c r="E107" s="760"/>
      <c r="F107" s="760"/>
      <c r="G107" s="760"/>
      <c r="H107" s="760"/>
      <c r="I107" s="760"/>
      <c r="J107" s="760"/>
      <c r="K107" s="760"/>
      <c r="L107" s="760"/>
      <c r="M107" s="744"/>
      <c r="N107" s="427"/>
    </row>
    <row r="108" spans="1:20" outlineLevel="1">
      <c r="B108" s="737" t="s">
        <v>637</v>
      </c>
      <c r="C108" s="757">
        <v>5</v>
      </c>
      <c r="D108" s="757">
        <v>5</v>
      </c>
      <c r="E108" s="757">
        <v>3</v>
      </c>
      <c r="F108" s="757">
        <v>3</v>
      </c>
      <c r="G108" s="757">
        <v>3</v>
      </c>
      <c r="H108" s="757">
        <v>3</v>
      </c>
      <c r="I108" s="757">
        <v>3</v>
      </c>
      <c r="J108" s="757">
        <v>3</v>
      </c>
      <c r="K108" s="757">
        <v>3</v>
      </c>
      <c r="L108" s="757"/>
      <c r="M108" s="738"/>
      <c r="N108" s="427"/>
    </row>
    <row r="109" spans="1:20" ht="52.05" customHeight="1" outlineLevel="1">
      <c r="A109" s="434"/>
      <c r="B109" s="737" t="s">
        <v>638</v>
      </c>
      <c r="C109" s="757">
        <v>3</v>
      </c>
      <c r="D109" s="757">
        <v>3</v>
      </c>
      <c r="E109" s="757">
        <v>3</v>
      </c>
      <c r="F109" s="757">
        <v>2</v>
      </c>
      <c r="G109" s="757">
        <v>2</v>
      </c>
      <c r="H109" s="757">
        <v>2</v>
      </c>
      <c r="I109" s="757">
        <v>4</v>
      </c>
      <c r="J109" s="757">
        <v>2</v>
      </c>
      <c r="K109" s="757">
        <v>3</v>
      </c>
      <c r="L109" s="757"/>
      <c r="M109" s="738"/>
      <c r="N109" s="419"/>
    </row>
    <row r="110" spans="1:20" outlineLevel="1">
      <c r="B110" s="737" t="s">
        <v>11</v>
      </c>
      <c r="C110" s="757">
        <v>25</v>
      </c>
      <c r="D110" s="757">
        <v>25</v>
      </c>
      <c r="E110" s="757">
        <v>25</v>
      </c>
      <c r="F110" s="757">
        <v>25</v>
      </c>
      <c r="G110" s="757">
        <v>25</v>
      </c>
      <c r="H110" s="757">
        <v>25</v>
      </c>
      <c r="I110" s="757">
        <v>25</v>
      </c>
      <c r="J110" s="757">
        <v>25</v>
      </c>
      <c r="K110" s="757">
        <v>25</v>
      </c>
      <c r="L110" s="757"/>
      <c r="M110" s="738"/>
      <c r="N110" s="419"/>
    </row>
    <row r="111" spans="1:20" outlineLevel="1">
      <c r="B111" s="737" t="s">
        <v>273</v>
      </c>
      <c r="C111" s="757">
        <v>3</v>
      </c>
      <c r="D111" s="757">
        <v>3</v>
      </c>
      <c r="E111" s="757">
        <v>2.5</v>
      </c>
      <c r="F111" s="757">
        <v>2</v>
      </c>
      <c r="G111" s="757">
        <v>2</v>
      </c>
      <c r="H111" s="757">
        <v>2</v>
      </c>
      <c r="I111" s="757">
        <v>4</v>
      </c>
      <c r="J111" s="757">
        <v>2</v>
      </c>
      <c r="K111" s="757">
        <v>3</v>
      </c>
      <c r="L111" s="757"/>
      <c r="M111" s="738"/>
      <c r="N111" s="419"/>
    </row>
    <row r="112" spans="1:20" outlineLevel="1">
      <c r="B112" s="747" t="s">
        <v>654</v>
      </c>
      <c r="C112" s="762"/>
      <c r="D112" s="762"/>
      <c r="E112" s="762"/>
      <c r="F112" s="762"/>
      <c r="G112" s="762"/>
      <c r="H112" s="762"/>
      <c r="I112" s="762"/>
      <c r="J112" s="762"/>
      <c r="K112" s="762"/>
      <c r="L112" s="762"/>
      <c r="M112" s="747"/>
      <c r="N112" s="419"/>
    </row>
    <row r="113" spans="2:30" ht="37.049999999999997" customHeight="1" outlineLevel="1">
      <c r="B113" s="737" t="s">
        <v>999</v>
      </c>
      <c r="C113" s="763">
        <v>2.7</v>
      </c>
      <c r="D113" s="763">
        <v>2.5</v>
      </c>
      <c r="E113" s="763">
        <v>2.2999999999999998</v>
      </c>
      <c r="F113" s="763">
        <v>2</v>
      </c>
      <c r="G113" s="763">
        <v>1.6</v>
      </c>
      <c r="H113" s="763">
        <v>2.2000000000000002</v>
      </c>
      <c r="I113" s="763">
        <v>3.7</v>
      </c>
      <c r="J113" s="763">
        <v>1.2</v>
      </c>
      <c r="K113" s="757">
        <v>2.2000000000000002</v>
      </c>
      <c r="L113" s="757" t="s">
        <v>52</v>
      </c>
      <c r="M113" s="738"/>
      <c r="N113" s="692"/>
    </row>
    <row r="114" spans="2:30" ht="15.75" customHeight="1" outlineLevel="1">
      <c r="B114" s="741" t="s">
        <v>1000</v>
      </c>
      <c r="C114" s="757">
        <v>50</v>
      </c>
      <c r="D114" s="757">
        <v>50</v>
      </c>
      <c r="E114" s="757">
        <v>50</v>
      </c>
      <c r="F114" s="757">
        <v>50</v>
      </c>
      <c r="G114" s="757">
        <v>50</v>
      </c>
      <c r="H114" s="757"/>
      <c r="I114" s="757"/>
      <c r="J114" s="757"/>
      <c r="K114" s="764"/>
      <c r="L114" s="757" t="s">
        <v>55</v>
      </c>
      <c r="M114" s="738"/>
      <c r="N114" s="692"/>
    </row>
    <row r="115" spans="2:30" outlineLevel="1">
      <c r="B115" s="737" t="s">
        <v>1001</v>
      </c>
      <c r="C115" s="757">
        <v>10</v>
      </c>
      <c r="D115" s="757">
        <v>10</v>
      </c>
      <c r="E115" s="757">
        <v>10</v>
      </c>
      <c r="F115" s="757">
        <v>10</v>
      </c>
      <c r="G115" s="757">
        <v>10</v>
      </c>
      <c r="H115" s="757"/>
      <c r="I115" s="757"/>
      <c r="J115" s="757"/>
      <c r="K115" s="764"/>
      <c r="L115" s="757" t="s">
        <v>49</v>
      </c>
      <c r="M115" s="738"/>
      <c r="N115" s="362"/>
    </row>
    <row r="116" spans="2:30" outlineLevel="1">
      <c r="B116" s="748" t="s">
        <v>1002</v>
      </c>
      <c r="C116" s="757">
        <v>10</v>
      </c>
      <c r="D116" s="757">
        <v>10</v>
      </c>
      <c r="E116" s="757">
        <v>10</v>
      </c>
      <c r="F116" s="757">
        <v>10</v>
      </c>
      <c r="G116" s="757">
        <v>10</v>
      </c>
      <c r="H116" s="757"/>
      <c r="I116" s="757"/>
      <c r="J116" s="757"/>
      <c r="K116" s="764"/>
      <c r="L116" s="257"/>
      <c r="M116" s="738"/>
      <c r="N116" s="366"/>
      <c r="P116" s="1139">
        <f>C113</f>
        <v>2.7</v>
      </c>
      <c r="Q116" s="1140"/>
      <c r="R116" s="1140"/>
      <c r="S116" s="1140"/>
      <c r="T116" s="1140"/>
      <c r="U116" s="1141"/>
    </row>
    <row r="117" spans="2:30" ht="15" outlineLevel="1" thickBot="1">
      <c r="B117" s="737" t="s">
        <v>1003</v>
      </c>
      <c r="C117" s="757">
        <v>15</v>
      </c>
      <c r="D117" s="757">
        <v>15</v>
      </c>
      <c r="E117" s="757">
        <v>15</v>
      </c>
      <c r="F117" s="757">
        <v>15</v>
      </c>
      <c r="G117" s="757">
        <v>15</v>
      </c>
      <c r="H117" s="757"/>
      <c r="I117" s="757"/>
      <c r="J117" s="757"/>
      <c r="K117" s="764"/>
      <c r="L117" s="757" t="s">
        <v>374</v>
      </c>
      <c r="M117" s="738"/>
      <c r="N117" s="362"/>
      <c r="P117" s="1131">
        <f>C114</f>
        <v>50</v>
      </c>
      <c r="Q117" s="1132"/>
      <c r="R117" s="1132"/>
      <c r="S117" s="1132"/>
      <c r="T117" s="1132"/>
      <c r="U117" s="1133"/>
    </row>
    <row r="118" spans="2:30" outlineLevel="1">
      <c r="B118" s="737" t="s">
        <v>1004</v>
      </c>
      <c r="C118" s="757">
        <v>15</v>
      </c>
      <c r="D118" s="757">
        <v>15</v>
      </c>
      <c r="E118" s="757">
        <v>15</v>
      </c>
      <c r="F118" s="757">
        <v>15</v>
      </c>
      <c r="G118" s="757">
        <v>15</v>
      </c>
      <c r="H118" s="757"/>
      <c r="I118" s="757"/>
      <c r="J118" s="757"/>
      <c r="K118" s="765"/>
      <c r="L118" s="257"/>
      <c r="M118" s="738"/>
      <c r="N118" s="362"/>
      <c r="P118" s="53" t="s">
        <v>357</v>
      </c>
    </row>
    <row r="119" spans="2:30" ht="27.6" outlineLevel="1">
      <c r="B119" s="746" t="s">
        <v>1005</v>
      </c>
      <c r="C119" s="760">
        <f>C113*0.03</f>
        <v>8.1000000000000003E-2</v>
      </c>
      <c r="D119" s="760">
        <f>D113*0.03</f>
        <v>7.4999999999999997E-2</v>
      </c>
      <c r="E119" s="760">
        <f>E113*0.03</f>
        <v>6.8999999999999992E-2</v>
      </c>
      <c r="F119" s="760">
        <f>F113*0.03</f>
        <v>0.06</v>
      </c>
      <c r="G119" s="760">
        <f>G113*0.03</f>
        <v>4.8000000000000001E-2</v>
      </c>
      <c r="H119" s="760">
        <f t="shared" ref="H119:K119" si="20">H113*0.03</f>
        <v>6.6000000000000003E-2</v>
      </c>
      <c r="I119" s="760">
        <f t="shared" si="20"/>
        <v>0.111</v>
      </c>
      <c r="J119" s="760">
        <f t="shared" si="20"/>
        <v>3.5999999999999997E-2</v>
      </c>
      <c r="K119" s="760">
        <f t="shared" si="20"/>
        <v>6.6000000000000003E-2</v>
      </c>
      <c r="L119" s="757" t="s">
        <v>849</v>
      </c>
      <c r="M119" s="744"/>
      <c r="N119" s="362"/>
      <c r="P119" s="46" t="s">
        <v>335</v>
      </c>
      <c r="Q119" s="46" t="s">
        <v>336</v>
      </c>
      <c r="R119" s="47" t="s">
        <v>337</v>
      </c>
      <c r="S119" s="47" t="s">
        <v>338</v>
      </c>
      <c r="T119" s="47" t="s">
        <v>339</v>
      </c>
      <c r="U119" s="48" t="s">
        <v>340</v>
      </c>
      <c r="V119" s="49" t="s">
        <v>341</v>
      </c>
      <c r="W119" s="49" t="s">
        <v>342</v>
      </c>
      <c r="X119" s="49" t="s">
        <v>343</v>
      </c>
      <c r="Y119" s="49" t="s">
        <v>344</v>
      </c>
      <c r="Z119" s="49" t="s">
        <v>345</v>
      </c>
      <c r="AA119" s="49" t="s">
        <v>346</v>
      </c>
      <c r="AB119" s="49" t="s">
        <v>347</v>
      </c>
      <c r="AC119" s="49" t="s">
        <v>348</v>
      </c>
      <c r="AD119" s="49" t="s">
        <v>349</v>
      </c>
    </row>
    <row r="120" spans="2:30" ht="14.55" customHeight="1" outlineLevel="1" thickBot="1">
      <c r="B120" s="741" t="s">
        <v>1006</v>
      </c>
      <c r="C120" s="757">
        <v>2.5</v>
      </c>
      <c r="D120" s="757">
        <v>2.5</v>
      </c>
      <c r="E120" s="757">
        <v>2.5</v>
      </c>
      <c r="F120" s="757">
        <v>2.5</v>
      </c>
      <c r="G120" s="757">
        <v>2.5</v>
      </c>
      <c r="H120" s="760">
        <v>1.5</v>
      </c>
      <c r="I120" s="760">
        <v>3.5</v>
      </c>
      <c r="J120" s="760">
        <v>1.5</v>
      </c>
      <c r="K120" s="760">
        <v>3.5</v>
      </c>
      <c r="L120" s="257"/>
      <c r="M120" s="738"/>
      <c r="N120" s="362"/>
      <c r="P120" s="50"/>
      <c r="Q120" s="50"/>
      <c r="R120" s="51"/>
      <c r="S120" s="51"/>
      <c r="T120" s="51"/>
      <c r="U120" s="51" t="s">
        <v>723</v>
      </c>
      <c r="V120" s="50" t="s">
        <v>724</v>
      </c>
      <c r="W120" s="50"/>
      <c r="X120" s="50"/>
      <c r="Y120" s="50"/>
      <c r="Z120" s="50"/>
      <c r="AA120" s="50"/>
      <c r="AB120" s="50"/>
      <c r="AC120" s="50"/>
      <c r="AD120" s="50"/>
    </row>
    <row r="121" spans="2:30" ht="43.2" outlineLevel="1">
      <c r="B121" s="745" t="s">
        <v>1007</v>
      </c>
      <c r="C121" s="757">
        <v>25</v>
      </c>
      <c r="D121" s="757">
        <v>25</v>
      </c>
      <c r="E121" s="757">
        <v>25</v>
      </c>
      <c r="F121" s="757">
        <v>25</v>
      </c>
      <c r="G121" s="757">
        <v>25</v>
      </c>
      <c r="H121" s="757"/>
      <c r="I121" s="757"/>
      <c r="J121" s="757"/>
      <c r="K121" s="764"/>
      <c r="L121" s="257"/>
      <c r="M121" s="738"/>
      <c r="N121" s="362"/>
      <c r="O121" s="460" t="s">
        <v>695</v>
      </c>
      <c r="P121" s="56"/>
      <c r="Q121" s="56"/>
      <c r="R121" s="57"/>
      <c r="S121" s="57"/>
      <c r="T121" s="57"/>
      <c r="U121" s="56" t="s">
        <v>350</v>
      </c>
      <c r="V121" s="56" t="s">
        <v>326</v>
      </c>
      <c r="W121" s="56" t="s">
        <v>327</v>
      </c>
      <c r="X121" s="56" t="s">
        <v>351</v>
      </c>
      <c r="Y121" s="56" t="s">
        <v>351</v>
      </c>
      <c r="Z121" s="56" t="s">
        <v>352</v>
      </c>
      <c r="AA121" s="56" t="s">
        <v>352</v>
      </c>
      <c r="AB121" s="56" t="s">
        <v>352</v>
      </c>
      <c r="AC121" s="56" t="s">
        <v>352</v>
      </c>
      <c r="AD121" s="56" t="s">
        <v>352</v>
      </c>
    </row>
    <row r="122" spans="2:30" ht="14.55" customHeight="1" outlineLevel="1">
      <c r="B122" s="736" t="s">
        <v>1008</v>
      </c>
      <c r="C122" s="755"/>
      <c r="D122" s="755"/>
      <c r="E122" s="755"/>
      <c r="F122" s="755"/>
      <c r="G122" s="755"/>
      <c r="H122" s="755"/>
      <c r="I122" s="755"/>
      <c r="J122" s="755"/>
      <c r="K122" s="755"/>
      <c r="L122" s="755"/>
      <c r="M122" s="749"/>
      <c r="N122" s="362"/>
      <c r="O122" s="464">
        <f>C92</f>
        <v>0</v>
      </c>
      <c r="P122" s="465">
        <f>C88</f>
        <v>2020</v>
      </c>
      <c r="Q122" s="58">
        <f>P122</f>
        <v>2020</v>
      </c>
      <c r="R122" s="465">
        <f>O122/100</f>
        <v>0</v>
      </c>
      <c r="S122" s="58"/>
      <c r="T122" s="465">
        <f>C96</f>
        <v>0.83299999999999996</v>
      </c>
      <c r="U122" s="466">
        <f>C127</f>
        <v>24147.659063625455</v>
      </c>
      <c r="V122" s="466">
        <f>C129</f>
        <v>724.42977190876354</v>
      </c>
      <c r="W122" s="466">
        <f>C130</f>
        <v>6.2108176603974927</v>
      </c>
      <c r="X122" s="58"/>
      <c r="Y122" s="58"/>
      <c r="Z122" s="465">
        <f>C103</f>
        <v>90</v>
      </c>
      <c r="AA122" s="467">
        <f>C105</f>
        <v>60</v>
      </c>
      <c r="AB122" s="467">
        <f>C106</f>
        <v>0</v>
      </c>
      <c r="AC122" s="467">
        <f>C107</f>
        <v>0</v>
      </c>
      <c r="AD122" s="467">
        <f>C104</f>
        <v>0.83299999999999996</v>
      </c>
    </row>
    <row r="123" spans="2:30" outlineLevel="1">
      <c r="B123" s="741" t="s">
        <v>1009</v>
      </c>
      <c r="C123" s="766">
        <v>0.1</v>
      </c>
      <c r="D123" s="766">
        <v>0.1</v>
      </c>
      <c r="E123" s="757">
        <v>8.5000000000000006E-2</v>
      </c>
      <c r="F123" s="757">
        <v>7.4999999999999997E-2</v>
      </c>
      <c r="G123" s="757">
        <v>7.4999999999999997E-2</v>
      </c>
      <c r="H123" s="757">
        <v>0.09</v>
      </c>
      <c r="I123" s="757">
        <v>0.11</v>
      </c>
      <c r="J123" s="757">
        <v>7.0000000000000007E-2</v>
      </c>
      <c r="K123" s="759">
        <v>0.09</v>
      </c>
      <c r="L123" s="757" t="s">
        <v>850</v>
      </c>
      <c r="M123" s="738"/>
      <c r="N123" s="366"/>
      <c r="O123" s="464">
        <f>D92</f>
        <v>0</v>
      </c>
      <c r="P123" s="465">
        <f>D88</f>
        <v>2025</v>
      </c>
      <c r="Q123" s="58"/>
      <c r="R123" s="465">
        <f>O123/100</f>
        <v>0</v>
      </c>
      <c r="S123" s="58"/>
      <c r="T123" s="465">
        <f>D96</f>
        <v>0.83299999999999996</v>
      </c>
      <c r="U123" s="466">
        <f>D127</f>
        <v>22358.943577430975</v>
      </c>
      <c r="V123" s="466">
        <f>D129</f>
        <v>670.7683073229291</v>
      </c>
      <c r="W123" s="466">
        <f>D130</f>
        <v>6.2108176603974927</v>
      </c>
      <c r="X123" s="58"/>
      <c r="Y123" s="58"/>
      <c r="Z123" s="465">
        <f>D103</f>
        <v>90</v>
      </c>
      <c r="AA123" s="467">
        <f>D105</f>
        <v>60</v>
      </c>
      <c r="AB123" s="467">
        <f>D106</f>
        <v>0</v>
      </c>
      <c r="AC123" s="467">
        <f>D107</f>
        <v>0</v>
      </c>
      <c r="AD123" s="467">
        <f>D104</f>
        <v>0.83299999999999996</v>
      </c>
    </row>
    <row r="124" spans="2:30" outlineLevel="1">
      <c r="B124" s="741" t="s">
        <v>1010</v>
      </c>
      <c r="C124" s="757">
        <v>0.16</v>
      </c>
      <c r="D124" s="757">
        <v>0.16</v>
      </c>
      <c r="E124" s="757">
        <v>0.14000000000000001</v>
      </c>
      <c r="F124" s="757">
        <v>0.13</v>
      </c>
      <c r="G124" s="757">
        <v>0.13</v>
      </c>
      <c r="H124" s="757">
        <v>0.14000000000000001</v>
      </c>
      <c r="I124" s="757">
        <v>0.18</v>
      </c>
      <c r="J124" s="757">
        <v>0.12</v>
      </c>
      <c r="K124" s="759">
        <v>0.15</v>
      </c>
      <c r="L124" s="757" t="s">
        <v>850</v>
      </c>
      <c r="M124" s="738"/>
      <c r="N124" s="362"/>
      <c r="O124" s="464">
        <f>E92</f>
        <v>0</v>
      </c>
      <c r="P124" s="465">
        <f>E88</f>
        <v>2030</v>
      </c>
      <c r="Q124" s="58"/>
      <c r="R124" s="465">
        <f>O124/100</f>
        <v>0</v>
      </c>
      <c r="S124" s="58"/>
      <c r="T124" s="465">
        <f>E96</f>
        <v>0.72</v>
      </c>
      <c r="U124" s="466">
        <f>E127</f>
        <v>23798.611111111109</v>
      </c>
      <c r="V124" s="466">
        <f>E129</f>
        <v>713.95833333333337</v>
      </c>
      <c r="W124" s="466">
        <f>E130</f>
        <v>7.1855709876543212</v>
      </c>
      <c r="X124" s="58"/>
      <c r="Y124" s="58"/>
      <c r="Z124" s="465">
        <f>E103</f>
        <v>90</v>
      </c>
      <c r="AA124" s="467">
        <f>E105</f>
        <v>60</v>
      </c>
      <c r="AB124" s="467">
        <f>E106</f>
        <v>0</v>
      </c>
      <c r="AC124" s="467">
        <f>E107</f>
        <v>0</v>
      </c>
      <c r="AD124" s="467">
        <f>E104</f>
        <v>0.72</v>
      </c>
    </row>
    <row r="125" spans="2:30" outlineLevel="1">
      <c r="B125" s="741"/>
      <c r="C125" s="757"/>
      <c r="D125" s="757"/>
      <c r="E125" s="757"/>
      <c r="F125" s="757"/>
      <c r="G125" s="757"/>
      <c r="H125" s="757"/>
      <c r="I125" s="757"/>
      <c r="J125" s="757"/>
      <c r="K125" s="764"/>
      <c r="L125" s="757"/>
      <c r="M125" s="738"/>
      <c r="N125" s="362"/>
      <c r="O125" s="464">
        <f>F92</f>
        <v>0</v>
      </c>
      <c r="P125" s="465">
        <f>F88</f>
        <v>2040</v>
      </c>
      <c r="Q125" s="58"/>
      <c r="R125" s="465">
        <f>O125/100</f>
        <v>0</v>
      </c>
      <c r="S125" s="58"/>
      <c r="T125" s="465">
        <f>F96</f>
        <v>0.66</v>
      </c>
      <c r="U125" s="466">
        <f>F127</f>
        <v>22575.757575757576</v>
      </c>
      <c r="V125" s="466">
        <f>F129</f>
        <v>677.27272727272725</v>
      </c>
      <c r="W125" s="466">
        <f>F130</f>
        <v>7.8388047138047137</v>
      </c>
      <c r="X125" s="58"/>
      <c r="Y125" s="58"/>
      <c r="Z125" s="465">
        <f>F103</f>
        <v>95</v>
      </c>
      <c r="AA125" s="467">
        <f>F105</f>
        <v>70</v>
      </c>
      <c r="AB125" s="467">
        <f>F106</f>
        <v>0</v>
      </c>
      <c r="AC125" s="467">
        <f>F107</f>
        <v>0</v>
      </c>
      <c r="AD125" s="467">
        <f>F104</f>
        <v>0.66</v>
      </c>
    </row>
    <row r="126" spans="2:30" outlineLevel="1">
      <c r="B126" s="737"/>
      <c r="C126" s="757"/>
      <c r="D126" s="757"/>
      <c r="E126" s="757"/>
      <c r="F126" s="757"/>
      <c r="G126" s="765"/>
      <c r="H126" s="757"/>
      <c r="I126" s="757"/>
      <c r="J126" s="757"/>
      <c r="K126" s="765"/>
      <c r="L126" s="757"/>
      <c r="M126" s="738"/>
      <c r="N126" s="362"/>
      <c r="O126" s="464">
        <f>E94</f>
        <v>17</v>
      </c>
      <c r="P126" s="465">
        <f>G88</f>
        <v>2050</v>
      </c>
      <c r="Q126" s="58"/>
      <c r="R126" s="465">
        <f>O126/100</f>
        <v>0.17</v>
      </c>
      <c r="S126" s="58"/>
      <c r="T126" s="465">
        <f>E98</f>
        <v>0.2</v>
      </c>
      <c r="U126" s="466">
        <f>E129</f>
        <v>713.95833333333337</v>
      </c>
      <c r="V126" s="466">
        <f>E131</f>
        <v>0</v>
      </c>
      <c r="W126" s="466">
        <f>E132</f>
        <v>0</v>
      </c>
      <c r="X126" s="58"/>
      <c r="Y126" s="58"/>
      <c r="Z126" s="465">
        <f>E105</f>
        <v>60</v>
      </c>
      <c r="AA126" s="467">
        <f>E107</f>
        <v>0</v>
      </c>
      <c r="AB126" s="467">
        <f>E108</f>
        <v>3</v>
      </c>
      <c r="AC126" s="467">
        <f>E109</f>
        <v>3</v>
      </c>
      <c r="AD126" s="467">
        <f>E106</f>
        <v>0</v>
      </c>
    </row>
    <row r="127" spans="2:30" ht="57.6" outlineLevel="1">
      <c r="B127" s="460" t="s">
        <v>732</v>
      </c>
      <c r="C127" s="482">
        <f>C113*$F$4*1/C96*1000</f>
        <v>24147.659063625455</v>
      </c>
      <c r="D127" s="482">
        <f t="shared" ref="D127:G127" si="21">D113*$F$4*1/D96*1000</f>
        <v>22358.943577430975</v>
      </c>
      <c r="E127" s="482">
        <f t="shared" si="21"/>
        <v>23798.611111111109</v>
      </c>
      <c r="F127" s="482">
        <f t="shared" si="21"/>
        <v>22575.757575757576</v>
      </c>
      <c r="G127" s="482">
        <f t="shared" si="21"/>
        <v>18060.606060606064</v>
      </c>
      <c r="H127" s="483"/>
      <c r="I127" s="419" t="s">
        <v>332</v>
      </c>
      <c r="J127" s="419"/>
      <c r="K127" s="483"/>
      <c r="L127" s="483"/>
      <c r="N127" s="419"/>
    </row>
    <row r="128" spans="2:30" ht="14.55" customHeight="1" outlineLevel="1">
      <c r="B128" s="484" t="s">
        <v>733</v>
      </c>
      <c r="C128" s="485">
        <f>C127*$I128</f>
        <v>12073829.531812727</v>
      </c>
      <c r="D128" s="485">
        <f>D127*$I128</f>
        <v>11179471.788715487</v>
      </c>
      <c r="E128" s="485">
        <f>E127*$I128</f>
        <v>11899305.555555554</v>
      </c>
      <c r="F128" s="485">
        <f>F127*$I128</f>
        <v>11287878.787878787</v>
      </c>
      <c r="G128" s="485"/>
      <c r="H128" s="483"/>
      <c r="I128" s="71">
        <v>500</v>
      </c>
      <c r="J128" s="419" t="s">
        <v>330</v>
      </c>
      <c r="K128" s="483"/>
      <c r="L128" s="483"/>
      <c r="N128" s="419"/>
    </row>
    <row r="129" spans="2:14" ht="43.2" outlineLevel="1">
      <c r="B129" s="460" t="s">
        <v>1036</v>
      </c>
      <c r="C129" s="358">
        <f>C119*$F$4*1/C96*1000</f>
        <v>724.42977190876354</v>
      </c>
      <c r="D129" s="358">
        <f t="shared" ref="D129:G129" si="22">D119*$F$4*1/D96*1000</f>
        <v>670.7683073229291</v>
      </c>
      <c r="E129" s="358">
        <f t="shared" si="22"/>
        <v>713.95833333333337</v>
      </c>
      <c r="F129" s="358">
        <f t="shared" si="22"/>
        <v>677.27272727272725</v>
      </c>
      <c r="G129" s="358">
        <f t="shared" si="22"/>
        <v>541.81818181818187</v>
      </c>
      <c r="I129" s="419" t="s">
        <v>333</v>
      </c>
      <c r="J129" s="419"/>
      <c r="N129" s="419"/>
    </row>
    <row r="130" spans="2:14" ht="43.2" outlineLevel="1">
      <c r="B130" s="460" t="s">
        <v>809</v>
      </c>
      <c r="C130" s="486">
        <f>C120*$F$4*1/C104/3.6</f>
        <v>6.2108176603974927</v>
      </c>
      <c r="D130" s="486">
        <f t="shared" ref="D130:G130" si="23">D120*$F$4*1/D104/3.6</f>
        <v>6.2108176603974927</v>
      </c>
      <c r="E130" s="486">
        <f t="shared" si="23"/>
        <v>7.1855709876543212</v>
      </c>
      <c r="F130" s="486">
        <f t="shared" si="23"/>
        <v>7.8388047138047137</v>
      </c>
      <c r="G130" s="486">
        <f t="shared" si="23"/>
        <v>7.8388047138047137</v>
      </c>
      <c r="M130" s="419"/>
      <c r="N130" s="419"/>
    </row>
    <row r="131" spans="2:14" outlineLevel="1"/>
    <row r="132" spans="2:14" outlineLevel="1"/>
    <row r="133" spans="2:14" outlineLevel="1"/>
    <row r="134" spans="2:14" outlineLevel="1"/>
    <row r="135" spans="2:14" outlineLevel="1">
      <c r="E135" s="357"/>
      <c r="F135" s="357"/>
      <c r="G135" s="357"/>
      <c r="H135" s="357"/>
      <c r="I135" s="357"/>
      <c r="J135" s="357"/>
      <c r="K135" s="357"/>
      <c r="L135" s="357"/>
    </row>
    <row r="136" spans="2:14" outlineLevel="1">
      <c r="B136" s="796" t="s">
        <v>736</v>
      </c>
      <c r="C136" s="223"/>
      <c r="D136" s="797"/>
      <c r="E136" s="797"/>
      <c r="F136" s="797"/>
      <c r="G136" s="797"/>
      <c r="H136" s="797"/>
      <c r="I136" s="797"/>
      <c r="J136" s="797"/>
      <c r="K136" s="797"/>
      <c r="L136" s="798"/>
    </row>
    <row r="137" spans="2:14" outlineLevel="1">
      <c r="B137" s="223">
        <v>1</v>
      </c>
      <c r="C137" s="223"/>
      <c r="D137" s="223"/>
      <c r="E137" s="799"/>
      <c r="F137" s="223"/>
      <c r="G137" s="223"/>
      <c r="H137" s="223"/>
      <c r="I137" s="223"/>
      <c r="J137" s="223"/>
      <c r="K137" s="223"/>
      <c r="L137" s="223"/>
    </row>
    <row r="138" spans="2:14" outlineLevel="1">
      <c r="B138" s="223">
        <v>2</v>
      </c>
      <c r="C138" s="223"/>
      <c r="D138" s="223"/>
      <c r="E138" s="799"/>
      <c r="F138" s="223"/>
      <c r="G138" s="223"/>
      <c r="H138" s="223"/>
      <c r="I138" s="223"/>
      <c r="J138" s="223"/>
      <c r="K138" s="223"/>
      <c r="L138" s="223"/>
    </row>
    <row r="139" spans="2:14" outlineLevel="1">
      <c r="B139" s="223">
        <v>3</v>
      </c>
      <c r="C139" s="223"/>
      <c r="D139" s="223"/>
      <c r="E139" s="799"/>
      <c r="F139" s="223"/>
      <c r="G139" s="223"/>
      <c r="H139" s="223"/>
      <c r="I139" s="223"/>
      <c r="J139" s="223"/>
      <c r="K139" s="223"/>
      <c r="L139" s="223"/>
    </row>
    <row r="140" spans="2:14" outlineLevel="1">
      <c r="B140" s="223"/>
      <c r="C140" s="223"/>
      <c r="D140" s="223"/>
      <c r="E140" s="223"/>
      <c r="F140" s="223"/>
      <c r="G140" s="223"/>
      <c r="H140" s="223"/>
      <c r="I140" s="223"/>
      <c r="J140" s="223"/>
      <c r="K140" s="223"/>
      <c r="L140" s="223"/>
    </row>
    <row r="141" spans="2:14" outlineLevel="1">
      <c r="B141" s="223"/>
      <c r="C141" s="223"/>
      <c r="D141" s="223"/>
      <c r="E141" s="223"/>
      <c r="F141" s="223"/>
      <c r="G141" s="223"/>
      <c r="H141" s="223"/>
      <c r="I141" s="223"/>
      <c r="J141" s="223"/>
      <c r="K141" s="223"/>
      <c r="L141" s="223"/>
    </row>
    <row r="142" spans="2:14" outlineLevel="1">
      <c r="B142" s="800" t="s">
        <v>746</v>
      </c>
      <c r="C142" s="223"/>
      <c r="D142" s="223"/>
      <c r="E142" s="223"/>
      <c r="F142" s="223"/>
      <c r="G142" s="223"/>
      <c r="H142" s="223"/>
      <c r="I142" s="223"/>
      <c r="J142" s="223"/>
      <c r="K142" s="223"/>
      <c r="L142" s="223"/>
    </row>
    <row r="143" spans="2:14" outlineLevel="1">
      <c r="B143" s="801" t="s">
        <v>6</v>
      </c>
      <c r="C143" s="223" t="s">
        <v>1021</v>
      </c>
      <c r="D143" s="223"/>
      <c r="E143" s="223"/>
      <c r="F143" s="223"/>
      <c r="G143" s="223"/>
      <c r="H143" s="223"/>
      <c r="I143" s="223"/>
      <c r="J143" s="223"/>
      <c r="K143" s="223"/>
      <c r="L143" s="223"/>
    </row>
    <row r="144" spans="2:14" outlineLevel="1">
      <c r="B144" s="801" t="s">
        <v>59</v>
      </c>
      <c r="C144" s="223" t="s">
        <v>1022</v>
      </c>
      <c r="D144" s="223"/>
      <c r="E144" s="223"/>
      <c r="F144" s="223"/>
      <c r="G144" s="223"/>
      <c r="H144" s="223"/>
      <c r="I144" s="223"/>
      <c r="J144" s="223"/>
      <c r="K144" s="223"/>
      <c r="L144" s="223"/>
    </row>
    <row r="145" spans="2:12" outlineLevel="1">
      <c r="B145" s="801" t="s">
        <v>16</v>
      </c>
      <c r="C145" s="223" t="s">
        <v>1023</v>
      </c>
      <c r="D145" s="223"/>
      <c r="E145" s="223"/>
      <c r="F145" s="223"/>
      <c r="G145" s="223"/>
      <c r="H145" s="223"/>
      <c r="I145" s="223"/>
      <c r="J145" s="223"/>
      <c r="K145" s="223"/>
      <c r="L145" s="223"/>
    </row>
    <row r="146" spans="2:12" outlineLevel="1">
      <c r="B146" s="801" t="s">
        <v>20</v>
      </c>
      <c r="C146" s="223" t="s">
        <v>1024</v>
      </c>
      <c r="D146" s="223"/>
      <c r="E146" s="223"/>
      <c r="F146" s="223"/>
      <c r="G146" s="223"/>
      <c r="H146" s="223"/>
      <c r="I146" s="223"/>
      <c r="J146" s="223"/>
      <c r="K146" s="223"/>
      <c r="L146" s="223"/>
    </row>
    <row r="147" spans="2:12" outlineLevel="1">
      <c r="B147" s="801" t="s">
        <v>76</v>
      </c>
      <c r="C147" s="223" t="s">
        <v>1025</v>
      </c>
      <c r="D147" s="223"/>
      <c r="E147" s="223"/>
      <c r="F147" s="223"/>
      <c r="G147" s="223"/>
      <c r="H147" s="223"/>
      <c r="I147" s="223"/>
      <c r="J147" s="223"/>
      <c r="K147" s="223"/>
      <c r="L147" s="223"/>
    </row>
    <row r="148" spans="2:12" outlineLevel="1">
      <c r="B148" s="801" t="s">
        <v>25</v>
      </c>
      <c r="C148" s="223" t="s">
        <v>1026</v>
      </c>
      <c r="D148" s="223"/>
      <c r="E148" s="223"/>
      <c r="F148" s="223"/>
      <c r="G148" s="223"/>
      <c r="H148" s="223"/>
      <c r="I148" s="223"/>
      <c r="J148" s="223"/>
      <c r="K148" s="223"/>
      <c r="L148" s="223"/>
    </row>
    <row r="149" spans="2:12" outlineLevel="1">
      <c r="B149" s="801" t="s">
        <v>33</v>
      </c>
      <c r="C149" s="223" t="s">
        <v>1027</v>
      </c>
      <c r="D149" s="223"/>
      <c r="E149" s="223"/>
      <c r="F149" s="223"/>
      <c r="G149" s="223"/>
      <c r="H149" s="223"/>
      <c r="I149" s="223"/>
      <c r="J149" s="223"/>
      <c r="K149" s="223"/>
      <c r="L149" s="223"/>
    </row>
    <row r="150" spans="2:12" outlineLevel="1">
      <c r="B150" s="801" t="s">
        <v>51</v>
      </c>
      <c r="C150" s="223" t="s">
        <v>1028</v>
      </c>
      <c r="D150" s="223"/>
      <c r="E150" s="223"/>
      <c r="F150" s="223"/>
      <c r="G150" s="223"/>
      <c r="H150" s="223"/>
      <c r="I150" s="223"/>
      <c r="J150" s="223"/>
      <c r="K150" s="223"/>
      <c r="L150" s="223"/>
    </row>
    <row r="151" spans="2:12" outlineLevel="1">
      <c r="B151" s="801" t="s">
        <v>52</v>
      </c>
      <c r="C151" s="223" t="s">
        <v>1029</v>
      </c>
      <c r="D151" s="223"/>
      <c r="E151" s="223"/>
      <c r="F151" s="223"/>
      <c r="G151" s="223"/>
      <c r="H151" s="223"/>
      <c r="I151" s="223"/>
      <c r="J151" s="223"/>
      <c r="K151" s="223"/>
      <c r="L151" s="223"/>
    </row>
    <row r="152" spans="2:12" outlineLevel="1">
      <c r="B152" s="801" t="s">
        <v>55</v>
      </c>
      <c r="C152" s="223" t="s">
        <v>1030</v>
      </c>
      <c r="D152" s="223"/>
      <c r="E152" s="223"/>
      <c r="F152" s="223"/>
      <c r="G152" s="223"/>
      <c r="H152" s="223"/>
      <c r="I152" s="223"/>
      <c r="J152" s="223"/>
      <c r="K152" s="223"/>
      <c r="L152" s="223"/>
    </row>
    <row r="153" spans="2:12" outlineLevel="1">
      <c r="B153" s="801" t="s">
        <v>49</v>
      </c>
      <c r="C153" s="223" t="s">
        <v>1031</v>
      </c>
      <c r="D153" s="223"/>
      <c r="E153" s="223"/>
      <c r="F153" s="223"/>
      <c r="G153" s="223"/>
      <c r="H153" s="223"/>
      <c r="I153" s="223"/>
      <c r="J153" s="223"/>
      <c r="K153" s="223"/>
      <c r="L153" s="223"/>
    </row>
    <row r="154" spans="2:12" outlineLevel="1">
      <c r="B154" s="801" t="s">
        <v>374</v>
      </c>
      <c r="C154" s="223" t="s">
        <v>1032</v>
      </c>
      <c r="D154" s="223"/>
      <c r="E154" s="223"/>
      <c r="F154" s="223"/>
      <c r="G154" s="223"/>
      <c r="H154" s="223"/>
      <c r="I154" s="223"/>
      <c r="J154" s="223"/>
      <c r="K154" s="223"/>
      <c r="L154" s="223"/>
    </row>
    <row r="155" spans="2:12" outlineLevel="1">
      <c r="B155" s="801" t="s">
        <v>849</v>
      </c>
      <c r="C155" s="223" t="s">
        <v>1033</v>
      </c>
      <c r="D155" s="223"/>
      <c r="E155" s="223"/>
      <c r="F155" s="223"/>
      <c r="G155" s="223"/>
      <c r="H155" s="223"/>
      <c r="I155" s="223"/>
      <c r="J155" s="223"/>
      <c r="K155" s="223"/>
      <c r="L155" s="223"/>
    </row>
    <row r="156" spans="2:12" outlineLevel="1">
      <c r="B156" s="801" t="s">
        <v>850</v>
      </c>
      <c r="C156" s="223" t="s">
        <v>1034</v>
      </c>
      <c r="D156" s="223"/>
      <c r="E156" s="223"/>
      <c r="F156" s="223"/>
      <c r="G156" s="223"/>
      <c r="H156" s="223"/>
      <c r="I156" s="223"/>
      <c r="J156" s="223"/>
      <c r="K156" s="223"/>
      <c r="L156" s="223"/>
    </row>
    <row r="157" spans="2:12" outlineLevel="1">
      <c r="B157" s="495"/>
      <c r="C157" s="497"/>
      <c r="G157" s="357"/>
      <c r="H157" s="357"/>
      <c r="I157" s="357"/>
      <c r="J157" s="357"/>
      <c r="K157" s="357"/>
      <c r="L157" s="357"/>
    </row>
    <row r="158" spans="2:12" outlineLevel="1">
      <c r="B158" s="495"/>
      <c r="C158" s="488"/>
      <c r="G158" s="357"/>
      <c r="H158" s="357"/>
      <c r="I158" s="357"/>
      <c r="J158" s="357"/>
      <c r="K158" s="357"/>
      <c r="L158" s="357"/>
    </row>
    <row r="159" spans="2:12" outlineLevel="1">
      <c r="E159" s="489"/>
      <c r="F159" s="489"/>
    </row>
    <row r="160" spans="2:12" outlineLevel="1">
      <c r="B160" s="495"/>
      <c r="C160" s="488"/>
      <c r="E160" s="489"/>
      <c r="F160" s="489"/>
    </row>
    <row r="161" spans="1:44" outlineLevel="1">
      <c r="B161" s="495"/>
      <c r="C161" s="488"/>
      <c r="E161" s="489"/>
      <c r="F161" s="489"/>
    </row>
    <row r="162" spans="1:44" outlineLevel="1"/>
    <row r="163" spans="1:44" outlineLevel="1">
      <c r="M163" s="214"/>
    </row>
    <row r="164" spans="1:44" outlineLevel="1"/>
    <row r="167" spans="1:44">
      <c r="A167" s="359" t="s">
        <v>952</v>
      </c>
      <c r="B167" s="1204"/>
      <c r="C167" s="1140"/>
      <c r="D167" s="1140"/>
      <c r="E167" s="1140"/>
      <c r="F167" s="1140"/>
      <c r="G167" s="1140"/>
      <c r="H167" s="1140"/>
      <c r="I167" s="1140"/>
      <c r="J167" s="1140"/>
      <c r="K167" s="1140"/>
      <c r="L167" s="1140"/>
      <c r="M167" s="1140"/>
      <c r="N167" s="360"/>
    </row>
    <row r="168" spans="1:44" ht="15" outlineLevel="1" thickBot="1">
      <c r="B168" s="1204"/>
      <c r="C168" s="1140"/>
      <c r="D168" s="1140"/>
      <c r="E168" s="1140"/>
      <c r="F168" s="1140"/>
      <c r="G168" s="1140"/>
      <c r="H168" s="1140"/>
      <c r="I168" s="1140"/>
      <c r="J168" s="1140"/>
      <c r="K168" s="1140"/>
      <c r="L168" s="1140"/>
      <c r="M168" s="1140"/>
      <c r="N168" s="360"/>
    </row>
    <row r="169" spans="1:44" ht="20.55" customHeight="1" outlineLevel="1" thickBot="1">
      <c r="B169" s="361" t="s">
        <v>0</v>
      </c>
      <c r="C169" s="1201" t="s">
        <v>953</v>
      </c>
      <c r="D169" s="1202"/>
      <c r="E169" s="1202"/>
      <c r="F169" s="1202"/>
      <c r="G169" s="1202"/>
      <c r="H169" s="1202"/>
      <c r="I169" s="1202"/>
      <c r="J169" s="1202"/>
      <c r="K169" s="1202"/>
      <c r="L169" s="1203"/>
      <c r="M169" s="362"/>
      <c r="N169" s="362"/>
      <c r="AK169" s="1157" t="s">
        <v>679</v>
      </c>
      <c r="AL169" s="1158"/>
      <c r="AM169" s="1157" t="s">
        <v>680</v>
      </c>
      <c r="AN169" s="1158"/>
      <c r="AO169" s="1157" t="s">
        <v>681</v>
      </c>
      <c r="AP169" s="1158"/>
      <c r="AQ169" s="1167" t="s">
        <v>682</v>
      </c>
      <c r="AR169" s="1168"/>
    </row>
    <row r="170" spans="1:44" ht="15" customHeight="1" outlineLevel="1" thickBot="1">
      <c r="B170" s="1161" t="s">
        <v>4</v>
      </c>
      <c r="C170" s="1163">
        <v>2020</v>
      </c>
      <c r="D170" s="1163">
        <v>2030</v>
      </c>
      <c r="E170" s="1163">
        <v>2040</v>
      </c>
      <c r="F170" s="1163">
        <v>2050</v>
      </c>
      <c r="G170" s="1197" t="s">
        <v>684</v>
      </c>
      <c r="H170" s="1198"/>
      <c r="I170" s="1197" t="s">
        <v>628</v>
      </c>
      <c r="J170" s="1198"/>
      <c r="K170" s="1199" t="s">
        <v>2</v>
      </c>
      <c r="L170" s="1199" t="s">
        <v>3</v>
      </c>
      <c r="M170" s="366"/>
      <c r="N170" s="366"/>
      <c r="P170" s="1140"/>
      <c r="Q170" s="1140"/>
      <c r="R170" s="1140"/>
      <c r="S170" s="1140"/>
      <c r="T170" s="1140"/>
      <c r="U170" s="1140"/>
      <c r="AK170" s="1159"/>
      <c r="AL170" s="1160"/>
      <c r="AM170" s="1159"/>
      <c r="AN170" s="1160"/>
      <c r="AO170" s="1159"/>
      <c r="AP170" s="1160"/>
      <c r="AQ170" s="1169"/>
      <c r="AR170" s="1170"/>
    </row>
    <row r="171" spans="1:44" ht="15" customHeight="1" outlineLevel="1" thickBot="1">
      <c r="B171" s="1162"/>
      <c r="C171" s="1164"/>
      <c r="D171" s="1164"/>
      <c r="E171" s="1164"/>
      <c r="F171" s="1164"/>
      <c r="G171" s="498" t="s">
        <v>629</v>
      </c>
      <c r="H171" s="498" t="s">
        <v>630</v>
      </c>
      <c r="I171" s="498" t="s">
        <v>629</v>
      </c>
      <c r="J171" s="498" t="s">
        <v>630</v>
      </c>
      <c r="K171" s="1200"/>
      <c r="L171" s="1200"/>
      <c r="M171" s="369"/>
      <c r="N171" s="369"/>
      <c r="P171" s="1140"/>
      <c r="Q171" s="1140"/>
      <c r="R171" s="1140"/>
      <c r="S171" s="1140"/>
      <c r="T171" s="1140"/>
      <c r="U171" s="1140"/>
      <c r="AK171" s="1159"/>
      <c r="AL171" s="1160"/>
      <c r="AM171" s="1159"/>
      <c r="AN171" s="1160"/>
      <c r="AO171" s="1159"/>
      <c r="AP171" s="1160"/>
      <c r="AQ171" s="1171"/>
      <c r="AR171" s="1172"/>
    </row>
    <row r="172" spans="1:44" ht="29.4" outlineLevel="1" thickBot="1">
      <c r="B172" s="370" t="s">
        <v>631</v>
      </c>
      <c r="C172" s="371">
        <v>20</v>
      </c>
      <c r="D172" s="371">
        <v>20</v>
      </c>
      <c r="E172" s="371">
        <v>20</v>
      </c>
      <c r="F172" s="371">
        <v>20</v>
      </c>
      <c r="G172" s="371">
        <v>1</v>
      </c>
      <c r="H172" s="371">
        <v>50</v>
      </c>
      <c r="I172" s="371">
        <v>1</v>
      </c>
      <c r="J172" s="371">
        <v>50</v>
      </c>
      <c r="K172" s="371" t="s">
        <v>6</v>
      </c>
      <c r="L172" s="372" t="s">
        <v>688</v>
      </c>
      <c r="M172" s="369"/>
      <c r="N172" s="369"/>
      <c r="P172" s="363" t="s">
        <v>676</v>
      </c>
      <c r="Q172" s="364"/>
      <c r="R172" s="365"/>
      <c r="S172" s="1173" t="s">
        <v>677</v>
      </c>
      <c r="T172" s="1157" t="s">
        <v>678</v>
      </c>
      <c r="U172" s="1158"/>
      <c r="V172" s="1157" t="s">
        <v>679</v>
      </c>
      <c r="W172" s="1158"/>
      <c r="X172" s="1157" t="s">
        <v>680</v>
      </c>
      <c r="Y172" s="1158"/>
      <c r="Z172" s="1157" t="s">
        <v>681</v>
      </c>
      <c r="AA172" s="1158"/>
      <c r="AB172" s="1157" t="s">
        <v>682</v>
      </c>
      <c r="AC172" s="1158"/>
      <c r="AE172" s="363" t="s">
        <v>683</v>
      </c>
      <c r="AF172" s="364"/>
      <c r="AG172" s="365"/>
      <c r="AH172" s="1173" t="s">
        <v>677</v>
      </c>
      <c r="AI172" s="1157" t="s">
        <v>678</v>
      </c>
      <c r="AJ172" s="1158"/>
      <c r="AK172" s="373" t="s">
        <v>689</v>
      </c>
      <c r="AL172" s="374" t="s">
        <v>690</v>
      </c>
      <c r="AM172" s="373" t="s">
        <v>689</v>
      </c>
      <c r="AN172" s="374" t="s">
        <v>690</v>
      </c>
      <c r="AO172" s="373" t="s">
        <v>689</v>
      </c>
      <c r="AP172" s="374" t="s">
        <v>690</v>
      </c>
      <c r="AQ172" s="373" t="s">
        <v>689</v>
      </c>
      <c r="AR172" s="374" t="s">
        <v>690</v>
      </c>
    </row>
    <row r="173" spans="1:44" ht="14.55" customHeight="1" outlineLevel="1">
      <c r="B173" s="499" t="s">
        <v>691</v>
      </c>
      <c r="C173" s="500">
        <v>91</v>
      </c>
      <c r="D173" s="500">
        <v>91</v>
      </c>
      <c r="E173" s="501">
        <v>91</v>
      </c>
      <c r="F173" s="500">
        <v>92</v>
      </c>
      <c r="G173" s="500">
        <f>D173-1</f>
        <v>90</v>
      </c>
      <c r="H173" s="500">
        <f>D173+2</f>
        <v>93</v>
      </c>
      <c r="I173" s="500">
        <f>F173-1</f>
        <v>91</v>
      </c>
      <c r="J173" s="500">
        <f>F173+2</f>
        <v>94</v>
      </c>
      <c r="K173" s="502" t="s">
        <v>59</v>
      </c>
      <c r="L173" s="503" t="s">
        <v>692</v>
      </c>
      <c r="M173" s="369"/>
      <c r="N173" s="369"/>
      <c r="P173" s="1177" t="s">
        <v>0</v>
      </c>
      <c r="Q173" s="367"/>
      <c r="R173" s="367"/>
      <c r="S173" s="1174"/>
      <c r="T173" s="1159"/>
      <c r="U173" s="1160"/>
      <c r="V173" s="1159"/>
      <c r="W173" s="1160"/>
      <c r="X173" s="1159"/>
      <c r="Y173" s="1160"/>
      <c r="Z173" s="1159"/>
      <c r="AA173" s="1160"/>
      <c r="AB173" s="1159"/>
      <c r="AC173" s="1160"/>
      <c r="AE173" s="1177" t="s">
        <v>0</v>
      </c>
      <c r="AF173" s="367"/>
      <c r="AG173" s="367"/>
      <c r="AH173" s="1174"/>
      <c r="AI173" s="1159"/>
      <c r="AJ173" s="1160"/>
      <c r="AK173" s="1154">
        <v>0</v>
      </c>
      <c r="AL173" s="1148">
        <v>0</v>
      </c>
      <c r="AM173" s="1154">
        <v>0</v>
      </c>
      <c r="AN173" s="1148">
        <v>0</v>
      </c>
      <c r="AO173" s="1154">
        <v>0</v>
      </c>
      <c r="AP173" s="1148">
        <v>0</v>
      </c>
      <c r="AQ173" s="1154">
        <v>0</v>
      </c>
      <c r="AR173" s="1148">
        <v>0</v>
      </c>
    </row>
    <row r="174" spans="1:44" outlineLevel="1">
      <c r="B174" s="382" t="s">
        <v>695</v>
      </c>
      <c r="C174" s="383">
        <f t="shared" ref="C174:J174" si="24">C173-1</f>
        <v>90</v>
      </c>
      <c r="D174" s="383">
        <f t="shared" si="24"/>
        <v>90</v>
      </c>
      <c r="E174" s="383">
        <f t="shared" si="24"/>
        <v>90</v>
      </c>
      <c r="F174" s="383">
        <f t="shared" si="24"/>
        <v>91</v>
      </c>
      <c r="G174" s="504">
        <f t="shared" si="24"/>
        <v>89</v>
      </c>
      <c r="H174" s="504">
        <f t="shared" si="24"/>
        <v>92</v>
      </c>
      <c r="I174" s="504">
        <f t="shared" si="24"/>
        <v>90</v>
      </c>
      <c r="J174" s="504">
        <f t="shared" si="24"/>
        <v>93</v>
      </c>
      <c r="K174" s="371"/>
      <c r="L174" s="372" t="s">
        <v>692</v>
      </c>
      <c r="M174" s="369"/>
      <c r="N174" s="369"/>
      <c r="P174" s="1178"/>
      <c r="Q174" s="1180" t="s">
        <v>685</v>
      </c>
      <c r="R174" s="1181" t="s">
        <v>686</v>
      </c>
      <c r="S174" s="1175"/>
      <c r="T174" s="1159"/>
      <c r="U174" s="1160"/>
      <c r="V174" s="1159"/>
      <c r="W174" s="1160"/>
      <c r="X174" s="1159"/>
      <c r="Y174" s="1160"/>
      <c r="Z174" s="1159"/>
      <c r="AA174" s="1160"/>
      <c r="AB174" s="1159"/>
      <c r="AC174" s="1160"/>
      <c r="AE174" s="1178"/>
      <c r="AF174" s="1194" t="s">
        <v>685</v>
      </c>
      <c r="AG174" s="1181" t="s">
        <v>686</v>
      </c>
      <c r="AH174" s="1175"/>
      <c r="AI174" s="1159"/>
      <c r="AJ174" s="1160"/>
      <c r="AK174" s="1155"/>
      <c r="AL174" s="1149"/>
      <c r="AM174" s="1155"/>
      <c r="AN174" s="1149"/>
      <c r="AO174" s="1155"/>
      <c r="AP174" s="1149"/>
      <c r="AQ174" s="1155"/>
      <c r="AR174" s="1149"/>
    </row>
    <row r="175" spans="1:44" ht="29.4" outlineLevel="1" thickBot="1">
      <c r="B175" s="499" t="s">
        <v>697</v>
      </c>
      <c r="C175" s="505">
        <v>2.2999999999999998</v>
      </c>
      <c r="D175" s="506">
        <v>2.2999999999999998</v>
      </c>
      <c r="E175" s="506">
        <v>2.2999999999999998</v>
      </c>
      <c r="F175" s="507">
        <v>2.2999999999999998</v>
      </c>
      <c r="G175" s="506">
        <v>2.2000000000000002</v>
      </c>
      <c r="H175" s="506">
        <v>2.5</v>
      </c>
      <c r="I175" s="506">
        <v>1.8</v>
      </c>
      <c r="J175" s="506">
        <v>2.5</v>
      </c>
      <c r="K175" s="502" t="s">
        <v>16</v>
      </c>
      <c r="L175" s="503">
        <v>3</v>
      </c>
      <c r="M175" s="369"/>
      <c r="N175" s="369"/>
      <c r="O175" s="74"/>
      <c r="P175" s="1179"/>
      <c r="Q175" s="1176"/>
      <c r="R175" s="1182"/>
      <c r="S175" s="1176"/>
      <c r="T175" s="373" t="s">
        <v>689</v>
      </c>
      <c r="U175" s="374" t="s">
        <v>690</v>
      </c>
      <c r="V175" s="373" t="s">
        <v>689</v>
      </c>
      <c r="W175" s="374" t="s">
        <v>690</v>
      </c>
      <c r="X175" s="373" t="s">
        <v>689</v>
      </c>
      <c r="Y175" s="374" t="s">
        <v>690</v>
      </c>
      <c r="Z175" s="373" t="s">
        <v>689</v>
      </c>
      <c r="AA175" s="374" t="s">
        <v>690</v>
      </c>
      <c r="AB175" s="373" t="s">
        <v>689</v>
      </c>
      <c r="AC175" s="374" t="s">
        <v>690</v>
      </c>
      <c r="AE175" s="1179"/>
      <c r="AF175" s="1195"/>
      <c r="AG175" s="1182"/>
      <c r="AH175" s="1176"/>
      <c r="AI175" s="373" t="s">
        <v>689</v>
      </c>
      <c r="AJ175" s="374" t="s">
        <v>690</v>
      </c>
      <c r="AK175" s="1156"/>
      <c r="AL175" s="1150"/>
      <c r="AM175" s="1156"/>
      <c r="AN175" s="1150"/>
      <c r="AO175" s="1156"/>
      <c r="AP175" s="1150"/>
      <c r="AQ175" s="1156"/>
      <c r="AR175" s="1150"/>
    </row>
    <row r="176" spans="1:44" ht="14.55" customHeight="1" outlineLevel="1">
      <c r="B176" s="499" t="s">
        <v>637</v>
      </c>
      <c r="C176" s="686">
        <v>3</v>
      </c>
      <c r="D176" s="686">
        <v>3</v>
      </c>
      <c r="E176" s="686">
        <v>3</v>
      </c>
      <c r="F176" s="686">
        <v>3</v>
      </c>
      <c r="G176" s="686">
        <v>3</v>
      </c>
      <c r="H176" s="686">
        <v>3</v>
      </c>
      <c r="I176" s="686">
        <v>3</v>
      </c>
      <c r="J176" s="686">
        <v>3</v>
      </c>
      <c r="K176" s="502" t="s">
        <v>20</v>
      </c>
      <c r="L176" s="503">
        <v>3</v>
      </c>
      <c r="M176" s="369"/>
      <c r="N176" s="369"/>
      <c r="P176" s="1196" t="str">
        <f>C169</f>
        <v>Hot water boiler, Wood Chips</v>
      </c>
      <c r="Q176" s="1151" t="s">
        <v>693</v>
      </c>
      <c r="R176" s="380" t="s">
        <v>694</v>
      </c>
      <c r="S176" s="381"/>
      <c r="T176" s="1134">
        <v>0</v>
      </c>
      <c r="U176" s="1148">
        <v>0</v>
      </c>
      <c r="V176" s="1154">
        <v>0</v>
      </c>
      <c r="W176" s="1148">
        <v>0</v>
      </c>
      <c r="X176" s="1154">
        <v>0</v>
      </c>
      <c r="Y176" s="1148">
        <v>0</v>
      </c>
      <c r="Z176" s="1154">
        <v>0</v>
      </c>
      <c r="AA176" s="1148">
        <v>0</v>
      </c>
      <c r="AB176" s="1154">
        <v>0</v>
      </c>
      <c r="AC176" s="1148">
        <v>0</v>
      </c>
      <c r="AE176" s="1145" t="str">
        <f>P176</f>
        <v>Hot water boiler, Wood Chips</v>
      </c>
      <c r="AF176" s="1151" t="s">
        <v>693</v>
      </c>
      <c r="AG176" s="380" t="s">
        <v>694</v>
      </c>
      <c r="AH176" s="381"/>
      <c r="AI176" s="1134">
        <v>0</v>
      </c>
      <c r="AJ176" s="1148">
        <v>0</v>
      </c>
      <c r="AK176" s="1134">
        <v>0</v>
      </c>
      <c r="AL176" s="1134">
        <f>W179/4</f>
        <v>0.14249999999999999</v>
      </c>
      <c r="AM176" s="1134">
        <v>0</v>
      </c>
      <c r="AN176" s="1134">
        <f>Y179/4</f>
        <v>0.125</v>
      </c>
      <c r="AO176" s="1134">
        <v>0</v>
      </c>
      <c r="AP176" s="1134">
        <f>AA179/4</f>
        <v>0.1275</v>
      </c>
      <c r="AQ176" s="1134">
        <v>0</v>
      </c>
      <c r="AR176" s="1148">
        <f>AC179/4</f>
        <v>0.10249999999999999</v>
      </c>
    </row>
    <row r="177" spans="1:44" outlineLevel="1">
      <c r="B177" s="499" t="s">
        <v>638</v>
      </c>
      <c r="C177" s="505">
        <v>3</v>
      </c>
      <c r="D177" s="505">
        <v>3</v>
      </c>
      <c r="E177" s="505">
        <v>3</v>
      </c>
      <c r="F177" s="505">
        <v>3</v>
      </c>
      <c r="G177" s="505">
        <v>2.6</v>
      </c>
      <c r="H177" s="505">
        <v>3.5</v>
      </c>
      <c r="I177" s="505">
        <v>2.2999999999999998</v>
      </c>
      <c r="J177" s="505">
        <v>3.8</v>
      </c>
      <c r="K177" s="502" t="s">
        <v>20</v>
      </c>
      <c r="L177" s="503">
        <v>3</v>
      </c>
      <c r="M177" s="366"/>
      <c r="N177" s="366"/>
      <c r="O177" s="71"/>
      <c r="P177" s="1192"/>
      <c r="Q177" s="1152"/>
      <c r="R177" s="387" t="s">
        <v>696</v>
      </c>
      <c r="S177" s="388"/>
      <c r="T177" s="1137"/>
      <c r="U177" s="1149"/>
      <c r="V177" s="1155"/>
      <c r="W177" s="1149"/>
      <c r="X177" s="1155"/>
      <c r="Y177" s="1149"/>
      <c r="Z177" s="1155"/>
      <c r="AA177" s="1149"/>
      <c r="AB177" s="1155"/>
      <c r="AC177" s="1149"/>
      <c r="AE177" s="1192"/>
      <c r="AF177" s="1152"/>
      <c r="AG177" s="387" t="s">
        <v>696</v>
      </c>
      <c r="AH177" s="388"/>
      <c r="AI177" s="1137"/>
      <c r="AJ177" s="1149"/>
      <c r="AK177" s="1188"/>
      <c r="AL177" s="1188"/>
      <c r="AM177" s="1188"/>
      <c r="AN177" s="1188"/>
      <c r="AO177" s="1188"/>
      <c r="AP177" s="1188"/>
      <c r="AQ177" s="1188"/>
      <c r="AR177" s="1190"/>
    </row>
    <row r="178" spans="1:44" ht="15" outlineLevel="1" thickBot="1">
      <c r="B178" s="382" t="s">
        <v>11</v>
      </c>
      <c r="C178" s="396">
        <v>25</v>
      </c>
      <c r="D178" s="396">
        <v>25</v>
      </c>
      <c r="E178" s="396">
        <v>25</v>
      </c>
      <c r="F178" s="396">
        <v>25</v>
      </c>
      <c r="G178" s="398">
        <v>20</v>
      </c>
      <c r="H178" s="398">
        <v>35</v>
      </c>
      <c r="I178" s="398">
        <v>20</v>
      </c>
      <c r="J178" s="398">
        <v>35</v>
      </c>
      <c r="K178" s="371"/>
      <c r="L178" s="372" t="s">
        <v>703</v>
      </c>
      <c r="M178" s="362"/>
      <c r="N178" s="362"/>
      <c r="O178" s="71"/>
      <c r="P178" s="1192"/>
      <c r="Q178" s="1153"/>
      <c r="R178" s="392" t="s">
        <v>698</v>
      </c>
      <c r="S178" s="393"/>
      <c r="T178" s="1138"/>
      <c r="U178" s="1150"/>
      <c r="V178" s="1156"/>
      <c r="W178" s="1150"/>
      <c r="X178" s="1156"/>
      <c r="Y178" s="1150"/>
      <c r="Z178" s="1156"/>
      <c r="AA178" s="1150"/>
      <c r="AB178" s="1156"/>
      <c r="AC178" s="1150"/>
      <c r="AE178" s="1192"/>
      <c r="AF178" s="1153"/>
      <c r="AG178" s="392" t="s">
        <v>698</v>
      </c>
      <c r="AH178" s="393"/>
      <c r="AI178" s="1138"/>
      <c r="AJ178" s="1150"/>
      <c r="AK178" s="1188"/>
      <c r="AL178" s="1188"/>
      <c r="AM178" s="1188"/>
      <c r="AN178" s="1188"/>
      <c r="AO178" s="1188"/>
      <c r="AP178" s="1188"/>
      <c r="AQ178" s="1188"/>
      <c r="AR178" s="1190"/>
    </row>
    <row r="179" spans="1:44" ht="15" outlineLevel="1" thickBot="1">
      <c r="B179" s="499" t="s">
        <v>273</v>
      </c>
      <c r="C179" s="505">
        <v>1</v>
      </c>
      <c r="D179" s="505">
        <v>1</v>
      </c>
      <c r="E179" s="505">
        <v>1</v>
      </c>
      <c r="F179" s="505">
        <v>1</v>
      </c>
      <c r="G179" s="505">
        <v>0.5</v>
      </c>
      <c r="H179" s="505">
        <v>1.5</v>
      </c>
      <c r="I179" s="505">
        <v>0.5</v>
      </c>
      <c r="J179" s="505">
        <v>1.5</v>
      </c>
      <c r="K179" s="371"/>
      <c r="L179" s="399"/>
      <c r="M179" s="362"/>
      <c r="N179" s="362"/>
      <c r="O179" s="71"/>
      <c r="P179" s="1192"/>
      <c r="Q179" s="1151" t="s">
        <v>699</v>
      </c>
      <c r="R179" s="394" t="s">
        <v>700</v>
      </c>
      <c r="S179" s="395" t="s">
        <v>701</v>
      </c>
      <c r="T179" s="1134">
        <v>0</v>
      </c>
      <c r="U179" s="1134">
        <v>0.67</v>
      </c>
      <c r="V179" s="1134">
        <v>0</v>
      </c>
      <c r="W179" s="1134">
        <v>0.56999999999999995</v>
      </c>
      <c r="X179" s="1134">
        <v>0</v>
      </c>
      <c r="Y179" s="1134">
        <v>0.5</v>
      </c>
      <c r="Z179" s="1134">
        <v>0</v>
      </c>
      <c r="AA179" s="1134">
        <v>0.51</v>
      </c>
      <c r="AB179" s="1134">
        <v>0</v>
      </c>
      <c r="AC179" s="1148">
        <v>0.41</v>
      </c>
      <c r="AE179" s="1192"/>
      <c r="AF179" s="1151" t="s">
        <v>699</v>
      </c>
      <c r="AG179" s="394" t="s">
        <v>700</v>
      </c>
      <c r="AH179" s="395" t="s">
        <v>701</v>
      </c>
      <c r="AI179" s="1134">
        <v>0</v>
      </c>
      <c r="AJ179" s="1134">
        <f>U179/4</f>
        <v>0.16750000000000001</v>
      </c>
      <c r="AK179" s="1188"/>
      <c r="AL179" s="1188"/>
      <c r="AM179" s="1188"/>
      <c r="AN179" s="1188"/>
      <c r="AO179" s="1188"/>
      <c r="AP179" s="1188"/>
      <c r="AQ179" s="1188"/>
      <c r="AR179" s="1190"/>
    </row>
    <row r="180" spans="1:44" ht="15" outlineLevel="1" thickBot="1">
      <c r="B180" s="400" t="s">
        <v>706</v>
      </c>
      <c r="C180" s="401"/>
      <c r="D180" s="402"/>
      <c r="E180" s="403"/>
      <c r="F180" s="404"/>
      <c r="G180" s="405"/>
      <c r="H180" s="405"/>
      <c r="I180" s="405"/>
      <c r="J180" s="405"/>
      <c r="K180" s="406"/>
      <c r="L180" s="407"/>
      <c r="M180" s="362"/>
      <c r="N180" s="362"/>
      <c r="O180" s="71"/>
      <c r="P180" s="1192"/>
      <c r="Q180" s="1152"/>
      <c r="R180" s="394" t="s">
        <v>702</v>
      </c>
      <c r="S180" s="395" t="s">
        <v>701</v>
      </c>
      <c r="T180" s="1188"/>
      <c r="U180" s="1188"/>
      <c r="V180" s="1188"/>
      <c r="W180" s="1188"/>
      <c r="X180" s="1188"/>
      <c r="Y180" s="1188"/>
      <c r="Z180" s="1188"/>
      <c r="AA180" s="1188"/>
      <c r="AB180" s="1188"/>
      <c r="AC180" s="1190"/>
      <c r="AE180" s="1192"/>
      <c r="AF180" s="1152"/>
      <c r="AG180" s="394" t="s">
        <v>702</v>
      </c>
      <c r="AH180" s="395" t="s">
        <v>701</v>
      </c>
      <c r="AI180" s="1188"/>
      <c r="AJ180" s="1188"/>
      <c r="AK180" s="1189"/>
      <c r="AL180" s="1189"/>
      <c r="AM180" s="1189"/>
      <c r="AN180" s="1189"/>
      <c r="AO180" s="1189"/>
      <c r="AP180" s="1189"/>
      <c r="AQ180" s="1189"/>
      <c r="AR180" s="1191"/>
    </row>
    <row r="181" spans="1:44" ht="15" outlineLevel="1" thickBot="1">
      <c r="B181" s="499" t="s">
        <v>643</v>
      </c>
      <c r="C181" s="505">
        <v>20</v>
      </c>
      <c r="D181" s="505">
        <v>20</v>
      </c>
      <c r="E181" s="505">
        <v>20</v>
      </c>
      <c r="F181" s="505">
        <v>20</v>
      </c>
      <c r="G181" s="506"/>
      <c r="H181" s="506"/>
      <c r="I181" s="506"/>
      <c r="J181" s="506"/>
      <c r="K181" s="502"/>
      <c r="L181" s="503">
        <v>3</v>
      </c>
      <c r="M181" s="362"/>
      <c r="N181" s="362"/>
      <c r="P181" s="1192"/>
      <c r="Q181" s="1152"/>
      <c r="R181" s="394" t="s">
        <v>704</v>
      </c>
      <c r="S181" s="395"/>
      <c r="T181" s="1188"/>
      <c r="U181" s="1188"/>
      <c r="V181" s="1188"/>
      <c r="W181" s="1188"/>
      <c r="X181" s="1188"/>
      <c r="Y181" s="1188"/>
      <c r="Z181" s="1188"/>
      <c r="AA181" s="1188"/>
      <c r="AB181" s="1188"/>
      <c r="AC181" s="1190"/>
      <c r="AE181" s="1192"/>
      <c r="AF181" s="1152"/>
      <c r="AG181" s="394" t="s">
        <v>704</v>
      </c>
      <c r="AH181" s="628" t="s">
        <v>701</v>
      </c>
      <c r="AI181" s="1188"/>
      <c r="AJ181" s="1188"/>
      <c r="AK181" s="415">
        <v>1</v>
      </c>
      <c r="AL181" s="414">
        <v>1</v>
      </c>
      <c r="AM181" s="415">
        <v>1</v>
      </c>
      <c r="AN181" s="414">
        <v>1</v>
      </c>
      <c r="AO181" s="415">
        <v>1</v>
      </c>
      <c r="AP181" s="414">
        <v>1</v>
      </c>
      <c r="AQ181" s="415">
        <v>1</v>
      </c>
      <c r="AR181" s="416">
        <v>1</v>
      </c>
    </row>
    <row r="182" spans="1:44" outlineLevel="1">
      <c r="B182" s="499" t="s">
        <v>644</v>
      </c>
      <c r="C182" s="505">
        <v>0.3</v>
      </c>
      <c r="D182" s="505">
        <v>0.3</v>
      </c>
      <c r="E182" s="505">
        <v>0.3</v>
      </c>
      <c r="F182" s="505">
        <v>0.3</v>
      </c>
      <c r="G182" s="508"/>
      <c r="H182" s="508"/>
      <c r="I182" s="508"/>
      <c r="J182" s="508"/>
      <c r="K182" s="509"/>
      <c r="L182" s="503">
        <v>3</v>
      </c>
      <c r="M182" s="362"/>
      <c r="N182" s="362"/>
      <c r="P182" s="1192"/>
      <c r="Q182" s="1152"/>
      <c r="R182" s="394" t="s">
        <v>705</v>
      </c>
      <c r="S182" s="395" t="s">
        <v>701</v>
      </c>
      <c r="T182" s="1188"/>
      <c r="U182" s="1188"/>
      <c r="V182" s="1188"/>
      <c r="W182" s="1188"/>
      <c r="X182" s="1188"/>
      <c r="Y182" s="1188"/>
      <c r="Z182" s="1188"/>
      <c r="AA182" s="1188"/>
      <c r="AB182" s="1188"/>
      <c r="AC182" s="1190"/>
      <c r="AE182" s="1192"/>
      <c r="AF182" s="1152"/>
      <c r="AG182" s="394" t="s">
        <v>705</v>
      </c>
      <c r="AH182" s="395"/>
      <c r="AI182" s="1188"/>
      <c r="AJ182" s="1188"/>
    </row>
    <row r="183" spans="1:44" ht="15" outlineLevel="1" thickBot="1">
      <c r="B183" s="499" t="s">
        <v>646</v>
      </c>
      <c r="C183" s="505">
        <v>0.5</v>
      </c>
      <c r="D183" s="505">
        <v>0.5</v>
      </c>
      <c r="E183" s="505">
        <v>0.5</v>
      </c>
      <c r="F183" s="505">
        <v>0.5</v>
      </c>
      <c r="G183" s="508"/>
      <c r="H183" s="508"/>
      <c r="I183" s="508"/>
      <c r="J183" s="508"/>
      <c r="K183" s="509"/>
      <c r="L183" s="503">
        <v>3</v>
      </c>
      <c r="M183" s="419"/>
      <c r="N183" s="362"/>
      <c r="P183" s="1192"/>
      <c r="Q183" s="1153"/>
      <c r="R183" s="408" t="s">
        <v>826</v>
      </c>
      <c r="S183" s="409" t="s">
        <v>701</v>
      </c>
      <c r="T183" s="1189"/>
      <c r="U183" s="1189"/>
      <c r="V183" s="1189"/>
      <c r="W183" s="1189"/>
      <c r="X183" s="1189"/>
      <c r="Y183" s="1189"/>
      <c r="Z183" s="1189"/>
      <c r="AA183" s="1189"/>
      <c r="AB183" s="1189"/>
      <c r="AC183" s="1191"/>
      <c r="AE183" s="1192"/>
      <c r="AF183" s="1153"/>
      <c r="AG183" s="408" t="s">
        <v>826</v>
      </c>
      <c r="AH183" s="409" t="s">
        <v>701</v>
      </c>
      <c r="AI183" s="1189"/>
      <c r="AJ183" s="1189"/>
    </row>
    <row r="184" spans="1:44" ht="29.4" outlineLevel="1" thickBot="1">
      <c r="B184" s="420" t="s">
        <v>12</v>
      </c>
      <c r="C184" s="398"/>
      <c r="D184" s="398"/>
      <c r="E184" s="398"/>
      <c r="F184" s="398"/>
      <c r="G184" s="421"/>
      <c r="H184" s="421"/>
      <c r="I184" s="421"/>
      <c r="J184" s="421"/>
      <c r="K184" s="422"/>
      <c r="L184" s="423"/>
      <c r="M184" s="419"/>
      <c r="N184" s="419"/>
      <c r="P184" s="1193"/>
      <c r="Q184" s="410" t="s">
        <v>708</v>
      </c>
      <c r="R184" s="411" t="s">
        <v>709</v>
      </c>
      <c r="S184" s="629" t="s">
        <v>701</v>
      </c>
      <c r="T184" s="415">
        <v>1</v>
      </c>
      <c r="U184" s="414">
        <v>1</v>
      </c>
      <c r="V184" s="415">
        <v>1</v>
      </c>
      <c r="W184" s="414">
        <v>1</v>
      </c>
      <c r="X184" s="415">
        <v>1</v>
      </c>
      <c r="Y184" s="414">
        <v>1</v>
      </c>
      <c r="Z184" s="415">
        <v>1</v>
      </c>
      <c r="AA184" s="414">
        <v>1</v>
      </c>
      <c r="AB184" s="415">
        <v>1</v>
      </c>
      <c r="AC184" s="416">
        <v>1</v>
      </c>
      <c r="AE184" s="1193"/>
      <c r="AF184" s="410" t="s">
        <v>708</v>
      </c>
      <c r="AG184" s="630" t="s">
        <v>709</v>
      </c>
      <c r="AH184" s="631" t="s">
        <v>701</v>
      </c>
      <c r="AI184" s="415">
        <v>1</v>
      </c>
      <c r="AJ184" s="414">
        <v>1</v>
      </c>
    </row>
    <row r="185" spans="1:44" outlineLevel="1">
      <c r="B185" s="382" t="s">
        <v>806</v>
      </c>
      <c r="C185" s="396">
        <v>11</v>
      </c>
      <c r="D185" s="396">
        <v>11</v>
      </c>
      <c r="E185" s="396">
        <v>11</v>
      </c>
      <c r="F185" s="396">
        <v>11</v>
      </c>
      <c r="G185" s="421"/>
      <c r="H185" s="424"/>
      <c r="I185" s="424"/>
      <c r="J185" s="424"/>
      <c r="K185" s="425" t="s">
        <v>76</v>
      </c>
      <c r="L185" s="426" t="s">
        <v>711</v>
      </c>
      <c r="M185" s="427"/>
      <c r="N185" s="427"/>
    </row>
    <row r="186" spans="1:44" outlineLevel="1">
      <c r="B186" s="382" t="s">
        <v>712</v>
      </c>
      <c r="C186" s="396">
        <v>10</v>
      </c>
      <c r="D186" s="396">
        <v>10</v>
      </c>
      <c r="E186" s="396">
        <v>10</v>
      </c>
      <c r="F186" s="396">
        <v>10</v>
      </c>
      <c r="G186" s="424"/>
      <c r="H186" s="424"/>
      <c r="I186" s="424"/>
      <c r="J186" s="424"/>
      <c r="K186" s="422"/>
      <c r="L186" s="426">
        <v>9</v>
      </c>
      <c r="M186" s="427"/>
      <c r="N186" s="427"/>
    </row>
    <row r="187" spans="1:44" outlineLevel="1">
      <c r="B187" s="382" t="s">
        <v>807</v>
      </c>
      <c r="C187" s="396">
        <v>63</v>
      </c>
      <c r="D187" s="396">
        <v>49</v>
      </c>
      <c r="E187" s="396">
        <v>46</v>
      </c>
      <c r="F187" s="396">
        <v>41</v>
      </c>
      <c r="G187" s="424"/>
      <c r="H187" s="424"/>
      <c r="I187" s="424"/>
      <c r="J187" s="424"/>
      <c r="K187" s="422"/>
      <c r="L187" s="426" t="s">
        <v>711</v>
      </c>
      <c r="M187" s="427"/>
      <c r="N187" s="427"/>
    </row>
    <row r="188" spans="1:44" outlineLevel="1">
      <c r="B188" s="382" t="s">
        <v>366</v>
      </c>
      <c r="C188" s="396">
        <v>11</v>
      </c>
      <c r="D188" s="396">
        <v>8</v>
      </c>
      <c r="E188" s="396">
        <v>6</v>
      </c>
      <c r="F188" s="396">
        <v>4</v>
      </c>
      <c r="G188" s="424"/>
      <c r="H188" s="424"/>
      <c r="I188" s="424"/>
      <c r="J188" s="424"/>
      <c r="K188" s="422"/>
      <c r="L188" s="426" t="s">
        <v>711</v>
      </c>
      <c r="M188" s="427"/>
      <c r="N188" s="427"/>
    </row>
    <row r="189" spans="1:44" ht="15" outlineLevel="1" thickBot="1">
      <c r="B189" s="428" t="s">
        <v>367</v>
      </c>
      <c r="C189" s="625">
        <v>3</v>
      </c>
      <c r="D189" s="625">
        <v>3</v>
      </c>
      <c r="E189" s="625">
        <v>1</v>
      </c>
      <c r="F189" s="625">
        <v>1</v>
      </c>
      <c r="G189" s="424"/>
      <c r="H189" s="424"/>
      <c r="I189" s="424"/>
      <c r="J189" s="424"/>
      <c r="K189" s="422"/>
      <c r="L189" s="426" t="s">
        <v>711</v>
      </c>
      <c r="M189" s="427"/>
      <c r="N189" s="427"/>
    </row>
    <row r="190" spans="1:44" ht="15" outlineLevel="1" thickBot="1">
      <c r="B190" s="430" t="s">
        <v>654</v>
      </c>
      <c r="C190" s="431"/>
      <c r="D190" s="402"/>
      <c r="E190" s="402"/>
      <c r="F190" s="432"/>
      <c r="G190" s="433"/>
      <c r="H190" s="405"/>
      <c r="I190" s="405"/>
      <c r="J190" s="405"/>
      <c r="K190" s="406"/>
      <c r="L190" s="407"/>
      <c r="M190" s="427"/>
      <c r="N190" s="427"/>
    </row>
    <row r="191" spans="1:44" ht="26.4" outlineLevel="1">
      <c r="A191" s="434"/>
      <c r="B191" s="435" t="s">
        <v>873</v>
      </c>
      <c r="C191" s="550">
        <f>0.618181818181818</f>
        <v>0.61818181818181805</v>
      </c>
      <c r="D191" s="646">
        <f>0.590909090909091</f>
        <v>0.59090909090909105</v>
      </c>
      <c r="E191" s="646">
        <f>(F191+D191)/2</f>
        <v>0.56363636363636349</v>
      </c>
      <c r="F191" s="647">
        <f>0.536363636363636</f>
        <v>0.53636363636363604</v>
      </c>
      <c r="G191" s="424"/>
      <c r="H191" s="424"/>
      <c r="I191" s="424"/>
      <c r="J191" s="424"/>
      <c r="K191" s="425" t="s">
        <v>715</v>
      </c>
      <c r="L191" s="439" t="s">
        <v>716</v>
      </c>
      <c r="M191" s="419"/>
      <c r="N191" s="419"/>
    </row>
    <row r="192" spans="1:44" outlineLevel="1">
      <c r="B192" s="440" t="s">
        <v>802</v>
      </c>
      <c r="C192" s="441">
        <v>60</v>
      </c>
      <c r="D192" s="441">
        <v>60</v>
      </c>
      <c r="E192" s="441">
        <v>60</v>
      </c>
      <c r="F192" s="441">
        <v>60</v>
      </c>
      <c r="G192" s="424"/>
      <c r="H192" s="424"/>
      <c r="I192" s="424"/>
      <c r="J192" s="424"/>
      <c r="K192" s="443"/>
      <c r="L192" s="372">
        <v>3</v>
      </c>
      <c r="M192" s="71"/>
      <c r="N192" s="419"/>
    </row>
    <row r="193" spans="2:30" outlineLevel="1">
      <c r="B193" s="440" t="s">
        <v>803</v>
      </c>
      <c r="C193" s="441">
        <f>100-C192</f>
        <v>40</v>
      </c>
      <c r="D193" s="441">
        <f>100-D192</f>
        <v>40</v>
      </c>
      <c r="E193" s="441">
        <f>100-E192</f>
        <v>40</v>
      </c>
      <c r="F193" s="441">
        <f>100-F192</f>
        <v>40</v>
      </c>
      <c r="G193" s="424"/>
      <c r="H193" s="424"/>
      <c r="I193" s="424"/>
      <c r="J193" s="424"/>
      <c r="K193" s="443"/>
      <c r="L193" s="372">
        <v>3</v>
      </c>
      <c r="M193" s="419"/>
      <c r="N193" s="419"/>
    </row>
    <row r="194" spans="2:30" outlineLevel="1">
      <c r="B194" s="382" t="s">
        <v>804</v>
      </c>
      <c r="C194" s="601">
        <v>33700</v>
      </c>
      <c r="D194" s="602">
        <v>35900</v>
      </c>
      <c r="E194" s="602">
        <f>(F194+D194)/2</f>
        <v>34800</v>
      </c>
      <c r="F194" s="603">
        <v>33700</v>
      </c>
      <c r="G194" s="424"/>
      <c r="H194" s="424"/>
      <c r="I194" s="424"/>
      <c r="J194" s="424"/>
      <c r="K194" s="447" t="s">
        <v>51</v>
      </c>
      <c r="L194" s="372">
        <v>3</v>
      </c>
      <c r="M194" s="419"/>
      <c r="N194" s="419"/>
    </row>
    <row r="195" spans="2:30" outlineLevel="1">
      <c r="B195" s="382" t="s">
        <v>659</v>
      </c>
      <c r="C195" s="448">
        <f>C196+C197</f>
        <v>2.7789999999999999</v>
      </c>
      <c r="D195" s="448">
        <f t="shared" ref="D195:F195" si="25">D196+D197</f>
        <v>2.8250000000000002</v>
      </c>
      <c r="E195" s="448">
        <f t="shared" si="25"/>
        <v>2.8479999999999999</v>
      </c>
      <c r="F195" s="448">
        <f t="shared" si="25"/>
        <v>2.8479999999999999</v>
      </c>
      <c r="G195" s="424"/>
      <c r="H195" s="424"/>
      <c r="I195" s="424"/>
      <c r="J195" s="424"/>
      <c r="K195" s="447"/>
      <c r="L195" s="372">
        <v>3</v>
      </c>
      <c r="M195" s="449"/>
      <c r="N195" s="360"/>
    </row>
    <row r="196" spans="2:30" outlineLevel="1">
      <c r="B196" s="499" t="s">
        <v>721</v>
      </c>
      <c r="C196" s="513">
        <f>C175/100*73</f>
        <v>1.679</v>
      </c>
      <c r="D196" s="513">
        <f>D175/100*75</f>
        <v>1.7249999999999999</v>
      </c>
      <c r="E196" s="513">
        <f>E175/100*76</f>
        <v>1.748</v>
      </c>
      <c r="F196" s="513">
        <f>F175/100*76</f>
        <v>1.748</v>
      </c>
      <c r="G196" s="514"/>
      <c r="H196" s="514"/>
      <c r="I196" s="514"/>
      <c r="J196" s="514"/>
      <c r="K196" s="502" t="s">
        <v>52</v>
      </c>
      <c r="L196" s="503">
        <v>3</v>
      </c>
      <c r="M196" s="449"/>
      <c r="N196" s="360"/>
    </row>
    <row r="197" spans="2:30" outlineLevel="1">
      <c r="B197" s="499" t="s">
        <v>722</v>
      </c>
      <c r="C197" s="515">
        <v>1.1000000000000001</v>
      </c>
      <c r="D197" s="515">
        <v>1.1000000000000001</v>
      </c>
      <c r="E197" s="515">
        <v>1.1000000000000001</v>
      </c>
      <c r="F197" s="515">
        <v>1.1000000000000001</v>
      </c>
      <c r="G197" s="514"/>
      <c r="H197" s="514"/>
      <c r="I197" s="514"/>
      <c r="J197" s="514"/>
      <c r="K197" s="516"/>
      <c r="L197" s="503">
        <v>3</v>
      </c>
      <c r="M197" s="362"/>
      <c r="N197" s="362"/>
    </row>
    <row r="198" spans="2:30" outlineLevel="1">
      <c r="B198" s="440"/>
      <c r="C198" s="680"/>
      <c r="D198" s="680"/>
      <c r="E198" s="680"/>
      <c r="F198" s="680"/>
      <c r="G198" s="424"/>
      <c r="H198" s="424"/>
      <c r="I198" s="424"/>
      <c r="J198" s="424"/>
      <c r="K198" s="443"/>
      <c r="L198" s="423"/>
      <c r="M198" s="366"/>
      <c r="N198" s="366"/>
      <c r="P198" s="1139">
        <f>C195</f>
        <v>2.7789999999999999</v>
      </c>
      <c r="Q198" s="1140"/>
      <c r="R198" s="1140"/>
      <c r="S198" s="1140"/>
      <c r="T198" s="1140"/>
      <c r="U198" s="1141"/>
    </row>
    <row r="199" spans="2:30" ht="15" outlineLevel="1" thickBot="1">
      <c r="B199" s="518"/>
      <c r="C199" s="441"/>
      <c r="D199" s="519"/>
      <c r="E199" s="519"/>
      <c r="F199" s="520"/>
      <c r="G199" s="424"/>
      <c r="H199" s="424"/>
      <c r="I199" s="424"/>
      <c r="J199" s="424"/>
      <c r="K199" s="447"/>
      <c r="L199" s="423"/>
      <c r="M199" s="362"/>
      <c r="N199" s="362"/>
      <c r="P199" s="1131">
        <f>C196</f>
        <v>1.679</v>
      </c>
      <c r="Q199" s="1132"/>
      <c r="R199" s="1132"/>
      <c r="S199" s="1132"/>
      <c r="T199" s="1132"/>
      <c r="U199" s="1133"/>
    </row>
    <row r="200" spans="2:30" ht="15" outlineLevel="1" thickBot="1">
      <c r="B200" s="400" t="s">
        <v>662</v>
      </c>
      <c r="C200" s="401"/>
      <c r="D200" s="402"/>
      <c r="E200" s="403"/>
      <c r="F200" s="404"/>
      <c r="G200" s="405"/>
      <c r="H200" s="405"/>
      <c r="I200" s="405"/>
      <c r="J200" s="405"/>
      <c r="K200" s="458"/>
      <c r="L200" s="459"/>
      <c r="M200" s="362"/>
      <c r="N200" s="362"/>
      <c r="P200" s="53" t="s">
        <v>357</v>
      </c>
    </row>
    <row r="201" spans="2:30" ht="27.6" outlineLevel="1">
      <c r="B201" s="521" t="s">
        <v>725</v>
      </c>
      <c r="C201" s="669">
        <v>3.5000000000000003E-2</v>
      </c>
      <c r="D201" s="669">
        <v>0.03</v>
      </c>
      <c r="E201" s="669">
        <v>0.03</v>
      </c>
      <c r="F201" s="669">
        <v>0.03</v>
      </c>
      <c r="G201" s="523"/>
      <c r="H201" s="523"/>
      <c r="I201" s="523"/>
      <c r="J201" s="523"/>
      <c r="K201" s="523" t="s">
        <v>55</v>
      </c>
      <c r="L201" s="524"/>
      <c r="M201" s="362"/>
      <c r="N201" s="362"/>
      <c r="P201" s="46" t="s">
        <v>335</v>
      </c>
      <c r="Q201" s="46" t="s">
        <v>336</v>
      </c>
      <c r="R201" s="47" t="s">
        <v>337</v>
      </c>
      <c r="S201" s="47" t="s">
        <v>338</v>
      </c>
      <c r="T201" s="47" t="s">
        <v>339</v>
      </c>
      <c r="U201" s="48" t="s">
        <v>340</v>
      </c>
      <c r="V201" s="49" t="s">
        <v>341</v>
      </c>
      <c r="W201" s="49" t="s">
        <v>342</v>
      </c>
      <c r="X201" s="49" t="s">
        <v>343</v>
      </c>
      <c r="Y201" s="49" t="s">
        <v>344</v>
      </c>
      <c r="Z201" s="49" t="s">
        <v>345</v>
      </c>
      <c r="AA201" s="49" t="s">
        <v>346</v>
      </c>
      <c r="AB201" s="49" t="s">
        <v>347</v>
      </c>
      <c r="AC201" s="49" t="s">
        <v>348</v>
      </c>
      <c r="AD201" s="49" t="s">
        <v>349</v>
      </c>
    </row>
    <row r="202" spans="2:30" ht="15" outlineLevel="1" thickBot="1">
      <c r="B202" s="499" t="s">
        <v>726</v>
      </c>
      <c r="C202" s="525" t="s">
        <v>36</v>
      </c>
      <c r="D202" s="526" t="s">
        <v>36</v>
      </c>
      <c r="E202" s="526" t="s">
        <v>36</v>
      </c>
      <c r="F202" s="527" t="s">
        <v>36</v>
      </c>
      <c r="G202" s="527"/>
      <c r="H202" s="527"/>
      <c r="I202" s="527"/>
      <c r="J202" s="527"/>
      <c r="K202" s="528" t="s">
        <v>49</v>
      </c>
      <c r="L202" s="524"/>
      <c r="M202" s="362"/>
      <c r="N202" s="362"/>
      <c r="P202" s="50"/>
      <c r="Q202" s="50"/>
      <c r="R202" s="51"/>
      <c r="S202" s="51"/>
      <c r="T202" s="51"/>
      <c r="U202" s="51" t="s">
        <v>723</v>
      </c>
      <c r="V202" s="50" t="s">
        <v>724</v>
      </c>
      <c r="W202" s="50"/>
      <c r="X202" s="50"/>
      <c r="Y202" s="50"/>
      <c r="Z202" s="50"/>
      <c r="AA202" s="50"/>
      <c r="AB202" s="50"/>
      <c r="AC202" s="50"/>
      <c r="AD202" s="50"/>
    </row>
    <row r="203" spans="2:30" ht="43.2" outlineLevel="1">
      <c r="B203" s="499" t="s">
        <v>727</v>
      </c>
      <c r="C203" s="525" t="s">
        <v>36</v>
      </c>
      <c r="D203" s="526" t="s">
        <v>36</v>
      </c>
      <c r="E203" s="526" t="s">
        <v>36</v>
      </c>
      <c r="F203" s="527" t="s">
        <v>36</v>
      </c>
      <c r="G203" s="514"/>
      <c r="H203" s="514"/>
      <c r="I203" s="514"/>
      <c r="J203" s="514"/>
      <c r="K203" s="514"/>
      <c r="L203" s="503"/>
      <c r="M203" s="362"/>
      <c r="N203" s="362"/>
      <c r="O203" s="460" t="s">
        <v>695</v>
      </c>
      <c r="P203" s="56"/>
      <c r="Q203" s="56"/>
      <c r="R203" s="57"/>
      <c r="S203" s="57"/>
      <c r="T203" s="57"/>
      <c r="U203" s="56" t="s">
        <v>350</v>
      </c>
      <c r="V203" s="56" t="s">
        <v>326</v>
      </c>
      <c r="W203" s="56" t="s">
        <v>327</v>
      </c>
      <c r="X203" s="56" t="s">
        <v>351</v>
      </c>
      <c r="Y203" s="56" t="s">
        <v>351</v>
      </c>
      <c r="Z203" s="56" t="s">
        <v>352</v>
      </c>
      <c r="AA203" s="56" t="s">
        <v>352</v>
      </c>
      <c r="AB203" s="56" t="s">
        <v>352</v>
      </c>
      <c r="AC203" s="56" t="s">
        <v>352</v>
      </c>
      <c r="AD203" s="56" t="s">
        <v>352</v>
      </c>
    </row>
    <row r="204" spans="2:30" outlineLevel="1">
      <c r="B204" s="499" t="s">
        <v>728</v>
      </c>
      <c r="C204" s="684">
        <v>90</v>
      </c>
      <c r="D204" s="529">
        <v>90</v>
      </c>
      <c r="E204" s="529">
        <v>90</v>
      </c>
      <c r="F204" s="529">
        <v>90</v>
      </c>
      <c r="G204" s="530"/>
      <c r="H204" s="530"/>
      <c r="I204" s="530"/>
      <c r="J204" s="530"/>
      <c r="K204" s="530"/>
      <c r="L204" s="503">
        <v>3</v>
      </c>
      <c r="M204" s="362"/>
      <c r="N204" s="362"/>
      <c r="O204" s="464">
        <f>C174</f>
        <v>90</v>
      </c>
      <c r="P204" s="465">
        <f>C170</f>
        <v>2020</v>
      </c>
      <c r="Q204" s="58">
        <f>P204</f>
        <v>2020</v>
      </c>
      <c r="R204" s="465">
        <f>O204/100</f>
        <v>0.9</v>
      </c>
      <c r="S204" s="58"/>
      <c r="T204" s="465">
        <f>C178</f>
        <v>25</v>
      </c>
      <c r="U204" s="466">
        <f>C208</f>
        <v>4605.4545454545441</v>
      </c>
      <c r="V204" s="466">
        <f>C210</f>
        <v>251.065</v>
      </c>
      <c r="W204" s="466">
        <f>C211</f>
        <v>5.7509861111111107</v>
      </c>
      <c r="X204" s="58"/>
      <c r="Y204" s="58"/>
      <c r="Z204" s="465">
        <f>C185</f>
        <v>11</v>
      </c>
      <c r="AA204" s="467">
        <f>C187</f>
        <v>63</v>
      </c>
      <c r="AB204" s="467">
        <f>C188</f>
        <v>11</v>
      </c>
      <c r="AC204" s="467">
        <f>C189</f>
        <v>3</v>
      </c>
      <c r="AD204" s="467">
        <f>C186</f>
        <v>10</v>
      </c>
    </row>
    <row r="205" spans="2:30" outlineLevel="1">
      <c r="B205" s="531" t="s">
        <v>729</v>
      </c>
      <c r="C205" s="525"/>
      <c r="D205" s="526"/>
      <c r="E205" s="526"/>
      <c r="F205" s="527"/>
      <c r="G205" s="530"/>
      <c r="H205" s="530"/>
      <c r="I205" s="530"/>
      <c r="J205" s="530"/>
      <c r="K205" s="530"/>
      <c r="L205" s="532"/>
      <c r="M205" s="366"/>
      <c r="N205" s="366"/>
      <c r="O205" s="464">
        <f>D174</f>
        <v>90</v>
      </c>
      <c r="P205" s="465">
        <f>D170</f>
        <v>2030</v>
      </c>
      <c r="Q205" s="58"/>
      <c r="R205" s="465">
        <f>O205/100</f>
        <v>0.9</v>
      </c>
      <c r="S205" s="58"/>
      <c r="T205" s="465">
        <f>D178</f>
        <v>25</v>
      </c>
      <c r="U205" s="466">
        <f>D208</f>
        <v>4402.2727272727279</v>
      </c>
      <c r="V205" s="466">
        <f>D210</f>
        <v>267.45499999999998</v>
      </c>
      <c r="W205" s="466">
        <f>D211</f>
        <v>5.8461805555555557</v>
      </c>
      <c r="X205" s="58"/>
      <c r="Y205" s="58"/>
      <c r="Z205" s="465">
        <f>D185</f>
        <v>11</v>
      </c>
      <c r="AA205" s="467">
        <f>D187</f>
        <v>49</v>
      </c>
      <c r="AB205" s="467">
        <f>D188</f>
        <v>8</v>
      </c>
      <c r="AC205" s="467">
        <f>D189</f>
        <v>3</v>
      </c>
      <c r="AD205" s="467">
        <f>D186</f>
        <v>10</v>
      </c>
    </row>
    <row r="206" spans="2:30" outlineLevel="1">
      <c r="B206" s="531" t="s">
        <v>730</v>
      </c>
      <c r="C206" s="525"/>
      <c r="D206" s="526"/>
      <c r="E206" s="526"/>
      <c r="F206" s="527"/>
      <c r="G206" s="530"/>
      <c r="H206" s="530"/>
      <c r="I206" s="530"/>
      <c r="J206" s="530"/>
      <c r="K206" s="530"/>
      <c r="L206" s="532"/>
      <c r="M206" s="362"/>
      <c r="N206" s="362"/>
      <c r="O206" s="464">
        <f>E174</f>
        <v>90</v>
      </c>
      <c r="P206" s="465">
        <f>E170</f>
        <v>2040</v>
      </c>
      <c r="Q206" s="58"/>
      <c r="R206" s="465">
        <f>O206/100</f>
        <v>0.9</v>
      </c>
      <c r="S206" s="58"/>
      <c r="T206" s="465">
        <f>E178</f>
        <v>25</v>
      </c>
      <c r="U206" s="466">
        <f>E208</f>
        <v>4199.0909090909081</v>
      </c>
      <c r="V206" s="466">
        <f>E210</f>
        <v>259.26</v>
      </c>
      <c r="W206" s="466">
        <f>E211</f>
        <v>5.8937777777777782</v>
      </c>
      <c r="X206" s="58"/>
      <c r="Y206" s="58"/>
      <c r="Z206" s="465">
        <f>E185</f>
        <v>11</v>
      </c>
      <c r="AA206" s="467">
        <f>E187</f>
        <v>46</v>
      </c>
      <c r="AB206" s="467">
        <f>E188</f>
        <v>6</v>
      </c>
      <c r="AC206" s="467">
        <f>E189</f>
        <v>1</v>
      </c>
      <c r="AD206" s="467">
        <f>E186</f>
        <v>10</v>
      </c>
    </row>
    <row r="207" spans="2:30" ht="15" outlineLevel="1" thickBot="1">
      <c r="B207" s="533" t="s">
        <v>731</v>
      </c>
      <c r="C207" s="534"/>
      <c r="D207" s="535"/>
      <c r="E207" s="535"/>
      <c r="F207" s="536"/>
      <c r="G207" s="537"/>
      <c r="H207" s="537"/>
      <c r="I207" s="537"/>
      <c r="J207" s="537"/>
      <c r="K207" s="537"/>
      <c r="L207" s="538"/>
      <c r="M207" s="362"/>
      <c r="N207" s="362"/>
      <c r="O207" s="464">
        <f>F174</f>
        <v>91</v>
      </c>
      <c r="P207" s="465">
        <f>F170</f>
        <v>2050</v>
      </c>
      <c r="Q207" s="58"/>
      <c r="R207" s="465">
        <f>O207/100</f>
        <v>0.91</v>
      </c>
      <c r="S207" s="58"/>
      <c r="T207" s="465">
        <f>F178</f>
        <v>25</v>
      </c>
      <c r="U207" s="466">
        <f>F208</f>
        <v>3995.9090909090883</v>
      </c>
      <c r="V207" s="466">
        <f>F210</f>
        <v>251.065</v>
      </c>
      <c r="W207" s="466">
        <f>F211</f>
        <v>5.8937777777777782</v>
      </c>
      <c r="X207" s="58"/>
      <c r="Y207" s="58"/>
      <c r="Z207" s="465">
        <f>F185</f>
        <v>11</v>
      </c>
      <c r="AA207" s="467">
        <f>F187</f>
        <v>41</v>
      </c>
      <c r="AB207" s="467">
        <f>F188</f>
        <v>4</v>
      </c>
      <c r="AC207" s="467">
        <f>F189</f>
        <v>1</v>
      </c>
      <c r="AD207" s="467">
        <f>F186</f>
        <v>10</v>
      </c>
    </row>
    <row r="208" spans="2:30" ht="57.6" outlineLevel="1">
      <c r="B208" s="460" t="s">
        <v>732</v>
      </c>
      <c r="C208" s="482">
        <f>C191*$F$4*1000</f>
        <v>4605.4545454545441</v>
      </c>
      <c r="D208" s="482">
        <f t="shared" ref="D208:F208" si="26">D191*$F$4*1000</f>
        <v>4402.2727272727279</v>
      </c>
      <c r="E208" s="482">
        <f t="shared" si="26"/>
        <v>4199.0909090909081</v>
      </c>
      <c r="F208" s="482">
        <f t="shared" si="26"/>
        <v>3995.9090909090883</v>
      </c>
      <c r="G208" s="482"/>
      <c r="H208" s="483"/>
      <c r="I208" s="419" t="s">
        <v>332</v>
      </c>
      <c r="J208" s="419"/>
      <c r="K208" s="483"/>
      <c r="L208" s="483"/>
      <c r="N208" s="419"/>
    </row>
    <row r="209" spans="1:16" outlineLevel="1">
      <c r="B209" s="484" t="s">
        <v>733</v>
      </c>
      <c r="C209" s="485">
        <f>C208*$I209</f>
        <v>2302727.272727272</v>
      </c>
      <c r="D209" s="485">
        <f>D208*$I209</f>
        <v>2201136.3636363638</v>
      </c>
      <c r="E209" s="485">
        <f>E208*$I209</f>
        <v>2099545.4545454541</v>
      </c>
      <c r="F209" s="485">
        <f>F208*$I209</f>
        <v>1997954.545454544</v>
      </c>
      <c r="G209" s="485"/>
      <c r="H209" s="483"/>
      <c r="I209" s="71">
        <v>500</v>
      </c>
      <c r="J209" s="419" t="s">
        <v>330</v>
      </c>
      <c r="K209" s="483"/>
      <c r="L209" s="483"/>
      <c r="N209" s="419"/>
    </row>
    <row r="210" spans="1:16" ht="43.2" outlineLevel="1">
      <c r="B210" s="460" t="s">
        <v>808</v>
      </c>
      <c r="C210" s="358">
        <f>C194*$F$4/1000</f>
        <v>251.065</v>
      </c>
      <c r="D210" s="358">
        <f t="shared" ref="D210:F210" si="27">D194*$F$4/1000</f>
        <v>267.45499999999998</v>
      </c>
      <c r="E210" s="358">
        <f t="shared" si="27"/>
        <v>259.26</v>
      </c>
      <c r="F210" s="358">
        <f t="shared" si="27"/>
        <v>251.065</v>
      </c>
      <c r="G210" s="358"/>
      <c r="I210" s="419" t="s">
        <v>333</v>
      </c>
      <c r="J210" s="419"/>
      <c r="N210" s="419"/>
    </row>
    <row r="211" spans="1:16" ht="43.2" outlineLevel="1">
      <c r="B211" s="460" t="s">
        <v>809</v>
      </c>
      <c r="C211" s="486">
        <f>C195*$F$4/3.6</f>
        <v>5.7509861111111107</v>
      </c>
      <c r="D211" s="486">
        <f t="shared" ref="D211:F211" si="28">D195*$F$4/3.6</f>
        <v>5.8461805555555557</v>
      </c>
      <c r="E211" s="486">
        <f t="shared" si="28"/>
        <v>5.8937777777777782</v>
      </c>
      <c r="F211" s="486">
        <f t="shared" si="28"/>
        <v>5.8937777777777782</v>
      </c>
      <c r="G211" s="358"/>
      <c r="M211" s="419"/>
      <c r="N211" s="419"/>
    </row>
    <row r="212" spans="1:16" outlineLevel="1"/>
    <row r="213" spans="1:16" outlineLevel="1">
      <c r="A213" s="487"/>
      <c r="B213" s="488"/>
      <c r="D213" s="489"/>
      <c r="E213" s="489"/>
      <c r="F213" s="489"/>
      <c r="G213" s="357"/>
      <c r="H213" s="357"/>
      <c r="I213" s="357"/>
      <c r="J213" s="357"/>
      <c r="K213" s="357"/>
      <c r="L213" s="357"/>
      <c r="N213" s="569"/>
    </row>
    <row r="214" spans="1:16" outlineLevel="1">
      <c r="A214" s="490"/>
      <c r="B214" s="491"/>
      <c r="D214" s="489"/>
      <c r="E214" s="489"/>
      <c r="F214" s="489"/>
      <c r="G214" s="357"/>
      <c r="H214" s="357"/>
      <c r="I214" s="357"/>
      <c r="J214" s="357"/>
      <c r="K214" s="357"/>
      <c r="L214" s="357"/>
      <c r="N214" s="569"/>
    </row>
    <row r="215" spans="1:16" outlineLevel="1">
      <c r="A215" s="490"/>
      <c r="B215" s="492"/>
      <c r="D215" s="489"/>
      <c r="E215" s="489"/>
      <c r="F215" s="489"/>
      <c r="G215" s="357"/>
      <c r="H215" s="357"/>
      <c r="I215" s="357"/>
      <c r="J215" s="357"/>
      <c r="K215" s="357"/>
      <c r="L215" s="357"/>
      <c r="N215" s="569"/>
    </row>
    <row r="216" spans="1:16" outlineLevel="1">
      <c r="A216" s="490"/>
      <c r="B216" s="487" t="s">
        <v>736</v>
      </c>
      <c r="C216" s="488"/>
      <c r="E216" s="357"/>
      <c r="F216" s="489"/>
      <c r="G216" s="357"/>
      <c r="H216" s="357"/>
      <c r="I216" s="357"/>
      <c r="J216" s="357"/>
      <c r="K216" s="357"/>
      <c r="L216" s="357"/>
      <c r="N216" s="569"/>
      <c r="O216" s="488"/>
      <c r="P216" s="489"/>
    </row>
    <row r="217" spans="1:16" outlineLevel="1">
      <c r="A217" s="490"/>
      <c r="B217" s="490">
        <v>1</v>
      </c>
      <c r="C217" s="491" t="s">
        <v>737</v>
      </c>
      <c r="E217" s="357"/>
      <c r="F217" s="489"/>
      <c r="G217" s="357"/>
      <c r="H217" s="357"/>
      <c r="I217" s="357"/>
      <c r="J217" s="357"/>
      <c r="K217" s="357"/>
      <c r="L217" s="357"/>
      <c r="N217" s="569"/>
      <c r="O217" s="488"/>
      <c r="P217" s="489"/>
    </row>
    <row r="218" spans="1:16" outlineLevel="1">
      <c r="A218" s="357"/>
      <c r="B218" s="490">
        <v>2</v>
      </c>
      <c r="C218" s="492" t="s">
        <v>738</v>
      </c>
      <c r="E218" s="357"/>
      <c r="F218" s="489"/>
      <c r="G218" s="357"/>
      <c r="H218" s="357"/>
      <c r="I218" s="357"/>
      <c r="J218" s="357"/>
      <c r="K218" s="357"/>
      <c r="L218" s="357"/>
      <c r="O218" s="488"/>
      <c r="P218" s="489"/>
    </row>
    <row r="219" spans="1:16" outlineLevel="1">
      <c r="A219" s="357"/>
      <c r="B219" s="490">
        <v>3</v>
      </c>
      <c r="C219" s="492" t="s">
        <v>739</v>
      </c>
      <c r="E219" s="357"/>
      <c r="F219" s="489"/>
      <c r="G219" s="357"/>
      <c r="H219" s="357"/>
      <c r="I219" s="357"/>
      <c r="J219" s="357"/>
      <c r="K219" s="357"/>
      <c r="L219" s="357"/>
      <c r="O219" s="488"/>
      <c r="P219" s="489"/>
    </row>
    <row r="220" spans="1:16" outlineLevel="1">
      <c r="A220" s="357"/>
      <c r="B220" s="490">
        <v>4</v>
      </c>
      <c r="C220" s="492" t="s">
        <v>740</v>
      </c>
      <c r="E220" s="357"/>
      <c r="F220" s="489"/>
      <c r="G220" s="357"/>
      <c r="H220" s="357"/>
      <c r="I220" s="357"/>
      <c r="J220" s="357"/>
      <c r="K220" s="357"/>
      <c r="L220" s="357"/>
      <c r="O220" s="488"/>
      <c r="P220" s="489"/>
    </row>
    <row r="221" spans="1:16" outlineLevel="1">
      <c r="A221" s="357"/>
      <c r="B221" s="357">
        <v>5</v>
      </c>
      <c r="C221" s="493" t="s">
        <v>741</v>
      </c>
      <c r="F221" s="489"/>
      <c r="G221" s="357"/>
      <c r="H221" s="357"/>
      <c r="I221" s="357"/>
      <c r="J221" s="357"/>
      <c r="K221" s="357"/>
      <c r="L221" s="357"/>
    </row>
    <row r="222" spans="1:16" outlineLevel="1">
      <c r="A222" s="357"/>
      <c r="B222" s="357">
        <v>6</v>
      </c>
      <c r="C222" s="491" t="s">
        <v>742</v>
      </c>
      <c r="F222" s="489"/>
      <c r="G222" s="357"/>
      <c r="H222" s="357"/>
      <c r="I222" s="357"/>
      <c r="J222" s="357"/>
      <c r="K222" s="357"/>
      <c r="L222" s="357"/>
    </row>
    <row r="223" spans="1:16" outlineLevel="1">
      <c r="A223" s="357"/>
      <c r="B223" s="357">
        <v>7</v>
      </c>
      <c r="C223" s="494" t="s">
        <v>737</v>
      </c>
      <c r="F223" s="489"/>
      <c r="G223" s="357"/>
      <c r="H223" s="357"/>
      <c r="I223" s="357"/>
      <c r="J223" s="357"/>
      <c r="K223" s="357"/>
      <c r="L223" s="357"/>
    </row>
    <row r="224" spans="1:16" outlineLevel="1">
      <c r="A224" s="487"/>
      <c r="B224" s="357">
        <v>8</v>
      </c>
      <c r="C224" s="494" t="s">
        <v>743</v>
      </c>
      <c r="F224" s="489"/>
      <c r="G224" s="357"/>
      <c r="H224" s="357"/>
      <c r="I224" s="357"/>
      <c r="J224" s="357"/>
      <c r="K224" s="357"/>
      <c r="L224" s="357"/>
    </row>
    <row r="225" spans="1:16" outlineLevel="1">
      <c r="A225" s="495"/>
      <c r="B225" s="357">
        <v>9</v>
      </c>
      <c r="C225" s="488" t="s">
        <v>744</v>
      </c>
      <c r="F225" s="489"/>
      <c r="G225" s="357"/>
      <c r="H225" s="357"/>
      <c r="I225" s="357"/>
      <c r="J225" s="357"/>
      <c r="K225" s="357"/>
      <c r="L225" s="357"/>
      <c r="N225" s="569"/>
    </row>
    <row r="226" spans="1:16" outlineLevel="1">
      <c r="A226" s="495"/>
      <c r="B226" s="357">
        <v>10</v>
      </c>
      <c r="C226" s="489" t="s">
        <v>745</v>
      </c>
      <c r="F226" s="489"/>
      <c r="G226" s="357"/>
      <c r="H226" s="357"/>
      <c r="I226" s="357"/>
      <c r="J226" s="357"/>
      <c r="K226" s="357"/>
      <c r="L226" s="357"/>
      <c r="N226" s="569"/>
    </row>
    <row r="227" spans="1:16" outlineLevel="1">
      <c r="A227" s="495"/>
      <c r="B227" s="487" t="s">
        <v>746</v>
      </c>
      <c r="C227" s="488"/>
      <c r="F227" s="489"/>
      <c r="G227" s="357"/>
      <c r="H227" s="357"/>
      <c r="I227" s="357"/>
      <c r="J227" s="357"/>
      <c r="K227" s="357"/>
      <c r="L227" s="357"/>
      <c r="N227" s="569"/>
    </row>
    <row r="228" spans="1:16" outlineLevel="1">
      <c r="A228" s="495"/>
      <c r="B228" s="495" t="s">
        <v>6</v>
      </c>
      <c r="C228" s="496" t="s">
        <v>938</v>
      </c>
      <c r="D228" s="488"/>
      <c r="F228" s="489"/>
      <c r="G228" s="357"/>
      <c r="H228" s="357"/>
      <c r="I228" s="357"/>
      <c r="J228" s="357"/>
      <c r="K228" s="357"/>
      <c r="L228" s="357"/>
      <c r="N228" s="569"/>
      <c r="O228" s="488"/>
      <c r="P228" s="489"/>
    </row>
    <row r="229" spans="1:16" outlineLevel="1">
      <c r="A229" s="495"/>
      <c r="B229" s="495" t="s">
        <v>59</v>
      </c>
      <c r="C229" s="488" t="s">
        <v>748</v>
      </c>
      <c r="D229" s="488"/>
      <c r="F229" s="489"/>
      <c r="G229" s="357"/>
      <c r="H229" s="357"/>
      <c r="I229" s="357"/>
      <c r="J229" s="357"/>
      <c r="K229" s="357"/>
      <c r="L229" s="357"/>
      <c r="N229" s="569"/>
      <c r="O229" s="488"/>
      <c r="P229" s="489"/>
    </row>
    <row r="230" spans="1:16" outlineLevel="1">
      <c r="A230" s="495"/>
      <c r="B230" s="495" t="s">
        <v>16</v>
      </c>
      <c r="C230" s="488" t="s">
        <v>939</v>
      </c>
      <c r="D230" s="488"/>
      <c r="F230" s="489"/>
      <c r="G230" s="357"/>
      <c r="H230" s="357"/>
      <c r="I230" s="357"/>
      <c r="J230" s="357"/>
      <c r="K230" s="357"/>
      <c r="L230" s="357"/>
      <c r="N230" s="569"/>
      <c r="O230" s="488"/>
      <c r="P230" s="489"/>
    </row>
    <row r="231" spans="1:16" outlineLevel="1">
      <c r="A231" s="495"/>
      <c r="B231" s="495" t="s">
        <v>20</v>
      </c>
      <c r="C231" s="488" t="s">
        <v>940</v>
      </c>
      <c r="D231" s="488"/>
      <c r="F231" s="489"/>
      <c r="G231" s="357"/>
      <c r="H231" s="357"/>
      <c r="I231" s="357"/>
      <c r="J231" s="357"/>
      <c r="K231" s="357"/>
      <c r="L231" s="357"/>
      <c r="N231" s="569"/>
      <c r="O231" s="488"/>
      <c r="P231" s="489"/>
    </row>
    <row r="232" spans="1:16" outlineLevel="1">
      <c r="A232" s="495"/>
      <c r="B232" s="495" t="s">
        <v>76</v>
      </c>
      <c r="C232" s="488" t="s">
        <v>749</v>
      </c>
      <c r="D232" s="488"/>
      <c r="F232" s="489"/>
      <c r="G232" s="357"/>
      <c r="H232" s="357"/>
      <c r="I232" s="357"/>
      <c r="J232" s="357"/>
      <c r="K232" s="357"/>
      <c r="L232" s="357"/>
      <c r="N232" s="569"/>
      <c r="O232" s="488"/>
      <c r="P232" s="489"/>
    </row>
    <row r="233" spans="1:16" outlineLevel="1">
      <c r="A233" s="495"/>
      <c r="B233" s="495" t="s">
        <v>25</v>
      </c>
      <c r="C233" s="488" t="s">
        <v>941</v>
      </c>
      <c r="D233" s="488"/>
      <c r="F233" s="489"/>
      <c r="G233" s="357"/>
      <c r="H233" s="357"/>
      <c r="I233" s="357"/>
      <c r="J233" s="357"/>
      <c r="K233" s="357"/>
      <c r="L233" s="357"/>
      <c r="N233" s="569"/>
      <c r="O233" s="488"/>
      <c r="P233" s="489"/>
    </row>
    <row r="234" spans="1:16" outlineLevel="1">
      <c r="A234" s="495"/>
      <c r="B234" s="495" t="s">
        <v>33</v>
      </c>
      <c r="C234" s="488" t="s">
        <v>942</v>
      </c>
      <c r="D234" s="488"/>
      <c r="F234" s="489"/>
      <c r="G234" s="357"/>
      <c r="H234" s="357"/>
      <c r="I234" s="357"/>
      <c r="J234" s="357"/>
      <c r="K234" s="357"/>
      <c r="L234" s="357"/>
      <c r="N234" s="569"/>
      <c r="O234" s="488"/>
      <c r="P234" s="489"/>
    </row>
    <row r="235" spans="1:16" outlineLevel="1">
      <c r="A235" s="495"/>
      <c r="B235" s="495" t="s">
        <v>51</v>
      </c>
      <c r="C235" s="488" t="s">
        <v>943</v>
      </c>
      <c r="D235" s="488"/>
      <c r="F235" s="489"/>
      <c r="G235" s="357"/>
      <c r="H235" s="357"/>
      <c r="I235" s="357"/>
      <c r="J235" s="357"/>
      <c r="K235" s="357"/>
      <c r="L235" s="357"/>
      <c r="N235" s="569"/>
      <c r="O235" s="488"/>
      <c r="P235" s="489"/>
    </row>
    <row r="236" spans="1:16" outlineLevel="1">
      <c r="A236" s="495"/>
      <c r="B236" s="495" t="s">
        <v>52</v>
      </c>
      <c r="C236" s="497" t="s">
        <v>751</v>
      </c>
      <c r="D236" s="488"/>
      <c r="F236" s="489"/>
      <c r="G236" s="357"/>
      <c r="H236" s="357"/>
      <c r="I236" s="357"/>
      <c r="J236" s="357"/>
      <c r="K236" s="357"/>
      <c r="L236" s="357"/>
      <c r="N236" s="569"/>
      <c r="O236" s="488"/>
      <c r="P236" s="489"/>
    </row>
    <row r="237" spans="1:16" outlineLevel="1">
      <c r="A237" s="495"/>
      <c r="B237" s="495" t="s">
        <v>55</v>
      </c>
      <c r="C237" s="488" t="s">
        <v>767</v>
      </c>
      <c r="D237" s="488"/>
      <c r="F237" s="489"/>
      <c r="G237" s="357"/>
      <c r="H237" s="357"/>
      <c r="I237" s="357"/>
      <c r="J237" s="357"/>
      <c r="K237" s="357"/>
      <c r="L237" s="357"/>
      <c r="N237" s="570"/>
      <c r="O237" s="488"/>
      <c r="P237" s="489"/>
    </row>
    <row r="238" spans="1:16" outlineLevel="1">
      <c r="A238" s="495"/>
      <c r="B238" s="495" t="s">
        <v>49</v>
      </c>
      <c r="C238" s="488" t="s">
        <v>752</v>
      </c>
      <c r="D238" s="488"/>
      <c r="F238" s="489"/>
      <c r="G238" s="357"/>
      <c r="H238" s="357"/>
      <c r="I238" s="357"/>
      <c r="J238" s="357"/>
      <c r="K238" s="357"/>
      <c r="L238" s="357"/>
      <c r="N238" s="571"/>
      <c r="O238" s="488"/>
      <c r="P238" s="489"/>
    </row>
    <row r="239" spans="1:16" outlineLevel="1">
      <c r="A239" s="495"/>
      <c r="F239" s="489"/>
      <c r="G239" s="357"/>
      <c r="H239" s="357"/>
      <c r="I239" s="357"/>
      <c r="J239" s="357"/>
      <c r="K239" s="357"/>
      <c r="L239" s="357"/>
      <c r="N239" s="572"/>
      <c r="O239" s="488"/>
      <c r="P239" s="489"/>
    </row>
    <row r="240" spans="1:16" outlineLevel="1">
      <c r="A240" s="495"/>
      <c r="B240" s="497"/>
      <c r="C240" s="489"/>
      <c r="D240" s="489"/>
      <c r="E240" s="489"/>
      <c r="F240" s="489"/>
      <c r="G240" s="357"/>
      <c r="H240" s="357"/>
      <c r="I240" s="357"/>
      <c r="J240" s="357"/>
      <c r="K240" s="357"/>
      <c r="L240" s="357"/>
      <c r="N240" s="572"/>
      <c r="O240" s="488"/>
      <c r="P240" s="489"/>
    </row>
    <row r="241" spans="1:44" outlineLevel="1">
      <c r="A241" s="495"/>
      <c r="B241" s="488"/>
      <c r="C241" s="489"/>
      <c r="D241" s="489"/>
      <c r="E241" s="489"/>
      <c r="F241" s="489"/>
      <c r="G241" s="357"/>
      <c r="H241" s="357"/>
      <c r="I241" s="357"/>
      <c r="J241" s="357"/>
      <c r="K241" s="357"/>
      <c r="L241" s="357"/>
      <c r="N241" s="488"/>
      <c r="O241" s="488"/>
      <c r="P241" s="489"/>
    </row>
    <row r="242" spans="1:44" outlineLevel="1">
      <c r="A242" s="495"/>
      <c r="B242" s="488"/>
      <c r="C242" s="489"/>
      <c r="D242" s="489"/>
      <c r="E242" s="489"/>
      <c r="F242" s="489"/>
      <c r="G242" s="357"/>
      <c r="H242" s="357"/>
      <c r="I242" s="357"/>
      <c r="J242" s="357"/>
      <c r="K242" s="357"/>
      <c r="L242" s="357"/>
      <c r="N242" s="489"/>
      <c r="O242" s="488"/>
      <c r="P242" s="489"/>
    </row>
    <row r="243" spans="1:44" outlineLevel="1">
      <c r="O243" s="489"/>
      <c r="P243" s="489"/>
    </row>
    <row r="244" spans="1:44" outlineLevel="1">
      <c r="O244" s="489"/>
      <c r="P244" s="489"/>
    </row>
    <row r="245" spans="1:44">
      <c r="O245" s="489"/>
      <c r="P245" s="489"/>
    </row>
    <row r="246" spans="1:44">
      <c r="A246" s="359" t="s">
        <v>958</v>
      </c>
      <c r="B246" s="1204"/>
      <c r="C246" s="1140"/>
      <c r="D246" s="1140"/>
      <c r="E246" s="1140"/>
      <c r="F246" s="1140"/>
      <c r="G246" s="1140"/>
      <c r="H246" s="1140"/>
      <c r="I246" s="1140"/>
      <c r="J246" s="1140"/>
      <c r="K246" s="1140"/>
      <c r="L246" s="1140"/>
      <c r="M246" s="1140"/>
      <c r="N246" s="360"/>
    </row>
    <row r="247" spans="1:44" ht="20.55" customHeight="1" outlineLevel="1" thickBot="1">
      <c r="B247" s="1204"/>
      <c r="C247" s="1140"/>
      <c r="D247" s="1140"/>
      <c r="E247" s="1140"/>
      <c r="F247" s="1140"/>
      <c r="G247" s="1140"/>
      <c r="H247" s="1140"/>
      <c r="I247" s="1140"/>
      <c r="J247" s="1140"/>
      <c r="K247" s="1140"/>
      <c r="L247" s="1140"/>
      <c r="M247" s="1140"/>
      <c r="N247" s="360"/>
    </row>
    <row r="248" spans="1:44" ht="15" customHeight="1" outlineLevel="1" thickBot="1">
      <c r="B248" s="361" t="s">
        <v>0</v>
      </c>
      <c r="C248" s="1201" t="s">
        <v>954</v>
      </c>
      <c r="D248" s="1202"/>
      <c r="E248" s="1202"/>
      <c r="F248" s="1202"/>
      <c r="G248" s="1202"/>
      <c r="H248" s="1202"/>
      <c r="I248" s="1202"/>
      <c r="J248" s="1202"/>
      <c r="K248" s="1202"/>
      <c r="L248" s="1203"/>
      <c r="M248" s="362"/>
      <c r="N248" s="362"/>
      <c r="AK248" s="1157" t="s">
        <v>679</v>
      </c>
      <c r="AL248" s="1158"/>
      <c r="AM248" s="1157" t="s">
        <v>680</v>
      </c>
      <c r="AN248" s="1158"/>
      <c r="AO248" s="1157" t="s">
        <v>681</v>
      </c>
      <c r="AP248" s="1158"/>
      <c r="AQ248" s="1167" t="s">
        <v>682</v>
      </c>
      <c r="AR248" s="1168"/>
    </row>
    <row r="249" spans="1:44" ht="15" customHeight="1" outlineLevel="1" thickBot="1">
      <c r="B249" s="1161" t="s">
        <v>4</v>
      </c>
      <c r="C249" s="1163">
        <v>2020</v>
      </c>
      <c r="D249" s="1163">
        <v>2030</v>
      </c>
      <c r="E249" s="1163">
        <v>2040</v>
      </c>
      <c r="F249" s="1163">
        <v>2050</v>
      </c>
      <c r="G249" s="1197" t="s">
        <v>684</v>
      </c>
      <c r="H249" s="1198"/>
      <c r="I249" s="1197" t="s">
        <v>628</v>
      </c>
      <c r="J249" s="1198"/>
      <c r="K249" s="1199" t="s">
        <v>2</v>
      </c>
      <c r="L249" s="1199" t="s">
        <v>3</v>
      </c>
      <c r="M249" s="366"/>
      <c r="N249" s="366"/>
      <c r="P249" s="1140"/>
      <c r="Q249" s="1140"/>
      <c r="R249" s="1140"/>
      <c r="S249" s="1140"/>
      <c r="T249" s="1140"/>
      <c r="U249" s="1140"/>
      <c r="AK249" s="1159"/>
      <c r="AL249" s="1160"/>
      <c r="AM249" s="1159"/>
      <c r="AN249" s="1160"/>
      <c r="AO249" s="1159"/>
      <c r="AP249" s="1160"/>
      <c r="AQ249" s="1169"/>
      <c r="AR249" s="1170"/>
    </row>
    <row r="250" spans="1:44" ht="15" outlineLevel="1" thickBot="1">
      <c r="B250" s="1162"/>
      <c r="C250" s="1164"/>
      <c r="D250" s="1164"/>
      <c r="E250" s="1164"/>
      <c r="F250" s="1164"/>
      <c r="G250" s="498" t="s">
        <v>629</v>
      </c>
      <c r="H250" s="498" t="s">
        <v>630</v>
      </c>
      <c r="I250" s="498" t="s">
        <v>629</v>
      </c>
      <c r="J250" s="498" t="s">
        <v>630</v>
      </c>
      <c r="K250" s="1200"/>
      <c r="L250" s="1200"/>
      <c r="M250" s="369"/>
      <c r="N250" s="369"/>
      <c r="P250" s="1140"/>
      <c r="Q250" s="1140"/>
      <c r="R250" s="1140"/>
      <c r="S250" s="1140"/>
      <c r="T250" s="1140"/>
      <c r="U250" s="1140"/>
      <c r="AK250" s="1159"/>
      <c r="AL250" s="1160"/>
      <c r="AM250" s="1159"/>
      <c r="AN250" s="1160"/>
      <c r="AO250" s="1159"/>
      <c r="AP250" s="1160"/>
      <c r="AQ250" s="1171"/>
      <c r="AR250" s="1172"/>
    </row>
    <row r="251" spans="1:44" ht="14.55" customHeight="1" outlineLevel="1" thickBot="1">
      <c r="B251" s="370" t="s">
        <v>631</v>
      </c>
      <c r="C251" s="371">
        <v>20</v>
      </c>
      <c r="D251" s="371">
        <v>20</v>
      </c>
      <c r="E251" s="371">
        <v>20</v>
      </c>
      <c r="F251" s="371">
        <v>20</v>
      </c>
      <c r="G251" s="371">
        <v>1</v>
      </c>
      <c r="H251" s="371">
        <v>50</v>
      </c>
      <c r="I251" s="371">
        <v>1</v>
      </c>
      <c r="J251" s="371">
        <v>50</v>
      </c>
      <c r="K251" s="371" t="s">
        <v>6</v>
      </c>
      <c r="L251" s="372" t="s">
        <v>688</v>
      </c>
      <c r="M251" s="369"/>
      <c r="N251" s="369"/>
      <c r="P251" s="363" t="s">
        <v>676</v>
      </c>
      <c r="Q251" s="364"/>
      <c r="R251" s="365"/>
      <c r="S251" s="1173" t="s">
        <v>677</v>
      </c>
      <c r="T251" s="1157" t="s">
        <v>678</v>
      </c>
      <c r="U251" s="1158"/>
      <c r="V251" s="1157" t="s">
        <v>679</v>
      </c>
      <c r="W251" s="1158"/>
      <c r="X251" s="1157" t="s">
        <v>680</v>
      </c>
      <c r="Y251" s="1158"/>
      <c r="Z251" s="1157" t="s">
        <v>681</v>
      </c>
      <c r="AA251" s="1158"/>
      <c r="AB251" s="1157" t="s">
        <v>682</v>
      </c>
      <c r="AC251" s="1158"/>
      <c r="AE251" s="363" t="s">
        <v>683</v>
      </c>
      <c r="AF251" s="364"/>
      <c r="AG251" s="365"/>
      <c r="AH251" s="1173" t="s">
        <v>677</v>
      </c>
      <c r="AI251" s="1157" t="s">
        <v>678</v>
      </c>
      <c r="AJ251" s="1158"/>
      <c r="AK251" s="373" t="s">
        <v>689</v>
      </c>
      <c r="AL251" s="374" t="s">
        <v>690</v>
      </c>
      <c r="AM251" s="373" t="s">
        <v>689</v>
      </c>
      <c r="AN251" s="374" t="s">
        <v>690</v>
      </c>
      <c r="AO251" s="373" t="s">
        <v>689</v>
      </c>
      <c r="AP251" s="374" t="s">
        <v>690</v>
      </c>
      <c r="AQ251" s="373" t="s">
        <v>689</v>
      </c>
      <c r="AR251" s="374" t="s">
        <v>690</v>
      </c>
    </row>
    <row r="252" spans="1:44" outlineLevel="1">
      <c r="B252" s="499" t="s">
        <v>691</v>
      </c>
      <c r="C252" s="667">
        <v>116.18960947726835</v>
      </c>
      <c r="D252" s="667">
        <v>116.18960947726835</v>
      </c>
      <c r="E252" s="668">
        <v>116.18960947726835</v>
      </c>
      <c r="F252" s="667">
        <v>116.18960947726835</v>
      </c>
      <c r="G252" s="500">
        <v>88</v>
      </c>
      <c r="H252" s="500">
        <v>117</v>
      </c>
      <c r="I252" s="500">
        <v>88</v>
      </c>
      <c r="J252" s="500">
        <v>117</v>
      </c>
      <c r="K252" s="502" t="s">
        <v>945</v>
      </c>
      <c r="L252" s="503">
        <v>11</v>
      </c>
      <c r="M252" s="369"/>
      <c r="N252" s="369"/>
      <c r="P252" s="1177" t="s">
        <v>0</v>
      </c>
      <c r="Q252" s="367"/>
      <c r="R252" s="367"/>
      <c r="S252" s="1174"/>
      <c r="T252" s="1159"/>
      <c r="U252" s="1160"/>
      <c r="V252" s="1159"/>
      <c r="W252" s="1160"/>
      <c r="X252" s="1159"/>
      <c r="Y252" s="1160"/>
      <c r="Z252" s="1159"/>
      <c r="AA252" s="1160"/>
      <c r="AB252" s="1159"/>
      <c r="AC252" s="1160"/>
      <c r="AE252" s="1177" t="s">
        <v>0</v>
      </c>
      <c r="AF252" s="367"/>
      <c r="AG252" s="367"/>
      <c r="AH252" s="1174"/>
      <c r="AI252" s="1159"/>
      <c r="AJ252" s="1160"/>
      <c r="AK252" s="1154">
        <v>0</v>
      </c>
      <c r="AL252" s="1148">
        <v>0</v>
      </c>
      <c r="AM252" s="1154">
        <v>0</v>
      </c>
      <c r="AN252" s="1148">
        <v>0</v>
      </c>
      <c r="AO252" s="1154">
        <v>0</v>
      </c>
      <c r="AP252" s="1148">
        <v>0</v>
      </c>
      <c r="AQ252" s="1154">
        <v>0</v>
      </c>
      <c r="AR252" s="1148">
        <v>0</v>
      </c>
    </row>
    <row r="253" spans="1:44" outlineLevel="1">
      <c r="B253" s="382" t="s">
        <v>695</v>
      </c>
      <c r="C253" s="576">
        <v>116.18960947726835</v>
      </c>
      <c r="D253" s="576">
        <v>116.18960947726835</v>
      </c>
      <c r="E253" s="576">
        <v>116.18960947726835</v>
      </c>
      <c r="F253" s="576">
        <v>116.18960947726835</v>
      </c>
      <c r="G253" s="504">
        <v>88</v>
      </c>
      <c r="H253" s="504">
        <v>117</v>
      </c>
      <c r="I253" s="504">
        <v>88</v>
      </c>
      <c r="J253" s="504">
        <v>117</v>
      </c>
      <c r="K253" s="371" t="s">
        <v>945</v>
      </c>
      <c r="L253" s="372">
        <v>11</v>
      </c>
      <c r="M253" s="369"/>
      <c r="N253" s="369"/>
      <c r="P253" s="1178"/>
      <c r="Q253" s="1180" t="s">
        <v>685</v>
      </c>
      <c r="R253" s="1181" t="s">
        <v>686</v>
      </c>
      <c r="S253" s="1175"/>
      <c r="T253" s="1159"/>
      <c r="U253" s="1160"/>
      <c r="V253" s="1159"/>
      <c r="W253" s="1160"/>
      <c r="X253" s="1159"/>
      <c r="Y253" s="1160"/>
      <c r="Z253" s="1159"/>
      <c r="AA253" s="1160"/>
      <c r="AB253" s="1159"/>
      <c r="AC253" s="1160"/>
      <c r="AE253" s="1178"/>
      <c r="AF253" s="1194" t="s">
        <v>685</v>
      </c>
      <c r="AG253" s="1181" t="s">
        <v>686</v>
      </c>
      <c r="AH253" s="1175"/>
      <c r="AI253" s="1159"/>
      <c r="AJ253" s="1160"/>
      <c r="AK253" s="1155"/>
      <c r="AL253" s="1149"/>
      <c r="AM253" s="1155"/>
      <c r="AN253" s="1149"/>
      <c r="AO253" s="1155"/>
      <c r="AP253" s="1149"/>
      <c r="AQ253" s="1155"/>
      <c r="AR253" s="1149"/>
    </row>
    <row r="254" spans="1:44" ht="14.55" customHeight="1" outlineLevel="1" thickBot="1">
      <c r="B254" s="499" t="s">
        <v>697</v>
      </c>
      <c r="C254" s="505">
        <v>2.2999999999999998</v>
      </c>
      <c r="D254" s="506">
        <v>2.2999999999999998</v>
      </c>
      <c r="E254" s="506">
        <v>2.2999999999999998</v>
      </c>
      <c r="F254" s="507">
        <v>2.2999999999999998</v>
      </c>
      <c r="G254" s="506">
        <v>2.2000000000000002</v>
      </c>
      <c r="H254" s="506">
        <v>2.5</v>
      </c>
      <c r="I254" s="506">
        <v>1.8</v>
      </c>
      <c r="J254" s="506">
        <v>2.5</v>
      </c>
      <c r="K254" s="502" t="s">
        <v>59</v>
      </c>
      <c r="L254" s="503">
        <v>3</v>
      </c>
      <c r="M254" s="369"/>
      <c r="N254" s="369"/>
      <c r="O254" s="74"/>
      <c r="P254" s="1179"/>
      <c r="Q254" s="1176"/>
      <c r="R254" s="1182"/>
      <c r="S254" s="1176"/>
      <c r="T254" s="373" t="s">
        <v>689</v>
      </c>
      <c r="U254" s="374" t="s">
        <v>690</v>
      </c>
      <c r="V254" s="373" t="s">
        <v>689</v>
      </c>
      <c r="W254" s="374" t="s">
        <v>690</v>
      </c>
      <c r="X254" s="373" t="s">
        <v>689</v>
      </c>
      <c r="Y254" s="374" t="s">
        <v>690</v>
      </c>
      <c r="Z254" s="373" t="s">
        <v>689</v>
      </c>
      <c r="AA254" s="374" t="s">
        <v>690</v>
      </c>
      <c r="AB254" s="373" t="s">
        <v>689</v>
      </c>
      <c r="AC254" s="374" t="s">
        <v>690</v>
      </c>
      <c r="AE254" s="1179"/>
      <c r="AF254" s="1195"/>
      <c r="AG254" s="1182"/>
      <c r="AH254" s="1176"/>
      <c r="AI254" s="373" t="s">
        <v>689</v>
      </c>
      <c r="AJ254" s="374" t="s">
        <v>690</v>
      </c>
      <c r="AK254" s="1156"/>
      <c r="AL254" s="1150"/>
      <c r="AM254" s="1156"/>
      <c r="AN254" s="1150"/>
      <c r="AO254" s="1156"/>
      <c r="AP254" s="1150"/>
      <c r="AQ254" s="1156"/>
      <c r="AR254" s="1150"/>
    </row>
    <row r="255" spans="1:44" outlineLevel="1">
      <c r="B255" s="499" t="s">
        <v>637</v>
      </c>
      <c r="C255" s="686">
        <v>3</v>
      </c>
      <c r="D255" s="686">
        <v>3</v>
      </c>
      <c r="E255" s="686">
        <v>3</v>
      </c>
      <c r="F255" s="686">
        <v>3</v>
      </c>
      <c r="G255" s="686">
        <v>3</v>
      </c>
      <c r="H255" s="686">
        <v>3</v>
      </c>
      <c r="I255" s="686">
        <v>3</v>
      </c>
      <c r="J255" s="686">
        <v>3</v>
      </c>
      <c r="K255" s="502" t="s">
        <v>16</v>
      </c>
      <c r="L255" s="503">
        <v>3</v>
      </c>
      <c r="M255" s="369"/>
      <c r="N255" s="369"/>
      <c r="P255" s="1196" t="str">
        <f>C248</f>
        <v>Hot water boiler, Wood chips (Condensing)</v>
      </c>
      <c r="Q255" s="1151" t="s">
        <v>693</v>
      </c>
      <c r="R255" s="380" t="s">
        <v>694</v>
      </c>
      <c r="S255" s="381"/>
      <c r="T255" s="1134">
        <v>0</v>
      </c>
      <c r="U255" s="1148">
        <v>0</v>
      </c>
      <c r="V255" s="1154">
        <v>0</v>
      </c>
      <c r="W255" s="1148">
        <v>0</v>
      </c>
      <c r="X255" s="1154">
        <v>0</v>
      </c>
      <c r="Y255" s="1148">
        <v>0</v>
      </c>
      <c r="Z255" s="1154">
        <v>0</v>
      </c>
      <c r="AA255" s="1148">
        <v>0</v>
      </c>
      <c r="AB255" s="1154">
        <v>0</v>
      </c>
      <c r="AC255" s="1148">
        <v>0</v>
      </c>
      <c r="AE255" s="1145" t="str">
        <f>P255</f>
        <v>Hot water boiler, Wood chips (Condensing)</v>
      </c>
      <c r="AF255" s="1151" t="s">
        <v>693</v>
      </c>
      <c r="AG255" s="380" t="s">
        <v>694</v>
      </c>
      <c r="AH255" s="381"/>
      <c r="AI255" s="1134">
        <v>0</v>
      </c>
      <c r="AJ255" s="1148">
        <v>0</v>
      </c>
      <c r="AK255" s="1134">
        <v>0</v>
      </c>
      <c r="AL255" s="1134">
        <f>W258/4</f>
        <v>0</v>
      </c>
      <c r="AM255" s="1134">
        <v>0</v>
      </c>
      <c r="AN255" s="1134">
        <f>Y258/4</f>
        <v>0</v>
      </c>
      <c r="AO255" s="1134">
        <v>0</v>
      </c>
      <c r="AP255" s="1134">
        <f>AA258/4</f>
        <v>1.4999999999999999E-2</v>
      </c>
      <c r="AQ255" s="1134">
        <v>0</v>
      </c>
      <c r="AR255" s="1148">
        <f>AC258/4</f>
        <v>0</v>
      </c>
    </row>
    <row r="256" spans="1:44" outlineLevel="1">
      <c r="B256" s="499" t="s">
        <v>638</v>
      </c>
      <c r="C256" s="505">
        <v>3</v>
      </c>
      <c r="D256" s="505">
        <v>3</v>
      </c>
      <c r="E256" s="505">
        <v>3</v>
      </c>
      <c r="F256" s="505">
        <v>3</v>
      </c>
      <c r="G256" s="505">
        <v>2.6</v>
      </c>
      <c r="H256" s="505">
        <v>3.5</v>
      </c>
      <c r="I256" s="505">
        <v>2.2999999999999998</v>
      </c>
      <c r="J256" s="505">
        <v>3.8</v>
      </c>
      <c r="K256" s="502" t="s">
        <v>16</v>
      </c>
      <c r="L256" s="503">
        <v>3</v>
      </c>
      <c r="M256" s="366"/>
      <c r="N256" s="366"/>
      <c r="O256" s="71"/>
      <c r="P256" s="1192"/>
      <c r="Q256" s="1152"/>
      <c r="R256" s="387" t="s">
        <v>696</v>
      </c>
      <c r="S256" s="388"/>
      <c r="T256" s="1137"/>
      <c r="U256" s="1149"/>
      <c r="V256" s="1155"/>
      <c r="W256" s="1149"/>
      <c r="X256" s="1155"/>
      <c r="Y256" s="1149"/>
      <c r="Z256" s="1155"/>
      <c r="AA256" s="1149"/>
      <c r="AB256" s="1155"/>
      <c r="AC256" s="1149"/>
      <c r="AE256" s="1192"/>
      <c r="AF256" s="1152"/>
      <c r="AG256" s="387" t="s">
        <v>696</v>
      </c>
      <c r="AH256" s="388"/>
      <c r="AI256" s="1137"/>
      <c r="AJ256" s="1149"/>
      <c r="AK256" s="1188"/>
      <c r="AL256" s="1188"/>
      <c r="AM256" s="1188"/>
      <c r="AN256" s="1188"/>
      <c r="AO256" s="1188"/>
      <c r="AP256" s="1188"/>
      <c r="AQ256" s="1188"/>
      <c r="AR256" s="1190"/>
    </row>
    <row r="257" spans="1:44" ht="15" outlineLevel="1" thickBot="1">
      <c r="B257" s="382" t="s">
        <v>11</v>
      </c>
      <c r="C257" s="396">
        <v>25</v>
      </c>
      <c r="D257" s="396">
        <v>25</v>
      </c>
      <c r="E257" s="396">
        <v>25</v>
      </c>
      <c r="F257" s="396">
        <v>25</v>
      </c>
      <c r="G257" s="398">
        <v>20</v>
      </c>
      <c r="H257" s="398">
        <v>35</v>
      </c>
      <c r="I257" s="398">
        <v>20</v>
      </c>
      <c r="J257" s="398">
        <v>35</v>
      </c>
      <c r="K257" s="371"/>
      <c r="L257" s="372" t="s">
        <v>703</v>
      </c>
      <c r="M257" s="362"/>
      <c r="N257" s="362"/>
      <c r="O257" s="71"/>
      <c r="P257" s="1192"/>
      <c r="Q257" s="1153"/>
      <c r="R257" s="392" t="s">
        <v>698</v>
      </c>
      <c r="S257" s="393"/>
      <c r="T257" s="1138"/>
      <c r="U257" s="1150"/>
      <c r="V257" s="1156"/>
      <c r="W257" s="1150"/>
      <c r="X257" s="1156"/>
      <c r="Y257" s="1150"/>
      <c r="Z257" s="1156"/>
      <c r="AA257" s="1150"/>
      <c r="AB257" s="1156"/>
      <c r="AC257" s="1150"/>
      <c r="AE257" s="1192"/>
      <c r="AF257" s="1153"/>
      <c r="AG257" s="392" t="s">
        <v>698</v>
      </c>
      <c r="AH257" s="393"/>
      <c r="AI257" s="1138"/>
      <c r="AJ257" s="1150"/>
      <c r="AK257" s="1188"/>
      <c r="AL257" s="1188"/>
      <c r="AM257" s="1188"/>
      <c r="AN257" s="1188"/>
      <c r="AO257" s="1188"/>
      <c r="AP257" s="1188"/>
      <c r="AQ257" s="1188"/>
      <c r="AR257" s="1190"/>
    </row>
    <row r="258" spans="1:44" ht="15" outlineLevel="1" thickBot="1">
      <c r="B258" s="499" t="s">
        <v>273</v>
      </c>
      <c r="C258" s="505">
        <v>1</v>
      </c>
      <c r="D258" s="505">
        <v>1</v>
      </c>
      <c r="E258" s="505">
        <v>1</v>
      </c>
      <c r="F258" s="505">
        <v>1</v>
      </c>
      <c r="G258" s="505">
        <v>0.5</v>
      </c>
      <c r="H258" s="505">
        <v>1.5</v>
      </c>
      <c r="I258" s="505">
        <v>0.5</v>
      </c>
      <c r="J258" s="505">
        <v>1.5</v>
      </c>
      <c r="K258" s="371"/>
      <c r="L258" s="399"/>
      <c r="M258" s="362"/>
      <c r="N258" s="362"/>
      <c r="O258" s="71"/>
      <c r="P258" s="1192"/>
      <c r="Q258" s="1151" t="s">
        <v>699</v>
      </c>
      <c r="R258" s="394" t="s">
        <v>700</v>
      </c>
      <c r="S258" s="395" t="s">
        <v>701</v>
      </c>
      <c r="T258" s="1134">
        <v>0</v>
      </c>
      <c r="U258" s="1134">
        <v>0.17</v>
      </c>
      <c r="V258" s="1134">
        <v>0</v>
      </c>
      <c r="W258" s="1134">
        <v>0</v>
      </c>
      <c r="X258" s="1134">
        <v>0</v>
      </c>
      <c r="Y258" s="1134">
        <v>0</v>
      </c>
      <c r="Z258" s="1134">
        <v>0</v>
      </c>
      <c r="AA258" s="1134">
        <v>0.06</v>
      </c>
      <c r="AB258" s="1134">
        <v>0</v>
      </c>
      <c r="AC258" s="1148">
        <v>0</v>
      </c>
      <c r="AE258" s="1192"/>
      <c r="AF258" s="1151" t="s">
        <v>699</v>
      </c>
      <c r="AG258" s="394" t="s">
        <v>700</v>
      </c>
      <c r="AH258" s="395" t="s">
        <v>701</v>
      </c>
      <c r="AI258" s="1134">
        <v>0</v>
      </c>
      <c r="AJ258" s="1134">
        <f>U258/4</f>
        <v>4.2500000000000003E-2</v>
      </c>
      <c r="AK258" s="1188"/>
      <c r="AL258" s="1188"/>
      <c r="AM258" s="1188"/>
      <c r="AN258" s="1188"/>
      <c r="AO258" s="1188"/>
      <c r="AP258" s="1188"/>
      <c r="AQ258" s="1188"/>
      <c r="AR258" s="1190"/>
    </row>
    <row r="259" spans="1:44" ht="15" outlineLevel="1" thickBot="1">
      <c r="B259" s="400" t="s">
        <v>706</v>
      </c>
      <c r="C259" s="401"/>
      <c r="D259" s="402"/>
      <c r="E259" s="403"/>
      <c r="F259" s="404"/>
      <c r="G259" s="405"/>
      <c r="H259" s="405"/>
      <c r="I259" s="405"/>
      <c r="J259" s="405"/>
      <c r="K259" s="406"/>
      <c r="L259" s="407"/>
      <c r="M259" s="362"/>
      <c r="N259" s="362"/>
      <c r="O259" s="71"/>
      <c r="P259" s="1192"/>
      <c r="Q259" s="1152"/>
      <c r="R259" s="394" t="s">
        <v>702</v>
      </c>
      <c r="S259" s="395" t="s">
        <v>701</v>
      </c>
      <c r="T259" s="1188"/>
      <c r="U259" s="1188"/>
      <c r="V259" s="1188"/>
      <c r="W259" s="1188"/>
      <c r="X259" s="1188"/>
      <c r="Y259" s="1188"/>
      <c r="Z259" s="1188"/>
      <c r="AA259" s="1188"/>
      <c r="AB259" s="1188"/>
      <c r="AC259" s="1190"/>
      <c r="AE259" s="1192"/>
      <c r="AF259" s="1152"/>
      <c r="AG259" s="394" t="s">
        <v>702</v>
      </c>
      <c r="AH259" s="395" t="s">
        <v>701</v>
      </c>
      <c r="AI259" s="1188"/>
      <c r="AJ259" s="1188"/>
      <c r="AK259" s="1189"/>
      <c r="AL259" s="1189"/>
      <c r="AM259" s="1189"/>
      <c r="AN259" s="1189"/>
      <c r="AO259" s="1189"/>
      <c r="AP259" s="1189"/>
      <c r="AQ259" s="1189"/>
      <c r="AR259" s="1191"/>
    </row>
    <row r="260" spans="1:44" ht="15" outlineLevel="1" thickBot="1">
      <c r="B260" s="499" t="s">
        <v>643</v>
      </c>
      <c r="C260" s="505">
        <v>20</v>
      </c>
      <c r="D260" s="505">
        <v>20</v>
      </c>
      <c r="E260" s="505">
        <v>20</v>
      </c>
      <c r="F260" s="505">
        <v>20</v>
      </c>
      <c r="G260" s="506"/>
      <c r="H260" s="506"/>
      <c r="I260" s="506"/>
      <c r="J260" s="506"/>
      <c r="K260" s="502"/>
      <c r="L260" s="503">
        <v>3</v>
      </c>
      <c r="M260" s="362"/>
      <c r="N260" s="362"/>
      <c r="P260" s="1192"/>
      <c r="Q260" s="1152"/>
      <c r="R260" s="394" t="s">
        <v>704</v>
      </c>
      <c r="S260" s="395"/>
      <c r="T260" s="1188"/>
      <c r="U260" s="1188"/>
      <c r="V260" s="1188"/>
      <c r="W260" s="1188"/>
      <c r="X260" s="1188"/>
      <c r="Y260" s="1188"/>
      <c r="Z260" s="1188"/>
      <c r="AA260" s="1188"/>
      <c r="AB260" s="1188"/>
      <c r="AC260" s="1190"/>
      <c r="AE260" s="1192"/>
      <c r="AF260" s="1152"/>
      <c r="AG260" s="394" t="s">
        <v>704</v>
      </c>
      <c r="AH260" s="628" t="s">
        <v>701</v>
      </c>
      <c r="AI260" s="1188"/>
      <c r="AJ260" s="1188"/>
      <c r="AK260" s="415">
        <v>0</v>
      </c>
      <c r="AL260" s="414">
        <v>0</v>
      </c>
      <c r="AM260" s="415">
        <v>0</v>
      </c>
      <c r="AN260" s="414">
        <v>0</v>
      </c>
      <c r="AO260" s="415">
        <v>1</v>
      </c>
      <c r="AP260" s="414">
        <v>1</v>
      </c>
      <c r="AQ260" s="415">
        <v>0</v>
      </c>
      <c r="AR260" s="416">
        <v>0</v>
      </c>
    </row>
    <row r="261" spans="1:44" outlineLevel="1">
      <c r="B261" s="499" t="s">
        <v>644</v>
      </c>
      <c r="C261" s="505">
        <v>0.3</v>
      </c>
      <c r="D261" s="505">
        <v>0.3</v>
      </c>
      <c r="E261" s="505">
        <v>0.3</v>
      </c>
      <c r="F261" s="505">
        <v>0.3</v>
      </c>
      <c r="G261" s="508"/>
      <c r="H261" s="508"/>
      <c r="I261" s="508"/>
      <c r="J261" s="508"/>
      <c r="K261" s="509"/>
      <c r="L261" s="503">
        <v>3</v>
      </c>
      <c r="M261" s="362"/>
      <c r="N261" s="362"/>
      <c r="P261" s="1192"/>
      <c r="Q261" s="1152"/>
      <c r="R261" s="394" t="s">
        <v>705</v>
      </c>
      <c r="S261" s="395" t="s">
        <v>701</v>
      </c>
      <c r="T261" s="1188"/>
      <c r="U261" s="1188"/>
      <c r="V261" s="1188"/>
      <c r="W261" s="1188"/>
      <c r="X261" s="1188"/>
      <c r="Y261" s="1188"/>
      <c r="Z261" s="1188"/>
      <c r="AA261" s="1188"/>
      <c r="AB261" s="1188"/>
      <c r="AC261" s="1190"/>
      <c r="AE261" s="1192"/>
      <c r="AF261" s="1152"/>
      <c r="AG261" s="394" t="s">
        <v>705</v>
      </c>
      <c r="AH261" s="395"/>
      <c r="AI261" s="1188"/>
      <c r="AJ261" s="1188"/>
    </row>
    <row r="262" spans="1:44" ht="15" outlineLevel="1" thickBot="1">
      <c r="B262" s="499" t="s">
        <v>646</v>
      </c>
      <c r="C262" s="505">
        <v>0.5</v>
      </c>
      <c r="D262" s="505">
        <v>0.5</v>
      </c>
      <c r="E262" s="505">
        <v>0.5</v>
      </c>
      <c r="F262" s="505">
        <v>0.5</v>
      </c>
      <c r="G262" s="508"/>
      <c r="H262" s="508"/>
      <c r="I262" s="508"/>
      <c r="J262" s="508"/>
      <c r="K262" s="509"/>
      <c r="L262" s="503">
        <v>3</v>
      </c>
      <c r="M262" s="419"/>
      <c r="N262" s="362"/>
      <c r="P262" s="1192"/>
      <c r="Q262" s="1153"/>
      <c r="R262" s="408" t="s">
        <v>826</v>
      </c>
      <c r="S262" s="409" t="s">
        <v>701</v>
      </c>
      <c r="T262" s="1189"/>
      <c r="U262" s="1189"/>
      <c r="V262" s="1189"/>
      <c r="W262" s="1189"/>
      <c r="X262" s="1189"/>
      <c r="Y262" s="1189"/>
      <c r="Z262" s="1189"/>
      <c r="AA262" s="1189"/>
      <c r="AB262" s="1189"/>
      <c r="AC262" s="1191"/>
      <c r="AE262" s="1192"/>
      <c r="AF262" s="1153"/>
      <c r="AG262" s="408" t="s">
        <v>826</v>
      </c>
      <c r="AH262" s="409" t="s">
        <v>701</v>
      </c>
      <c r="AI262" s="1189"/>
      <c r="AJ262" s="1189"/>
    </row>
    <row r="263" spans="1:44" ht="29.4" outlineLevel="1" thickBot="1">
      <c r="B263" s="420" t="s">
        <v>12</v>
      </c>
      <c r="C263" s="398"/>
      <c r="D263" s="398"/>
      <c r="E263" s="398"/>
      <c r="F263" s="398"/>
      <c r="G263" s="421"/>
      <c r="H263" s="421"/>
      <c r="I263" s="421"/>
      <c r="J263" s="421"/>
      <c r="K263" s="422"/>
      <c r="L263" s="423"/>
      <c r="M263" s="419"/>
      <c r="N263" s="419"/>
      <c r="P263" s="1193"/>
      <c r="Q263" s="410" t="s">
        <v>708</v>
      </c>
      <c r="R263" s="411" t="s">
        <v>709</v>
      </c>
      <c r="S263" s="629" t="s">
        <v>701</v>
      </c>
      <c r="T263" s="415">
        <v>1</v>
      </c>
      <c r="U263" s="414">
        <v>1</v>
      </c>
      <c r="V263" s="415">
        <v>0</v>
      </c>
      <c r="W263" s="414">
        <v>0</v>
      </c>
      <c r="X263" s="415">
        <v>0</v>
      </c>
      <c r="Y263" s="414">
        <v>0</v>
      </c>
      <c r="Z263" s="415">
        <v>1</v>
      </c>
      <c r="AA263" s="414">
        <v>1</v>
      </c>
      <c r="AB263" s="415">
        <v>0</v>
      </c>
      <c r="AC263" s="416">
        <v>0</v>
      </c>
      <c r="AE263" s="1193"/>
      <c r="AF263" s="410" t="s">
        <v>708</v>
      </c>
      <c r="AG263" s="630" t="s">
        <v>709</v>
      </c>
      <c r="AH263" s="631" t="s">
        <v>701</v>
      </c>
      <c r="AI263" s="415">
        <v>1</v>
      </c>
      <c r="AJ263" s="414">
        <v>1</v>
      </c>
    </row>
    <row r="264" spans="1:44" outlineLevel="1">
      <c r="B264" s="382" t="s">
        <v>806</v>
      </c>
      <c r="C264" s="396">
        <v>11</v>
      </c>
      <c r="D264" s="396">
        <v>11</v>
      </c>
      <c r="E264" s="396">
        <v>11</v>
      </c>
      <c r="F264" s="396">
        <v>11</v>
      </c>
      <c r="G264" s="421"/>
      <c r="H264" s="424"/>
      <c r="I264" s="424"/>
      <c r="J264" s="424"/>
      <c r="K264" s="425" t="s">
        <v>20</v>
      </c>
      <c r="L264" s="426" t="s">
        <v>711</v>
      </c>
      <c r="M264" s="427"/>
      <c r="N264" s="427"/>
    </row>
    <row r="265" spans="1:44" outlineLevel="1">
      <c r="B265" s="382" t="s">
        <v>712</v>
      </c>
      <c r="C265" s="396">
        <v>10</v>
      </c>
      <c r="D265" s="396">
        <v>10</v>
      </c>
      <c r="E265" s="396">
        <v>10</v>
      </c>
      <c r="F265" s="396">
        <v>10</v>
      </c>
      <c r="G265" s="424"/>
      <c r="H265" s="424"/>
      <c r="I265" s="424"/>
      <c r="J265" s="424"/>
      <c r="K265" s="422"/>
      <c r="L265" s="426">
        <v>9</v>
      </c>
      <c r="M265" s="427"/>
      <c r="N265" s="427"/>
    </row>
    <row r="266" spans="1:44" outlineLevel="1">
      <c r="B266" s="382" t="s">
        <v>807</v>
      </c>
      <c r="C266" s="396">
        <v>63</v>
      </c>
      <c r="D266" s="396">
        <v>49</v>
      </c>
      <c r="E266" s="396">
        <v>46</v>
      </c>
      <c r="F266" s="396">
        <v>41</v>
      </c>
      <c r="G266" s="424"/>
      <c r="H266" s="424"/>
      <c r="I266" s="424"/>
      <c r="J266" s="424"/>
      <c r="K266" s="422"/>
      <c r="L266" s="426" t="s">
        <v>711</v>
      </c>
      <c r="M266" s="427"/>
      <c r="N266" s="427"/>
    </row>
    <row r="267" spans="1:44" outlineLevel="1">
      <c r="B267" s="382" t="s">
        <v>366</v>
      </c>
      <c r="C267" s="396">
        <v>11</v>
      </c>
      <c r="D267" s="396">
        <v>8</v>
      </c>
      <c r="E267" s="396">
        <v>6</v>
      </c>
      <c r="F267" s="396">
        <v>4</v>
      </c>
      <c r="G267" s="424"/>
      <c r="H267" s="424"/>
      <c r="I267" s="424"/>
      <c r="J267" s="424"/>
      <c r="K267" s="422"/>
      <c r="L267" s="426" t="s">
        <v>711</v>
      </c>
      <c r="M267" s="427"/>
      <c r="N267" s="427"/>
    </row>
    <row r="268" spans="1:44" ht="15" outlineLevel="1" thickBot="1">
      <c r="B268" s="428" t="s">
        <v>367</v>
      </c>
      <c r="C268" s="625">
        <v>3</v>
      </c>
      <c r="D268" s="625">
        <v>3</v>
      </c>
      <c r="E268" s="625">
        <v>1</v>
      </c>
      <c r="F268" s="625">
        <v>1</v>
      </c>
      <c r="G268" s="424"/>
      <c r="H268" s="424"/>
      <c r="I268" s="424"/>
      <c r="J268" s="424"/>
      <c r="K268" s="422"/>
      <c r="L268" s="426" t="s">
        <v>711</v>
      </c>
      <c r="M268" s="427"/>
      <c r="N268" s="427"/>
    </row>
    <row r="269" spans="1:44" ht="15" outlineLevel="1" thickBot="1">
      <c r="B269" s="430" t="s">
        <v>654</v>
      </c>
      <c r="C269" s="431"/>
      <c r="D269" s="402"/>
      <c r="E269" s="402"/>
      <c r="F269" s="432"/>
      <c r="G269" s="433"/>
      <c r="H269" s="405"/>
      <c r="I269" s="405"/>
      <c r="J269" s="405"/>
      <c r="K269" s="406"/>
      <c r="L269" s="407"/>
      <c r="M269" s="427"/>
      <c r="N269" s="427"/>
    </row>
    <row r="270" spans="1:44" ht="26.4" outlineLevel="1">
      <c r="A270" s="434"/>
      <c r="B270" s="435" t="s">
        <v>873</v>
      </c>
      <c r="C270" s="550">
        <f>0.68</f>
        <v>0.68</v>
      </c>
      <c r="D270" s="646">
        <f>0.65</f>
        <v>0.65</v>
      </c>
      <c r="E270" s="646">
        <f>0.62</f>
        <v>0.62</v>
      </c>
      <c r="F270" s="647">
        <f>0.59</f>
        <v>0.59</v>
      </c>
      <c r="G270" s="424"/>
      <c r="H270" s="424"/>
      <c r="I270" s="424"/>
      <c r="J270" s="424"/>
      <c r="K270" s="425" t="s">
        <v>955</v>
      </c>
      <c r="L270" s="439" t="s">
        <v>716</v>
      </c>
      <c r="M270" s="419"/>
      <c r="N270" s="419"/>
    </row>
    <row r="271" spans="1:44" outlineLevel="1">
      <c r="B271" s="440" t="s">
        <v>802</v>
      </c>
      <c r="C271" s="441">
        <v>65</v>
      </c>
      <c r="D271" s="441">
        <v>65</v>
      </c>
      <c r="E271" s="441">
        <v>65</v>
      </c>
      <c r="F271" s="441">
        <v>65</v>
      </c>
      <c r="G271" s="424"/>
      <c r="H271" s="424"/>
      <c r="I271" s="424"/>
      <c r="J271" s="424"/>
      <c r="K271" s="443"/>
      <c r="L271" s="372">
        <v>3</v>
      </c>
      <c r="M271" s="71"/>
      <c r="N271" s="419"/>
    </row>
    <row r="272" spans="1:44" outlineLevel="1">
      <c r="B272" s="440" t="s">
        <v>803</v>
      </c>
      <c r="C272" s="441">
        <f>100-C271</f>
        <v>35</v>
      </c>
      <c r="D272" s="441">
        <f>100-D271</f>
        <v>35</v>
      </c>
      <c r="E272" s="441">
        <f>100-E271</f>
        <v>35</v>
      </c>
      <c r="F272" s="441">
        <f>100-F271</f>
        <v>35</v>
      </c>
      <c r="G272" s="424"/>
      <c r="H272" s="424"/>
      <c r="I272" s="424"/>
      <c r="J272" s="424"/>
      <c r="K272" s="443"/>
      <c r="L272" s="372">
        <v>3</v>
      </c>
      <c r="M272" s="419"/>
      <c r="N272" s="419"/>
    </row>
    <row r="273" spans="2:30" outlineLevel="1">
      <c r="B273" s="382" t="s">
        <v>804</v>
      </c>
      <c r="C273" s="444">
        <v>37000</v>
      </c>
      <c r="D273" s="445">
        <v>35900</v>
      </c>
      <c r="E273" s="445">
        <f>(F273+D273)/2</f>
        <v>34800</v>
      </c>
      <c r="F273" s="446">
        <v>33700</v>
      </c>
      <c r="G273" s="424"/>
      <c r="H273" s="424"/>
      <c r="I273" s="424"/>
      <c r="J273" s="424"/>
      <c r="K273" s="447" t="s">
        <v>33</v>
      </c>
      <c r="L273" s="372">
        <v>3</v>
      </c>
      <c r="M273" s="419"/>
      <c r="N273" s="419"/>
    </row>
    <row r="274" spans="2:30" outlineLevel="1">
      <c r="B274" s="382" t="s">
        <v>659</v>
      </c>
      <c r="C274" s="448">
        <f>C275+C276</f>
        <v>2.7789999999999999</v>
      </c>
      <c r="D274" s="448">
        <f t="shared" ref="D274:F274" si="29">D275+D276</f>
        <v>2.8250000000000002</v>
      </c>
      <c r="E274" s="448">
        <f t="shared" si="29"/>
        <v>2.8479999999999999</v>
      </c>
      <c r="F274" s="448">
        <f t="shared" si="29"/>
        <v>2.8479999999999999</v>
      </c>
      <c r="G274" s="424"/>
      <c r="H274" s="424"/>
      <c r="I274" s="424"/>
      <c r="J274" s="424"/>
      <c r="K274" s="447"/>
      <c r="L274" s="372">
        <v>3</v>
      </c>
      <c r="M274" s="449"/>
      <c r="N274" s="360"/>
    </row>
    <row r="275" spans="2:30" outlineLevel="1">
      <c r="B275" s="499" t="s">
        <v>721</v>
      </c>
      <c r="C275" s="513">
        <f>C254/100*73</f>
        <v>1.679</v>
      </c>
      <c r="D275" s="513">
        <f>D254/100*75</f>
        <v>1.7249999999999999</v>
      </c>
      <c r="E275" s="513">
        <f>E254/100*76</f>
        <v>1.748</v>
      </c>
      <c r="F275" s="513">
        <f>F254/100*76</f>
        <v>1.748</v>
      </c>
      <c r="G275" s="514"/>
      <c r="H275" s="514"/>
      <c r="I275" s="514"/>
      <c r="J275" s="514"/>
      <c r="K275" s="502" t="s">
        <v>51</v>
      </c>
      <c r="L275" s="503">
        <v>3</v>
      </c>
      <c r="M275" s="449"/>
      <c r="N275" s="360"/>
    </row>
    <row r="276" spans="2:30" outlineLevel="1">
      <c r="B276" s="499" t="s">
        <v>722</v>
      </c>
      <c r="C276" s="515">
        <v>1.1000000000000001</v>
      </c>
      <c r="D276" s="515">
        <v>1.1000000000000001</v>
      </c>
      <c r="E276" s="515">
        <v>1.1000000000000001</v>
      </c>
      <c r="F276" s="515">
        <v>1.1000000000000001</v>
      </c>
      <c r="G276" s="514"/>
      <c r="H276" s="514"/>
      <c r="I276" s="514"/>
      <c r="J276" s="514"/>
      <c r="K276" s="516"/>
      <c r="L276" s="503">
        <v>3</v>
      </c>
      <c r="M276" s="362"/>
      <c r="N276" s="362"/>
    </row>
    <row r="277" spans="2:30" outlineLevel="1">
      <c r="B277" s="440"/>
      <c r="C277" s="680"/>
      <c r="D277" s="680"/>
      <c r="E277" s="680"/>
      <c r="F277" s="680"/>
      <c r="G277" s="424"/>
      <c r="H277" s="424"/>
      <c r="I277" s="424"/>
      <c r="J277" s="424"/>
      <c r="K277" s="443"/>
      <c r="L277" s="423"/>
      <c r="M277" s="366"/>
      <c r="N277" s="366"/>
      <c r="P277" s="1139">
        <f>C274</f>
        <v>2.7789999999999999</v>
      </c>
      <c r="Q277" s="1140"/>
      <c r="R277" s="1140"/>
      <c r="S277" s="1140"/>
      <c r="T277" s="1140"/>
      <c r="U277" s="1141"/>
    </row>
    <row r="278" spans="2:30" ht="15" outlineLevel="1" thickBot="1">
      <c r="B278" s="518"/>
      <c r="C278" s="441"/>
      <c r="D278" s="519"/>
      <c r="E278" s="519"/>
      <c r="F278" s="520"/>
      <c r="G278" s="424"/>
      <c r="H278" s="424"/>
      <c r="I278" s="424"/>
      <c r="J278" s="424"/>
      <c r="K278" s="447"/>
      <c r="L278" s="423"/>
      <c r="M278" s="362"/>
      <c r="N278" s="362"/>
      <c r="P278" s="1131">
        <f>C275</f>
        <v>1.679</v>
      </c>
      <c r="Q278" s="1132"/>
      <c r="R278" s="1132"/>
      <c r="S278" s="1132"/>
      <c r="T278" s="1132"/>
      <c r="U278" s="1133"/>
    </row>
    <row r="279" spans="2:30" ht="15" outlineLevel="1" thickBot="1">
      <c r="B279" s="400" t="s">
        <v>662</v>
      </c>
      <c r="C279" s="401"/>
      <c r="D279" s="402"/>
      <c r="E279" s="403"/>
      <c r="F279" s="404"/>
      <c r="G279" s="405"/>
      <c r="H279" s="405"/>
      <c r="I279" s="405"/>
      <c r="J279" s="405"/>
      <c r="K279" s="458"/>
      <c r="L279" s="459"/>
      <c r="M279" s="362"/>
      <c r="N279" s="362"/>
      <c r="P279" s="53" t="s">
        <v>357</v>
      </c>
    </row>
    <row r="280" spans="2:30" ht="27.6" outlineLevel="1">
      <c r="B280" s="521" t="s">
        <v>725</v>
      </c>
      <c r="C280" s="669">
        <v>3.5000000000000003E-2</v>
      </c>
      <c r="D280" s="669">
        <v>0.03</v>
      </c>
      <c r="E280" s="669">
        <v>0.03</v>
      </c>
      <c r="F280" s="669">
        <v>0.03</v>
      </c>
      <c r="G280" s="523"/>
      <c r="H280" s="523"/>
      <c r="I280" s="523"/>
      <c r="J280" s="523"/>
      <c r="K280" s="523" t="s">
        <v>52</v>
      </c>
      <c r="L280" s="524"/>
      <c r="M280" s="362"/>
      <c r="N280" s="362"/>
      <c r="P280" s="46" t="s">
        <v>335</v>
      </c>
      <c r="Q280" s="46" t="s">
        <v>336</v>
      </c>
      <c r="R280" s="47" t="s">
        <v>337</v>
      </c>
      <c r="S280" s="47" t="s">
        <v>338</v>
      </c>
      <c r="T280" s="47" t="s">
        <v>339</v>
      </c>
      <c r="U280" s="48" t="s">
        <v>340</v>
      </c>
      <c r="V280" s="49" t="s">
        <v>341</v>
      </c>
      <c r="W280" s="49" t="s">
        <v>342</v>
      </c>
      <c r="X280" s="49" t="s">
        <v>343</v>
      </c>
      <c r="Y280" s="49" t="s">
        <v>344</v>
      </c>
      <c r="Z280" s="49" t="s">
        <v>345</v>
      </c>
      <c r="AA280" s="49" t="s">
        <v>346</v>
      </c>
      <c r="AB280" s="49" t="s">
        <v>347</v>
      </c>
      <c r="AC280" s="49" t="s">
        <v>348</v>
      </c>
      <c r="AD280" s="49" t="s">
        <v>349</v>
      </c>
    </row>
    <row r="281" spans="2:30" ht="15" outlineLevel="1" thickBot="1">
      <c r="B281" s="499" t="s">
        <v>726</v>
      </c>
      <c r="C281" s="525" t="s">
        <v>36</v>
      </c>
      <c r="D281" s="526" t="s">
        <v>36</v>
      </c>
      <c r="E281" s="526" t="s">
        <v>36</v>
      </c>
      <c r="F281" s="527" t="s">
        <v>36</v>
      </c>
      <c r="G281" s="527"/>
      <c r="H281" s="527"/>
      <c r="I281" s="527"/>
      <c r="J281" s="527"/>
      <c r="K281" s="528" t="s">
        <v>55</v>
      </c>
      <c r="L281" s="524"/>
      <c r="M281" s="362"/>
      <c r="N281" s="362"/>
      <c r="P281" s="50"/>
      <c r="Q281" s="50"/>
      <c r="R281" s="51"/>
      <c r="S281" s="51"/>
      <c r="T281" s="51"/>
      <c r="U281" s="51" t="s">
        <v>723</v>
      </c>
      <c r="V281" s="50" t="s">
        <v>724</v>
      </c>
      <c r="W281" s="50"/>
      <c r="X281" s="50"/>
      <c r="Y281" s="50"/>
      <c r="Z281" s="50"/>
      <c r="AA281" s="50"/>
      <c r="AB281" s="50"/>
      <c r="AC281" s="50"/>
      <c r="AD281" s="50"/>
    </row>
    <row r="282" spans="2:30" ht="43.2" outlineLevel="1">
      <c r="B282" s="499" t="s">
        <v>727</v>
      </c>
      <c r="C282" s="525" t="s">
        <v>36</v>
      </c>
      <c r="D282" s="526" t="s">
        <v>36</v>
      </c>
      <c r="E282" s="526" t="s">
        <v>36</v>
      </c>
      <c r="F282" s="527" t="s">
        <v>36</v>
      </c>
      <c r="G282" s="514"/>
      <c r="H282" s="514"/>
      <c r="I282" s="514"/>
      <c r="J282" s="514"/>
      <c r="K282" s="514"/>
      <c r="L282" s="503"/>
      <c r="M282" s="362"/>
      <c r="N282" s="362"/>
      <c r="O282" s="460" t="s">
        <v>695</v>
      </c>
      <c r="P282" s="56"/>
      <c r="Q282" s="56"/>
      <c r="R282" s="57"/>
      <c r="S282" s="57"/>
      <c r="T282" s="57"/>
      <c r="U282" s="56" t="s">
        <v>350</v>
      </c>
      <c r="V282" s="56" t="s">
        <v>326</v>
      </c>
      <c r="W282" s="56" t="s">
        <v>327</v>
      </c>
      <c r="X282" s="56" t="s">
        <v>351</v>
      </c>
      <c r="Y282" s="56" t="s">
        <v>351</v>
      </c>
      <c r="Z282" s="56" t="s">
        <v>352</v>
      </c>
      <c r="AA282" s="56" t="s">
        <v>352</v>
      </c>
      <c r="AB282" s="56" t="s">
        <v>352</v>
      </c>
      <c r="AC282" s="56" t="s">
        <v>352</v>
      </c>
      <c r="AD282" s="56" t="s">
        <v>352</v>
      </c>
    </row>
    <row r="283" spans="2:30" outlineLevel="1">
      <c r="B283" s="499" t="s">
        <v>728</v>
      </c>
      <c r="C283" s="684">
        <v>90</v>
      </c>
      <c r="D283" s="529">
        <v>90</v>
      </c>
      <c r="E283" s="529">
        <v>90</v>
      </c>
      <c r="F283" s="529">
        <v>90</v>
      </c>
      <c r="G283" s="530"/>
      <c r="H283" s="530"/>
      <c r="I283" s="530"/>
      <c r="J283" s="530"/>
      <c r="K283" s="530"/>
      <c r="L283" s="503">
        <v>3</v>
      </c>
      <c r="M283" s="362"/>
      <c r="N283" s="362"/>
      <c r="O283" s="464">
        <f>C253</f>
        <v>116.18960947726835</v>
      </c>
      <c r="P283" s="465">
        <f>C249</f>
        <v>2020</v>
      </c>
      <c r="Q283" s="58">
        <f>P283</f>
        <v>2020</v>
      </c>
      <c r="R283" s="465">
        <f>O283/100</f>
        <v>1.1618960947726835</v>
      </c>
      <c r="S283" s="58"/>
      <c r="T283" s="465">
        <f>C257</f>
        <v>25</v>
      </c>
      <c r="U283" s="466">
        <f>C287</f>
        <v>5066.0000000000009</v>
      </c>
      <c r="V283" s="466">
        <f>C289</f>
        <v>275.64999999999998</v>
      </c>
      <c r="W283" s="466">
        <f>C290</f>
        <v>5.7509861111111107</v>
      </c>
      <c r="X283" s="58"/>
      <c r="Y283" s="58"/>
      <c r="Z283" s="465">
        <f>C264</f>
        <v>11</v>
      </c>
      <c r="AA283" s="467">
        <f>C266</f>
        <v>63</v>
      </c>
      <c r="AB283" s="467">
        <f>C267</f>
        <v>11</v>
      </c>
      <c r="AC283" s="467">
        <f>C268</f>
        <v>3</v>
      </c>
      <c r="AD283" s="467">
        <f>C265</f>
        <v>10</v>
      </c>
    </row>
    <row r="284" spans="2:30" outlineLevel="1">
      <c r="B284" s="531" t="s">
        <v>729</v>
      </c>
      <c r="C284" s="525"/>
      <c r="D284" s="526"/>
      <c r="E284" s="526"/>
      <c r="F284" s="527"/>
      <c r="G284" s="530"/>
      <c r="H284" s="530"/>
      <c r="I284" s="530"/>
      <c r="J284" s="530"/>
      <c r="K284" s="530"/>
      <c r="L284" s="532"/>
      <c r="M284" s="366"/>
      <c r="N284" s="366"/>
      <c r="O284" s="464">
        <f>D253</f>
        <v>116.18960947726835</v>
      </c>
      <c r="P284" s="465">
        <f>D249</f>
        <v>2030</v>
      </c>
      <c r="Q284" s="58"/>
      <c r="R284" s="465">
        <f>O284/100</f>
        <v>1.1618960947726835</v>
      </c>
      <c r="S284" s="58"/>
      <c r="T284" s="465">
        <f>D257</f>
        <v>25</v>
      </c>
      <c r="U284" s="466">
        <f>D287</f>
        <v>4842.5</v>
      </c>
      <c r="V284" s="466">
        <f>D289</f>
        <v>267.45499999999998</v>
      </c>
      <c r="W284" s="466">
        <f>D290</f>
        <v>5.8461805555555557</v>
      </c>
      <c r="X284" s="58"/>
      <c r="Y284" s="58"/>
      <c r="Z284" s="465">
        <f>D264</f>
        <v>11</v>
      </c>
      <c r="AA284" s="467">
        <f>D266</f>
        <v>49</v>
      </c>
      <c r="AB284" s="467">
        <f>D267</f>
        <v>8</v>
      </c>
      <c r="AC284" s="467">
        <f>D268</f>
        <v>3</v>
      </c>
      <c r="AD284" s="467">
        <f>D265</f>
        <v>10</v>
      </c>
    </row>
    <row r="285" spans="2:30" outlineLevel="1">
      <c r="B285" s="531" t="s">
        <v>730</v>
      </c>
      <c r="C285" s="525"/>
      <c r="D285" s="526"/>
      <c r="E285" s="526"/>
      <c r="F285" s="527"/>
      <c r="G285" s="530"/>
      <c r="H285" s="530"/>
      <c r="I285" s="530"/>
      <c r="J285" s="530"/>
      <c r="K285" s="530"/>
      <c r="L285" s="532"/>
      <c r="M285" s="362"/>
      <c r="N285" s="362"/>
      <c r="O285" s="464">
        <f>E253</f>
        <v>116.18960947726835</v>
      </c>
      <c r="P285" s="465">
        <f>E249</f>
        <v>2040</v>
      </c>
      <c r="Q285" s="58"/>
      <c r="R285" s="465">
        <f>O285/100</f>
        <v>1.1618960947726835</v>
      </c>
      <c r="S285" s="58"/>
      <c r="T285" s="465">
        <f>E257</f>
        <v>25</v>
      </c>
      <c r="U285" s="466">
        <f>E287</f>
        <v>4619</v>
      </c>
      <c r="V285" s="466">
        <f>E289</f>
        <v>259.26</v>
      </c>
      <c r="W285" s="466">
        <f>E290</f>
        <v>5.8937777777777782</v>
      </c>
      <c r="X285" s="58"/>
      <c r="Y285" s="58"/>
      <c r="Z285" s="465">
        <f>E264</f>
        <v>11</v>
      </c>
      <c r="AA285" s="467">
        <f>E266</f>
        <v>46</v>
      </c>
      <c r="AB285" s="467">
        <f>E267</f>
        <v>6</v>
      </c>
      <c r="AC285" s="467">
        <f>E268</f>
        <v>1</v>
      </c>
      <c r="AD285" s="467">
        <f>E265</f>
        <v>10</v>
      </c>
    </row>
    <row r="286" spans="2:30" ht="15" outlineLevel="1" thickBot="1">
      <c r="B286" s="533" t="s">
        <v>731</v>
      </c>
      <c r="C286" s="534"/>
      <c r="D286" s="535"/>
      <c r="E286" s="535"/>
      <c r="F286" s="536"/>
      <c r="G286" s="537"/>
      <c r="H286" s="537"/>
      <c r="I286" s="537"/>
      <c r="J286" s="537"/>
      <c r="K286" s="537"/>
      <c r="L286" s="538"/>
      <c r="M286" s="362"/>
      <c r="N286" s="362"/>
      <c r="O286" s="464">
        <f>F253</f>
        <v>116.18960947726835</v>
      </c>
      <c r="P286" s="465">
        <f>F249</f>
        <v>2050</v>
      </c>
      <c r="Q286" s="58"/>
      <c r="R286" s="465">
        <f>O286/100</f>
        <v>1.1618960947726835</v>
      </c>
      <c r="S286" s="58"/>
      <c r="T286" s="465">
        <f>F257</f>
        <v>25</v>
      </c>
      <c r="U286" s="466">
        <f>F287</f>
        <v>4395.5</v>
      </c>
      <c r="V286" s="466">
        <f>F289</f>
        <v>251.065</v>
      </c>
      <c r="W286" s="466">
        <f>F290</f>
        <v>5.8937777777777782</v>
      </c>
      <c r="X286" s="58"/>
      <c r="Y286" s="58"/>
      <c r="Z286" s="465">
        <f>F264</f>
        <v>11</v>
      </c>
      <c r="AA286" s="467">
        <f>F266</f>
        <v>41</v>
      </c>
      <c r="AB286" s="467">
        <f>F267</f>
        <v>4</v>
      </c>
      <c r="AC286" s="467">
        <f>F268</f>
        <v>1</v>
      </c>
      <c r="AD286" s="467">
        <f>F265</f>
        <v>10</v>
      </c>
    </row>
    <row r="287" spans="2:30" ht="57.6" outlineLevel="1">
      <c r="B287" s="460" t="s">
        <v>732</v>
      </c>
      <c r="C287" s="482">
        <f>C270*$F$4*1000</f>
        <v>5066.0000000000009</v>
      </c>
      <c r="D287" s="482">
        <f t="shared" ref="D287:F287" si="30">D270*$F$4*1000</f>
        <v>4842.5</v>
      </c>
      <c r="E287" s="482">
        <f t="shared" si="30"/>
        <v>4619</v>
      </c>
      <c r="F287" s="482">
        <f t="shared" si="30"/>
        <v>4395.5</v>
      </c>
      <c r="G287" s="482"/>
      <c r="H287" s="483"/>
      <c r="I287" s="419" t="s">
        <v>332</v>
      </c>
      <c r="J287" s="419"/>
      <c r="K287" s="483"/>
      <c r="L287" s="483"/>
      <c r="N287" s="419"/>
    </row>
    <row r="288" spans="2:30" outlineLevel="1">
      <c r="B288" s="484" t="s">
        <v>733</v>
      </c>
      <c r="C288" s="485">
        <f>C287*$I288</f>
        <v>2533000.0000000005</v>
      </c>
      <c r="D288" s="485">
        <f>D287*$I288</f>
        <v>2421250</v>
      </c>
      <c r="E288" s="485">
        <f>E287*$I288</f>
        <v>2309500</v>
      </c>
      <c r="F288" s="485">
        <f>F287*$I288</f>
        <v>2197750</v>
      </c>
      <c r="G288" s="485"/>
      <c r="H288" s="483"/>
      <c r="I288" s="71">
        <v>500</v>
      </c>
      <c r="J288" s="419" t="s">
        <v>330</v>
      </c>
      <c r="K288" s="483"/>
      <c r="L288" s="483"/>
      <c r="N288" s="419"/>
    </row>
    <row r="289" spans="1:15" ht="43.2" outlineLevel="1">
      <c r="B289" s="460" t="s">
        <v>808</v>
      </c>
      <c r="C289" s="358">
        <f>C273*$F$4/1000</f>
        <v>275.64999999999998</v>
      </c>
      <c r="D289" s="358">
        <f t="shared" ref="D289:F289" si="31">D273*$F$4/1000</f>
        <v>267.45499999999998</v>
      </c>
      <c r="E289" s="358">
        <f t="shared" si="31"/>
        <v>259.26</v>
      </c>
      <c r="F289" s="358">
        <f t="shared" si="31"/>
        <v>251.065</v>
      </c>
      <c r="G289" s="358"/>
      <c r="I289" s="419" t="s">
        <v>333</v>
      </c>
      <c r="J289" s="419"/>
      <c r="N289" s="419"/>
    </row>
    <row r="290" spans="1:15" ht="43.2" outlineLevel="1">
      <c r="B290" s="460" t="s">
        <v>809</v>
      </c>
      <c r="C290" s="486">
        <f>C274*$F$4/3.6</f>
        <v>5.7509861111111107</v>
      </c>
      <c r="D290" s="486">
        <f t="shared" ref="D290:F290" si="32">D274*$F$4/3.6</f>
        <v>5.8461805555555557</v>
      </c>
      <c r="E290" s="486">
        <f t="shared" si="32"/>
        <v>5.8937777777777782</v>
      </c>
      <c r="F290" s="486">
        <f t="shared" si="32"/>
        <v>5.8937777777777782</v>
      </c>
      <c r="G290" s="358"/>
      <c r="M290" s="419"/>
      <c r="N290" s="419"/>
    </row>
    <row r="291" spans="1:15" outlineLevel="1">
      <c r="A291" s="487"/>
      <c r="B291" s="488"/>
      <c r="D291" s="489"/>
      <c r="E291" s="489"/>
      <c r="F291" s="489"/>
      <c r="G291" s="357"/>
      <c r="H291" s="357"/>
      <c r="I291" s="357"/>
      <c r="J291" s="357"/>
      <c r="K291" s="357"/>
      <c r="L291" s="357"/>
    </row>
    <row r="292" spans="1:15" outlineLevel="1">
      <c r="A292" s="490"/>
      <c r="B292" s="491"/>
      <c r="D292" s="489"/>
      <c r="E292" s="489"/>
      <c r="F292" s="489"/>
      <c r="G292" s="357"/>
      <c r="H292" s="357"/>
      <c r="I292" s="357"/>
      <c r="J292" s="357"/>
      <c r="K292" s="357"/>
      <c r="L292" s="357"/>
    </row>
    <row r="293" spans="1:15" outlineLevel="1">
      <c r="A293" s="490"/>
      <c r="B293" s="492"/>
      <c r="D293" s="489"/>
      <c r="E293" s="489"/>
      <c r="F293" s="489"/>
      <c r="G293" s="357"/>
      <c r="H293" s="357"/>
      <c r="I293" s="357"/>
      <c r="J293" s="357"/>
      <c r="K293" s="357"/>
      <c r="L293" s="357"/>
    </row>
    <row r="294" spans="1:15" outlineLevel="1">
      <c r="A294" s="490"/>
      <c r="B294" s="487" t="s">
        <v>736</v>
      </c>
      <c r="C294" s="488"/>
      <c r="E294" s="357"/>
      <c r="F294" s="489"/>
      <c r="G294" s="357"/>
      <c r="H294" s="357"/>
      <c r="I294" s="357"/>
      <c r="J294" s="357"/>
      <c r="K294" s="357"/>
      <c r="L294" s="357"/>
    </row>
    <row r="295" spans="1:15" outlineLevel="1">
      <c r="A295" s="490"/>
      <c r="B295" s="490">
        <v>1</v>
      </c>
      <c r="C295" s="491" t="s">
        <v>737</v>
      </c>
      <c r="E295" s="357"/>
      <c r="F295" s="489"/>
      <c r="G295" s="357"/>
      <c r="H295" s="357"/>
      <c r="I295" s="357"/>
      <c r="J295" s="357"/>
      <c r="K295" s="357"/>
      <c r="L295" s="357"/>
    </row>
    <row r="296" spans="1:15" outlineLevel="1">
      <c r="A296" s="357"/>
      <c r="B296" s="490">
        <v>2</v>
      </c>
      <c r="C296" s="492" t="s">
        <v>738</v>
      </c>
      <c r="E296" s="357"/>
      <c r="F296" s="489"/>
      <c r="G296" s="357"/>
      <c r="H296" s="357"/>
      <c r="I296" s="357"/>
      <c r="J296" s="357"/>
      <c r="K296" s="357"/>
      <c r="L296" s="357"/>
      <c r="M296" s="569"/>
      <c r="N296" s="488"/>
    </row>
    <row r="297" spans="1:15" outlineLevel="1">
      <c r="A297" s="357"/>
      <c r="B297" s="490">
        <v>3</v>
      </c>
      <c r="C297" s="492" t="s">
        <v>739</v>
      </c>
      <c r="E297" s="357"/>
      <c r="F297" s="489"/>
      <c r="G297" s="357"/>
      <c r="H297" s="357"/>
      <c r="I297" s="357"/>
      <c r="J297" s="357"/>
      <c r="K297" s="357"/>
      <c r="L297" s="357"/>
    </row>
    <row r="298" spans="1:15" outlineLevel="1">
      <c r="A298" s="357"/>
      <c r="B298" s="490">
        <v>4</v>
      </c>
      <c r="C298" s="492" t="s">
        <v>740</v>
      </c>
      <c r="E298" s="357"/>
      <c r="F298" s="489"/>
      <c r="G298" s="357"/>
      <c r="H298" s="357"/>
      <c r="I298" s="357"/>
      <c r="J298" s="357"/>
      <c r="K298" s="357"/>
      <c r="L298" s="357"/>
    </row>
    <row r="299" spans="1:15" outlineLevel="1">
      <c r="A299" s="357"/>
      <c r="B299" s="357">
        <v>5</v>
      </c>
      <c r="C299" s="493" t="s">
        <v>741</v>
      </c>
      <c r="F299" s="489"/>
      <c r="G299" s="357"/>
      <c r="H299" s="357"/>
      <c r="I299" s="357"/>
      <c r="J299" s="357"/>
      <c r="K299" s="357"/>
      <c r="L299" s="357"/>
      <c r="O299" s="489"/>
    </row>
    <row r="300" spans="1:15" outlineLevel="1">
      <c r="A300" s="357"/>
      <c r="B300" s="357">
        <v>6</v>
      </c>
      <c r="C300" s="491" t="s">
        <v>742</v>
      </c>
      <c r="F300" s="489"/>
      <c r="G300" s="357"/>
      <c r="H300" s="357"/>
      <c r="I300" s="357"/>
      <c r="J300" s="357"/>
      <c r="K300" s="357"/>
      <c r="L300" s="357"/>
      <c r="O300" s="489"/>
    </row>
    <row r="301" spans="1:15" outlineLevel="1">
      <c r="A301" s="357"/>
      <c r="B301" s="357">
        <v>7</v>
      </c>
      <c r="C301" s="494" t="s">
        <v>737</v>
      </c>
      <c r="F301" s="489"/>
      <c r="G301" s="357"/>
      <c r="H301" s="357"/>
      <c r="I301" s="357"/>
      <c r="J301" s="357"/>
      <c r="K301" s="357"/>
      <c r="L301" s="357"/>
      <c r="O301" s="489"/>
    </row>
    <row r="302" spans="1:15" outlineLevel="1">
      <c r="A302" s="487"/>
      <c r="B302" s="357">
        <v>8</v>
      </c>
      <c r="C302" s="494" t="s">
        <v>743</v>
      </c>
      <c r="F302" s="489"/>
      <c r="G302" s="357"/>
      <c r="H302" s="357"/>
      <c r="I302" s="357"/>
      <c r="J302" s="357"/>
      <c r="K302" s="357"/>
      <c r="L302" s="357"/>
      <c r="O302" s="489"/>
    </row>
    <row r="303" spans="1:15" outlineLevel="1">
      <c r="A303" s="487"/>
      <c r="B303" s="357">
        <v>9</v>
      </c>
      <c r="C303" s="488" t="s">
        <v>744</v>
      </c>
      <c r="F303" s="489"/>
      <c r="G303" s="357"/>
      <c r="H303" s="357"/>
      <c r="I303" s="357"/>
      <c r="J303" s="357"/>
      <c r="K303" s="357"/>
      <c r="L303" s="357"/>
      <c r="O303" s="489"/>
    </row>
    <row r="304" spans="1:15" outlineLevel="1">
      <c r="A304" s="487"/>
      <c r="B304" s="357">
        <v>10</v>
      </c>
      <c r="C304" s="489" t="s">
        <v>745</v>
      </c>
      <c r="F304" s="489"/>
      <c r="G304" s="357"/>
      <c r="H304" s="357"/>
      <c r="I304" s="357"/>
      <c r="J304" s="357"/>
      <c r="K304" s="357"/>
      <c r="L304" s="357"/>
      <c r="O304" s="489"/>
    </row>
    <row r="305" spans="1:15" outlineLevel="1">
      <c r="A305" s="487"/>
      <c r="B305" s="487" t="s">
        <v>746</v>
      </c>
      <c r="C305" s="488"/>
      <c r="F305" s="489"/>
      <c r="G305" s="357"/>
      <c r="H305" s="357"/>
      <c r="I305" s="357"/>
      <c r="J305" s="357"/>
      <c r="K305" s="357"/>
      <c r="L305" s="357"/>
      <c r="O305" s="489"/>
    </row>
    <row r="306" spans="1:15" outlineLevel="1">
      <c r="A306" s="487"/>
      <c r="B306" s="495" t="s">
        <v>6</v>
      </c>
      <c r="C306" s="496" t="s">
        <v>938</v>
      </c>
      <c r="D306" s="488"/>
      <c r="F306" s="489"/>
      <c r="G306" s="357"/>
      <c r="H306" s="357"/>
      <c r="I306" s="357"/>
      <c r="J306" s="357"/>
      <c r="K306" s="357"/>
      <c r="L306" s="357"/>
      <c r="O306" s="489"/>
    </row>
    <row r="307" spans="1:15" outlineLevel="1">
      <c r="A307" s="487"/>
      <c r="B307" s="495" t="s">
        <v>59</v>
      </c>
      <c r="C307" s="488" t="s">
        <v>748</v>
      </c>
      <c r="D307" s="488"/>
      <c r="F307" s="489"/>
      <c r="G307" s="357"/>
      <c r="H307" s="357"/>
      <c r="I307" s="357"/>
      <c r="J307" s="357"/>
      <c r="K307" s="357"/>
      <c r="L307" s="357"/>
      <c r="O307" s="489"/>
    </row>
    <row r="308" spans="1:15" outlineLevel="1">
      <c r="A308" s="487"/>
      <c r="B308" s="495" t="s">
        <v>16</v>
      </c>
      <c r="C308" s="488" t="s">
        <v>939</v>
      </c>
      <c r="D308" s="488"/>
      <c r="F308" s="489"/>
      <c r="G308" s="357"/>
      <c r="H308" s="357"/>
      <c r="I308" s="357"/>
      <c r="J308" s="357"/>
      <c r="K308" s="357"/>
      <c r="L308" s="357"/>
      <c r="O308" s="489"/>
    </row>
    <row r="309" spans="1:15" outlineLevel="1">
      <c r="A309" s="487"/>
      <c r="B309" s="495" t="s">
        <v>20</v>
      </c>
      <c r="C309" s="488" t="s">
        <v>940</v>
      </c>
      <c r="D309" s="488"/>
      <c r="F309" s="489"/>
      <c r="G309" s="357"/>
      <c r="H309" s="357"/>
      <c r="I309" s="357"/>
      <c r="J309" s="357"/>
      <c r="K309" s="357"/>
      <c r="L309" s="357"/>
      <c r="O309" s="489"/>
    </row>
    <row r="310" spans="1:15" outlineLevel="1">
      <c r="A310" s="487"/>
      <c r="B310" s="495" t="s">
        <v>76</v>
      </c>
      <c r="C310" s="488" t="s">
        <v>749</v>
      </c>
      <c r="D310" s="488"/>
      <c r="F310" s="489"/>
      <c r="G310" s="357"/>
      <c r="H310" s="357"/>
      <c r="I310" s="357"/>
      <c r="J310" s="357"/>
      <c r="K310" s="357"/>
      <c r="L310" s="357"/>
      <c r="O310" s="489"/>
    </row>
    <row r="311" spans="1:15" outlineLevel="1">
      <c r="A311" s="487"/>
      <c r="B311" s="495" t="s">
        <v>25</v>
      </c>
      <c r="C311" s="488" t="s">
        <v>941</v>
      </c>
      <c r="D311" s="488"/>
      <c r="F311" s="489"/>
      <c r="G311" s="357"/>
      <c r="H311" s="357"/>
      <c r="I311" s="357"/>
      <c r="J311" s="357"/>
      <c r="K311" s="357"/>
      <c r="L311" s="357"/>
      <c r="O311" s="489"/>
    </row>
    <row r="312" spans="1:15" outlineLevel="1">
      <c r="A312" s="487"/>
      <c r="B312" s="495" t="s">
        <v>33</v>
      </c>
      <c r="C312" s="488" t="s">
        <v>942</v>
      </c>
      <c r="D312" s="488"/>
      <c r="F312" s="489"/>
      <c r="G312" s="357"/>
      <c r="H312" s="357"/>
      <c r="I312" s="357"/>
      <c r="J312" s="357"/>
      <c r="K312" s="357"/>
      <c r="L312" s="357"/>
      <c r="O312" s="489"/>
    </row>
    <row r="313" spans="1:15" outlineLevel="1">
      <c r="A313" s="487"/>
      <c r="B313" s="495" t="s">
        <v>51</v>
      </c>
      <c r="C313" s="488" t="s">
        <v>943</v>
      </c>
      <c r="D313" s="488"/>
      <c r="F313" s="489"/>
      <c r="G313" s="357"/>
      <c r="H313" s="357"/>
      <c r="I313" s="357"/>
      <c r="J313" s="357"/>
      <c r="K313" s="357"/>
      <c r="L313" s="357"/>
      <c r="O313" s="489"/>
    </row>
    <row r="314" spans="1:15" outlineLevel="1">
      <c r="A314" s="487"/>
      <c r="B314" s="495" t="s">
        <v>52</v>
      </c>
      <c r="C314" s="497" t="s">
        <v>751</v>
      </c>
      <c r="D314" s="488"/>
      <c r="F314" s="489"/>
      <c r="G314" s="357"/>
      <c r="H314" s="357"/>
      <c r="I314" s="357"/>
      <c r="J314" s="357"/>
      <c r="K314" s="357"/>
      <c r="L314" s="357"/>
      <c r="O314" s="489"/>
    </row>
    <row r="315" spans="1:15" outlineLevel="1">
      <c r="A315" s="487"/>
      <c r="B315" s="495" t="s">
        <v>55</v>
      </c>
      <c r="C315" s="488" t="s">
        <v>767</v>
      </c>
      <c r="D315" s="488"/>
      <c r="F315" s="489"/>
      <c r="G315" s="357"/>
      <c r="H315" s="357"/>
      <c r="I315" s="357"/>
      <c r="J315" s="357"/>
      <c r="K315" s="357"/>
      <c r="L315" s="357"/>
      <c r="O315" s="489"/>
    </row>
    <row r="316" spans="1:15" outlineLevel="1">
      <c r="A316" s="495"/>
      <c r="B316" s="495" t="s">
        <v>49</v>
      </c>
      <c r="C316" s="488" t="s">
        <v>752</v>
      </c>
      <c r="D316" s="488"/>
      <c r="F316" s="489"/>
      <c r="G316" s="357"/>
      <c r="H316" s="357"/>
      <c r="I316" s="357"/>
      <c r="J316" s="357"/>
      <c r="K316" s="357"/>
      <c r="L316" s="357"/>
      <c r="M316" s="569"/>
      <c r="N316" s="488"/>
      <c r="O316" s="489"/>
    </row>
    <row r="317" spans="1:15" outlineLevel="1">
      <c r="A317" s="495"/>
      <c r="F317" s="489"/>
      <c r="G317" s="357"/>
      <c r="H317" s="357"/>
      <c r="I317" s="357"/>
      <c r="J317" s="357"/>
      <c r="K317" s="357"/>
      <c r="L317" s="357"/>
      <c r="M317" s="570"/>
      <c r="N317" s="488"/>
      <c r="O317" s="489"/>
    </row>
    <row r="318" spans="1:15" outlineLevel="1">
      <c r="A318" s="495"/>
      <c r="B318" s="488"/>
      <c r="D318" s="489"/>
      <c r="E318" s="489"/>
      <c r="F318" s="489"/>
      <c r="G318" s="357"/>
      <c r="H318" s="357"/>
      <c r="I318" s="357"/>
      <c r="J318" s="357"/>
      <c r="K318" s="357"/>
      <c r="L318" s="357"/>
      <c r="M318" s="571"/>
      <c r="N318" s="488"/>
      <c r="O318" s="489"/>
    </row>
    <row r="319" spans="1:15" outlineLevel="1">
      <c r="A319" s="495"/>
      <c r="B319" s="497"/>
      <c r="D319" s="489"/>
      <c r="E319" s="489"/>
      <c r="F319" s="489"/>
      <c r="G319" s="357"/>
      <c r="H319" s="357"/>
      <c r="I319" s="357"/>
      <c r="J319" s="357"/>
      <c r="K319" s="357"/>
      <c r="L319" s="357"/>
      <c r="M319" s="572"/>
      <c r="N319" s="488"/>
      <c r="O319" s="489"/>
    </row>
    <row r="320" spans="1:15" outlineLevel="1">
      <c r="A320" s="495"/>
      <c r="B320" s="488"/>
      <c r="D320" s="489"/>
      <c r="E320" s="489"/>
      <c r="F320" s="489"/>
      <c r="G320" s="357"/>
      <c r="H320" s="357"/>
      <c r="I320" s="357"/>
      <c r="J320" s="357"/>
      <c r="K320" s="357"/>
      <c r="L320" s="357"/>
      <c r="M320" s="572"/>
      <c r="N320" s="489"/>
      <c r="O320" s="489"/>
    </row>
    <row r="321" spans="1:44" outlineLevel="1">
      <c r="A321" s="495"/>
      <c r="B321" s="488"/>
      <c r="D321" s="489"/>
      <c r="E321" s="489"/>
      <c r="F321" s="489"/>
      <c r="G321" s="357"/>
      <c r="H321" s="357"/>
      <c r="I321" s="357"/>
      <c r="J321" s="357"/>
      <c r="K321" s="357"/>
      <c r="L321" s="357"/>
      <c r="M321" s="488"/>
      <c r="N321" s="489"/>
      <c r="O321" s="489"/>
    </row>
    <row r="322" spans="1:44" outlineLevel="1">
      <c r="O322" s="489"/>
    </row>
    <row r="323" spans="1:44">
      <c r="O323" s="489"/>
    </row>
    <row r="324" spans="1:44">
      <c r="O324" s="489"/>
    </row>
    <row r="325" spans="1:44" ht="15" thickBot="1">
      <c r="A325" s="359"/>
    </row>
    <row r="326" spans="1:44" ht="20.55" customHeight="1" thickBot="1">
      <c r="B326" s="361"/>
      <c r="C326" s="1183"/>
      <c r="D326" s="1184"/>
      <c r="E326" s="1184"/>
      <c r="F326" s="1184"/>
      <c r="G326" s="1184"/>
      <c r="H326" s="1184"/>
      <c r="I326" s="1184"/>
      <c r="J326" s="1184"/>
      <c r="K326" s="1184"/>
      <c r="L326" s="1185"/>
      <c r="M326" s="362"/>
      <c r="N326" s="362"/>
      <c r="AK326" s="1157"/>
      <c r="AL326" s="1158"/>
      <c r="AM326" s="1157"/>
      <c r="AN326" s="1158"/>
      <c r="AO326" s="1157"/>
      <c r="AP326" s="1158"/>
      <c r="AQ326" s="1167"/>
      <c r="AR326" s="1168"/>
    </row>
    <row r="327" spans="1:44" ht="15" customHeight="1" thickBot="1">
      <c r="B327" s="1161"/>
      <c r="C327" s="1163"/>
      <c r="D327" s="1163"/>
      <c r="E327" s="1163"/>
      <c r="F327" s="1163"/>
      <c r="G327" s="1165"/>
      <c r="H327" s="1166"/>
      <c r="I327" s="1165"/>
      <c r="J327" s="1166"/>
      <c r="K327" s="1186"/>
      <c r="L327" s="1186"/>
      <c r="M327" s="366"/>
      <c r="N327" s="366"/>
      <c r="AK327" s="1159"/>
      <c r="AL327" s="1160"/>
      <c r="AM327" s="1159"/>
      <c r="AN327" s="1160"/>
      <c r="AO327" s="1159"/>
      <c r="AP327" s="1160"/>
      <c r="AQ327" s="1169"/>
      <c r="AR327" s="1170"/>
    </row>
    <row r="328" spans="1:44" ht="15" customHeight="1" thickBot="1">
      <c r="B328" s="1162"/>
      <c r="C328" s="1164"/>
      <c r="D328" s="1164"/>
      <c r="E328" s="1164"/>
      <c r="F328" s="1164"/>
      <c r="G328" s="405"/>
      <c r="H328" s="405"/>
      <c r="I328" s="405"/>
      <c r="J328" s="405"/>
      <c r="K328" s="1187"/>
      <c r="L328" s="1187"/>
      <c r="M328" s="369"/>
      <c r="N328" s="369"/>
      <c r="AK328" s="1159"/>
      <c r="AL328" s="1160"/>
      <c r="AM328" s="1159"/>
      <c r="AN328" s="1160"/>
      <c r="AO328" s="1159"/>
      <c r="AP328" s="1160"/>
      <c r="AQ328" s="1171"/>
      <c r="AR328" s="1172"/>
    </row>
    <row r="329" spans="1:44" ht="21.6" thickBot="1">
      <c r="B329" s="370"/>
      <c r="C329" s="371"/>
      <c r="D329" s="371"/>
      <c r="E329" s="371"/>
      <c r="F329" s="371"/>
      <c r="G329" s="371"/>
      <c r="H329" s="371"/>
      <c r="I329" s="371"/>
      <c r="J329" s="371"/>
      <c r="K329" s="371"/>
      <c r="L329" s="372"/>
      <c r="M329" s="369"/>
      <c r="N329" s="369"/>
      <c r="P329" s="363"/>
      <c r="Q329" s="364"/>
      <c r="R329" s="365"/>
      <c r="S329" s="1173"/>
      <c r="T329" s="1157"/>
      <c r="U329" s="1158"/>
      <c r="V329" s="1157"/>
      <c r="W329" s="1158"/>
      <c r="X329" s="1157"/>
      <c r="Y329" s="1158"/>
      <c r="Z329" s="1157"/>
      <c r="AA329" s="1158"/>
      <c r="AB329" s="1157"/>
      <c r="AC329" s="1158"/>
      <c r="AE329" s="363"/>
      <c r="AF329" s="364"/>
      <c r="AG329" s="365"/>
      <c r="AH329" s="1173"/>
      <c r="AI329" s="1157"/>
      <c r="AJ329" s="1158"/>
      <c r="AK329" s="373"/>
      <c r="AL329" s="374"/>
      <c r="AM329" s="373"/>
      <c r="AN329" s="374"/>
      <c r="AO329" s="373"/>
      <c r="AP329" s="374"/>
      <c r="AQ329" s="373"/>
      <c r="AR329" s="374"/>
    </row>
    <row r="330" spans="1:44" ht="14.55" customHeight="1">
      <c r="B330" s="573"/>
      <c r="C330" s="574"/>
      <c r="D330" s="574"/>
      <c r="E330" s="574"/>
      <c r="F330" s="574"/>
      <c r="G330" s="575"/>
      <c r="H330" s="575"/>
      <c r="I330" s="575"/>
      <c r="J330" s="575"/>
      <c r="K330" s="371"/>
      <c r="L330" s="372"/>
      <c r="M330" s="369"/>
      <c r="N330" s="369"/>
      <c r="P330" s="1177"/>
      <c r="Q330" s="367"/>
      <c r="R330" s="367"/>
      <c r="S330" s="1174"/>
      <c r="T330" s="1159"/>
      <c r="U330" s="1160"/>
      <c r="V330" s="1159"/>
      <c r="W330" s="1160"/>
      <c r="X330" s="1159"/>
      <c r="Y330" s="1160"/>
      <c r="Z330" s="1159"/>
      <c r="AA330" s="1160"/>
      <c r="AB330" s="1159"/>
      <c r="AC330" s="1160"/>
      <c r="AE330" s="1177"/>
      <c r="AF330" s="367"/>
      <c r="AG330" s="367"/>
      <c r="AH330" s="1174"/>
      <c r="AI330" s="1159"/>
      <c r="AJ330" s="1160"/>
      <c r="AK330" s="1134"/>
      <c r="AL330" s="1148"/>
      <c r="AM330" s="1134"/>
      <c r="AN330" s="1148"/>
      <c r="AO330" s="1134"/>
      <c r="AP330" s="1148"/>
      <c r="AQ330" s="1154"/>
      <c r="AR330" s="1148"/>
    </row>
    <row r="331" spans="1:44">
      <c r="B331" s="382"/>
      <c r="C331" s="576"/>
      <c r="D331" s="576"/>
      <c r="E331" s="576"/>
      <c r="F331" s="576"/>
      <c r="G331" s="575"/>
      <c r="H331" s="575"/>
      <c r="I331" s="575"/>
      <c r="J331" s="575"/>
      <c r="K331" s="371"/>
      <c r="L331" s="372"/>
      <c r="M331" s="369"/>
      <c r="N331" s="369"/>
      <c r="P331" s="1178"/>
      <c r="Q331" s="1180"/>
      <c r="R331" s="1181"/>
      <c r="S331" s="1175"/>
      <c r="T331" s="1159"/>
      <c r="U331" s="1160"/>
      <c r="V331" s="1159"/>
      <c r="W331" s="1160"/>
      <c r="X331" s="1159"/>
      <c r="Y331" s="1160"/>
      <c r="Z331" s="1159"/>
      <c r="AA331" s="1160"/>
      <c r="AB331" s="1159"/>
      <c r="AC331" s="1160"/>
      <c r="AE331" s="1178"/>
      <c r="AF331" s="1180"/>
      <c r="AG331" s="1181"/>
      <c r="AH331" s="1175"/>
      <c r="AI331" s="1159"/>
      <c r="AJ331" s="1160"/>
      <c r="AK331" s="1137"/>
      <c r="AL331" s="1149"/>
      <c r="AM331" s="1137"/>
      <c r="AN331" s="1149"/>
      <c r="AO331" s="1137"/>
      <c r="AP331" s="1149"/>
      <c r="AQ331" s="1155"/>
      <c r="AR331" s="1149"/>
    </row>
    <row r="332" spans="1:44" ht="15" thickBot="1">
      <c r="B332" s="573"/>
      <c r="C332" s="577"/>
      <c r="D332" s="577"/>
      <c r="E332" s="577"/>
      <c r="F332" s="577"/>
      <c r="G332" s="577"/>
      <c r="H332" s="577"/>
      <c r="I332" s="577"/>
      <c r="J332" s="577"/>
      <c r="K332" s="578"/>
      <c r="L332" s="579"/>
      <c r="M332" s="369"/>
      <c r="N332" s="369"/>
      <c r="O332" s="74"/>
      <c r="P332" s="1179"/>
      <c r="Q332" s="1176"/>
      <c r="R332" s="1182"/>
      <c r="S332" s="1176"/>
      <c r="T332" s="373"/>
      <c r="U332" s="374"/>
      <c r="V332" s="373"/>
      <c r="W332" s="374"/>
      <c r="X332" s="373"/>
      <c r="Y332" s="374"/>
      <c r="Z332" s="373"/>
      <c r="AA332" s="374"/>
      <c r="AB332" s="373"/>
      <c r="AC332" s="374"/>
      <c r="AE332" s="1179"/>
      <c r="AF332" s="1176"/>
      <c r="AG332" s="1182"/>
      <c r="AH332" s="1176"/>
      <c r="AI332" s="373"/>
      <c r="AJ332" s="374"/>
      <c r="AK332" s="1138"/>
      <c r="AL332" s="1150"/>
      <c r="AM332" s="1138"/>
      <c r="AN332" s="1150"/>
      <c r="AO332" s="1138"/>
      <c r="AP332" s="1150"/>
      <c r="AQ332" s="1156"/>
      <c r="AR332" s="1150"/>
    </row>
    <row r="333" spans="1:44" ht="14.55" customHeight="1">
      <c r="B333" s="573"/>
      <c r="C333" s="580"/>
      <c r="D333" s="580"/>
      <c r="E333" s="580"/>
      <c r="F333" s="580"/>
      <c r="G333" s="580"/>
      <c r="H333" s="580"/>
      <c r="I333" s="580"/>
      <c r="J333" s="580"/>
      <c r="K333" s="578"/>
      <c r="L333" s="579"/>
      <c r="M333" s="369"/>
      <c r="N333" s="369"/>
      <c r="P333" s="1145"/>
      <c r="Q333" s="1151"/>
      <c r="R333" s="380"/>
      <c r="S333" s="381"/>
      <c r="T333" s="1134"/>
      <c r="U333" s="1148"/>
      <c r="V333" s="1134"/>
      <c r="W333" s="1148"/>
      <c r="X333" s="1134"/>
      <c r="Y333" s="1148"/>
      <c r="Z333" s="1134"/>
      <c r="AA333" s="1148"/>
      <c r="AB333" s="1154"/>
      <c r="AC333" s="1148"/>
      <c r="AE333" s="1145"/>
      <c r="AF333" s="1151"/>
      <c r="AG333" s="380"/>
      <c r="AH333" s="381"/>
      <c r="AI333" s="1134"/>
      <c r="AJ333" s="1148"/>
      <c r="AK333" s="1134"/>
      <c r="AL333" s="1134"/>
      <c r="AM333" s="1134"/>
      <c r="AN333" s="1134"/>
      <c r="AO333" s="1134"/>
      <c r="AP333" s="1134"/>
      <c r="AQ333" s="1134"/>
      <c r="AR333" s="1134"/>
    </row>
    <row r="334" spans="1:44">
      <c r="B334" s="573"/>
      <c r="C334" s="581"/>
      <c r="D334" s="581"/>
      <c r="E334" s="581"/>
      <c r="F334" s="581"/>
      <c r="G334" s="581"/>
      <c r="H334" s="581"/>
      <c r="I334" s="581"/>
      <c r="J334" s="581"/>
      <c r="K334" s="578"/>
      <c r="L334" s="579"/>
      <c r="M334" s="366"/>
      <c r="N334" s="366"/>
      <c r="O334" s="71"/>
      <c r="P334" s="1146"/>
      <c r="Q334" s="1152"/>
      <c r="R334" s="387"/>
      <c r="S334" s="388"/>
      <c r="T334" s="1137"/>
      <c r="U334" s="1149"/>
      <c r="V334" s="1137"/>
      <c r="W334" s="1149"/>
      <c r="X334" s="1137"/>
      <c r="Y334" s="1149"/>
      <c r="Z334" s="1137"/>
      <c r="AA334" s="1149"/>
      <c r="AB334" s="1155"/>
      <c r="AC334" s="1149"/>
      <c r="AE334" s="1146"/>
      <c r="AF334" s="1152"/>
      <c r="AG334" s="387"/>
      <c r="AH334" s="388"/>
      <c r="AI334" s="1137"/>
      <c r="AJ334" s="1149"/>
      <c r="AK334" s="1135"/>
      <c r="AL334" s="1135"/>
      <c r="AM334" s="1135"/>
      <c r="AN334" s="1135"/>
      <c r="AO334" s="1135"/>
      <c r="AP334" s="1135"/>
      <c r="AQ334" s="1137"/>
      <c r="AR334" s="1135"/>
    </row>
    <row r="335" spans="1:44" ht="15" thickBot="1">
      <c r="B335" s="382"/>
      <c r="C335" s="396"/>
      <c r="D335" s="396"/>
      <c r="E335" s="396"/>
      <c r="F335" s="396"/>
      <c r="G335" s="397"/>
      <c r="H335" s="397"/>
      <c r="I335" s="397"/>
      <c r="J335" s="397"/>
      <c r="K335" s="371"/>
      <c r="L335" s="372"/>
      <c r="M335" s="362"/>
      <c r="N335" s="362"/>
      <c r="O335" s="71"/>
      <c r="P335" s="1146"/>
      <c r="Q335" s="1153"/>
      <c r="R335" s="392"/>
      <c r="S335" s="393"/>
      <c r="T335" s="1138"/>
      <c r="U335" s="1150"/>
      <c r="V335" s="1138"/>
      <c r="W335" s="1150"/>
      <c r="X335" s="1138"/>
      <c r="Y335" s="1150"/>
      <c r="Z335" s="1138"/>
      <c r="AA335" s="1150"/>
      <c r="AB335" s="1156"/>
      <c r="AC335" s="1150"/>
      <c r="AE335" s="1146"/>
      <c r="AF335" s="1153"/>
      <c r="AG335" s="392"/>
      <c r="AH335" s="393"/>
      <c r="AI335" s="1138"/>
      <c r="AJ335" s="1150"/>
      <c r="AK335" s="1135"/>
      <c r="AL335" s="1135"/>
      <c r="AM335" s="1135"/>
      <c r="AN335" s="1135"/>
      <c r="AO335" s="1135"/>
      <c r="AP335" s="1135"/>
      <c r="AQ335" s="1137"/>
      <c r="AR335" s="1135"/>
    </row>
    <row r="336" spans="1:44" ht="15" thickBot="1">
      <c r="B336" s="573"/>
      <c r="C336" s="581"/>
      <c r="D336" s="581"/>
      <c r="E336" s="581"/>
      <c r="F336" s="581"/>
      <c r="G336" s="581"/>
      <c r="H336" s="581"/>
      <c r="I336" s="581"/>
      <c r="J336" s="581"/>
      <c r="K336" s="371"/>
      <c r="L336" s="372"/>
      <c r="M336" s="362"/>
      <c r="N336" s="362"/>
      <c r="O336" s="71"/>
      <c r="P336" s="1146"/>
      <c r="Q336" s="1142"/>
      <c r="R336" s="394"/>
      <c r="S336" s="395"/>
      <c r="T336" s="1134"/>
      <c r="U336" s="1134"/>
      <c r="V336" s="1134"/>
      <c r="W336" s="1134"/>
      <c r="X336" s="1134"/>
      <c r="Y336" s="1134"/>
      <c r="Z336" s="1134"/>
      <c r="AA336" s="1134"/>
      <c r="AB336" s="1134"/>
      <c r="AC336" s="1134"/>
      <c r="AE336" s="1146"/>
      <c r="AF336" s="1142"/>
      <c r="AG336" s="394"/>
      <c r="AH336" s="395"/>
      <c r="AI336" s="1134"/>
      <c r="AJ336" s="1134"/>
      <c r="AK336" s="1135"/>
      <c r="AL336" s="1135"/>
      <c r="AM336" s="1135"/>
      <c r="AN336" s="1135"/>
      <c r="AO336" s="1135"/>
      <c r="AP336" s="1135"/>
      <c r="AQ336" s="1137"/>
      <c r="AR336" s="1135"/>
    </row>
    <row r="337" spans="1:44" ht="15" thickBot="1">
      <c r="B337" s="400"/>
      <c r="C337" s="582"/>
      <c r="D337" s="583"/>
      <c r="E337" s="584"/>
      <c r="F337" s="585"/>
      <c r="G337" s="405"/>
      <c r="H337" s="405"/>
      <c r="I337" s="405"/>
      <c r="J337" s="405"/>
      <c r="K337" s="406"/>
      <c r="L337" s="586"/>
      <c r="M337" s="362"/>
      <c r="N337" s="362"/>
      <c r="O337" s="71"/>
      <c r="P337" s="1146"/>
      <c r="Q337" s="1143"/>
      <c r="R337" s="394"/>
      <c r="S337" s="395"/>
      <c r="T337" s="1135"/>
      <c r="U337" s="1135"/>
      <c r="V337" s="1135"/>
      <c r="W337" s="1135"/>
      <c r="X337" s="1135"/>
      <c r="Y337" s="1135"/>
      <c r="Z337" s="1135"/>
      <c r="AA337" s="1135"/>
      <c r="AB337" s="1137"/>
      <c r="AC337" s="1135"/>
      <c r="AE337" s="1146"/>
      <c r="AF337" s="1143"/>
      <c r="AG337" s="394"/>
      <c r="AH337" s="395"/>
      <c r="AI337" s="1135"/>
      <c r="AJ337" s="1135"/>
      <c r="AK337" s="1136"/>
      <c r="AL337" s="1136"/>
      <c r="AM337" s="1136"/>
      <c r="AN337" s="1136"/>
      <c r="AO337" s="1136"/>
      <c r="AP337" s="1136"/>
      <c r="AQ337" s="1138"/>
      <c r="AR337" s="1136"/>
    </row>
    <row r="338" spans="1:44" ht="15" thickBot="1">
      <c r="B338" s="573"/>
      <c r="C338" s="587"/>
      <c r="D338" s="587"/>
      <c r="E338" s="587"/>
      <c r="F338" s="587"/>
      <c r="G338" s="588"/>
      <c r="H338" s="588"/>
      <c r="I338" s="589"/>
      <c r="J338" s="589"/>
      <c r="K338" s="578"/>
      <c r="L338" s="579"/>
      <c r="M338" s="362"/>
      <c r="N338" s="362"/>
      <c r="P338" s="1146"/>
      <c r="Q338" s="1143"/>
      <c r="R338" s="394"/>
      <c r="S338" s="395"/>
      <c r="T338" s="1135"/>
      <c r="U338" s="1135"/>
      <c r="V338" s="1135"/>
      <c r="W338" s="1135"/>
      <c r="X338" s="1135"/>
      <c r="Y338" s="1135"/>
      <c r="Z338" s="1135"/>
      <c r="AA338" s="1135"/>
      <c r="AB338" s="1137"/>
      <c r="AC338" s="1135"/>
      <c r="AE338" s="1146"/>
      <c r="AF338" s="1143"/>
      <c r="AG338" s="394"/>
      <c r="AH338" s="395"/>
      <c r="AI338" s="1135"/>
      <c r="AJ338" s="1135"/>
      <c r="AK338" s="592"/>
      <c r="AL338" s="591"/>
      <c r="AM338" s="592"/>
      <c r="AN338" s="591"/>
      <c r="AO338" s="592"/>
      <c r="AP338" s="591"/>
      <c r="AQ338" s="592"/>
      <c r="AR338" s="593"/>
    </row>
    <row r="339" spans="1:44">
      <c r="B339" s="573"/>
      <c r="C339" s="581"/>
      <c r="D339" s="581"/>
      <c r="E339" s="581"/>
      <c r="F339" s="581"/>
      <c r="G339" s="594"/>
      <c r="H339" s="594"/>
      <c r="I339" s="594"/>
      <c r="J339" s="594"/>
      <c r="K339" s="595"/>
      <c r="L339" s="579"/>
      <c r="M339" s="362"/>
      <c r="N339" s="362"/>
      <c r="P339" s="1146"/>
      <c r="Q339" s="1143"/>
      <c r="R339" s="394"/>
      <c r="S339" s="395"/>
      <c r="T339" s="1135"/>
      <c r="U339" s="1135"/>
      <c r="V339" s="1135"/>
      <c r="W339" s="1135"/>
      <c r="X339" s="1135"/>
      <c r="Y339" s="1135"/>
      <c r="Z339" s="1135"/>
      <c r="AA339" s="1135"/>
      <c r="AB339" s="1137"/>
      <c r="AC339" s="1135"/>
      <c r="AE339" s="1146"/>
      <c r="AF339" s="1143"/>
      <c r="AG339" s="394"/>
      <c r="AH339" s="395"/>
      <c r="AI339" s="1135"/>
      <c r="AJ339" s="1135"/>
    </row>
    <row r="340" spans="1:44" ht="15" thickBot="1">
      <c r="B340" s="573"/>
      <c r="C340" s="581"/>
      <c r="D340" s="581"/>
      <c r="E340" s="581"/>
      <c r="F340" s="581"/>
      <c r="G340" s="594"/>
      <c r="H340" s="594"/>
      <c r="I340" s="594"/>
      <c r="J340" s="594"/>
      <c r="K340" s="595"/>
      <c r="L340" s="579"/>
      <c r="M340" s="419"/>
      <c r="N340" s="362"/>
      <c r="P340" s="1146"/>
      <c r="Q340" s="1144"/>
      <c r="R340" s="408"/>
      <c r="S340" s="409"/>
      <c r="T340" s="1136"/>
      <c r="U340" s="1136"/>
      <c r="V340" s="1136"/>
      <c r="W340" s="1136"/>
      <c r="X340" s="1136"/>
      <c r="Y340" s="1136"/>
      <c r="Z340" s="1136"/>
      <c r="AA340" s="1136"/>
      <c r="AB340" s="1138"/>
      <c r="AC340" s="1136"/>
      <c r="AE340" s="1146"/>
      <c r="AF340" s="1144"/>
      <c r="AG340" s="408"/>
      <c r="AH340" s="409"/>
      <c r="AI340" s="1136"/>
      <c r="AJ340" s="1136"/>
    </row>
    <row r="341" spans="1:44" ht="15" thickBot="1">
      <c r="B341" s="420"/>
      <c r="C341" s="398"/>
      <c r="D341" s="398"/>
      <c r="E341" s="398"/>
      <c r="F341" s="398"/>
      <c r="G341" s="421"/>
      <c r="H341" s="421"/>
      <c r="I341" s="421"/>
      <c r="J341" s="421"/>
      <c r="K341" s="422"/>
      <c r="L341" s="596"/>
      <c r="M341" s="419"/>
      <c r="N341" s="419"/>
      <c r="P341" s="1147"/>
      <c r="Q341" s="410"/>
      <c r="R341" s="411"/>
      <c r="S341" s="412"/>
      <c r="T341" s="590"/>
      <c r="U341" s="591"/>
      <c r="V341" s="592"/>
      <c r="W341" s="591"/>
      <c r="X341" s="592"/>
      <c r="Y341" s="591"/>
      <c r="Z341" s="592"/>
      <c r="AA341" s="591"/>
      <c r="AB341" s="592"/>
      <c r="AC341" s="593"/>
      <c r="AE341" s="1147"/>
      <c r="AF341" s="410"/>
      <c r="AG341" s="411"/>
      <c r="AH341" s="412"/>
      <c r="AI341" s="590"/>
      <c r="AJ341" s="591"/>
    </row>
    <row r="342" spans="1:44">
      <c r="B342" s="382"/>
      <c r="C342" s="396"/>
      <c r="D342" s="396"/>
      <c r="E342" s="396"/>
      <c r="F342" s="396"/>
      <c r="G342" s="421"/>
      <c r="H342" s="424"/>
      <c r="I342" s="424"/>
      <c r="J342" s="424"/>
      <c r="K342" s="425"/>
      <c r="L342" s="426"/>
      <c r="M342" s="427"/>
      <c r="N342" s="427"/>
    </row>
    <row r="343" spans="1:44">
      <c r="B343" s="382"/>
      <c r="C343" s="396"/>
      <c r="D343" s="396"/>
      <c r="E343" s="396"/>
      <c r="F343" s="396"/>
      <c r="G343" s="424"/>
      <c r="H343" s="424"/>
      <c r="I343" s="424"/>
      <c r="J343" s="424"/>
      <c r="K343" s="422"/>
      <c r="L343" s="426"/>
      <c r="M343" s="427"/>
      <c r="N343" s="427"/>
    </row>
    <row r="344" spans="1:44">
      <c r="B344" s="382"/>
      <c r="C344" s="396"/>
      <c r="D344" s="396"/>
      <c r="E344" s="396"/>
      <c r="F344" s="396"/>
      <c r="G344" s="424"/>
      <c r="H344" s="424"/>
      <c r="I344" s="424"/>
      <c r="J344" s="424"/>
      <c r="K344" s="422"/>
      <c r="L344" s="426"/>
      <c r="M344" s="427"/>
      <c r="N344" s="427"/>
    </row>
    <row r="345" spans="1:44">
      <c r="B345" s="382"/>
      <c r="C345" s="396"/>
      <c r="D345" s="396"/>
      <c r="E345" s="396"/>
      <c r="F345" s="396"/>
      <c r="G345" s="424"/>
      <c r="H345" s="424"/>
      <c r="I345" s="424"/>
      <c r="J345" s="424"/>
      <c r="K345" s="422"/>
      <c r="L345" s="426"/>
      <c r="M345" s="427"/>
      <c r="N345" s="427"/>
    </row>
    <row r="346" spans="1:44" ht="15" thickBot="1">
      <c r="B346" s="428"/>
      <c r="C346" s="396"/>
      <c r="D346" s="396"/>
      <c r="E346" s="396"/>
      <c r="F346" s="396"/>
      <c r="G346" s="424"/>
      <c r="H346" s="424"/>
      <c r="I346" s="424"/>
      <c r="J346" s="424"/>
      <c r="K346" s="422"/>
      <c r="L346" s="426"/>
      <c r="M346" s="427"/>
      <c r="N346" s="427"/>
    </row>
    <row r="347" spans="1:44" ht="15" thickBot="1">
      <c r="B347" s="430"/>
      <c r="C347" s="597"/>
      <c r="D347" s="583"/>
      <c r="E347" s="583"/>
      <c r="F347" s="598"/>
      <c r="G347" s="433"/>
      <c r="H347" s="405"/>
      <c r="I347" s="405"/>
      <c r="J347" s="405"/>
      <c r="K347" s="406"/>
      <c r="L347" s="586"/>
      <c r="M347" s="427"/>
      <c r="N347" s="427"/>
    </row>
    <row r="348" spans="1:44">
      <c r="A348" s="434"/>
      <c r="B348" s="435"/>
      <c r="C348" s="599"/>
      <c r="D348" s="599"/>
      <c r="E348" s="599"/>
      <c r="F348" s="599"/>
      <c r="G348" s="424"/>
      <c r="H348" s="424"/>
      <c r="I348" s="424"/>
      <c r="J348" s="424"/>
      <c r="K348" s="425"/>
      <c r="L348" s="439"/>
      <c r="M348" s="419"/>
      <c r="N348" s="419"/>
    </row>
    <row r="349" spans="1:44">
      <c r="B349" s="440"/>
      <c r="C349" s="600"/>
      <c r="D349" s="600"/>
      <c r="E349" s="600"/>
      <c r="F349" s="600"/>
      <c r="G349" s="424"/>
      <c r="H349" s="424"/>
      <c r="I349" s="424"/>
      <c r="J349" s="424"/>
      <c r="K349" s="443"/>
      <c r="L349" s="372"/>
      <c r="M349" s="71"/>
      <c r="N349" s="419"/>
    </row>
    <row r="350" spans="1:44">
      <c r="B350" s="440"/>
      <c r="C350" s="600"/>
      <c r="D350" s="600"/>
      <c r="E350" s="600"/>
      <c r="F350" s="600"/>
      <c r="G350" s="424"/>
      <c r="H350" s="424"/>
      <c r="I350" s="424"/>
      <c r="J350" s="424"/>
      <c r="K350" s="443"/>
      <c r="L350" s="372"/>
      <c r="M350" s="419"/>
      <c r="N350" s="419"/>
    </row>
    <row r="351" spans="1:44">
      <c r="B351" s="382"/>
      <c r="C351" s="601"/>
      <c r="D351" s="602"/>
      <c r="E351" s="602"/>
      <c r="F351" s="603"/>
      <c r="G351" s="424"/>
      <c r="H351" s="424"/>
      <c r="I351" s="424"/>
      <c r="J351" s="424"/>
      <c r="K351" s="443"/>
      <c r="L351" s="372"/>
      <c r="M351" s="419"/>
      <c r="N351" s="419"/>
    </row>
    <row r="352" spans="1:44">
      <c r="B352" s="382"/>
      <c r="C352" s="604"/>
      <c r="D352" s="604"/>
      <c r="E352" s="604"/>
      <c r="F352" s="604"/>
      <c r="G352" s="424"/>
      <c r="H352" s="424"/>
      <c r="I352" s="424"/>
      <c r="J352" s="424"/>
      <c r="K352" s="443"/>
      <c r="L352" s="372"/>
      <c r="M352" s="449"/>
      <c r="N352" s="360"/>
    </row>
    <row r="353" spans="2:30">
      <c r="B353" s="540"/>
      <c r="C353" s="551"/>
      <c r="D353" s="551"/>
      <c r="E353" s="551"/>
      <c r="F353" s="551"/>
      <c r="G353" s="552"/>
      <c r="H353" s="552"/>
      <c r="I353" s="552"/>
      <c r="J353" s="552"/>
      <c r="K353" s="546"/>
      <c r="L353" s="547"/>
      <c r="M353" s="449"/>
      <c r="N353" s="360"/>
    </row>
    <row r="354" spans="2:30">
      <c r="B354" s="540"/>
      <c r="C354" s="605"/>
      <c r="D354" s="605"/>
      <c r="E354" s="605"/>
      <c r="F354" s="605"/>
      <c r="G354" s="552"/>
      <c r="H354" s="552"/>
      <c r="I354" s="552"/>
      <c r="J354" s="552"/>
      <c r="K354" s="546"/>
      <c r="L354" s="547"/>
      <c r="M354" s="362"/>
      <c r="N354" s="362"/>
    </row>
    <row r="355" spans="2:30">
      <c r="B355" s="540"/>
      <c r="C355" s="606"/>
      <c r="D355" s="546"/>
      <c r="E355" s="546"/>
      <c r="F355" s="562"/>
      <c r="G355" s="549"/>
      <c r="H355" s="549"/>
      <c r="I355" s="549"/>
      <c r="J355" s="549"/>
      <c r="K355" s="546"/>
      <c r="L355" s="607"/>
      <c r="M355" s="366"/>
      <c r="N355" s="366"/>
      <c r="P355" s="1139"/>
      <c r="Q355" s="1140"/>
      <c r="R355" s="1140"/>
      <c r="S355" s="1140"/>
      <c r="T355" s="1140"/>
      <c r="U355" s="1141"/>
    </row>
    <row r="356" spans="2:30" ht="15" thickBot="1">
      <c r="B356" s="565"/>
      <c r="C356" s="606"/>
      <c r="D356" s="608"/>
      <c r="E356" s="608"/>
      <c r="F356" s="609"/>
      <c r="G356" s="549"/>
      <c r="H356" s="549"/>
      <c r="I356" s="549"/>
      <c r="J356" s="549"/>
      <c r="K356" s="546"/>
      <c r="L356" s="607"/>
      <c r="M356" s="362"/>
      <c r="N356" s="362"/>
      <c r="P356" s="1131"/>
      <c r="Q356" s="1132"/>
      <c r="R356" s="1132"/>
      <c r="S356" s="1132"/>
      <c r="T356" s="1132"/>
      <c r="U356" s="1133"/>
    </row>
    <row r="357" spans="2:30" ht="15" thickBot="1">
      <c r="B357" s="610"/>
      <c r="C357" s="611"/>
      <c r="D357" s="612"/>
      <c r="E357" s="613"/>
      <c r="F357" s="614"/>
      <c r="G357" s="539"/>
      <c r="H357" s="539"/>
      <c r="I357" s="539"/>
      <c r="J357" s="539"/>
      <c r="K357" s="615"/>
      <c r="L357" s="616"/>
      <c r="M357" s="362"/>
      <c r="N357" s="362"/>
      <c r="P357" s="53"/>
    </row>
    <row r="358" spans="2:30">
      <c r="B358" s="555"/>
      <c r="C358" s="617"/>
      <c r="D358" s="617"/>
      <c r="E358" s="617"/>
      <c r="F358" s="617"/>
      <c r="G358" s="617"/>
      <c r="H358" s="617"/>
      <c r="I358" s="617"/>
      <c r="J358" s="617"/>
      <c r="K358" s="617"/>
      <c r="L358" s="618"/>
      <c r="M358" s="362"/>
      <c r="N358" s="362"/>
      <c r="P358" s="46"/>
      <c r="Q358" s="46"/>
      <c r="R358" s="47"/>
      <c r="S358" s="47"/>
      <c r="T358" s="47"/>
      <c r="U358" s="48"/>
      <c r="V358" s="49"/>
      <c r="W358" s="49"/>
      <c r="X358" s="49"/>
      <c r="Y358" s="49"/>
      <c r="Z358" s="49"/>
      <c r="AA358" s="49"/>
      <c r="AB358" s="49"/>
      <c r="AC358" s="49"/>
      <c r="AD358" s="49"/>
    </row>
    <row r="359" spans="2:30" ht="15" thickBot="1">
      <c r="B359" s="540"/>
      <c r="C359" s="557"/>
      <c r="D359" s="557"/>
      <c r="E359" s="557"/>
      <c r="F359" s="557"/>
      <c r="G359" s="562"/>
      <c r="H359" s="562"/>
      <c r="I359" s="562"/>
      <c r="J359" s="562"/>
      <c r="K359" s="562"/>
      <c r="L359" s="547"/>
      <c r="M359" s="362"/>
      <c r="N359" s="362"/>
      <c r="O359" s="71"/>
      <c r="P359" s="50"/>
      <c r="Q359" s="50"/>
      <c r="R359" s="51"/>
      <c r="S359" s="51"/>
      <c r="T359" s="51"/>
      <c r="U359" s="51"/>
      <c r="V359" s="50"/>
      <c r="W359" s="50"/>
      <c r="X359" s="50"/>
      <c r="Y359" s="50"/>
      <c r="Z359" s="50"/>
      <c r="AA359" s="50"/>
      <c r="AB359" s="50"/>
      <c r="AC359" s="50"/>
      <c r="AD359" s="50"/>
    </row>
    <row r="360" spans="2:30">
      <c r="B360" s="540"/>
      <c r="C360" s="557"/>
      <c r="D360" s="557"/>
      <c r="E360" s="557"/>
      <c r="F360" s="557"/>
      <c r="G360" s="562"/>
      <c r="H360" s="562"/>
      <c r="I360" s="562"/>
      <c r="J360" s="562"/>
      <c r="K360" s="562"/>
      <c r="L360" s="547"/>
      <c r="M360" s="362"/>
      <c r="N360" s="362"/>
      <c r="O360" s="460"/>
      <c r="P360" s="56"/>
      <c r="Q360" s="56"/>
      <c r="R360" s="57"/>
      <c r="S360" s="57"/>
      <c r="T360" s="57"/>
      <c r="U360" s="56"/>
      <c r="V360" s="56"/>
      <c r="W360" s="56"/>
      <c r="X360" s="56"/>
      <c r="Y360" s="56"/>
      <c r="Z360" s="56"/>
      <c r="AA360" s="56"/>
      <c r="AB360" s="56"/>
      <c r="AC360" s="56"/>
      <c r="AD360" s="56"/>
    </row>
    <row r="361" spans="2:30">
      <c r="B361" s="540"/>
      <c r="C361" s="563"/>
      <c r="D361" s="563"/>
      <c r="E361" s="563"/>
      <c r="F361" s="563"/>
      <c r="G361" s="620"/>
      <c r="H361" s="620"/>
      <c r="I361" s="620"/>
      <c r="J361" s="620"/>
      <c r="K361" s="620"/>
      <c r="L361" s="547"/>
      <c r="M361" s="362"/>
      <c r="N361" s="362"/>
      <c r="O361" s="619"/>
      <c r="P361" s="465"/>
      <c r="Q361" s="58"/>
      <c r="R361" s="465"/>
      <c r="S361" s="58"/>
      <c r="T361" s="465"/>
      <c r="U361" s="466"/>
      <c r="V361" s="466"/>
      <c r="W361" s="466"/>
      <c r="X361" s="58"/>
      <c r="Y361" s="58"/>
      <c r="Z361" s="465"/>
      <c r="AA361" s="467"/>
      <c r="AB361" s="467"/>
      <c r="AC361" s="467"/>
      <c r="AD361" s="467"/>
    </row>
    <row r="362" spans="2:30">
      <c r="B362" s="565"/>
      <c r="C362" s="557"/>
      <c r="D362" s="557"/>
      <c r="E362" s="557"/>
      <c r="F362" s="557"/>
      <c r="G362" s="562"/>
      <c r="H362" s="562"/>
      <c r="I362" s="562"/>
      <c r="J362" s="562"/>
      <c r="K362" s="562"/>
      <c r="L362" s="547"/>
      <c r="M362" s="366"/>
      <c r="N362" s="366"/>
      <c r="O362" s="619"/>
      <c r="P362" s="465"/>
      <c r="Q362" s="58"/>
      <c r="R362" s="465"/>
      <c r="S362" s="58"/>
      <c r="T362" s="465"/>
      <c r="U362" s="466"/>
      <c r="V362" s="466"/>
      <c r="W362" s="466"/>
      <c r="X362" s="58"/>
      <c r="Y362" s="58"/>
      <c r="Z362" s="465"/>
      <c r="AA362" s="467"/>
      <c r="AB362" s="467"/>
      <c r="AC362" s="467"/>
      <c r="AD362" s="467"/>
    </row>
    <row r="363" spans="2:30">
      <c r="B363" s="565"/>
      <c r="C363" s="557"/>
      <c r="D363" s="557"/>
      <c r="E363" s="557"/>
      <c r="F363" s="557"/>
      <c r="G363" s="562"/>
      <c r="H363" s="562"/>
      <c r="I363" s="562"/>
      <c r="J363" s="562"/>
      <c r="K363" s="562"/>
      <c r="L363" s="547"/>
      <c r="M363" s="362"/>
      <c r="N363" s="362"/>
      <c r="O363" s="619"/>
      <c r="P363" s="465"/>
      <c r="Q363" s="58"/>
      <c r="R363" s="465"/>
      <c r="S363" s="58"/>
      <c r="T363" s="465"/>
      <c r="U363" s="466"/>
      <c r="V363" s="466"/>
      <c r="W363" s="466"/>
      <c r="X363" s="58"/>
      <c r="Y363" s="58"/>
      <c r="Z363" s="465"/>
      <c r="AA363" s="467"/>
      <c r="AB363" s="467"/>
      <c r="AC363" s="467"/>
      <c r="AD363" s="467"/>
    </row>
    <row r="364" spans="2:30" ht="15" thickBot="1">
      <c r="B364" s="566"/>
      <c r="C364" s="621"/>
      <c r="D364" s="621"/>
      <c r="E364" s="621"/>
      <c r="F364" s="621"/>
      <c r="G364" s="622"/>
      <c r="H364" s="622"/>
      <c r="I364" s="622"/>
      <c r="J364" s="622"/>
      <c r="K364" s="622"/>
      <c r="L364" s="623"/>
      <c r="M364" s="362"/>
      <c r="N364" s="362"/>
      <c r="O364" s="619"/>
      <c r="P364" s="465"/>
      <c r="Q364" s="58"/>
      <c r="R364" s="465"/>
      <c r="S364" s="58"/>
      <c r="T364" s="465"/>
      <c r="U364" s="466"/>
      <c r="V364" s="466"/>
      <c r="W364" s="466"/>
      <c r="X364" s="58"/>
      <c r="Y364" s="58"/>
      <c r="Z364" s="465"/>
      <c r="AA364" s="467"/>
      <c r="AB364" s="467"/>
      <c r="AC364" s="467"/>
      <c r="AD364" s="467"/>
    </row>
    <row r="365" spans="2:30">
      <c r="B365" s="460"/>
      <c r="C365" s="482"/>
      <c r="D365" s="482"/>
      <c r="E365" s="482"/>
      <c r="F365" s="482"/>
      <c r="G365" s="482"/>
      <c r="H365" s="483"/>
      <c r="I365" s="419"/>
      <c r="J365" s="419"/>
      <c r="K365" s="483"/>
      <c r="L365" s="483"/>
      <c r="N365" s="419"/>
    </row>
    <row r="366" spans="2:30">
      <c r="B366" s="484"/>
      <c r="C366" s="485"/>
      <c r="D366" s="485"/>
      <c r="E366" s="485"/>
      <c r="F366" s="485"/>
      <c r="G366" s="485"/>
      <c r="H366" s="483"/>
      <c r="I366" s="71"/>
      <c r="J366" s="419"/>
      <c r="K366" s="483"/>
      <c r="L366" s="483"/>
      <c r="N366" s="419"/>
    </row>
    <row r="367" spans="2:30">
      <c r="B367" s="460"/>
      <c r="C367" s="358"/>
      <c r="D367" s="358"/>
      <c r="E367" s="358"/>
      <c r="F367" s="358"/>
      <c r="G367" s="358"/>
      <c r="I367" s="419"/>
      <c r="J367" s="419"/>
      <c r="N367" s="419"/>
    </row>
    <row r="368" spans="2:30">
      <c r="B368" s="460"/>
      <c r="C368" s="486"/>
      <c r="D368" s="486"/>
      <c r="E368" s="486"/>
      <c r="F368" s="486"/>
      <c r="G368" s="358"/>
      <c r="M368" s="419"/>
      <c r="N368" s="419"/>
    </row>
    <row r="371" spans="1:11">
      <c r="A371" s="487"/>
      <c r="B371" s="488"/>
      <c r="D371" s="357"/>
      <c r="E371" s="357"/>
      <c r="F371" s="357"/>
      <c r="G371" s="357"/>
      <c r="H371" s="357"/>
      <c r="I371" s="357"/>
      <c r="J371" s="357"/>
      <c r="K371" s="357"/>
    </row>
    <row r="372" spans="1:11">
      <c r="A372" s="357"/>
      <c r="B372" s="489"/>
      <c r="E372" s="357"/>
      <c r="F372" s="357"/>
      <c r="G372" s="357"/>
      <c r="H372" s="357"/>
      <c r="I372" s="357"/>
      <c r="J372" s="357"/>
      <c r="K372" s="357"/>
    </row>
    <row r="373" spans="1:11">
      <c r="A373" s="357"/>
      <c r="B373" s="489"/>
      <c r="E373" s="357"/>
      <c r="F373" s="357"/>
      <c r="G373" s="357"/>
      <c r="H373" s="357"/>
      <c r="I373" s="357"/>
      <c r="J373" s="357"/>
      <c r="K373" s="357"/>
    </row>
    <row r="374" spans="1:11">
      <c r="A374" s="357"/>
      <c r="B374" s="489"/>
      <c r="E374" s="357"/>
      <c r="F374" s="357"/>
      <c r="G374" s="357"/>
      <c r="H374" s="357"/>
      <c r="I374" s="357"/>
      <c r="J374" s="357"/>
      <c r="K374" s="357"/>
    </row>
    <row r="375" spans="1:11">
      <c r="A375" s="357"/>
      <c r="B375" s="489"/>
      <c r="E375" s="357"/>
      <c r="F375" s="357"/>
      <c r="G375" s="357"/>
      <c r="H375" s="357"/>
      <c r="I375" s="357"/>
      <c r="J375" s="357"/>
      <c r="K375" s="357"/>
    </row>
    <row r="376" spans="1:11">
      <c r="A376" s="357"/>
      <c r="B376" s="489"/>
      <c r="E376" s="357"/>
      <c r="F376" s="357"/>
      <c r="G376" s="357"/>
      <c r="H376" s="357"/>
      <c r="I376" s="357"/>
      <c r="J376" s="357"/>
      <c r="K376" s="357"/>
    </row>
    <row r="377" spans="1:11">
      <c r="A377" s="357"/>
      <c r="B377" s="489"/>
      <c r="E377" s="357"/>
      <c r="F377" s="357"/>
      <c r="G377" s="357"/>
      <c r="H377" s="357"/>
      <c r="I377" s="357"/>
      <c r="J377" s="357"/>
      <c r="K377" s="357"/>
    </row>
    <row r="378" spans="1:11">
      <c r="A378" s="357"/>
      <c r="B378" s="489"/>
      <c r="E378" s="357"/>
      <c r="F378" s="357"/>
      <c r="G378" s="357"/>
      <c r="H378" s="357"/>
      <c r="I378" s="357"/>
      <c r="J378" s="357"/>
      <c r="K378" s="357"/>
    </row>
    <row r="379" spans="1:11">
      <c r="A379" s="357"/>
      <c r="B379" s="624"/>
      <c r="E379" s="357"/>
      <c r="F379" s="357"/>
      <c r="G379" s="357"/>
      <c r="H379" s="357"/>
      <c r="I379" s="357"/>
      <c r="J379" s="357"/>
      <c r="K379" s="357"/>
    </row>
    <row r="380" spans="1:11">
      <c r="A380" s="357"/>
      <c r="B380" s="489"/>
      <c r="E380" s="357"/>
      <c r="F380" s="357"/>
      <c r="G380" s="357"/>
      <c r="H380" s="357"/>
      <c r="I380" s="357"/>
      <c r="J380" s="357"/>
      <c r="K380" s="357"/>
    </row>
    <row r="381" spans="1:11">
      <c r="A381" s="487"/>
      <c r="B381" s="488"/>
      <c r="E381" s="357"/>
      <c r="F381" s="357"/>
      <c r="G381" s="357"/>
      <c r="H381" s="357"/>
      <c r="I381" s="357"/>
      <c r="J381" s="357"/>
      <c r="K381" s="357"/>
    </row>
    <row r="382" spans="1:11">
      <c r="A382" s="495"/>
      <c r="B382" s="489"/>
      <c r="C382" s="488"/>
      <c r="E382" s="357"/>
      <c r="F382" s="357"/>
      <c r="G382" s="357"/>
      <c r="H382" s="357"/>
      <c r="I382" s="357"/>
      <c r="J382" s="357"/>
      <c r="K382" s="357"/>
    </row>
    <row r="383" spans="1:11">
      <c r="A383" s="495"/>
      <c r="B383" s="489"/>
      <c r="C383" s="488"/>
      <c r="E383" s="357"/>
      <c r="F383" s="357"/>
      <c r="G383" s="357"/>
      <c r="H383" s="357"/>
      <c r="I383" s="357"/>
      <c r="J383" s="357"/>
      <c r="K383" s="357"/>
    </row>
    <row r="384" spans="1:11">
      <c r="A384" s="495"/>
      <c r="B384" s="489"/>
      <c r="C384" s="488"/>
      <c r="E384" s="357"/>
      <c r="F384" s="357"/>
      <c r="G384" s="357"/>
      <c r="H384" s="357"/>
      <c r="I384" s="357"/>
      <c r="J384" s="357"/>
      <c r="K384" s="357"/>
    </row>
    <row r="385" spans="1:11">
      <c r="A385" s="495"/>
      <c r="B385" s="489"/>
      <c r="C385" s="488"/>
      <c r="E385" s="357"/>
      <c r="F385" s="357"/>
      <c r="G385" s="357"/>
      <c r="H385" s="357"/>
      <c r="I385" s="357"/>
      <c r="J385" s="357"/>
      <c r="K385" s="357"/>
    </row>
    <row r="386" spans="1:11" ht="15.75" customHeight="1">
      <c r="A386" s="495"/>
      <c r="B386" s="489"/>
      <c r="C386" s="488"/>
      <c r="E386" s="357"/>
      <c r="F386" s="357"/>
      <c r="G386" s="357"/>
      <c r="H386" s="357"/>
      <c r="I386" s="357"/>
      <c r="J386" s="357"/>
      <c r="K386" s="357"/>
    </row>
    <row r="387" spans="1:11" ht="15.75" customHeight="1">
      <c r="A387" s="495"/>
      <c r="B387" s="489"/>
      <c r="C387" s="488"/>
      <c r="E387" s="357"/>
      <c r="F387" s="357"/>
      <c r="G387" s="357"/>
      <c r="H387" s="357"/>
      <c r="I387" s="357"/>
      <c r="J387" s="357"/>
      <c r="K387" s="357"/>
    </row>
  </sheetData>
  <mergeCells count="253">
    <mergeCell ref="B167:B168"/>
    <mergeCell ref="C167:M167"/>
    <mergeCell ref="P170:U170"/>
    <mergeCell ref="C168:M168"/>
    <mergeCell ref="P171:U171"/>
    <mergeCell ref="C87:M87"/>
    <mergeCell ref="H88:I88"/>
    <mergeCell ref="J88:K88"/>
    <mergeCell ref="B5:B6"/>
    <mergeCell ref="C5:M5"/>
    <mergeCell ref="C6:M6"/>
    <mergeCell ref="C7:M7"/>
    <mergeCell ref="H8:I8"/>
    <mergeCell ref="J8:K8"/>
    <mergeCell ref="B85:B86"/>
    <mergeCell ref="C85:M85"/>
    <mergeCell ref="P88:U88"/>
    <mergeCell ref="C86:M86"/>
    <mergeCell ref="S172:S175"/>
    <mergeCell ref="T172:U174"/>
    <mergeCell ref="V172:W174"/>
    <mergeCell ref="X172:Y174"/>
    <mergeCell ref="Z172:AA174"/>
    <mergeCell ref="P173:P175"/>
    <mergeCell ref="Q174:Q175"/>
    <mergeCell ref="R174:R175"/>
    <mergeCell ref="P116:U116"/>
    <mergeCell ref="P117:U117"/>
    <mergeCell ref="AQ169:AR171"/>
    <mergeCell ref="B170:B171"/>
    <mergeCell ref="C170:C171"/>
    <mergeCell ref="D170:D171"/>
    <mergeCell ref="E170:E171"/>
    <mergeCell ref="F170:F171"/>
    <mergeCell ref="G170:H170"/>
    <mergeCell ref="I170:J170"/>
    <mergeCell ref="K170:K171"/>
    <mergeCell ref="L170:L171"/>
    <mergeCell ref="AK169:AL171"/>
    <mergeCell ref="AM169:AN171"/>
    <mergeCell ref="AO169:AP171"/>
    <mergeCell ref="C169:L169"/>
    <mergeCell ref="AP173:AP175"/>
    <mergeCell ref="AQ173:AQ175"/>
    <mergeCell ref="AR173:AR175"/>
    <mergeCell ref="AE176:AE184"/>
    <mergeCell ref="AF176:AF178"/>
    <mergeCell ref="AI176:AI178"/>
    <mergeCell ref="AJ176:AJ178"/>
    <mergeCell ref="AK173:AK175"/>
    <mergeCell ref="AL173:AL175"/>
    <mergeCell ref="AP176:AP180"/>
    <mergeCell ref="AQ176:AQ180"/>
    <mergeCell ref="AR176:AR180"/>
    <mergeCell ref="AH172:AH175"/>
    <mergeCell ref="AI172:AJ174"/>
    <mergeCell ref="AE173:AE175"/>
    <mergeCell ref="AF174:AF175"/>
    <mergeCell ref="AG174:AG175"/>
    <mergeCell ref="AB179:AB183"/>
    <mergeCell ref="AM173:AM175"/>
    <mergeCell ref="AN173:AN175"/>
    <mergeCell ref="AO173:AO175"/>
    <mergeCell ref="X176:X178"/>
    <mergeCell ref="Y176:Y178"/>
    <mergeCell ref="Z176:Z178"/>
    <mergeCell ref="AA176:AA178"/>
    <mergeCell ref="AB176:AB178"/>
    <mergeCell ref="AC176:AC178"/>
    <mergeCell ref="AM176:AM180"/>
    <mergeCell ref="AN176:AN180"/>
    <mergeCell ref="AO176:AO180"/>
    <mergeCell ref="AC179:AC183"/>
    <mergeCell ref="AF179:AF183"/>
    <mergeCell ref="AI179:AI183"/>
    <mergeCell ref="AJ179:AJ183"/>
    <mergeCell ref="AK176:AK180"/>
    <mergeCell ref="AL176:AL180"/>
    <mergeCell ref="AB172:AC174"/>
    <mergeCell ref="B246:B247"/>
    <mergeCell ref="C246:M246"/>
    <mergeCell ref="P249:U249"/>
    <mergeCell ref="C247:M247"/>
    <mergeCell ref="P250:U250"/>
    <mergeCell ref="X179:X183"/>
    <mergeCell ref="Y179:Y183"/>
    <mergeCell ref="Z179:Z183"/>
    <mergeCell ref="AA179:AA183"/>
    <mergeCell ref="P176:P184"/>
    <mergeCell ref="Q176:Q178"/>
    <mergeCell ref="T176:T178"/>
    <mergeCell ref="U176:U178"/>
    <mergeCell ref="V176:V178"/>
    <mergeCell ref="W176:W178"/>
    <mergeCell ref="Q179:Q183"/>
    <mergeCell ref="T179:T183"/>
    <mergeCell ref="U179:U183"/>
    <mergeCell ref="V179:V183"/>
    <mergeCell ref="W179:W183"/>
    <mergeCell ref="S251:S254"/>
    <mergeCell ref="T251:U253"/>
    <mergeCell ref="V251:W253"/>
    <mergeCell ref="X251:Y253"/>
    <mergeCell ref="Z251:AA253"/>
    <mergeCell ref="P252:P254"/>
    <mergeCell ref="Q253:Q254"/>
    <mergeCell ref="R253:R254"/>
    <mergeCell ref="P198:U198"/>
    <mergeCell ref="P199:U199"/>
    <mergeCell ref="AQ248:AR250"/>
    <mergeCell ref="B249:B250"/>
    <mergeCell ref="C249:C250"/>
    <mergeCell ref="D249:D250"/>
    <mergeCell ref="E249:E250"/>
    <mergeCell ref="F249:F250"/>
    <mergeCell ref="G249:H249"/>
    <mergeCell ref="I249:J249"/>
    <mergeCell ref="K249:K250"/>
    <mergeCell ref="L249:L250"/>
    <mergeCell ref="AK248:AL250"/>
    <mergeCell ref="AM248:AN250"/>
    <mergeCell ref="AO248:AP250"/>
    <mergeCell ref="C248:L248"/>
    <mergeCell ref="P255:P263"/>
    <mergeCell ref="Q255:Q257"/>
    <mergeCell ref="T255:T257"/>
    <mergeCell ref="U255:U257"/>
    <mergeCell ref="V255:V257"/>
    <mergeCell ref="W255:W257"/>
    <mergeCell ref="Q258:Q262"/>
    <mergeCell ref="T258:T262"/>
    <mergeCell ref="U258:U262"/>
    <mergeCell ref="V258:V262"/>
    <mergeCell ref="W258:W262"/>
    <mergeCell ref="AP252:AP254"/>
    <mergeCell ref="AQ252:AQ254"/>
    <mergeCell ref="AR252:AR254"/>
    <mergeCell ref="AE255:AE263"/>
    <mergeCell ref="AF255:AF257"/>
    <mergeCell ref="AI255:AI257"/>
    <mergeCell ref="AJ255:AJ257"/>
    <mergeCell ref="AK252:AK254"/>
    <mergeCell ref="AL252:AL254"/>
    <mergeCell ref="AP255:AP259"/>
    <mergeCell ref="AQ255:AQ259"/>
    <mergeCell ref="AR255:AR259"/>
    <mergeCell ref="AH251:AH254"/>
    <mergeCell ref="AI251:AJ253"/>
    <mergeCell ref="AE252:AE254"/>
    <mergeCell ref="AF253:AF254"/>
    <mergeCell ref="AG253:AG254"/>
    <mergeCell ref="X258:X262"/>
    <mergeCell ref="Y258:Y262"/>
    <mergeCell ref="Z258:Z262"/>
    <mergeCell ref="AA258:AA262"/>
    <mergeCell ref="AB258:AB262"/>
    <mergeCell ref="AM252:AM254"/>
    <mergeCell ref="AN252:AN254"/>
    <mergeCell ref="AO252:AO254"/>
    <mergeCell ref="X255:X257"/>
    <mergeCell ref="Y255:Y257"/>
    <mergeCell ref="Z255:Z257"/>
    <mergeCell ref="AA255:AA257"/>
    <mergeCell ref="AB255:AB257"/>
    <mergeCell ref="AC255:AC257"/>
    <mergeCell ref="AM255:AM259"/>
    <mergeCell ref="AN255:AN259"/>
    <mergeCell ref="AO255:AO259"/>
    <mergeCell ref="AC258:AC262"/>
    <mergeCell ref="AF258:AF262"/>
    <mergeCell ref="AI258:AI262"/>
    <mergeCell ref="AJ258:AJ262"/>
    <mergeCell ref="AK255:AK259"/>
    <mergeCell ref="AL255:AL259"/>
    <mergeCell ref="AB251:AC253"/>
    <mergeCell ref="C326:L326"/>
    <mergeCell ref="S329:S332"/>
    <mergeCell ref="T329:U331"/>
    <mergeCell ref="V329:W331"/>
    <mergeCell ref="K327:K328"/>
    <mergeCell ref="L327:L328"/>
    <mergeCell ref="P330:P332"/>
    <mergeCell ref="Q331:Q332"/>
    <mergeCell ref="Z329:AA331"/>
    <mergeCell ref="R331:R332"/>
    <mergeCell ref="AQ330:AQ332"/>
    <mergeCell ref="AR330:AR332"/>
    <mergeCell ref="AL330:AL332"/>
    <mergeCell ref="AM330:AM332"/>
    <mergeCell ref="AQ326:AR328"/>
    <mergeCell ref="AN330:AN332"/>
    <mergeCell ref="AO330:AO332"/>
    <mergeCell ref="AP330:AP332"/>
    <mergeCell ref="P277:U277"/>
    <mergeCell ref="P278:U278"/>
    <mergeCell ref="AB329:AC331"/>
    <mergeCell ref="AH329:AH332"/>
    <mergeCell ref="AI329:AJ331"/>
    <mergeCell ref="AK326:AL328"/>
    <mergeCell ref="AE330:AE332"/>
    <mergeCell ref="AF331:AF332"/>
    <mergeCell ref="AG331:AG332"/>
    <mergeCell ref="AM326:AN328"/>
    <mergeCell ref="AO326:AP328"/>
    <mergeCell ref="Q333:Q335"/>
    <mergeCell ref="T333:T335"/>
    <mergeCell ref="U333:U335"/>
    <mergeCell ref="V333:V335"/>
    <mergeCell ref="X329:Y331"/>
    <mergeCell ref="B327:B328"/>
    <mergeCell ref="C327:C328"/>
    <mergeCell ref="D327:D328"/>
    <mergeCell ref="E327:E328"/>
    <mergeCell ref="F327:F328"/>
    <mergeCell ref="G327:H327"/>
    <mergeCell ref="I327:J327"/>
    <mergeCell ref="U336:U340"/>
    <mergeCell ref="V336:V340"/>
    <mergeCell ref="W336:W340"/>
    <mergeCell ref="AF333:AF335"/>
    <mergeCell ref="AI333:AI335"/>
    <mergeCell ref="AJ333:AJ335"/>
    <mergeCell ref="AK330:AK332"/>
    <mergeCell ref="Y333:Y335"/>
    <mergeCell ref="Z333:Z335"/>
    <mergeCell ref="AA333:AA335"/>
    <mergeCell ref="AB333:AB335"/>
    <mergeCell ref="AC333:AC335"/>
    <mergeCell ref="AE333:AE341"/>
    <mergeCell ref="P356:U356"/>
    <mergeCell ref="AN333:AN337"/>
    <mergeCell ref="AO333:AO337"/>
    <mergeCell ref="AP333:AP337"/>
    <mergeCell ref="AQ333:AQ337"/>
    <mergeCell ref="AR333:AR337"/>
    <mergeCell ref="P355:U355"/>
    <mergeCell ref="AF336:AF340"/>
    <mergeCell ref="AI336:AI340"/>
    <mergeCell ref="AJ336:AJ340"/>
    <mergeCell ref="AK333:AK337"/>
    <mergeCell ref="AL333:AL337"/>
    <mergeCell ref="AM333:AM337"/>
    <mergeCell ref="X336:X340"/>
    <mergeCell ref="Y336:Y340"/>
    <mergeCell ref="Z336:Z340"/>
    <mergeCell ref="AA336:AA340"/>
    <mergeCell ref="AB336:AB340"/>
    <mergeCell ref="AC336:AC340"/>
    <mergeCell ref="P333:P341"/>
    <mergeCell ref="W333:W335"/>
    <mergeCell ref="X333:X335"/>
    <mergeCell ref="Q336:Q340"/>
    <mergeCell ref="T336:T340"/>
  </mergeCells>
  <hyperlinks>
    <hyperlink ref="C7" location="INDEX" display="Post-combustion carbon capture retrofit - 100 MW(th) WtE or biomass CHP plant" xr:uid="{C8FC7AFC-2B29-4C66-AA6A-FE3684710BD7}"/>
    <hyperlink ref="C87" location="INDEX" display="Post-combustion carbon capture retrofit - 100 MW(th) WtE or biomass CHP plant" xr:uid="{3E3C9C98-0497-4384-A8FA-D8DDA3728336}"/>
  </hyperlink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38B7-0FA7-41B8-8C5B-3CD7874F100E}">
  <sheetPr>
    <tabColor rgb="FFFFFF00"/>
  </sheetPr>
  <dimension ref="A2:AX264"/>
  <sheetViews>
    <sheetView workbookViewId="0">
      <pane xSplit="5" ySplit="12" topLeftCell="F217" activePane="bottomRight" state="frozen"/>
      <selection pane="topRight" activeCell="F1" sqref="F1"/>
      <selection pane="bottomLeft" activeCell="A13" sqref="A13"/>
      <selection pane="bottomRight" activeCell="AT228" sqref="AT228"/>
    </sheetView>
  </sheetViews>
  <sheetFormatPr defaultColWidth="8.88671875" defaultRowHeight="14.4"/>
  <cols>
    <col min="1" max="6" width="8.88671875" style="224"/>
    <col min="7" max="9" width="8.88671875" style="224" hidden="1" customWidth="1"/>
    <col min="10" max="10" width="12" style="224" hidden="1" customWidth="1"/>
    <col min="11" max="12" width="12.109375" style="224" hidden="1" customWidth="1"/>
    <col min="13" max="15" width="8.88671875" style="224" hidden="1" customWidth="1"/>
    <col min="16" max="16" width="8.21875" style="224" hidden="1" customWidth="1"/>
    <col min="17" max="26" width="8.88671875" style="224" hidden="1" customWidth="1"/>
    <col min="27" max="27" width="8.88671875" style="224" customWidth="1"/>
    <col min="28" max="29" width="8.88671875" style="224" hidden="1" customWidth="1"/>
    <col min="30" max="30" width="8.88671875" style="224" customWidth="1"/>
    <col min="31" max="39" width="8.88671875" style="224" hidden="1" customWidth="1"/>
    <col min="40" max="41" width="8.88671875" style="224"/>
    <col min="42" max="44" width="8.88671875" style="1124"/>
    <col min="45" max="45" width="27.109375" style="1124" customWidth="1"/>
    <col min="46" max="16384" width="8.88671875" style="224"/>
  </cols>
  <sheetData>
    <row r="2" spans="1:50">
      <c r="A2" s="224" t="s">
        <v>1923</v>
      </c>
    </row>
    <row r="4" spans="1:50">
      <c r="A4" s="224" t="s">
        <v>1862</v>
      </c>
      <c r="C4" s="224">
        <v>0.13175999999999999</v>
      </c>
      <c r="D4" s="224" t="s">
        <v>1926</v>
      </c>
      <c r="F4" s="224" t="s">
        <v>1928</v>
      </c>
    </row>
    <row r="5" spans="1:50">
      <c r="A5" s="224" t="s">
        <v>1863</v>
      </c>
    </row>
    <row r="6" spans="1:50">
      <c r="A6" s="224" t="s">
        <v>524</v>
      </c>
    </row>
    <row r="7" spans="1:50">
      <c r="A7" s="224" t="s">
        <v>1864</v>
      </c>
      <c r="B7" s="224" t="s">
        <v>1865</v>
      </c>
    </row>
    <row r="8" spans="1:50">
      <c r="A8" s="224" t="s">
        <v>1866</v>
      </c>
      <c r="B8" s="224" t="s">
        <v>1867</v>
      </c>
    </row>
    <row r="9" spans="1:50">
      <c r="A9" s="224" t="s">
        <v>1868</v>
      </c>
      <c r="B9" s="224" t="s">
        <v>1869</v>
      </c>
    </row>
    <row r="10" spans="1:50">
      <c r="A10" s="224" t="s">
        <v>1924</v>
      </c>
      <c r="B10" s="224" t="s">
        <v>1925</v>
      </c>
    </row>
    <row r="11" spans="1:50">
      <c r="G11" s="1212" t="s">
        <v>1870</v>
      </c>
      <c r="H11" s="1212"/>
      <c r="I11" s="1109"/>
      <c r="J11" s="1213" t="s">
        <v>1871</v>
      </c>
      <c r="K11" s="1213"/>
      <c r="L11" s="1213"/>
      <c r="M11" s="1213"/>
      <c r="N11" s="1213"/>
      <c r="O11" s="1213"/>
      <c r="P11" s="1213" t="s">
        <v>1872</v>
      </c>
      <c r="Q11" s="1213"/>
      <c r="R11" s="1213"/>
      <c r="S11" s="1213"/>
      <c r="T11" s="1213"/>
      <c r="U11" s="1213"/>
      <c r="V11" s="1212" t="s">
        <v>1873</v>
      </c>
      <c r="W11" s="1212"/>
      <c r="X11" s="1212"/>
      <c r="Y11" s="1212"/>
      <c r="Z11" s="1212"/>
      <c r="AA11" s="1212" t="s">
        <v>1874</v>
      </c>
      <c r="AB11" s="1212"/>
      <c r="AC11" s="1212"/>
      <c r="AD11" s="1109" t="s">
        <v>1875</v>
      </c>
      <c r="AE11" s="1212" t="s">
        <v>1876</v>
      </c>
      <c r="AF11" s="1212"/>
      <c r="AG11" s="1212"/>
      <c r="AH11" s="1212"/>
      <c r="AI11" s="1212"/>
      <c r="AJ11" s="1212"/>
      <c r="AK11" s="1212"/>
      <c r="AL11" s="1212"/>
      <c r="AM11" s="1212"/>
      <c r="AN11" s="1110" t="s">
        <v>1877</v>
      </c>
    </row>
    <row r="12" spans="1:50" ht="27.6">
      <c r="A12" s="1111" t="s">
        <v>1095</v>
      </c>
      <c r="B12" s="1112" t="s">
        <v>1878</v>
      </c>
      <c r="C12" s="1112" t="s">
        <v>1879</v>
      </c>
      <c r="D12" s="1112" t="s">
        <v>1880</v>
      </c>
      <c r="E12" s="1112" t="s">
        <v>1881</v>
      </c>
      <c r="F12" s="1112" t="s">
        <v>1882</v>
      </c>
      <c r="G12" s="1113" t="s">
        <v>1883</v>
      </c>
      <c r="H12" s="1113" t="s">
        <v>1884</v>
      </c>
      <c r="I12" s="1114" t="s">
        <v>1885</v>
      </c>
      <c r="J12" s="1115" t="s">
        <v>1886</v>
      </c>
      <c r="K12" s="1115" t="s">
        <v>1887</v>
      </c>
      <c r="L12" s="1115" t="s">
        <v>1888</v>
      </c>
      <c r="M12" s="1116" t="s">
        <v>1889</v>
      </c>
      <c r="N12" s="1116" t="s">
        <v>1890</v>
      </c>
      <c r="O12" s="1116" t="s">
        <v>1891</v>
      </c>
      <c r="P12" s="1113" t="s">
        <v>1892</v>
      </c>
      <c r="Q12" s="1113" t="s">
        <v>1893</v>
      </c>
      <c r="R12" s="1113" t="s">
        <v>1894</v>
      </c>
      <c r="S12" s="1113" t="s">
        <v>1895</v>
      </c>
      <c r="T12" s="1113" t="s">
        <v>1896</v>
      </c>
      <c r="U12" s="1113" t="s">
        <v>1897</v>
      </c>
      <c r="V12" s="1113" t="s">
        <v>1898</v>
      </c>
      <c r="W12" s="1113" t="s">
        <v>1899</v>
      </c>
      <c r="X12" s="1113" t="s">
        <v>1900</v>
      </c>
      <c r="Y12" s="1114" t="s">
        <v>1901</v>
      </c>
      <c r="Z12" s="1113" t="s">
        <v>1902</v>
      </c>
      <c r="AA12" s="1113" t="s">
        <v>1903</v>
      </c>
      <c r="AB12" s="1113" t="s">
        <v>1904</v>
      </c>
      <c r="AC12" s="1113" t="s">
        <v>1905</v>
      </c>
      <c r="AD12" s="1117" t="s">
        <v>1906</v>
      </c>
      <c r="AE12" s="1113" t="s">
        <v>1907</v>
      </c>
      <c r="AF12" s="1113" t="s">
        <v>1908</v>
      </c>
      <c r="AG12" s="1113" t="s">
        <v>1909</v>
      </c>
      <c r="AH12" s="1113" t="s">
        <v>1910</v>
      </c>
      <c r="AI12" s="1113" t="s">
        <v>1911</v>
      </c>
      <c r="AJ12" s="1113" t="s">
        <v>1912</v>
      </c>
      <c r="AK12" s="1113" t="s">
        <v>1913</v>
      </c>
      <c r="AL12" s="1113" t="s">
        <v>1914</v>
      </c>
      <c r="AM12" s="1113" t="s">
        <v>1915</v>
      </c>
      <c r="AN12" s="1118" t="s">
        <v>1916</v>
      </c>
      <c r="AO12" s="1123" t="s">
        <v>1927</v>
      </c>
      <c r="AP12" s="1125" t="s">
        <v>1934</v>
      </c>
      <c r="AQ12" s="1125" t="s">
        <v>1936</v>
      </c>
      <c r="AR12" s="1126" t="s">
        <v>339</v>
      </c>
      <c r="AS12" s="1124" t="s">
        <v>1935</v>
      </c>
      <c r="AT12" s="224" t="s">
        <v>1938</v>
      </c>
    </row>
    <row r="13" spans="1:50">
      <c r="A13" s="1119">
        <v>2017</v>
      </c>
      <c r="B13" s="1120"/>
      <c r="C13" s="1120"/>
      <c r="D13" s="1120" t="s">
        <v>1862</v>
      </c>
      <c r="E13" s="1120" t="s">
        <v>1917</v>
      </c>
      <c r="F13" s="1120"/>
      <c r="G13" s="224">
        <v>26408.122257943447</v>
      </c>
      <c r="H13" s="224">
        <v>14740.142857142857</v>
      </c>
      <c r="I13" s="224">
        <v>2.3759999999999999</v>
      </c>
      <c r="J13" s="224">
        <v>0.19797451388064591</v>
      </c>
      <c r="K13" s="224">
        <v>0.13507787674661281</v>
      </c>
      <c r="L13" s="224">
        <v>0.15733502692996645</v>
      </c>
      <c r="M13" s="224">
        <v>0</v>
      </c>
      <c r="N13" s="224">
        <v>0</v>
      </c>
      <c r="O13" s="224">
        <v>0</v>
      </c>
      <c r="P13" s="224">
        <v>0</v>
      </c>
      <c r="Q13" s="224">
        <v>0</v>
      </c>
      <c r="R13" s="224">
        <v>0</v>
      </c>
      <c r="S13" s="224">
        <v>0</v>
      </c>
      <c r="T13" s="224">
        <v>0</v>
      </c>
      <c r="U13" s="224">
        <v>0</v>
      </c>
      <c r="V13" s="224">
        <v>293.64053294285713</v>
      </c>
      <c r="W13" s="224">
        <v>0</v>
      </c>
      <c r="X13" s="224">
        <v>3.2632499999999989</v>
      </c>
      <c r="Y13" s="224">
        <v>2.3759999999999999</v>
      </c>
      <c r="Z13" s="224">
        <v>0</v>
      </c>
      <c r="AA13" s="224">
        <v>73.609182931698555</v>
      </c>
      <c r="AB13" s="224">
        <v>49.322425946787725</v>
      </c>
      <c r="AC13" s="224">
        <v>57.182761255902996</v>
      </c>
      <c r="AD13" s="1121">
        <v>10.02727521340155</v>
      </c>
      <c r="AE13" s="224">
        <v>29831.954199447344</v>
      </c>
      <c r="AF13" s="224">
        <v>0</v>
      </c>
      <c r="AG13" s="224">
        <v>261.59999999999997</v>
      </c>
      <c r="AH13" s="224">
        <v>12272.34363356928</v>
      </c>
      <c r="AI13" s="224">
        <v>78000</v>
      </c>
      <c r="AJ13" s="224">
        <v>0</v>
      </c>
      <c r="AK13" s="224">
        <v>791.37040000000002</v>
      </c>
      <c r="AL13" s="224">
        <v>0</v>
      </c>
      <c r="AM13" s="224">
        <v>436.00000000000006</v>
      </c>
      <c r="AN13" s="1121">
        <v>121593.26823301661</v>
      </c>
      <c r="AO13" s="224">
        <f>AD13*$C$4</f>
        <v>1.3211937821177882</v>
      </c>
      <c r="AP13" s="1124">
        <v>0.1</v>
      </c>
      <c r="AQ13" s="1124">
        <f>AA13*$C$4*365/1000*0.1</f>
        <v>0.35400422692244193</v>
      </c>
      <c r="AR13" s="1124">
        <v>20</v>
      </c>
      <c r="AS13" s="1124">
        <f>AO13/$AO$13</f>
        <v>1</v>
      </c>
      <c r="AT13" s="224">
        <f>AN13*AQ13</f>
        <v>43044.530919802164</v>
      </c>
      <c r="AW13" s="224">
        <f>AA13*$C$4</f>
        <v>9.6987459430806009</v>
      </c>
      <c r="AX13" s="224" t="s">
        <v>1932</v>
      </c>
    </row>
    <row r="14" spans="1:50">
      <c r="A14" s="1122">
        <v>2020</v>
      </c>
      <c r="B14" s="1108"/>
      <c r="C14" s="1108"/>
      <c r="D14" s="1108" t="s">
        <v>1862</v>
      </c>
      <c r="E14" s="1108" t="s">
        <v>1917</v>
      </c>
      <c r="F14" s="1108"/>
      <c r="G14" s="224">
        <v>26332.535627387872</v>
      </c>
      <c r="H14" s="224">
        <v>14788.638071428571</v>
      </c>
      <c r="I14" s="224">
        <v>2.3759999999999999</v>
      </c>
      <c r="J14" s="224">
        <v>0.18839736099100321</v>
      </c>
      <c r="K14" s="224">
        <v>0.12550666692171605</v>
      </c>
      <c r="L14" s="224">
        <v>0.14532221572453397</v>
      </c>
      <c r="M14" s="224">
        <v>0</v>
      </c>
      <c r="N14" s="224">
        <v>0</v>
      </c>
      <c r="O14" s="224">
        <v>0</v>
      </c>
      <c r="P14" s="224">
        <v>0</v>
      </c>
      <c r="Q14" s="224">
        <v>0</v>
      </c>
      <c r="R14" s="224">
        <v>0</v>
      </c>
      <c r="S14" s="224">
        <v>0</v>
      </c>
      <c r="T14" s="224">
        <v>0</v>
      </c>
      <c r="U14" s="224">
        <v>0</v>
      </c>
      <c r="V14" s="224">
        <v>287.78656302857138</v>
      </c>
      <c r="W14" s="224">
        <v>0</v>
      </c>
      <c r="X14" s="224">
        <v>3.2161153846153852</v>
      </c>
      <c r="Y14" s="224">
        <v>2.3759999999999999</v>
      </c>
      <c r="Z14" s="224">
        <v>0</v>
      </c>
      <c r="AA14" s="224">
        <v>69.908740104792571</v>
      </c>
      <c r="AB14" s="224">
        <v>45.751764098419187</v>
      </c>
      <c r="AC14" s="224">
        <v>52.715685388398406</v>
      </c>
      <c r="AD14" s="1121">
        <v>9.2806164525154138</v>
      </c>
      <c r="AE14" s="224">
        <v>29481.994606924036</v>
      </c>
      <c r="AF14" s="224">
        <v>0</v>
      </c>
      <c r="AG14" s="224">
        <v>261.59999999999997</v>
      </c>
      <c r="AH14" s="224">
        <v>12048.013477633367</v>
      </c>
      <c r="AI14" s="224">
        <v>78000</v>
      </c>
      <c r="AJ14" s="224">
        <v>1235.8047393673185</v>
      </c>
      <c r="AK14" s="224">
        <v>1631.3232079293696</v>
      </c>
      <c r="AL14" s="224">
        <v>0</v>
      </c>
      <c r="AM14" s="224">
        <v>436.00000000000006</v>
      </c>
      <c r="AN14" s="1121">
        <v>123094.73603185407</v>
      </c>
      <c r="AO14" s="224">
        <f t="shared" ref="AO14:AO77" si="0">AD14*$C$4</f>
        <v>1.2228140237834308</v>
      </c>
      <c r="AP14" s="1124">
        <v>0.1</v>
      </c>
      <c r="AQ14" s="1124">
        <f>AQ13</f>
        <v>0.35400422692244193</v>
      </c>
      <c r="AR14" s="1124">
        <v>20</v>
      </c>
      <c r="AS14" s="1124">
        <f t="shared" ref="AS14:AS48" si="1">AO14/$AO$13</f>
        <v>0.92553722272544992</v>
      </c>
      <c r="AT14" s="224">
        <f t="shared" ref="AT14:AT77" si="2">AN14*AQ14</f>
        <v>43576.056867178559</v>
      </c>
    </row>
    <row r="15" spans="1:50">
      <c r="A15" s="1119">
        <v>2025</v>
      </c>
      <c r="B15" s="1120"/>
      <c r="C15" s="1120"/>
      <c r="D15" s="1120" t="s">
        <v>1862</v>
      </c>
      <c r="E15" s="1120" t="s">
        <v>1917</v>
      </c>
      <c r="F15" s="1120"/>
      <c r="G15" s="224">
        <v>26195.292266285</v>
      </c>
      <c r="H15" s="224">
        <v>14867.142864285717</v>
      </c>
      <c r="I15" s="224">
        <v>2.3760000000000003</v>
      </c>
      <c r="J15" s="224">
        <v>0.17168153260518534</v>
      </c>
      <c r="K15" s="224">
        <v>0.10664540168303958</v>
      </c>
      <c r="L15" s="224">
        <v>0.12132105842633337</v>
      </c>
      <c r="M15" s="224">
        <v>0</v>
      </c>
      <c r="N15" s="224">
        <v>0</v>
      </c>
      <c r="O15" s="224">
        <v>0</v>
      </c>
      <c r="P15" s="224">
        <v>0</v>
      </c>
      <c r="Q15" s="224">
        <v>0</v>
      </c>
      <c r="R15" s="224">
        <v>0</v>
      </c>
      <c r="S15" s="224">
        <v>0</v>
      </c>
      <c r="T15" s="224">
        <v>0</v>
      </c>
      <c r="U15" s="224">
        <v>0</v>
      </c>
      <c r="V15" s="224">
        <v>281.7640115785714</v>
      </c>
      <c r="W15" s="224">
        <v>0</v>
      </c>
      <c r="X15" s="224">
        <v>3.2567207357859536</v>
      </c>
      <c r="Y15" s="224">
        <v>2.3760000000000003</v>
      </c>
      <c r="Z15" s="224">
        <v>0</v>
      </c>
      <c r="AA15" s="224">
        <v>63.826054707962932</v>
      </c>
      <c r="AB15" s="224">
        <v>38.955322779931315</v>
      </c>
      <c r="AC15" s="224">
        <v>44.085858181948602</v>
      </c>
      <c r="AD15" s="1121">
        <v>7.8306165260302167</v>
      </c>
      <c r="AE15" s="224">
        <v>29423.839794467323</v>
      </c>
      <c r="AF15" s="224">
        <v>0</v>
      </c>
      <c r="AG15" s="224">
        <v>211.19999999999996</v>
      </c>
      <c r="AH15" s="224">
        <v>11817.22310363203</v>
      </c>
      <c r="AI15" s="224">
        <v>78000</v>
      </c>
      <c r="AJ15" s="224">
        <v>3001.6221048198017</v>
      </c>
      <c r="AK15" s="224">
        <v>4684.2551232572232</v>
      </c>
      <c r="AL15" s="224">
        <v>0</v>
      </c>
      <c r="AM15" s="224">
        <v>352.00000000000006</v>
      </c>
      <c r="AN15" s="1121">
        <v>127490.1401261764</v>
      </c>
      <c r="AO15" s="224">
        <f t="shared" si="0"/>
        <v>1.0317620334697413</v>
      </c>
      <c r="AP15" s="1124">
        <v>0.1</v>
      </c>
      <c r="AQ15" s="1124">
        <f t="shared" ref="AQ15:AQ78" si="3">AQ14</f>
        <v>0.35400422692244193</v>
      </c>
      <c r="AR15" s="1124">
        <v>20</v>
      </c>
      <c r="AS15" s="1124">
        <f t="shared" si="1"/>
        <v>0.78093164487641886</v>
      </c>
      <c r="AT15" s="224">
        <f t="shared" si="2"/>
        <v>45132.048495600866</v>
      </c>
      <c r="AW15" s="224">
        <f>AW13*365</f>
        <v>3540.0422692244192</v>
      </c>
      <c r="AX15" s="224" t="s">
        <v>1933</v>
      </c>
    </row>
    <row r="16" spans="1:50">
      <c r="A16" s="1119">
        <v>2030</v>
      </c>
      <c r="B16" s="1108"/>
      <c r="C16" s="1108"/>
      <c r="D16" s="1108" t="s">
        <v>1862</v>
      </c>
      <c r="E16" s="1108" t="s">
        <v>1917</v>
      </c>
      <c r="F16" s="1108"/>
      <c r="G16" s="224">
        <v>26117.947076364519</v>
      </c>
      <c r="H16" s="224">
        <v>14946.571435714286</v>
      </c>
      <c r="I16" s="224">
        <v>2.3760000000000003</v>
      </c>
      <c r="J16" s="224">
        <v>0.15957393872617764</v>
      </c>
      <c r="K16" s="224">
        <v>9.7323618510881268E-2</v>
      </c>
      <c r="L16" s="224">
        <v>0.11048419632192973</v>
      </c>
      <c r="M16" s="224">
        <v>0</v>
      </c>
      <c r="N16" s="224">
        <v>0</v>
      </c>
      <c r="O16" s="224">
        <v>0</v>
      </c>
      <c r="P16" s="224">
        <v>0</v>
      </c>
      <c r="Q16" s="224">
        <v>0</v>
      </c>
      <c r="R16" s="224">
        <v>0</v>
      </c>
      <c r="S16" s="224">
        <v>0</v>
      </c>
      <c r="T16" s="224">
        <v>0</v>
      </c>
      <c r="U16" s="224">
        <v>0</v>
      </c>
      <c r="V16" s="224">
        <v>278.98241930000006</v>
      </c>
      <c r="W16" s="224">
        <v>0</v>
      </c>
      <c r="X16" s="224">
        <v>3.2973260869565215</v>
      </c>
      <c r="Y16" s="224">
        <v>2.3760000000000003</v>
      </c>
      <c r="Z16" s="224">
        <v>0</v>
      </c>
      <c r="AA16" s="224">
        <v>59.198506197950238</v>
      </c>
      <c r="AB16" s="224">
        <v>35.476576416898716</v>
      </c>
      <c r="AC16" s="224">
        <v>40.058437305236893</v>
      </c>
      <c r="AD16" s="1121">
        <v>7.1386366986433591</v>
      </c>
      <c r="AE16" s="224">
        <v>29691.188496201441</v>
      </c>
      <c r="AF16" s="224">
        <v>0</v>
      </c>
      <c r="AG16" s="224">
        <v>177.59999999999994</v>
      </c>
      <c r="AH16" s="224">
        <v>11710.629622842302</v>
      </c>
      <c r="AI16" s="224">
        <v>78000</v>
      </c>
      <c r="AJ16" s="224">
        <v>4652.3376046714302</v>
      </c>
      <c r="AK16" s="224">
        <v>6053.4260506112532</v>
      </c>
      <c r="AL16" s="224">
        <v>0</v>
      </c>
      <c r="AM16" s="224">
        <v>296</v>
      </c>
      <c r="AN16" s="1121">
        <v>130581.18177432647</v>
      </c>
      <c r="AO16" s="224">
        <f t="shared" si="0"/>
        <v>0.94058677141324887</v>
      </c>
      <c r="AP16" s="1124">
        <v>0.1</v>
      </c>
      <c r="AQ16" s="1124">
        <f t="shared" si="3"/>
        <v>0.35400422692244193</v>
      </c>
      <c r="AR16" s="1124">
        <v>20</v>
      </c>
      <c r="AS16" s="1124">
        <f t="shared" si="1"/>
        <v>0.71192188772304776</v>
      </c>
      <c r="AT16" s="224">
        <f t="shared" si="2"/>
        <v>46226.290304639304</v>
      </c>
    </row>
    <row r="17" spans="1:50">
      <c r="A17" s="1119">
        <v>2035</v>
      </c>
      <c r="B17" s="1120"/>
      <c r="C17" s="1120"/>
      <c r="D17" s="1120" t="s">
        <v>1862</v>
      </c>
      <c r="E17" s="1120" t="s">
        <v>1917</v>
      </c>
      <c r="F17" s="1120"/>
      <c r="G17" s="224">
        <v>26069.45064160672</v>
      </c>
      <c r="H17" s="224">
        <v>15014.842857142854</v>
      </c>
      <c r="I17" s="224">
        <v>2.3760000000000003</v>
      </c>
      <c r="J17" s="224">
        <v>0.15291445572180104</v>
      </c>
      <c r="K17" s="224">
        <v>9.2203225081430543E-2</v>
      </c>
      <c r="L17" s="224">
        <v>0.10449100066881481</v>
      </c>
      <c r="M17" s="224">
        <v>0</v>
      </c>
      <c r="N17" s="224">
        <v>0</v>
      </c>
      <c r="O17" s="224">
        <v>0</v>
      </c>
      <c r="P17" s="224">
        <v>0</v>
      </c>
      <c r="Q17" s="224">
        <v>0</v>
      </c>
      <c r="R17" s="224">
        <v>0</v>
      </c>
      <c r="S17" s="224">
        <v>0</v>
      </c>
      <c r="T17" s="224">
        <v>0</v>
      </c>
      <c r="U17" s="224">
        <v>0</v>
      </c>
      <c r="V17" s="224">
        <v>277.53540537142857</v>
      </c>
      <c r="W17" s="224">
        <v>0</v>
      </c>
      <c r="X17" s="224">
        <v>3.2973260869565215</v>
      </c>
      <c r="Y17" s="224">
        <v>2.3760000000000003</v>
      </c>
      <c r="Z17" s="224">
        <v>0</v>
      </c>
      <c r="AA17" s="224">
        <v>56.74412582077575</v>
      </c>
      <c r="AB17" s="224">
        <v>33.631101688178283</v>
      </c>
      <c r="AC17" s="224">
        <v>37.904508354029971</v>
      </c>
      <c r="AD17" s="1121">
        <v>6.7386069924535423</v>
      </c>
      <c r="AE17" s="224">
        <v>29942.241707242159</v>
      </c>
      <c r="AF17" s="224">
        <v>0</v>
      </c>
      <c r="AG17" s="224">
        <v>144</v>
      </c>
      <c r="AH17" s="224">
        <v>11655.178558865069</v>
      </c>
      <c r="AI17" s="224">
        <v>78000</v>
      </c>
      <c r="AJ17" s="224">
        <v>6198.9956242500029</v>
      </c>
      <c r="AK17" s="224">
        <v>7508.9546426144352</v>
      </c>
      <c r="AL17" s="224">
        <v>0</v>
      </c>
      <c r="AM17" s="224">
        <v>240</v>
      </c>
      <c r="AN17" s="1121">
        <v>133689.37053297169</v>
      </c>
      <c r="AO17" s="224">
        <f t="shared" si="0"/>
        <v>0.88787885732567862</v>
      </c>
      <c r="AP17" s="1124">
        <v>0.1</v>
      </c>
      <c r="AQ17" s="1124">
        <f t="shared" si="3"/>
        <v>0.35400422692244193</v>
      </c>
      <c r="AR17" s="1124">
        <v>20</v>
      </c>
      <c r="AS17" s="1124">
        <f t="shared" si="1"/>
        <v>0.67202772927258725</v>
      </c>
      <c r="AT17" s="224">
        <f t="shared" si="2"/>
        <v>47326.602263272529</v>
      </c>
    </row>
    <row r="18" spans="1:50">
      <c r="A18" s="1119">
        <v>2050</v>
      </c>
      <c r="B18" s="1108"/>
      <c r="C18" s="1108"/>
      <c r="D18" s="1108" t="s">
        <v>1862</v>
      </c>
      <c r="E18" s="1108" t="s">
        <v>1917</v>
      </c>
      <c r="F18" s="1108"/>
      <c r="G18" s="224">
        <v>25863.710394384048</v>
      </c>
      <c r="H18" s="224">
        <v>15132.571428571429</v>
      </c>
      <c r="I18" s="224">
        <v>2.3760000000000003</v>
      </c>
      <c r="J18" s="224">
        <v>0.14396819386129797</v>
      </c>
      <c r="K18" s="224">
        <v>8.5966418327038177E-2</v>
      </c>
      <c r="L18" s="224">
        <v>9.7330107363680668E-2</v>
      </c>
      <c r="M18" s="224">
        <v>0</v>
      </c>
      <c r="N18" s="224">
        <v>0</v>
      </c>
      <c r="O18" s="224">
        <v>0</v>
      </c>
      <c r="P18" s="224">
        <v>0</v>
      </c>
      <c r="Q18" s="224">
        <v>0</v>
      </c>
      <c r="R18" s="224">
        <v>0</v>
      </c>
      <c r="S18" s="224">
        <v>0</v>
      </c>
      <c r="T18" s="224">
        <v>0</v>
      </c>
      <c r="U18" s="224">
        <v>0</v>
      </c>
      <c r="V18" s="224">
        <v>273.7042530357142</v>
      </c>
      <c r="W18" s="224">
        <v>0</v>
      </c>
      <c r="X18" s="224">
        <v>3.2973260869565215</v>
      </c>
      <c r="Y18" s="224">
        <v>2.3760000000000003</v>
      </c>
      <c r="Z18" s="224">
        <v>0</v>
      </c>
      <c r="AA18" s="224">
        <v>53.506648598408908</v>
      </c>
      <c r="AB18" s="224">
        <v>31.458414224639274</v>
      </c>
      <c r="AC18" s="224">
        <v>35.4325252239639</v>
      </c>
      <c r="AD18" s="1121">
        <v>6.2334834458202755</v>
      </c>
      <c r="AE18" s="224">
        <v>30406.811189858428</v>
      </c>
      <c r="AF18" s="224">
        <v>0</v>
      </c>
      <c r="AG18" s="224">
        <v>144</v>
      </c>
      <c r="AH18" s="224">
        <v>11508.364855776552</v>
      </c>
      <c r="AI18" s="224">
        <v>78000</v>
      </c>
      <c r="AJ18" s="224">
        <v>8872.2189929999986</v>
      </c>
      <c r="AK18" s="224">
        <v>9328.7717626399844</v>
      </c>
      <c r="AL18" s="224">
        <v>0</v>
      </c>
      <c r="AM18" s="224">
        <v>240</v>
      </c>
      <c r="AN18" s="1121">
        <v>138500.16680127496</v>
      </c>
      <c r="AO18" s="224">
        <f t="shared" si="0"/>
        <v>0.82132377882127938</v>
      </c>
      <c r="AP18" s="1124">
        <v>0.1</v>
      </c>
      <c r="AQ18" s="1124">
        <f t="shared" si="3"/>
        <v>0.35400422692244193</v>
      </c>
      <c r="AR18" s="1124">
        <v>20</v>
      </c>
      <c r="AS18" s="1124">
        <f t="shared" si="1"/>
        <v>0.62165277337647662</v>
      </c>
      <c r="AT18" s="224">
        <f t="shared" si="2"/>
        <v>49029.644477114598</v>
      </c>
      <c r="AW18" s="224">
        <v>9.7627813729303412</v>
      </c>
      <c r="AX18" s="224" t="s">
        <v>1931</v>
      </c>
    </row>
    <row r="19" spans="1:50">
      <c r="A19" s="1119">
        <v>2017</v>
      </c>
      <c r="B19" s="1120"/>
      <c r="C19" s="1120"/>
      <c r="D19" s="1108" t="s">
        <v>1862</v>
      </c>
      <c r="E19" s="1120" t="s">
        <v>1918</v>
      </c>
      <c r="F19" s="1120"/>
      <c r="G19" s="224">
        <v>27064.634931718221</v>
      </c>
      <c r="H19" s="224">
        <v>15303</v>
      </c>
      <c r="I19" s="224">
        <v>0.48412446720000002</v>
      </c>
      <c r="J19" s="224">
        <v>0.1996787429222229</v>
      </c>
      <c r="K19" s="224">
        <v>0.13806601477218242</v>
      </c>
      <c r="L19" s="224">
        <v>0.16342551705769728</v>
      </c>
      <c r="M19" s="224">
        <v>0</v>
      </c>
      <c r="N19" s="224">
        <v>0</v>
      </c>
      <c r="O19" s="224">
        <v>0</v>
      </c>
      <c r="P19" s="224">
        <v>0</v>
      </c>
      <c r="Q19" s="224">
        <v>0</v>
      </c>
      <c r="R19" s="224">
        <v>0</v>
      </c>
      <c r="S19" s="224">
        <v>0</v>
      </c>
      <c r="T19" s="224">
        <v>0</v>
      </c>
      <c r="U19" s="224">
        <v>0</v>
      </c>
      <c r="V19" s="224">
        <v>299.68644853333331</v>
      </c>
      <c r="W19" s="224">
        <v>14</v>
      </c>
      <c r="X19" s="224">
        <v>14.215581550239234</v>
      </c>
      <c r="Y19" s="224">
        <v>0.48412446720000002</v>
      </c>
      <c r="Z19" s="224">
        <v>0</v>
      </c>
      <c r="AA19" s="224">
        <v>68.273245431470727</v>
      </c>
      <c r="AB19" s="224">
        <v>46.40919616719561</v>
      </c>
      <c r="AC19" s="224">
        <v>54.500515295319644</v>
      </c>
      <c r="AD19" s="1121">
        <v>9.9757543924584038</v>
      </c>
      <c r="AE19" s="224">
        <v>30568.311523208951</v>
      </c>
      <c r="AF19" s="224">
        <v>2238.6</v>
      </c>
      <c r="AG19" s="224">
        <v>657.03734372440192</v>
      </c>
      <c r="AH19" s="224">
        <v>12504.029345495663</v>
      </c>
      <c r="AI19" s="224">
        <v>77200</v>
      </c>
      <c r="AJ19" s="224">
        <v>0</v>
      </c>
      <c r="AK19" s="224">
        <v>791.37040000000013</v>
      </c>
      <c r="AL19" s="224">
        <v>0</v>
      </c>
      <c r="AM19" s="224">
        <v>436.00000000000006</v>
      </c>
      <c r="AN19" s="1121">
        <v>124395.34861242901</v>
      </c>
      <c r="AO19" s="224">
        <f t="shared" si="0"/>
        <v>1.3144053987503193</v>
      </c>
      <c r="AP19" s="1124">
        <v>0.1</v>
      </c>
      <c r="AQ19" s="1124">
        <f t="shared" si="3"/>
        <v>0.35400422692244193</v>
      </c>
      <c r="AR19" s="1124">
        <v>20</v>
      </c>
      <c r="AS19" s="1124">
        <f t="shared" si="1"/>
        <v>0.99486193209554197</v>
      </c>
      <c r="AT19" s="224">
        <f t="shared" si="2"/>
        <v>44036.479218290588</v>
      </c>
    </row>
    <row r="20" spans="1:50">
      <c r="A20" s="1122">
        <v>2020</v>
      </c>
      <c r="D20" s="1108" t="s">
        <v>1862</v>
      </c>
      <c r="E20" s="224" t="s">
        <v>1918</v>
      </c>
      <c r="G20" s="224">
        <v>26933.67908247991</v>
      </c>
      <c r="H20" s="224">
        <v>15351.977766666669</v>
      </c>
      <c r="I20" s="224">
        <v>0.41651681280000008</v>
      </c>
      <c r="J20" s="224">
        <v>0.18730253189038781</v>
      </c>
      <c r="K20" s="224">
        <v>0.12679058464843229</v>
      </c>
      <c r="L20" s="224">
        <v>0.148829156445658</v>
      </c>
      <c r="M20" s="224">
        <v>0</v>
      </c>
      <c r="N20" s="224">
        <v>0</v>
      </c>
      <c r="O20" s="224">
        <v>0</v>
      </c>
      <c r="P20" s="224">
        <v>0</v>
      </c>
      <c r="Q20" s="224">
        <v>0</v>
      </c>
      <c r="R20" s="224">
        <v>0</v>
      </c>
      <c r="S20" s="224">
        <v>0</v>
      </c>
      <c r="T20" s="224">
        <v>0</v>
      </c>
      <c r="U20" s="224">
        <v>0</v>
      </c>
      <c r="V20" s="224">
        <v>291.91944619999998</v>
      </c>
      <c r="W20" s="224">
        <v>12.117333333333335</v>
      </c>
      <c r="X20" s="224">
        <v>12.239094047846889</v>
      </c>
      <c r="Y20" s="224">
        <v>0.41651681280000008</v>
      </c>
      <c r="Z20" s="224">
        <v>0</v>
      </c>
      <c r="AA20" s="224">
        <v>63.867094268472336</v>
      </c>
      <c r="AB20" s="224">
        <v>42.53484647536893</v>
      </c>
      <c r="AC20" s="224">
        <v>49.560332426153757</v>
      </c>
      <c r="AD20" s="1121">
        <v>9.1263532909671898</v>
      </c>
      <c r="AE20" s="224">
        <v>29944.409095160761</v>
      </c>
      <c r="AF20" s="224">
        <v>1413.3756000000001</v>
      </c>
      <c r="AG20" s="224">
        <v>565.28252306985644</v>
      </c>
      <c r="AH20" s="224">
        <v>12206.389817089599</v>
      </c>
      <c r="AI20" s="224">
        <v>77200</v>
      </c>
      <c r="AJ20" s="224">
        <v>1248.1013039381367</v>
      </c>
      <c r="AK20" s="224">
        <v>1864.475097070389</v>
      </c>
      <c r="AL20" s="224">
        <v>0</v>
      </c>
      <c r="AM20" s="224">
        <v>436.00000000000006</v>
      </c>
      <c r="AN20" s="1121">
        <v>124878.03343632874</v>
      </c>
      <c r="AO20" s="224">
        <f t="shared" si="0"/>
        <v>1.2024883096178369</v>
      </c>
      <c r="AP20" s="1124">
        <v>0.1</v>
      </c>
      <c r="AQ20" s="1124">
        <f t="shared" si="3"/>
        <v>0.35400422692244193</v>
      </c>
      <c r="AR20" s="1124">
        <v>20</v>
      </c>
      <c r="AS20" s="1124">
        <f t="shared" si="1"/>
        <v>0.91015286772718984</v>
      </c>
      <c r="AT20" s="224">
        <f t="shared" si="2"/>
        <v>44207.351686222413</v>
      </c>
      <c r="AW20" s="224">
        <f>AW18*1000000/AW15</f>
        <v>2757.8149158849587</v>
      </c>
      <c r="AX20" s="224" t="s">
        <v>1929</v>
      </c>
    </row>
    <row r="21" spans="1:50">
      <c r="A21" s="1119">
        <v>2025</v>
      </c>
      <c r="D21" s="1108" t="s">
        <v>1862</v>
      </c>
      <c r="E21" s="224" t="s">
        <v>1918</v>
      </c>
      <c r="G21" s="224">
        <v>26751.233065459473</v>
      </c>
      <c r="H21" s="224">
        <v>15429.111116666667</v>
      </c>
      <c r="I21" s="224">
        <v>0.33284190720000001</v>
      </c>
      <c r="J21" s="224">
        <v>0.17238403550125492</v>
      </c>
      <c r="K21" s="224">
        <v>0.10778459570583571</v>
      </c>
      <c r="L21" s="224">
        <v>0.12400449076458737</v>
      </c>
      <c r="M21" s="224">
        <v>0</v>
      </c>
      <c r="N21" s="224">
        <v>0</v>
      </c>
      <c r="O21" s="224">
        <v>0</v>
      </c>
      <c r="P21" s="224">
        <v>0</v>
      </c>
      <c r="Q21" s="224">
        <v>0</v>
      </c>
      <c r="R21" s="224">
        <v>0</v>
      </c>
      <c r="S21" s="224">
        <v>0</v>
      </c>
      <c r="T21" s="224">
        <v>0</v>
      </c>
      <c r="U21" s="224">
        <v>0</v>
      </c>
      <c r="V21" s="224">
        <v>285.55183858333334</v>
      </c>
      <c r="W21" s="224">
        <v>9.6253333333333337</v>
      </c>
      <c r="X21" s="224">
        <v>9.1781984365108578</v>
      </c>
      <c r="Y21" s="224">
        <v>0.33284190720000001</v>
      </c>
      <c r="Z21" s="224">
        <v>0</v>
      </c>
      <c r="AA21" s="224">
        <v>58.950679135830207</v>
      </c>
      <c r="AB21" s="224">
        <v>36.392585050499342</v>
      </c>
      <c r="AC21" s="224">
        <v>41.653059360502169</v>
      </c>
      <c r="AD21" s="1121">
        <v>7.7095277276779193</v>
      </c>
      <c r="AE21" s="224">
        <v>29846.466359674709</v>
      </c>
      <c r="AF21" s="224">
        <v>689.96080000000018</v>
      </c>
      <c r="AG21" s="224">
        <v>307.2586829110931</v>
      </c>
      <c r="AH21" s="224">
        <v>11962.376535419047</v>
      </c>
      <c r="AI21" s="224">
        <v>77200</v>
      </c>
      <c r="AJ21" s="224">
        <v>2980.6412058654009</v>
      </c>
      <c r="AK21" s="224">
        <v>5016.6108153929827</v>
      </c>
      <c r="AL21" s="224">
        <v>0</v>
      </c>
      <c r="AM21" s="224">
        <v>352.00000000000006</v>
      </c>
      <c r="AN21" s="1121">
        <v>128355.31439926322</v>
      </c>
      <c r="AO21" s="224">
        <f t="shared" si="0"/>
        <v>1.0158073733988426</v>
      </c>
      <c r="AP21" s="1124">
        <v>0.1</v>
      </c>
      <c r="AQ21" s="1124">
        <f t="shared" si="3"/>
        <v>0.35400422692244193</v>
      </c>
      <c r="AR21" s="1124">
        <v>20</v>
      </c>
      <c r="AS21" s="1124">
        <f t="shared" si="1"/>
        <v>0.76885570243190904</v>
      </c>
      <c r="AT21" s="224">
        <f t="shared" si="2"/>
        <v>45438.32384529816</v>
      </c>
      <c r="AW21" s="224">
        <v>24123</v>
      </c>
      <c r="AX21" s="224" t="s">
        <v>1930</v>
      </c>
    </row>
    <row r="22" spans="1:50">
      <c r="A22" s="1119">
        <v>2030</v>
      </c>
      <c r="D22" s="1108" t="s">
        <v>1862</v>
      </c>
      <c r="E22" s="224" t="s">
        <v>1918</v>
      </c>
      <c r="G22" s="224">
        <v>26579.322414015111</v>
      </c>
      <c r="H22" s="224">
        <v>15509.111116666667</v>
      </c>
      <c r="I22" s="224">
        <v>0.27232888319999998</v>
      </c>
      <c r="J22" s="224">
        <v>0.15984744337042828</v>
      </c>
      <c r="K22" s="224">
        <v>9.8031943713811465E-2</v>
      </c>
      <c r="L22" s="224">
        <v>0.11229520588268865</v>
      </c>
      <c r="M22" s="224">
        <v>0</v>
      </c>
      <c r="N22" s="224">
        <v>0</v>
      </c>
      <c r="O22" s="224">
        <v>0</v>
      </c>
      <c r="P22" s="224">
        <v>0</v>
      </c>
      <c r="Q22" s="224">
        <v>0</v>
      </c>
      <c r="R22" s="224">
        <v>0</v>
      </c>
      <c r="S22" s="224">
        <v>0</v>
      </c>
      <c r="T22" s="224">
        <v>0</v>
      </c>
      <c r="U22" s="224">
        <v>0</v>
      </c>
      <c r="V22" s="224">
        <v>283.00400015000002</v>
      </c>
      <c r="W22" s="224">
        <v>7.8753333333333337</v>
      </c>
      <c r="X22" s="224">
        <v>6.174096946651602</v>
      </c>
      <c r="Y22" s="224">
        <v>0.27232888319999998</v>
      </c>
      <c r="Z22" s="224">
        <v>0</v>
      </c>
      <c r="AA22" s="224">
        <v>54.640994921058883</v>
      </c>
      <c r="AB22" s="224">
        <v>33.064758414850395</v>
      </c>
      <c r="AC22" s="224">
        <v>37.692864771707981</v>
      </c>
      <c r="AD22" s="1121">
        <v>6.9923396615588631</v>
      </c>
      <c r="AE22" s="224">
        <v>30170.945759665145</v>
      </c>
      <c r="AF22" s="224">
        <v>434.70764000000008</v>
      </c>
      <c r="AG22" s="224">
        <v>160.75132163888233</v>
      </c>
      <c r="AH22" s="224">
        <v>11864.740742714612</v>
      </c>
      <c r="AI22" s="224">
        <v>77200</v>
      </c>
      <c r="AJ22" s="224">
        <v>4645.2328152999999</v>
      </c>
      <c r="AK22" s="224">
        <v>6503.1130127197384</v>
      </c>
      <c r="AL22" s="224">
        <v>0</v>
      </c>
      <c r="AM22" s="224">
        <v>296</v>
      </c>
      <c r="AN22" s="1121">
        <v>131275.49129203838</v>
      </c>
      <c r="AO22" s="224">
        <f t="shared" si="0"/>
        <v>0.92131067380699572</v>
      </c>
      <c r="AP22" s="1124">
        <v>0.1</v>
      </c>
      <c r="AQ22" s="1124">
        <f t="shared" si="3"/>
        <v>0.35400422692244193</v>
      </c>
      <c r="AR22" s="1124">
        <v>20</v>
      </c>
      <c r="AS22" s="1124">
        <f t="shared" si="1"/>
        <v>0.69733197830388993</v>
      </c>
      <c r="AT22" s="224">
        <f t="shared" si="2"/>
        <v>46472.078808701801</v>
      </c>
    </row>
    <row r="23" spans="1:50">
      <c r="A23" s="1119">
        <v>2035</v>
      </c>
      <c r="D23" s="1108" t="s">
        <v>1862</v>
      </c>
      <c r="E23" s="224" t="s">
        <v>1918</v>
      </c>
      <c r="G23" s="224">
        <v>26428.452296018761</v>
      </c>
      <c r="H23" s="224">
        <v>15580.433333333334</v>
      </c>
      <c r="I23" s="224">
        <v>0.24206223360000004</v>
      </c>
      <c r="J23" s="224">
        <v>0.1531460094703587</v>
      </c>
      <c r="K23" s="224">
        <v>9.2556344439821039E-2</v>
      </c>
      <c r="L23" s="224">
        <v>0.10565727415765568</v>
      </c>
      <c r="M23" s="224">
        <v>0</v>
      </c>
      <c r="N23" s="224">
        <v>0</v>
      </c>
      <c r="O23" s="224">
        <v>0</v>
      </c>
      <c r="P23" s="224">
        <v>0</v>
      </c>
      <c r="Q23" s="224">
        <v>0</v>
      </c>
      <c r="R23" s="224">
        <v>0</v>
      </c>
      <c r="S23" s="224">
        <v>0</v>
      </c>
      <c r="T23" s="224">
        <v>0</v>
      </c>
      <c r="U23" s="224">
        <v>0</v>
      </c>
      <c r="V23" s="224">
        <v>281.05052640000002</v>
      </c>
      <c r="W23" s="224">
        <v>7</v>
      </c>
      <c r="X23" s="224">
        <v>4.5745021484716135</v>
      </c>
      <c r="Y23" s="224">
        <v>0.24206223360000004</v>
      </c>
      <c r="Z23" s="224">
        <v>0</v>
      </c>
      <c r="AA23" s="224">
        <v>52.401365769806553</v>
      </c>
      <c r="AB23" s="224">
        <v>31.249715520685324</v>
      </c>
      <c r="AC23" s="224">
        <v>35.508543825484701</v>
      </c>
      <c r="AD23" s="1121">
        <v>6.571796648484125</v>
      </c>
      <c r="AE23" s="224">
        <v>30355.09871399324</v>
      </c>
      <c r="AF23" s="224">
        <v>322.20479999999998</v>
      </c>
      <c r="AG23" s="224">
        <v>90.026186955458471</v>
      </c>
      <c r="AH23" s="224">
        <v>11789.881616793109</v>
      </c>
      <c r="AI23" s="224">
        <v>77200</v>
      </c>
      <c r="AJ23" s="224">
        <v>6260.6771727500018</v>
      </c>
      <c r="AK23" s="224">
        <v>8246.7711471673647</v>
      </c>
      <c r="AL23" s="224">
        <v>0</v>
      </c>
      <c r="AM23" s="224">
        <v>240</v>
      </c>
      <c r="AN23" s="1121">
        <v>134504.65963765918</v>
      </c>
      <c r="AO23" s="224">
        <f t="shared" si="0"/>
        <v>0.86589992640426827</v>
      </c>
      <c r="AP23" s="1124">
        <v>0.1</v>
      </c>
      <c r="AQ23" s="1124">
        <f t="shared" si="3"/>
        <v>0.35400422692244193</v>
      </c>
      <c r="AR23" s="1124">
        <v>20</v>
      </c>
      <c r="AS23" s="1124">
        <f t="shared" si="1"/>
        <v>0.65539206899406288</v>
      </c>
      <c r="AT23" s="224">
        <f t="shared" si="2"/>
        <v>47615.218052495715</v>
      </c>
    </row>
    <row r="24" spans="1:50">
      <c r="A24" s="1119">
        <v>2050</v>
      </c>
      <c r="D24" s="1108" t="s">
        <v>1862</v>
      </c>
      <c r="E24" s="224" t="s">
        <v>1918</v>
      </c>
      <c r="G24" s="224">
        <v>26174.90858593733</v>
      </c>
      <c r="H24" s="224">
        <v>15699.333333333334</v>
      </c>
      <c r="I24" s="224">
        <v>0.18154752000000005</v>
      </c>
      <c r="J24" s="224">
        <v>0.14475690294206744</v>
      </c>
      <c r="K24" s="224">
        <v>8.6241312804220316E-2</v>
      </c>
      <c r="L24" s="224">
        <v>9.8144165948491444E-2</v>
      </c>
      <c r="M24" s="224">
        <v>0</v>
      </c>
      <c r="N24" s="224">
        <v>0</v>
      </c>
      <c r="O24" s="224">
        <v>0</v>
      </c>
      <c r="P24" s="224">
        <v>0</v>
      </c>
      <c r="Q24" s="224">
        <v>0</v>
      </c>
      <c r="R24" s="224">
        <v>0</v>
      </c>
      <c r="S24" s="224">
        <v>0</v>
      </c>
      <c r="T24" s="224">
        <v>0</v>
      </c>
      <c r="U24" s="224">
        <v>0</v>
      </c>
      <c r="V24" s="224">
        <v>277.31043770000002</v>
      </c>
      <c r="W24" s="224">
        <v>5.25</v>
      </c>
      <c r="X24" s="224">
        <v>3.4308925764192129</v>
      </c>
      <c r="Y24" s="224">
        <v>0.18154752000000005</v>
      </c>
      <c r="Z24" s="224">
        <v>0</v>
      </c>
      <c r="AA24" s="224">
        <v>49.585186569049476</v>
      </c>
      <c r="AB24" s="224">
        <v>29.217265626344936</v>
      </c>
      <c r="AC24" s="224">
        <v>33.112056706393943</v>
      </c>
      <c r="AD24" s="1121">
        <v>6.0732321204434214</v>
      </c>
      <c r="AE24" s="224">
        <v>30813.759914632286</v>
      </c>
      <c r="AF24" s="224">
        <v>145.26</v>
      </c>
      <c r="AG24" s="224">
        <v>64.50072934847158</v>
      </c>
      <c r="AH24" s="224">
        <v>11646.557566008756</v>
      </c>
      <c r="AI24" s="224">
        <v>77200</v>
      </c>
      <c r="AJ24" s="224">
        <v>8960.4997789999998</v>
      </c>
      <c r="AK24" s="224">
        <v>10325.102059837716</v>
      </c>
      <c r="AL24" s="224">
        <v>0</v>
      </c>
      <c r="AM24" s="224">
        <v>240</v>
      </c>
      <c r="AN24" s="1121">
        <v>139395.68004882723</v>
      </c>
      <c r="AO24" s="224">
        <f t="shared" si="0"/>
        <v>0.80020906418962512</v>
      </c>
      <c r="AP24" s="1124">
        <v>0.1</v>
      </c>
      <c r="AQ24" s="1124">
        <f t="shared" si="3"/>
        <v>0.35400422692244193</v>
      </c>
      <c r="AR24" s="1124">
        <v>20</v>
      </c>
      <c r="AS24" s="1124">
        <f t="shared" si="1"/>
        <v>0.60567123083711594</v>
      </c>
      <c r="AT24" s="224">
        <f t="shared" si="2"/>
        <v>49346.659952013142</v>
      </c>
    </row>
    <row r="25" spans="1:50">
      <c r="A25" s="1119">
        <v>2017</v>
      </c>
      <c r="D25" s="1108" t="s">
        <v>1862</v>
      </c>
      <c r="E25" s="224" t="s">
        <v>1919</v>
      </c>
      <c r="G25" s="224">
        <v>27322.508461019064</v>
      </c>
      <c r="H25" s="224">
        <v>15303</v>
      </c>
      <c r="I25" s="224">
        <v>3.1046400000000003</v>
      </c>
      <c r="J25" s="224">
        <v>0.19623957929621064</v>
      </c>
      <c r="K25" s="224">
        <v>0.14131658301024555</v>
      </c>
      <c r="L25" s="224">
        <v>0.16005264821116735</v>
      </c>
      <c r="M25" s="224">
        <v>0</v>
      </c>
      <c r="N25" s="224">
        <v>0</v>
      </c>
      <c r="O25" s="224">
        <v>0</v>
      </c>
      <c r="P25" s="224">
        <v>0</v>
      </c>
      <c r="Q25" s="224">
        <v>0</v>
      </c>
      <c r="R25" s="224">
        <v>0</v>
      </c>
      <c r="S25" s="224">
        <v>0</v>
      </c>
      <c r="T25" s="224">
        <v>0</v>
      </c>
      <c r="U25" s="224">
        <v>0</v>
      </c>
      <c r="V25" s="224">
        <v>298.93931560000004</v>
      </c>
      <c r="W25" s="224">
        <v>74.0372737</v>
      </c>
      <c r="X25" s="224">
        <v>96.640191387559796</v>
      </c>
      <c r="Y25" s="224">
        <v>3.1046400000000003</v>
      </c>
      <c r="Z25" s="224">
        <v>0</v>
      </c>
      <c r="AA25" s="224">
        <v>67.106824171911384</v>
      </c>
      <c r="AB25" s="224">
        <v>47.534969912251704</v>
      </c>
      <c r="AC25" s="224">
        <v>53.842425871708741</v>
      </c>
      <c r="AD25" s="1121">
        <v>9.8245444546329725</v>
      </c>
      <c r="AE25" s="224">
        <v>30596.843031001426</v>
      </c>
      <c r="AF25" s="224">
        <v>4814.1990417300003</v>
      </c>
      <c r="AG25" s="224">
        <v>4213.512344497607</v>
      </c>
      <c r="AH25" s="224">
        <v>13705.966834241088</v>
      </c>
      <c r="AI25" s="224">
        <v>77200</v>
      </c>
      <c r="AJ25" s="224">
        <v>0</v>
      </c>
      <c r="AK25" s="224">
        <v>791.37040000000013</v>
      </c>
      <c r="AL25" s="224">
        <v>0</v>
      </c>
      <c r="AM25" s="224">
        <v>436.00000000000006</v>
      </c>
      <c r="AN25" s="1121">
        <v>131757.89165147013</v>
      </c>
      <c r="AO25" s="224">
        <f t="shared" si="0"/>
        <v>1.2944819773424403</v>
      </c>
      <c r="AP25" s="1124">
        <v>0.1</v>
      </c>
      <c r="AQ25" s="1124">
        <f t="shared" si="3"/>
        <v>0.35400422692244193</v>
      </c>
      <c r="AR25" s="1124">
        <v>20</v>
      </c>
      <c r="AS25" s="1124">
        <f t="shared" si="1"/>
        <v>0.97978206896150344</v>
      </c>
      <c r="AT25" s="224">
        <f t="shared" si="2"/>
        <v>46642.85057500955</v>
      </c>
    </row>
    <row r="26" spans="1:50">
      <c r="A26" s="1122">
        <v>2020</v>
      </c>
      <c r="D26" s="1108" t="s">
        <v>1862</v>
      </c>
      <c r="E26" s="224" t="s">
        <v>1919</v>
      </c>
      <c r="G26" s="224">
        <v>27213.060441985086</v>
      </c>
      <c r="H26" s="224">
        <v>15351.977766666669</v>
      </c>
      <c r="I26" s="224">
        <v>3.1468800000000008</v>
      </c>
      <c r="J26" s="224">
        <v>0.1833500943814986</v>
      </c>
      <c r="K26" s="224">
        <v>0.12996531502040404</v>
      </c>
      <c r="L26" s="224">
        <v>0.14761022126558498</v>
      </c>
      <c r="M26" s="224">
        <v>0</v>
      </c>
      <c r="N26" s="224">
        <v>0</v>
      </c>
      <c r="O26" s="224">
        <v>0</v>
      </c>
      <c r="P26" s="224">
        <v>0</v>
      </c>
      <c r="Q26" s="224">
        <v>0</v>
      </c>
      <c r="R26" s="224">
        <v>0</v>
      </c>
      <c r="S26" s="224">
        <v>0</v>
      </c>
      <c r="T26" s="224">
        <v>0</v>
      </c>
      <c r="U26" s="224">
        <v>0</v>
      </c>
      <c r="V26" s="224">
        <v>295.21398793333339</v>
      </c>
      <c r="W26" s="224">
        <v>75.205901233333336</v>
      </c>
      <c r="X26" s="224">
        <v>97.955023923444955</v>
      </c>
      <c r="Y26" s="224">
        <v>3.1468800000000008</v>
      </c>
      <c r="Z26" s="224">
        <v>0</v>
      </c>
      <c r="AA26" s="224">
        <v>62.4935100073915</v>
      </c>
      <c r="AB26" s="224">
        <v>43.624002541478553</v>
      </c>
      <c r="AC26" s="224">
        <v>49.5445642739002</v>
      </c>
      <c r="AD26" s="1121">
        <v>9.0616292788267572</v>
      </c>
      <c r="AE26" s="224">
        <v>30554.429963345901</v>
      </c>
      <c r="AF26" s="224">
        <v>3504.7616258849994</v>
      </c>
      <c r="AG26" s="224">
        <v>4270.8390430622003</v>
      </c>
      <c r="AH26" s="224">
        <v>13582.632118651369</v>
      </c>
      <c r="AI26" s="224">
        <v>77200</v>
      </c>
      <c r="AJ26" s="224">
        <v>1248.1013039381367</v>
      </c>
      <c r="AK26" s="224">
        <v>1864.475097070389</v>
      </c>
      <c r="AL26" s="224">
        <v>0</v>
      </c>
      <c r="AM26" s="224">
        <v>436.00000000000006</v>
      </c>
      <c r="AN26" s="1121">
        <v>132661.23915195299</v>
      </c>
      <c r="AO26" s="224">
        <f t="shared" si="0"/>
        <v>1.1939602737782133</v>
      </c>
      <c r="AP26" s="1124">
        <v>0.1</v>
      </c>
      <c r="AQ26" s="1124">
        <f t="shared" si="3"/>
        <v>0.35400422692244193</v>
      </c>
      <c r="AR26" s="1124">
        <v>20</v>
      </c>
      <c r="AS26" s="1124">
        <f t="shared" si="1"/>
        <v>0.90369807210594977</v>
      </c>
      <c r="AT26" s="224">
        <f t="shared" si="2"/>
        <v>46962.639408560302</v>
      </c>
    </row>
    <row r="27" spans="1:50">
      <c r="A27" s="1119">
        <v>2025</v>
      </c>
      <c r="D27" s="1108" t="s">
        <v>1862</v>
      </c>
      <c r="E27" s="224" t="s">
        <v>1919</v>
      </c>
      <c r="G27" s="224">
        <v>26898.752966467157</v>
      </c>
      <c r="H27" s="224">
        <v>15429.111116666667</v>
      </c>
      <c r="I27" s="224">
        <v>3.1891200000000004</v>
      </c>
      <c r="J27" s="224">
        <v>0.16272260250742993</v>
      </c>
      <c r="K27" s="224">
        <v>0.10863143297947618</v>
      </c>
      <c r="L27" s="224">
        <v>0.1238592451865513</v>
      </c>
      <c r="M27" s="224">
        <v>0</v>
      </c>
      <c r="N27" s="224">
        <v>0</v>
      </c>
      <c r="O27" s="224">
        <v>0</v>
      </c>
      <c r="P27" s="224">
        <v>0</v>
      </c>
      <c r="Q27" s="224">
        <v>0</v>
      </c>
      <c r="R27" s="224">
        <v>0</v>
      </c>
      <c r="S27" s="224">
        <v>0</v>
      </c>
      <c r="T27" s="224">
        <v>0</v>
      </c>
      <c r="U27" s="224">
        <v>0</v>
      </c>
      <c r="V27" s="224">
        <v>291.69065398333333</v>
      </c>
      <c r="W27" s="224">
        <v>76.288419266666665</v>
      </c>
      <c r="X27" s="224">
        <v>89.972561648877431</v>
      </c>
      <c r="Y27" s="224">
        <v>3.1891200000000004</v>
      </c>
      <c r="Z27" s="224">
        <v>0</v>
      </c>
      <c r="AA27" s="224">
        <v>55.715835339381137</v>
      </c>
      <c r="AB27" s="224">
        <v>36.648336966362656</v>
      </c>
      <c r="AC27" s="224">
        <v>41.80123464784262</v>
      </c>
      <c r="AD27" s="1121">
        <v>7.6197777898915087</v>
      </c>
      <c r="AE27" s="224">
        <v>30812.684549107758</v>
      </c>
      <c r="AF27" s="224">
        <v>1764.3396242524998</v>
      </c>
      <c r="AG27" s="224">
        <v>2874.957862348178</v>
      </c>
      <c r="AH27" s="224">
        <v>13465.606790282916</v>
      </c>
      <c r="AI27" s="224">
        <v>77200</v>
      </c>
      <c r="AJ27" s="224">
        <v>2980.6412058654009</v>
      </c>
      <c r="AK27" s="224">
        <v>5016.6108153929827</v>
      </c>
      <c r="AL27" s="224">
        <v>0</v>
      </c>
      <c r="AM27" s="224">
        <v>352.00000000000006</v>
      </c>
      <c r="AN27" s="1121">
        <v>134466.84084724972</v>
      </c>
      <c r="AO27" s="224">
        <f t="shared" si="0"/>
        <v>1.003981921596105</v>
      </c>
      <c r="AP27" s="1124">
        <v>0.1</v>
      </c>
      <c r="AQ27" s="1124">
        <f t="shared" si="3"/>
        <v>0.35400422692244193</v>
      </c>
      <c r="AR27" s="1124">
        <v>20</v>
      </c>
      <c r="AS27" s="1124">
        <f t="shared" si="1"/>
        <v>0.75990512155362022</v>
      </c>
      <c r="AT27" s="224">
        <f t="shared" si="2"/>
        <v>47601.830040833673</v>
      </c>
    </row>
    <row r="28" spans="1:50">
      <c r="A28" s="1119">
        <v>2030</v>
      </c>
      <c r="D28" s="1108" t="s">
        <v>1862</v>
      </c>
      <c r="E28" s="224" t="s">
        <v>1919</v>
      </c>
      <c r="G28" s="224">
        <v>26663.612170618999</v>
      </c>
      <c r="H28" s="224">
        <v>15509.111116666667</v>
      </c>
      <c r="I28" s="224">
        <v>3.3211200000000005</v>
      </c>
      <c r="J28" s="224">
        <v>0.14936364429732635</v>
      </c>
      <c r="K28" s="224">
        <v>9.8505082251563791E-2</v>
      </c>
      <c r="L28" s="224">
        <v>0.11269856671827649</v>
      </c>
      <c r="M28" s="224">
        <v>0</v>
      </c>
      <c r="N28" s="224">
        <v>0</v>
      </c>
      <c r="O28" s="224">
        <v>0</v>
      </c>
      <c r="P28" s="224">
        <v>0</v>
      </c>
      <c r="Q28" s="224">
        <v>0</v>
      </c>
      <c r="R28" s="224">
        <v>0</v>
      </c>
      <c r="S28" s="224">
        <v>0</v>
      </c>
      <c r="T28" s="224">
        <v>0</v>
      </c>
      <c r="U28" s="224">
        <v>0</v>
      </c>
      <c r="V28" s="224">
        <v>286.17211270000001</v>
      </c>
      <c r="W28" s="224">
        <v>79.393506049999999</v>
      </c>
      <c r="X28" s="224">
        <v>73.14237029346198</v>
      </c>
      <c r="Y28" s="224">
        <v>3.3211200000000005</v>
      </c>
      <c r="Z28" s="224">
        <v>0</v>
      </c>
      <c r="AA28" s="224">
        <v>51.079327733785199</v>
      </c>
      <c r="AB28" s="224">
        <v>33.218467537515899</v>
      </c>
      <c r="AC28" s="224">
        <v>37.935254385029417</v>
      </c>
      <c r="AD28" s="1121">
        <v>6.9253455630912129</v>
      </c>
      <c r="AE28" s="224">
        <v>30741.454462093574</v>
      </c>
      <c r="AF28" s="224">
        <v>1291.2973929766702</v>
      </c>
      <c r="AG28" s="224">
        <v>1863.0114177176536</v>
      </c>
      <c r="AH28" s="224">
        <v>13305.74003704224</v>
      </c>
      <c r="AI28" s="224">
        <v>77200</v>
      </c>
      <c r="AJ28" s="224">
        <v>4645.2328152999999</v>
      </c>
      <c r="AK28" s="224">
        <v>6503.1130127197384</v>
      </c>
      <c r="AL28" s="224">
        <v>0</v>
      </c>
      <c r="AM28" s="224">
        <v>296</v>
      </c>
      <c r="AN28" s="1121">
        <v>135845.84913784987</v>
      </c>
      <c r="AO28" s="224">
        <f t="shared" si="0"/>
        <v>0.91248353139289817</v>
      </c>
      <c r="AP28" s="1124">
        <v>0.1</v>
      </c>
      <c r="AQ28" s="1124">
        <f t="shared" si="3"/>
        <v>0.35400422692244193</v>
      </c>
      <c r="AR28" s="1124">
        <v>20</v>
      </c>
      <c r="AS28" s="1124">
        <f t="shared" si="1"/>
        <v>0.69065079153661024</v>
      </c>
      <c r="AT28" s="224">
        <f t="shared" si="2"/>
        <v>48090.004804667216</v>
      </c>
    </row>
    <row r="29" spans="1:50">
      <c r="A29" s="1119">
        <v>2035</v>
      </c>
      <c r="D29" s="1108" t="s">
        <v>1862</v>
      </c>
      <c r="E29" s="224" t="s">
        <v>1919</v>
      </c>
      <c r="G29" s="224">
        <v>26504.923463389732</v>
      </c>
      <c r="H29" s="224">
        <v>15580.433333333334</v>
      </c>
      <c r="I29" s="224">
        <v>3.5006400000000002</v>
      </c>
      <c r="J29" s="224">
        <v>0.14229817022046334</v>
      </c>
      <c r="K29" s="224">
        <v>9.2923596906542061E-2</v>
      </c>
      <c r="L29" s="224">
        <v>0.1061557444344783</v>
      </c>
      <c r="M29" s="224">
        <v>0</v>
      </c>
      <c r="N29" s="224">
        <v>0</v>
      </c>
      <c r="O29" s="224">
        <v>0</v>
      </c>
      <c r="P29" s="224">
        <v>0</v>
      </c>
      <c r="Q29" s="224">
        <v>0</v>
      </c>
      <c r="R29" s="224">
        <v>0</v>
      </c>
      <c r="S29" s="224">
        <v>0</v>
      </c>
      <c r="T29" s="224">
        <v>0</v>
      </c>
      <c r="U29" s="224">
        <v>0</v>
      </c>
      <c r="V29" s="224">
        <v>283.68277849999998</v>
      </c>
      <c r="W29" s="224">
        <v>83.505211233333341</v>
      </c>
      <c r="X29" s="224">
        <v>66.155240174672471</v>
      </c>
      <c r="Y29" s="224">
        <v>3.5006400000000002</v>
      </c>
      <c r="Z29" s="224">
        <v>0</v>
      </c>
      <c r="AA29" s="224">
        <v>48.717647954536432</v>
      </c>
      <c r="AB29" s="224">
        <v>31.36014938006171</v>
      </c>
      <c r="AC29" s="224">
        <v>35.828168124992438</v>
      </c>
      <c r="AD29" s="1121">
        <v>6.5062704399293603</v>
      </c>
      <c r="AE29" s="224">
        <v>30833.59497896647</v>
      </c>
      <c r="AF29" s="224">
        <v>1096.9642437552</v>
      </c>
      <c r="AG29" s="224">
        <v>1278.5622707423574</v>
      </c>
      <c r="AH29" s="224">
        <v>13278.686553544952</v>
      </c>
      <c r="AI29" s="224">
        <v>77200</v>
      </c>
      <c r="AJ29" s="224">
        <v>6260.6771727500018</v>
      </c>
      <c r="AK29" s="224">
        <v>8246.7711471673647</v>
      </c>
      <c r="AL29" s="224">
        <v>0</v>
      </c>
      <c r="AM29" s="224">
        <v>240</v>
      </c>
      <c r="AN29" s="1121">
        <v>138435.25636692633</v>
      </c>
      <c r="AO29" s="224">
        <f t="shared" si="0"/>
        <v>0.85726619316509245</v>
      </c>
      <c r="AP29" s="1124">
        <v>0.1</v>
      </c>
      <c r="AQ29" s="1124">
        <f t="shared" si="3"/>
        <v>0.35400422692244193</v>
      </c>
      <c r="AR29" s="1124">
        <v>20</v>
      </c>
      <c r="AS29" s="1124">
        <f t="shared" si="1"/>
        <v>0.64885727193701304</v>
      </c>
      <c r="AT29" s="224">
        <f t="shared" si="2"/>
        <v>49006.665908983814</v>
      </c>
    </row>
    <row r="30" spans="1:50">
      <c r="A30" s="1119">
        <v>2050</v>
      </c>
      <c r="D30" s="1108" t="s">
        <v>1862</v>
      </c>
      <c r="E30" s="224" t="s">
        <v>1919</v>
      </c>
      <c r="G30" s="224">
        <v>26262.403686468311</v>
      </c>
      <c r="H30" s="224">
        <v>15699.333333333334</v>
      </c>
      <c r="I30" s="224">
        <v>3.5877600000000007</v>
      </c>
      <c r="J30" s="224">
        <v>0.13365307244876218</v>
      </c>
      <c r="K30" s="224">
        <v>8.6428558402547317E-2</v>
      </c>
      <c r="L30" s="224">
        <v>9.9203193517960808E-2</v>
      </c>
      <c r="M30" s="224">
        <v>0</v>
      </c>
      <c r="N30" s="224">
        <v>0</v>
      </c>
      <c r="O30" s="224">
        <v>0</v>
      </c>
      <c r="P30" s="224">
        <v>0</v>
      </c>
      <c r="Q30" s="224">
        <v>0</v>
      </c>
      <c r="R30" s="224">
        <v>0</v>
      </c>
      <c r="S30" s="224">
        <v>0</v>
      </c>
      <c r="T30" s="224">
        <v>0</v>
      </c>
      <c r="U30" s="224">
        <v>0</v>
      </c>
      <c r="V30" s="224">
        <v>282.04188204999997</v>
      </c>
      <c r="W30" s="224">
        <v>85.621933599999991</v>
      </c>
      <c r="X30" s="224">
        <v>67.801637554585128</v>
      </c>
      <c r="Y30" s="224">
        <v>3.5877600000000007</v>
      </c>
      <c r="Z30" s="224">
        <v>0</v>
      </c>
      <c r="AA30" s="224">
        <v>45.800697353920413</v>
      </c>
      <c r="AB30" s="224">
        <v>29.242763814139909</v>
      </c>
      <c r="AC30" s="224">
        <v>33.555903314666573</v>
      </c>
      <c r="AD30" s="1121">
        <v>6.0116800741201901</v>
      </c>
      <c r="AE30" s="224">
        <v>31512.701897487994</v>
      </c>
      <c r="AF30" s="224">
        <v>648.36217284799989</v>
      </c>
      <c r="AG30" s="224">
        <v>1232.7624890829691</v>
      </c>
      <c r="AH30" s="224">
        <v>13250.987607349476</v>
      </c>
      <c r="AI30" s="224">
        <v>77200</v>
      </c>
      <c r="AJ30" s="224">
        <v>8960.4997789999998</v>
      </c>
      <c r="AK30" s="224">
        <v>10325.102059837716</v>
      </c>
      <c r="AL30" s="224">
        <v>0</v>
      </c>
      <c r="AM30" s="224">
        <v>240</v>
      </c>
      <c r="AN30" s="1121">
        <v>143370.41600560615</v>
      </c>
      <c r="AO30" s="224">
        <f t="shared" si="0"/>
        <v>0.79209896656607615</v>
      </c>
      <c r="AP30" s="1124">
        <v>0.1</v>
      </c>
      <c r="AQ30" s="1124">
        <f t="shared" si="3"/>
        <v>0.35400422692244193</v>
      </c>
      <c r="AR30" s="1124">
        <v>20</v>
      </c>
      <c r="AS30" s="1124">
        <f t="shared" si="1"/>
        <v>0.59953276899047525</v>
      </c>
      <c r="AT30" s="224">
        <f t="shared" si="2"/>
        <v>50753.733281613502</v>
      </c>
    </row>
    <row r="31" spans="1:50">
      <c r="A31" s="1119">
        <v>2017</v>
      </c>
      <c r="D31" s="1108" t="s">
        <v>1862</v>
      </c>
      <c r="E31" s="224" t="s">
        <v>1920</v>
      </c>
      <c r="G31" s="224">
        <v>30575.823562955575</v>
      </c>
      <c r="H31" s="224">
        <v>15303</v>
      </c>
      <c r="I31" s="224">
        <v>578.87762499999997</v>
      </c>
      <c r="J31" s="224">
        <v>0.21665880026170956</v>
      </c>
      <c r="K31" s="224">
        <v>0.18374052074637426</v>
      </c>
      <c r="L31" s="224">
        <v>0.21604480937980206</v>
      </c>
      <c r="M31" s="224">
        <v>8.1089661602502611E-2</v>
      </c>
      <c r="N31" s="224">
        <v>6.8565077066707142E-2</v>
      </c>
      <c r="O31" s="224">
        <v>8.1210005888080222E-2</v>
      </c>
      <c r="P31" s="224">
        <v>-13.116721767375227</v>
      </c>
      <c r="Q31" s="224">
        <v>-36.42871993012475</v>
      </c>
      <c r="R31" s="224">
        <v>-6.5333453255386162</v>
      </c>
      <c r="S31" s="224">
        <v>3053.5197015973167</v>
      </c>
      <c r="T31" s="224">
        <v>2581.8928026981325</v>
      </c>
      <c r="U31" s="224">
        <v>3058.0513970036586</v>
      </c>
      <c r="V31" s="224">
        <v>276.66666666666669</v>
      </c>
      <c r="W31" s="224">
        <v>520.87692240000013</v>
      </c>
      <c r="X31" s="224">
        <v>781.31538360000002</v>
      </c>
      <c r="Y31" s="224">
        <v>577.05712499999993</v>
      </c>
      <c r="Z31" s="224">
        <v>0</v>
      </c>
      <c r="AA31" s="224">
        <v>51.67246992449747</v>
      </c>
      <c r="AB31" s="224">
        <v>38.571392895752517</v>
      </c>
      <c r="AC31" s="224">
        <v>49.309951951892891</v>
      </c>
      <c r="AD31" s="1121">
        <v>4.800321368476113</v>
      </c>
      <c r="AE31" s="224">
        <v>27272.735238095236</v>
      </c>
      <c r="AF31" s="224">
        <v>23983.619970960001</v>
      </c>
      <c r="AG31" s="224">
        <v>328333.96298249997</v>
      </c>
      <c r="AH31" s="224">
        <v>0</v>
      </c>
      <c r="AI31" s="224">
        <v>77200</v>
      </c>
      <c r="AJ31" s="224">
        <v>0</v>
      </c>
      <c r="AK31" s="224">
        <v>791.37040000000013</v>
      </c>
      <c r="AL31" s="224">
        <v>0</v>
      </c>
      <c r="AM31" s="224">
        <v>436.00000000000006</v>
      </c>
      <c r="AN31" s="1121">
        <v>458017.68859155523</v>
      </c>
      <c r="AO31" s="224">
        <f t="shared" si="0"/>
        <v>0.63249034351041256</v>
      </c>
      <c r="AP31" s="1124">
        <v>0.1</v>
      </c>
      <c r="AQ31" s="1124">
        <f t="shared" si="3"/>
        <v>0.35400422692244193</v>
      </c>
      <c r="AR31" s="1124">
        <v>20</v>
      </c>
      <c r="AS31" s="1124">
        <f t="shared" si="1"/>
        <v>0.47872640037449427</v>
      </c>
      <c r="AT31" s="224">
        <f t="shared" si="2"/>
        <v>162140.19776665725</v>
      </c>
    </row>
    <row r="32" spans="1:50">
      <c r="A32" s="1122">
        <v>2020</v>
      </c>
      <c r="D32" s="1108" t="s">
        <v>1862</v>
      </c>
      <c r="E32" s="224" t="s">
        <v>1920</v>
      </c>
      <c r="G32" s="224">
        <v>30001.992007391102</v>
      </c>
      <c r="H32" s="224">
        <v>15351.977766666669</v>
      </c>
      <c r="I32" s="224">
        <v>539.94375000000002</v>
      </c>
      <c r="J32" s="224">
        <v>0.19696724219637154</v>
      </c>
      <c r="K32" s="224">
        <v>0.16472913703361422</v>
      </c>
      <c r="L32" s="224">
        <v>0.19386620586928263</v>
      </c>
      <c r="M32" s="224">
        <v>7.5858940230874874E-2</v>
      </c>
      <c r="N32" s="224">
        <v>6.3374698423764517E-2</v>
      </c>
      <c r="O32" s="224">
        <v>7.5014765319475693E-2</v>
      </c>
      <c r="P32" s="224">
        <v>-13.599413771419448</v>
      </c>
      <c r="Q32" s="224">
        <v>-28.370798914681998</v>
      </c>
      <c r="R32" s="224">
        <v>-3.8674094981537004</v>
      </c>
      <c r="S32" s="224">
        <v>2856.5511800103609</v>
      </c>
      <c r="T32" s="224">
        <v>2386.4434305862364</v>
      </c>
      <c r="U32" s="224">
        <v>2824.7628524651386</v>
      </c>
      <c r="V32" s="224">
        <v>260</v>
      </c>
      <c r="W32" s="224">
        <v>506.83495089999997</v>
      </c>
      <c r="X32" s="224">
        <v>760.25242634999995</v>
      </c>
      <c r="Y32" s="224">
        <v>538.70249999999999</v>
      </c>
      <c r="Z32" s="224">
        <v>0</v>
      </c>
      <c r="AA32" s="224">
        <v>47.140268604325108</v>
      </c>
      <c r="AB32" s="224">
        <v>34.641865587735403</v>
      </c>
      <c r="AC32" s="224">
        <v>44.271141520152163</v>
      </c>
      <c r="AD32" s="1121">
        <v>4.4292115007891386</v>
      </c>
      <c r="AE32" s="224">
        <v>25719.633897542855</v>
      </c>
      <c r="AF32" s="224">
        <v>17813.264622335002</v>
      </c>
      <c r="AG32" s="224">
        <v>285372.26235000003</v>
      </c>
      <c r="AH32" s="224">
        <v>0</v>
      </c>
      <c r="AI32" s="224">
        <v>77200</v>
      </c>
      <c r="AJ32" s="224">
        <v>1248.1013039381367</v>
      </c>
      <c r="AK32" s="224">
        <v>1864.475097070389</v>
      </c>
      <c r="AL32" s="224">
        <v>0</v>
      </c>
      <c r="AM32" s="224">
        <v>436.00000000000006</v>
      </c>
      <c r="AN32" s="1121">
        <v>409653.73727088637</v>
      </c>
      <c r="AO32" s="224">
        <f t="shared" si="0"/>
        <v>0.58359290734397684</v>
      </c>
      <c r="AP32" s="1124">
        <v>0.1</v>
      </c>
      <c r="AQ32" s="1124">
        <f t="shared" si="3"/>
        <v>0.35400422692244193</v>
      </c>
      <c r="AR32" s="1124">
        <v>20</v>
      </c>
      <c r="AS32" s="1124">
        <f t="shared" si="1"/>
        <v>0.44171635928267478</v>
      </c>
      <c r="AT32" s="224">
        <f t="shared" si="2"/>
        <v>145019.15456846927</v>
      </c>
    </row>
    <row r="33" spans="1:46">
      <c r="A33" s="1119">
        <v>2025</v>
      </c>
      <c r="D33" s="1108" t="s">
        <v>1862</v>
      </c>
      <c r="E33" s="224" t="s">
        <v>1920</v>
      </c>
      <c r="G33" s="224">
        <v>28796.6844623941</v>
      </c>
      <c r="H33" s="224">
        <v>15429.111116666667</v>
      </c>
      <c r="I33" s="224">
        <v>471.30262499999998</v>
      </c>
      <c r="J33" s="224">
        <v>0.16691751893204818</v>
      </c>
      <c r="K33" s="224">
        <v>0.13431647487873258</v>
      </c>
      <c r="L33" s="224">
        <v>0.15596394503616262</v>
      </c>
      <c r="M33" s="224">
        <v>6.7665902627079041E-2</v>
      </c>
      <c r="N33" s="224">
        <v>5.3923221282296541E-2</v>
      </c>
      <c r="O33" s="224">
        <v>6.339623172977922E-2</v>
      </c>
      <c r="P33" s="224">
        <v>-0.86161323711477278</v>
      </c>
      <c r="Q33" s="224">
        <v>-47.209629570481042</v>
      </c>
      <c r="R33" s="224">
        <v>0.5231098915522866</v>
      </c>
      <c r="S33" s="224">
        <v>2548.0334078959172</v>
      </c>
      <c r="T33" s="224">
        <v>2030.5377443331511</v>
      </c>
      <c r="U33" s="224">
        <v>2387.2542907237316</v>
      </c>
      <c r="V33" s="224">
        <v>221.66666666666666</v>
      </c>
      <c r="W33" s="224">
        <v>479.46367563333337</v>
      </c>
      <c r="X33" s="224">
        <v>719.19551345000002</v>
      </c>
      <c r="Y33" s="224">
        <v>469.70968750000003</v>
      </c>
      <c r="Z33" s="224">
        <v>0</v>
      </c>
      <c r="AA33" s="224">
        <v>40.98386206623357</v>
      </c>
      <c r="AB33" s="224">
        <v>28.499449878901149</v>
      </c>
      <c r="AC33" s="224">
        <v>35.999684078496792</v>
      </c>
      <c r="AD33" s="1121">
        <v>3.7530599655105807</v>
      </c>
      <c r="AE33" s="224">
        <v>22253.068008152379</v>
      </c>
      <c r="AF33" s="224">
        <v>8377.7801492825001</v>
      </c>
      <c r="AG33" s="224">
        <v>151607.41695000001</v>
      </c>
      <c r="AH33" s="224">
        <v>0</v>
      </c>
      <c r="AI33" s="224">
        <v>77200</v>
      </c>
      <c r="AJ33" s="224">
        <v>2980.6412058654009</v>
      </c>
      <c r="AK33" s="224">
        <v>5016.6108153929827</v>
      </c>
      <c r="AL33" s="224">
        <v>0</v>
      </c>
      <c r="AM33" s="224">
        <v>352.00000000000006</v>
      </c>
      <c r="AN33" s="1121">
        <v>267787.51712869323</v>
      </c>
      <c r="AO33" s="224">
        <f t="shared" si="0"/>
        <v>0.49450318105567409</v>
      </c>
      <c r="AP33" s="1124">
        <v>0.1</v>
      </c>
      <c r="AQ33" s="1124">
        <f t="shared" si="3"/>
        <v>0.35400422692244193</v>
      </c>
      <c r="AR33" s="1124">
        <v>20</v>
      </c>
      <c r="AS33" s="1124">
        <f t="shared" si="1"/>
        <v>0.37428512588290985</v>
      </c>
      <c r="AT33" s="224">
        <f t="shared" si="2"/>
        <v>94797.912980623223</v>
      </c>
    </row>
    <row r="34" spans="1:46">
      <c r="A34" s="1119">
        <v>2030</v>
      </c>
      <c r="D34" s="1108" t="s">
        <v>1862</v>
      </c>
      <c r="E34" s="224" t="s">
        <v>1920</v>
      </c>
      <c r="G34" s="224">
        <v>28144.848651930748</v>
      </c>
      <c r="H34" s="224">
        <v>15509.111116666667</v>
      </c>
      <c r="I34" s="224">
        <v>444.57437499999997</v>
      </c>
      <c r="J34" s="224">
        <v>0.1486601319949232</v>
      </c>
      <c r="K34" s="224">
        <v>0.11943786752816903</v>
      </c>
      <c r="L34" s="224">
        <v>0.13813965289209015</v>
      </c>
      <c r="M34" s="224">
        <v>6.3433364459049804E-2</v>
      </c>
      <c r="N34" s="224">
        <v>5.0256508893012558E-2</v>
      </c>
      <c r="O34" s="224">
        <v>5.907933064863314E-2</v>
      </c>
      <c r="P34" s="224">
        <v>-3.2686885569037263</v>
      </c>
      <c r="Q34" s="224">
        <v>-57.7031137485424</v>
      </c>
      <c r="R34" s="224">
        <v>3.4077469544694403</v>
      </c>
      <c r="S34" s="224">
        <v>2388.6525641677326</v>
      </c>
      <c r="T34" s="224">
        <v>1892.4636877949251</v>
      </c>
      <c r="U34" s="224">
        <v>2224.6966694360444</v>
      </c>
      <c r="V34" s="224">
        <v>206.66666666666666</v>
      </c>
      <c r="W34" s="224">
        <v>466.28631091666671</v>
      </c>
      <c r="X34" s="224">
        <v>699.42946637500006</v>
      </c>
      <c r="Y34" s="224">
        <v>442.44356250000004</v>
      </c>
      <c r="Z34" s="224">
        <v>0</v>
      </c>
      <c r="AA34" s="224">
        <v>36.850912578914851</v>
      </c>
      <c r="AB34" s="224">
        <v>25.614377704310829</v>
      </c>
      <c r="AC34" s="224">
        <v>32.194628890516277</v>
      </c>
      <c r="AD34" s="1121">
        <v>3.4830418119557311</v>
      </c>
      <c r="AE34" s="224">
        <v>21335.035990095243</v>
      </c>
      <c r="AF34" s="224">
        <v>6047.8529398496003</v>
      </c>
      <c r="AG34" s="224">
        <v>101443.60027125</v>
      </c>
      <c r="AH34" s="224">
        <v>0</v>
      </c>
      <c r="AI34" s="224">
        <v>77200</v>
      </c>
      <c r="AJ34" s="224">
        <v>4645.2328152999999</v>
      </c>
      <c r="AK34" s="224">
        <v>6503.1130127197384</v>
      </c>
      <c r="AL34" s="224">
        <v>0</v>
      </c>
      <c r="AM34" s="224">
        <v>296</v>
      </c>
      <c r="AN34" s="1121">
        <v>217470.83502921453</v>
      </c>
      <c r="AO34" s="224">
        <f t="shared" si="0"/>
        <v>0.45892558914328707</v>
      </c>
      <c r="AP34" s="1124">
        <v>0.1</v>
      </c>
      <c r="AQ34" s="1124">
        <f t="shared" si="3"/>
        <v>0.35400422692244193</v>
      </c>
      <c r="AR34" s="1124">
        <v>20</v>
      </c>
      <c r="AS34" s="1124">
        <f t="shared" si="1"/>
        <v>0.34735675822486772</v>
      </c>
      <c r="AT34" s="224">
        <f t="shared" si="2"/>
        <v>76985.594832695002</v>
      </c>
    </row>
    <row r="35" spans="1:46">
      <c r="A35" s="1119">
        <v>2035</v>
      </c>
      <c r="D35" s="1108" t="s">
        <v>1862</v>
      </c>
      <c r="E35" s="224" t="s">
        <v>1920</v>
      </c>
      <c r="G35" s="224">
        <v>27794.228155926743</v>
      </c>
      <c r="H35" s="224">
        <v>15580.433333333334</v>
      </c>
      <c r="I35" s="224">
        <v>406.86106249999995</v>
      </c>
      <c r="J35" s="224">
        <v>0.13834634475309543</v>
      </c>
      <c r="K35" s="224">
        <v>0.11077755566942137</v>
      </c>
      <c r="L35" s="224">
        <v>0.12747145655953954</v>
      </c>
      <c r="M35" s="224">
        <v>6.0572338063486407E-2</v>
      </c>
      <c r="N35" s="224">
        <v>4.772432215879327E-2</v>
      </c>
      <c r="O35" s="224">
        <v>5.6065497858030867E-2</v>
      </c>
      <c r="P35" s="224">
        <v>-0.95674776542134854</v>
      </c>
      <c r="Q35" s="224">
        <v>-64.05017823384226</v>
      </c>
      <c r="R35" s="224">
        <v>12.989282840428416</v>
      </c>
      <c r="S35" s="224">
        <v>2280.9174929762012</v>
      </c>
      <c r="T35" s="224">
        <v>1797.1114329173024</v>
      </c>
      <c r="U35" s="224">
        <v>2111.207506680184</v>
      </c>
      <c r="V35" s="224">
        <v>196.66666666666666</v>
      </c>
      <c r="W35" s="224">
        <v>458.83236468333331</v>
      </c>
      <c r="X35" s="224">
        <v>688.24854702499999</v>
      </c>
      <c r="Y35" s="224">
        <v>405.68187500000005</v>
      </c>
      <c r="Z35" s="224">
        <v>0</v>
      </c>
      <c r="AA35" s="224">
        <v>34.523044056890576</v>
      </c>
      <c r="AB35" s="224">
        <v>23.916806466259825</v>
      </c>
      <c r="AC35" s="224">
        <v>29.90248184435001</v>
      </c>
      <c r="AD35" s="1121">
        <v>3.292837434911609</v>
      </c>
      <c r="AE35" s="224">
        <v>20756.766185523804</v>
      </c>
      <c r="AF35" s="224">
        <v>4886.5019055295998</v>
      </c>
      <c r="AG35" s="224">
        <v>69756.460117499984</v>
      </c>
      <c r="AH35" s="224">
        <v>0</v>
      </c>
      <c r="AI35" s="224">
        <v>77200</v>
      </c>
      <c r="AJ35" s="224">
        <v>6260.6771727500018</v>
      </c>
      <c r="AK35" s="224">
        <v>8246.7711471673647</v>
      </c>
      <c r="AL35" s="224">
        <v>0</v>
      </c>
      <c r="AM35" s="224">
        <v>240</v>
      </c>
      <c r="AN35" s="1121">
        <v>187347.17652847079</v>
      </c>
      <c r="AO35" s="224">
        <f t="shared" si="0"/>
        <v>0.43386426042395354</v>
      </c>
      <c r="AP35" s="1124">
        <v>0.1</v>
      </c>
      <c r="AQ35" s="1124">
        <f t="shared" si="3"/>
        <v>0.35400422692244193</v>
      </c>
      <c r="AR35" s="1124">
        <v>20</v>
      </c>
      <c r="AS35" s="1124">
        <f t="shared" si="1"/>
        <v>0.3283880580549639</v>
      </c>
      <c r="AT35" s="224">
        <f t="shared" si="2"/>
        <v>66321.692393063568</v>
      </c>
    </row>
    <row r="36" spans="1:46">
      <c r="A36" s="1119">
        <v>2050</v>
      </c>
      <c r="D36" s="1108" t="s">
        <v>1862</v>
      </c>
      <c r="E36" s="224" t="s">
        <v>1920</v>
      </c>
      <c r="G36" s="224">
        <v>27301.989310802805</v>
      </c>
      <c r="H36" s="224">
        <v>15699.333333333334</v>
      </c>
      <c r="I36" s="224">
        <v>385.67706249999998</v>
      </c>
      <c r="J36" s="224">
        <v>0.12628160484956444</v>
      </c>
      <c r="K36" s="224">
        <v>0.10110086854374732</v>
      </c>
      <c r="L36" s="224">
        <v>0.11566445180084105</v>
      </c>
      <c r="M36" s="224">
        <v>5.6925926620870794E-2</v>
      </c>
      <c r="N36" s="224">
        <v>4.4737673708989234E-2</v>
      </c>
      <c r="O36" s="224">
        <v>5.2591800887985339E-2</v>
      </c>
      <c r="P36" s="224">
        <v>-1.249273662757292</v>
      </c>
      <c r="Q36" s="224">
        <v>-67.756653075856065</v>
      </c>
      <c r="R36" s="224">
        <v>27.701611421687005</v>
      </c>
      <c r="S36" s="224">
        <v>2143.607890739398</v>
      </c>
      <c r="T36" s="224">
        <v>1684.6459261807415</v>
      </c>
      <c r="U36" s="224">
        <v>1980.4016563930302</v>
      </c>
      <c r="V36" s="224">
        <v>183.33333333333334</v>
      </c>
      <c r="W36" s="224">
        <v>448.91448588333327</v>
      </c>
      <c r="X36" s="224">
        <v>673.37172882499999</v>
      </c>
      <c r="Y36" s="224">
        <v>384.95299999999997</v>
      </c>
      <c r="Z36" s="224">
        <v>0</v>
      </c>
      <c r="AA36" s="224">
        <v>31.755048554188051</v>
      </c>
      <c r="AB36" s="224">
        <v>22.020569182783522</v>
      </c>
      <c r="AC36" s="224">
        <v>27.463261866575319</v>
      </c>
      <c r="AD36" s="1121">
        <v>3.0644474224420066</v>
      </c>
      <c r="AE36" s="224">
        <v>20341.452280761903</v>
      </c>
      <c r="AF36" s="224">
        <v>2903.450148901999</v>
      </c>
      <c r="AG36" s="224">
        <v>55183.977083999991</v>
      </c>
      <c r="AH36" s="224">
        <v>0</v>
      </c>
      <c r="AI36" s="224">
        <v>77200</v>
      </c>
      <c r="AJ36" s="224">
        <v>8960.4997789999998</v>
      </c>
      <c r="AK36" s="224">
        <v>10325.102059837716</v>
      </c>
      <c r="AL36" s="224">
        <v>0</v>
      </c>
      <c r="AM36" s="224">
        <v>240</v>
      </c>
      <c r="AN36" s="1121">
        <v>175154.48135250164</v>
      </c>
      <c r="AO36" s="224">
        <f t="shared" si="0"/>
        <v>0.40377159238095878</v>
      </c>
      <c r="AP36" s="1124">
        <v>0.1</v>
      </c>
      <c r="AQ36" s="1124">
        <f t="shared" si="3"/>
        <v>0.35400422692244193</v>
      </c>
      <c r="AR36" s="1124">
        <v>20</v>
      </c>
      <c r="AS36" s="1124">
        <f t="shared" si="1"/>
        <v>0.30561118122561781</v>
      </c>
      <c r="AT36" s="224">
        <f t="shared" si="2"/>
        <v>62005.426763193616</v>
      </c>
    </row>
    <row r="37" spans="1:46">
      <c r="A37" s="1119">
        <v>2017</v>
      </c>
      <c r="D37" s="1108" t="s">
        <v>1862</v>
      </c>
      <c r="E37" s="224" t="s">
        <v>1921</v>
      </c>
      <c r="G37" s="224">
        <v>31740.695918731668</v>
      </c>
      <c r="H37" s="224">
        <v>15303</v>
      </c>
      <c r="I37" s="224">
        <v>1116.4216249999999</v>
      </c>
      <c r="J37" s="224">
        <v>0</v>
      </c>
      <c r="K37" s="224">
        <v>0</v>
      </c>
      <c r="L37" s="224">
        <v>0</v>
      </c>
      <c r="M37" s="224">
        <v>0</v>
      </c>
      <c r="N37" s="224">
        <v>0</v>
      </c>
      <c r="O37" s="224">
        <v>0</v>
      </c>
      <c r="P37" s="224">
        <v>0</v>
      </c>
      <c r="Q37" s="224">
        <v>0</v>
      </c>
      <c r="R37" s="224">
        <v>0</v>
      </c>
      <c r="S37" s="224">
        <v>3140.3915257783033</v>
      </c>
      <c r="T37" s="224">
        <v>2933.5871430858897</v>
      </c>
      <c r="U37" s="224">
        <v>3437.9269390074915</v>
      </c>
      <c r="V37" s="224">
        <v>0</v>
      </c>
      <c r="W37" s="224">
        <v>509.18100959999998</v>
      </c>
      <c r="X37" s="224">
        <v>763.7715144</v>
      </c>
      <c r="Y37" s="224">
        <v>1116.4216249999999</v>
      </c>
      <c r="Z37" s="224">
        <v>0</v>
      </c>
      <c r="AA37" s="224">
        <v>29.003492024807517</v>
      </c>
      <c r="AB37" s="224">
        <v>26.385878994642244</v>
      </c>
      <c r="AC37" s="224">
        <v>30.833411890675361</v>
      </c>
      <c r="AD37" s="1121">
        <v>5.3266949685643015</v>
      </c>
      <c r="AE37" s="224">
        <v>0</v>
      </c>
      <c r="AF37" s="224">
        <v>23481.865311839996</v>
      </c>
      <c r="AG37" s="224">
        <v>635221.57619249995</v>
      </c>
      <c r="AH37" s="224">
        <v>0</v>
      </c>
      <c r="AI37" s="224">
        <v>77200</v>
      </c>
      <c r="AJ37" s="224">
        <v>0</v>
      </c>
      <c r="AK37" s="224">
        <v>791.37040000000013</v>
      </c>
      <c r="AL37" s="224">
        <v>0</v>
      </c>
      <c r="AM37" s="224">
        <v>0</v>
      </c>
      <c r="AN37" s="1121">
        <v>736694.81190434005</v>
      </c>
      <c r="AO37" s="224">
        <f t="shared" si="0"/>
        <v>0.70184532905803232</v>
      </c>
      <c r="AP37" s="1124">
        <v>0.1</v>
      </c>
      <c r="AQ37" s="1124">
        <f t="shared" si="3"/>
        <v>0.35400422692244193</v>
      </c>
      <c r="AR37" s="1124">
        <v>20</v>
      </c>
      <c r="AS37" s="1124">
        <f t="shared" si="1"/>
        <v>0.53122058138437467</v>
      </c>
      <c r="AT37" s="224">
        <f t="shared" si="2"/>
        <v>260793.07736596969</v>
      </c>
    </row>
    <row r="38" spans="1:46">
      <c r="A38" s="1122">
        <v>2020</v>
      </c>
      <c r="D38" s="1108" t="s">
        <v>1862</v>
      </c>
      <c r="E38" s="224" t="s">
        <v>1921</v>
      </c>
      <c r="G38" s="224">
        <v>30892.368620434117</v>
      </c>
      <c r="H38" s="224">
        <v>15351.977766666669</v>
      </c>
      <c r="I38" s="224">
        <v>1044.9669999999999</v>
      </c>
      <c r="J38" s="224">
        <v>0</v>
      </c>
      <c r="K38" s="224">
        <v>0</v>
      </c>
      <c r="L38" s="224">
        <v>0</v>
      </c>
      <c r="M38" s="224">
        <v>0</v>
      </c>
      <c r="N38" s="224">
        <v>0</v>
      </c>
      <c r="O38" s="224">
        <v>0</v>
      </c>
      <c r="P38" s="224">
        <v>0</v>
      </c>
      <c r="Q38" s="224">
        <v>0</v>
      </c>
      <c r="R38" s="224">
        <v>0</v>
      </c>
      <c r="S38" s="224">
        <v>2916.3151107777235</v>
      </c>
      <c r="T38" s="224">
        <v>2706.7053918948595</v>
      </c>
      <c r="U38" s="224">
        <v>3168.5430091047388</v>
      </c>
      <c r="V38" s="224">
        <v>0</v>
      </c>
      <c r="W38" s="224">
        <v>491.32550093333339</v>
      </c>
      <c r="X38" s="224">
        <v>736.98825139999997</v>
      </c>
      <c r="Y38" s="224">
        <v>1044.9669999999999</v>
      </c>
      <c r="Z38" s="224">
        <v>0</v>
      </c>
      <c r="AA38" s="224">
        <v>26.857068670055664</v>
      </c>
      <c r="AB38" s="224">
        <v>24.285698491008802</v>
      </c>
      <c r="AC38" s="224">
        <v>28.370848003428943</v>
      </c>
      <c r="AD38" s="1121">
        <v>4.9000287969382477</v>
      </c>
      <c r="AE38" s="224">
        <v>0</v>
      </c>
      <c r="AF38" s="224">
        <v>17299.126355939996</v>
      </c>
      <c r="AG38" s="224">
        <v>553560.81858000008</v>
      </c>
      <c r="AH38" s="224">
        <v>0</v>
      </c>
      <c r="AI38" s="224">
        <v>77200</v>
      </c>
      <c r="AJ38" s="224">
        <v>1248.1013039381367</v>
      </c>
      <c r="AK38" s="224">
        <v>1864.475097070389</v>
      </c>
      <c r="AL38" s="224">
        <v>0</v>
      </c>
      <c r="AM38" s="224">
        <v>0</v>
      </c>
      <c r="AN38" s="1121">
        <v>651172.52133694838</v>
      </c>
      <c r="AO38" s="224">
        <f t="shared" si="0"/>
        <v>0.6456277942845835</v>
      </c>
      <c r="AP38" s="1124">
        <v>0.1</v>
      </c>
      <c r="AQ38" s="1124">
        <f t="shared" si="3"/>
        <v>0.35400422692244193</v>
      </c>
      <c r="AR38" s="1124">
        <v>20</v>
      </c>
      <c r="AS38" s="1124">
        <f t="shared" si="1"/>
        <v>0.48867002178112279</v>
      </c>
      <c r="AT38" s="224">
        <f t="shared" si="2"/>
        <v>230517.82500902374</v>
      </c>
    </row>
    <row r="39" spans="1:46">
      <c r="A39" s="1119">
        <v>2025</v>
      </c>
      <c r="D39" s="1108" t="s">
        <v>1862</v>
      </c>
      <c r="E39" s="224" t="s">
        <v>1921</v>
      </c>
      <c r="G39" s="224">
        <v>29047.424489399029</v>
      </c>
      <c r="H39" s="224">
        <v>15429.111116666667</v>
      </c>
      <c r="I39" s="224">
        <v>909.75349999999992</v>
      </c>
      <c r="J39" s="224">
        <v>0</v>
      </c>
      <c r="K39" s="224">
        <v>0</v>
      </c>
      <c r="L39" s="224">
        <v>0</v>
      </c>
      <c r="M39" s="224">
        <v>0</v>
      </c>
      <c r="N39" s="224">
        <v>0</v>
      </c>
      <c r="O39" s="224">
        <v>0</v>
      </c>
      <c r="P39" s="224">
        <v>0</v>
      </c>
      <c r="Q39" s="224">
        <v>0</v>
      </c>
      <c r="R39" s="224">
        <v>0</v>
      </c>
      <c r="S39" s="224">
        <v>2553.5812876138366</v>
      </c>
      <c r="T39" s="224">
        <v>2290.7388512383477</v>
      </c>
      <c r="U39" s="224">
        <v>2659.9200571018623</v>
      </c>
      <c r="V39" s="224">
        <v>0</v>
      </c>
      <c r="W39" s="224">
        <v>455.51349128333339</v>
      </c>
      <c r="X39" s="224">
        <v>683.27023692499995</v>
      </c>
      <c r="Y39" s="224">
        <v>909.75349999999992</v>
      </c>
      <c r="Z39" s="224">
        <v>0</v>
      </c>
      <c r="AA39" s="224">
        <v>23.507187347585642</v>
      </c>
      <c r="AB39" s="224">
        <v>20.60614328051086</v>
      </c>
      <c r="AC39" s="224">
        <v>23.921951389943512</v>
      </c>
      <c r="AD39" s="1121">
        <v>4.1175397532614779</v>
      </c>
      <c r="AE39" s="224">
        <v>0</v>
      </c>
      <c r="AF39" s="224">
        <v>7995.4231336800003</v>
      </c>
      <c r="AG39" s="224">
        <v>293600.4093</v>
      </c>
      <c r="AH39" s="224">
        <v>0</v>
      </c>
      <c r="AI39" s="224">
        <v>77200</v>
      </c>
      <c r="AJ39" s="224">
        <v>2980.6412058654009</v>
      </c>
      <c r="AK39" s="224">
        <v>5016.6108153929827</v>
      </c>
      <c r="AL39" s="224">
        <v>0</v>
      </c>
      <c r="AM39" s="224">
        <v>0</v>
      </c>
      <c r="AN39" s="1121">
        <v>386793.0844549383</v>
      </c>
      <c r="AO39" s="224">
        <f t="shared" si="0"/>
        <v>0.54252703788973233</v>
      </c>
      <c r="AP39" s="1124">
        <v>0.1</v>
      </c>
      <c r="AQ39" s="1124">
        <f t="shared" si="3"/>
        <v>0.35400422692244193</v>
      </c>
      <c r="AR39" s="1124">
        <v>20</v>
      </c>
      <c r="AS39" s="1124">
        <f t="shared" si="1"/>
        <v>0.41063396243062589</v>
      </c>
      <c r="AT39" s="224">
        <f t="shared" si="2"/>
        <v>136926.38684141723</v>
      </c>
    </row>
    <row r="40" spans="1:46">
      <c r="A40" s="1119">
        <v>2030</v>
      </c>
      <c r="D40" s="1108" t="s">
        <v>1862</v>
      </c>
      <c r="E40" s="224" t="s">
        <v>1921</v>
      </c>
      <c r="G40" s="224">
        <v>28093.865356359714</v>
      </c>
      <c r="H40" s="224">
        <v>15509.111116666667</v>
      </c>
      <c r="I40" s="224">
        <v>861.75850000000003</v>
      </c>
      <c r="J40" s="224">
        <v>0</v>
      </c>
      <c r="K40" s="224">
        <v>0</v>
      </c>
      <c r="L40" s="224">
        <v>0</v>
      </c>
      <c r="M40" s="224">
        <v>0</v>
      </c>
      <c r="N40" s="224">
        <v>0</v>
      </c>
      <c r="O40" s="224">
        <v>0</v>
      </c>
      <c r="P40" s="224">
        <v>0</v>
      </c>
      <c r="Q40" s="224">
        <v>0</v>
      </c>
      <c r="R40" s="224">
        <v>0</v>
      </c>
      <c r="S40" s="224">
        <v>2369.9295343463668</v>
      </c>
      <c r="T40" s="224">
        <v>2131.7521677691229</v>
      </c>
      <c r="U40" s="224">
        <v>2473.587674126627</v>
      </c>
      <c r="V40" s="224">
        <v>0</v>
      </c>
      <c r="W40" s="224">
        <v>434.90755173333338</v>
      </c>
      <c r="X40" s="224">
        <v>652.3613276000001</v>
      </c>
      <c r="Y40" s="224">
        <v>861.75850000000003</v>
      </c>
      <c r="Z40" s="224">
        <v>0</v>
      </c>
      <c r="AA40" s="224">
        <v>21.771174584447397</v>
      </c>
      <c r="AB40" s="224">
        <v>19.171553683959797</v>
      </c>
      <c r="AC40" s="224">
        <v>22.245824639785891</v>
      </c>
      <c r="AD40" s="1121">
        <v>3.809677629264105</v>
      </c>
      <c r="AE40" s="224">
        <v>0</v>
      </c>
      <c r="AF40" s="224">
        <v>5665.6365422714516</v>
      </c>
      <c r="AG40" s="224">
        <v>197784.01342125001</v>
      </c>
      <c r="AH40" s="224">
        <v>0</v>
      </c>
      <c r="AI40" s="224">
        <v>77200</v>
      </c>
      <c r="AJ40" s="224">
        <v>4645.2328152999999</v>
      </c>
      <c r="AK40" s="224">
        <v>6503.1130127197384</v>
      </c>
      <c r="AL40" s="224">
        <v>0</v>
      </c>
      <c r="AM40" s="224">
        <v>0</v>
      </c>
      <c r="AN40" s="1121">
        <v>291797.99579154112</v>
      </c>
      <c r="AO40" s="224">
        <f t="shared" si="0"/>
        <v>0.50196312443183844</v>
      </c>
      <c r="AP40" s="1124">
        <v>0.1</v>
      </c>
      <c r="AQ40" s="1124">
        <f t="shared" si="3"/>
        <v>0.35400422692244193</v>
      </c>
      <c r="AR40" s="1124">
        <v>20</v>
      </c>
      <c r="AS40" s="1124">
        <f t="shared" si="1"/>
        <v>0.37993149167506984</v>
      </c>
      <c r="AT40" s="224">
        <f t="shared" si="2"/>
        <v>103297.72391770247</v>
      </c>
    </row>
    <row r="41" spans="1:46">
      <c r="A41" s="1119">
        <v>2035</v>
      </c>
      <c r="D41" s="1108" t="s">
        <v>1862</v>
      </c>
      <c r="E41" s="224" t="s">
        <v>1921</v>
      </c>
      <c r="G41" s="224">
        <v>27627.349821655836</v>
      </c>
      <c r="H41" s="224">
        <v>15580.433333333334</v>
      </c>
      <c r="I41" s="224">
        <v>787.01456250000001</v>
      </c>
      <c r="J41" s="224">
        <v>0</v>
      </c>
      <c r="K41" s="224">
        <v>0</v>
      </c>
      <c r="L41" s="224">
        <v>0</v>
      </c>
      <c r="M41" s="224">
        <v>0</v>
      </c>
      <c r="N41" s="224">
        <v>0</v>
      </c>
      <c r="O41" s="224">
        <v>0</v>
      </c>
      <c r="P41" s="224">
        <v>0</v>
      </c>
      <c r="Q41" s="224">
        <v>0</v>
      </c>
      <c r="R41" s="224">
        <v>0</v>
      </c>
      <c r="S41" s="224">
        <v>2256.2192765000141</v>
      </c>
      <c r="T41" s="224">
        <v>2020.7821302498667</v>
      </c>
      <c r="U41" s="224">
        <v>2343.8948654255923</v>
      </c>
      <c r="V41" s="224">
        <v>0</v>
      </c>
      <c r="W41" s="224">
        <v>429.57914714999993</v>
      </c>
      <c r="X41" s="224">
        <v>644.36872072499989</v>
      </c>
      <c r="Y41" s="224">
        <v>787.01456250000001</v>
      </c>
      <c r="Z41" s="224">
        <v>0</v>
      </c>
      <c r="AA41" s="224">
        <v>20.732447063934035</v>
      </c>
      <c r="AB41" s="224">
        <v>18.163381754624908</v>
      </c>
      <c r="AC41" s="224">
        <v>21.076543826265006</v>
      </c>
      <c r="AD41" s="1121">
        <v>3.5953864064020595</v>
      </c>
      <c r="AE41" s="224">
        <v>0</v>
      </c>
      <c r="AF41" s="224">
        <v>4598.1649984927999</v>
      </c>
      <c r="AG41" s="224">
        <v>135318.36410999997</v>
      </c>
      <c r="AH41" s="224">
        <v>0</v>
      </c>
      <c r="AI41" s="224">
        <v>77200</v>
      </c>
      <c r="AJ41" s="224">
        <v>6260.6771727500018</v>
      </c>
      <c r="AK41" s="224">
        <v>8246.7711471673647</v>
      </c>
      <c r="AL41" s="224">
        <v>0</v>
      </c>
      <c r="AM41" s="224">
        <v>0</v>
      </c>
      <c r="AN41" s="1121">
        <v>231623.97742841011</v>
      </c>
      <c r="AO41" s="224">
        <f t="shared" si="0"/>
        <v>0.4737281129075353</v>
      </c>
      <c r="AP41" s="1124">
        <v>0.1</v>
      </c>
      <c r="AQ41" s="1124">
        <f t="shared" si="3"/>
        <v>0.35400422692244193</v>
      </c>
      <c r="AR41" s="1124">
        <v>20</v>
      </c>
      <c r="AS41" s="1124">
        <f t="shared" si="1"/>
        <v>0.35856065879161175</v>
      </c>
      <c r="AT41" s="224">
        <f t="shared" si="2"/>
        <v>81995.867066245468</v>
      </c>
    </row>
    <row r="42" spans="1:46">
      <c r="A42" s="1119">
        <v>2050</v>
      </c>
      <c r="D42" s="1108" t="s">
        <v>1862</v>
      </c>
      <c r="E42" s="224" t="s">
        <v>1921</v>
      </c>
      <c r="G42" s="224">
        <v>27017.25222165072</v>
      </c>
      <c r="H42" s="224">
        <v>15699.333333333334</v>
      </c>
      <c r="I42" s="224">
        <v>746.03262500000017</v>
      </c>
      <c r="J42" s="224">
        <v>0</v>
      </c>
      <c r="K42" s="224">
        <v>0</v>
      </c>
      <c r="L42" s="224">
        <v>0</v>
      </c>
      <c r="M42" s="224">
        <v>0</v>
      </c>
      <c r="N42" s="224">
        <v>0</v>
      </c>
      <c r="O42" s="224">
        <v>0</v>
      </c>
      <c r="P42" s="224">
        <v>0</v>
      </c>
      <c r="Q42" s="224">
        <v>0</v>
      </c>
      <c r="R42" s="224">
        <v>0</v>
      </c>
      <c r="S42" s="224">
        <v>2111.0252038044027</v>
      </c>
      <c r="T42" s="224">
        <v>1895.4423423046248</v>
      </c>
      <c r="U42" s="224">
        <v>2198.9251274266226</v>
      </c>
      <c r="V42" s="224">
        <v>0</v>
      </c>
      <c r="W42" s="224">
        <v>418.23349284999995</v>
      </c>
      <c r="X42" s="224">
        <v>627.35023927500004</v>
      </c>
      <c r="Y42" s="224">
        <v>746.03262500000017</v>
      </c>
      <c r="Z42" s="224">
        <v>0</v>
      </c>
      <c r="AA42" s="224">
        <v>19.405371423637693</v>
      </c>
      <c r="AB42" s="224">
        <v>17.065127603801326</v>
      </c>
      <c r="AC42" s="224">
        <v>19.816124814686706</v>
      </c>
      <c r="AD42" s="1121">
        <v>3.3446999401372377</v>
      </c>
      <c r="AE42" s="224">
        <v>0</v>
      </c>
      <c r="AF42" s="224">
        <v>2714.2952158399999</v>
      </c>
      <c r="AG42" s="224">
        <v>106913.18006399997</v>
      </c>
      <c r="AH42" s="224">
        <v>0</v>
      </c>
      <c r="AI42" s="224">
        <v>77200</v>
      </c>
      <c r="AJ42" s="224">
        <v>8960.4997789999998</v>
      </c>
      <c r="AK42" s="224">
        <v>10325.102059837716</v>
      </c>
      <c r="AL42" s="224">
        <v>0</v>
      </c>
      <c r="AM42" s="224">
        <v>0</v>
      </c>
      <c r="AN42" s="1121">
        <v>206113.0771186777</v>
      </c>
      <c r="AO42" s="224">
        <f t="shared" si="0"/>
        <v>0.4406976641124824</v>
      </c>
      <c r="AP42" s="1124">
        <v>0.1</v>
      </c>
      <c r="AQ42" s="1124">
        <f t="shared" si="3"/>
        <v>0.35400422692244193</v>
      </c>
      <c r="AR42" s="1124">
        <v>20</v>
      </c>
      <c r="AS42" s="1124">
        <f t="shared" si="1"/>
        <v>0.33356020144605325</v>
      </c>
      <c r="AT42" s="224">
        <f t="shared" si="2"/>
        <v>72964.900524003155</v>
      </c>
    </row>
    <row r="43" spans="1:46">
      <c r="A43" s="1119">
        <v>2017</v>
      </c>
      <c r="D43" s="1108" t="s">
        <v>1862</v>
      </c>
      <c r="E43" s="224" t="s">
        <v>1922</v>
      </c>
      <c r="G43" s="224">
        <v>31077.080827951599</v>
      </c>
      <c r="H43" s="224">
        <v>17273</v>
      </c>
      <c r="I43" s="224">
        <v>7.1992799999999999</v>
      </c>
      <c r="J43" s="224">
        <v>0.17092003045618401</v>
      </c>
      <c r="K43" s="224">
        <v>0.14078898612370816</v>
      </c>
      <c r="L43" s="224">
        <v>0.17113039874034502</v>
      </c>
      <c r="M43" s="224">
        <v>0</v>
      </c>
      <c r="N43" s="224">
        <v>0</v>
      </c>
      <c r="O43" s="224">
        <v>0</v>
      </c>
      <c r="P43" s="224">
        <v>0</v>
      </c>
      <c r="Q43" s="224">
        <v>0</v>
      </c>
      <c r="R43" s="224">
        <v>0</v>
      </c>
      <c r="S43" s="224">
        <v>0</v>
      </c>
      <c r="T43" s="224">
        <v>0</v>
      </c>
      <c r="U43" s="224">
        <v>0</v>
      </c>
      <c r="V43" s="224">
        <v>0</v>
      </c>
      <c r="W43" s="224">
        <v>549.54407450000008</v>
      </c>
      <c r="X43" s="224">
        <v>224.09677033492818</v>
      </c>
      <c r="Y43" s="224">
        <v>7.1992800000000008</v>
      </c>
      <c r="Z43" s="224">
        <v>359.2131584</v>
      </c>
      <c r="AA43" s="224">
        <v>64.584841972615763</v>
      </c>
      <c r="AB43" s="224">
        <v>52.300801445761856</v>
      </c>
      <c r="AC43" s="224">
        <v>63.233296010162675</v>
      </c>
      <c r="AD43" s="1121">
        <v>8.6761756496156472</v>
      </c>
      <c r="AE43" s="224">
        <v>0</v>
      </c>
      <c r="AF43" s="224">
        <v>25398.690796049996</v>
      </c>
      <c r="AG43" s="224">
        <v>9770.6191866028712</v>
      </c>
      <c r="AH43" s="224">
        <v>0</v>
      </c>
      <c r="AI43" s="224">
        <v>82200</v>
      </c>
      <c r="AJ43" s="224">
        <v>0</v>
      </c>
      <c r="AK43" s="224">
        <v>791.37040000000013</v>
      </c>
      <c r="AL43" s="224">
        <v>172278.86</v>
      </c>
      <c r="AM43" s="224">
        <v>65144.992756000014</v>
      </c>
      <c r="AN43" s="1121">
        <v>355584.53313865291</v>
      </c>
      <c r="AO43" s="224">
        <f t="shared" si="0"/>
        <v>1.1431729035933575</v>
      </c>
      <c r="AP43" s="1124">
        <v>0.1</v>
      </c>
      <c r="AQ43" s="1124">
        <f t="shared" si="3"/>
        <v>0.35400422692244193</v>
      </c>
      <c r="AR43" s="1124">
        <v>20</v>
      </c>
      <c r="AS43" s="1124">
        <f t="shared" si="1"/>
        <v>0.86525755651144931</v>
      </c>
      <c r="AT43" s="224">
        <f t="shared" si="2"/>
        <v>125878.42775932627</v>
      </c>
    </row>
    <row r="44" spans="1:46">
      <c r="A44" s="1122">
        <v>2020</v>
      </c>
      <c r="D44" s="1108" t="s">
        <v>1862</v>
      </c>
      <c r="E44" s="224" t="s">
        <v>1922</v>
      </c>
      <c r="G44" s="224">
        <v>30848.280250827975</v>
      </c>
      <c r="H44" s="224">
        <v>17326.2</v>
      </c>
      <c r="I44" s="224">
        <v>7.2943199999999999</v>
      </c>
      <c r="J44" s="224">
        <v>0.16174192361783329</v>
      </c>
      <c r="K44" s="224">
        <v>0.13081697851330126</v>
      </c>
      <c r="L44" s="224">
        <v>0.15807439951175559</v>
      </c>
      <c r="M44" s="224">
        <v>0</v>
      </c>
      <c r="N44" s="224">
        <v>0</v>
      </c>
      <c r="O44" s="224">
        <v>0</v>
      </c>
      <c r="P44" s="224">
        <v>0</v>
      </c>
      <c r="Q44" s="224">
        <v>0</v>
      </c>
      <c r="R44" s="224">
        <v>0</v>
      </c>
      <c r="S44" s="224">
        <v>0</v>
      </c>
      <c r="T44" s="224">
        <v>0</v>
      </c>
      <c r="U44" s="224">
        <v>0</v>
      </c>
      <c r="V44" s="224">
        <v>0</v>
      </c>
      <c r="W44" s="224">
        <v>543.27966934999995</v>
      </c>
      <c r="X44" s="224">
        <v>227.0551435406698</v>
      </c>
      <c r="Y44" s="224">
        <v>7.2943200000000008</v>
      </c>
      <c r="Z44" s="224">
        <v>354.58743770000001</v>
      </c>
      <c r="AA44" s="224">
        <v>60.995008282317912</v>
      </c>
      <c r="AB44" s="224">
        <v>48.52333394592744</v>
      </c>
      <c r="AC44" s="224">
        <v>58.365801165954352</v>
      </c>
      <c r="AD44" s="1121">
        <v>8.0195082308180901</v>
      </c>
      <c r="AE44" s="224">
        <v>0</v>
      </c>
      <c r="AF44" s="224">
        <v>19128.046038952496</v>
      </c>
      <c r="AG44" s="224">
        <v>9899.6042583732051</v>
      </c>
      <c r="AH44" s="224">
        <v>0</v>
      </c>
      <c r="AI44" s="224">
        <v>82200</v>
      </c>
      <c r="AJ44" s="224">
        <v>1355.6962439328033</v>
      </c>
      <c r="AK44" s="224">
        <v>2068.4830000687812</v>
      </c>
      <c r="AL44" s="224">
        <v>162032.85999999999</v>
      </c>
      <c r="AM44" s="224">
        <v>59427.412747692302</v>
      </c>
      <c r="AN44" s="1121">
        <v>336112.10228901962</v>
      </c>
      <c r="AO44" s="224">
        <f t="shared" si="0"/>
        <v>1.0566504044925915</v>
      </c>
      <c r="AP44" s="1124">
        <v>0.1</v>
      </c>
      <c r="AQ44" s="1124">
        <f t="shared" si="3"/>
        <v>0.35400422692244193</v>
      </c>
      <c r="AR44" s="1124">
        <v>20</v>
      </c>
      <c r="AS44" s="1124">
        <f t="shared" si="1"/>
        <v>0.79976943488096752</v>
      </c>
      <c r="AT44" s="224">
        <f t="shared" si="2"/>
        <v>118985.10493010112</v>
      </c>
    </row>
    <row r="45" spans="1:46">
      <c r="A45" s="1119">
        <v>2025</v>
      </c>
      <c r="D45" s="1108" t="s">
        <v>1862</v>
      </c>
      <c r="E45" s="224" t="s">
        <v>1922</v>
      </c>
      <c r="G45" s="224">
        <v>30069.955138762438</v>
      </c>
      <c r="H45" s="224">
        <v>17412.966675</v>
      </c>
      <c r="I45" s="224">
        <v>7.2547200000000007</v>
      </c>
      <c r="J45" s="224">
        <v>0.14658558646134701</v>
      </c>
      <c r="K45" s="224">
        <v>0.11247819535755534</v>
      </c>
      <c r="L45" s="224">
        <v>0.13388114457349407</v>
      </c>
      <c r="M45" s="224">
        <v>0</v>
      </c>
      <c r="N45" s="224">
        <v>0</v>
      </c>
      <c r="O45" s="224">
        <v>0</v>
      </c>
      <c r="P45" s="224">
        <v>0</v>
      </c>
      <c r="Q45" s="224">
        <v>0</v>
      </c>
      <c r="R45" s="224">
        <v>0</v>
      </c>
      <c r="S45" s="224">
        <v>0</v>
      </c>
      <c r="T45" s="224">
        <v>0</v>
      </c>
      <c r="U45" s="224">
        <v>0</v>
      </c>
      <c r="V45" s="224">
        <v>0</v>
      </c>
      <c r="W45" s="224">
        <v>525.56696205000003</v>
      </c>
      <c r="X45" s="224">
        <v>205.17436970923814</v>
      </c>
      <c r="Y45" s="224">
        <v>7.2547200000000007</v>
      </c>
      <c r="Z45" s="224">
        <v>342.40827820000004</v>
      </c>
      <c r="AA45" s="224">
        <v>55.457155362590314</v>
      </c>
      <c r="AB45" s="224">
        <v>41.93566431523589</v>
      </c>
      <c r="AC45" s="224">
        <v>49.77625419581711</v>
      </c>
      <c r="AD45" s="1121">
        <v>6.833751105169533</v>
      </c>
      <c r="AE45" s="224">
        <v>0</v>
      </c>
      <c r="AF45" s="224">
        <v>9169.7893652950006</v>
      </c>
      <c r="AG45" s="224">
        <v>6573.4731983805677</v>
      </c>
      <c r="AH45" s="224">
        <v>0</v>
      </c>
      <c r="AI45" s="224">
        <v>82200</v>
      </c>
      <c r="AJ45" s="224">
        <v>3308.0785849881008</v>
      </c>
      <c r="AK45" s="224">
        <v>5120.4589597967124</v>
      </c>
      <c r="AL45" s="224">
        <v>98523.04</v>
      </c>
      <c r="AM45" s="224">
        <v>37393.903766153853</v>
      </c>
      <c r="AN45" s="1121">
        <v>242288.74387461424</v>
      </c>
      <c r="AO45" s="224">
        <f t="shared" si="0"/>
        <v>0.90041504561713759</v>
      </c>
      <c r="AP45" s="1124">
        <v>0.1</v>
      </c>
      <c r="AQ45" s="1124">
        <f t="shared" si="3"/>
        <v>0.35400422692244193</v>
      </c>
      <c r="AR45" s="1124">
        <v>20</v>
      </c>
      <c r="AS45" s="1124">
        <f t="shared" si="1"/>
        <v>0.68151626037312296</v>
      </c>
      <c r="AT45" s="224">
        <f t="shared" si="2"/>
        <v>85771.239467342355</v>
      </c>
    </row>
    <row r="46" spans="1:46">
      <c r="A46" s="1119">
        <v>2030</v>
      </c>
      <c r="D46" s="1108" t="s">
        <v>1862</v>
      </c>
      <c r="E46" s="224" t="s">
        <v>1922</v>
      </c>
      <c r="G46" s="224">
        <v>29625.762175313204</v>
      </c>
      <c r="H46" s="224">
        <v>17500.166675</v>
      </c>
      <c r="I46" s="224">
        <v>7.3576800000000011</v>
      </c>
      <c r="J46" s="224">
        <v>0.13770344790337635</v>
      </c>
      <c r="K46" s="224">
        <v>0.10460951997158341</v>
      </c>
      <c r="L46" s="224">
        <v>0.12414995342603863</v>
      </c>
      <c r="M46" s="224">
        <v>0</v>
      </c>
      <c r="N46" s="224">
        <v>0</v>
      </c>
      <c r="O46" s="224">
        <v>0</v>
      </c>
      <c r="P46" s="224">
        <v>0</v>
      </c>
      <c r="Q46" s="224">
        <v>0</v>
      </c>
      <c r="R46" s="224">
        <v>0</v>
      </c>
      <c r="S46" s="224">
        <v>0</v>
      </c>
      <c r="T46" s="224">
        <v>0</v>
      </c>
      <c r="U46" s="224">
        <v>0</v>
      </c>
      <c r="V46" s="224">
        <v>0</v>
      </c>
      <c r="W46" s="224">
        <v>517.95809322499997</v>
      </c>
      <c r="X46" s="224">
        <v>163.53805653953032</v>
      </c>
      <c r="Y46" s="224">
        <v>7.3576800000000011</v>
      </c>
      <c r="Z46" s="224">
        <v>336.966672475</v>
      </c>
      <c r="AA46" s="224">
        <v>52.099536575940647</v>
      </c>
      <c r="AB46" s="224">
        <v>39.021115650347937</v>
      </c>
      <c r="AC46" s="224">
        <v>46.210021200880036</v>
      </c>
      <c r="AD46" s="1121">
        <v>6.3198501324656275</v>
      </c>
      <c r="AE46" s="224">
        <v>0</v>
      </c>
      <c r="AF46" s="224">
        <v>6691.286276569921</v>
      </c>
      <c r="AG46" s="224">
        <v>4195.0893027300208</v>
      </c>
      <c r="AH46" s="224">
        <v>0</v>
      </c>
      <c r="AI46" s="224">
        <v>82200</v>
      </c>
      <c r="AJ46" s="224">
        <v>5119.7028019500003</v>
      </c>
      <c r="AK46" s="224">
        <v>6626.5650117372134</v>
      </c>
      <c r="AL46" s="224">
        <v>63914.540000000008</v>
      </c>
      <c r="AM46" s="224">
        <v>27183.589200000002</v>
      </c>
      <c r="AN46" s="1121">
        <v>195930.77259298717</v>
      </c>
      <c r="AO46" s="224">
        <f t="shared" si="0"/>
        <v>0.83270345345367103</v>
      </c>
      <c r="AP46" s="1124">
        <v>0.1</v>
      </c>
      <c r="AQ46" s="1124">
        <f t="shared" si="3"/>
        <v>0.35400422692244193</v>
      </c>
      <c r="AR46" s="1124">
        <v>20</v>
      </c>
      <c r="AS46" s="1124">
        <f t="shared" si="1"/>
        <v>0.63026594941954783</v>
      </c>
      <c r="AT46" s="224">
        <f t="shared" si="2"/>
        <v>69360.321682097201</v>
      </c>
    </row>
    <row r="47" spans="1:46">
      <c r="A47" s="1119">
        <v>2035</v>
      </c>
      <c r="D47" s="1108" t="s">
        <v>1862</v>
      </c>
      <c r="E47" s="224" t="s">
        <v>1922</v>
      </c>
      <c r="G47" s="224">
        <v>29277.774661991123</v>
      </c>
      <c r="H47" s="224">
        <v>17574.349999999999</v>
      </c>
      <c r="I47" s="224">
        <v>7.4052000000000016</v>
      </c>
      <c r="J47" s="224">
        <v>0.12907920426693353</v>
      </c>
      <c r="K47" s="224">
        <v>9.7247906980452117E-2</v>
      </c>
      <c r="L47" s="224">
        <v>0.11508005178236913</v>
      </c>
      <c r="M47" s="224">
        <v>0</v>
      </c>
      <c r="N47" s="224">
        <v>0</v>
      </c>
      <c r="O47" s="224">
        <v>0</v>
      </c>
      <c r="P47" s="224">
        <v>0</v>
      </c>
      <c r="Q47" s="224">
        <v>0</v>
      </c>
      <c r="R47" s="224">
        <v>0</v>
      </c>
      <c r="S47" s="224">
        <v>0</v>
      </c>
      <c r="T47" s="224">
        <v>0</v>
      </c>
      <c r="U47" s="224">
        <v>0</v>
      </c>
      <c r="V47" s="224">
        <v>0</v>
      </c>
      <c r="W47" s="224">
        <v>511.25037105000001</v>
      </c>
      <c r="X47" s="224">
        <v>139.94377729257639</v>
      </c>
      <c r="Y47" s="224">
        <v>7.4052000000000016</v>
      </c>
      <c r="Z47" s="224">
        <v>332.37036072500001</v>
      </c>
      <c r="AA47" s="224">
        <v>48.84129924638043</v>
      </c>
      <c r="AB47" s="224">
        <v>36.300706198400896</v>
      </c>
      <c r="AC47" s="224">
        <v>42.865993136386386</v>
      </c>
      <c r="AD47" s="1121">
        <v>5.8457860465932248</v>
      </c>
      <c r="AE47" s="224">
        <v>0</v>
      </c>
      <c r="AF47" s="224">
        <v>5432.7450309287997</v>
      </c>
      <c r="AG47" s="224">
        <v>2691.2310917030554</v>
      </c>
      <c r="AH47" s="224">
        <v>0</v>
      </c>
      <c r="AI47" s="224">
        <v>82200</v>
      </c>
      <c r="AJ47" s="224">
        <v>6800.390722125002</v>
      </c>
      <c r="AK47" s="224">
        <v>8381.7279528533218</v>
      </c>
      <c r="AL47" s="224">
        <v>49594.2</v>
      </c>
      <c r="AM47" s="224">
        <v>20226.811754999999</v>
      </c>
      <c r="AN47" s="1121">
        <v>175327.10655261017</v>
      </c>
      <c r="AO47" s="224">
        <f t="shared" si="0"/>
        <v>0.77024076949912323</v>
      </c>
      <c r="AP47" s="1124">
        <v>0.1</v>
      </c>
      <c r="AQ47" s="1124">
        <f t="shared" si="3"/>
        <v>0.35400422692244193</v>
      </c>
      <c r="AR47" s="1124">
        <v>20</v>
      </c>
      <c r="AS47" s="1124">
        <f t="shared" si="1"/>
        <v>0.58298849110875861</v>
      </c>
      <c r="AT47" s="224">
        <f t="shared" si="2"/>
        <v>62066.536813705367</v>
      </c>
    </row>
    <row r="48" spans="1:46">
      <c r="A48" s="1119">
        <v>2050</v>
      </c>
      <c r="D48" s="1108" t="s">
        <v>1862</v>
      </c>
      <c r="E48" s="224" t="s">
        <v>1922</v>
      </c>
      <c r="G48" s="224">
        <v>28803.557637863691</v>
      </c>
      <c r="H48" s="224">
        <v>17703.5</v>
      </c>
      <c r="I48" s="224">
        <v>7.3563200000000011</v>
      </c>
      <c r="J48" s="224">
        <v>0.1173603442647627</v>
      </c>
      <c r="K48" s="224">
        <v>8.7081292184246872E-2</v>
      </c>
      <c r="L48" s="224">
        <v>0.10299942971992142</v>
      </c>
      <c r="M48" s="224">
        <v>0</v>
      </c>
      <c r="N48" s="224">
        <v>0</v>
      </c>
      <c r="O48" s="224">
        <v>0</v>
      </c>
      <c r="P48" s="224">
        <v>0</v>
      </c>
      <c r="Q48" s="224">
        <v>0</v>
      </c>
      <c r="R48" s="224">
        <v>0</v>
      </c>
      <c r="S48" s="224">
        <v>0</v>
      </c>
      <c r="T48" s="224">
        <v>0</v>
      </c>
      <c r="U48" s="224">
        <v>0</v>
      </c>
      <c r="V48" s="224">
        <v>0</v>
      </c>
      <c r="W48" s="224">
        <v>493.51753114999997</v>
      </c>
      <c r="X48" s="224">
        <v>118.11992358078601</v>
      </c>
      <c r="Y48" s="224">
        <v>6.2225200000000012</v>
      </c>
      <c r="Z48" s="224">
        <v>320.21511939999999</v>
      </c>
      <c r="AA48" s="224">
        <v>44.348058823579386</v>
      </c>
      <c r="AB48" s="224">
        <v>32.408915493817005</v>
      </c>
      <c r="AC48" s="224">
        <v>38.647156785270631</v>
      </c>
      <c r="AD48" s="1121">
        <v>5.1948040784098275</v>
      </c>
      <c r="AE48" s="224">
        <v>0</v>
      </c>
      <c r="AF48" s="224">
        <v>3205.504398174</v>
      </c>
      <c r="AG48" s="224">
        <v>2184.7393886462874</v>
      </c>
      <c r="AH48" s="224">
        <v>0</v>
      </c>
      <c r="AI48" s="224">
        <v>82200</v>
      </c>
      <c r="AJ48" s="224">
        <v>9732.9566565000005</v>
      </c>
      <c r="AK48" s="224">
        <v>10325.102059837716</v>
      </c>
      <c r="AL48" s="224">
        <v>43259.999999999993</v>
      </c>
      <c r="AM48" s="224">
        <v>17272.873800000001</v>
      </c>
      <c r="AN48" s="1121">
        <v>168181.24908685117</v>
      </c>
      <c r="AO48" s="224">
        <f t="shared" si="0"/>
        <v>0.68446738537127882</v>
      </c>
      <c r="AP48" s="1124">
        <v>0.1</v>
      </c>
      <c r="AQ48" s="1124">
        <f t="shared" si="3"/>
        <v>0.35400422692244193</v>
      </c>
      <c r="AR48" s="1124">
        <v>20</v>
      </c>
      <c r="AS48" s="1124">
        <f t="shared" si="1"/>
        <v>0.51806736803901843</v>
      </c>
      <c r="AT48" s="224">
        <f t="shared" si="2"/>
        <v>59536.873065841392</v>
      </c>
    </row>
    <row r="49" spans="1:46">
      <c r="A49" s="1119">
        <v>2017</v>
      </c>
      <c r="B49" s="1120"/>
      <c r="C49" s="1120"/>
      <c r="D49" s="1120" t="s">
        <v>1863</v>
      </c>
      <c r="E49" s="1120" t="s">
        <v>1917</v>
      </c>
      <c r="F49" s="1120"/>
      <c r="G49" s="224">
        <v>4053.7476382418367</v>
      </c>
      <c r="H49" s="224">
        <v>1644.5</v>
      </c>
      <c r="I49" s="224">
        <v>3.1680000000000001</v>
      </c>
      <c r="J49" s="224">
        <v>6.5906262051519532E-2</v>
      </c>
      <c r="K49" s="224">
        <v>5.6202373470164706E-2</v>
      </c>
      <c r="L49" s="224">
        <v>6.8640769823530248E-2</v>
      </c>
      <c r="M49" s="224">
        <v>0</v>
      </c>
      <c r="N49" s="224">
        <v>0</v>
      </c>
      <c r="O49" s="224">
        <v>0</v>
      </c>
      <c r="P49" s="224">
        <v>0</v>
      </c>
      <c r="Q49" s="224">
        <v>0</v>
      </c>
      <c r="R49" s="224">
        <v>0</v>
      </c>
      <c r="S49" s="224">
        <v>0</v>
      </c>
      <c r="T49" s="224">
        <v>0</v>
      </c>
      <c r="U49" s="224">
        <v>0</v>
      </c>
      <c r="V49" s="224">
        <v>162.90557410000002</v>
      </c>
      <c r="W49" s="224">
        <v>0</v>
      </c>
      <c r="X49" s="224">
        <v>4.3509999999999991</v>
      </c>
      <c r="Y49" s="224">
        <v>3.1680000000000001</v>
      </c>
      <c r="Z49" s="224">
        <v>0</v>
      </c>
      <c r="AA49" s="224">
        <v>13.181252410303909</v>
      </c>
      <c r="AB49" s="224">
        <v>11.24047469403294</v>
      </c>
      <c r="AC49" s="224">
        <v>13.728153964706051</v>
      </c>
      <c r="AD49" s="1121">
        <v>55.196820642492561</v>
      </c>
      <c r="AE49" s="224">
        <v>15143.902991442286</v>
      </c>
      <c r="AF49" s="224">
        <v>0</v>
      </c>
      <c r="AG49" s="224">
        <v>261.60000000000002</v>
      </c>
      <c r="AH49" s="224">
        <v>5573.2276677744831</v>
      </c>
      <c r="AI49" s="224">
        <v>18600</v>
      </c>
      <c r="AJ49" s="224">
        <v>0</v>
      </c>
      <c r="AK49" s="224">
        <v>745.98720000000003</v>
      </c>
      <c r="AL49" s="224">
        <v>0</v>
      </c>
      <c r="AM49" s="224">
        <v>436.00000000000006</v>
      </c>
      <c r="AN49" s="1121">
        <v>40760.717859216769</v>
      </c>
      <c r="AO49" s="224">
        <f t="shared" si="0"/>
        <v>7.2727330878548191</v>
      </c>
      <c r="AP49" s="1124">
        <v>0.1</v>
      </c>
      <c r="AQ49" s="1124">
        <f>AA49*$C$4*365/1000*0.1</f>
        <v>6.3391806341729959E-2</v>
      </c>
      <c r="AR49" s="1124">
        <v>20</v>
      </c>
      <c r="AS49" s="1124">
        <f>AO49/$AO$49</f>
        <v>1</v>
      </c>
      <c r="AT49" s="224">
        <f t="shared" si="2"/>
        <v>2583.8955328813631</v>
      </c>
    </row>
    <row r="50" spans="1:46">
      <c r="A50" s="1122">
        <v>2020</v>
      </c>
      <c r="B50" s="1108"/>
      <c r="C50" s="1108"/>
      <c r="D50" s="1108" t="s">
        <v>1863</v>
      </c>
      <c r="E50" s="1108" t="s">
        <v>1917</v>
      </c>
      <c r="F50" s="1108"/>
      <c r="G50" s="224" t="e">
        <v>#DIV/0!</v>
      </c>
      <c r="H50" s="224" t="e">
        <v>#DIV/0!</v>
      </c>
      <c r="I50" s="224" t="e">
        <v>#DIV/0!</v>
      </c>
      <c r="J50" s="224" t="e">
        <v>#DIV/0!</v>
      </c>
      <c r="K50" s="224" t="e">
        <v>#DIV/0!</v>
      </c>
      <c r="L50" s="224" t="e">
        <v>#DIV/0!</v>
      </c>
      <c r="M50" s="224" t="e">
        <v>#DIV/0!</v>
      </c>
      <c r="N50" s="224" t="e">
        <v>#DIV/0!</v>
      </c>
      <c r="O50" s="224" t="e">
        <v>#DIV/0!</v>
      </c>
      <c r="P50" s="224" t="e">
        <v>#DIV/0!</v>
      </c>
      <c r="Q50" s="224" t="e">
        <v>#DIV/0!</v>
      </c>
      <c r="R50" s="224" t="e">
        <v>#DIV/0!</v>
      </c>
      <c r="S50" s="224" t="e">
        <v>#DIV/0!</v>
      </c>
      <c r="T50" s="224" t="e">
        <v>#DIV/0!</v>
      </c>
      <c r="U50" s="224" t="e">
        <v>#DIV/0!</v>
      </c>
      <c r="V50" s="224" t="e">
        <v>#DIV/0!</v>
      </c>
      <c r="W50" s="224" t="e">
        <v>#DIV/0!</v>
      </c>
      <c r="X50" s="224" t="e">
        <v>#DIV/0!</v>
      </c>
      <c r="Y50" s="224" t="e">
        <v>#DIV/0!</v>
      </c>
      <c r="Z50" s="224" t="e">
        <v>#DIV/0!</v>
      </c>
      <c r="AA50" s="224" t="e">
        <v>#DIV/0!</v>
      </c>
      <c r="AB50" s="224" t="e">
        <v>#DIV/0!</v>
      </c>
      <c r="AC50" s="224" t="e">
        <v>#DIV/0!</v>
      </c>
      <c r="AD50" s="1121" t="e">
        <v>#DIV/0!</v>
      </c>
      <c r="AE50" s="224" t="e">
        <v>#DIV/0!</v>
      </c>
      <c r="AF50" s="224" t="e">
        <v>#DIV/0!</v>
      </c>
      <c r="AG50" s="224" t="e">
        <v>#DIV/0!</v>
      </c>
      <c r="AH50" s="224" t="e">
        <v>#DIV/0!</v>
      </c>
      <c r="AI50" s="224" t="e">
        <v>#DIV/0!</v>
      </c>
      <c r="AJ50" s="224" t="e">
        <v>#DIV/0!</v>
      </c>
      <c r="AK50" s="224" t="e">
        <v>#DIV/0!</v>
      </c>
      <c r="AL50" s="224" t="e">
        <v>#DIV/0!</v>
      </c>
      <c r="AM50" s="224" t="e">
        <v>#DIV/0!</v>
      </c>
      <c r="AN50" s="1121" t="e">
        <v>#DIV/0!</v>
      </c>
      <c r="AO50" s="224" t="e">
        <f t="shared" si="0"/>
        <v>#DIV/0!</v>
      </c>
      <c r="AP50" s="1124">
        <v>0.1</v>
      </c>
      <c r="AQ50" s="1124">
        <f t="shared" si="3"/>
        <v>6.3391806341729959E-2</v>
      </c>
      <c r="AR50" s="1124">
        <v>20</v>
      </c>
      <c r="AS50" s="1124" t="e">
        <f t="shared" ref="AS50:AS84" si="4">AO50/$AO$49</f>
        <v>#DIV/0!</v>
      </c>
      <c r="AT50" s="224" t="e">
        <f t="shared" si="2"/>
        <v>#DIV/0!</v>
      </c>
    </row>
    <row r="51" spans="1:46">
      <c r="A51" s="1119">
        <v>2025</v>
      </c>
      <c r="B51" s="1120"/>
      <c r="C51" s="1120"/>
      <c r="D51" s="1108" t="s">
        <v>1863</v>
      </c>
      <c r="E51" s="1120" t="s">
        <v>1917</v>
      </c>
      <c r="F51" s="1120"/>
      <c r="G51" s="224" t="e">
        <v>#DIV/0!</v>
      </c>
      <c r="H51" s="224" t="e">
        <v>#DIV/0!</v>
      </c>
      <c r="I51" s="224" t="e">
        <v>#DIV/0!</v>
      </c>
      <c r="J51" s="224" t="e">
        <v>#DIV/0!</v>
      </c>
      <c r="K51" s="224" t="e">
        <v>#DIV/0!</v>
      </c>
      <c r="L51" s="224" t="e">
        <v>#DIV/0!</v>
      </c>
      <c r="M51" s="224" t="e">
        <v>#DIV/0!</v>
      </c>
      <c r="N51" s="224" t="e">
        <v>#DIV/0!</v>
      </c>
      <c r="O51" s="224" t="e">
        <v>#DIV/0!</v>
      </c>
      <c r="P51" s="224" t="e">
        <v>#DIV/0!</v>
      </c>
      <c r="Q51" s="224" t="e">
        <v>#DIV/0!</v>
      </c>
      <c r="R51" s="224" t="e">
        <v>#DIV/0!</v>
      </c>
      <c r="S51" s="224" t="e">
        <v>#DIV/0!</v>
      </c>
      <c r="T51" s="224" t="e">
        <v>#DIV/0!</v>
      </c>
      <c r="U51" s="224" t="e">
        <v>#DIV/0!</v>
      </c>
      <c r="V51" s="224" t="e">
        <v>#DIV/0!</v>
      </c>
      <c r="W51" s="224" t="e">
        <v>#DIV/0!</v>
      </c>
      <c r="X51" s="224" t="e">
        <v>#DIV/0!</v>
      </c>
      <c r="Y51" s="224" t="e">
        <v>#DIV/0!</v>
      </c>
      <c r="Z51" s="224" t="e">
        <v>#DIV/0!</v>
      </c>
      <c r="AA51" s="224" t="e">
        <v>#DIV/0!</v>
      </c>
      <c r="AB51" s="224" t="e">
        <v>#DIV/0!</v>
      </c>
      <c r="AC51" s="224" t="e">
        <v>#DIV/0!</v>
      </c>
      <c r="AD51" s="1121" t="e">
        <v>#DIV/0!</v>
      </c>
      <c r="AE51" s="224" t="e">
        <v>#DIV/0!</v>
      </c>
      <c r="AF51" s="224" t="e">
        <v>#DIV/0!</v>
      </c>
      <c r="AG51" s="224" t="e">
        <v>#DIV/0!</v>
      </c>
      <c r="AH51" s="224" t="e">
        <v>#DIV/0!</v>
      </c>
      <c r="AI51" s="224" t="e">
        <v>#DIV/0!</v>
      </c>
      <c r="AJ51" s="224" t="e">
        <v>#DIV/0!</v>
      </c>
      <c r="AK51" s="224" t="e">
        <v>#DIV/0!</v>
      </c>
      <c r="AL51" s="224" t="e">
        <v>#DIV/0!</v>
      </c>
      <c r="AM51" s="224" t="e">
        <v>#DIV/0!</v>
      </c>
      <c r="AN51" s="1121" t="e">
        <v>#DIV/0!</v>
      </c>
      <c r="AO51" s="224" t="e">
        <f t="shared" si="0"/>
        <v>#DIV/0!</v>
      </c>
      <c r="AP51" s="1124">
        <v>0.1</v>
      </c>
      <c r="AQ51" s="1124">
        <f t="shared" si="3"/>
        <v>6.3391806341729959E-2</v>
      </c>
      <c r="AR51" s="1124">
        <v>20</v>
      </c>
      <c r="AS51" s="1124" t="e">
        <f t="shared" si="4"/>
        <v>#DIV/0!</v>
      </c>
      <c r="AT51" s="224" t="e">
        <f t="shared" si="2"/>
        <v>#DIV/0!</v>
      </c>
    </row>
    <row r="52" spans="1:46">
      <c r="A52" s="1119">
        <v>2030</v>
      </c>
      <c r="B52" s="1108"/>
      <c r="C52" s="1108"/>
      <c r="D52" s="1108" t="s">
        <v>1863</v>
      </c>
      <c r="E52" s="1108" t="s">
        <v>1917</v>
      </c>
      <c r="F52" s="1108"/>
      <c r="G52" s="224">
        <v>4187.8509903640024</v>
      </c>
      <c r="H52" s="224">
        <v>1679.5</v>
      </c>
      <c r="I52" s="224">
        <v>3.1680000000000001</v>
      </c>
      <c r="J52" s="224">
        <v>4.9049991627523312E-2</v>
      </c>
      <c r="K52" s="224">
        <v>3.5792453856287508E-2</v>
      </c>
      <c r="L52" s="224">
        <v>4.3136869286860627E-2</v>
      </c>
      <c r="M52" s="224">
        <v>0</v>
      </c>
      <c r="N52" s="224">
        <v>0</v>
      </c>
      <c r="O52" s="224">
        <v>0</v>
      </c>
      <c r="P52" s="224">
        <v>0</v>
      </c>
      <c r="Q52" s="224">
        <v>0</v>
      </c>
      <c r="R52" s="224">
        <v>0</v>
      </c>
      <c r="S52" s="224">
        <v>0</v>
      </c>
      <c r="T52" s="224">
        <v>0</v>
      </c>
      <c r="U52" s="224">
        <v>0</v>
      </c>
      <c r="V52" s="224">
        <v>164.2930159</v>
      </c>
      <c r="W52" s="224">
        <v>0</v>
      </c>
      <c r="X52" s="224">
        <v>4.3964347826086954</v>
      </c>
      <c r="Y52" s="224">
        <v>3.1680000000000001</v>
      </c>
      <c r="Z52" s="224">
        <v>0</v>
      </c>
      <c r="AA52" s="224">
        <v>9.8099983255046634</v>
      </c>
      <c r="AB52" s="224">
        <v>7.158490771257501</v>
      </c>
      <c r="AC52" s="224">
        <v>8.6273738573721239</v>
      </c>
      <c r="AD52" s="1121">
        <v>35.160573732855248</v>
      </c>
      <c r="AE52" s="224">
        <v>15379.952058614859</v>
      </c>
      <c r="AF52" s="224">
        <v>0</v>
      </c>
      <c r="AG52" s="224">
        <v>177.6</v>
      </c>
      <c r="AH52" s="224">
        <v>5612.0090582255179</v>
      </c>
      <c r="AI52" s="224">
        <v>18600</v>
      </c>
      <c r="AJ52" s="224">
        <v>619.42648860000008</v>
      </c>
      <c r="AK52" s="224">
        <v>5614.4184944067338</v>
      </c>
      <c r="AL52" s="224">
        <v>0</v>
      </c>
      <c r="AM52" s="224">
        <v>296</v>
      </c>
      <c r="AN52" s="1121">
        <v>46299.406099847103</v>
      </c>
      <c r="AO52" s="224">
        <f t="shared" si="0"/>
        <v>4.6327571950410071</v>
      </c>
      <c r="AP52" s="1124">
        <v>0.1</v>
      </c>
      <c r="AQ52" s="1124">
        <f t="shared" si="3"/>
        <v>6.3391806341729959E-2</v>
      </c>
      <c r="AR52" s="1124">
        <v>20</v>
      </c>
      <c r="AS52" s="1124">
        <f t="shared" si="4"/>
        <v>0.63700360498277209</v>
      </c>
      <c r="AT52" s="224">
        <f t="shared" si="2"/>
        <v>2935.0029852186185</v>
      </c>
    </row>
    <row r="53" spans="1:46">
      <c r="A53" s="1119">
        <v>2035</v>
      </c>
      <c r="B53" s="1120"/>
      <c r="C53" s="1120"/>
      <c r="D53" s="1108" t="s">
        <v>1863</v>
      </c>
      <c r="E53" s="1120" t="s">
        <v>1917</v>
      </c>
      <c r="F53" s="1120"/>
      <c r="G53" s="224" t="e">
        <v>#DIV/0!</v>
      </c>
      <c r="H53" s="224" t="e">
        <v>#DIV/0!</v>
      </c>
      <c r="I53" s="224" t="e">
        <v>#DIV/0!</v>
      </c>
      <c r="J53" s="224" t="e">
        <v>#DIV/0!</v>
      </c>
      <c r="K53" s="224" t="e">
        <v>#DIV/0!</v>
      </c>
      <c r="L53" s="224" t="e">
        <v>#DIV/0!</v>
      </c>
      <c r="M53" s="224" t="e">
        <v>#DIV/0!</v>
      </c>
      <c r="N53" s="224" t="e">
        <v>#DIV/0!</v>
      </c>
      <c r="O53" s="224" t="e">
        <v>#DIV/0!</v>
      </c>
      <c r="P53" s="224" t="e">
        <v>#DIV/0!</v>
      </c>
      <c r="Q53" s="224" t="e">
        <v>#DIV/0!</v>
      </c>
      <c r="R53" s="224" t="e">
        <v>#DIV/0!</v>
      </c>
      <c r="S53" s="224" t="e">
        <v>#DIV/0!</v>
      </c>
      <c r="T53" s="224" t="e">
        <v>#DIV/0!</v>
      </c>
      <c r="U53" s="224" t="e">
        <v>#DIV/0!</v>
      </c>
      <c r="V53" s="224" t="e">
        <v>#DIV/0!</v>
      </c>
      <c r="W53" s="224" t="e">
        <v>#DIV/0!</v>
      </c>
      <c r="X53" s="224" t="e">
        <v>#DIV/0!</v>
      </c>
      <c r="Y53" s="224" t="e">
        <v>#DIV/0!</v>
      </c>
      <c r="Z53" s="224" t="e">
        <v>#DIV/0!</v>
      </c>
      <c r="AA53" s="224" t="e">
        <v>#DIV/0!</v>
      </c>
      <c r="AB53" s="224" t="e">
        <v>#DIV/0!</v>
      </c>
      <c r="AC53" s="224" t="e">
        <v>#DIV/0!</v>
      </c>
      <c r="AD53" s="1121" t="e">
        <v>#DIV/0!</v>
      </c>
      <c r="AE53" s="224" t="e">
        <v>#DIV/0!</v>
      </c>
      <c r="AF53" s="224" t="e">
        <v>#DIV/0!</v>
      </c>
      <c r="AG53" s="224" t="e">
        <v>#DIV/0!</v>
      </c>
      <c r="AH53" s="224" t="e">
        <v>#DIV/0!</v>
      </c>
      <c r="AI53" s="224" t="e">
        <v>#DIV/0!</v>
      </c>
      <c r="AJ53" s="224" t="e">
        <v>#DIV/0!</v>
      </c>
      <c r="AK53" s="224" t="e">
        <v>#DIV/0!</v>
      </c>
      <c r="AL53" s="224" t="e">
        <v>#DIV/0!</v>
      </c>
      <c r="AM53" s="224" t="e">
        <v>#DIV/0!</v>
      </c>
      <c r="AN53" s="1121" t="e">
        <v>#DIV/0!</v>
      </c>
      <c r="AO53" s="224" t="e">
        <f t="shared" si="0"/>
        <v>#DIV/0!</v>
      </c>
      <c r="AP53" s="1124">
        <v>0.1</v>
      </c>
      <c r="AQ53" s="1124">
        <f t="shared" si="3"/>
        <v>6.3391806341729959E-2</v>
      </c>
      <c r="AR53" s="1124">
        <v>20</v>
      </c>
      <c r="AS53" s="1124" t="e">
        <f t="shared" si="4"/>
        <v>#DIV/0!</v>
      </c>
      <c r="AT53" s="224" t="e">
        <f t="shared" si="2"/>
        <v>#DIV/0!</v>
      </c>
    </row>
    <row r="54" spans="1:46">
      <c r="A54" s="1119">
        <v>2050</v>
      </c>
      <c r="B54" s="1108"/>
      <c r="C54" s="1108"/>
      <c r="D54" s="1108" t="s">
        <v>1863</v>
      </c>
      <c r="E54" s="1108" t="s">
        <v>1917</v>
      </c>
      <c r="F54" s="1108"/>
      <c r="G54" s="224">
        <v>4176.440580739185</v>
      </c>
      <c r="H54" s="224">
        <v>1762.5</v>
      </c>
      <c r="I54" s="224">
        <v>3.1680000000000001</v>
      </c>
      <c r="J54" s="224">
        <v>4.6207571249253801E-2</v>
      </c>
      <c r="K54" s="224">
        <v>3.3731579691021078E-2</v>
      </c>
      <c r="L54" s="224">
        <v>4.0817837443209035E-2</v>
      </c>
      <c r="M54" s="224">
        <v>0</v>
      </c>
      <c r="N54" s="224">
        <v>0</v>
      </c>
      <c r="O54" s="224">
        <v>0</v>
      </c>
      <c r="P54" s="224">
        <v>0</v>
      </c>
      <c r="Q54" s="224">
        <v>0</v>
      </c>
      <c r="R54" s="224">
        <v>0</v>
      </c>
      <c r="S54" s="224">
        <v>0</v>
      </c>
      <c r="T54" s="224">
        <v>0</v>
      </c>
      <c r="U54" s="224">
        <v>0</v>
      </c>
      <c r="V54" s="224">
        <v>161.15968530000001</v>
      </c>
      <c r="W54" s="224">
        <v>0</v>
      </c>
      <c r="X54" s="224">
        <v>4.3964347826086954</v>
      </c>
      <c r="Y54" s="224">
        <v>3.1680000000000001</v>
      </c>
      <c r="Z54" s="224">
        <v>0</v>
      </c>
      <c r="AA54" s="224">
        <v>9.2415142498507592</v>
      </c>
      <c r="AB54" s="224">
        <v>6.7463159382042157</v>
      </c>
      <c r="AC54" s="224">
        <v>8.1635674886418066</v>
      </c>
      <c r="AD54" s="1121">
        <v>29.642635265481175</v>
      </c>
      <c r="AE54" s="224">
        <v>15107.349068223997</v>
      </c>
      <c r="AF54" s="224">
        <v>0</v>
      </c>
      <c r="AG54" s="224">
        <v>144</v>
      </c>
      <c r="AH54" s="224">
        <v>5524.4270656613789</v>
      </c>
      <c r="AI54" s="224">
        <v>18600</v>
      </c>
      <c r="AJ54" s="224">
        <v>1463.2117487400001</v>
      </c>
      <c r="AK54" s="224">
        <v>6393.2965024452897</v>
      </c>
      <c r="AL54" s="224">
        <v>0</v>
      </c>
      <c r="AM54" s="224">
        <v>240</v>
      </c>
      <c r="AN54" s="1121">
        <v>47472.28438507067</v>
      </c>
      <c r="AO54" s="224">
        <f t="shared" si="0"/>
        <v>3.9057136225797993</v>
      </c>
      <c r="AP54" s="1124">
        <v>0.1</v>
      </c>
      <c r="AQ54" s="1124">
        <f t="shared" si="3"/>
        <v>6.3391806341729959E-2</v>
      </c>
      <c r="AR54" s="1124">
        <v>20</v>
      </c>
      <c r="AS54" s="1124">
        <f t="shared" si="4"/>
        <v>0.53703519370210206</v>
      </c>
      <c r="AT54" s="224">
        <f t="shared" si="2"/>
        <v>3009.3538583379309</v>
      </c>
    </row>
    <row r="55" spans="1:46">
      <c r="A55" s="1119">
        <v>2017</v>
      </c>
      <c r="B55" s="1120"/>
      <c r="C55" s="1120"/>
      <c r="D55" s="1108" t="s">
        <v>1863</v>
      </c>
      <c r="E55" s="1120" t="s">
        <v>1918</v>
      </c>
      <c r="F55" s="1120"/>
      <c r="G55" s="224">
        <v>3993.8355053458145</v>
      </c>
      <c r="H55" s="224">
        <v>1644.5</v>
      </c>
      <c r="I55" s="224">
        <v>0.21333565440000002</v>
      </c>
      <c r="J55" s="224">
        <v>6.4751080622256027E-2</v>
      </c>
      <c r="K55" s="224">
        <v>5.4092369722961803E-2</v>
      </c>
      <c r="L55" s="224">
        <v>6.6417858813371866E-2</v>
      </c>
      <c r="M55" s="224">
        <v>0</v>
      </c>
      <c r="N55" s="224">
        <v>0</v>
      </c>
      <c r="O55" s="224">
        <v>0</v>
      </c>
      <c r="P55" s="224">
        <v>0</v>
      </c>
      <c r="Q55" s="224">
        <v>0</v>
      </c>
      <c r="R55" s="224">
        <v>0</v>
      </c>
      <c r="S55" s="224">
        <v>0</v>
      </c>
      <c r="T55" s="224">
        <v>0</v>
      </c>
      <c r="U55" s="224">
        <v>0</v>
      </c>
      <c r="V55" s="224">
        <v>162.90557410000002</v>
      </c>
      <c r="W55" s="224">
        <v>4</v>
      </c>
      <c r="X55" s="224">
        <v>6</v>
      </c>
      <c r="Y55" s="224">
        <v>0.21333565440000002</v>
      </c>
      <c r="Z55" s="224">
        <v>0</v>
      </c>
      <c r="AA55" s="224">
        <v>12.950216124451204</v>
      </c>
      <c r="AB55" s="224">
        <v>10.818473944592359</v>
      </c>
      <c r="AC55" s="224">
        <v>13.283571762674374</v>
      </c>
      <c r="AD55" s="1121">
        <v>53.883584050093319</v>
      </c>
      <c r="AE55" s="224">
        <v>15143.902991442286</v>
      </c>
      <c r="AF55" s="224">
        <v>883.35</v>
      </c>
      <c r="AG55" s="224">
        <v>289.53193070239229</v>
      </c>
      <c r="AH55" s="224">
        <v>5573.2276677744831</v>
      </c>
      <c r="AI55" s="224">
        <v>18600</v>
      </c>
      <c r="AJ55" s="224">
        <v>0</v>
      </c>
      <c r="AK55" s="224">
        <v>745.98720000000003</v>
      </c>
      <c r="AL55" s="224">
        <v>0</v>
      </c>
      <c r="AM55" s="224">
        <v>436.00000000000006</v>
      </c>
      <c r="AN55" s="1121">
        <v>41671.999789919166</v>
      </c>
      <c r="AO55" s="224">
        <f t="shared" si="0"/>
        <v>7.0997010344402947</v>
      </c>
      <c r="AP55" s="1124">
        <v>0.1</v>
      </c>
      <c r="AQ55" s="1124">
        <f t="shared" si="3"/>
        <v>6.3391806341729959E-2</v>
      </c>
      <c r="AR55" s="1124">
        <v>20</v>
      </c>
      <c r="AS55" s="1124">
        <f t="shared" si="4"/>
        <v>0.97620811167902188</v>
      </c>
      <c r="AT55" s="224">
        <f t="shared" si="2"/>
        <v>2641.6633405551675</v>
      </c>
    </row>
    <row r="56" spans="1:46">
      <c r="A56" s="1122">
        <v>2020</v>
      </c>
      <c r="D56" s="1108" t="s">
        <v>1863</v>
      </c>
      <c r="E56" s="224" t="s">
        <v>1918</v>
      </c>
      <c r="G56" s="224" t="e">
        <v>#DIV/0!</v>
      </c>
      <c r="H56" s="224" t="e">
        <v>#DIV/0!</v>
      </c>
      <c r="I56" s="224" t="e">
        <v>#DIV/0!</v>
      </c>
      <c r="J56" s="224" t="e">
        <v>#DIV/0!</v>
      </c>
      <c r="K56" s="224" t="e">
        <v>#DIV/0!</v>
      </c>
      <c r="L56" s="224" t="e">
        <v>#DIV/0!</v>
      </c>
      <c r="M56" s="224" t="e">
        <v>#DIV/0!</v>
      </c>
      <c r="N56" s="224" t="e">
        <v>#DIV/0!</v>
      </c>
      <c r="O56" s="224" t="e">
        <v>#DIV/0!</v>
      </c>
      <c r="P56" s="224" t="e">
        <v>#DIV/0!</v>
      </c>
      <c r="Q56" s="224" t="e">
        <v>#DIV/0!</v>
      </c>
      <c r="R56" s="224" t="e">
        <v>#DIV/0!</v>
      </c>
      <c r="S56" s="224" t="e">
        <v>#DIV/0!</v>
      </c>
      <c r="T56" s="224" t="e">
        <v>#DIV/0!</v>
      </c>
      <c r="U56" s="224" t="e">
        <v>#DIV/0!</v>
      </c>
      <c r="V56" s="224" t="e">
        <v>#DIV/0!</v>
      </c>
      <c r="W56" s="224" t="e">
        <v>#DIV/0!</v>
      </c>
      <c r="X56" s="224" t="e">
        <v>#DIV/0!</v>
      </c>
      <c r="Y56" s="224" t="e">
        <v>#DIV/0!</v>
      </c>
      <c r="Z56" s="224" t="e">
        <v>#DIV/0!</v>
      </c>
      <c r="AA56" s="224" t="e">
        <v>#DIV/0!</v>
      </c>
      <c r="AB56" s="224" t="e">
        <v>#DIV/0!</v>
      </c>
      <c r="AC56" s="224" t="e">
        <v>#DIV/0!</v>
      </c>
      <c r="AD56" s="1121" t="e">
        <v>#DIV/0!</v>
      </c>
      <c r="AE56" s="224" t="e">
        <v>#DIV/0!</v>
      </c>
      <c r="AF56" s="224" t="e">
        <v>#DIV/0!</v>
      </c>
      <c r="AG56" s="224" t="e">
        <v>#DIV/0!</v>
      </c>
      <c r="AH56" s="224" t="e">
        <v>#DIV/0!</v>
      </c>
      <c r="AI56" s="224" t="e">
        <v>#DIV/0!</v>
      </c>
      <c r="AJ56" s="224" t="e">
        <v>#DIV/0!</v>
      </c>
      <c r="AK56" s="224" t="e">
        <v>#DIV/0!</v>
      </c>
      <c r="AL56" s="224" t="e">
        <v>#DIV/0!</v>
      </c>
      <c r="AM56" s="224" t="e">
        <v>#DIV/0!</v>
      </c>
      <c r="AN56" s="1121" t="e">
        <v>#DIV/0!</v>
      </c>
      <c r="AO56" s="224" t="e">
        <f t="shared" si="0"/>
        <v>#DIV/0!</v>
      </c>
      <c r="AP56" s="1124">
        <v>0.1</v>
      </c>
      <c r="AQ56" s="1124">
        <f t="shared" si="3"/>
        <v>6.3391806341729959E-2</v>
      </c>
      <c r="AR56" s="1124">
        <v>20</v>
      </c>
      <c r="AS56" s="1124" t="e">
        <f t="shared" si="4"/>
        <v>#DIV/0!</v>
      </c>
      <c r="AT56" s="224" t="e">
        <f t="shared" si="2"/>
        <v>#DIV/0!</v>
      </c>
    </row>
    <row r="57" spans="1:46">
      <c r="A57" s="1119">
        <v>2025</v>
      </c>
      <c r="D57" s="1108" t="s">
        <v>1863</v>
      </c>
      <c r="E57" s="224" t="s">
        <v>1918</v>
      </c>
      <c r="G57" s="224" t="e">
        <v>#DIV/0!</v>
      </c>
      <c r="H57" s="224" t="e">
        <v>#DIV/0!</v>
      </c>
      <c r="I57" s="224" t="e">
        <v>#DIV/0!</v>
      </c>
      <c r="J57" s="224" t="e">
        <v>#DIV/0!</v>
      </c>
      <c r="K57" s="224" t="e">
        <v>#DIV/0!</v>
      </c>
      <c r="L57" s="224" t="e">
        <v>#DIV/0!</v>
      </c>
      <c r="M57" s="224" t="e">
        <v>#DIV/0!</v>
      </c>
      <c r="N57" s="224" t="e">
        <v>#DIV/0!</v>
      </c>
      <c r="O57" s="224" t="e">
        <v>#DIV/0!</v>
      </c>
      <c r="P57" s="224" t="e">
        <v>#DIV/0!</v>
      </c>
      <c r="Q57" s="224" t="e">
        <v>#DIV/0!</v>
      </c>
      <c r="R57" s="224" t="e">
        <v>#DIV/0!</v>
      </c>
      <c r="S57" s="224" t="e">
        <v>#DIV/0!</v>
      </c>
      <c r="T57" s="224" t="e">
        <v>#DIV/0!</v>
      </c>
      <c r="U57" s="224" t="e">
        <v>#DIV/0!</v>
      </c>
      <c r="V57" s="224" t="e">
        <v>#DIV/0!</v>
      </c>
      <c r="W57" s="224" t="e">
        <v>#DIV/0!</v>
      </c>
      <c r="X57" s="224" t="e">
        <v>#DIV/0!</v>
      </c>
      <c r="Y57" s="224" t="e">
        <v>#DIV/0!</v>
      </c>
      <c r="Z57" s="224" t="e">
        <v>#DIV/0!</v>
      </c>
      <c r="AA57" s="224" t="e">
        <v>#DIV/0!</v>
      </c>
      <c r="AB57" s="224" t="e">
        <v>#DIV/0!</v>
      </c>
      <c r="AC57" s="224" t="e">
        <v>#DIV/0!</v>
      </c>
      <c r="AD57" s="1121" t="e">
        <v>#DIV/0!</v>
      </c>
      <c r="AE57" s="224" t="e">
        <v>#DIV/0!</v>
      </c>
      <c r="AF57" s="224" t="e">
        <v>#DIV/0!</v>
      </c>
      <c r="AG57" s="224" t="e">
        <v>#DIV/0!</v>
      </c>
      <c r="AH57" s="224" t="e">
        <v>#DIV/0!</v>
      </c>
      <c r="AI57" s="224" t="e">
        <v>#DIV/0!</v>
      </c>
      <c r="AJ57" s="224" t="e">
        <v>#DIV/0!</v>
      </c>
      <c r="AK57" s="224" t="e">
        <v>#DIV/0!</v>
      </c>
      <c r="AL57" s="224" t="e">
        <v>#DIV/0!</v>
      </c>
      <c r="AM57" s="224" t="e">
        <v>#DIV/0!</v>
      </c>
      <c r="AN57" s="1121" t="e">
        <v>#DIV/0!</v>
      </c>
      <c r="AO57" s="224" t="e">
        <f t="shared" si="0"/>
        <v>#DIV/0!</v>
      </c>
      <c r="AP57" s="1124">
        <v>0.1</v>
      </c>
      <c r="AQ57" s="1124">
        <f t="shared" si="3"/>
        <v>6.3391806341729959E-2</v>
      </c>
      <c r="AR57" s="1124">
        <v>20</v>
      </c>
      <c r="AS57" s="1124" t="e">
        <f t="shared" si="4"/>
        <v>#DIV/0!</v>
      </c>
      <c r="AT57" s="224" t="e">
        <f t="shared" si="2"/>
        <v>#DIV/0!</v>
      </c>
    </row>
    <row r="58" spans="1:46">
      <c r="A58" s="1119">
        <v>2030</v>
      </c>
      <c r="D58" s="1108" t="s">
        <v>1863</v>
      </c>
      <c r="E58" s="224" t="s">
        <v>1918</v>
      </c>
      <c r="G58" s="224" t="e">
        <v>#DIV/0!</v>
      </c>
      <c r="H58" s="224" t="e">
        <v>#DIV/0!</v>
      </c>
      <c r="I58" s="224" t="e">
        <v>#DIV/0!</v>
      </c>
      <c r="J58" s="224" t="e">
        <v>#DIV/0!</v>
      </c>
      <c r="K58" s="224" t="e">
        <v>#DIV/0!</v>
      </c>
      <c r="L58" s="224" t="e">
        <v>#DIV/0!</v>
      </c>
      <c r="M58" s="224" t="e">
        <v>#DIV/0!</v>
      </c>
      <c r="N58" s="224" t="e">
        <v>#DIV/0!</v>
      </c>
      <c r="O58" s="224" t="e">
        <v>#DIV/0!</v>
      </c>
      <c r="P58" s="224" t="e">
        <v>#DIV/0!</v>
      </c>
      <c r="Q58" s="224" t="e">
        <v>#DIV/0!</v>
      </c>
      <c r="R58" s="224" t="e">
        <v>#DIV/0!</v>
      </c>
      <c r="S58" s="224" t="e">
        <v>#DIV/0!</v>
      </c>
      <c r="T58" s="224" t="e">
        <v>#DIV/0!</v>
      </c>
      <c r="U58" s="224" t="e">
        <v>#DIV/0!</v>
      </c>
      <c r="V58" s="224" t="e">
        <v>#DIV/0!</v>
      </c>
      <c r="W58" s="224" t="e">
        <v>#DIV/0!</v>
      </c>
      <c r="X58" s="224" t="e">
        <v>#DIV/0!</v>
      </c>
      <c r="Y58" s="224" t="e">
        <v>#DIV/0!</v>
      </c>
      <c r="Z58" s="224" t="e">
        <v>#DIV/0!</v>
      </c>
      <c r="AA58" s="224" t="e">
        <v>#DIV/0!</v>
      </c>
      <c r="AB58" s="224" t="e">
        <v>#DIV/0!</v>
      </c>
      <c r="AC58" s="224" t="e">
        <v>#DIV/0!</v>
      </c>
      <c r="AD58" s="1121" t="e">
        <v>#DIV/0!</v>
      </c>
      <c r="AE58" s="224" t="e">
        <v>#DIV/0!</v>
      </c>
      <c r="AF58" s="224" t="e">
        <v>#DIV/0!</v>
      </c>
      <c r="AG58" s="224" t="e">
        <v>#DIV/0!</v>
      </c>
      <c r="AH58" s="224" t="e">
        <v>#DIV/0!</v>
      </c>
      <c r="AI58" s="224" t="e">
        <v>#DIV/0!</v>
      </c>
      <c r="AJ58" s="224" t="e">
        <v>#DIV/0!</v>
      </c>
      <c r="AK58" s="224" t="e">
        <v>#DIV/0!</v>
      </c>
      <c r="AL58" s="224" t="e">
        <v>#DIV/0!</v>
      </c>
      <c r="AM58" s="224" t="e">
        <v>#DIV/0!</v>
      </c>
      <c r="AN58" s="1121" t="e">
        <v>#DIV/0!</v>
      </c>
      <c r="AO58" s="224" t="e">
        <f t="shared" si="0"/>
        <v>#DIV/0!</v>
      </c>
      <c r="AP58" s="1124">
        <v>0.1</v>
      </c>
      <c r="AQ58" s="1124">
        <f t="shared" si="3"/>
        <v>6.3391806341729959E-2</v>
      </c>
      <c r="AR58" s="1124">
        <v>20</v>
      </c>
      <c r="AS58" s="1124" t="e">
        <f t="shared" si="4"/>
        <v>#DIV/0!</v>
      </c>
      <c r="AT58" s="224" t="e">
        <f t="shared" si="2"/>
        <v>#DIV/0!</v>
      </c>
    </row>
    <row r="59" spans="1:46">
      <c r="A59" s="1119">
        <v>2035</v>
      </c>
      <c r="D59" s="1108" t="s">
        <v>1863</v>
      </c>
      <c r="E59" s="224" t="s">
        <v>1918</v>
      </c>
      <c r="G59" s="224" t="e">
        <v>#DIV/0!</v>
      </c>
      <c r="H59" s="224" t="e">
        <v>#DIV/0!</v>
      </c>
      <c r="I59" s="224" t="e">
        <v>#DIV/0!</v>
      </c>
      <c r="J59" s="224" t="e">
        <v>#DIV/0!</v>
      </c>
      <c r="K59" s="224" t="e">
        <v>#DIV/0!</v>
      </c>
      <c r="L59" s="224" t="e">
        <v>#DIV/0!</v>
      </c>
      <c r="M59" s="224" t="e">
        <v>#DIV/0!</v>
      </c>
      <c r="N59" s="224" t="e">
        <v>#DIV/0!</v>
      </c>
      <c r="O59" s="224" t="e">
        <v>#DIV/0!</v>
      </c>
      <c r="P59" s="224" t="e">
        <v>#DIV/0!</v>
      </c>
      <c r="Q59" s="224" t="e">
        <v>#DIV/0!</v>
      </c>
      <c r="R59" s="224" t="e">
        <v>#DIV/0!</v>
      </c>
      <c r="S59" s="224" t="e">
        <v>#DIV/0!</v>
      </c>
      <c r="T59" s="224" t="e">
        <v>#DIV/0!</v>
      </c>
      <c r="U59" s="224" t="e">
        <v>#DIV/0!</v>
      </c>
      <c r="V59" s="224" t="e">
        <v>#DIV/0!</v>
      </c>
      <c r="W59" s="224" t="e">
        <v>#DIV/0!</v>
      </c>
      <c r="X59" s="224" t="e">
        <v>#DIV/0!</v>
      </c>
      <c r="Y59" s="224" t="e">
        <v>#DIV/0!</v>
      </c>
      <c r="Z59" s="224" t="e">
        <v>#DIV/0!</v>
      </c>
      <c r="AA59" s="224" t="e">
        <v>#DIV/0!</v>
      </c>
      <c r="AB59" s="224" t="e">
        <v>#DIV/0!</v>
      </c>
      <c r="AC59" s="224" t="e">
        <v>#DIV/0!</v>
      </c>
      <c r="AD59" s="1121" t="e">
        <v>#DIV/0!</v>
      </c>
      <c r="AE59" s="224" t="e">
        <v>#DIV/0!</v>
      </c>
      <c r="AF59" s="224" t="e">
        <v>#DIV/0!</v>
      </c>
      <c r="AG59" s="224" t="e">
        <v>#DIV/0!</v>
      </c>
      <c r="AH59" s="224" t="e">
        <v>#DIV/0!</v>
      </c>
      <c r="AI59" s="224" t="e">
        <v>#DIV/0!</v>
      </c>
      <c r="AJ59" s="224" t="e">
        <v>#DIV/0!</v>
      </c>
      <c r="AK59" s="224" t="e">
        <v>#DIV/0!</v>
      </c>
      <c r="AL59" s="224" t="e">
        <v>#DIV/0!</v>
      </c>
      <c r="AM59" s="224" t="e">
        <v>#DIV/0!</v>
      </c>
      <c r="AN59" s="1121" t="e">
        <v>#DIV/0!</v>
      </c>
      <c r="AO59" s="224" t="e">
        <f t="shared" si="0"/>
        <v>#DIV/0!</v>
      </c>
      <c r="AP59" s="1124">
        <v>0.1</v>
      </c>
      <c r="AQ59" s="1124">
        <f t="shared" si="3"/>
        <v>6.3391806341729959E-2</v>
      </c>
      <c r="AR59" s="1124">
        <v>20</v>
      </c>
      <c r="AS59" s="1124" t="e">
        <f t="shared" si="4"/>
        <v>#DIV/0!</v>
      </c>
      <c r="AT59" s="224" t="e">
        <f t="shared" si="2"/>
        <v>#DIV/0!</v>
      </c>
    </row>
    <row r="60" spans="1:46">
      <c r="A60" s="1119">
        <v>2050</v>
      </c>
      <c r="D60" s="1108" t="s">
        <v>1863</v>
      </c>
      <c r="E60" s="224" t="s">
        <v>1918</v>
      </c>
      <c r="G60" s="224" t="e">
        <v>#DIV/0!</v>
      </c>
      <c r="H60" s="224" t="e">
        <v>#DIV/0!</v>
      </c>
      <c r="I60" s="224" t="e">
        <v>#DIV/0!</v>
      </c>
      <c r="J60" s="224" t="e">
        <v>#DIV/0!</v>
      </c>
      <c r="K60" s="224" t="e">
        <v>#DIV/0!</v>
      </c>
      <c r="L60" s="224" t="e">
        <v>#DIV/0!</v>
      </c>
      <c r="M60" s="224" t="e">
        <v>#DIV/0!</v>
      </c>
      <c r="N60" s="224" t="e">
        <v>#DIV/0!</v>
      </c>
      <c r="O60" s="224" t="e">
        <v>#DIV/0!</v>
      </c>
      <c r="P60" s="224" t="e">
        <v>#DIV/0!</v>
      </c>
      <c r="Q60" s="224" t="e">
        <v>#DIV/0!</v>
      </c>
      <c r="R60" s="224" t="e">
        <v>#DIV/0!</v>
      </c>
      <c r="S60" s="224" t="e">
        <v>#DIV/0!</v>
      </c>
      <c r="T60" s="224" t="e">
        <v>#DIV/0!</v>
      </c>
      <c r="U60" s="224" t="e">
        <v>#DIV/0!</v>
      </c>
      <c r="V60" s="224" t="e">
        <v>#DIV/0!</v>
      </c>
      <c r="W60" s="224" t="e">
        <v>#DIV/0!</v>
      </c>
      <c r="X60" s="224" t="e">
        <v>#DIV/0!</v>
      </c>
      <c r="Y60" s="224" t="e">
        <v>#DIV/0!</v>
      </c>
      <c r="Z60" s="224" t="e">
        <v>#DIV/0!</v>
      </c>
      <c r="AA60" s="224" t="e">
        <v>#DIV/0!</v>
      </c>
      <c r="AB60" s="224" t="e">
        <v>#DIV/0!</v>
      </c>
      <c r="AC60" s="224" t="e">
        <v>#DIV/0!</v>
      </c>
      <c r="AD60" s="1121" t="e">
        <v>#DIV/0!</v>
      </c>
      <c r="AE60" s="224" t="e">
        <v>#DIV/0!</v>
      </c>
      <c r="AF60" s="224" t="e">
        <v>#DIV/0!</v>
      </c>
      <c r="AG60" s="224" t="e">
        <v>#DIV/0!</v>
      </c>
      <c r="AH60" s="224" t="e">
        <v>#DIV/0!</v>
      </c>
      <c r="AI60" s="224" t="e">
        <v>#DIV/0!</v>
      </c>
      <c r="AJ60" s="224" t="e">
        <v>#DIV/0!</v>
      </c>
      <c r="AK60" s="224" t="e">
        <v>#DIV/0!</v>
      </c>
      <c r="AL60" s="224" t="e">
        <v>#DIV/0!</v>
      </c>
      <c r="AM60" s="224" t="e">
        <v>#DIV/0!</v>
      </c>
      <c r="AN60" s="1121" t="e">
        <v>#DIV/0!</v>
      </c>
      <c r="AO60" s="224" t="e">
        <f t="shared" si="0"/>
        <v>#DIV/0!</v>
      </c>
      <c r="AP60" s="1124">
        <v>0.1</v>
      </c>
      <c r="AQ60" s="1124">
        <f t="shared" si="3"/>
        <v>6.3391806341729959E-2</v>
      </c>
      <c r="AR60" s="1124">
        <v>20</v>
      </c>
      <c r="AS60" s="1124" t="e">
        <f t="shared" si="4"/>
        <v>#DIV/0!</v>
      </c>
      <c r="AT60" s="224" t="e">
        <f t="shared" si="2"/>
        <v>#DIV/0!</v>
      </c>
    </row>
    <row r="61" spans="1:46">
      <c r="A61" s="1119">
        <v>2017</v>
      </c>
      <c r="D61" s="1108" t="s">
        <v>1863</v>
      </c>
      <c r="E61" s="224" t="s">
        <v>1919</v>
      </c>
      <c r="G61" s="224">
        <v>4099.1554302979039</v>
      </c>
      <c r="H61" s="224">
        <v>1644.5</v>
      </c>
      <c r="I61" s="224">
        <v>2.5027200000000001</v>
      </c>
      <c r="J61" s="224">
        <v>5.0344994435630008E-2</v>
      </c>
      <c r="K61" s="224">
        <v>5.2836574396871311E-2</v>
      </c>
      <c r="L61" s="224">
        <v>6.5596132222139614E-2</v>
      </c>
      <c r="M61" s="224">
        <v>0</v>
      </c>
      <c r="N61" s="224">
        <v>0</v>
      </c>
      <c r="O61" s="224">
        <v>0</v>
      </c>
      <c r="P61" s="224">
        <v>0</v>
      </c>
      <c r="Q61" s="224">
        <v>0</v>
      </c>
      <c r="R61" s="224">
        <v>0</v>
      </c>
      <c r="S61" s="224">
        <v>0</v>
      </c>
      <c r="T61" s="224">
        <v>0</v>
      </c>
      <c r="U61" s="224">
        <v>0</v>
      </c>
      <c r="V61" s="224">
        <v>129.05817984999999</v>
      </c>
      <c r="W61" s="224">
        <v>59.969975349999999</v>
      </c>
      <c r="X61" s="224">
        <v>77.903827751196161</v>
      </c>
      <c r="Y61" s="224">
        <v>2.5027200000000001</v>
      </c>
      <c r="Z61" s="224">
        <v>0</v>
      </c>
      <c r="AA61" s="224">
        <v>10.068998887126</v>
      </c>
      <c r="AB61" s="224">
        <v>10.567314879374262</v>
      </c>
      <c r="AC61" s="224">
        <v>13.119226444427923</v>
      </c>
      <c r="AD61" s="1121">
        <v>47.775085810073321</v>
      </c>
      <c r="AE61" s="224">
        <v>12122.235262687998</v>
      </c>
      <c r="AF61" s="224">
        <v>3284.4619425149999</v>
      </c>
      <c r="AG61" s="224">
        <v>3396.6068899521529</v>
      </c>
      <c r="AH61" s="224">
        <v>5623.8914427038753</v>
      </c>
      <c r="AI61" s="224">
        <v>18600</v>
      </c>
      <c r="AJ61" s="224">
        <v>0</v>
      </c>
      <c r="AK61" s="224">
        <v>745.98720000000003</v>
      </c>
      <c r="AL61" s="224">
        <v>0</v>
      </c>
      <c r="AM61" s="224">
        <v>436.00000000000006</v>
      </c>
      <c r="AN61" s="1121">
        <v>44209.182737859024</v>
      </c>
      <c r="AO61" s="224">
        <f t="shared" si="0"/>
        <v>6.2948453063352598</v>
      </c>
      <c r="AP61" s="1124">
        <v>0.1</v>
      </c>
      <c r="AQ61" s="1124">
        <f t="shared" si="3"/>
        <v>6.3391806341729959E-2</v>
      </c>
      <c r="AR61" s="1124">
        <v>20</v>
      </c>
      <c r="AS61" s="1124">
        <f t="shared" si="4"/>
        <v>0.86554053755216265</v>
      </c>
      <c r="AT61" s="224">
        <f t="shared" si="2"/>
        <v>2802.4999506445101</v>
      </c>
    </row>
    <row r="62" spans="1:46">
      <c r="A62" s="1122">
        <v>2020</v>
      </c>
      <c r="D62" s="1108" t="s">
        <v>1863</v>
      </c>
      <c r="E62" s="224" t="s">
        <v>1919</v>
      </c>
      <c r="G62" s="224" t="e">
        <v>#DIV/0!</v>
      </c>
      <c r="H62" s="224" t="e">
        <v>#DIV/0!</v>
      </c>
      <c r="I62" s="224" t="e">
        <v>#DIV/0!</v>
      </c>
      <c r="J62" s="224" t="e">
        <v>#DIV/0!</v>
      </c>
      <c r="K62" s="224" t="e">
        <v>#DIV/0!</v>
      </c>
      <c r="L62" s="224" t="e">
        <v>#DIV/0!</v>
      </c>
      <c r="M62" s="224" t="e">
        <v>#DIV/0!</v>
      </c>
      <c r="N62" s="224" t="e">
        <v>#DIV/0!</v>
      </c>
      <c r="O62" s="224" t="e">
        <v>#DIV/0!</v>
      </c>
      <c r="P62" s="224" t="e">
        <v>#DIV/0!</v>
      </c>
      <c r="Q62" s="224" t="e">
        <v>#DIV/0!</v>
      </c>
      <c r="R62" s="224" t="e">
        <v>#DIV/0!</v>
      </c>
      <c r="S62" s="224" t="e">
        <v>#DIV/0!</v>
      </c>
      <c r="T62" s="224" t="e">
        <v>#DIV/0!</v>
      </c>
      <c r="U62" s="224" t="e">
        <v>#DIV/0!</v>
      </c>
      <c r="V62" s="224" t="e">
        <v>#DIV/0!</v>
      </c>
      <c r="W62" s="224" t="e">
        <v>#DIV/0!</v>
      </c>
      <c r="X62" s="224" t="e">
        <v>#DIV/0!</v>
      </c>
      <c r="Y62" s="224" t="e">
        <v>#DIV/0!</v>
      </c>
      <c r="Z62" s="224" t="e">
        <v>#DIV/0!</v>
      </c>
      <c r="AA62" s="224" t="e">
        <v>#DIV/0!</v>
      </c>
      <c r="AB62" s="224" t="e">
        <v>#DIV/0!</v>
      </c>
      <c r="AC62" s="224" t="e">
        <v>#DIV/0!</v>
      </c>
      <c r="AD62" s="1121" t="e">
        <v>#DIV/0!</v>
      </c>
      <c r="AE62" s="224" t="e">
        <v>#DIV/0!</v>
      </c>
      <c r="AF62" s="224" t="e">
        <v>#DIV/0!</v>
      </c>
      <c r="AG62" s="224" t="e">
        <v>#DIV/0!</v>
      </c>
      <c r="AH62" s="224" t="e">
        <v>#DIV/0!</v>
      </c>
      <c r="AI62" s="224" t="e">
        <v>#DIV/0!</v>
      </c>
      <c r="AJ62" s="224" t="e">
        <v>#DIV/0!</v>
      </c>
      <c r="AK62" s="224" t="e">
        <v>#DIV/0!</v>
      </c>
      <c r="AL62" s="224" t="e">
        <v>#DIV/0!</v>
      </c>
      <c r="AM62" s="224" t="e">
        <v>#DIV/0!</v>
      </c>
      <c r="AN62" s="1121" t="e">
        <v>#DIV/0!</v>
      </c>
      <c r="AO62" s="224" t="e">
        <f t="shared" si="0"/>
        <v>#DIV/0!</v>
      </c>
      <c r="AP62" s="1124">
        <v>0.1</v>
      </c>
      <c r="AQ62" s="1124">
        <f t="shared" si="3"/>
        <v>6.3391806341729959E-2</v>
      </c>
      <c r="AR62" s="1124">
        <v>20</v>
      </c>
      <c r="AS62" s="1124" t="e">
        <f t="shared" si="4"/>
        <v>#DIV/0!</v>
      </c>
      <c r="AT62" s="224" t="e">
        <f t="shared" si="2"/>
        <v>#DIV/0!</v>
      </c>
    </row>
    <row r="63" spans="1:46">
      <c r="A63" s="1119">
        <v>2025</v>
      </c>
      <c r="D63" s="1108" t="s">
        <v>1863</v>
      </c>
      <c r="E63" s="224" t="s">
        <v>1919</v>
      </c>
      <c r="G63" s="224" t="e">
        <v>#DIV/0!</v>
      </c>
      <c r="H63" s="224" t="e">
        <v>#DIV/0!</v>
      </c>
      <c r="I63" s="224" t="e">
        <v>#DIV/0!</v>
      </c>
      <c r="J63" s="224" t="e">
        <v>#DIV/0!</v>
      </c>
      <c r="K63" s="224" t="e">
        <v>#DIV/0!</v>
      </c>
      <c r="L63" s="224" t="e">
        <v>#DIV/0!</v>
      </c>
      <c r="M63" s="224" t="e">
        <v>#DIV/0!</v>
      </c>
      <c r="N63" s="224" t="e">
        <v>#DIV/0!</v>
      </c>
      <c r="O63" s="224" t="e">
        <v>#DIV/0!</v>
      </c>
      <c r="P63" s="224" t="e">
        <v>#DIV/0!</v>
      </c>
      <c r="Q63" s="224" t="e">
        <v>#DIV/0!</v>
      </c>
      <c r="R63" s="224" t="e">
        <v>#DIV/0!</v>
      </c>
      <c r="S63" s="224" t="e">
        <v>#DIV/0!</v>
      </c>
      <c r="T63" s="224" t="e">
        <v>#DIV/0!</v>
      </c>
      <c r="U63" s="224" t="e">
        <v>#DIV/0!</v>
      </c>
      <c r="V63" s="224" t="e">
        <v>#DIV/0!</v>
      </c>
      <c r="W63" s="224" t="e">
        <v>#DIV/0!</v>
      </c>
      <c r="X63" s="224" t="e">
        <v>#DIV/0!</v>
      </c>
      <c r="Y63" s="224" t="e">
        <v>#DIV/0!</v>
      </c>
      <c r="Z63" s="224" t="e">
        <v>#DIV/0!</v>
      </c>
      <c r="AA63" s="224" t="e">
        <v>#DIV/0!</v>
      </c>
      <c r="AB63" s="224" t="e">
        <v>#DIV/0!</v>
      </c>
      <c r="AC63" s="224" t="e">
        <v>#DIV/0!</v>
      </c>
      <c r="AD63" s="1121" t="e">
        <v>#DIV/0!</v>
      </c>
      <c r="AE63" s="224" t="e">
        <v>#DIV/0!</v>
      </c>
      <c r="AF63" s="224" t="e">
        <v>#DIV/0!</v>
      </c>
      <c r="AG63" s="224" t="e">
        <v>#DIV/0!</v>
      </c>
      <c r="AH63" s="224" t="e">
        <v>#DIV/0!</v>
      </c>
      <c r="AI63" s="224" t="e">
        <v>#DIV/0!</v>
      </c>
      <c r="AJ63" s="224" t="e">
        <v>#DIV/0!</v>
      </c>
      <c r="AK63" s="224" t="e">
        <v>#DIV/0!</v>
      </c>
      <c r="AL63" s="224" t="e">
        <v>#DIV/0!</v>
      </c>
      <c r="AM63" s="224" t="e">
        <v>#DIV/0!</v>
      </c>
      <c r="AN63" s="1121" t="e">
        <v>#DIV/0!</v>
      </c>
      <c r="AO63" s="224" t="e">
        <f t="shared" si="0"/>
        <v>#DIV/0!</v>
      </c>
      <c r="AP63" s="1124">
        <v>0.1</v>
      </c>
      <c r="AQ63" s="1124">
        <f t="shared" si="3"/>
        <v>6.3391806341729959E-2</v>
      </c>
      <c r="AR63" s="1124">
        <v>20</v>
      </c>
      <c r="AS63" s="1124" t="e">
        <f t="shared" si="4"/>
        <v>#DIV/0!</v>
      </c>
      <c r="AT63" s="224" t="e">
        <f t="shared" si="2"/>
        <v>#DIV/0!</v>
      </c>
    </row>
    <row r="64" spans="1:46">
      <c r="A64" s="1119">
        <v>2030</v>
      </c>
      <c r="D64" s="1108" t="s">
        <v>1863</v>
      </c>
      <c r="E64" s="224" t="s">
        <v>1919</v>
      </c>
      <c r="G64" s="224" t="e">
        <v>#DIV/0!</v>
      </c>
      <c r="H64" s="224" t="e">
        <v>#DIV/0!</v>
      </c>
      <c r="I64" s="224" t="e">
        <v>#DIV/0!</v>
      </c>
      <c r="J64" s="224" t="e">
        <v>#DIV/0!</v>
      </c>
      <c r="K64" s="224" t="e">
        <v>#DIV/0!</v>
      </c>
      <c r="L64" s="224" t="e">
        <v>#DIV/0!</v>
      </c>
      <c r="M64" s="224" t="e">
        <v>#DIV/0!</v>
      </c>
      <c r="N64" s="224" t="e">
        <v>#DIV/0!</v>
      </c>
      <c r="O64" s="224" t="e">
        <v>#DIV/0!</v>
      </c>
      <c r="P64" s="224" t="e">
        <v>#DIV/0!</v>
      </c>
      <c r="Q64" s="224" t="e">
        <v>#DIV/0!</v>
      </c>
      <c r="R64" s="224" t="e">
        <v>#DIV/0!</v>
      </c>
      <c r="S64" s="224" t="e">
        <v>#DIV/0!</v>
      </c>
      <c r="T64" s="224" t="e">
        <v>#DIV/0!</v>
      </c>
      <c r="U64" s="224" t="e">
        <v>#DIV/0!</v>
      </c>
      <c r="V64" s="224" t="e">
        <v>#DIV/0!</v>
      </c>
      <c r="W64" s="224" t="e">
        <v>#DIV/0!</v>
      </c>
      <c r="X64" s="224" t="e">
        <v>#DIV/0!</v>
      </c>
      <c r="Y64" s="224" t="e">
        <v>#DIV/0!</v>
      </c>
      <c r="Z64" s="224" t="e">
        <v>#DIV/0!</v>
      </c>
      <c r="AA64" s="224" t="e">
        <v>#DIV/0!</v>
      </c>
      <c r="AB64" s="224" t="e">
        <v>#DIV/0!</v>
      </c>
      <c r="AC64" s="224" t="e">
        <v>#DIV/0!</v>
      </c>
      <c r="AD64" s="1121" t="e">
        <v>#DIV/0!</v>
      </c>
      <c r="AE64" s="224" t="e">
        <v>#DIV/0!</v>
      </c>
      <c r="AF64" s="224" t="e">
        <v>#DIV/0!</v>
      </c>
      <c r="AG64" s="224" t="e">
        <v>#DIV/0!</v>
      </c>
      <c r="AH64" s="224" t="e">
        <v>#DIV/0!</v>
      </c>
      <c r="AI64" s="224" t="e">
        <v>#DIV/0!</v>
      </c>
      <c r="AJ64" s="224" t="e">
        <v>#DIV/0!</v>
      </c>
      <c r="AK64" s="224" t="e">
        <v>#DIV/0!</v>
      </c>
      <c r="AL64" s="224" t="e">
        <v>#DIV/0!</v>
      </c>
      <c r="AM64" s="224" t="e">
        <v>#DIV/0!</v>
      </c>
      <c r="AN64" s="1121" t="e">
        <v>#DIV/0!</v>
      </c>
      <c r="AO64" s="224" t="e">
        <f t="shared" si="0"/>
        <v>#DIV/0!</v>
      </c>
      <c r="AP64" s="1124">
        <v>0.1</v>
      </c>
      <c r="AQ64" s="1124">
        <f t="shared" si="3"/>
        <v>6.3391806341729959E-2</v>
      </c>
      <c r="AR64" s="1124">
        <v>20</v>
      </c>
      <c r="AS64" s="1124" t="e">
        <f t="shared" si="4"/>
        <v>#DIV/0!</v>
      </c>
      <c r="AT64" s="224" t="e">
        <f t="shared" si="2"/>
        <v>#DIV/0!</v>
      </c>
    </row>
    <row r="65" spans="1:46">
      <c r="A65" s="1119">
        <v>2035</v>
      </c>
      <c r="D65" s="1108" t="s">
        <v>1863</v>
      </c>
      <c r="E65" s="224" t="s">
        <v>1919</v>
      </c>
      <c r="G65" s="224" t="e">
        <v>#DIV/0!</v>
      </c>
      <c r="H65" s="224" t="e">
        <v>#DIV/0!</v>
      </c>
      <c r="I65" s="224" t="e">
        <v>#DIV/0!</v>
      </c>
      <c r="J65" s="224" t="e">
        <v>#DIV/0!</v>
      </c>
      <c r="K65" s="224" t="e">
        <v>#DIV/0!</v>
      </c>
      <c r="L65" s="224" t="e">
        <v>#DIV/0!</v>
      </c>
      <c r="M65" s="224" t="e">
        <v>#DIV/0!</v>
      </c>
      <c r="N65" s="224" t="e">
        <v>#DIV/0!</v>
      </c>
      <c r="O65" s="224" t="e">
        <v>#DIV/0!</v>
      </c>
      <c r="P65" s="224" t="e">
        <v>#DIV/0!</v>
      </c>
      <c r="Q65" s="224" t="e">
        <v>#DIV/0!</v>
      </c>
      <c r="R65" s="224" t="e">
        <v>#DIV/0!</v>
      </c>
      <c r="S65" s="224" t="e">
        <v>#DIV/0!</v>
      </c>
      <c r="T65" s="224" t="e">
        <v>#DIV/0!</v>
      </c>
      <c r="U65" s="224" t="e">
        <v>#DIV/0!</v>
      </c>
      <c r="V65" s="224" t="e">
        <v>#DIV/0!</v>
      </c>
      <c r="W65" s="224" t="e">
        <v>#DIV/0!</v>
      </c>
      <c r="X65" s="224" t="e">
        <v>#DIV/0!</v>
      </c>
      <c r="Y65" s="224" t="e">
        <v>#DIV/0!</v>
      </c>
      <c r="Z65" s="224" t="e">
        <v>#DIV/0!</v>
      </c>
      <c r="AA65" s="224" t="e">
        <v>#DIV/0!</v>
      </c>
      <c r="AB65" s="224" t="e">
        <v>#DIV/0!</v>
      </c>
      <c r="AC65" s="224" t="e">
        <v>#DIV/0!</v>
      </c>
      <c r="AD65" s="1121" t="e">
        <v>#DIV/0!</v>
      </c>
      <c r="AE65" s="224" t="e">
        <v>#DIV/0!</v>
      </c>
      <c r="AF65" s="224" t="e">
        <v>#DIV/0!</v>
      </c>
      <c r="AG65" s="224" t="e">
        <v>#DIV/0!</v>
      </c>
      <c r="AH65" s="224" t="e">
        <v>#DIV/0!</v>
      </c>
      <c r="AI65" s="224" t="e">
        <v>#DIV/0!</v>
      </c>
      <c r="AJ65" s="224" t="e">
        <v>#DIV/0!</v>
      </c>
      <c r="AK65" s="224" t="e">
        <v>#DIV/0!</v>
      </c>
      <c r="AL65" s="224" t="e">
        <v>#DIV/0!</v>
      </c>
      <c r="AM65" s="224" t="e">
        <v>#DIV/0!</v>
      </c>
      <c r="AN65" s="1121" t="e">
        <v>#DIV/0!</v>
      </c>
      <c r="AO65" s="224" t="e">
        <f t="shared" si="0"/>
        <v>#DIV/0!</v>
      </c>
      <c r="AP65" s="1124">
        <v>0.1</v>
      </c>
      <c r="AQ65" s="1124">
        <f t="shared" si="3"/>
        <v>6.3391806341729959E-2</v>
      </c>
      <c r="AR65" s="1124">
        <v>20</v>
      </c>
      <c r="AS65" s="1124" t="e">
        <f t="shared" si="4"/>
        <v>#DIV/0!</v>
      </c>
      <c r="AT65" s="224" t="e">
        <f t="shared" si="2"/>
        <v>#DIV/0!</v>
      </c>
    </row>
    <row r="66" spans="1:46">
      <c r="A66" s="1119">
        <v>2050</v>
      </c>
      <c r="D66" s="1108" t="s">
        <v>1863</v>
      </c>
      <c r="E66" s="224" t="s">
        <v>1919</v>
      </c>
      <c r="G66" s="224" t="e">
        <v>#DIV/0!</v>
      </c>
      <c r="H66" s="224" t="e">
        <v>#DIV/0!</v>
      </c>
      <c r="I66" s="224" t="e">
        <v>#DIV/0!</v>
      </c>
      <c r="J66" s="224" t="e">
        <v>#DIV/0!</v>
      </c>
      <c r="K66" s="224" t="e">
        <v>#DIV/0!</v>
      </c>
      <c r="L66" s="224" t="e">
        <v>#DIV/0!</v>
      </c>
      <c r="M66" s="224" t="e">
        <v>#DIV/0!</v>
      </c>
      <c r="N66" s="224" t="e">
        <v>#DIV/0!</v>
      </c>
      <c r="O66" s="224" t="e">
        <v>#DIV/0!</v>
      </c>
      <c r="P66" s="224" t="e">
        <v>#DIV/0!</v>
      </c>
      <c r="Q66" s="224" t="e">
        <v>#DIV/0!</v>
      </c>
      <c r="R66" s="224" t="e">
        <v>#DIV/0!</v>
      </c>
      <c r="S66" s="224" t="e">
        <v>#DIV/0!</v>
      </c>
      <c r="T66" s="224" t="e">
        <v>#DIV/0!</v>
      </c>
      <c r="U66" s="224" t="e">
        <v>#DIV/0!</v>
      </c>
      <c r="V66" s="224" t="e">
        <v>#DIV/0!</v>
      </c>
      <c r="W66" s="224" t="e">
        <v>#DIV/0!</v>
      </c>
      <c r="X66" s="224" t="e">
        <v>#DIV/0!</v>
      </c>
      <c r="Y66" s="224" t="e">
        <v>#DIV/0!</v>
      </c>
      <c r="Z66" s="224" t="e">
        <v>#DIV/0!</v>
      </c>
      <c r="AA66" s="224" t="e">
        <v>#DIV/0!</v>
      </c>
      <c r="AB66" s="224" t="e">
        <v>#DIV/0!</v>
      </c>
      <c r="AC66" s="224" t="e">
        <v>#DIV/0!</v>
      </c>
      <c r="AD66" s="1121" t="e">
        <v>#DIV/0!</v>
      </c>
      <c r="AE66" s="224" t="e">
        <v>#DIV/0!</v>
      </c>
      <c r="AF66" s="224" t="e">
        <v>#DIV/0!</v>
      </c>
      <c r="AG66" s="224" t="e">
        <v>#DIV/0!</v>
      </c>
      <c r="AH66" s="224" t="e">
        <v>#DIV/0!</v>
      </c>
      <c r="AI66" s="224" t="e">
        <v>#DIV/0!</v>
      </c>
      <c r="AJ66" s="224" t="e">
        <v>#DIV/0!</v>
      </c>
      <c r="AK66" s="224" t="e">
        <v>#DIV/0!</v>
      </c>
      <c r="AL66" s="224" t="e">
        <v>#DIV/0!</v>
      </c>
      <c r="AM66" s="224" t="e">
        <v>#DIV/0!</v>
      </c>
      <c r="AN66" s="1121" t="e">
        <v>#DIV/0!</v>
      </c>
      <c r="AO66" s="224" t="e">
        <f t="shared" si="0"/>
        <v>#DIV/0!</v>
      </c>
      <c r="AP66" s="1124">
        <v>0.1</v>
      </c>
      <c r="AQ66" s="1124">
        <f t="shared" si="3"/>
        <v>6.3391806341729959E-2</v>
      </c>
      <c r="AR66" s="1124">
        <v>20</v>
      </c>
      <c r="AS66" s="1124" t="e">
        <f t="shared" si="4"/>
        <v>#DIV/0!</v>
      </c>
      <c r="AT66" s="224" t="e">
        <f t="shared" si="2"/>
        <v>#DIV/0!</v>
      </c>
    </row>
    <row r="67" spans="1:46">
      <c r="A67" s="1119">
        <v>2017</v>
      </c>
      <c r="D67" s="1108" t="s">
        <v>1863</v>
      </c>
      <c r="E67" s="224" t="s">
        <v>1920</v>
      </c>
      <c r="G67" s="224">
        <v>5089.9452426137404</v>
      </c>
      <c r="H67" s="224">
        <v>1644.5</v>
      </c>
      <c r="I67" s="224">
        <v>138.95793750000001</v>
      </c>
      <c r="J67" s="224">
        <v>5.0582418140320697E-2</v>
      </c>
      <c r="K67" s="224">
        <v>7.0158716260260073E-2</v>
      </c>
      <c r="L67" s="224">
        <v>8.7861968948538954E-2</v>
      </c>
      <c r="M67" s="224">
        <v>1.5459713726655805E-2</v>
      </c>
      <c r="N67" s="224">
        <v>2.2274093076443929E-2</v>
      </c>
      <c r="O67" s="224">
        <v>2.7943211698448909E-2</v>
      </c>
      <c r="P67" s="224">
        <v>-11.10626596361568</v>
      </c>
      <c r="Q67" s="224">
        <v>-4.3069097677977632</v>
      </c>
      <c r="R67" s="224">
        <v>-7.8609884967423742</v>
      </c>
      <c r="S67" s="224">
        <v>582.15239171673977</v>
      </c>
      <c r="T67" s="224">
        <v>838.75528273304383</v>
      </c>
      <c r="U67" s="224">
        <v>1052.2321312102383</v>
      </c>
      <c r="V67" s="224">
        <v>115</v>
      </c>
      <c r="W67" s="224">
        <v>189.70124829999997</v>
      </c>
      <c r="X67" s="224">
        <v>284.55187244999996</v>
      </c>
      <c r="Y67" s="224">
        <v>138.46143749999999</v>
      </c>
      <c r="Z67" s="224">
        <v>0</v>
      </c>
      <c r="AA67" s="224">
        <v>3.3098351593625495</v>
      </c>
      <c r="AB67" s="224">
        <v>6.9180279881862328</v>
      </c>
      <c r="AC67" s="224">
        <v>10.476944665084059</v>
      </c>
      <c r="AD67" s="1121">
        <v>16.903041896195628</v>
      </c>
      <c r="AE67" s="224">
        <v>11026.897142857142</v>
      </c>
      <c r="AF67" s="224">
        <v>8849.9335520699988</v>
      </c>
      <c r="AG67" s="224">
        <v>78781.788708750013</v>
      </c>
      <c r="AH67" s="224">
        <v>0</v>
      </c>
      <c r="AI67" s="224">
        <v>18600</v>
      </c>
      <c r="AJ67" s="224">
        <v>0</v>
      </c>
      <c r="AK67" s="224">
        <v>745.98720000000003</v>
      </c>
      <c r="AL67" s="224">
        <v>0</v>
      </c>
      <c r="AM67" s="224">
        <v>436.00000000000006</v>
      </c>
      <c r="AN67" s="1121">
        <v>118440.60660367715</v>
      </c>
      <c r="AO67" s="224">
        <f t="shared" si="0"/>
        <v>2.2271448002427356</v>
      </c>
      <c r="AP67" s="1124">
        <v>0.1</v>
      </c>
      <c r="AQ67" s="1124">
        <f t="shared" si="3"/>
        <v>6.3391806341729959E-2</v>
      </c>
      <c r="AR67" s="1124">
        <v>20</v>
      </c>
      <c r="AS67" s="1124">
        <f t="shared" si="4"/>
        <v>0.30623216517625002</v>
      </c>
      <c r="AT67" s="224">
        <f t="shared" si="2"/>
        <v>7508.1639968173249</v>
      </c>
    </row>
    <row r="68" spans="1:46">
      <c r="A68" s="1122">
        <v>2020</v>
      </c>
      <c r="D68" s="1108" t="s">
        <v>1863</v>
      </c>
      <c r="E68" s="224" t="s">
        <v>1920</v>
      </c>
      <c r="G68" s="224" t="e">
        <v>#DIV/0!</v>
      </c>
      <c r="H68" s="224" t="e">
        <v>#DIV/0!</v>
      </c>
      <c r="I68" s="224" t="e">
        <v>#DIV/0!</v>
      </c>
      <c r="J68" s="224" t="e">
        <v>#DIV/0!</v>
      </c>
      <c r="K68" s="224" t="e">
        <v>#DIV/0!</v>
      </c>
      <c r="L68" s="224" t="e">
        <v>#DIV/0!</v>
      </c>
      <c r="M68" s="224" t="e">
        <v>#DIV/0!</v>
      </c>
      <c r="N68" s="224" t="e">
        <v>#DIV/0!</v>
      </c>
      <c r="O68" s="224" t="e">
        <v>#DIV/0!</v>
      </c>
      <c r="P68" s="224" t="e">
        <v>#DIV/0!</v>
      </c>
      <c r="Q68" s="224" t="e">
        <v>#DIV/0!</v>
      </c>
      <c r="R68" s="224" t="e">
        <v>#DIV/0!</v>
      </c>
      <c r="S68" s="224" t="e">
        <v>#DIV/0!</v>
      </c>
      <c r="T68" s="224" t="e">
        <v>#DIV/0!</v>
      </c>
      <c r="U68" s="224" t="e">
        <v>#DIV/0!</v>
      </c>
      <c r="V68" s="224" t="e">
        <v>#DIV/0!</v>
      </c>
      <c r="W68" s="224" t="e">
        <v>#DIV/0!</v>
      </c>
      <c r="X68" s="224" t="e">
        <v>#DIV/0!</v>
      </c>
      <c r="Y68" s="224" t="e">
        <v>#DIV/0!</v>
      </c>
      <c r="Z68" s="224" t="e">
        <v>#DIV/0!</v>
      </c>
      <c r="AA68" s="224" t="e">
        <v>#DIV/0!</v>
      </c>
      <c r="AB68" s="224" t="e">
        <v>#DIV/0!</v>
      </c>
      <c r="AC68" s="224" t="e">
        <v>#DIV/0!</v>
      </c>
      <c r="AD68" s="1121" t="e">
        <v>#DIV/0!</v>
      </c>
      <c r="AE68" s="224" t="e">
        <v>#DIV/0!</v>
      </c>
      <c r="AF68" s="224" t="e">
        <v>#DIV/0!</v>
      </c>
      <c r="AG68" s="224" t="e">
        <v>#DIV/0!</v>
      </c>
      <c r="AH68" s="224" t="e">
        <v>#DIV/0!</v>
      </c>
      <c r="AI68" s="224" t="e">
        <v>#DIV/0!</v>
      </c>
      <c r="AJ68" s="224" t="e">
        <v>#DIV/0!</v>
      </c>
      <c r="AK68" s="224" t="e">
        <v>#DIV/0!</v>
      </c>
      <c r="AL68" s="224" t="e">
        <v>#DIV/0!</v>
      </c>
      <c r="AM68" s="224" t="e">
        <v>#DIV/0!</v>
      </c>
      <c r="AN68" s="1121" t="e">
        <v>#DIV/0!</v>
      </c>
      <c r="AO68" s="224" t="e">
        <f t="shared" si="0"/>
        <v>#DIV/0!</v>
      </c>
      <c r="AP68" s="1124">
        <v>0.1</v>
      </c>
      <c r="AQ68" s="1124">
        <f t="shared" si="3"/>
        <v>6.3391806341729959E-2</v>
      </c>
      <c r="AR68" s="1124">
        <v>20</v>
      </c>
      <c r="AS68" s="1124" t="e">
        <f t="shared" si="4"/>
        <v>#DIV/0!</v>
      </c>
      <c r="AT68" s="224" t="e">
        <f t="shared" si="2"/>
        <v>#DIV/0!</v>
      </c>
    </row>
    <row r="69" spans="1:46">
      <c r="A69" s="1119">
        <v>2025</v>
      </c>
      <c r="D69" s="1108" t="s">
        <v>1863</v>
      </c>
      <c r="E69" s="224" t="s">
        <v>1920</v>
      </c>
      <c r="G69" s="224" t="e">
        <v>#DIV/0!</v>
      </c>
      <c r="H69" s="224" t="e">
        <v>#DIV/0!</v>
      </c>
      <c r="I69" s="224" t="e">
        <v>#DIV/0!</v>
      </c>
      <c r="J69" s="224" t="e">
        <v>#DIV/0!</v>
      </c>
      <c r="K69" s="224" t="e">
        <v>#DIV/0!</v>
      </c>
      <c r="L69" s="224" t="e">
        <v>#DIV/0!</v>
      </c>
      <c r="M69" s="224" t="e">
        <v>#DIV/0!</v>
      </c>
      <c r="N69" s="224" t="e">
        <v>#DIV/0!</v>
      </c>
      <c r="O69" s="224" t="e">
        <v>#DIV/0!</v>
      </c>
      <c r="P69" s="224" t="e">
        <v>#DIV/0!</v>
      </c>
      <c r="Q69" s="224" t="e">
        <v>#DIV/0!</v>
      </c>
      <c r="R69" s="224" t="e">
        <v>#DIV/0!</v>
      </c>
      <c r="S69" s="224" t="e">
        <v>#DIV/0!</v>
      </c>
      <c r="T69" s="224" t="e">
        <v>#DIV/0!</v>
      </c>
      <c r="U69" s="224" t="e">
        <v>#DIV/0!</v>
      </c>
      <c r="V69" s="224" t="e">
        <v>#DIV/0!</v>
      </c>
      <c r="W69" s="224" t="e">
        <v>#DIV/0!</v>
      </c>
      <c r="X69" s="224" t="e">
        <v>#DIV/0!</v>
      </c>
      <c r="Y69" s="224" t="e">
        <v>#DIV/0!</v>
      </c>
      <c r="Z69" s="224" t="e">
        <v>#DIV/0!</v>
      </c>
      <c r="AA69" s="224" t="e">
        <v>#DIV/0!</v>
      </c>
      <c r="AB69" s="224" t="e">
        <v>#DIV/0!</v>
      </c>
      <c r="AC69" s="224" t="e">
        <v>#DIV/0!</v>
      </c>
      <c r="AD69" s="1121" t="e">
        <v>#DIV/0!</v>
      </c>
      <c r="AE69" s="224" t="e">
        <v>#DIV/0!</v>
      </c>
      <c r="AF69" s="224" t="e">
        <v>#DIV/0!</v>
      </c>
      <c r="AG69" s="224" t="e">
        <v>#DIV/0!</v>
      </c>
      <c r="AH69" s="224" t="e">
        <v>#DIV/0!</v>
      </c>
      <c r="AI69" s="224" t="e">
        <v>#DIV/0!</v>
      </c>
      <c r="AJ69" s="224" t="e">
        <v>#DIV/0!</v>
      </c>
      <c r="AK69" s="224" t="e">
        <v>#DIV/0!</v>
      </c>
      <c r="AL69" s="224" t="e">
        <v>#DIV/0!</v>
      </c>
      <c r="AM69" s="224" t="e">
        <v>#DIV/0!</v>
      </c>
      <c r="AN69" s="1121" t="e">
        <v>#DIV/0!</v>
      </c>
      <c r="AO69" s="224" t="e">
        <f t="shared" si="0"/>
        <v>#DIV/0!</v>
      </c>
      <c r="AP69" s="1124">
        <v>0.1</v>
      </c>
      <c r="AQ69" s="1124">
        <f t="shared" si="3"/>
        <v>6.3391806341729959E-2</v>
      </c>
      <c r="AR69" s="1124">
        <v>20</v>
      </c>
      <c r="AS69" s="1124" t="e">
        <f t="shared" si="4"/>
        <v>#DIV/0!</v>
      </c>
      <c r="AT69" s="224" t="e">
        <f t="shared" si="2"/>
        <v>#DIV/0!</v>
      </c>
    </row>
    <row r="70" spans="1:46">
      <c r="A70" s="1119">
        <v>2030</v>
      </c>
      <c r="D70" s="1108" t="s">
        <v>1863</v>
      </c>
      <c r="E70" s="224" t="s">
        <v>1920</v>
      </c>
      <c r="G70" s="224" t="e">
        <v>#DIV/0!</v>
      </c>
      <c r="H70" s="224" t="e">
        <v>#DIV/0!</v>
      </c>
      <c r="I70" s="224" t="e">
        <v>#DIV/0!</v>
      </c>
      <c r="J70" s="224" t="e">
        <v>#DIV/0!</v>
      </c>
      <c r="K70" s="224" t="e">
        <v>#DIV/0!</v>
      </c>
      <c r="L70" s="224" t="e">
        <v>#DIV/0!</v>
      </c>
      <c r="M70" s="224" t="e">
        <v>#DIV/0!</v>
      </c>
      <c r="N70" s="224" t="e">
        <v>#DIV/0!</v>
      </c>
      <c r="O70" s="224" t="e">
        <v>#DIV/0!</v>
      </c>
      <c r="P70" s="224" t="e">
        <v>#DIV/0!</v>
      </c>
      <c r="Q70" s="224" t="e">
        <v>#DIV/0!</v>
      </c>
      <c r="R70" s="224" t="e">
        <v>#DIV/0!</v>
      </c>
      <c r="S70" s="224" t="e">
        <v>#DIV/0!</v>
      </c>
      <c r="T70" s="224" t="e">
        <v>#DIV/0!</v>
      </c>
      <c r="U70" s="224" t="e">
        <v>#DIV/0!</v>
      </c>
      <c r="V70" s="224" t="e">
        <v>#DIV/0!</v>
      </c>
      <c r="W70" s="224" t="e">
        <v>#DIV/0!</v>
      </c>
      <c r="X70" s="224" t="e">
        <v>#DIV/0!</v>
      </c>
      <c r="Y70" s="224" t="e">
        <v>#DIV/0!</v>
      </c>
      <c r="Z70" s="224" t="e">
        <v>#DIV/0!</v>
      </c>
      <c r="AA70" s="224" t="e">
        <v>#DIV/0!</v>
      </c>
      <c r="AB70" s="224" t="e">
        <v>#DIV/0!</v>
      </c>
      <c r="AC70" s="224" t="e">
        <v>#DIV/0!</v>
      </c>
      <c r="AD70" s="1121" t="e">
        <v>#DIV/0!</v>
      </c>
      <c r="AE70" s="224" t="e">
        <v>#DIV/0!</v>
      </c>
      <c r="AF70" s="224" t="e">
        <v>#DIV/0!</v>
      </c>
      <c r="AG70" s="224" t="e">
        <v>#DIV/0!</v>
      </c>
      <c r="AH70" s="224" t="e">
        <v>#DIV/0!</v>
      </c>
      <c r="AI70" s="224" t="e">
        <v>#DIV/0!</v>
      </c>
      <c r="AJ70" s="224" t="e">
        <v>#DIV/0!</v>
      </c>
      <c r="AK70" s="224" t="e">
        <v>#DIV/0!</v>
      </c>
      <c r="AL70" s="224" t="e">
        <v>#DIV/0!</v>
      </c>
      <c r="AM70" s="224" t="e">
        <v>#DIV/0!</v>
      </c>
      <c r="AN70" s="1121" t="e">
        <v>#DIV/0!</v>
      </c>
      <c r="AO70" s="224" t="e">
        <f t="shared" si="0"/>
        <v>#DIV/0!</v>
      </c>
      <c r="AP70" s="1124">
        <v>0.1</v>
      </c>
      <c r="AQ70" s="1124">
        <f t="shared" si="3"/>
        <v>6.3391806341729959E-2</v>
      </c>
      <c r="AR70" s="1124">
        <v>20</v>
      </c>
      <c r="AS70" s="1124" t="e">
        <f t="shared" si="4"/>
        <v>#DIV/0!</v>
      </c>
      <c r="AT70" s="224" t="e">
        <f t="shared" si="2"/>
        <v>#DIV/0!</v>
      </c>
    </row>
    <row r="71" spans="1:46">
      <c r="A71" s="1119">
        <v>2035</v>
      </c>
      <c r="D71" s="1108" t="s">
        <v>1863</v>
      </c>
      <c r="E71" s="224" t="s">
        <v>1920</v>
      </c>
      <c r="G71" s="224" t="e">
        <v>#DIV/0!</v>
      </c>
      <c r="H71" s="224" t="e">
        <v>#DIV/0!</v>
      </c>
      <c r="I71" s="224" t="e">
        <v>#DIV/0!</v>
      </c>
      <c r="J71" s="224" t="e">
        <v>#DIV/0!</v>
      </c>
      <c r="K71" s="224" t="e">
        <v>#DIV/0!</v>
      </c>
      <c r="L71" s="224" t="e">
        <v>#DIV/0!</v>
      </c>
      <c r="M71" s="224" t="e">
        <v>#DIV/0!</v>
      </c>
      <c r="N71" s="224" t="e">
        <v>#DIV/0!</v>
      </c>
      <c r="O71" s="224" t="e">
        <v>#DIV/0!</v>
      </c>
      <c r="P71" s="224" t="e">
        <v>#DIV/0!</v>
      </c>
      <c r="Q71" s="224" t="e">
        <v>#DIV/0!</v>
      </c>
      <c r="R71" s="224" t="e">
        <v>#DIV/0!</v>
      </c>
      <c r="S71" s="224" t="e">
        <v>#DIV/0!</v>
      </c>
      <c r="T71" s="224" t="e">
        <v>#DIV/0!</v>
      </c>
      <c r="U71" s="224" t="e">
        <v>#DIV/0!</v>
      </c>
      <c r="V71" s="224" t="e">
        <v>#DIV/0!</v>
      </c>
      <c r="W71" s="224" t="e">
        <v>#DIV/0!</v>
      </c>
      <c r="X71" s="224" t="e">
        <v>#DIV/0!</v>
      </c>
      <c r="Y71" s="224" t="e">
        <v>#DIV/0!</v>
      </c>
      <c r="Z71" s="224" t="e">
        <v>#DIV/0!</v>
      </c>
      <c r="AA71" s="224" t="e">
        <v>#DIV/0!</v>
      </c>
      <c r="AB71" s="224" t="e">
        <v>#DIV/0!</v>
      </c>
      <c r="AC71" s="224" t="e">
        <v>#DIV/0!</v>
      </c>
      <c r="AD71" s="1121" t="e">
        <v>#DIV/0!</v>
      </c>
      <c r="AE71" s="224" t="e">
        <v>#DIV/0!</v>
      </c>
      <c r="AF71" s="224" t="e">
        <v>#DIV/0!</v>
      </c>
      <c r="AG71" s="224" t="e">
        <v>#DIV/0!</v>
      </c>
      <c r="AH71" s="224" t="e">
        <v>#DIV/0!</v>
      </c>
      <c r="AI71" s="224" t="e">
        <v>#DIV/0!</v>
      </c>
      <c r="AJ71" s="224" t="e">
        <v>#DIV/0!</v>
      </c>
      <c r="AK71" s="224" t="e">
        <v>#DIV/0!</v>
      </c>
      <c r="AL71" s="224" t="e">
        <v>#DIV/0!</v>
      </c>
      <c r="AM71" s="224" t="e">
        <v>#DIV/0!</v>
      </c>
      <c r="AN71" s="1121" t="e">
        <v>#DIV/0!</v>
      </c>
      <c r="AO71" s="224" t="e">
        <f t="shared" si="0"/>
        <v>#DIV/0!</v>
      </c>
      <c r="AP71" s="1124">
        <v>0.1</v>
      </c>
      <c r="AQ71" s="1124">
        <f t="shared" si="3"/>
        <v>6.3391806341729959E-2</v>
      </c>
      <c r="AR71" s="1124">
        <v>20</v>
      </c>
      <c r="AS71" s="1124" t="e">
        <f t="shared" si="4"/>
        <v>#DIV/0!</v>
      </c>
      <c r="AT71" s="224" t="e">
        <f t="shared" si="2"/>
        <v>#DIV/0!</v>
      </c>
    </row>
    <row r="72" spans="1:46">
      <c r="A72" s="1119">
        <v>2050</v>
      </c>
      <c r="D72" s="1108" t="s">
        <v>1863</v>
      </c>
      <c r="E72" s="224" t="s">
        <v>1920</v>
      </c>
      <c r="G72" s="224" t="e">
        <v>#DIV/0!</v>
      </c>
      <c r="H72" s="224" t="e">
        <v>#DIV/0!</v>
      </c>
      <c r="I72" s="224" t="e">
        <v>#DIV/0!</v>
      </c>
      <c r="J72" s="224" t="e">
        <v>#DIV/0!</v>
      </c>
      <c r="K72" s="224" t="e">
        <v>#DIV/0!</v>
      </c>
      <c r="L72" s="224" t="e">
        <v>#DIV/0!</v>
      </c>
      <c r="M72" s="224" t="e">
        <v>#DIV/0!</v>
      </c>
      <c r="N72" s="224" t="e">
        <v>#DIV/0!</v>
      </c>
      <c r="O72" s="224" t="e">
        <v>#DIV/0!</v>
      </c>
      <c r="P72" s="224" t="e">
        <v>#DIV/0!</v>
      </c>
      <c r="Q72" s="224" t="e">
        <v>#DIV/0!</v>
      </c>
      <c r="R72" s="224" t="e">
        <v>#DIV/0!</v>
      </c>
      <c r="S72" s="224" t="e">
        <v>#DIV/0!</v>
      </c>
      <c r="T72" s="224" t="e">
        <v>#DIV/0!</v>
      </c>
      <c r="U72" s="224" t="e">
        <v>#DIV/0!</v>
      </c>
      <c r="V72" s="224" t="e">
        <v>#DIV/0!</v>
      </c>
      <c r="W72" s="224" t="e">
        <v>#DIV/0!</v>
      </c>
      <c r="X72" s="224" t="e">
        <v>#DIV/0!</v>
      </c>
      <c r="Y72" s="224" t="e">
        <v>#DIV/0!</v>
      </c>
      <c r="Z72" s="224" t="e">
        <v>#DIV/0!</v>
      </c>
      <c r="AA72" s="224" t="e">
        <v>#DIV/0!</v>
      </c>
      <c r="AB72" s="224" t="e">
        <v>#DIV/0!</v>
      </c>
      <c r="AC72" s="224" t="e">
        <v>#DIV/0!</v>
      </c>
      <c r="AD72" s="1121" t="e">
        <v>#DIV/0!</v>
      </c>
      <c r="AE72" s="224" t="e">
        <v>#DIV/0!</v>
      </c>
      <c r="AF72" s="224" t="e">
        <v>#DIV/0!</v>
      </c>
      <c r="AG72" s="224" t="e">
        <v>#DIV/0!</v>
      </c>
      <c r="AH72" s="224" t="e">
        <v>#DIV/0!</v>
      </c>
      <c r="AI72" s="224" t="e">
        <v>#DIV/0!</v>
      </c>
      <c r="AJ72" s="224" t="e">
        <v>#DIV/0!</v>
      </c>
      <c r="AK72" s="224" t="e">
        <v>#DIV/0!</v>
      </c>
      <c r="AL72" s="224" t="e">
        <v>#DIV/0!</v>
      </c>
      <c r="AM72" s="224" t="e">
        <v>#DIV/0!</v>
      </c>
      <c r="AN72" s="1121" t="e">
        <v>#DIV/0!</v>
      </c>
      <c r="AO72" s="224" t="e">
        <f t="shared" si="0"/>
        <v>#DIV/0!</v>
      </c>
      <c r="AP72" s="1124">
        <v>0.1</v>
      </c>
      <c r="AQ72" s="1124">
        <f t="shared" si="3"/>
        <v>6.3391806341729959E-2</v>
      </c>
      <c r="AR72" s="1124">
        <v>20</v>
      </c>
      <c r="AS72" s="1124" t="e">
        <f t="shared" si="4"/>
        <v>#DIV/0!</v>
      </c>
      <c r="AT72" s="224" t="e">
        <f t="shared" si="2"/>
        <v>#DIV/0!</v>
      </c>
    </row>
    <row r="73" spans="1:46">
      <c r="A73" s="1119">
        <v>2017</v>
      </c>
      <c r="D73" s="1108" t="s">
        <v>1863</v>
      </c>
      <c r="E73" s="224" t="s">
        <v>1921</v>
      </c>
      <c r="G73" s="224">
        <v>4764.2062053375003</v>
      </c>
      <c r="H73" s="224">
        <v>1644.5</v>
      </c>
      <c r="I73" s="224">
        <v>258.36618750000002</v>
      </c>
      <c r="J73" s="224">
        <v>0</v>
      </c>
      <c r="K73" s="224">
        <v>0</v>
      </c>
      <c r="L73" s="224">
        <v>0</v>
      </c>
      <c r="M73" s="224">
        <v>0</v>
      </c>
      <c r="N73" s="224">
        <v>0</v>
      </c>
      <c r="O73" s="224">
        <v>0</v>
      </c>
      <c r="P73" s="224">
        <v>0</v>
      </c>
      <c r="Q73" s="224">
        <v>0</v>
      </c>
      <c r="R73" s="224">
        <v>0</v>
      </c>
      <c r="S73" s="224">
        <v>560.36800490323662</v>
      </c>
      <c r="T73" s="224">
        <v>897.68396136564468</v>
      </c>
      <c r="U73" s="224">
        <v>1110.8414818751887</v>
      </c>
      <c r="V73" s="224">
        <v>0</v>
      </c>
      <c r="W73" s="224">
        <v>162.33558619999999</v>
      </c>
      <c r="X73" s="224">
        <v>243.50337930000001</v>
      </c>
      <c r="Y73" s="224">
        <v>258.36618750000002</v>
      </c>
      <c r="Z73" s="224">
        <v>0</v>
      </c>
      <c r="AA73" s="224">
        <v>2.976722469605507</v>
      </c>
      <c r="AB73" s="224">
        <v>4.7685734999503033</v>
      </c>
      <c r="AC73" s="224">
        <v>5.9008843658708567</v>
      </c>
      <c r="AD73" s="1121">
        <v>17.255266768180615</v>
      </c>
      <c r="AE73" s="224">
        <v>0</v>
      </c>
      <c r="AF73" s="224">
        <v>7675.9466479799994</v>
      </c>
      <c r="AG73" s="224">
        <v>147005.19336375</v>
      </c>
      <c r="AH73" s="224">
        <v>0</v>
      </c>
      <c r="AI73" s="224">
        <v>18600</v>
      </c>
      <c r="AJ73" s="224">
        <v>0</v>
      </c>
      <c r="AK73" s="224">
        <v>745.98720000000003</v>
      </c>
      <c r="AL73" s="224">
        <v>0</v>
      </c>
      <c r="AM73" s="224">
        <v>0</v>
      </c>
      <c r="AN73" s="1121">
        <v>174027.12721173</v>
      </c>
      <c r="AO73" s="224">
        <f t="shared" si="0"/>
        <v>2.2735539493754775</v>
      </c>
      <c r="AP73" s="1124">
        <v>0.1</v>
      </c>
      <c r="AQ73" s="1124">
        <f t="shared" si="3"/>
        <v>6.3391806341729959E-2</v>
      </c>
      <c r="AR73" s="1124">
        <v>20</v>
      </c>
      <c r="AS73" s="1124">
        <f t="shared" si="4"/>
        <v>0.31261341807967957</v>
      </c>
      <c r="AT73" s="224">
        <f t="shared" si="2"/>
        <v>11031.893946413591</v>
      </c>
    </row>
    <row r="74" spans="1:46">
      <c r="A74" s="1122">
        <v>2020</v>
      </c>
      <c r="D74" s="1108" t="s">
        <v>1863</v>
      </c>
      <c r="E74" s="224" t="s">
        <v>1921</v>
      </c>
      <c r="G74" s="224" t="e">
        <v>#DIV/0!</v>
      </c>
      <c r="H74" s="224" t="e">
        <v>#DIV/0!</v>
      </c>
      <c r="I74" s="224" t="e">
        <v>#DIV/0!</v>
      </c>
      <c r="J74" s="224" t="e">
        <v>#DIV/0!</v>
      </c>
      <c r="K74" s="224" t="e">
        <v>#DIV/0!</v>
      </c>
      <c r="L74" s="224" t="e">
        <v>#DIV/0!</v>
      </c>
      <c r="M74" s="224" t="e">
        <v>#DIV/0!</v>
      </c>
      <c r="N74" s="224" t="e">
        <v>#DIV/0!</v>
      </c>
      <c r="O74" s="224" t="e">
        <v>#DIV/0!</v>
      </c>
      <c r="P74" s="224" t="e">
        <v>#DIV/0!</v>
      </c>
      <c r="Q74" s="224" t="e">
        <v>#DIV/0!</v>
      </c>
      <c r="R74" s="224" t="e">
        <v>#DIV/0!</v>
      </c>
      <c r="S74" s="224" t="e">
        <v>#DIV/0!</v>
      </c>
      <c r="T74" s="224" t="e">
        <v>#DIV/0!</v>
      </c>
      <c r="U74" s="224" t="e">
        <v>#DIV/0!</v>
      </c>
      <c r="V74" s="224" t="e">
        <v>#DIV/0!</v>
      </c>
      <c r="W74" s="224" t="e">
        <v>#DIV/0!</v>
      </c>
      <c r="X74" s="224" t="e">
        <v>#DIV/0!</v>
      </c>
      <c r="Y74" s="224" t="e">
        <v>#DIV/0!</v>
      </c>
      <c r="Z74" s="224" t="e">
        <v>#DIV/0!</v>
      </c>
      <c r="AA74" s="224" t="e">
        <v>#DIV/0!</v>
      </c>
      <c r="AB74" s="224" t="e">
        <v>#DIV/0!</v>
      </c>
      <c r="AC74" s="224" t="e">
        <v>#DIV/0!</v>
      </c>
      <c r="AD74" s="1121" t="e">
        <v>#DIV/0!</v>
      </c>
      <c r="AE74" s="224" t="e">
        <v>#DIV/0!</v>
      </c>
      <c r="AF74" s="224" t="e">
        <v>#DIV/0!</v>
      </c>
      <c r="AG74" s="224" t="e">
        <v>#DIV/0!</v>
      </c>
      <c r="AH74" s="224" t="e">
        <v>#DIV/0!</v>
      </c>
      <c r="AI74" s="224" t="e">
        <v>#DIV/0!</v>
      </c>
      <c r="AJ74" s="224" t="e">
        <v>#DIV/0!</v>
      </c>
      <c r="AK74" s="224" t="e">
        <v>#DIV/0!</v>
      </c>
      <c r="AL74" s="224" t="e">
        <v>#DIV/0!</v>
      </c>
      <c r="AM74" s="224" t="e">
        <v>#DIV/0!</v>
      </c>
      <c r="AN74" s="1121" t="e">
        <v>#DIV/0!</v>
      </c>
      <c r="AO74" s="224" t="e">
        <f t="shared" si="0"/>
        <v>#DIV/0!</v>
      </c>
      <c r="AP74" s="1124">
        <v>0.1</v>
      </c>
      <c r="AQ74" s="1124">
        <f t="shared" si="3"/>
        <v>6.3391806341729959E-2</v>
      </c>
      <c r="AR74" s="1124">
        <v>20</v>
      </c>
      <c r="AS74" s="1124" t="e">
        <f t="shared" si="4"/>
        <v>#DIV/0!</v>
      </c>
      <c r="AT74" s="224" t="e">
        <f t="shared" si="2"/>
        <v>#DIV/0!</v>
      </c>
    </row>
    <row r="75" spans="1:46">
      <c r="A75" s="1119">
        <v>2025</v>
      </c>
      <c r="D75" s="1108" t="s">
        <v>1863</v>
      </c>
      <c r="E75" s="224" t="s">
        <v>1921</v>
      </c>
      <c r="G75" s="224" t="e">
        <v>#DIV/0!</v>
      </c>
      <c r="H75" s="224" t="e">
        <v>#DIV/0!</v>
      </c>
      <c r="I75" s="224" t="e">
        <v>#DIV/0!</v>
      </c>
      <c r="J75" s="224" t="e">
        <v>#DIV/0!</v>
      </c>
      <c r="K75" s="224" t="e">
        <v>#DIV/0!</v>
      </c>
      <c r="L75" s="224" t="e">
        <v>#DIV/0!</v>
      </c>
      <c r="M75" s="224" t="e">
        <v>#DIV/0!</v>
      </c>
      <c r="N75" s="224" t="e">
        <v>#DIV/0!</v>
      </c>
      <c r="O75" s="224" t="e">
        <v>#DIV/0!</v>
      </c>
      <c r="P75" s="224" t="e">
        <v>#DIV/0!</v>
      </c>
      <c r="Q75" s="224" t="e">
        <v>#DIV/0!</v>
      </c>
      <c r="R75" s="224" t="e">
        <v>#DIV/0!</v>
      </c>
      <c r="S75" s="224" t="e">
        <v>#DIV/0!</v>
      </c>
      <c r="T75" s="224" t="e">
        <v>#DIV/0!</v>
      </c>
      <c r="U75" s="224" t="e">
        <v>#DIV/0!</v>
      </c>
      <c r="V75" s="224" t="e">
        <v>#DIV/0!</v>
      </c>
      <c r="W75" s="224" t="e">
        <v>#DIV/0!</v>
      </c>
      <c r="X75" s="224" t="e">
        <v>#DIV/0!</v>
      </c>
      <c r="Y75" s="224" t="e">
        <v>#DIV/0!</v>
      </c>
      <c r="Z75" s="224" t="e">
        <v>#DIV/0!</v>
      </c>
      <c r="AA75" s="224" t="e">
        <v>#DIV/0!</v>
      </c>
      <c r="AB75" s="224" t="e">
        <v>#DIV/0!</v>
      </c>
      <c r="AC75" s="224" t="e">
        <v>#DIV/0!</v>
      </c>
      <c r="AD75" s="1121" t="e">
        <v>#DIV/0!</v>
      </c>
      <c r="AE75" s="224" t="e">
        <v>#DIV/0!</v>
      </c>
      <c r="AF75" s="224" t="e">
        <v>#DIV/0!</v>
      </c>
      <c r="AG75" s="224" t="e">
        <v>#DIV/0!</v>
      </c>
      <c r="AH75" s="224" t="e">
        <v>#DIV/0!</v>
      </c>
      <c r="AI75" s="224" t="e">
        <v>#DIV/0!</v>
      </c>
      <c r="AJ75" s="224" t="e">
        <v>#DIV/0!</v>
      </c>
      <c r="AK75" s="224" t="e">
        <v>#DIV/0!</v>
      </c>
      <c r="AL75" s="224" t="e">
        <v>#DIV/0!</v>
      </c>
      <c r="AM75" s="224" t="e">
        <v>#DIV/0!</v>
      </c>
      <c r="AN75" s="1121" t="e">
        <v>#DIV/0!</v>
      </c>
      <c r="AO75" s="224" t="e">
        <f t="shared" si="0"/>
        <v>#DIV/0!</v>
      </c>
      <c r="AP75" s="1124">
        <v>0.1</v>
      </c>
      <c r="AQ75" s="1124">
        <f t="shared" si="3"/>
        <v>6.3391806341729959E-2</v>
      </c>
      <c r="AR75" s="1124">
        <v>20</v>
      </c>
      <c r="AS75" s="1124" t="e">
        <f t="shared" si="4"/>
        <v>#DIV/0!</v>
      </c>
      <c r="AT75" s="224" t="e">
        <f t="shared" si="2"/>
        <v>#DIV/0!</v>
      </c>
    </row>
    <row r="76" spans="1:46">
      <c r="A76" s="1119">
        <v>2030</v>
      </c>
      <c r="D76" s="1108" t="s">
        <v>1863</v>
      </c>
      <c r="E76" s="224" t="s">
        <v>1921</v>
      </c>
      <c r="G76" s="224" t="e">
        <v>#DIV/0!</v>
      </c>
      <c r="H76" s="224" t="e">
        <v>#DIV/0!</v>
      </c>
      <c r="I76" s="224" t="e">
        <v>#DIV/0!</v>
      </c>
      <c r="J76" s="224" t="e">
        <v>#DIV/0!</v>
      </c>
      <c r="K76" s="224" t="e">
        <v>#DIV/0!</v>
      </c>
      <c r="L76" s="224" t="e">
        <v>#DIV/0!</v>
      </c>
      <c r="M76" s="224" t="e">
        <v>#DIV/0!</v>
      </c>
      <c r="N76" s="224" t="e">
        <v>#DIV/0!</v>
      </c>
      <c r="O76" s="224" t="e">
        <v>#DIV/0!</v>
      </c>
      <c r="P76" s="224" t="e">
        <v>#DIV/0!</v>
      </c>
      <c r="Q76" s="224" t="e">
        <v>#DIV/0!</v>
      </c>
      <c r="R76" s="224" t="e">
        <v>#DIV/0!</v>
      </c>
      <c r="S76" s="224" t="e">
        <v>#DIV/0!</v>
      </c>
      <c r="T76" s="224" t="e">
        <v>#DIV/0!</v>
      </c>
      <c r="U76" s="224" t="e">
        <v>#DIV/0!</v>
      </c>
      <c r="V76" s="224" t="e">
        <v>#DIV/0!</v>
      </c>
      <c r="W76" s="224" t="e">
        <v>#DIV/0!</v>
      </c>
      <c r="X76" s="224" t="e">
        <v>#DIV/0!</v>
      </c>
      <c r="Y76" s="224" t="e">
        <v>#DIV/0!</v>
      </c>
      <c r="Z76" s="224" t="e">
        <v>#DIV/0!</v>
      </c>
      <c r="AA76" s="224" t="e">
        <v>#DIV/0!</v>
      </c>
      <c r="AB76" s="224" t="e">
        <v>#DIV/0!</v>
      </c>
      <c r="AC76" s="224" t="e">
        <v>#DIV/0!</v>
      </c>
      <c r="AD76" s="1121" t="e">
        <v>#DIV/0!</v>
      </c>
      <c r="AE76" s="224" t="e">
        <v>#DIV/0!</v>
      </c>
      <c r="AF76" s="224" t="e">
        <v>#DIV/0!</v>
      </c>
      <c r="AG76" s="224" t="e">
        <v>#DIV/0!</v>
      </c>
      <c r="AH76" s="224" t="e">
        <v>#DIV/0!</v>
      </c>
      <c r="AI76" s="224" t="e">
        <v>#DIV/0!</v>
      </c>
      <c r="AJ76" s="224" t="e">
        <v>#DIV/0!</v>
      </c>
      <c r="AK76" s="224" t="e">
        <v>#DIV/0!</v>
      </c>
      <c r="AL76" s="224" t="e">
        <v>#DIV/0!</v>
      </c>
      <c r="AM76" s="224" t="e">
        <v>#DIV/0!</v>
      </c>
      <c r="AN76" s="1121" t="e">
        <v>#DIV/0!</v>
      </c>
      <c r="AO76" s="224" t="e">
        <f t="shared" si="0"/>
        <v>#DIV/0!</v>
      </c>
      <c r="AP76" s="1124">
        <v>0.1</v>
      </c>
      <c r="AQ76" s="1124">
        <f t="shared" si="3"/>
        <v>6.3391806341729959E-2</v>
      </c>
      <c r="AR76" s="1124">
        <v>20</v>
      </c>
      <c r="AS76" s="1124" t="e">
        <f t="shared" si="4"/>
        <v>#DIV/0!</v>
      </c>
      <c r="AT76" s="224" t="e">
        <f t="shared" si="2"/>
        <v>#DIV/0!</v>
      </c>
    </row>
    <row r="77" spans="1:46">
      <c r="A77" s="1119">
        <v>2035</v>
      </c>
      <c r="D77" s="1108" t="s">
        <v>1863</v>
      </c>
      <c r="E77" s="224" t="s">
        <v>1921</v>
      </c>
      <c r="G77" s="224" t="e">
        <v>#DIV/0!</v>
      </c>
      <c r="H77" s="224" t="e">
        <v>#DIV/0!</v>
      </c>
      <c r="I77" s="224" t="e">
        <v>#DIV/0!</v>
      </c>
      <c r="J77" s="224" t="e">
        <v>#DIV/0!</v>
      </c>
      <c r="K77" s="224" t="e">
        <v>#DIV/0!</v>
      </c>
      <c r="L77" s="224" t="e">
        <v>#DIV/0!</v>
      </c>
      <c r="M77" s="224" t="e">
        <v>#DIV/0!</v>
      </c>
      <c r="N77" s="224" t="e">
        <v>#DIV/0!</v>
      </c>
      <c r="O77" s="224" t="e">
        <v>#DIV/0!</v>
      </c>
      <c r="P77" s="224" t="e">
        <v>#DIV/0!</v>
      </c>
      <c r="Q77" s="224" t="e">
        <v>#DIV/0!</v>
      </c>
      <c r="R77" s="224" t="e">
        <v>#DIV/0!</v>
      </c>
      <c r="S77" s="224" t="e">
        <v>#DIV/0!</v>
      </c>
      <c r="T77" s="224" t="e">
        <v>#DIV/0!</v>
      </c>
      <c r="U77" s="224" t="e">
        <v>#DIV/0!</v>
      </c>
      <c r="V77" s="224" t="e">
        <v>#DIV/0!</v>
      </c>
      <c r="W77" s="224" t="e">
        <v>#DIV/0!</v>
      </c>
      <c r="X77" s="224" t="e">
        <v>#DIV/0!</v>
      </c>
      <c r="Y77" s="224" t="e">
        <v>#DIV/0!</v>
      </c>
      <c r="Z77" s="224" t="e">
        <v>#DIV/0!</v>
      </c>
      <c r="AA77" s="224" t="e">
        <v>#DIV/0!</v>
      </c>
      <c r="AB77" s="224" t="e">
        <v>#DIV/0!</v>
      </c>
      <c r="AC77" s="224" t="e">
        <v>#DIV/0!</v>
      </c>
      <c r="AD77" s="1121" t="e">
        <v>#DIV/0!</v>
      </c>
      <c r="AE77" s="224" t="e">
        <v>#DIV/0!</v>
      </c>
      <c r="AF77" s="224" t="e">
        <v>#DIV/0!</v>
      </c>
      <c r="AG77" s="224" t="e">
        <v>#DIV/0!</v>
      </c>
      <c r="AH77" s="224" t="e">
        <v>#DIV/0!</v>
      </c>
      <c r="AI77" s="224" t="e">
        <v>#DIV/0!</v>
      </c>
      <c r="AJ77" s="224" t="e">
        <v>#DIV/0!</v>
      </c>
      <c r="AK77" s="224" t="e">
        <v>#DIV/0!</v>
      </c>
      <c r="AL77" s="224" t="e">
        <v>#DIV/0!</v>
      </c>
      <c r="AM77" s="224" t="e">
        <v>#DIV/0!</v>
      </c>
      <c r="AN77" s="1121" t="e">
        <v>#DIV/0!</v>
      </c>
      <c r="AO77" s="224" t="e">
        <f t="shared" si="0"/>
        <v>#DIV/0!</v>
      </c>
      <c r="AP77" s="1124">
        <v>0.1</v>
      </c>
      <c r="AQ77" s="1124">
        <f t="shared" si="3"/>
        <v>6.3391806341729959E-2</v>
      </c>
      <c r="AR77" s="1124">
        <v>20</v>
      </c>
      <c r="AS77" s="1124" t="e">
        <f t="shared" si="4"/>
        <v>#DIV/0!</v>
      </c>
      <c r="AT77" s="224" t="e">
        <f t="shared" si="2"/>
        <v>#DIV/0!</v>
      </c>
    </row>
    <row r="78" spans="1:46">
      <c r="A78" s="1119">
        <v>2050</v>
      </c>
      <c r="D78" s="1108" t="s">
        <v>1863</v>
      </c>
      <c r="E78" s="224" t="s">
        <v>1921</v>
      </c>
      <c r="G78" s="224" t="e">
        <v>#DIV/0!</v>
      </c>
      <c r="H78" s="224" t="e">
        <v>#DIV/0!</v>
      </c>
      <c r="I78" s="224" t="e">
        <v>#DIV/0!</v>
      </c>
      <c r="J78" s="224" t="e">
        <v>#DIV/0!</v>
      </c>
      <c r="K78" s="224" t="e">
        <v>#DIV/0!</v>
      </c>
      <c r="L78" s="224" t="e">
        <v>#DIV/0!</v>
      </c>
      <c r="M78" s="224" t="e">
        <v>#DIV/0!</v>
      </c>
      <c r="N78" s="224" t="e">
        <v>#DIV/0!</v>
      </c>
      <c r="O78" s="224" t="e">
        <v>#DIV/0!</v>
      </c>
      <c r="P78" s="224" t="e">
        <v>#DIV/0!</v>
      </c>
      <c r="Q78" s="224" t="e">
        <v>#DIV/0!</v>
      </c>
      <c r="R78" s="224" t="e">
        <v>#DIV/0!</v>
      </c>
      <c r="S78" s="224" t="e">
        <v>#DIV/0!</v>
      </c>
      <c r="T78" s="224" t="e">
        <v>#DIV/0!</v>
      </c>
      <c r="U78" s="224" t="e">
        <v>#DIV/0!</v>
      </c>
      <c r="V78" s="224" t="e">
        <v>#DIV/0!</v>
      </c>
      <c r="W78" s="224" t="e">
        <v>#DIV/0!</v>
      </c>
      <c r="X78" s="224" t="e">
        <v>#DIV/0!</v>
      </c>
      <c r="Y78" s="224" t="e">
        <v>#DIV/0!</v>
      </c>
      <c r="Z78" s="224" t="e">
        <v>#DIV/0!</v>
      </c>
      <c r="AA78" s="224" t="e">
        <v>#DIV/0!</v>
      </c>
      <c r="AB78" s="224" t="e">
        <v>#DIV/0!</v>
      </c>
      <c r="AC78" s="224" t="e">
        <v>#DIV/0!</v>
      </c>
      <c r="AD78" s="1121" t="e">
        <v>#DIV/0!</v>
      </c>
      <c r="AE78" s="224" t="e">
        <v>#DIV/0!</v>
      </c>
      <c r="AF78" s="224" t="e">
        <v>#DIV/0!</v>
      </c>
      <c r="AG78" s="224" t="e">
        <v>#DIV/0!</v>
      </c>
      <c r="AH78" s="224" t="e">
        <v>#DIV/0!</v>
      </c>
      <c r="AI78" s="224" t="e">
        <v>#DIV/0!</v>
      </c>
      <c r="AJ78" s="224" t="e">
        <v>#DIV/0!</v>
      </c>
      <c r="AK78" s="224" t="e">
        <v>#DIV/0!</v>
      </c>
      <c r="AL78" s="224" t="e">
        <v>#DIV/0!</v>
      </c>
      <c r="AM78" s="224" t="e">
        <v>#DIV/0!</v>
      </c>
      <c r="AN78" s="1121" t="e">
        <v>#DIV/0!</v>
      </c>
      <c r="AO78" s="224" t="e">
        <f t="shared" ref="AO78:AO141" si="5">AD78*$C$4</f>
        <v>#DIV/0!</v>
      </c>
      <c r="AP78" s="1124">
        <v>0.1</v>
      </c>
      <c r="AQ78" s="1124">
        <f t="shared" si="3"/>
        <v>6.3391806341729959E-2</v>
      </c>
      <c r="AR78" s="1124">
        <v>20</v>
      </c>
      <c r="AS78" s="1124" t="e">
        <f t="shared" si="4"/>
        <v>#DIV/0!</v>
      </c>
      <c r="AT78" s="224" t="e">
        <f t="shared" ref="AT78:AT141" si="6">AN78*AQ78</f>
        <v>#DIV/0!</v>
      </c>
    </row>
    <row r="79" spans="1:46">
      <c r="A79" s="1119">
        <v>2017</v>
      </c>
      <c r="D79" s="1108" t="s">
        <v>1863</v>
      </c>
      <c r="E79" s="224" t="s">
        <v>1922</v>
      </c>
      <c r="G79" s="224">
        <v>4011.4635405839831</v>
      </c>
      <c r="H79" s="224">
        <v>1644.5</v>
      </c>
      <c r="I79" s="224">
        <v>2.9304000000000001</v>
      </c>
      <c r="J79" s="224">
        <v>3.0378714739285759E-2</v>
      </c>
      <c r="K79" s="224">
        <v>4.0303916367529724E-2</v>
      </c>
      <c r="L79" s="224">
        <v>5.1443773103483373E-2</v>
      </c>
      <c r="M79" s="224">
        <v>0</v>
      </c>
      <c r="N79" s="224">
        <v>0</v>
      </c>
      <c r="O79" s="224">
        <v>0</v>
      </c>
      <c r="P79" s="224">
        <v>0</v>
      </c>
      <c r="Q79" s="224">
        <v>0</v>
      </c>
      <c r="R79" s="224">
        <v>0</v>
      </c>
      <c r="S79" s="224">
        <v>0</v>
      </c>
      <c r="T79" s="224">
        <v>0</v>
      </c>
      <c r="U79" s="224">
        <v>0</v>
      </c>
      <c r="V79" s="224">
        <v>0</v>
      </c>
      <c r="W79" s="224">
        <v>188.60309874999999</v>
      </c>
      <c r="X79" s="224">
        <v>91.216507177033492</v>
      </c>
      <c r="Y79" s="224">
        <v>2.9304000000000001</v>
      </c>
      <c r="Z79" s="224">
        <v>122.8892587</v>
      </c>
      <c r="AA79" s="224">
        <v>6.075742947857151</v>
      </c>
      <c r="AB79" s="224">
        <v>8.0607832735059457</v>
      </c>
      <c r="AC79" s="224">
        <v>10.288754620696675</v>
      </c>
      <c r="AD79" s="1121">
        <v>32.043098420878422</v>
      </c>
      <c r="AE79" s="224">
        <v>0</v>
      </c>
      <c r="AF79" s="224">
        <v>8802.8229363749997</v>
      </c>
      <c r="AG79" s="224">
        <v>3977.0397129186604</v>
      </c>
      <c r="AH79" s="224">
        <v>0</v>
      </c>
      <c r="AI79" s="224">
        <v>18600</v>
      </c>
      <c r="AJ79" s="224">
        <v>0</v>
      </c>
      <c r="AK79" s="224">
        <v>745.98720000000003</v>
      </c>
      <c r="AL79" s="224">
        <v>58937.390000000007</v>
      </c>
      <c r="AM79" s="224">
        <v>11987.604616000001</v>
      </c>
      <c r="AN79" s="1121">
        <v>103050.84446529366</v>
      </c>
      <c r="AO79" s="224">
        <f t="shared" si="5"/>
        <v>4.2219986479349405</v>
      </c>
      <c r="AP79" s="1124">
        <v>0.1</v>
      </c>
      <c r="AQ79" s="1124">
        <f t="shared" ref="AQ79:AQ142" si="7">AQ78</f>
        <v>6.3391806341729959E-2</v>
      </c>
      <c r="AR79" s="1124">
        <v>20</v>
      </c>
      <c r="AS79" s="1124">
        <f t="shared" si="4"/>
        <v>0.58052434991537272</v>
      </c>
      <c r="AT79" s="224">
        <f t="shared" si="6"/>
        <v>6532.5791756956305</v>
      </c>
    </row>
    <row r="80" spans="1:46">
      <c r="A80" s="1122">
        <v>2020</v>
      </c>
      <c r="D80" s="1108" t="s">
        <v>1863</v>
      </c>
      <c r="E80" s="224" t="s">
        <v>1922</v>
      </c>
      <c r="G80" s="224" t="e">
        <v>#DIV/0!</v>
      </c>
      <c r="H80" s="224" t="e">
        <v>#DIV/0!</v>
      </c>
      <c r="I80" s="224" t="e">
        <v>#DIV/0!</v>
      </c>
      <c r="J80" s="224" t="e">
        <v>#DIV/0!</v>
      </c>
      <c r="K80" s="224" t="e">
        <v>#DIV/0!</v>
      </c>
      <c r="L80" s="224" t="e">
        <v>#DIV/0!</v>
      </c>
      <c r="M80" s="224" t="e">
        <v>#DIV/0!</v>
      </c>
      <c r="N80" s="224" t="e">
        <v>#DIV/0!</v>
      </c>
      <c r="O80" s="224" t="e">
        <v>#DIV/0!</v>
      </c>
      <c r="P80" s="224" t="e">
        <v>#DIV/0!</v>
      </c>
      <c r="Q80" s="224" t="e">
        <v>#DIV/0!</v>
      </c>
      <c r="R80" s="224" t="e">
        <v>#DIV/0!</v>
      </c>
      <c r="S80" s="224" t="e">
        <v>#DIV/0!</v>
      </c>
      <c r="T80" s="224" t="e">
        <v>#DIV/0!</v>
      </c>
      <c r="U80" s="224" t="e">
        <v>#DIV/0!</v>
      </c>
      <c r="V80" s="224" t="e">
        <v>#DIV/0!</v>
      </c>
      <c r="W80" s="224" t="e">
        <v>#DIV/0!</v>
      </c>
      <c r="X80" s="224" t="e">
        <v>#DIV/0!</v>
      </c>
      <c r="Y80" s="224" t="e">
        <v>#DIV/0!</v>
      </c>
      <c r="Z80" s="224" t="e">
        <v>#DIV/0!</v>
      </c>
      <c r="AA80" s="224" t="e">
        <v>#DIV/0!</v>
      </c>
      <c r="AB80" s="224" t="e">
        <v>#DIV/0!</v>
      </c>
      <c r="AC80" s="224" t="e">
        <v>#DIV/0!</v>
      </c>
      <c r="AD80" s="1121" t="e">
        <v>#DIV/0!</v>
      </c>
      <c r="AE80" s="224" t="e">
        <v>#DIV/0!</v>
      </c>
      <c r="AF80" s="224" t="e">
        <v>#DIV/0!</v>
      </c>
      <c r="AG80" s="224" t="e">
        <v>#DIV/0!</v>
      </c>
      <c r="AH80" s="224" t="e">
        <v>#DIV/0!</v>
      </c>
      <c r="AI80" s="224" t="e">
        <v>#DIV/0!</v>
      </c>
      <c r="AJ80" s="224" t="e">
        <v>#DIV/0!</v>
      </c>
      <c r="AK80" s="224" t="e">
        <v>#DIV/0!</v>
      </c>
      <c r="AL80" s="224" t="e">
        <v>#DIV/0!</v>
      </c>
      <c r="AM80" s="224" t="e">
        <v>#DIV/0!</v>
      </c>
      <c r="AN80" s="1121" t="e">
        <v>#DIV/0!</v>
      </c>
      <c r="AO80" s="224" t="e">
        <f t="shared" si="5"/>
        <v>#DIV/0!</v>
      </c>
      <c r="AP80" s="1124">
        <v>0.1</v>
      </c>
      <c r="AQ80" s="1124">
        <f t="shared" si="7"/>
        <v>6.3391806341729959E-2</v>
      </c>
      <c r="AR80" s="1124">
        <v>20</v>
      </c>
      <c r="AS80" s="1124" t="e">
        <f t="shared" si="4"/>
        <v>#DIV/0!</v>
      </c>
      <c r="AT80" s="224" t="e">
        <f t="shared" si="6"/>
        <v>#DIV/0!</v>
      </c>
    </row>
    <row r="81" spans="1:46">
      <c r="A81" s="1119">
        <v>2025</v>
      </c>
      <c r="D81" s="1108" t="s">
        <v>1863</v>
      </c>
      <c r="E81" s="224" t="s">
        <v>1922</v>
      </c>
      <c r="G81" s="224" t="e">
        <v>#DIV/0!</v>
      </c>
      <c r="H81" s="224" t="e">
        <v>#DIV/0!</v>
      </c>
      <c r="I81" s="224" t="e">
        <v>#DIV/0!</v>
      </c>
      <c r="J81" s="224" t="e">
        <v>#DIV/0!</v>
      </c>
      <c r="K81" s="224" t="e">
        <v>#DIV/0!</v>
      </c>
      <c r="L81" s="224" t="e">
        <v>#DIV/0!</v>
      </c>
      <c r="M81" s="224" t="e">
        <v>#DIV/0!</v>
      </c>
      <c r="N81" s="224" t="e">
        <v>#DIV/0!</v>
      </c>
      <c r="O81" s="224" t="e">
        <v>#DIV/0!</v>
      </c>
      <c r="P81" s="224" t="e">
        <v>#DIV/0!</v>
      </c>
      <c r="Q81" s="224" t="e">
        <v>#DIV/0!</v>
      </c>
      <c r="R81" s="224" t="e">
        <v>#DIV/0!</v>
      </c>
      <c r="S81" s="224" t="e">
        <v>#DIV/0!</v>
      </c>
      <c r="T81" s="224" t="e">
        <v>#DIV/0!</v>
      </c>
      <c r="U81" s="224" t="e">
        <v>#DIV/0!</v>
      </c>
      <c r="V81" s="224" t="e">
        <v>#DIV/0!</v>
      </c>
      <c r="W81" s="224" t="e">
        <v>#DIV/0!</v>
      </c>
      <c r="X81" s="224" t="e">
        <v>#DIV/0!</v>
      </c>
      <c r="Y81" s="224" t="e">
        <v>#DIV/0!</v>
      </c>
      <c r="Z81" s="224" t="e">
        <v>#DIV/0!</v>
      </c>
      <c r="AA81" s="224" t="e">
        <v>#DIV/0!</v>
      </c>
      <c r="AB81" s="224" t="e">
        <v>#DIV/0!</v>
      </c>
      <c r="AC81" s="224" t="e">
        <v>#DIV/0!</v>
      </c>
      <c r="AD81" s="1121" t="e">
        <v>#DIV/0!</v>
      </c>
      <c r="AE81" s="224" t="e">
        <v>#DIV/0!</v>
      </c>
      <c r="AF81" s="224" t="e">
        <v>#DIV/0!</v>
      </c>
      <c r="AG81" s="224" t="e">
        <v>#DIV/0!</v>
      </c>
      <c r="AH81" s="224" t="e">
        <v>#DIV/0!</v>
      </c>
      <c r="AI81" s="224" t="e">
        <v>#DIV/0!</v>
      </c>
      <c r="AJ81" s="224" t="e">
        <v>#DIV/0!</v>
      </c>
      <c r="AK81" s="224" t="e">
        <v>#DIV/0!</v>
      </c>
      <c r="AL81" s="224" t="e">
        <v>#DIV/0!</v>
      </c>
      <c r="AM81" s="224" t="e">
        <v>#DIV/0!</v>
      </c>
      <c r="AN81" s="1121" t="e">
        <v>#DIV/0!</v>
      </c>
      <c r="AO81" s="224" t="e">
        <f t="shared" si="5"/>
        <v>#DIV/0!</v>
      </c>
      <c r="AP81" s="1124">
        <v>0.1</v>
      </c>
      <c r="AQ81" s="1124">
        <f t="shared" si="7"/>
        <v>6.3391806341729959E-2</v>
      </c>
      <c r="AR81" s="1124">
        <v>20</v>
      </c>
      <c r="AS81" s="1124" t="e">
        <f t="shared" si="4"/>
        <v>#DIV/0!</v>
      </c>
      <c r="AT81" s="224" t="e">
        <f t="shared" si="6"/>
        <v>#DIV/0!</v>
      </c>
    </row>
    <row r="82" spans="1:46">
      <c r="A82" s="1119">
        <v>2030</v>
      </c>
      <c r="D82" s="1108" t="s">
        <v>1863</v>
      </c>
      <c r="E82" s="224" t="s">
        <v>1922</v>
      </c>
      <c r="G82" s="224">
        <v>3533.8088048981808</v>
      </c>
      <c r="H82" s="224">
        <v>1679.5</v>
      </c>
      <c r="I82" s="224">
        <v>2.3443200000000002</v>
      </c>
      <c r="J82" s="224">
        <v>2.0152619915498694E-2</v>
      </c>
      <c r="K82" s="224">
        <v>2.5584682137724041E-2</v>
      </c>
      <c r="L82" s="224">
        <v>3.1895332620800326E-2</v>
      </c>
      <c r="M82" s="224">
        <v>0</v>
      </c>
      <c r="N82" s="224">
        <v>0</v>
      </c>
      <c r="O82" s="224">
        <v>0</v>
      </c>
      <c r="P82" s="224">
        <v>0</v>
      </c>
      <c r="Q82" s="224">
        <v>0</v>
      </c>
      <c r="R82" s="224">
        <v>0</v>
      </c>
      <c r="S82" s="224">
        <v>0</v>
      </c>
      <c r="T82" s="224">
        <v>0</v>
      </c>
      <c r="U82" s="224">
        <v>0</v>
      </c>
      <c r="V82" s="224">
        <v>0</v>
      </c>
      <c r="W82" s="224">
        <v>149.9532681</v>
      </c>
      <c r="X82" s="224">
        <v>44.303056768558939</v>
      </c>
      <c r="Y82" s="224">
        <v>2.3443200000000002</v>
      </c>
      <c r="Z82" s="224">
        <v>97.369036249999994</v>
      </c>
      <c r="AA82" s="224">
        <v>4.030523983099739</v>
      </c>
      <c r="AB82" s="224">
        <v>5.1169364275448084</v>
      </c>
      <c r="AC82" s="224">
        <v>6.3790665241600646</v>
      </c>
      <c r="AD82" s="1121">
        <v>19.303355955212709</v>
      </c>
      <c r="AE82" s="224">
        <v>0</v>
      </c>
      <c r="AF82" s="224">
        <v>1502.4417541128</v>
      </c>
      <c r="AG82" s="224">
        <v>983.52786026200829</v>
      </c>
      <c r="AH82" s="224">
        <v>0</v>
      </c>
      <c r="AI82" s="224">
        <v>18600</v>
      </c>
      <c r="AJ82" s="224">
        <v>619.42648860000008</v>
      </c>
      <c r="AK82" s="224">
        <v>5614.4184944067338</v>
      </c>
      <c r="AL82" s="224">
        <v>11528.46</v>
      </c>
      <c r="AM82" s="224">
        <v>3599.9297999999999</v>
      </c>
      <c r="AN82" s="1121">
        <v>42448.204397381545</v>
      </c>
      <c r="AO82" s="224">
        <f t="shared" si="5"/>
        <v>2.5434101806588263</v>
      </c>
      <c r="AP82" s="1124">
        <v>0.1</v>
      </c>
      <c r="AQ82" s="1124">
        <f t="shared" si="7"/>
        <v>6.3391806341729959E-2</v>
      </c>
      <c r="AR82" s="1124">
        <v>20</v>
      </c>
      <c r="AS82" s="1124">
        <f t="shared" si="4"/>
        <v>0.34971862021256112</v>
      </c>
      <c r="AT82" s="224">
        <f t="shared" si="6"/>
        <v>2690.868352712981</v>
      </c>
    </row>
    <row r="83" spans="1:46">
      <c r="A83" s="1119">
        <v>2035</v>
      </c>
      <c r="D83" s="1108" t="s">
        <v>1863</v>
      </c>
      <c r="E83" s="224" t="s">
        <v>1922</v>
      </c>
      <c r="G83" s="224" t="e">
        <v>#DIV/0!</v>
      </c>
      <c r="H83" s="224" t="e">
        <v>#DIV/0!</v>
      </c>
      <c r="I83" s="224" t="e">
        <v>#DIV/0!</v>
      </c>
      <c r="J83" s="224" t="e">
        <v>#DIV/0!</v>
      </c>
      <c r="K83" s="224" t="e">
        <v>#DIV/0!</v>
      </c>
      <c r="L83" s="224" t="e">
        <v>#DIV/0!</v>
      </c>
      <c r="M83" s="224" t="e">
        <v>#DIV/0!</v>
      </c>
      <c r="N83" s="224" t="e">
        <v>#DIV/0!</v>
      </c>
      <c r="O83" s="224" t="e">
        <v>#DIV/0!</v>
      </c>
      <c r="P83" s="224" t="e">
        <v>#DIV/0!</v>
      </c>
      <c r="Q83" s="224" t="e">
        <v>#DIV/0!</v>
      </c>
      <c r="R83" s="224" t="e">
        <v>#DIV/0!</v>
      </c>
      <c r="S83" s="224" t="e">
        <v>#DIV/0!</v>
      </c>
      <c r="T83" s="224" t="e">
        <v>#DIV/0!</v>
      </c>
      <c r="U83" s="224" t="e">
        <v>#DIV/0!</v>
      </c>
      <c r="V83" s="224" t="e">
        <v>#DIV/0!</v>
      </c>
      <c r="W83" s="224" t="e">
        <v>#DIV/0!</v>
      </c>
      <c r="X83" s="224" t="e">
        <v>#DIV/0!</v>
      </c>
      <c r="Y83" s="224" t="e">
        <v>#DIV/0!</v>
      </c>
      <c r="Z83" s="224" t="e">
        <v>#DIV/0!</v>
      </c>
      <c r="AA83" s="224" t="e">
        <v>#DIV/0!</v>
      </c>
      <c r="AB83" s="224" t="e">
        <v>#DIV/0!</v>
      </c>
      <c r="AC83" s="224" t="e">
        <v>#DIV/0!</v>
      </c>
      <c r="AD83" s="1121" t="e">
        <v>#DIV/0!</v>
      </c>
      <c r="AE83" s="224" t="e">
        <v>#DIV/0!</v>
      </c>
      <c r="AF83" s="224" t="e">
        <v>#DIV/0!</v>
      </c>
      <c r="AG83" s="224" t="e">
        <v>#DIV/0!</v>
      </c>
      <c r="AH83" s="224" t="e">
        <v>#DIV/0!</v>
      </c>
      <c r="AI83" s="224" t="e">
        <v>#DIV/0!</v>
      </c>
      <c r="AJ83" s="224" t="e">
        <v>#DIV/0!</v>
      </c>
      <c r="AK83" s="224" t="e">
        <v>#DIV/0!</v>
      </c>
      <c r="AL83" s="224" t="e">
        <v>#DIV/0!</v>
      </c>
      <c r="AM83" s="224" t="e">
        <v>#DIV/0!</v>
      </c>
      <c r="AN83" s="1121" t="e">
        <v>#DIV/0!</v>
      </c>
      <c r="AO83" s="224" t="e">
        <f t="shared" si="5"/>
        <v>#DIV/0!</v>
      </c>
      <c r="AP83" s="1124">
        <v>0.1</v>
      </c>
      <c r="AQ83" s="1124">
        <f t="shared" si="7"/>
        <v>6.3391806341729959E-2</v>
      </c>
      <c r="AR83" s="1124">
        <v>20</v>
      </c>
      <c r="AS83" s="1124" t="e">
        <f t="shared" si="4"/>
        <v>#DIV/0!</v>
      </c>
      <c r="AT83" s="224" t="e">
        <f t="shared" si="6"/>
        <v>#DIV/0!</v>
      </c>
    </row>
    <row r="84" spans="1:46">
      <c r="A84" s="1119">
        <v>2050</v>
      </c>
      <c r="D84" s="1108" t="s">
        <v>1863</v>
      </c>
      <c r="E84" s="224" t="s">
        <v>1922</v>
      </c>
      <c r="G84" s="224">
        <v>3213.1958107497685</v>
      </c>
      <c r="H84" s="224">
        <v>1762.5</v>
      </c>
      <c r="I84" s="224">
        <v>2.1146400000000001</v>
      </c>
      <c r="J84" s="224">
        <v>1.6091622779731279E-2</v>
      </c>
      <c r="K84" s="224">
        <v>2.1592041072090926E-2</v>
      </c>
      <c r="L84" s="224">
        <v>2.7233811708624812E-2</v>
      </c>
      <c r="M84" s="224">
        <v>0</v>
      </c>
      <c r="N84" s="224">
        <v>0</v>
      </c>
      <c r="O84" s="224">
        <v>0</v>
      </c>
      <c r="P84" s="224">
        <v>0</v>
      </c>
      <c r="Q84" s="224">
        <v>0</v>
      </c>
      <c r="R84" s="224">
        <v>0</v>
      </c>
      <c r="S84" s="224">
        <v>0</v>
      </c>
      <c r="T84" s="224">
        <v>0</v>
      </c>
      <c r="U84" s="224">
        <v>0</v>
      </c>
      <c r="V84" s="224">
        <v>0</v>
      </c>
      <c r="W84" s="224">
        <v>133.11707964999999</v>
      </c>
      <c r="X84" s="224">
        <v>39.962554585152823</v>
      </c>
      <c r="Y84" s="224">
        <v>2.1146400000000001</v>
      </c>
      <c r="Z84" s="224">
        <v>86.256103400000001</v>
      </c>
      <c r="AA84" s="224">
        <v>3.2183245559462561</v>
      </c>
      <c r="AB84" s="224">
        <v>4.3184082144181852</v>
      </c>
      <c r="AC84" s="224">
        <v>5.4467623417249627</v>
      </c>
      <c r="AD84" s="1121">
        <v>14.096532110677792</v>
      </c>
      <c r="AE84" s="224">
        <v>0</v>
      </c>
      <c r="AF84" s="224">
        <v>671.36198232000004</v>
      </c>
      <c r="AG84" s="224">
        <v>623.415851528384</v>
      </c>
      <c r="AH84" s="224">
        <v>0</v>
      </c>
      <c r="AI84" s="224">
        <v>18600</v>
      </c>
      <c r="AJ84" s="224">
        <v>1463.2117487400001</v>
      </c>
      <c r="AK84" s="224">
        <v>6393.2965024452897</v>
      </c>
      <c r="AL84" s="224">
        <v>6210.6</v>
      </c>
      <c r="AM84" s="224">
        <v>2210.8749600000001</v>
      </c>
      <c r="AN84" s="1121">
        <v>36172.761045033665</v>
      </c>
      <c r="AO84" s="224">
        <f t="shared" si="5"/>
        <v>1.8573590709029058</v>
      </c>
      <c r="AP84" s="1124">
        <v>0.1</v>
      </c>
      <c r="AQ84" s="1124">
        <f t="shared" si="7"/>
        <v>6.3391806341729959E-2</v>
      </c>
      <c r="AR84" s="1124">
        <v>20</v>
      </c>
      <c r="AS84" s="1124">
        <f t="shared" si="4"/>
        <v>0.25538666804706789</v>
      </c>
      <c r="AT84" s="224">
        <f t="shared" si="6"/>
        <v>2293.0566630124476</v>
      </c>
    </row>
    <row r="85" spans="1:46">
      <c r="A85" s="1119">
        <v>2017</v>
      </c>
      <c r="B85" s="1120"/>
      <c r="C85" s="1120"/>
      <c r="D85" s="1120" t="s">
        <v>524</v>
      </c>
      <c r="E85" s="1120" t="s">
        <v>1917</v>
      </c>
      <c r="F85" s="1120"/>
      <c r="G85" s="224">
        <v>11100.744038962512</v>
      </c>
      <c r="H85" s="224">
        <v>6467</v>
      </c>
      <c r="I85" s="224">
        <v>3.1680000000000001</v>
      </c>
      <c r="J85" s="224">
        <v>0.10405569828545599</v>
      </c>
      <c r="K85" s="224">
        <v>7.2810078080015786E-2</v>
      </c>
      <c r="L85" s="224">
        <v>8.5475492153009383E-2</v>
      </c>
      <c r="M85" s="224">
        <v>0</v>
      </c>
      <c r="N85" s="224">
        <v>0</v>
      </c>
      <c r="O85" s="224">
        <v>0</v>
      </c>
      <c r="P85" s="224">
        <v>0</v>
      </c>
      <c r="Q85" s="224">
        <v>0</v>
      </c>
      <c r="R85" s="224">
        <v>0</v>
      </c>
      <c r="S85" s="224">
        <v>0</v>
      </c>
      <c r="T85" s="224">
        <v>0</v>
      </c>
      <c r="U85" s="224">
        <v>0</v>
      </c>
      <c r="V85" s="224">
        <v>199.69452859999998</v>
      </c>
      <c r="W85" s="224">
        <v>0</v>
      </c>
      <c r="X85" s="224">
        <v>4.3509999999999991</v>
      </c>
      <c r="Y85" s="224">
        <v>3.1680000000000001</v>
      </c>
      <c r="Z85" s="224">
        <v>0</v>
      </c>
      <c r="AA85" s="224">
        <v>15.608354742818399</v>
      </c>
      <c r="AB85" s="224">
        <v>10.921511712002367</v>
      </c>
      <c r="AC85" s="224">
        <v>12.821323822951408</v>
      </c>
      <c r="AD85" s="1121">
        <v>13.014656704562958</v>
      </c>
      <c r="AE85" s="224">
        <v>18587.158587373709</v>
      </c>
      <c r="AF85" s="224">
        <v>0</v>
      </c>
      <c r="AG85" s="224">
        <v>261.60000000000002</v>
      </c>
      <c r="AH85" s="224">
        <v>6601.5423752813786</v>
      </c>
      <c r="AI85" s="224">
        <v>49200</v>
      </c>
      <c r="AJ85" s="224">
        <v>0</v>
      </c>
      <c r="AK85" s="224">
        <v>745.98720000000003</v>
      </c>
      <c r="AL85" s="224">
        <v>0</v>
      </c>
      <c r="AM85" s="224">
        <v>436.00000000000006</v>
      </c>
      <c r="AN85" s="1121">
        <v>75832.288162655095</v>
      </c>
      <c r="AO85" s="224">
        <f t="shared" si="5"/>
        <v>1.7148111673932152</v>
      </c>
      <c r="AP85" s="1124">
        <v>0.1</v>
      </c>
      <c r="AQ85" s="1124">
        <f>AA85*$C$4*365/1000*0.1</f>
        <v>7.5064323963351956E-2</v>
      </c>
      <c r="AR85" s="1124">
        <v>20</v>
      </c>
      <c r="AS85" s="1124">
        <f>AO85/$AO$85</f>
        <v>1</v>
      </c>
      <c r="AT85" s="224">
        <f t="shared" si="6"/>
        <v>5692.2994455238013</v>
      </c>
    </row>
    <row r="86" spans="1:46">
      <c r="A86" s="1122">
        <v>2020</v>
      </c>
      <c r="B86" s="1108"/>
      <c r="C86" s="1108"/>
      <c r="D86" s="1108" t="s">
        <v>524</v>
      </c>
      <c r="E86" s="1108" t="s">
        <v>1917</v>
      </c>
      <c r="F86" s="1108"/>
      <c r="G86" s="224" t="e">
        <v>#DIV/0!</v>
      </c>
      <c r="H86" s="224" t="e">
        <v>#DIV/0!</v>
      </c>
      <c r="I86" s="224" t="e">
        <v>#DIV/0!</v>
      </c>
      <c r="J86" s="224" t="e">
        <v>#DIV/0!</v>
      </c>
      <c r="K86" s="224" t="e">
        <v>#DIV/0!</v>
      </c>
      <c r="L86" s="224" t="e">
        <v>#DIV/0!</v>
      </c>
      <c r="M86" s="224" t="e">
        <v>#DIV/0!</v>
      </c>
      <c r="N86" s="224" t="e">
        <v>#DIV/0!</v>
      </c>
      <c r="O86" s="224" t="e">
        <v>#DIV/0!</v>
      </c>
      <c r="P86" s="224" t="e">
        <v>#DIV/0!</v>
      </c>
      <c r="Q86" s="224" t="e">
        <v>#DIV/0!</v>
      </c>
      <c r="R86" s="224" t="e">
        <v>#DIV/0!</v>
      </c>
      <c r="S86" s="224" t="e">
        <v>#DIV/0!</v>
      </c>
      <c r="T86" s="224" t="e">
        <v>#DIV/0!</v>
      </c>
      <c r="U86" s="224" t="e">
        <v>#DIV/0!</v>
      </c>
      <c r="V86" s="224" t="e">
        <v>#DIV/0!</v>
      </c>
      <c r="W86" s="224" t="e">
        <v>#DIV/0!</v>
      </c>
      <c r="X86" s="224" t="e">
        <v>#DIV/0!</v>
      </c>
      <c r="Y86" s="224" t="e">
        <v>#DIV/0!</v>
      </c>
      <c r="Z86" s="224" t="e">
        <v>#DIV/0!</v>
      </c>
      <c r="AA86" s="224" t="e">
        <v>#DIV/0!</v>
      </c>
      <c r="AB86" s="224" t="e">
        <v>#DIV/0!</v>
      </c>
      <c r="AC86" s="224" t="e">
        <v>#DIV/0!</v>
      </c>
      <c r="AD86" s="1121" t="e">
        <v>#DIV/0!</v>
      </c>
      <c r="AE86" s="224" t="e">
        <v>#DIV/0!</v>
      </c>
      <c r="AF86" s="224" t="e">
        <v>#DIV/0!</v>
      </c>
      <c r="AG86" s="224" t="e">
        <v>#DIV/0!</v>
      </c>
      <c r="AH86" s="224" t="e">
        <v>#DIV/0!</v>
      </c>
      <c r="AI86" s="224" t="e">
        <v>#DIV/0!</v>
      </c>
      <c r="AJ86" s="224" t="e">
        <v>#DIV/0!</v>
      </c>
      <c r="AK86" s="224" t="e">
        <v>#DIV/0!</v>
      </c>
      <c r="AL86" s="224" t="e">
        <v>#DIV/0!</v>
      </c>
      <c r="AM86" s="224" t="e">
        <v>#DIV/0!</v>
      </c>
      <c r="AN86" s="1121" t="e">
        <v>#DIV/0!</v>
      </c>
      <c r="AO86" s="224" t="e">
        <f t="shared" si="5"/>
        <v>#DIV/0!</v>
      </c>
      <c r="AP86" s="1124">
        <v>0.1</v>
      </c>
      <c r="AQ86" s="1124">
        <f t="shared" si="7"/>
        <v>7.5064323963351956E-2</v>
      </c>
      <c r="AR86" s="1124">
        <v>20</v>
      </c>
      <c r="AS86" s="1124" t="e">
        <f t="shared" ref="AS86:AS120" si="8">AO86/$AO$85</f>
        <v>#DIV/0!</v>
      </c>
      <c r="AT86" s="224" t="e">
        <f t="shared" si="6"/>
        <v>#DIV/0!</v>
      </c>
    </row>
    <row r="87" spans="1:46">
      <c r="A87" s="1119">
        <v>2025</v>
      </c>
      <c r="B87" s="1120"/>
      <c r="C87" s="1120"/>
      <c r="D87" s="1108" t="s">
        <v>524</v>
      </c>
      <c r="E87" s="1120" t="s">
        <v>1917</v>
      </c>
      <c r="F87" s="1120"/>
      <c r="G87" s="224" t="e">
        <v>#DIV/0!</v>
      </c>
      <c r="H87" s="224" t="e">
        <v>#DIV/0!</v>
      </c>
      <c r="I87" s="224" t="e">
        <v>#DIV/0!</v>
      </c>
      <c r="J87" s="224" t="e">
        <v>#DIV/0!</v>
      </c>
      <c r="K87" s="224" t="e">
        <v>#DIV/0!</v>
      </c>
      <c r="L87" s="224" t="e">
        <v>#DIV/0!</v>
      </c>
      <c r="M87" s="224" t="e">
        <v>#DIV/0!</v>
      </c>
      <c r="N87" s="224" t="e">
        <v>#DIV/0!</v>
      </c>
      <c r="O87" s="224" t="e">
        <v>#DIV/0!</v>
      </c>
      <c r="P87" s="224" t="e">
        <v>#DIV/0!</v>
      </c>
      <c r="Q87" s="224" t="e">
        <v>#DIV/0!</v>
      </c>
      <c r="R87" s="224" t="e">
        <v>#DIV/0!</v>
      </c>
      <c r="S87" s="224" t="e">
        <v>#DIV/0!</v>
      </c>
      <c r="T87" s="224" t="e">
        <v>#DIV/0!</v>
      </c>
      <c r="U87" s="224" t="e">
        <v>#DIV/0!</v>
      </c>
      <c r="V87" s="224" t="e">
        <v>#DIV/0!</v>
      </c>
      <c r="W87" s="224" t="e">
        <v>#DIV/0!</v>
      </c>
      <c r="X87" s="224" t="e">
        <v>#DIV/0!</v>
      </c>
      <c r="Y87" s="224" t="e">
        <v>#DIV/0!</v>
      </c>
      <c r="Z87" s="224" t="e">
        <v>#DIV/0!</v>
      </c>
      <c r="AA87" s="224" t="e">
        <v>#DIV/0!</v>
      </c>
      <c r="AB87" s="224" t="e">
        <v>#DIV/0!</v>
      </c>
      <c r="AC87" s="224" t="e">
        <v>#DIV/0!</v>
      </c>
      <c r="AD87" s="1121" t="e">
        <v>#DIV/0!</v>
      </c>
      <c r="AE87" s="224" t="e">
        <v>#DIV/0!</v>
      </c>
      <c r="AF87" s="224" t="e">
        <v>#DIV/0!</v>
      </c>
      <c r="AG87" s="224" t="e">
        <v>#DIV/0!</v>
      </c>
      <c r="AH87" s="224" t="e">
        <v>#DIV/0!</v>
      </c>
      <c r="AI87" s="224" t="e">
        <v>#DIV/0!</v>
      </c>
      <c r="AJ87" s="224" t="e">
        <v>#DIV/0!</v>
      </c>
      <c r="AK87" s="224" t="e">
        <v>#DIV/0!</v>
      </c>
      <c r="AL87" s="224" t="e">
        <v>#DIV/0!</v>
      </c>
      <c r="AM87" s="224" t="e">
        <v>#DIV/0!</v>
      </c>
      <c r="AN87" s="1121" t="e">
        <v>#DIV/0!</v>
      </c>
      <c r="AO87" s="224" t="e">
        <f t="shared" si="5"/>
        <v>#DIV/0!</v>
      </c>
      <c r="AP87" s="1124">
        <v>0.1</v>
      </c>
      <c r="AQ87" s="1124">
        <f t="shared" si="7"/>
        <v>7.5064323963351956E-2</v>
      </c>
      <c r="AR87" s="1124">
        <v>20</v>
      </c>
      <c r="AS87" s="1124" t="e">
        <f t="shared" si="8"/>
        <v>#DIV/0!</v>
      </c>
      <c r="AT87" s="224" t="e">
        <f t="shared" si="6"/>
        <v>#DIV/0!</v>
      </c>
    </row>
    <row r="88" spans="1:46">
      <c r="A88" s="1119">
        <v>2030</v>
      </c>
      <c r="B88" s="1108"/>
      <c r="C88" s="1108"/>
      <c r="D88" s="1108" t="s">
        <v>524</v>
      </c>
      <c r="E88" s="1108" t="s">
        <v>1917</v>
      </c>
      <c r="F88" s="1108"/>
      <c r="G88" s="224">
        <v>19983.69671034018</v>
      </c>
      <c r="H88" s="224">
        <v>10561.333333333334</v>
      </c>
      <c r="I88" s="224">
        <v>3.1680000000000006</v>
      </c>
      <c r="J88" s="224">
        <v>0.13569154063174957</v>
      </c>
      <c r="K88" s="224">
        <v>8.1071760632485723E-2</v>
      </c>
      <c r="L88" s="224">
        <v>9.0112530737374963E-2</v>
      </c>
      <c r="M88" s="224">
        <v>0</v>
      </c>
      <c r="N88" s="224">
        <v>0</v>
      </c>
      <c r="O88" s="224">
        <v>0</v>
      </c>
      <c r="P88" s="224">
        <v>0</v>
      </c>
      <c r="Q88" s="224">
        <v>0</v>
      </c>
      <c r="R88" s="224">
        <v>0</v>
      </c>
      <c r="S88" s="224">
        <v>0</v>
      </c>
      <c r="T88" s="224">
        <v>0</v>
      </c>
      <c r="U88" s="224">
        <v>0</v>
      </c>
      <c r="V88" s="224">
        <v>243.61868640000003</v>
      </c>
      <c r="W88" s="224">
        <v>0</v>
      </c>
      <c r="X88" s="224">
        <v>4.3964347826086954</v>
      </c>
      <c r="Y88" s="224">
        <v>3.1680000000000006</v>
      </c>
      <c r="Z88" s="224">
        <v>0</v>
      </c>
      <c r="AA88" s="224">
        <v>20.353731094762434</v>
      </c>
      <c r="AB88" s="224">
        <v>12.16076409487286</v>
      </c>
      <c r="AC88" s="224">
        <v>13.516879610606246</v>
      </c>
      <c r="AD88" s="1121">
        <v>10.668385630529594</v>
      </c>
      <c r="AE88" s="224">
        <v>23472.804954111998</v>
      </c>
      <c r="AF88" s="224">
        <v>0</v>
      </c>
      <c r="AG88" s="224">
        <v>177.6</v>
      </c>
      <c r="AH88" s="224">
        <v>7829.2983170979305</v>
      </c>
      <c r="AI88" s="224">
        <v>60400</v>
      </c>
      <c r="AJ88" s="224">
        <v>3142.5935149999991</v>
      </c>
      <c r="AK88" s="224">
        <v>4601.2931467233002</v>
      </c>
      <c r="AL88" s="224">
        <v>0</v>
      </c>
      <c r="AM88" s="224">
        <v>296</v>
      </c>
      <c r="AN88" s="1121">
        <v>99919.589932933231</v>
      </c>
      <c r="AO88" s="224">
        <f t="shared" si="5"/>
        <v>1.4056664906785792</v>
      </c>
      <c r="AP88" s="1124">
        <v>0.1</v>
      </c>
      <c r="AQ88" s="1124">
        <f t="shared" si="7"/>
        <v>7.5064323963351956E-2</v>
      </c>
      <c r="AR88" s="1124">
        <v>20</v>
      </c>
      <c r="AS88" s="1124">
        <f t="shared" si="8"/>
        <v>0.8197208633854508</v>
      </c>
      <c r="AT88" s="224">
        <f t="shared" si="6"/>
        <v>7500.3964690109806</v>
      </c>
    </row>
    <row r="89" spans="1:46">
      <c r="A89" s="1119">
        <v>2035</v>
      </c>
      <c r="B89" s="1120"/>
      <c r="C89" s="1120"/>
      <c r="D89" s="1108" t="s">
        <v>524</v>
      </c>
      <c r="E89" s="1120" t="s">
        <v>1917</v>
      </c>
      <c r="F89" s="1120"/>
      <c r="G89" s="224" t="e">
        <v>#DIV/0!</v>
      </c>
      <c r="H89" s="224" t="e">
        <v>#DIV/0!</v>
      </c>
      <c r="I89" s="224" t="e">
        <v>#DIV/0!</v>
      </c>
      <c r="J89" s="224" t="e">
        <v>#DIV/0!</v>
      </c>
      <c r="K89" s="224" t="e">
        <v>#DIV/0!</v>
      </c>
      <c r="L89" s="224" t="e">
        <v>#DIV/0!</v>
      </c>
      <c r="M89" s="224" t="e">
        <v>#DIV/0!</v>
      </c>
      <c r="N89" s="224" t="e">
        <v>#DIV/0!</v>
      </c>
      <c r="O89" s="224" t="e">
        <v>#DIV/0!</v>
      </c>
      <c r="P89" s="224" t="e">
        <v>#DIV/0!</v>
      </c>
      <c r="Q89" s="224" t="e">
        <v>#DIV/0!</v>
      </c>
      <c r="R89" s="224" t="e">
        <v>#DIV/0!</v>
      </c>
      <c r="S89" s="224" t="e">
        <v>#DIV/0!</v>
      </c>
      <c r="T89" s="224" t="e">
        <v>#DIV/0!</v>
      </c>
      <c r="U89" s="224" t="e">
        <v>#DIV/0!</v>
      </c>
      <c r="V89" s="224" t="e">
        <v>#DIV/0!</v>
      </c>
      <c r="W89" s="224" t="e">
        <v>#DIV/0!</v>
      </c>
      <c r="X89" s="224" t="e">
        <v>#DIV/0!</v>
      </c>
      <c r="Y89" s="224" t="e">
        <v>#DIV/0!</v>
      </c>
      <c r="Z89" s="224" t="e">
        <v>#DIV/0!</v>
      </c>
      <c r="AA89" s="224" t="e">
        <v>#DIV/0!</v>
      </c>
      <c r="AB89" s="224" t="e">
        <v>#DIV/0!</v>
      </c>
      <c r="AC89" s="224" t="e">
        <v>#DIV/0!</v>
      </c>
      <c r="AD89" s="1121" t="e">
        <v>#DIV/0!</v>
      </c>
      <c r="AE89" s="224" t="e">
        <v>#DIV/0!</v>
      </c>
      <c r="AF89" s="224" t="e">
        <v>#DIV/0!</v>
      </c>
      <c r="AG89" s="224" t="e">
        <v>#DIV/0!</v>
      </c>
      <c r="AH89" s="224" t="e">
        <v>#DIV/0!</v>
      </c>
      <c r="AI89" s="224" t="e">
        <v>#DIV/0!</v>
      </c>
      <c r="AJ89" s="224" t="e">
        <v>#DIV/0!</v>
      </c>
      <c r="AK89" s="224" t="e">
        <v>#DIV/0!</v>
      </c>
      <c r="AL89" s="224" t="e">
        <v>#DIV/0!</v>
      </c>
      <c r="AM89" s="224" t="e">
        <v>#DIV/0!</v>
      </c>
      <c r="AN89" s="1121" t="e">
        <v>#DIV/0!</v>
      </c>
      <c r="AO89" s="224" t="e">
        <f t="shared" si="5"/>
        <v>#DIV/0!</v>
      </c>
      <c r="AP89" s="1124">
        <v>0.1</v>
      </c>
      <c r="AQ89" s="1124">
        <f t="shared" si="7"/>
        <v>7.5064323963351956E-2</v>
      </c>
      <c r="AR89" s="1124">
        <v>20</v>
      </c>
      <c r="AS89" s="1124" t="e">
        <f t="shared" si="8"/>
        <v>#DIV/0!</v>
      </c>
      <c r="AT89" s="224" t="e">
        <f t="shared" si="6"/>
        <v>#DIV/0!</v>
      </c>
    </row>
    <row r="90" spans="1:46">
      <c r="A90" s="1119">
        <v>2050</v>
      </c>
      <c r="B90" s="1108"/>
      <c r="C90" s="1108"/>
      <c r="D90" s="1108" t="s">
        <v>524</v>
      </c>
      <c r="E90" s="1108" t="s">
        <v>1917</v>
      </c>
      <c r="F90" s="1108"/>
      <c r="G90" s="224">
        <v>19758.335932354355</v>
      </c>
      <c r="H90" s="224">
        <v>10972</v>
      </c>
      <c r="I90" s="224">
        <v>3.1680000000000006</v>
      </c>
      <c r="J90" s="224">
        <v>0.12434380992141593</v>
      </c>
      <c r="K90" s="224">
        <v>7.2348634610258963E-2</v>
      </c>
      <c r="L90" s="224">
        <v>8.1361650974030419E-2</v>
      </c>
      <c r="M90" s="224">
        <v>0</v>
      </c>
      <c r="N90" s="224">
        <v>0</v>
      </c>
      <c r="O90" s="224">
        <v>0</v>
      </c>
      <c r="P90" s="224">
        <v>0</v>
      </c>
      <c r="Q90" s="224">
        <v>0</v>
      </c>
      <c r="R90" s="224">
        <v>0</v>
      </c>
      <c r="S90" s="224">
        <v>0</v>
      </c>
      <c r="T90" s="224">
        <v>0</v>
      </c>
      <c r="U90" s="224">
        <v>0</v>
      </c>
      <c r="V90" s="224">
        <v>238.09564950000001</v>
      </c>
      <c r="W90" s="224">
        <v>0</v>
      </c>
      <c r="X90" s="224">
        <v>4.3964347826086954</v>
      </c>
      <c r="Y90" s="224">
        <v>3.1680000000000006</v>
      </c>
      <c r="Z90" s="224">
        <v>0</v>
      </c>
      <c r="AA90" s="224">
        <v>18.651571488212394</v>
      </c>
      <c r="AB90" s="224">
        <v>10.852295191538845</v>
      </c>
      <c r="AC90" s="224">
        <v>12.204247646104562</v>
      </c>
      <c r="AD90" s="1121">
        <v>9.4058561391212905</v>
      </c>
      <c r="AE90" s="224">
        <v>22859.168341531429</v>
      </c>
      <c r="AF90" s="224">
        <v>0</v>
      </c>
      <c r="AG90" s="224">
        <v>144</v>
      </c>
      <c r="AH90" s="224">
        <v>7674.9199132655167</v>
      </c>
      <c r="AI90" s="224">
        <v>60400</v>
      </c>
      <c r="AJ90" s="224">
        <v>7970.2159843600011</v>
      </c>
      <c r="AK90" s="224">
        <v>5802.3136575333883</v>
      </c>
      <c r="AL90" s="224">
        <v>0</v>
      </c>
      <c r="AM90" s="224">
        <v>240</v>
      </c>
      <c r="AN90" s="1121">
        <v>105090.61789669032</v>
      </c>
      <c r="AO90" s="224">
        <f t="shared" si="5"/>
        <v>1.2393156048906211</v>
      </c>
      <c r="AP90" s="1124">
        <v>0.1</v>
      </c>
      <c r="AQ90" s="1124">
        <f t="shared" si="7"/>
        <v>7.5064323963351956E-2</v>
      </c>
      <c r="AR90" s="1124">
        <v>20</v>
      </c>
      <c r="AS90" s="1124">
        <f t="shared" si="8"/>
        <v>0.72271258110277958</v>
      </c>
      <c r="AT90" s="224">
        <f t="shared" si="6"/>
        <v>7888.5561873059951</v>
      </c>
    </row>
    <row r="91" spans="1:46">
      <c r="A91" s="1119">
        <v>2017</v>
      </c>
      <c r="B91" s="1120"/>
      <c r="C91" s="1120"/>
      <c r="D91" s="1108" t="s">
        <v>524</v>
      </c>
      <c r="E91" s="1120" t="s">
        <v>1918</v>
      </c>
      <c r="F91" s="1120"/>
      <c r="G91" s="224">
        <v>11117.839939648044</v>
      </c>
      <c r="H91" s="224">
        <v>6467</v>
      </c>
      <c r="I91" s="224">
        <v>0.21333565440000002</v>
      </c>
      <c r="J91" s="224">
        <v>0.10601275547138236</v>
      </c>
      <c r="K91" s="224">
        <v>7.062027565247056E-2</v>
      </c>
      <c r="L91" s="224">
        <v>8.3137719405582497E-2</v>
      </c>
      <c r="M91" s="224">
        <v>0</v>
      </c>
      <c r="N91" s="224">
        <v>0</v>
      </c>
      <c r="O91" s="224">
        <v>0</v>
      </c>
      <c r="P91" s="224">
        <v>0</v>
      </c>
      <c r="Q91" s="224">
        <v>0</v>
      </c>
      <c r="R91" s="224">
        <v>0</v>
      </c>
      <c r="S91" s="224">
        <v>0</v>
      </c>
      <c r="T91" s="224">
        <v>0</v>
      </c>
      <c r="U91" s="224">
        <v>0</v>
      </c>
      <c r="V91" s="224">
        <v>199.69452859999998</v>
      </c>
      <c r="W91" s="224">
        <v>4</v>
      </c>
      <c r="X91" s="224">
        <v>6</v>
      </c>
      <c r="Y91" s="224">
        <v>0.21333565440000002</v>
      </c>
      <c r="Z91" s="224">
        <v>0</v>
      </c>
      <c r="AA91" s="224">
        <v>15.901913320707354</v>
      </c>
      <c r="AB91" s="224">
        <v>10.593041347870583</v>
      </c>
      <c r="AC91" s="224">
        <v>12.470657910837375</v>
      </c>
      <c r="AD91" s="1121">
        <v>13.019320237668857</v>
      </c>
      <c r="AE91" s="224">
        <v>18587.158587373709</v>
      </c>
      <c r="AF91" s="224">
        <v>883.35</v>
      </c>
      <c r="AG91" s="224">
        <v>289.53193070239229</v>
      </c>
      <c r="AH91" s="224">
        <v>6601.5423752813786</v>
      </c>
      <c r="AI91" s="224">
        <v>49200</v>
      </c>
      <c r="AJ91" s="224">
        <v>0</v>
      </c>
      <c r="AK91" s="224">
        <v>745.98720000000003</v>
      </c>
      <c r="AL91" s="224">
        <v>0</v>
      </c>
      <c r="AM91" s="224">
        <v>436.00000000000006</v>
      </c>
      <c r="AN91" s="1121">
        <v>76743.570093357499</v>
      </c>
      <c r="AO91" s="224">
        <f t="shared" si="5"/>
        <v>1.7154256345152485</v>
      </c>
      <c r="AP91" s="1124">
        <v>0.1</v>
      </c>
      <c r="AQ91" s="1124">
        <f t="shared" si="7"/>
        <v>7.5064323963351956E-2</v>
      </c>
      <c r="AR91" s="1124">
        <v>20</v>
      </c>
      <c r="AS91" s="1124">
        <f t="shared" si="8"/>
        <v>1.0003583293214537</v>
      </c>
      <c r="AT91" s="224">
        <f t="shared" si="6"/>
        <v>5760.7042075919962</v>
      </c>
    </row>
    <row r="92" spans="1:46">
      <c r="A92" s="1122">
        <v>2020</v>
      </c>
      <c r="D92" s="1108" t="s">
        <v>524</v>
      </c>
      <c r="E92" s="224" t="s">
        <v>1918</v>
      </c>
      <c r="G92" s="224" t="e">
        <v>#DIV/0!</v>
      </c>
      <c r="H92" s="224" t="e">
        <v>#DIV/0!</v>
      </c>
      <c r="I92" s="224" t="e">
        <v>#DIV/0!</v>
      </c>
      <c r="J92" s="224" t="e">
        <v>#DIV/0!</v>
      </c>
      <c r="K92" s="224" t="e">
        <v>#DIV/0!</v>
      </c>
      <c r="L92" s="224" t="e">
        <v>#DIV/0!</v>
      </c>
      <c r="M92" s="224" t="e">
        <v>#DIV/0!</v>
      </c>
      <c r="N92" s="224" t="e">
        <v>#DIV/0!</v>
      </c>
      <c r="O92" s="224" t="e">
        <v>#DIV/0!</v>
      </c>
      <c r="P92" s="224" t="e">
        <v>#DIV/0!</v>
      </c>
      <c r="Q92" s="224" t="e">
        <v>#DIV/0!</v>
      </c>
      <c r="R92" s="224" t="e">
        <v>#DIV/0!</v>
      </c>
      <c r="S92" s="224" t="e">
        <v>#DIV/0!</v>
      </c>
      <c r="T92" s="224" t="e">
        <v>#DIV/0!</v>
      </c>
      <c r="U92" s="224" t="e">
        <v>#DIV/0!</v>
      </c>
      <c r="V92" s="224" t="e">
        <v>#DIV/0!</v>
      </c>
      <c r="W92" s="224" t="e">
        <v>#DIV/0!</v>
      </c>
      <c r="X92" s="224" t="e">
        <v>#DIV/0!</v>
      </c>
      <c r="Y92" s="224" t="e">
        <v>#DIV/0!</v>
      </c>
      <c r="Z92" s="224" t="e">
        <v>#DIV/0!</v>
      </c>
      <c r="AA92" s="224" t="e">
        <v>#DIV/0!</v>
      </c>
      <c r="AB92" s="224" t="e">
        <v>#DIV/0!</v>
      </c>
      <c r="AC92" s="224" t="e">
        <v>#DIV/0!</v>
      </c>
      <c r="AD92" s="1121" t="e">
        <v>#DIV/0!</v>
      </c>
      <c r="AE92" s="224" t="e">
        <v>#DIV/0!</v>
      </c>
      <c r="AF92" s="224" t="e">
        <v>#DIV/0!</v>
      </c>
      <c r="AG92" s="224" t="e">
        <v>#DIV/0!</v>
      </c>
      <c r="AH92" s="224" t="e">
        <v>#DIV/0!</v>
      </c>
      <c r="AI92" s="224" t="e">
        <v>#DIV/0!</v>
      </c>
      <c r="AJ92" s="224" t="e">
        <v>#DIV/0!</v>
      </c>
      <c r="AK92" s="224" t="e">
        <v>#DIV/0!</v>
      </c>
      <c r="AL92" s="224" t="e">
        <v>#DIV/0!</v>
      </c>
      <c r="AM92" s="224" t="e">
        <v>#DIV/0!</v>
      </c>
      <c r="AN92" s="1121" t="e">
        <v>#DIV/0!</v>
      </c>
      <c r="AO92" s="224" t="e">
        <f t="shared" si="5"/>
        <v>#DIV/0!</v>
      </c>
      <c r="AP92" s="1124">
        <v>0.1</v>
      </c>
      <c r="AQ92" s="1124">
        <f t="shared" si="7"/>
        <v>7.5064323963351956E-2</v>
      </c>
      <c r="AR92" s="1124">
        <v>20</v>
      </c>
      <c r="AS92" s="1124" t="e">
        <f t="shared" si="8"/>
        <v>#DIV/0!</v>
      </c>
      <c r="AT92" s="224" t="e">
        <f t="shared" si="6"/>
        <v>#DIV/0!</v>
      </c>
    </row>
    <row r="93" spans="1:46">
      <c r="A93" s="1119">
        <v>2025</v>
      </c>
      <c r="D93" s="1108" t="s">
        <v>524</v>
      </c>
      <c r="E93" s="224" t="s">
        <v>1918</v>
      </c>
      <c r="G93" s="224" t="e">
        <v>#DIV/0!</v>
      </c>
      <c r="H93" s="224" t="e">
        <v>#DIV/0!</v>
      </c>
      <c r="I93" s="224" t="e">
        <v>#DIV/0!</v>
      </c>
      <c r="J93" s="224" t="e">
        <v>#DIV/0!</v>
      </c>
      <c r="K93" s="224" t="e">
        <v>#DIV/0!</v>
      </c>
      <c r="L93" s="224" t="e">
        <v>#DIV/0!</v>
      </c>
      <c r="M93" s="224" t="e">
        <v>#DIV/0!</v>
      </c>
      <c r="N93" s="224" t="e">
        <v>#DIV/0!</v>
      </c>
      <c r="O93" s="224" t="e">
        <v>#DIV/0!</v>
      </c>
      <c r="P93" s="224" t="e">
        <v>#DIV/0!</v>
      </c>
      <c r="Q93" s="224" t="e">
        <v>#DIV/0!</v>
      </c>
      <c r="R93" s="224" t="e">
        <v>#DIV/0!</v>
      </c>
      <c r="S93" s="224" t="e">
        <v>#DIV/0!</v>
      </c>
      <c r="T93" s="224" t="e">
        <v>#DIV/0!</v>
      </c>
      <c r="U93" s="224" t="e">
        <v>#DIV/0!</v>
      </c>
      <c r="V93" s="224" t="e">
        <v>#DIV/0!</v>
      </c>
      <c r="W93" s="224" t="e">
        <v>#DIV/0!</v>
      </c>
      <c r="X93" s="224" t="e">
        <v>#DIV/0!</v>
      </c>
      <c r="Y93" s="224" t="e">
        <v>#DIV/0!</v>
      </c>
      <c r="Z93" s="224" t="e">
        <v>#DIV/0!</v>
      </c>
      <c r="AA93" s="224" t="e">
        <v>#DIV/0!</v>
      </c>
      <c r="AB93" s="224" t="e">
        <v>#DIV/0!</v>
      </c>
      <c r="AC93" s="224" t="e">
        <v>#DIV/0!</v>
      </c>
      <c r="AD93" s="1121" t="e">
        <v>#DIV/0!</v>
      </c>
      <c r="AE93" s="224" t="e">
        <v>#DIV/0!</v>
      </c>
      <c r="AF93" s="224" t="e">
        <v>#DIV/0!</v>
      </c>
      <c r="AG93" s="224" t="e">
        <v>#DIV/0!</v>
      </c>
      <c r="AH93" s="224" t="e">
        <v>#DIV/0!</v>
      </c>
      <c r="AI93" s="224" t="e">
        <v>#DIV/0!</v>
      </c>
      <c r="AJ93" s="224" t="e">
        <v>#DIV/0!</v>
      </c>
      <c r="AK93" s="224" t="e">
        <v>#DIV/0!</v>
      </c>
      <c r="AL93" s="224" t="e">
        <v>#DIV/0!</v>
      </c>
      <c r="AM93" s="224" t="e">
        <v>#DIV/0!</v>
      </c>
      <c r="AN93" s="1121" t="e">
        <v>#DIV/0!</v>
      </c>
      <c r="AO93" s="224" t="e">
        <f t="shared" si="5"/>
        <v>#DIV/0!</v>
      </c>
      <c r="AP93" s="1124">
        <v>0.1</v>
      </c>
      <c r="AQ93" s="1124">
        <f t="shared" si="7"/>
        <v>7.5064323963351956E-2</v>
      </c>
      <c r="AR93" s="1124">
        <v>20</v>
      </c>
      <c r="AS93" s="1124" t="e">
        <f t="shared" si="8"/>
        <v>#DIV/0!</v>
      </c>
      <c r="AT93" s="224" t="e">
        <f t="shared" si="6"/>
        <v>#DIV/0!</v>
      </c>
    </row>
    <row r="94" spans="1:46">
      <c r="A94" s="1119">
        <v>2030</v>
      </c>
      <c r="D94" s="1108" t="s">
        <v>524</v>
      </c>
      <c r="E94" s="224" t="s">
        <v>1918</v>
      </c>
      <c r="G94" s="224" t="e">
        <v>#DIV/0!</v>
      </c>
      <c r="H94" s="224" t="e">
        <v>#DIV/0!</v>
      </c>
      <c r="I94" s="224" t="e">
        <v>#DIV/0!</v>
      </c>
      <c r="J94" s="224" t="e">
        <v>#DIV/0!</v>
      </c>
      <c r="K94" s="224" t="e">
        <v>#DIV/0!</v>
      </c>
      <c r="L94" s="224" t="e">
        <v>#DIV/0!</v>
      </c>
      <c r="M94" s="224" t="e">
        <v>#DIV/0!</v>
      </c>
      <c r="N94" s="224" t="e">
        <v>#DIV/0!</v>
      </c>
      <c r="O94" s="224" t="e">
        <v>#DIV/0!</v>
      </c>
      <c r="P94" s="224" t="e">
        <v>#DIV/0!</v>
      </c>
      <c r="Q94" s="224" t="e">
        <v>#DIV/0!</v>
      </c>
      <c r="R94" s="224" t="e">
        <v>#DIV/0!</v>
      </c>
      <c r="S94" s="224" t="e">
        <v>#DIV/0!</v>
      </c>
      <c r="T94" s="224" t="e">
        <v>#DIV/0!</v>
      </c>
      <c r="U94" s="224" t="e">
        <v>#DIV/0!</v>
      </c>
      <c r="V94" s="224" t="e">
        <v>#DIV/0!</v>
      </c>
      <c r="W94" s="224" t="e">
        <v>#DIV/0!</v>
      </c>
      <c r="X94" s="224" t="e">
        <v>#DIV/0!</v>
      </c>
      <c r="Y94" s="224" t="e">
        <v>#DIV/0!</v>
      </c>
      <c r="Z94" s="224" t="e">
        <v>#DIV/0!</v>
      </c>
      <c r="AA94" s="224" t="e">
        <v>#DIV/0!</v>
      </c>
      <c r="AB94" s="224" t="e">
        <v>#DIV/0!</v>
      </c>
      <c r="AC94" s="224" t="e">
        <v>#DIV/0!</v>
      </c>
      <c r="AD94" s="1121" t="e">
        <v>#DIV/0!</v>
      </c>
      <c r="AE94" s="224" t="e">
        <v>#DIV/0!</v>
      </c>
      <c r="AF94" s="224" t="e">
        <v>#DIV/0!</v>
      </c>
      <c r="AG94" s="224" t="e">
        <v>#DIV/0!</v>
      </c>
      <c r="AH94" s="224" t="e">
        <v>#DIV/0!</v>
      </c>
      <c r="AI94" s="224" t="e">
        <v>#DIV/0!</v>
      </c>
      <c r="AJ94" s="224" t="e">
        <v>#DIV/0!</v>
      </c>
      <c r="AK94" s="224" t="e">
        <v>#DIV/0!</v>
      </c>
      <c r="AL94" s="224" t="e">
        <v>#DIV/0!</v>
      </c>
      <c r="AM94" s="224" t="e">
        <v>#DIV/0!</v>
      </c>
      <c r="AN94" s="1121" t="e">
        <v>#DIV/0!</v>
      </c>
      <c r="AO94" s="224" t="e">
        <f t="shared" si="5"/>
        <v>#DIV/0!</v>
      </c>
      <c r="AP94" s="1124">
        <v>0.1</v>
      </c>
      <c r="AQ94" s="1124">
        <f t="shared" si="7"/>
        <v>7.5064323963351956E-2</v>
      </c>
      <c r="AR94" s="1124">
        <v>20</v>
      </c>
      <c r="AS94" s="1124" t="e">
        <f t="shared" si="8"/>
        <v>#DIV/0!</v>
      </c>
      <c r="AT94" s="224" t="e">
        <f t="shared" si="6"/>
        <v>#DIV/0!</v>
      </c>
    </row>
    <row r="95" spans="1:46">
      <c r="A95" s="1119">
        <v>2035</v>
      </c>
      <c r="D95" s="1108" t="s">
        <v>524</v>
      </c>
      <c r="E95" s="224" t="s">
        <v>1918</v>
      </c>
      <c r="G95" s="224" t="e">
        <v>#DIV/0!</v>
      </c>
      <c r="H95" s="224" t="e">
        <v>#DIV/0!</v>
      </c>
      <c r="I95" s="224" t="e">
        <v>#DIV/0!</v>
      </c>
      <c r="J95" s="224" t="e">
        <v>#DIV/0!</v>
      </c>
      <c r="K95" s="224" t="e">
        <v>#DIV/0!</v>
      </c>
      <c r="L95" s="224" t="e">
        <v>#DIV/0!</v>
      </c>
      <c r="M95" s="224" t="e">
        <v>#DIV/0!</v>
      </c>
      <c r="N95" s="224" t="e">
        <v>#DIV/0!</v>
      </c>
      <c r="O95" s="224" t="e">
        <v>#DIV/0!</v>
      </c>
      <c r="P95" s="224" t="e">
        <v>#DIV/0!</v>
      </c>
      <c r="Q95" s="224" t="e">
        <v>#DIV/0!</v>
      </c>
      <c r="R95" s="224" t="e">
        <v>#DIV/0!</v>
      </c>
      <c r="S95" s="224" t="e">
        <v>#DIV/0!</v>
      </c>
      <c r="T95" s="224" t="e">
        <v>#DIV/0!</v>
      </c>
      <c r="U95" s="224" t="e">
        <v>#DIV/0!</v>
      </c>
      <c r="V95" s="224" t="e">
        <v>#DIV/0!</v>
      </c>
      <c r="W95" s="224" t="e">
        <v>#DIV/0!</v>
      </c>
      <c r="X95" s="224" t="e">
        <v>#DIV/0!</v>
      </c>
      <c r="Y95" s="224" t="e">
        <v>#DIV/0!</v>
      </c>
      <c r="Z95" s="224" t="e">
        <v>#DIV/0!</v>
      </c>
      <c r="AA95" s="224" t="e">
        <v>#DIV/0!</v>
      </c>
      <c r="AB95" s="224" t="e">
        <v>#DIV/0!</v>
      </c>
      <c r="AC95" s="224" t="e">
        <v>#DIV/0!</v>
      </c>
      <c r="AD95" s="1121" t="e">
        <v>#DIV/0!</v>
      </c>
      <c r="AE95" s="224" t="e">
        <v>#DIV/0!</v>
      </c>
      <c r="AF95" s="224" t="e">
        <v>#DIV/0!</v>
      </c>
      <c r="AG95" s="224" t="e">
        <v>#DIV/0!</v>
      </c>
      <c r="AH95" s="224" t="e">
        <v>#DIV/0!</v>
      </c>
      <c r="AI95" s="224" t="e">
        <v>#DIV/0!</v>
      </c>
      <c r="AJ95" s="224" t="e">
        <v>#DIV/0!</v>
      </c>
      <c r="AK95" s="224" t="e">
        <v>#DIV/0!</v>
      </c>
      <c r="AL95" s="224" t="e">
        <v>#DIV/0!</v>
      </c>
      <c r="AM95" s="224" t="e">
        <v>#DIV/0!</v>
      </c>
      <c r="AN95" s="1121" t="e">
        <v>#DIV/0!</v>
      </c>
      <c r="AO95" s="224" t="e">
        <f t="shared" si="5"/>
        <v>#DIV/0!</v>
      </c>
      <c r="AP95" s="1124">
        <v>0.1</v>
      </c>
      <c r="AQ95" s="1124">
        <f t="shared" si="7"/>
        <v>7.5064323963351956E-2</v>
      </c>
      <c r="AR95" s="1124">
        <v>20</v>
      </c>
      <c r="AS95" s="1124" t="e">
        <f t="shared" si="8"/>
        <v>#DIV/0!</v>
      </c>
      <c r="AT95" s="224" t="e">
        <f t="shared" si="6"/>
        <v>#DIV/0!</v>
      </c>
    </row>
    <row r="96" spans="1:46">
      <c r="A96" s="1119">
        <v>2050</v>
      </c>
      <c r="D96" s="1108" t="s">
        <v>524</v>
      </c>
      <c r="E96" s="224" t="s">
        <v>1918</v>
      </c>
      <c r="G96" s="224" t="e">
        <v>#DIV/0!</v>
      </c>
      <c r="H96" s="224" t="e">
        <v>#DIV/0!</v>
      </c>
      <c r="I96" s="224" t="e">
        <v>#DIV/0!</v>
      </c>
      <c r="J96" s="224" t="e">
        <v>#DIV/0!</v>
      </c>
      <c r="K96" s="224" t="e">
        <v>#DIV/0!</v>
      </c>
      <c r="L96" s="224" t="e">
        <v>#DIV/0!</v>
      </c>
      <c r="M96" s="224" t="e">
        <v>#DIV/0!</v>
      </c>
      <c r="N96" s="224" t="e">
        <v>#DIV/0!</v>
      </c>
      <c r="O96" s="224" t="e">
        <v>#DIV/0!</v>
      </c>
      <c r="P96" s="224" t="e">
        <v>#DIV/0!</v>
      </c>
      <c r="Q96" s="224" t="e">
        <v>#DIV/0!</v>
      </c>
      <c r="R96" s="224" t="e">
        <v>#DIV/0!</v>
      </c>
      <c r="S96" s="224" t="e">
        <v>#DIV/0!</v>
      </c>
      <c r="T96" s="224" t="e">
        <v>#DIV/0!</v>
      </c>
      <c r="U96" s="224" t="e">
        <v>#DIV/0!</v>
      </c>
      <c r="V96" s="224" t="e">
        <v>#DIV/0!</v>
      </c>
      <c r="W96" s="224" t="e">
        <v>#DIV/0!</v>
      </c>
      <c r="X96" s="224" t="e">
        <v>#DIV/0!</v>
      </c>
      <c r="Y96" s="224" t="e">
        <v>#DIV/0!</v>
      </c>
      <c r="Z96" s="224" t="e">
        <v>#DIV/0!</v>
      </c>
      <c r="AA96" s="224" t="e">
        <v>#DIV/0!</v>
      </c>
      <c r="AB96" s="224" t="e">
        <v>#DIV/0!</v>
      </c>
      <c r="AC96" s="224" t="e">
        <v>#DIV/0!</v>
      </c>
      <c r="AD96" s="1121" t="e">
        <v>#DIV/0!</v>
      </c>
      <c r="AE96" s="224" t="e">
        <v>#DIV/0!</v>
      </c>
      <c r="AF96" s="224" t="e">
        <v>#DIV/0!</v>
      </c>
      <c r="AG96" s="224" t="e">
        <v>#DIV/0!</v>
      </c>
      <c r="AH96" s="224" t="e">
        <v>#DIV/0!</v>
      </c>
      <c r="AI96" s="224" t="e">
        <v>#DIV/0!</v>
      </c>
      <c r="AJ96" s="224" t="e">
        <v>#DIV/0!</v>
      </c>
      <c r="AK96" s="224" t="e">
        <v>#DIV/0!</v>
      </c>
      <c r="AL96" s="224" t="e">
        <v>#DIV/0!</v>
      </c>
      <c r="AM96" s="224" t="e">
        <v>#DIV/0!</v>
      </c>
      <c r="AN96" s="1121" t="e">
        <v>#DIV/0!</v>
      </c>
      <c r="AO96" s="224" t="e">
        <f t="shared" si="5"/>
        <v>#DIV/0!</v>
      </c>
      <c r="AP96" s="1124">
        <v>0.1</v>
      </c>
      <c r="AQ96" s="1124">
        <f t="shared" si="7"/>
        <v>7.5064323963351956E-2</v>
      </c>
      <c r="AR96" s="1124">
        <v>20</v>
      </c>
      <c r="AS96" s="1124" t="e">
        <f t="shared" si="8"/>
        <v>#DIV/0!</v>
      </c>
      <c r="AT96" s="224" t="e">
        <f t="shared" si="6"/>
        <v>#DIV/0!</v>
      </c>
    </row>
    <row r="97" spans="1:46">
      <c r="A97" s="1119">
        <v>2017</v>
      </c>
      <c r="D97" s="1108" t="s">
        <v>524</v>
      </c>
      <c r="E97" s="224" t="s">
        <v>1919</v>
      </c>
      <c r="G97" s="224">
        <v>11471.075730225295</v>
      </c>
      <c r="H97" s="224">
        <v>6467</v>
      </c>
      <c r="I97" s="224">
        <v>5.7024000000000008</v>
      </c>
      <c r="J97" s="224">
        <v>7.9321194288726846E-2</v>
      </c>
      <c r="K97" s="224">
        <v>6.9441908198748778E-2</v>
      </c>
      <c r="L97" s="224">
        <v>8.3069502211880822E-2</v>
      </c>
      <c r="M97" s="224">
        <v>0</v>
      </c>
      <c r="N97" s="224">
        <v>0</v>
      </c>
      <c r="O97" s="224">
        <v>0</v>
      </c>
      <c r="P97" s="224">
        <v>0</v>
      </c>
      <c r="Q97" s="224">
        <v>0</v>
      </c>
      <c r="R97" s="224">
        <v>0</v>
      </c>
      <c r="S97" s="224">
        <v>0</v>
      </c>
      <c r="T97" s="224">
        <v>0</v>
      </c>
      <c r="U97" s="224">
        <v>0</v>
      </c>
      <c r="V97" s="224">
        <v>150.43824429999998</v>
      </c>
      <c r="W97" s="224">
        <v>136.17875339999998</v>
      </c>
      <c r="X97" s="224">
        <v>177.50239234449759</v>
      </c>
      <c r="Y97" s="224">
        <v>5.7024000000000008</v>
      </c>
      <c r="Z97" s="224">
        <v>0</v>
      </c>
      <c r="AA97" s="224">
        <v>11.898179143309028</v>
      </c>
      <c r="AB97" s="224">
        <v>10.416286229812316</v>
      </c>
      <c r="AC97" s="224">
        <v>12.460425331782123</v>
      </c>
      <c r="AD97" s="1121">
        <v>10.843838828359436</v>
      </c>
      <c r="AE97" s="224">
        <v>13919.872726372572</v>
      </c>
      <c r="AF97" s="224">
        <v>6553.8185208599989</v>
      </c>
      <c r="AG97" s="224">
        <v>7739.1043062200952</v>
      </c>
      <c r="AH97" s="224">
        <v>7488.1619216837353</v>
      </c>
      <c r="AI97" s="224">
        <v>49200</v>
      </c>
      <c r="AJ97" s="224">
        <v>0</v>
      </c>
      <c r="AK97" s="224">
        <v>745.98720000000003</v>
      </c>
      <c r="AL97" s="224">
        <v>0</v>
      </c>
      <c r="AM97" s="224">
        <v>436.00000000000006</v>
      </c>
      <c r="AN97" s="1121">
        <v>86082.944675136416</v>
      </c>
      <c r="AO97" s="224">
        <f t="shared" si="5"/>
        <v>1.4287842040246392</v>
      </c>
      <c r="AP97" s="1124">
        <v>0.1</v>
      </c>
      <c r="AQ97" s="1124">
        <f t="shared" si="7"/>
        <v>7.5064323963351956E-2</v>
      </c>
      <c r="AR97" s="1124">
        <v>20</v>
      </c>
      <c r="AS97" s="1124">
        <f t="shared" si="8"/>
        <v>0.83320206398971486</v>
      </c>
      <c r="AT97" s="224">
        <f t="shared" si="6"/>
        <v>6461.758046813743</v>
      </c>
    </row>
    <row r="98" spans="1:46">
      <c r="A98" s="1122">
        <v>2020</v>
      </c>
      <c r="D98" s="1108" t="s">
        <v>524</v>
      </c>
      <c r="E98" s="224" t="s">
        <v>1919</v>
      </c>
      <c r="G98" s="224" t="e">
        <v>#DIV/0!</v>
      </c>
      <c r="H98" s="224" t="e">
        <v>#DIV/0!</v>
      </c>
      <c r="I98" s="224" t="e">
        <v>#DIV/0!</v>
      </c>
      <c r="J98" s="224" t="e">
        <v>#DIV/0!</v>
      </c>
      <c r="K98" s="224" t="e">
        <v>#DIV/0!</v>
      </c>
      <c r="L98" s="224" t="e">
        <v>#DIV/0!</v>
      </c>
      <c r="M98" s="224" t="e">
        <v>#DIV/0!</v>
      </c>
      <c r="N98" s="224" t="e">
        <v>#DIV/0!</v>
      </c>
      <c r="O98" s="224" t="e">
        <v>#DIV/0!</v>
      </c>
      <c r="P98" s="224" t="e">
        <v>#DIV/0!</v>
      </c>
      <c r="Q98" s="224" t="e">
        <v>#DIV/0!</v>
      </c>
      <c r="R98" s="224" t="e">
        <v>#DIV/0!</v>
      </c>
      <c r="S98" s="224" t="e">
        <v>#DIV/0!</v>
      </c>
      <c r="T98" s="224" t="e">
        <v>#DIV/0!</v>
      </c>
      <c r="U98" s="224" t="e">
        <v>#DIV/0!</v>
      </c>
      <c r="V98" s="224" t="e">
        <v>#DIV/0!</v>
      </c>
      <c r="W98" s="224" t="e">
        <v>#DIV/0!</v>
      </c>
      <c r="X98" s="224" t="e">
        <v>#DIV/0!</v>
      </c>
      <c r="Y98" s="224" t="e">
        <v>#DIV/0!</v>
      </c>
      <c r="Z98" s="224" t="e">
        <v>#DIV/0!</v>
      </c>
      <c r="AA98" s="224" t="e">
        <v>#DIV/0!</v>
      </c>
      <c r="AB98" s="224" t="e">
        <v>#DIV/0!</v>
      </c>
      <c r="AC98" s="224" t="e">
        <v>#DIV/0!</v>
      </c>
      <c r="AD98" s="1121" t="e">
        <v>#DIV/0!</v>
      </c>
      <c r="AE98" s="224" t="e">
        <v>#DIV/0!</v>
      </c>
      <c r="AF98" s="224" t="e">
        <v>#DIV/0!</v>
      </c>
      <c r="AG98" s="224" t="e">
        <v>#DIV/0!</v>
      </c>
      <c r="AH98" s="224" t="e">
        <v>#DIV/0!</v>
      </c>
      <c r="AI98" s="224" t="e">
        <v>#DIV/0!</v>
      </c>
      <c r="AJ98" s="224" t="e">
        <v>#DIV/0!</v>
      </c>
      <c r="AK98" s="224" t="e">
        <v>#DIV/0!</v>
      </c>
      <c r="AL98" s="224" t="e">
        <v>#DIV/0!</v>
      </c>
      <c r="AM98" s="224" t="e">
        <v>#DIV/0!</v>
      </c>
      <c r="AN98" s="1121" t="e">
        <v>#DIV/0!</v>
      </c>
      <c r="AO98" s="224" t="e">
        <f t="shared" si="5"/>
        <v>#DIV/0!</v>
      </c>
      <c r="AP98" s="1124">
        <v>0.1</v>
      </c>
      <c r="AQ98" s="1124">
        <f t="shared" si="7"/>
        <v>7.5064323963351956E-2</v>
      </c>
      <c r="AR98" s="1124">
        <v>20</v>
      </c>
      <c r="AS98" s="1124" t="e">
        <f t="shared" si="8"/>
        <v>#DIV/0!</v>
      </c>
      <c r="AT98" s="224" t="e">
        <f t="shared" si="6"/>
        <v>#DIV/0!</v>
      </c>
    </row>
    <row r="99" spans="1:46">
      <c r="A99" s="1119">
        <v>2025</v>
      </c>
      <c r="D99" s="1108" t="s">
        <v>524</v>
      </c>
      <c r="E99" s="224" t="s">
        <v>1919</v>
      </c>
      <c r="G99" s="224" t="e">
        <v>#DIV/0!</v>
      </c>
      <c r="H99" s="224" t="e">
        <v>#DIV/0!</v>
      </c>
      <c r="I99" s="224" t="e">
        <v>#DIV/0!</v>
      </c>
      <c r="J99" s="224" t="e">
        <v>#DIV/0!</v>
      </c>
      <c r="K99" s="224" t="e">
        <v>#DIV/0!</v>
      </c>
      <c r="L99" s="224" t="e">
        <v>#DIV/0!</v>
      </c>
      <c r="M99" s="224" t="e">
        <v>#DIV/0!</v>
      </c>
      <c r="N99" s="224" t="e">
        <v>#DIV/0!</v>
      </c>
      <c r="O99" s="224" t="e">
        <v>#DIV/0!</v>
      </c>
      <c r="P99" s="224" t="e">
        <v>#DIV/0!</v>
      </c>
      <c r="Q99" s="224" t="e">
        <v>#DIV/0!</v>
      </c>
      <c r="R99" s="224" t="e">
        <v>#DIV/0!</v>
      </c>
      <c r="S99" s="224" t="e">
        <v>#DIV/0!</v>
      </c>
      <c r="T99" s="224" t="e">
        <v>#DIV/0!</v>
      </c>
      <c r="U99" s="224" t="e">
        <v>#DIV/0!</v>
      </c>
      <c r="V99" s="224" t="e">
        <v>#DIV/0!</v>
      </c>
      <c r="W99" s="224" t="e">
        <v>#DIV/0!</v>
      </c>
      <c r="X99" s="224" t="e">
        <v>#DIV/0!</v>
      </c>
      <c r="Y99" s="224" t="e">
        <v>#DIV/0!</v>
      </c>
      <c r="Z99" s="224" t="e">
        <v>#DIV/0!</v>
      </c>
      <c r="AA99" s="224" t="e">
        <v>#DIV/0!</v>
      </c>
      <c r="AB99" s="224" t="e">
        <v>#DIV/0!</v>
      </c>
      <c r="AC99" s="224" t="e">
        <v>#DIV/0!</v>
      </c>
      <c r="AD99" s="1121" t="e">
        <v>#DIV/0!</v>
      </c>
      <c r="AE99" s="224" t="e">
        <v>#DIV/0!</v>
      </c>
      <c r="AF99" s="224" t="e">
        <v>#DIV/0!</v>
      </c>
      <c r="AG99" s="224" t="e">
        <v>#DIV/0!</v>
      </c>
      <c r="AH99" s="224" t="e">
        <v>#DIV/0!</v>
      </c>
      <c r="AI99" s="224" t="e">
        <v>#DIV/0!</v>
      </c>
      <c r="AJ99" s="224" t="e">
        <v>#DIV/0!</v>
      </c>
      <c r="AK99" s="224" t="e">
        <v>#DIV/0!</v>
      </c>
      <c r="AL99" s="224" t="e">
        <v>#DIV/0!</v>
      </c>
      <c r="AM99" s="224" t="e">
        <v>#DIV/0!</v>
      </c>
      <c r="AN99" s="1121" t="e">
        <v>#DIV/0!</v>
      </c>
      <c r="AO99" s="224" t="e">
        <f t="shared" si="5"/>
        <v>#DIV/0!</v>
      </c>
      <c r="AP99" s="1124">
        <v>0.1</v>
      </c>
      <c r="AQ99" s="1124">
        <f t="shared" si="7"/>
        <v>7.5064323963351956E-2</v>
      </c>
      <c r="AR99" s="1124">
        <v>20</v>
      </c>
      <c r="AS99" s="1124" t="e">
        <f t="shared" si="8"/>
        <v>#DIV/0!</v>
      </c>
      <c r="AT99" s="224" t="e">
        <f t="shared" si="6"/>
        <v>#DIV/0!</v>
      </c>
    </row>
    <row r="100" spans="1:46">
      <c r="A100" s="1119">
        <v>2030</v>
      </c>
      <c r="D100" s="1108" t="s">
        <v>524</v>
      </c>
      <c r="E100" s="224" t="s">
        <v>1919</v>
      </c>
      <c r="G100" s="224" t="e">
        <v>#DIV/0!</v>
      </c>
      <c r="H100" s="224" t="e">
        <v>#DIV/0!</v>
      </c>
      <c r="I100" s="224" t="e">
        <v>#DIV/0!</v>
      </c>
      <c r="J100" s="224" t="e">
        <v>#DIV/0!</v>
      </c>
      <c r="K100" s="224" t="e">
        <v>#DIV/0!</v>
      </c>
      <c r="L100" s="224" t="e">
        <v>#DIV/0!</v>
      </c>
      <c r="M100" s="224" t="e">
        <v>#DIV/0!</v>
      </c>
      <c r="N100" s="224" t="e">
        <v>#DIV/0!</v>
      </c>
      <c r="O100" s="224" t="e">
        <v>#DIV/0!</v>
      </c>
      <c r="P100" s="224" t="e">
        <v>#DIV/0!</v>
      </c>
      <c r="Q100" s="224" t="e">
        <v>#DIV/0!</v>
      </c>
      <c r="R100" s="224" t="e">
        <v>#DIV/0!</v>
      </c>
      <c r="S100" s="224" t="e">
        <v>#DIV/0!</v>
      </c>
      <c r="T100" s="224" t="e">
        <v>#DIV/0!</v>
      </c>
      <c r="U100" s="224" t="e">
        <v>#DIV/0!</v>
      </c>
      <c r="V100" s="224" t="e">
        <v>#DIV/0!</v>
      </c>
      <c r="W100" s="224" t="e">
        <v>#DIV/0!</v>
      </c>
      <c r="X100" s="224" t="e">
        <v>#DIV/0!</v>
      </c>
      <c r="Y100" s="224" t="e">
        <v>#DIV/0!</v>
      </c>
      <c r="Z100" s="224" t="e">
        <v>#DIV/0!</v>
      </c>
      <c r="AA100" s="224" t="e">
        <v>#DIV/0!</v>
      </c>
      <c r="AB100" s="224" t="e">
        <v>#DIV/0!</v>
      </c>
      <c r="AC100" s="224" t="e">
        <v>#DIV/0!</v>
      </c>
      <c r="AD100" s="1121" t="e">
        <v>#DIV/0!</v>
      </c>
      <c r="AE100" s="224" t="e">
        <v>#DIV/0!</v>
      </c>
      <c r="AF100" s="224" t="e">
        <v>#DIV/0!</v>
      </c>
      <c r="AG100" s="224" t="e">
        <v>#DIV/0!</v>
      </c>
      <c r="AH100" s="224" t="e">
        <v>#DIV/0!</v>
      </c>
      <c r="AI100" s="224" t="e">
        <v>#DIV/0!</v>
      </c>
      <c r="AJ100" s="224" t="e">
        <v>#DIV/0!</v>
      </c>
      <c r="AK100" s="224" t="e">
        <v>#DIV/0!</v>
      </c>
      <c r="AL100" s="224" t="e">
        <v>#DIV/0!</v>
      </c>
      <c r="AM100" s="224" t="e">
        <v>#DIV/0!</v>
      </c>
      <c r="AN100" s="1121" t="e">
        <v>#DIV/0!</v>
      </c>
      <c r="AO100" s="224" t="e">
        <f t="shared" si="5"/>
        <v>#DIV/0!</v>
      </c>
      <c r="AP100" s="1124">
        <v>0.1</v>
      </c>
      <c r="AQ100" s="1124">
        <f t="shared" si="7"/>
        <v>7.5064323963351956E-2</v>
      </c>
      <c r="AR100" s="1124">
        <v>20</v>
      </c>
      <c r="AS100" s="1124" t="e">
        <f t="shared" si="8"/>
        <v>#DIV/0!</v>
      </c>
      <c r="AT100" s="224" t="e">
        <f t="shared" si="6"/>
        <v>#DIV/0!</v>
      </c>
    </row>
    <row r="101" spans="1:46">
      <c r="A101" s="1119">
        <v>2035</v>
      </c>
      <c r="D101" s="1108" t="s">
        <v>524</v>
      </c>
      <c r="E101" s="224" t="s">
        <v>1919</v>
      </c>
      <c r="G101" s="224" t="e">
        <v>#DIV/0!</v>
      </c>
      <c r="H101" s="224" t="e">
        <v>#DIV/0!</v>
      </c>
      <c r="I101" s="224" t="e">
        <v>#DIV/0!</v>
      </c>
      <c r="J101" s="224" t="e">
        <v>#DIV/0!</v>
      </c>
      <c r="K101" s="224" t="e">
        <v>#DIV/0!</v>
      </c>
      <c r="L101" s="224" t="e">
        <v>#DIV/0!</v>
      </c>
      <c r="M101" s="224" t="e">
        <v>#DIV/0!</v>
      </c>
      <c r="N101" s="224" t="e">
        <v>#DIV/0!</v>
      </c>
      <c r="O101" s="224" t="e">
        <v>#DIV/0!</v>
      </c>
      <c r="P101" s="224" t="e">
        <v>#DIV/0!</v>
      </c>
      <c r="Q101" s="224" t="e">
        <v>#DIV/0!</v>
      </c>
      <c r="R101" s="224" t="e">
        <v>#DIV/0!</v>
      </c>
      <c r="S101" s="224" t="e">
        <v>#DIV/0!</v>
      </c>
      <c r="T101" s="224" t="e">
        <v>#DIV/0!</v>
      </c>
      <c r="U101" s="224" t="e">
        <v>#DIV/0!</v>
      </c>
      <c r="V101" s="224" t="e">
        <v>#DIV/0!</v>
      </c>
      <c r="W101" s="224" t="e">
        <v>#DIV/0!</v>
      </c>
      <c r="X101" s="224" t="e">
        <v>#DIV/0!</v>
      </c>
      <c r="Y101" s="224" t="e">
        <v>#DIV/0!</v>
      </c>
      <c r="Z101" s="224" t="e">
        <v>#DIV/0!</v>
      </c>
      <c r="AA101" s="224" t="e">
        <v>#DIV/0!</v>
      </c>
      <c r="AB101" s="224" t="e">
        <v>#DIV/0!</v>
      </c>
      <c r="AC101" s="224" t="e">
        <v>#DIV/0!</v>
      </c>
      <c r="AD101" s="1121" t="e">
        <v>#DIV/0!</v>
      </c>
      <c r="AE101" s="224" t="e">
        <v>#DIV/0!</v>
      </c>
      <c r="AF101" s="224" t="e">
        <v>#DIV/0!</v>
      </c>
      <c r="AG101" s="224" t="e">
        <v>#DIV/0!</v>
      </c>
      <c r="AH101" s="224" t="e">
        <v>#DIV/0!</v>
      </c>
      <c r="AI101" s="224" t="e">
        <v>#DIV/0!</v>
      </c>
      <c r="AJ101" s="224" t="e">
        <v>#DIV/0!</v>
      </c>
      <c r="AK101" s="224" t="e">
        <v>#DIV/0!</v>
      </c>
      <c r="AL101" s="224" t="e">
        <v>#DIV/0!</v>
      </c>
      <c r="AM101" s="224" t="e">
        <v>#DIV/0!</v>
      </c>
      <c r="AN101" s="1121" t="e">
        <v>#DIV/0!</v>
      </c>
      <c r="AO101" s="224" t="e">
        <f t="shared" si="5"/>
        <v>#DIV/0!</v>
      </c>
      <c r="AP101" s="1124">
        <v>0.1</v>
      </c>
      <c r="AQ101" s="1124">
        <f t="shared" si="7"/>
        <v>7.5064323963351956E-2</v>
      </c>
      <c r="AR101" s="1124">
        <v>20</v>
      </c>
      <c r="AS101" s="1124" t="e">
        <f t="shared" si="8"/>
        <v>#DIV/0!</v>
      </c>
      <c r="AT101" s="224" t="e">
        <f t="shared" si="6"/>
        <v>#DIV/0!</v>
      </c>
    </row>
    <row r="102" spans="1:46">
      <c r="A102" s="1119">
        <v>2050</v>
      </c>
      <c r="D102" s="1108" t="s">
        <v>524</v>
      </c>
      <c r="E102" s="224" t="s">
        <v>1919</v>
      </c>
      <c r="G102" s="224" t="e">
        <v>#DIV/0!</v>
      </c>
      <c r="H102" s="224" t="e">
        <v>#DIV/0!</v>
      </c>
      <c r="I102" s="224" t="e">
        <v>#DIV/0!</v>
      </c>
      <c r="J102" s="224" t="e">
        <v>#DIV/0!</v>
      </c>
      <c r="K102" s="224" t="e">
        <v>#DIV/0!</v>
      </c>
      <c r="L102" s="224" t="e">
        <v>#DIV/0!</v>
      </c>
      <c r="M102" s="224" t="e">
        <v>#DIV/0!</v>
      </c>
      <c r="N102" s="224" t="e">
        <v>#DIV/0!</v>
      </c>
      <c r="O102" s="224" t="e">
        <v>#DIV/0!</v>
      </c>
      <c r="P102" s="224" t="e">
        <v>#DIV/0!</v>
      </c>
      <c r="Q102" s="224" t="e">
        <v>#DIV/0!</v>
      </c>
      <c r="R102" s="224" t="e">
        <v>#DIV/0!</v>
      </c>
      <c r="S102" s="224" t="e">
        <v>#DIV/0!</v>
      </c>
      <c r="T102" s="224" t="e">
        <v>#DIV/0!</v>
      </c>
      <c r="U102" s="224" t="e">
        <v>#DIV/0!</v>
      </c>
      <c r="V102" s="224" t="e">
        <v>#DIV/0!</v>
      </c>
      <c r="W102" s="224" t="e">
        <v>#DIV/0!</v>
      </c>
      <c r="X102" s="224" t="e">
        <v>#DIV/0!</v>
      </c>
      <c r="Y102" s="224" t="e">
        <v>#DIV/0!</v>
      </c>
      <c r="Z102" s="224" t="e">
        <v>#DIV/0!</v>
      </c>
      <c r="AA102" s="224" t="e">
        <v>#DIV/0!</v>
      </c>
      <c r="AB102" s="224" t="e">
        <v>#DIV/0!</v>
      </c>
      <c r="AC102" s="224" t="e">
        <v>#DIV/0!</v>
      </c>
      <c r="AD102" s="1121" t="e">
        <v>#DIV/0!</v>
      </c>
      <c r="AE102" s="224" t="e">
        <v>#DIV/0!</v>
      </c>
      <c r="AF102" s="224" t="e">
        <v>#DIV/0!</v>
      </c>
      <c r="AG102" s="224" t="e">
        <v>#DIV/0!</v>
      </c>
      <c r="AH102" s="224" t="e">
        <v>#DIV/0!</v>
      </c>
      <c r="AI102" s="224" t="e">
        <v>#DIV/0!</v>
      </c>
      <c r="AJ102" s="224" t="e">
        <v>#DIV/0!</v>
      </c>
      <c r="AK102" s="224" t="e">
        <v>#DIV/0!</v>
      </c>
      <c r="AL102" s="224" t="e">
        <v>#DIV/0!</v>
      </c>
      <c r="AM102" s="224" t="e">
        <v>#DIV/0!</v>
      </c>
      <c r="AN102" s="1121" t="e">
        <v>#DIV/0!</v>
      </c>
      <c r="AO102" s="224" t="e">
        <f t="shared" si="5"/>
        <v>#DIV/0!</v>
      </c>
      <c r="AP102" s="1124">
        <v>0.1</v>
      </c>
      <c r="AQ102" s="1124">
        <f t="shared" si="7"/>
        <v>7.5064323963351956E-2</v>
      </c>
      <c r="AR102" s="1124">
        <v>20</v>
      </c>
      <c r="AS102" s="1124" t="e">
        <f t="shared" si="8"/>
        <v>#DIV/0!</v>
      </c>
      <c r="AT102" s="224" t="e">
        <f t="shared" si="6"/>
        <v>#DIV/0!</v>
      </c>
    </row>
    <row r="103" spans="1:46">
      <c r="A103" s="1119">
        <v>2017</v>
      </c>
      <c r="D103" s="1108" t="s">
        <v>524</v>
      </c>
      <c r="E103" s="224" t="s">
        <v>1920</v>
      </c>
      <c r="G103" s="224">
        <v>12136.886811206423</v>
      </c>
      <c r="H103" s="224">
        <v>6467</v>
      </c>
      <c r="I103" s="224">
        <v>130.33125000000001</v>
      </c>
      <c r="J103" s="224">
        <v>8.0740653958544142E-2</v>
      </c>
      <c r="K103" s="224">
        <v>8.698750505864862E-2</v>
      </c>
      <c r="L103" s="224">
        <v>0.1032815704359101</v>
      </c>
      <c r="M103" s="224">
        <v>2.7344512737575603E-2</v>
      </c>
      <c r="N103" s="224">
        <v>2.9532150215869652E-2</v>
      </c>
      <c r="O103" s="224">
        <v>3.4748586175006139E-2</v>
      </c>
      <c r="P103" s="224">
        <v>-15.898569795509976</v>
      </c>
      <c r="Q103" s="224">
        <v>-26.631251222353725</v>
      </c>
      <c r="R103" s="224">
        <v>-51.02235619069549</v>
      </c>
      <c r="S103" s="224">
        <v>1029.6874684724169</v>
      </c>
      <c r="T103" s="224">
        <v>1112.0653451081409</v>
      </c>
      <c r="U103" s="224">
        <v>1308.4959338979254</v>
      </c>
      <c r="V103" s="224">
        <v>120</v>
      </c>
      <c r="W103" s="224">
        <v>217.28667060000001</v>
      </c>
      <c r="X103" s="224">
        <v>325.93000589999997</v>
      </c>
      <c r="Y103" s="224">
        <v>130.20712499999999</v>
      </c>
      <c r="Z103" s="224">
        <v>0</v>
      </c>
      <c r="AA103" s="224">
        <v>6.0347069664040882</v>
      </c>
      <c r="AB103" s="224">
        <v>6.9941406824851295</v>
      </c>
      <c r="AC103" s="224">
        <v>9.3550550472690883</v>
      </c>
      <c r="AD103" s="1121">
        <v>4.154041672855513</v>
      </c>
      <c r="AE103" s="224">
        <v>11392.582857142856</v>
      </c>
      <c r="AF103" s="224">
        <v>10033.348168740002</v>
      </c>
      <c r="AG103" s="224">
        <v>74085.249982500012</v>
      </c>
      <c r="AH103" s="224">
        <v>0</v>
      </c>
      <c r="AI103" s="224">
        <v>49200</v>
      </c>
      <c r="AJ103" s="224">
        <v>0</v>
      </c>
      <c r="AK103" s="224">
        <v>745.98720000000003</v>
      </c>
      <c r="AL103" s="224">
        <v>0</v>
      </c>
      <c r="AM103" s="224">
        <v>436.00000000000006</v>
      </c>
      <c r="AN103" s="1121">
        <v>145893.16820838288</v>
      </c>
      <c r="AO103" s="224">
        <f t="shared" si="5"/>
        <v>0.54733653081544231</v>
      </c>
      <c r="AP103" s="1124">
        <v>0.1</v>
      </c>
      <c r="AQ103" s="1124">
        <f t="shared" si="7"/>
        <v>7.5064323963351956E-2</v>
      </c>
      <c r="AR103" s="1124">
        <v>20</v>
      </c>
      <c r="AS103" s="1124">
        <f t="shared" si="8"/>
        <v>0.31918180918280387</v>
      </c>
      <c r="AT103" s="224">
        <f t="shared" si="6"/>
        <v>10951.372042433853</v>
      </c>
    </row>
    <row r="104" spans="1:46">
      <c r="A104" s="1122">
        <v>2020</v>
      </c>
      <c r="D104" s="1108" t="s">
        <v>524</v>
      </c>
      <c r="E104" s="224" t="s">
        <v>1920</v>
      </c>
      <c r="G104" s="224" t="e">
        <v>#DIV/0!</v>
      </c>
      <c r="H104" s="224" t="e">
        <v>#DIV/0!</v>
      </c>
      <c r="I104" s="224" t="e">
        <v>#DIV/0!</v>
      </c>
      <c r="J104" s="224" t="e">
        <v>#DIV/0!</v>
      </c>
      <c r="K104" s="224" t="e">
        <v>#DIV/0!</v>
      </c>
      <c r="L104" s="224" t="e">
        <v>#DIV/0!</v>
      </c>
      <c r="M104" s="224" t="e">
        <v>#DIV/0!</v>
      </c>
      <c r="N104" s="224" t="e">
        <v>#DIV/0!</v>
      </c>
      <c r="O104" s="224" t="e">
        <v>#DIV/0!</v>
      </c>
      <c r="P104" s="224" t="e">
        <v>#DIV/0!</v>
      </c>
      <c r="Q104" s="224" t="e">
        <v>#DIV/0!</v>
      </c>
      <c r="R104" s="224" t="e">
        <v>#DIV/0!</v>
      </c>
      <c r="S104" s="224" t="e">
        <v>#DIV/0!</v>
      </c>
      <c r="T104" s="224" t="e">
        <v>#DIV/0!</v>
      </c>
      <c r="U104" s="224" t="e">
        <v>#DIV/0!</v>
      </c>
      <c r="V104" s="224" t="e">
        <v>#DIV/0!</v>
      </c>
      <c r="W104" s="224" t="e">
        <v>#DIV/0!</v>
      </c>
      <c r="X104" s="224" t="e">
        <v>#DIV/0!</v>
      </c>
      <c r="Y104" s="224" t="e">
        <v>#DIV/0!</v>
      </c>
      <c r="Z104" s="224" t="e">
        <v>#DIV/0!</v>
      </c>
      <c r="AA104" s="224" t="e">
        <v>#DIV/0!</v>
      </c>
      <c r="AB104" s="224" t="e">
        <v>#DIV/0!</v>
      </c>
      <c r="AC104" s="224" t="e">
        <v>#DIV/0!</v>
      </c>
      <c r="AD104" s="1121" t="e">
        <v>#DIV/0!</v>
      </c>
      <c r="AE104" s="224" t="e">
        <v>#DIV/0!</v>
      </c>
      <c r="AF104" s="224" t="e">
        <v>#DIV/0!</v>
      </c>
      <c r="AG104" s="224" t="e">
        <v>#DIV/0!</v>
      </c>
      <c r="AH104" s="224" t="e">
        <v>#DIV/0!</v>
      </c>
      <c r="AI104" s="224" t="e">
        <v>#DIV/0!</v>
      </c>
      <c r="AJ104" s="224" t="e">
        <v>#DIV/0!</v>
      </c>
      <c r="AK104" s="224" t="e">
        <v>#DIV/0!</v>
      </c>
      <c r="AL104" s="224" t="e">
        <v>#DIV/0!</v>
      </c>
      <c r="AM104" s="224" t="e">
        <v>#DIV/0!</v>
      </c>
      <c r="AN104" s="1121" t="e">
        <v>#DIV/0!</v>
      </c>
      <c r="AO104" s="224" t="e">
        <f t="shared" si="5"/>
        <v>#DIV/0!</v>
      </c>
      <c r="AP104" s="1124">
        <v>0.1</v>
      </c>
      <c r="AQ104" s="1124">
        <f t="shared" si="7"/>
        <v>7.5064323963351956E-2</v>
      </c>
      <c r="AR104" s="1124">
        <v>20</v>
      </c>
      <c r="AS104" s="1124" t="e">
        <f t="shared" si="8"/>
        <v>#DIV/0!</v>
      </c>
      <c r="AT104" s="224" t="e">
        <f t="shared" si="6"/>
        <v>#DIV/0!</v>
      </c>
    </row>
    <row r="105" spans="1:46">
      <c r="A105" s="1119">
        <v>2025</v>
      </c>
      <c r="D105" s="1108" t="s">
        <v>524</v>
      </c>
      <c r="E105" s="224" t="s">
        <v>1920</v>
      </c>
      <c r="G105" s="224" t="e">
        <v>#DIV/0!</v>
      </c>
      <c r="H105" s="224" t="e">
        <v>#DIV/0!</v>
      </c>
      <c r="I105" s="224" t="e">
        <v>#DIV/0!</v>
      </c>
      <c r="J105" s="224" t="e">
        <v>#DIV/0!</v>
      </c>
      <c r="K105" s="224" t="e">
        <v>#DIV/0!</v>
      </c>
      <c r="L105" s="224" t="e">
        <v>#DIV/0!</v>
      </c>
      <c r="M105" s="224" t="e">
        <v>#DIV/0!</v>
      </c>
      <c r="N105" s="224" t="e">
        <v>#DIV/0!</v>
      </c>
      <c r="O105" s="224" t="e">
        <v>#DIV/0!</v>
      </c>
      <c r="P105" s="224" t="e">
        <v>#DIV/0!</v>
      </c>
      <c r="Q105" s="224" t="e">
        <v>#DIV/0!</v>
      </c>
      <c r="R105" s="224" t="e">
        <v>#DIV/0!</v>
      </c>
      <c r="S105" s="224" t="e">
        <v>#DIV/0!</v>
      </c>
      <c r="T105" s="224" t="e">
        <v>#DIV/0!</v>
      </c>
      <c r="U105" s="224" t="e">
        <v>#DIV/0!</v>
      </c>
      <c r="V105" s="224" t="e">
        <v>#DIV/0!</v>
      </c>
      <c r="W105" s="224" t="e">
        <v>#DIV/0!</v>
      </c>
      <c r="X105" s="224" t="e">
        <v>#DIV/0!</v>
      </c>
      <c r="Y105" s="224" t="e">
        <v>#DIV/0!</v>
      </c>
      <c r="Z105" s="224" t="e">
        <v>#DIV/0!</v>
      </c>
      <c r="AA105" s="224" t="e">
        <v>#DIV/0!</v>
      </c>
      <c r="AB105" s="224" t="e">
        <v>#DIV/0!</v>
      </c>
      <c r="AC105" s="224" t="e">
        <v>#DIV/0!</v>
      </c>
      <c r="AD105" s="1121" t="e">
        <v>#DIV/0!</v>
      </c>
      <c r="AE105" s="224" t="e">
        <v>#DIV/0!</v>
      </c>
      <c r="AF105" s="224" t="e">
        <v>#DIV/0!</v>
      </c>
      <c r="AG105" s="224" t="e">
        <v>#DIV/0!</v>
      </c>
      <c r="AH105" s="224" t="e">
        <v>#DIV/0!</v>
      </c>
      <c r="AI105" s="224" t="e">
        <v>#DIV/0!</v>
      </c>
      <c r="AJ105" s="224" t="e">
        <v>#DIV/0!</v>
      </c>
      <c r="AK105" s="224" t="e">
        <v>#DIV/0!</v>
      </c>
      <c r="AL105" s="224" t="e">
        <v>#DIV/0!</v>
      </c>
      <c r="AM105" s="224" t="e">
        <v>#DIV/0!</v>
      </c>
      <c r="AN105" s="1121" t="e">
        <v>#DIV/0!</v>
      </c>
      <c r="AO105" s="224" t="e">
        <f t="shared" si="5"/>
        <v>#DIV/0!</v>
      </c>
      <c r="AP105" s="1124">
        <v>0.1</v>
      </c>
      <c r="AQ105" s="1124">
        <f t="shared" si="7"/>
        <v>7.5064323963351956E-2</v>
      </c>
      <c r="AR105" s="1124">
        <v>20</v>
      </c>
      <c r="AS105" s="1124" t="e">
        <f t="shared" si="8"/>
        <v>#DIV/0!</v>
      </c>
      <c r="AT105" s="224" t="e">
        <f t="shared" si="6"/>
        <v>#DIV/0!</v>
      </c>
    </row>
    <row r="106" spans="1:46">
      <c r="A106" s="1119">
        <v>2030</v>
      </c>
      <c r="D106" s="1108" t="s">
        <v>524</v>
      </c>
      <c r="E106" s="224" t="s">
        <v>1920</v>
      </c>
      <c r="G106" s="224" t="e">
        <v>#DIV/0!</v>
      </c>
      <c r="H106" s="224" t="e">
        <v>#DIV/0!</v>
      </c>
      <c r="I106" s="224" t="e">
        <v>#DIV/0!</v>
      </c>
      <c r="J106" s="224" t="e">
        <v>#DIV/0!</v>
      </c>
      <c r="K106" s="224" t="e">
        <v>#DIV/0!</v>
      </c>
      <c r="L106" s="224" t="e">
        <v>#DIV/0!</v>
      </c>
      <c r="M106" s="224" t="e">
        <v>#DIV/0!</v>
      </c>
      <c r="N106" s="224" t="e">
        <v>#DIV/0!</v>
      </c>
      <c r="O106" s="224" t="e">
        <v>#DIV/0!</v>
      </c>
      <c r="P106" s="224" t="e">
        <v>#DIV/0!</v>
      </c>
      <c r="Q106" s="224" t="e">
        <v>#DIV/0!</v>
      </c>
      <c r="R106" s="224" t="e">
        <v>#DIV/0!</v>
      </c>
      <c r="S106" s="224" t="e">
        <v>#DIV/0!</v>
      </c>
      <c r="T106" s="224" t="e">
        <v>#DIV/0!</v>
      </c>
      <c r="U106" s="224" t="e">
        <v>#DIV/0!</v>
      </c>
      <c r="V106" s="224" t="e">
        <v>#DIV/0!</v>
      </c>
      <c r="W106" s="224" t="e">
        <v>#DIV/0!</v>
      </c>
      <c r="X106" s="224" t="e">
        <v>#DIV/0!</v>
      </c>
      <c r="Y106" s="224" t="e">
        <v>#DIV/0!</v>
      </c>
      <c r="Z106" s="224" t="e">
        <v>#DIV/0!</v>
      </c>
      <c r="AA106" s="224" t="e">
        <v>#DIV/0!</v>
      </c>
      <c r="AB106" s="224" t="e">
        <v>#DIV/0!</v>
      </c>
      <c r="AC106" s="224" t="e">
        <v>#DIV/0!</v>
      </c>
      <c r="AD106" s="1121" t="e">
        <v>#DIV/0!</v>
      </c>
      <c r="AE106" s="224" t="e">
        <v>#DIV/0!</v>
      </c>
      <c r="AF106" s="224" t="e">
        <v>#DIV/0!</v>
      </c>
      <c r="AG106" s="224" t="e">
        <v>#DIV/0!</v>
      </c>
      <c r="AH106" s="224" t="e">
        <v>#DIV/0!</v>
      </c>
      <c r="AI106" s="224" t="e">
        <v>#DIV/0!</v>
      </c>
      <c r="AJ106" s="224" t="e">
        <v>#DIV/0!</v>
      </c>
      <c r="AK106" s="224" t="e">
        <v>#DIV/0!</v>
      </c>
      <c r="AL106" s="224" t="e">
        <v>#DIV/0!</v>
      </c>
      <c r="AM106" s="224" t="e">
        <v>#DIV/0!</v>
      </c>
      <c r="AN106" s="1121" t="e">
        <v>#DIV/0!</v>
      </c>
      <c r="AO106" s="224" t="e">
        <f t="shared" si="5"/>
        <v>#DIV/0!</v>
      </c>
      <c r="AP106" s="1124">
        <v>0.1</v>
      </c>
      <c r="AQ106" s="1124">
        <f t="shared" si="7"/>
        <v>7.5064323963351956E-2</v>
      </c>
      <c r="AR106" s="1124">
        <v>20</v>
      </c>
      <c r="AS106" s="1124" t="e">
        <f t="shared" si="8"/>
        <v>#DIV/0!</v>
      </c>
      <c r="AT106" s="224" t="e">
        <f t="shared" si="6"/>
        <v>#DIV/0!</v>
      </c>
    </row>
    <row r="107" spans="1:46">
      <c r="A107" s="1119">
        <v>2035</v>
      </c>
      <c r="D107" s="1108" t="s">
        <v>524</v>
      </c>
      <c r="E107" s="224" t="s">
        <v>1920</v>
      </c>
      <c r="G107" s="224" t="e">
        <v>#DIV/0!</v>
      </c>
      <c r="H107" s="224" t="e">
        <v>#DIV/0!</v>
      </c>
      <c r="I107" s="224" t="e">
        <v>#DIV/0!</v>
      </c>
      <c r="J107" s="224" t="e">
        <v>#DIV/0!</v>
      </c>
      <c r="K107" s="224" t="e">
        <v>#DIV/0!</v>
      </c>
      <c r="L107" s="224" t="e">
        <v>#DIV/0!</v>
      </c>
      <c r="M107" s="224" t="e">
        <v>#DIV/0!</v>
      </c>
      <c r="N107" s="224" t="e">
        <v>#DIV/0!</v>
      </c>
      <c r="O107" s="224" t="e">
        <v>#DIV/0!</v>
      </c>
      <c r="P107" s="224" t="e">
        <v>#DIV/0!</v>
      </c>
      <c r="Q107" s="224" t="e">
        <v>#DIV/0!</v>
      </c>
      <c r="R107" s="224" t="e">
        <v>#DIV/0!</v>
      </c>
      <c r="S107" s="224" t="e">
        <v>#DIV/0!</v>
      </c>
      <c r="T107" s="224" t="e">
        <v>#DIV/0!</v>
      </c>
      <c r="U107" s="224" t="e">
        <v>#DIV/0!</v>
      </c>
      <c r="V107" s="224" t="e">
        <v>#DIV/0!</v>
      </c>
      <c r="W107" s="224" t="e">
        <v>#DIV/0!</v>
      </c>
      <c r="X107" s="224" t="e">
        <v>#DIV/0!</v>
      </c>
      <c r="Y107" s="224" t="e">
        <v>#DIV/0!</v>
      </c>
      <c r="Z107" s="224" t="e">
        <v>#DIV/0!</v>
      </c>
      <c r="AA107" s="224" t="e">
        <v>#DIV/0!</v>
      </c>
      <c r="AB107" s="224" t="e">
        <v>#DIV/0!</v>
      </c>
      <c r="AC107" s="224" t="e">
        <v>#DIV/0!</v>
      </c>
      <c r="AD107" s="1121" t="e">
        <v>#DIV/0!</v>
      </c>
      <c r="AE107" s="224" t="e">
        <v>#DIV/0!</v>
      </c>
      <c r="AF107" s="224" t="e">
        <v>#DIV/0!</v>
      </c>
      <c r="AG107" s="224" t="e">
        <v>#DIV/0!</v>
      </c>
      <c r="AH107" s="224" t="e">
        <v>#DIV/0!</v>
      </c>
      <c r="AI107" s="224" t="e">
        <v>#DIV/0!</v>
      </c>
      <c r="AJ107" s="224" t="e">
        <v>#DIV/0!</v>
      </c>
      <c r="AK107" s="224" t="e">
        <v>#DIV/0!</v>
      </c>
      <c r="AL107" s="224" t="e">
        <v>#DIV/0!</v>
      </c>
      <c r="AM107" s="224" t="e">
        <v>#DIV/0!</v>
      </c>
      <c r="AN107" s="1121" t="e">
        <v>#DIV/0!</v>
      </c>
      <c r="AO107" s="224" t="e">
        <f t="shared" si="5"/>
        <v>#DIV/0!</v>
      </c>
      <c r="AP107" s="1124">
        <v>0.1</v>
      </c>
      <c r="AQ107" s="1124">
        <f t="shared" si="7"/>
        <v>7.5064323963351956E-2</v>
      </c>
      <c r="AR107" s="1124">
        <v>20</v>
      </c>
      <c r="AS107" s="1124" t="e">
        <f t="shared" si="8"/>
        <v>#DIV/0!</v>
      </c>
      <c r="AT107" s="224" t="e">
        <f t="shared" si="6"/>
        <v>#DIV/0!</v>
      </c>
    </row>
    <row r="108" spans="1:46">
      <c r="A108" s="1119">
        <v>2050</v>
      </c>
      <c r="D108" s="1108" t="s">
        <v>524</v>
      </c>
      <c r="E108" s="224" t="s">
        <v>1920</v>
      </c>
      <c r="G108" s="224" t="e">
        <v>#DIV/0!</v>
      </c>
      <c r="H108" s="224" t="e">
        <v>#DIV/0!</v>
      </c>
      <c r="I108" s="224" t="e">
        <v>#DIV/0!</v>
      </c>
      <c r="J108" s="224" t="e">
        <v>#DIV/0!</v>
      </c>
      <c r="K108" s="224" t="e">
        <v>#DIV/0!</v>
      </c>
      <c r="L108" s="224" t="e">
        <v>#DIV/0!</v>
      </c>
      <c r="M108" s="224" t="e">
        <v>#DIV/0!</v>
      </c>
      <c r="N108" s="224" t="e">
        <v>#DIV/0!</v>
      </c>
      <c r="O108" s="224" t="e">
        <v>#DIV/0!</v>
      </c>
      <c r="P108" s="224" t="e">
        <v>#DIV/0!</v>
      </c>
      <c r="Q108" s="224" t="e">
        <v>#DIV/0!</v>
      </c>
      <c r="R108" s="224" t="e">
        <v>#DIV/0!</v>
      </c>
      <c r="S108" s="224" t="e">
        <v>#DIV/0!</v>
      </c>
      <c r="T108" s="224" t="e">
        <v>#DIV/0!</v>
      </c>
      <c r="U108" s="224" t="e">
        <v>#DIV/0!</v>
      </c>
      <c r="V108" s="224" t="e">
        <v>#DIV/0!</v>
      </c>
      <c r="W108" s="224" t="e">
        <v>#DIV/0!</v>
      </c>
      <c r="X108" s="224" t="e">
        <v>#DIV/0!</v>
      </c>
      <c r="Y108" s="224" t="e">
        <v>#DIV/0!</v>
      </c>
      <c r="Z108" s="224" t="e">
        <v>#DIV/0!</v>
      </c>
      <c r="AA108" s="224" t="e">
        <v>#DIV/0!</v>
      </c>
      <c r="AB108" s="224" t="e">
        <v>#DIV/0!</v>
      </c>
      <c r="AC108" s="224" t="e">
        <v>#DIV/0!</v>
      </c>
      <c r="AD108" s="1121" t="e">
        <v>#DIV/0!</v>
      </c>
      <c r="AE108" s="224" t="e">
        <v>#DIV/0!</v>
      </c>
      <c r="AF108" s="224" t="e">
        <v>#DIV/0!</v>
      </c>
      <c r="AG108" s="224" t="e">
        <v>#DIV/0!</v>
      </c>
      <c r="AH108" s="224" t="e">
        <v>#DIV/0!</v>
      </c>
      <c r="AI108" s="224" t="e">
        <v>#DIV/0!</v>
      </c>
      <c r="AJ108" s="224" t="e">
        <v>#DIV/0!</v>
      </c>
      <c r="AK108" s="224" t="e">
        <v>#DIV/0!</v>
      </c>
      <c r="AL108" s="224" t="e">
        <v>#DIV/0!</v>
      </c>
      <c r="AM108" s="224" t="e">
        <v>#DIV/0!</v>
      </c>
      <c r="AN108" s="1121" t="e">
        <v>#DIV/0!</v>
      </c>
      <c r="AO108" s="224" t="e">
        <f t="shared" si="5"/>
        <v>#DIV/0!</v>
      </c>
      <c r="AP108" s="1124">
        <v>0.1</v>
      </c>
      <c r="AQ108" s="1124">
        <f t="shared" si="7"/>
        <v>7.5064323963351956E-2</v>
      </c>
      <c r="AR108" s="1124">
        <v>20</v>
      </c>
      <c r="AS108" s="1124" t="e">
        <f t="shared" si="8"/>
        <v>#DIV/0!</v>
      </c>
      <c r="AT108" s="224" t="e">
        <f t="shared" si="6"/>
        <v>#DIV/0!</v>
      </c>
    </row>
    <row r="109" spans="1:46">
      <c r="A109" s="1119">
        <v>2017</v>
      </c>
      <c r="D109" s="1108" t="s">
        <v>524</v>
      </c>
      <c r="E109" s="224" t="s">
        <v>1921</v>
      </c>
      <c r="G109" s="224">
        <v>11756.477403045001</v>
      </c>
      <c r="H109" s="224">
        <v>6467</v>
      </c>
      <c r="I109" s="224">
        <v>246.76050000000001</v>
      </c>
      <c r="J109" s="224">
        <v>0</v>
      </c>
      <c r="K109" s="224">
        <v>0</v>
      </c>
      <c r="L109" s="224">
        <v>0</v>
      </c>
      <c r="M109" s="224">
        <v>0</v>
      </c>
      <c r="N109" s="224">
        <v>0</v>
      </c>
      <c r="O109" s="224">
        <v>0</v>
      </c>
      <c r="P109" s="224">
        <v>0</v>
      </c>
      <c r="Q109" s="224">
        <v>0</v>
      </c>
      <c r="R109" s="224">
        <v>0</v>
      </c>
      <c r="S109" s="224">
        <v>997.18847575030054</v>
      </c>
      <c r="T109" s="224">
        <v>1214.0059118469787</v>
      </c>
      <c r="U109" s="224">
        <v>1424.5495672153872</v>
      </c>
      <c r="V109" s="224">
        <v>0</v>
      </c>
      <c r="W109" s="224">
        <v>182.69018549999998</v>
      </c>
      <c r="X109" s="224">
        <v>274.03527824999998</v>
      </c>
      <c r="Y109" s="224">
        <v>246.76050000000001</v>
      </c>
      <c r="Z109" s="224">
        <v>0</v>
      </c>
      <c r="AA109" s="224">
        <v>3.9728624531884487</v>
      </c>
      <c r="AB109" s="224">
        <v>4.8366769396293972</v>
      </c>
      <c r="AC109" s="224">
        <v>5.6754962837266421</v>
      </c>
      <c r="AD109" s="1121">
        <v>4.2757003381458514</v>
      </c>
      <c r="AE109" s="224">
        <v>0</v>
      </c>
      <c r="AF109" s="224">
        <v>8549.1589579499978</v>
      </c>
      <c r="AG109" s="224">
        <v>140401.78928999999</v>
      </c>
      <c r="AH109" s="224">
        <v>0</v>
      </c>
      <c r="AI109" s="224">
        <v>49200</v>
      </c>
      <c r="AJ109" s="224">
        <v>0</v>
      </c>
      <c r="AK109" s="224">
        <v>745.98720000000003</v>
      </c>
      <c r="AL109" s="224">
        <v>0</v>
      </c>
      <c r="AM109" s="224">
        <v>0</v>
      </c>
      <c r="AN109" s="1121">
        <v>198896.93544795</v>
      </c>
      <c r="AO109" s="224">
        <f t="shared" si="5"/>
        <v>0.56336627655409732</v>
      </c>
      <c r="AP109" s="1124">
        <v>0.1</v>
      </c>
      <c r="AQ109" s="1124">
        <f t="shared" si="7"/>
        <v>7.5064323963351956E-2</v>
      </c>
      <c r="AR109" s="1124">
        <v>20</v>
      </c>
      <c r="AS109" s="1124">
        <f t="shared" si="8"/>
        <v>0.32852962895646604</v>
      </c>
      <c r="AT109" s="224">
        <f t="shared" si="6"/>
        <v>14930.063997782821</v>
      </c>
    </row>
    <row r="110" spans="1:46">
      <c r="A110" s="1122">
        <v>2020</v>
      </c>
      <c r="D110" s="1108" t="s">
        <v>524</v>
      </c>
      <c r="E110" s="224" t="s">
        <v>1921</v>
      </c>
      <c r="G110" s="224" t="e">
        <v>#DIV/0!</v>
      </c>
      <c r="H110" s="224" t="e">
        <v>#DIV/0!</v>
      </c>
      <c r="I110" s="224" t="e">
        <v>#DIV/0!</v>
      </c>
      <c r="J110" s="224" t="e">
        <v>#DIV/0!</v>
      </c>
      <c r="K110" s="224" t="e">
        <v>#DIV/0!</v>
      </c>
      <c r="L110" s="224" t="e">
        <v>#DIV/0!</v>
      </c>
      <c r="M110" s="224" t="e">
        <v>#DIV/0!</v>
      </c>
      <c r="N110" s="224" t="e">
        <v>#DIV/0!</v>
      </c>
      <c r="O110" s="224" t="e">
        <v>#DIV/0!</v>
      </c>
      <c r="P110" s="224" t="e">
        <v>#DIV/0!</v>
      </c>
      <c r="Q110" s="224" t="e">
        <v>#DIV/0!</v>
      </c>
      <c r="R110" s="224" t="e">
        <v>#DIV/0!</v>
      </c>
      <c r="S110" s="224" t="e">
        <v>#DIV/0!</v>
      </c>
      <c r="T110" s="224" t="e">
        <v>#DIV/0!</v>
      </c>
      <c r="U110" s="224" t="e">
        <v>#DIV/0!</v>
      </c>
      <c r="V110" s="224" t="e">
        <v>#DIV/0!</v>
      </c>
      <c r="W110" s="224" t="e">
        <v>#DIV/0!</v>
      </c>
      <c r="X110" s="224" t="e">
        <v>#DIV/0!</v>
      </c>
      <c r="Y110" s="224" t="e">
        <v>#DIV/0!</v>
      </c>
      <c r="Z110" s="224" t="e">
        <v>#DIV/0!</v>
      </c>
      <c r="AA110" s="224" t="e">
        <v>#DIV/0!</v>
      </c>
      <c r="AB110" s="224" t="e">
        <v>#DIV/0!</v>
      </c>
      <c r="AC110" s="224" t="e">
        <v>#DIV/0!</v>
      </c>
      <c r="AD110" s="1121" t="e">
        <v>#DIV/0!</v>
      </c>
      <c r="AE110" s="224" t="e">
        <v>#DIV/0!</v>
      </c>
      <c r="AF110" s="224" t="e">
        <v>#DIV/0!</v>
      </c>
      <c r="AG110" s="224" t="e">
        <v>#DIV/0!</v>
      </c>
      <c r="AH110" s="224" t="e">
        <v>#DIV/0!</v>
      </c>
      <c r="AI110" s="224" t="e">
        <v>#DIV/0!</v>
      </c>
      <c r="AJ110" s="224" t="e">
        <v>#DIV/0!</v>
      </c>
      <c r="AK110" s="224" t="e">
        <v>#DIV/0!</v>
      </c>
      <c r="AL110" s="224" t="e">
        <v>#DIV/0!</v>
      </c>
      <c r="AM110" s="224" t="e">
        <v>#DIV/0!</v>
      </c>
      <c r="AN110" s="1121" t="e">
        <v>#DIV/0!</v>
      </c>
      <c r="AO110" s="224" t="e">
        <f t="shared" si="5"/>
        <v>#DIV/0!</v>
      </c>
      <c r="AP110" s="1124">
        <v>0.1</v>
      </c>
      <c r="AQ110" s="1124">
        <f t="shared" si="7"/>
        <v>7.5064323963351956E-2</v>
      </c>
      <c r="AR110" s="1124">
        <v>20</v>
      </c>
      <c r="AS110" s="1124" t="e">
        <f t="shared" ref="AS110:AS114" si="9">AO110/$AO$229</f>
        <v>#DIV/0!</v>
      </c>
      <c r="AT110" s="224" t="e">
        <f t="shared" si="6"/>
        <v>#DIV/0!</v>
      </c>
    </row>
    <row r="111" spans="1:46">
      <c r="A111" s="1119">
        <v>2025</v>
      </c>
      <c r="D111" s="1108" t="s">
        <v>524</v>
      </c>
      <c r="E111" s="224" t="s">
        <v>1921</v>
      </c>
      <c r="G111" s="224" t="e">
        <v>#DIV/0!</v>
      </c>
      <c r="H111" s="224" t="e">
        <v>#DIV/0!</v>
      </c>
      <c r="I111" s="224" t="e">
        <v>#DIV/0!</v>
      </c>
      <c r="J111" s="224" t="e">
        <v>#DIV/0!</v>
      </c>
      <c r="K111" s="224" t="e">
        <v>#DIV/0!</v>
      </c>
      <c r="L111" s="224" t="e">
        <v>#DIV/0!</v>
      </c>
      <c r="M111" s="224" t="e">
        <v>#DIV/0!</v>
      </c>
      <c r="N111" s="224" t="e">
        <v>#DIV/0!</v>
      </c>
      <c r="O111" s="224" t="e">
        <v>#DIV/0!</v>
      </c>
      <c r="P111" s="224" t="e">
        <v>#DIV/0!</v>
      </c>
      <c r="Q111" s="224" t="e">
        <v>#DIV/0!</v>
      </c>
      <c r="R111" s="224" t="e">
        <v>#DIV/0!</v>
      </c>
      <c r="S111" s="224" t="e">
        <v>#DIV/0!</v>
      </c>
      <c r="T111" s="224" t="e">
        <v>#DIV/0!</v>
      </c>
      <c r="U111" s="224" t="e">
        <v>#DIV/0!</v>
      </c>
      <c r="V111" s="224" t="e">
        <v>#DIV/0!</v>
      </c>
      <c r="W111" s="224" t="e">
        <v>#DIV/0!</v>
      </c>
      <c r="X111" s="224" t="e">
        <v>#DIV/0!</v>
      </c>
      <c r="Y111" s="224" t="e">
        <v>#DIV/0!</v>
      </c>
      <c r="Z111" s="224" t="e">
        <v>#DIV/0!</v>
      </c>
      <c r="AA111" s="224" t="e">
        <v>#DIV/0!</v>
      </c>
      <c r="AB111" s="224" t="e">
        <v>#DIV/0!</v>
      </c>
      <c r="AC111" s="224" t="e">
        <v>#DIV/0!</v>
      </c>
      <c r="AD111" s="1121" t="e">
        <v>#DIV/0!</v>
      </c>
      <c r="AE111" s="224" t="e">
        <v>#DIV/0!</v>
      </c>
      <c r="AF111" s="224" t="e">
        <v>#DIV/0!</v>
      </c>
      <c r="AG111" s="224" t="e">
        <v>#DIV/0!</v>
      </c>
      <c r="AH111" s="224" t="e">
        <v>#DIV/0!</v>
      </c>
      <c r="AI111" s="224" t="e">
        <v>#DIV/0!</v>
      </c>
      <c r="AJ111" s="224" t="e">
        <v>#DIV/0!</v>
      </c>
      <c r="AK111" s="224" t="e">
        <v>#DIV/0!</v>
      </c>
      <c r="AL111" s="224" t="e">
        <v>#DIV/0!</v>
      </c>
      <c r="AM111" s="224" t="e">
        <v>#DIV/0!</v>
      </c>
      <c r="AN111" s="1121" t="e">
        <v>#DIV/0!</v>
      </c>
      <c r="AO111" s="224" t="e">
        <f t="shared" si="5"/>
        <v>#DIV/0!</v>
      </c>
      <c r="AP111" s="1124">
        <v>0.1</v>
      </c>
      <c r="AQ111" s="1124">
        <f t="shared" si="7"/>
        <v>7.5064323963351956E-2</v>
      </c>
      <c r="AR111" s="1124">
        <v>20</v>
      </c>
      <c r="AS111" s="1124" t="e">
        <f t="shared" si="9"/>
        <v>#DIV/0!</v>
      </c>
      <c r="AT111" s="224" t="e">
        <f t="shared" si="6"/>
        <v>#DIV/0!</v>
      </c>
    </row>
    <row r="112" spans="1:46">
      <c r="A112" s="1119">
        <v>2030</v>
      </c>
      <c r="D112" s="1108" t="s">
        <v>524</v>
      </c>
      <c r="E112" s="224" t="s">
        <v>1921</v>
      </c>
      <c r="G112" s="224">
        <v>11756.477403045001</v>
      </c>
      <c r="H112" s="224">
        <v>6467</v>
      </c>
      <c r="I112" s="224">
        <v>246.76050000000001</v>
      </c>
      <c r="J112" s="224">
        <v>0</v>
      </c>
      <c r="K112" s="224">
        <v>0</v>
      </c>
      <c r="L112" s="224">
        <v>0</v>
      </c>
      <c r="M112" s="224">
        <v>0</v>
      </c>
      <c r="N112" s="224">
        <v>0</v>
      </c>
      <c r="O112" s="224">
        <v>0</v>
      </c>
      <c r="P112" s="224">
        <v>0</v>
      </c>
      <c r="Q112" s="224">
        <v>0</v>
      </c>
      <c r="R112" s="224">
        <v>0</v>
      </c>
      <c r="S112" s="224">
        <v>997.18847575030054</v>
      </c>
      <c r="T112" s="224">
        <v>1214.0059118469787</v>
      </c>
      <c r="U112" s="224">
        <v>1424.5495672153872</v>
      </c>
      <c r="V112" s="224">
        <v>0</v>
      </c>
      <c r="W112" s="224">
        <v>182.69018549999998</v>
      </c>
      <c r="X112" s="224">
        <v>274.03527824999998</v>
      </c>
      <c r="Y112" s="224">
        <v>246.76050000000001</v>
      </c>
      <c r="Z112" s="224">
        <v>0</v>
      </c>
      <c r="AA112" s="224">
        <v>3.9728624531884487</v>
      </c>
      <c r="AB112" s="224">
        <v>4.8366769396293972</v>
      </c>
      <c r="AC112" s="224">
        <v>5.6754962837266421</v>
      </c>
      <c r="AD112" s="224">
        <v>4.2757003381458514</v>
      </c>
      <c r="AE112" s="224">
        <v>0</v>
      </c>
      <c r="AF112" s="224">
        <v>1140.3468928799998</v>
      </c>
      <c r="AG112" s="224">
        <v>43715.815737476747</v>
      </c>
      <c r="AH112" s="224">
        <v>0</v>
      </c>
      <c r="AI112" s="224">
        <v>57600</v>
      </c>
      <c r="AJ112" s="224">
        <v>0</v>
      </c>
      <c r="AK112" s="224">
        <v>6130.1750326299316</v>
      </c>
      <c r="AL112" s="224">
        <v>0</v>
      </c>
      <c r="AM112" s="224">
        <v>0</v>
      </c>
      <c r="AN112" s="1121">
        <v>108586.33766298668</v>
      </c>
      <c r="AO112" s="224">
        <f t="shared" si="5"/>
        <v>0.56336627655409732</v>
      </c>
      <c r="AP112" s="1124">
        <v>0.1</v>
      </c>
      <c r="AQ112" s="1124">
        <f t="shared" si="7"/>
        <v>7.5064323963351956E-2</v>
      </c>
      <c r="AR112" s="1124">
        <v>20</v>
      </c>
      <c r="AS112" s="1124">
        <f t="shared" si="9"/>
        <v>0.2596817207332125</v>
      </c>
      <c r="AT112" s="224">
        <f t="shared" si="6"/>
        <v>8150.960028328358</v>
      </c>
    </row>
    <row r="113" spans="1:46">
      <c r="A113" s="1119">
        <v>2035</v>
      </c>
      <c r="D113" s="1108" t="s">
        <v>524</v>
      </c>
      <c r="E113" s="224" t="s">
        <v>1921</v>
      </c>
      <c r="G113" s="224" t="e">
        <v>#DIV/0!</v>
      </c>
      <c r="H113" s="224" t="e">
        <v>#DIV/0!</v>
      </c>
      <c r="I113" s="224" t="e">
        <v>#DIV/0!</v>
      </c>
      <c r="J113" s="224" t="e">
        <v>#DIV/0!</v>
      </c>
      <c r="K113" s="224" t="e">
        <v>#DIV/0!</v>
      </c>
      <c r="L113" s="224" t="e">
        <v>#DIV/0!</v>
      </c>
      <c r="M113" s="224" t="e">
        <v>#DIV/0!</v>
      </c>
      <c r="N113" s="224" t="e">
        <v>#DIV/0!</v>
      </c>
      <c r="O113" s="224" t="e">
        <v>#DIV/0!</v>
      </c>
      <c r="P113" s="224" t="e">
        <v>#DIV/0!</v>
      </c>
      <c r="Q113" s="224" t="e">
        <v>#DIV/0!</v>
      </c>
      <c r="R113" s="224" t="e">
        <v>#DIV/0!</v>
      </c>
      <c r="S113" s="224" t="e">
        <v>#DIV/0!</v>
      </c>
      <c r="T113" s="224" t="e">
        <v>#DIV/0!</v>
      </c>
      <c r="U113" s="224" t="e">
        <v>#DIV/0!</v>
      </c>
      <c r="V113" s="224" t="e">
        <v>#DIV/0!</v>
      </c>
      <c r="W113" s="224" t="e">
        <v>#DIV/0!</v>
      </c>
      <c r="X113" s="224" t="e">
        <v>#DIV/0!</v>
      </c>
      <c r="Y113" s="224" t="e">
        <v>#DIV/0!</v>
      </c>
      <c r="Z113" s="224" t="e">
        <v>#DIV/0!</v>
      </c>
      <c r="AA113" s="224" t="e">
        <v>#DIV/0!</v>
      </c>
      <c r="AB113" s="224" t="e">
        <v>#DIV/0!</v>
      </c>
      <c r="AC113" s="224" t="e">
        <v>#DIV/0!</v>
      </c>
      <c r="AD113" s="224" t="e">
        <v>#DIV/0!</v>
      </c>
      <c r="AE113" s="224" t="e">
        <v>#DIV/0!</v>
      </c>
      <c r="AF113" s="224" t="e">
        <v>#DIV/0!</v>
      </c>
      <c r="AG113" s="224" t="e">
        <v>#DIV/0!</v>
      </c>
      <c r="AH113" s="224" t="e">
        <v>#DIV/0!</v>
      </c>
      <c r="AI113" s="224" t="e">
        <v>#DIV/0!</v>
      </c>
      <c r="AJ113" s="224" t="e">
        <v>#DIV/0!</v>
      </c>
      <c r="AK113" s="224" t="e">
        <v>#DIV/0!</v>
      </c>
      <c r="AL113" s="224" t="e">
        <v>#DIV/0!</v>
      </c>
      <c r="AM113" s="224" t="e">
        <v>#DIV/0!</v>
      </c>
      <c r="AN113" s="1121" t="e">
        <v>#DIV/0!</v>
      </c>
      <c r="AO113" s="224" t="e">
        <f t="shared" si="5"/>
        <v>#DIV/0!</v>
      </c>
      <c r="AP113" s="1124">
        <v>0.1</v>
      </c>
      <c r="AQ113" s="1124">
        <f t="shared" si="7"/>
        <v>7.5064323963351956E-2</v>
      </c>
      <c r="AR113" s="1124">
        <v>20</v>
      </c>
      <c r="AS113" s="1124" t="e">
        <f t="shared" si="9"/>
        <v>#DIV/0!</v>
      </c>
      <c r="AT113" s="224" t="e">
        <f t="shared" si="6"/>
        <v>#DIV/0!</v>
      </c>
    </row>
    <row r="114" spans="1:46">
      <c r="A114" s="1119">
        <v>2050</v>
      </c>
      <c r="D114" s="1108" t="s">
        <v>524</v>
      </c>
      <c r="E114" s="224" t="s">
        <v>1921</v>
      </c>
      <c r="G114" s="224">
        <v>11756.477403045001</v>
      </c>
      <c r="H114" s="224">
        <v>6467</v>
      </c>
      <c r="I114" s="224">
        <v>246.76050000000001</v>
      </c>
      <c r="J114" s="224">
        <v>0</v>
      </c>
      <c r="K114" s="224">
        <v>0</v>
      </c>
      <c r="L114" s="224">
        <v>0</v>
      </c>
      <c r="M114" s="224">
        <v>0</v>
      </c>
      <c r="N114" s="224">
        <v>0</v>
      </c>
      <c r="O114" s="224">
        <v>0</v>
      </c>
      <c r="P114" s="224">
        <v>0</v>
      </c>
      <c r="Q114" s="224">
        <v>0</v>
      </c>
      <c r="R114" s="224">
        <v>0</v>
      </c>
      <c r="S114" s="224">
        <v>997.18847575030054</v>
      </c>
      <c r="T114" s="224">
        <v>1214.0059118469787</v>
      </c>
      <c r="U114" s="224">
        <v>1424.5495672153872</v>
      </c>
      <c r="V114" s="224">
        <v>0</v>
      </c>
      <c r="W114" s="224">
        <v>182.69018549999998</v>
      </c>
      <c r="X114" s="224">
        <v>274.03527824999998</v>
      </c>
      <c r="Y114" s="224">
        <v>246.76050000000001</v>
      </c>
      <c r="Z114" s="224">
        <v>0</v>
      </c>
      <c r="AA114" s="224">
        <v>3.9728624531884487</v>
      </c>
      <c r="AB114" s="224">
        <v>4.8366769396293972</v>
      </c>
      <c r="AC114" s="224">
        <v>5.6754962837266421</v>
      </c>
      <c r="AD114" s="224">
        <v>4.2757003381458514</v>
      </c>
      <c r="AE114" s="224">
        <v>0</v>
      </c>
      <c r="AF114" s="224">
        <v>988.2068971462412</v>
      </c>
      <c r="AG114" s="224">
        <v>23630.812211455206</v>
      </c>
      <c r="AH114" s="224">
        <v>0</v>
      </c>
      <c r="AI114" s="224">
        <v>57600</v>
      </c>
      <c r="AJ114" s="224">
        <v>0</v>
      </c>
      <c r="AK114" s="224">
        <v>9732.9821475917834</v>
      </c>
      <c r="AL114" s="224">
        <v>0</v>
      </c>
      <c r="AM114" s="224">
        <v>0</v>
      </c>
      <c r="AN114" s="1121">
        <v>91952.001256193224</v>
      </c>
      <c r="AO114" s="224">
        <f t="shared" si="5"/>
        <v>0.56336627655409732</v>
      </c>
      <c r="AP114" s="1124">
        <v>0.1</v>
      </c>
      <c r="AQ114" s="1124">
        <f t="shared" si="7"/>
        <v>7.5064323963351956E-2</v>
      </c>
      <c r="AR114" s="1124">
        <v>20</v>
      </c>
      <c r="AS114" s="1124">
        <f t="shared" si="9"/>
        <v>0.2596817207332125</v>
      </c>
      <c r="AT114" s="224">
        <f t="shared" si="6"/>
        <v>6902.3148113734342</v>
      </c>
    </row>
    <row r="115" spans="1:46">
      <c r="A115" s="1119">
        <v>2017</v>
      </c>
      <c r="D115" s="1108" t="s">
        <v>524</v>
      </c>
      <c r="E115" s="224" t="s">
        <v>1922</v>
      </c>
      <c r="G115" s="224">
        <v>11434.671917506445</v>
      </c>
      <c r="H115" s="224">
        <v>6467</v>
      </c>
      <c r="I115" s="224">
        <v>7.5398400000000008</v>
      </c>
      <c r="J115" s="224">
        <v>5.4084760276697438E-2</v>
      </c>
      <c r="K115" s="224">
        <v>5.785690340535847E-2</v>
      </c>
      <c r="L115" s="224">
        <v>7.2171923072217078E-2</v>
      </c>
      <c r="M115" s="224">
        <v>0</v>
      </c>
      <c r="N115" s="224">
        <v>0</v>
      </c>
      <c r="O115" s="224">
        <v>0</v>
      </c>
      <c r="P115" s="224">
        <v>0</v>
      </c>
      <c r="Q115" s="224">
        <v>0</v>
      </c>
      <c r="R115" s="224">
        <v>0</v>
      </c>
      <c r="S115" s="224">
        <v>0</v>
      </c>
      <c r="T115" s="224">
        <v>0</v>
      </c>
      <c r="U115" s="224">
        <v>0</v>
      </c>
      <c r="V115" s="224">
        <v>0</v>
      </c>
      <c r="W115" s="224">
        <v>195.38714780000001</v>
      </c>
      <c r="X115" s="224">
        <v>234.69760765550237</v>
      </c>
      <c r="Y115" s="224">
        <v>7.5398400000000008</v>
      </c>
      <c r="Z115" s="224">
        <v>127.2717193</v>
      </c>
      <c r="AA115" s="224">
        <v>8.1127140415046153</v>
      </c>
      <c r="AB115" s="224">
        <v>8.6785355108037709</v>
      </c>
      <c r="AC115" s="224">
        <v>10.825788460832563</v>
      </c>
      <c r="AD115" s="1121">
        <v>8.1240944812822207</v>
      </c>
      <c r="AE115" s="224">
        <v>0</v>
      </c>
      <c r="AF115" s="224">
        <v>9093.8586406200011</v>
      </c>
      <c r="AG115" s="224">
        <v>10232.815693779903</v>
      </c>
      <c r="AH115" s="224">
        <v>0</v>
      </c>
      <c r="AI115" s="224">
        <v>49200</v>
      </c>
      <c r="AJ115" s="224">
        <v>0</v>
      </c>
      <c r="AK115" s="224">
        <v>745.98720000000003</v>
      </c>
      <c r="AL115" s="224">
        <v>61040</v>
      </c>
      <c r="AM115" s="224">
        <v>11135.552487999999</v>
      </c>
      <c r="AN115" s="1121">
        <v>141448.21402239992</v>
      </c>
      <c r="AO115" s="224">
        <f t="shared" si="5"/>
        <v>1.0704306888537454</v>
      </c>
      <c r="AP115" s="1124">
        <v>0.1</v>
      </c>
      <c r="AQ115" s="1124">
        <f t="shared" si="7"/>
        <v>7.5064323963351956E-2</v>
      </c>
      <c r="AR115" s="1124">
        <v>20</v>
      </c>
      <c r="AS115" s="1124">
        <f>AO115/$AO$85</f>
        <v>0.62422656745405369</v>
      </c>
      <c r="AT115" s="224">
        <f t="shared" si="6"/>
        <v>10617.71456141497</v>
      </c>
    </row>
    <row r="116" spans="1:46">
      <c r="A116" s="1122">
        <v>2020</v>
      </c>
      <c r="D116" s="1108" t="s">
        <v>524</v>
      </c>
      <c r="E116" s="224" t="s">
        <v>1922</v>
      </c>
      <c r="G116" s="224" t="e">
        <v>#DIV/0!</v>
      </c>
      <c r="H116" s="224" t="e">
        <v>#DIV/0!</v>
      </c>
      <c r="I116" s="224" t="e">
        <v>#DIV/0!</v>
      </c>
      <c r="J116" s="224" t="e">
        <v>#DIV/0!</v>
      </c>
      <c r="K116" s="224" t="e">
        <v>#DIV/0!</v>
      </c>
      <c r="L116" s="224" t="e">
        <v>#DIV/0!</v>
      </c>
      <c r="M116" s="224" t="e">
        <v>#DIV/0!</v>
      </c>
      <c r="N116" s="224" t="e">
        <v>#DIV/0!</v>
      </c>
      <c r="O116" s="224" t="e">
        <v>#DIV/0!</v>
      </c>
      <c r="P116" s="224" t="e">
        <v>#DIV/0!</v>
      </c>
      <c r="Q116" s="224" t="e">
        <v>#DIV/0!</v>
      </c>
      <c r="R116" s="224" t="e">
        <v>#DIV/0!</v>
      </c>
      <c r="S116" s="224" t="e">
        <v>#DIV/0!</v>
      </c>
      <c r="T116" s="224" t="e">
        <v>#DIV/0!</v>
      </c>
      <c r="U116" s="224" t="e">
        <v>#DIV/0!</v>
      </c>
      <c r="V116" s="224" t="e">
        <v>#DIV/0!</v>
      </c>
      <c r="W116" s="224" t="e">
        <v>#DIV/0!</v>
      </c>
      <c r="X116" s="224" t="e">
        <v>#DIV/0!</v>
      </c>
      <c r="Y116" s="224" t="e">
        <v>#DIV/0!</v>
      </c>
      <c r="Z116" s="224" t="e">
        <v>#DIV/0!</v>
      </c>
      <c r="AA116" s="224" t="e">
        <v>#DIV/0!</v>
      </c>
      <c r="AB116" s="224" t="e">
        <v>#DIV/0!</v>
      </c>
      <c r="AC116" s="224" t="e">
        <v>#DIV/0!</v>
      </c>
      <c r="AD116" s="1121" t="e">
        <v>#DIV/0!</v>
      </c>
      <c r="AE116" s="224" t="e">
        <v>#DIV/0!</v>
      </c>
      <c r="AF116" s="224" t="e">
        <v>#DIV/0!</v>
      </c>
      <c r="AG116" s="224" t="e">
        <v>#DIV/0!</v>
      </c>
      <c r="AH116" s="224" t="e">
        <v>#DIV/0!</v>
      </c>
      <c r="AI116" s="224" t="e">
        <v>#DIV/0!</v>
      </c>
      <c r="AJ116" s="224" t="e">
        <v>#DIV/0!</v>
      </c>
      <c r="AK116" s="224" t="e">
        <v>#DIV/0!</v>
      </c>
      <c r="AL116" s="224" t="e">
        <v>#DIV/0!</v>
      </c>
      <c r="AM116" s="224" t="e">
        <v>#DIV/0!</v>
      </c>
      <c r="AN116" s="1121" t="e">
        <v>#DIV/0!</v>
      </c>
      <c r="AO116" s="224" t="e">
        <f t="shared" si="5"/>
        <v>#DIV/0!</v>
      </c>
      <c r="AP116" s="1124">
        <v>0.1</v>
      </c>
      <c r="AQ116" s="1124">
        <f t="shared" si="7"/>
        <v>7.5064323963351956E-2</v>
      </c>
      <c r="AR116" s="1124">
        <v>20</v>
      </c>
      <c r="AS116" s="1124" t="e">
        <f t="shared" si="8"/>
        <v>#DIV/0!</v>
      </c>
      <c r="AT116" s="224" t="e">
        <f t="shared" si="6"/>
        <v>#DIV/0!</v>
      </c>
    </row>
    <row r="117" spans="1:46">
      <c r="A117" s="1119">
        <v>2025</v>
      </c>
      <c r="D117" s="1108" t="s">
        <v>524</v>
      </c>
      <c r="E117" s="224" t="s">
        <v>1922</v>
      </c>
      <c r="G117" s="224" t="e">
        <v>#DIV/0!</v>
      </c>
      <c r="H117" s="224" t="e">
        <v>#DIV/0!</v>
      </c>
      <c r="I117" s="224" t="e">
        <v>#DIV/0!</v>
      </c>
      <c r="J117" s="224" t="e">
        <v>#DIV/0!</v>
      </c>
      <c r="K117" s="224" t="e">
        <v>#DIV/0!</v>
      </c>
      <c r="L117" s="224" t="e">
        <v>#DIV/0!</v>
      </c>
      <c r="M117" s="224" t="e">
        <v>#DIV/0!</v>
      </c>
      <c r="N117" s="224" t="e">
        <v>#DIV/0!</v>
      </c>
      <c r="O117" s="224" t="e">
        <v>#DIV/0!</v>
      </c>
      <c r="P117" s="224" t="e">
        <v>#DIV/0!</v>
      </c>
      <c r="Q117" s="224" t="e">
        <v>#DIV/0!</v>
      </c>
      <c r="R117" s="224" t="e">
        <v>#DIV/0!</v>
      </c>
      <c r="S117" s="224" t="e">
        <v>#DIV/0!</v>
      </c>
      <c r="T117" s="224" t="e">
        <v>#DIV/0!</v>
      </c>
      <c r="U117" s="224" t="e">
        <v>#DIV/0!</v>
      </c>
      <c r="V117" s="224" t="e">
        <v>#DIV/0!</v>
      </c>
      <c r="W117" s="224" t="e">
        <v>#DIV/0!</v>
      </c>
      <c r="X117" s="224" t="e">
        <v>#DIV/0!</v>
      </c>
      <c r="Y117" s="224" t="e">
        <v>#DIV/0!</v>
      </c>
      <c r="Z117" s="224" t="e">
        <v>#DIV/0!</v>
      </c>
      <c r="AA117" s="224" t="e">
        <v>#DIV/0!</v>
      </c>
      <c r="AB117" s="224" t="e">
        <v>#DIV/0!</v>
      </c>
      <c r="AC117" s="224" t="e">
        <v>#DIV/0!</v>
      </c>
      <c r="AD117" s="1121" t="e">
        <v>#DIV/0!</v>
      </c>
      <c r="AE117" s="224" t="e">
        <v>#DIV/0!</v>
      </c>
      <c r="AF117" s="224" t="e">
        <v>#DIV/0!</v>
      </c>
      <c r="AG117" s="224" t="e">
        <v>#DIV/0!</v>
      </c>
      <c r="AH117" s="224" t="e">
        <v>#DIV/0!</v>
      </c>
      <c r="AI117" s="224" t="e">
        <v>#DIV/0!</v>
      </c>
      <c r="AJ117" s="224" t="e">
        <v>#DIV/0!</v>
      </c>
      <c r="AK117" s="224" t="e">
        <v>#DIV/0!</v>
      </c>
      <c r="AL117" s="224" t="e">
        <v>#DIV/0!</v>
      </c>
      <c r="AM117" s="224" t="e">
        <v>#DIV/0!</v>
      </c>
      <c r="AN117" s="1121" t="e">
        <v>#DIV/0!</v>
      </c>
      <c r="AO117" s="224" t="e">
        <f t="shared" si="5"/>
        <v>#DIV/0!</v>
      </c>
      <c r="AP117" s="1124">
        <v>0.1</v>
      </c>
      <c r="AQ117" s="1124">
        <f t="shared" si="7"/>
        <v>7.5064323963351956E-2</v>
      </c>
      <c r="AR117" s="1124">
        <v>20</v>
      </c>
      <c r="AS117" s="1124" t="e">
        <f t="shared" si="8"/>
        <v>#DIV/0!</v>
      </c>
      <c r="AT117" s="224" t="e">
        <f t="shared" si="6"/>
        <v>#DIV/0!</v>
      </c>
    </row>
    <row r="118" spans="1:46">
      <c r="A118" s="1119">
        <v>2030</v>
      </c>
      <c r="D118" s="1108" t="s">
        <v>524</v>
      </c>
      <c r="E118" s="224" t="s">
        <v>1922</v>
      </c>
      <c r="G118" s="224">
        <v>17075.416404132378</v>
      </c>
      <c r="H118" s="224">
        <v>9627</v>
      </c>
      <c r="I118" s="224">
        <v>6.7240800000000007</v>
      </c>
      <c r="J118" s="224">
        <v>5.8786719646386099E-2</v>
      </c>
      <c r="K118" s="224">
        <v>6.0255813726998383E-2</v>
      </c>
      <c r="L118" s="224">
        <v>7.3342969598852462E-2</v>
      </c>
      <c r="M118" s="224">
        <v>0</v>
      </c>
      <c r="N118" s="224">
        <v>0</v>
      </c>
      <c r="O118" s="224">
        <v>0</v>
      </c>
      <c r="P118" s="224">
        <v>0</v>
      </c>
      <c r="Q118" s="224">
        <v>0</v>
      </c>
      <c r="R118" s="224">
        <v>0</v>
      </c>
      <c r="S118" s="224">
        <v>0</v>
      </c>
      <c r="T118" s="224">
        <v>0</v>
      </c>
      <c r="U118" s="224">
        <v>0</v>
      </c>
      <c r="V118" s="224">
        <v>0</v>
      </c>
      <c r="W118" s="224">
        <v>242.17620160000001</v>
      </c>
      <c r="X118" s="224">
        <v>127.071943231441</v>
      </c>
      <c r="Y118" s="224">
        <v>6.7240800000000007</v>
      </c>
      <c r="Z118" s="224">
        <v>156.94457464999999</v>
      </c>
      <c r="AA118" s="224">
        <v>8.8180079469579145</v>
      </c>
      <c r="AB118" s="224">
        <v>9.0383720590497578</v>
      </c>
      <c r="AC118" s="224">
        <v>11.001445439827869</v>
      </c>
      <c r="AD118" s="1121">
        <v>5.411192987119863</v>
      </c>
      <c r="AE118" s="224">
        <v>0</v>
      </c>
      <c r="AF118" s="224">
        <v>2359.0083604608003</v>
      </c>
      <c r="AG118" s="224">
        <v>2820.9971397379904</v>
      </c>
      <c r="AH118" s="224">
        <v>0</v>
      </c>
      <c r="AI118" s="224">
        <v>57600</v>
      </c>
      <c r="AJ118" s="224">
        <v>4342.7233634999993</v>
      </c>
      <c r="AK118" s="224">
        <v>5614.4184944067338</v>
      </c>
      <c r="AL118" s="224">
        <v>18582.88</v>
      </c>
      <c r="AM118" s="224">
        <v>5319.12</v>
      </c>
      <c r="AN118" s="1121">
        <v>96639.147358105518</v>
      </c>
      <c r="AO118" s="224">
        <f t="shared" si="5"/>
        <v>0.71297878798291303</v>
      </c>
      <c r="AP118" s="1124">
        <v>0.1</v>
      </c>
      <c r="AQ118" s="1124">
        <f t="shared" si="7"/>
        <v>7.5064323963351956E-2</v>
      </c>
      <c r="AR118" s="1124">
        <v>20</v>
      </c>
      <c r="AS118" s="1124">
        <f t="shared" si="8"/>
        <v>0.41577685143417503</v>
      </c>
      <c r="AT118" s="224">
        <f t="shared" si="6"/>
        <v>7254.152264830941</v>
      </c>
    </row>
    <row r="119" spans="1:46">
      <c r="A119" s="1119">
        <v>2035</v>
      </c>
      <c r="D119" s="1108" t="s">
        <v>524</v>
      </c>
      <c r="E119" s="224" t="s">
        <v>1922</v>
      </c>
      <c r="G119" s="224" t="e">
        <v>#DIV/0!</v>
      </c>
      <c r="H119" s="224" t="e">
        <v>#DIV/0!</v>
      </c>
      <c r="I119" s="224" t="e">
        <v>#DIV/0!</v>
      </c>
      <c r="J119" s="224" t="e">
        <v>#DIV/0!</v>
      </c>
      <c r="K119" s="224" t="e">
        <v>#DIV/0!</v>
      </c>
      <c r="L119" s="224" t="e">
        <v>#DIV/0!</v>
      </c>
      <c r="M119" s="224" t="e">
        <v>#DIV/0!</v>
      </c>
      <c r="N119" s="224" t="e">
        <v>#DIV/0!</v>
      </c>
      <c r="O119" s="224" t="e">
        <v>#DIV/0!</v>
      </c>
      <c r="P119" s="224" t="e">
        <v>#DIV/0!</v>
      </c>
      <c r="Q119" s="224" t="e">
        <v>#DIV/0!</v>
      </c>
      <c r="R119" s="224" t="e">
        <v>#DIV/0!</v>
      </c>
      <c r="S119" s="224" t="e">
        <v>#DIV/0!</v>
      </c>
      <c r="T119" s="224" t="e">
        <v>#DIV/0!</v>
      </c>
      <c r="U119" s="224" t="e">
        <v>#DIV/0!</v>
      </c>
      <c r="V119" s="224" t="e">
        <v>#DIV/0!</v>
      </c>
      <c r="W119" s="224" t="e">
        <v>#DIV/0!</v>
      </c>
      <c r="X119" s="224" t="e">
        <v>#DIV/0!</v>
      </c>
      <c r="Y119" s="224" t="e">
        <v>#DIV/0!</v>
      </c>
      <c r="Z119" s="224" t="e">
        <v>#DIV/0!</v>
      </c>
      <c r="AA119" s="224" t="e">
        <v>#DIV/0!</v>
      </c>
      <c r="AB119" s="224" t="e">
        <v>#DIV/0!</v>
      </c>
      <c r="AC119" s="224" t="e">
        <v>#DIV/0!</v>
      </c>
      <c r="AD119" s="1121" t="e">
        <v>#DIV/0!</v>
      </c>
      <c r="AE119" s="224" t="e">
        <v>#DIV/0!</v>
      </c>
      <c r="AF119" s="224" t="e">
        <v>#DIV/0!</v>
      </c>
      <c r="AG119" s="224" t="e">
        <v>#DIV/0!</v>
      </c>
      <c r="AH119" s="224" t="e">
        <v>#DIV/0!</v>
      </c>
      <c r="AI119" s="224" t="e">
        <v>#DIV/0!</v>
      </c>
      <c r="AJ119" s="224" t="e">
        <v>#DIV/0!</v>
      </c>
      <c r="AK119" s="224" t="e">
        <v>#DIV/0!</v>
      </c>
      <c r="AL119" s="224" t="e">
        <v>#DIV/0!</v>
      </c>
      <c r="AM119" s="224" t="e">
        <v>#DIV/0!</v>
      </c>
      <c r="AN119" s="1121" t="e">
        <v>#DIV/0!</v>
      </c>
      <c r="AO119" s="224" t="e">
        <f t="shared" si="5"/>
        <v>#DIV/0!</v>
      </c>
      <c r="AP119" s="1124">
        <v>0.1</v>
      </c>
      <c r="AQ119" s="1124">
        <f t="shared" si="7"/>
        <v>7.5064323963351956E-2</v>
      </c>
      <c r="AR119" s="1124">
        <v>20</v>
      </c>
      <c r="AS119" s="1124" t="e">
        <f t="shared" si="8"/>
        <v>#DIV/0!</v>
      </c>
      <c r="AT119" s="224" t="e">
        <f t="shared" si="6"/>
        <v>#DIV/0!</v>
      </c>
    </row>
    <row r="120" spans="1:46">
      <c r="A120" s="1119">
        <v>2050</v>
      </c>
      <c r="D120" s="1108" t="s">
        <v>524</v>
      </c>
      <c r="E120" s="224" t="s">
        <v>1922</v>
      </c>
      <c r="G120" s="224">
        <v>16371.348471566882</v>
      </c>
      <c r="H120" s="224">
        <v>9852</v>
      </c>
      <c r="I120" s="224">
        <v>6.5102400000000005</v>
      </c>
      <c r="J120" s="224">
        <v>4.9171183458573686E-2</v>
      </c>
      <c r="K120" s="224">
        <v>5.1320288613999662E-2</v>
      </c>
      <c r="L120" s="224">
        <v>6.2356861721108402E-2</v>
      </c>
      <c r="M120" s="224">
        <v>0</v>
      </c>
      <c r="N120" s="224">
        <v>0</v>
      </c>
      <c r="O120" s="224">
        <v>0</v>
      </c>
      <c r="P120" s="224">
        <v>0</v>
      </c>
      <c r="Q120" s="224">
        <v>0</v>
      </c>
      <c r="R120" s="224">
        <v>0</v>
      </c>
      <c r="S120" s="224">
        <v>0</v>
      </c>
      <c r="T120" s="224">
        <v>0</v>
      </c>
      <c r="U120" s="224">
        <v>0</v>
      </c>
      <c r="V120" s="224">
        <v>0</v>
      </c>
      <c r="W120" s="224">
        <v>230.82226935</v>
      </c>
      <c r="X120" s="224">
        <v>123.03078602620083</v>
      </c>
      <c r="Y120" s="224">
        <v>6.5102400000000005</v>
      </c>
      <c r="Z120" s="224">
        <v>149.37315104999999</v>
      </c>
      <c r="AA120" s="224">
        <v>7.3756775187860528</v>
      </c>
      <c r="AB120" s="224">
        <v>7.6980432920999498</v>
      </c>
      <c r="AC120" s="224">
        <v>9.3535292581662599</v>
      </c>
      <c r="AD120" s="1121">
        <v>4.3992666456769669</v>
      </c>
      <c r="AE120" s="224">
        <v>0</v>
      </c>
      <c r="AF120" s="224">
        <v>1140.3468928799998</v>
      </c>
      <c r="AG120" s="224">
        <v>1919.280262008733</v>
      </c>
      <c r="AH120" s="224">
        <v>0</v>
      </c>
      <c r="AI120" s="224">
        <v>57600</v>
      </c>
      <c r="AJ120" s="224">
        <v>8066.4150890400015</v>
      </c>
      <c r="AK120" s="224">
        <v>6393.2965024452897</v>
      </c>
      <c r="AL120" s="224">
        <v>10755</v>
      </c>
      <c r="AM120" s="224">
        <v>3244.6041599999999</v>
      </c>
      <c r="AN120" s="1121">
        <v>89118.94290637401</v>
      </c>
      <c r="AO120" s="224">
        <f t="shared" si="5"/>
        <v>0.57964737323439708</v>
      </c>
      <c r="AP120" s="1124">
        <v>0.1</v>
      </c>
      <c r="AQ120" s="1124">
        <f>AA120*$C$4*365/1000*0.1</f>
        <v>3.5471403350446636E-2</v>
      </c>
      <c r="AR120" s="1124">
        <v>20</v>
      </c>
      <c r="AS120" s="1124">
        <f t="shared" si="8"/>
        <v>0.33802402518497299</v>
      </c>
      <c r="AT120" s="224">
        <f t="shared" si="6"/>
        <v>3161.1739699974173</v>
      </c>
    </row>
    <row r="121" spans="1:46">
      <c r="A121" s="1119">
        <v>2017</v>
      </c>
      <c r="B121" s="1120"/>
      <c r="C121" s="1120"/>
      <c r="D121" s="1120" t="s">
        <v>1864</v>
      </c>
      <c r="E121" s="1120" t="s">
        <v>1917</v>
      </c>
      <c r="F121" s="1120"/>
      <c r="G121" s="224">
        <v>8126.318466190125</v>
      </c>
      <c r="H121" s="224">
        <v>3423.6666666666665</v>
      </c>
      <c r="I121" s="224">
        <v>3.1680000000000006</v>
      </c>
      <c r="J121" s="224">
        <v>9.3742814197221844E-2</v>
      </c>
      <c r="K121" s="224">
        <v>8.1886786104516829E-2</v>
      </c>
      <c r="L121" s="224">
        <v>0.10184108214187677</v>
      </c>
      <c r="M121" s="224">
        <v>0</v>
      </c>
      <c r="N121" s="224">
        <v>0</v>
      </c>
      <c r="O121" s="224">
        <v>0</v>
      </c>
      <c r="P121" s="224">
        <v>0</v>
      </c>
      <c r="Q121" s="224">
        <v>0</v>
      </c>
      <c r="R121" s="224">
        <v>0</v>
      </c>
      <c r="S121" s="224">
        <v>0</v>
      </c>
      <c r="T121" s="224">
        <v>0</v>
      </c>
      <c r="U121" s="224">
        <v>0</v>
      </c>
      <c r="V121" s="224">
        <v>171.46471469999997</v>
      </c>
      <c r="W121" s="224">
        <v>0</v>
      </c>
      <c r="X121" s="224">
        <v>4.3509999999999991</v>
      </c>
      <c r="Y121" s="224">
        <v>3.1680000000000006</v>
      </c>
      <c r="Z121" s="224">
        <v>0</v>
      </c>
      <c r="AA121" s="224">
        <v>14.061422129583276</v>
      </c>
      <c r="AB121" s="224">
        <v>12.283017915677524</v>
      </c>
      <c r="AC121" s="224">
        <v>15.276162321281518</v>
      </c>
      <c r="AD121" s="1121">
        <v>26.497357103453727</v>
      </c>
      <c r="AE121" s="224">
        <v>15836.106940918857</v>
      </c>
      <c r="AF121" s="224">
        <v>0</v>
      </c>
      <c r="AG121" s="224">
        <v>261.60000000000002</v>
      </c>
      <c r="AH121" s="224">
        <v>5812.4704046834486</v>
      </c>
      <c r="AI121" s="224">
        <v>33600</v>
      </c>
      <c r="AJ121" s="224">
        <v>0</v>
      </c>
      <c r="AK121" s="224">
        <v>745.98720000000003</v>
      </c>
      <c r="AL121" s="224">
        <v>0</v>
      </c>
      <c r="AM121" s="224">
        <v>436.00000000000006</v>
      </c>
      <c r="AN121" s="1121">
        <v>56692.164545602318</v>
      </c>
      <c r="AO121" s="224">
        <f t="shared" si="5"/>
        <v>3.4912917719510626</v>
      </c>
      <c r="AP121" s="1124">
        <v>0.1</v>
      </c>
      <c r="AQ121" s="1124">
        <f t="shared" si="7"/>
        <v>3.5471403350446636E-2</v>
      </c>
      <c r="AR121" s="1124">
        <v>20</v>
      </c>
      <c r="AS121" s="1124">
        <f>AO121/$AO$121</f>
        <v>1</v>
      </c>
      <c r="AT121" s="224">
        <f t="shared" si="6"/>
        <v>2010.9506354069499</v>
      </c>
    </row>
    <row r="122" spans="1:46">
      <c r="A122" s="1122">
        <v>2020</v>
      </c>
      <c r="B122" s="1108"/>
      <c r="C122" s="1108"/>
      <c r="D122" s="1108" t="s">
        <v>1864</v>
      </c>
      <c r="E122" s="1108" t="s">
        <v>1917</v>
      </c>
      <c r="F122" s="1108"/>
      <c r="G122" s="224">
        <v>8013.6269139799015</v>
      </c>
      <c r="H122" s="224">
        <v>3507.4902666666662</v>
      </c>
      <c r="I122" s="224">
        <v>3.1680000000000006</v>
      </c>
      <c r="J122" s="224">
        <v>8.9381175739435673E-2</v>
      </c>
      <c r="K122" s="224">
        <v>7.5677047963316604E-2</v>
      </c>
      <c r="L122" s="224">
        <v>9.3043623251365615E-2</v>
      </c>
      <c r="M122" s="224">
        <v>0</v>
      </c>
      <c r="N122" s="224">
        <v>0</v>
      </c>
      <c r="O122" s="224">
        <v>0</v>
      </c>
      <c r="P122" s="224">
        <v>0</v>
      </c>
      <c r="Q122" s="224">
        <v>0</v>
      </c>
      <c r="R122" s="224">
        <v>0</v>
      </c>
      <c r="S122" s="224">
        <v>0</v>
      </c>
      <c r="T122" s="224">
        <v>0</v>
      </c>
      <c r="U122" s="224">
        <v>0</v>
      </c>
      <c r="V122" s="224">
        <v>169.35779890000001</v>
      </c>
      <c r="W122" s="224">
        <v>0</v>
      </c>
      <c r="X122" s="224">
        <v>4.2881538461538478</v>
      </c>
      <c r="Y122" s="224">
        <v>3.1680000000000006</v>
      </c>
      <c r="Z122" s="224">
        <v>0</v>
      </c>
      <c r="AA122" s="224">
        <v>13.407176360915351</v>
      </c>
      <c r="AB122" s="224">
        <v>11.351557194497493</v>
      </c>
      <c r="AC122" s="224">
        <v>13.956543487704842</v>
      </c>
      <c r="AD122" s="1121">
        <v>23.902582271148258</v>
      </c>
      <c r="AE122" s="224">
        <v>16256.279769333531</v>
      </c>
      <c r="AF122" s="224">
        <v>0</v>
      </c>
      <c r="AG122" s="224">
        <v>261.60000000000002</v>
      </c>
      <c r="AH122" s="224">
        <v>5753.578475459999</v>
      </c>
      <c r="AI122" s="224">
        <v>33600</v>
      </c>
      <c r="AJ122" s="224">
        <v>1510.4126832356826</v>
      </c>
      <c r="AK122" s="224">
        <v>1214.2458237810094</v>
      </c>
      <c r="AL122" s="224">
        <v>0</v>
      </c>
      <c r="AM122" s="224">
        <v>436.00000000000006</v>
      </c>
      <c r="AN122" s="1121">
        <v>59032.116751810216</v>
      </c>
      <c r="AO122" s="224">
        <f t="shared" si="5"/>
        <v>3.1494042400464943</v>
      </c>
      <c r="AP122" s="1124">
        <v>0.1</v>
      </c>
      <c r="AQ122" s="1124">
        <f t="shared" si="7"/>
        <v>3.5471403350446636E-2</v>
      </c>
      <c r="AR122" s="1124">
        <v>20</v>
      </c>
      <c r="AS122" s="1124">
        <f t="shared" ref="AS122:AS156" si="10">AO122/$AO$121</f>
        <v>0.90207420226195856</v>
      </c>
      <c r="AT122" s="224">
        <f t="shared" si="6"/>
        <v>2093.9520239341177</v>
      </c>
    </row>
    <row r="123" spans="1:46">
      <c r="A123" s="1119">
        <v>2025</v>
      </c>
      <c r="B123" s="1120"/>
      <c r="C123" s="1120"/>
      <c r="D123" s="1108" t="s">
        <v>1864</v>
      </c>
      <c r="E123" s="1120" t="s">
        <v>1917</v>
      </c>
      <c r="F123" s="1120"/>
      <c r="G123" s="224">
        <v>7992.698734984825</v>
      </c>
      <c r="H123" s="224">
        <v>3536.8930166666669</v>
      </c>
      <c r="I123" s="224">
        <v>3.1679999999999997</v>
      </c>
      <c r="J123" s="224">
        <v>7.8911864657545405E-2</v>
      </c>
      <c r="K123" s="224">
        <v>6.258844834328639E-2</v>
      </c>
      <c r="L123" s="224">
        <v>7.6350753696471596E-2</v>
      </c>
      <c r="M123" s="224">
        <v>0</v>
      </c>
      <c r="N123" s="224">
        <v>0</v>
      </c>
      <c r="O123" s="224">
        <v>0</v>
      </c>
      <c r="P123" s="224">
        <v>0</v>
      </c>
      <c r="Q123" s="224">
        <v>0</v>
      </c>
      <c r="R123" s="224">
        <v>0</v>
      </c>
      <c r="S123" s="224">
        <v>0</v>
      </c>
      <c r="T123" s="224">
        <v>0</v>
      </c>
      <c r="U123" s="224">
        <v>0</v>
      </c>
      <c r="V123" s="224">
        <v>162.87437585000001</v>
      </c>
      <c r="W123" s="224">
        <v>0</v>
      </c>
      <c r="X123" s="224">
        <v>4.3422943143812711</v>
      </c>
      <c r="Y123" s="224">
        <v>3.1679999999999997</v>
      </c>
      <c r="Z123" s="224">
        <v>0</v>
      </c>
      <c r="AA123" s="224">
        <v>11.836779698631814</v>
      </c>
      <c r="AB123" s="224">
        <v>9.388267251492957</v>
      </c>
      <c r="AC123" s="224">
        <v>11.45261305447074</v>
      </c>
      <c r="AD123" s="1121">
        <v>20.340035890652047</v>
      </c>
      <c r="AE123" s="224">
        <v>16786.492045399053</v>
      </c>
      <c r="AF123" s="224">
        <v>0</v>
      </c>
      <c r="AG123" s="224">
        <v>211.20000000000002</v>
      </c>
      <c r="AH123" s="224">
        <v>5572.3556228968955</v>
      </c>
      <c r="AI123" s="224">
        <v>33600</v>
      </c>
      <c r="AJ123" s="224">
        <v>1891.4628123673938</v>
      </c>
      <c r="AK123" s="224">
        <v>2829.8971847014668</v>
      </c>
      <c r="AL123" s="224">
        <v>0</v>
      </c>
      <c r="AM123" s="224">
        <v>352.00000000000006</v>
      </c>
      <c r="AN123" s="1121">
        <v>61243.407665364815</v>
      </c>
      <c r="AO123" s="224">
        <f t="shared" si="5"/>
        <v>2.6800031289523134</v>
      </c>
      <c r="AP123" s="1124">
        <v>0.1</v>
      </c>
      <c r="AQ123" s="1124">
        <f t="shared" si="7"/>
        <v>3.5471403350446636E-2</v>
      </c>
      <c r="AR123" s="1124">
        <v>20</v>
      </c>
      <c r="AS123" s="1124">
        <f t="shared" si="10"/>
        <v>0.76762508091800896</v>
      </c>
      <c r="AT123" s="224">
        <f t="shared" si="6"/>
        <v>2172.3896158539906</v>
      </c>
    </row>
    <row r="124" spans="1:46">
      <c r="A124" s="1119">
        <v>2030</v>
      </c>
      <c r="B124" s="1108"/>
      <c r="C124" s="1108"/>
      <c r="D124" s="1108" t="s">
        <v>1864</v>
      </c>
      <c r="E124" s="1108" t="s">
        <v>1917</v>
      </c>
      <c r="F124" s="1108"/>
      <c r="G124" s="224">
        <v>8049.8665066520625</v>
      </c>
      <c r="H124" s="224">
        <v>3571.6254166666663</v>
      </c>
      <c r="I124" s="224">
        <v>3.1679999999999997</v>
      </c>
      <c r="J124" s="224">
        <v>7.504238591431342E-2</v>
      </c>
      <c r="K124" s="224">
        <v>5.8643333708983593E-2</v>
      </c>
      <c r="L124" s="224">
        <v>7.1287512370904707E-2</v>
      </c>
      <c r="M124" s="224">
        <v>0</v>
      </c>
      <c r="N124" s="224">
        <v>0</v>
      </c>
      <c r="O124" s="224">
        <v>0</v>
      </c>
      <c r="P124" s="224">
        <v>0</v>
      </c>
      <c r="Q124" s="224">
        <v>0</v>
      </c>
      <c r="R124" s="224">
        <v>0</v>
      </c>
      <c r="S124" s="224">
        <v>0</v>
      </c>
      <c r="T124" s="224">
        <v>0</v>
      </c>
      <c r="U124" s="224">
        <v>0</v>
      </c>
      <c r="V124" s="224">
        <v>162.8414055333333</v>
      </c>
      <c r="W124" s="224">
        <v>0</v>
      </c>
      <c r="X124" s="224">
        <v>4.3964347826086945</v>
      </c>
      <c r="Y124" s="224">
        <v>3.1679999999999997</v>
      </c>
      <c r="Z124" s="224">
        <v>0</v>
      </c>
      <c r="AA124" s="224">
        <v>11.256357887147013</v>
      </c>
      <c r="AB124" s="224">
        <v>8.79650005634754</v>
      </c>
      <c r="AC124" s="224">
        <v>10.693126855635706</v>
      </c>
      <c r="AD124" s="1121">
        <v>19.03440467307615</v>
      </c>
      <c r="AE124" s="224">
        <v>17111.41528673418</v>
      </c>
      <c r="AF124" s="224">
        <v>0</v>
      </c>
      <c r="AG124" s="224">
        <v>177.6</v>
      </c>
      <c r="AH124" s="224">
        <v>5571.4340457006883</v>
      </c>
      <c r="AI124" s="224">
        <v>33600</v>
      </c>
      <c r="AJ124" s="224">
        <v>2355.5883541473254</v>
      </c>
      <c r="AK124" s="224">
        <v>3508.029060192428</v>
      </c>
      <c r="AL124" s="224">
        <v>0</v>
      </c>
      <c r="AM124" s="224">
        <v>296</v>
      </c>
      <c r="AN124" s="1121">
        <v>62620.066746774617</v>
      </c>
      <c r="AO124" s="224">
        <f t="shared" si="5"/>
        <v>2.5079731597245134</v>
      </c>
      <c r="AP124" s="1124">
        <v>0.1</v>
      </c>
      <c r="AQ124" s="1124">
        <f t="shared" si="7"/>
        <v>3.5471403350446636E-2</v>
      </c>
      <c r="AR124" s="1124">
        <v>20</v>
      </c>
      <c r="AS124" s="1124">
        <f t="shared" si="10"/>
        <v>0.71835106417444039</v>
      </c>
      <c r="AT124" s="224">
        <f t="shared" si="6"/>
        <v>2221.2216454067329</v>
      </c>
    </row>
    <row r="125" spans="1:46">
      <c r="A125" s="1119">
        <v>2035</v>
      </c>
      <c r="B125" s="1120"/>
      <c r="C125" s="1120"/>
      <c r="D125" s="1108" t="s">
        <v>1864</v>
      </c>
      <c r="E125" s="1120" t="s">
        <v>1917</v>
      </c>
      <c r="F125" s="1120"/>
      <c r="G125" s="224">
        <v>8107.3213773054003</v>
      </c>
      <c r="H125" s="224">
        <v>3605.1661333333336</v>
      </c>
      <c r="I125" s="224">
        <v>3.1679999999999997</v>
      </c>
      <c r="J125" s="224">
        <v>7.3053728894190914E-2</v>
      </c>
      <c r="K125" s="224">
        <v>5.6680450942871163E-2</v>
      </c>
      <c r="L125" s="224">
        <v>6.8742202739152686E-2</v>
      </c>
      <c r="M125" s="224">
        <v>0</v>
      </c>
      <c r="N125" s="224">
        <v>0</v>
      </c>
      <c r="O125" s="224">
        <v>0</v>
      </c>
      <c r="P125" s="224">
        <v>0</v>
      </c>
      <c r="Q125" s="224">
        <v>0</v>
      </c>
      <c r="R125" s="224">
        <v>0</v>
      </c>
      <c r="S125" s="224">
        <v>0</v>
      </c>
      <c r="T125" s="224">
        <v>0</v>
      </c>
      <c r="U125" s="224">
        <v>0</v>
      </c>
      <c r="V125" s="224">
        <v>162.30004374999999</v>
      </c>
      <c r="W125" s="224">
        <v>0</v>
      </c>
      <c r="X125" s="224">
        <v>4.3964347826086945</v>
      </c>
      <c r="Y125" s="224">
        <v>3.1679999999999997</v>
      </c>
      <c r="Z125" s="224">
        <v>0</v>
      </c>
      <c r="AA125" s="224">
        <v>10.958059334128636</v>
      </c>
      <c r="AB125" s="224">
        <v>8.5020676414306742</v>
      </c>
      <c r="AC125" s="224">
        <v>10.311330410872904</v>
      </c>
      <c r="AD125" s="1121">
        <v>18.306387904663019</v>
      </c>
      <c r="AE125" s="224">
        <v>17439.532307304344</v>
      </c>
      <c r="AF125" s="224">
        <v>0</v>
      </c>
      <c r="AG125" s="224">
        <v>144</v>
      </c>
      <c r="AH125" s="224">
        <v>5556.3020504741371</v>
      </c>
      <c r="AI125" s="224">
        <v>33600</v>
      </c>
      <c r="AJ125" s="224">
        <v>2891.3252488602134</v>
      </c>
      <c r="AK125" s="224">
        <v>3935.8667708711309</v>
      </c>
      <c r="AL125" s="224">
        <v>0</v>
      </c>
      <c r="AM125" s="224">
        <v>240</v>
      </c>
      <c r="AN125" s="1121">
        <v>63807.026377509821</v>
      </c>
      <c r="AO125" s="224">
        <f t="shared" si="5"/>
        <v>2.4120496703183991</v>
      </c>
      <c r="AP125" s="1124">
        <v>0.1</v>
      </c>
      <c r="AQ125" s="1124">
        <f t="shared" si="7"/>
        <v>3.5471403350446636E-2</v>
      </c>
      <c r="AR125" s="1124">
        <v>20</v>
      </c>
      <c r="AS125" s="1124">
        <f t="shared" si="10"/>
        <v>0.69087599314864967</v>
      </c>
      <c r="AT125" s="224">
        <f t="shared" si="6"/>
        <v>2263.3247692292389</v>
      </c>
    </row>
    <row r="126" spans="1:46">
      <c r="A126" s="1119">
        <v>2050</v>
      </c>
      <c r="B126" s="1108"/>
      <c r="C126" s="1108"/>
      <c r="D126" s="1108" t="s">
        <v>1864</v>
      </c>
      <c r="E126" s="1108" t="s">
        <v>1917</v>
      </c>
      <c r="F126" s="1108"/>
      <c r="G126" s="224">
        <v>8074.6809317777033</v>
      </c>
      <c r="H126" s="224">
        <v>3650.5913833333339</v>
      </c>
      <c r="I126" s="224">
        <v>3.1679999999999997</v>
      </c>
      <c r="J126" s="224">
        <v>6.9391778632702308E-2</v>
      </c>
      <c r="K126" s="224">
        <v>5.3357589732972298E-2</v>
      </c>
      <c r="L126" s="224">
        <v>6.4660175815608845E-2</v>
      </c>
      <c r="M126" s="224">
        <v>0</v>
      </c>
      <c r="N126" s="224">
        <v>0</v>
      </c>
      <c r="O126" s="224">
        <v>0</v>
      </c>
      <c r="P126" s="224">
        <v>0</v>
      </c>
      <c r="Q126" s="224">
        <v>0</v>
      </c>
      <c r="R126" s="224">
        <v>0</v>
      </c>
      <c r="S126" s="224">
        <v>0</v>
      </c>
      <c r="T126" s="224">
        <v>0</v>
      </c>
      <c r="U126" s="224">
        <v>0</v>
      </c>
      <c r="V126" s="224">
        <v>160.57556886666666</v>
      </c>
      <c r="W126" s="224">
        <v>0</v>
      </c>
      <c r="X126" s="224">
        <v>4.3964347826086945</v>
      </c>
      <c r="Y126" s="224">
        <v>3.1679999999999997</v>
      </c>
      <c r="Z126" s="224">
        <v>0</v>
      </c>
      <c r="AA126" s="224">
        <v>10.408766794905345</v>
      </c>
      <c r="AB126" s="224">
        <v>8.0036384599458454</v>
      </c>
      <c r="AC126" s="224">
        <v>9.6990263723413292</v>
      </c>
      <c r="AD126" s="1121">
        <v>17.155048718914212</v>
      </c>
      <c r="AE126" s="224">
        <v>17838.366121622792</v>
      </c>
      <c r="AF126" s="224">
        <v>0</v>
      </c>
      <c r="AG126" s="224">
        <v>144</v>
      </c>
      <c r="AH126" s="224">
        <v>5508.1000042524138</v>
      </c>
      <c r="AI126" s="224">
        <v>33600</v>
      </c>
      <c r="AJ126" s="224">
        <v>3617.2934899153802</v>
      </c>
      <c r="AK126" s="224">
        <v>4842.5801991868502</v>
      </c>
      <c r="AL126" s="224">
        <v>0</v>
      </c>
      <c r="AM126" s="224">
        <v>240</v>
      </c>
      <c r="AN126" s="1121">
        <v>65790.339814977429</v>
      </c>
      <c r="AO126" s="224">
        <f t="shared" si="5"/>
        <v>2.2603492192041363</v>
      </c>
      <c r="AP126" s="1124">
        <v>0.1</v>
      </c>
      <c r="AQ126" s="1124">
        <f t="shared" si="7"/>
        <v>3.5471403350446636E-2</v>
      </c>
      <c r="AR126" s="1124">
        <v>20</v>
      </c>
      <c r="AS126" s="1124">
        <f t="shared" si="10"/>
        <v>0.64742489796003788</v>
      </c>
      <c r="AT126" s="224">
        <f t="shared" si="6"/>
        <v>2333.6756801400129</v>
      </c>
    </row>
    <row r="127" spans="1:46">
      <c r="A127" s="1119">
        <v>2017</v>
      </c>
      <c r="B127" s="1120"/>
      <c r="C127" s="1120"/>
      <c r="D127" s="1108" t="s">
        <v>1864</v>
      </c>
      <c r="E127" s="1120" t="s">
        <v>1918</v>
      </c>
      <c r="F127" s="1120"/>
      <c r="G127" s="224">
        <v>8511.8968082817519</v>
      </c>
      <c r="H127" s="224">
        <v>3840.5</v>
      </c>
      <c r="I127" s="224">
        <v>0.37666506240000003</v>
      </c>
      <c r="J127" s="224">
        <v>9.1101393971552119E-2</v>
      </c>
      <c r="K127" s="224">
        <v>8.2048901242951444E-2</v>
      </c>
      <c r="L127" s="224">
        <v>0.1016608439019627</v>
      </c>
      <c r="M127" s="224">
        <v>0</v>
      </c>
      <c r="N127" s="224">
        <v>0</v>
      </c>
      <c r="O127" s="224">
        <v>0</v>
      </c>
      <c r="P127" s="224">
        <v>0</v>
      </c>
      <c r="Q127" s="224">
        <v>0</v>
      </c>
      <c r="R127" s="224">
        <v>0</v>
      </c>
      <c r="S127" s="224">
        <v>0</v>
      </c>
      <c r="T127" s="224">
        <v>0</v>
      </c>
      <c r="U127" s="224">
        <v>0</v>
      </c>
      <c r="V127" s="224">
        <v>169.71553950000001</v>
      </c>
      <c r="W127" s="224">
        <v>5.6</v>
      </c>
      <c r="X127" s="224">
        <v>8.4</v>
      </c>
      <c r="Y127" s="224">
        <v>0.37666506240000003</v>
      </c>
      <c r="Z127" s="224">
        <v>0</v>
      </c>
      <c r="AA127" s="224">
        <v>13.665209095732816</v>
      </c>
      <c r="AB127" s="224">
        <v>12.307335186442717</v>
      </c>
      <c r="AC127" s="224">
        <v>15.249126585294405</v>
      </c>
      <c r="AD127" s="1121">
        <v>23.285173587757562</v>
      </c>
      <c r="AE127" s="224">
        <v>15673.484209874285</v>
      </c>
      <c r="AF127" s="224">
        <v>1100.19</v>
      </c>
      <c r="AG127" s="224">
        <v>511.19707604210521</v>
      </c>
      <c r="AH127" s="224">
        <v>5763.5779420241379</v>
      </c>
      <c r="AI127" s="224">
        <v>40800</v>
      </c>
      <c r="AJ127" s="224">
        <v>0</v>
      </c>
      <c r="AK127" s="224">
        <v>745.98720000000003</v>
      </c>
      <c r="AL127" s="224">
        <v>0</v>
      </c>
      <c r="AM127" s="224">
        <v>436.00000000000006</v>
      </c>
      <c r="AN127" s="1121">
        <v>65030.436427940542</v>
      </c>
      <c r="AO127" s="224">
        <f t="shared" si="5"/>
        <v>3.0680544719229359</v>
      </c>
      <c r="AP127" s="1124">
        <v>0.1</v>
      </c>
      <c r="AQ127" s="1124">
        <f t="shared" si="7"/>
        <v>3.5471403350446636E-2</v>
      </c>
      <c r="AR127" s="1124">
        <v>20</v>
      </c>
      <c r="AS127" s="1124">
        <f t="shared" si="10"/>
        <v>0.87877343754870252</v>
      </c>
      <c r="AT127" s="224">
        <f t="shared" si="6"/>
        <v>2306.7208405910569</v>
      </c>
    </row>
    <row r="128" spans="1:46">
      <c r="A128" s="1122">
        <v>2020</v>
      </c>
      <c r="D128" s="1108" t="s">
        <v>1864</v>
      </c>
      <c r="E128" s="224" t="s">
        <v>1918</v>
      </c>
      <c r="G128" s="224">
        <v>8282.3532898825288</v>
      </c>
      <c r="H128" s="224">
        <v>3950.4837499999999</v>
      </c>
      <c r="I128" s="224">
        <v>0.32972037120000003</v>
      </c>
      <c r="J128" s="224">
        <v>8.3877057169329777E-2</v>
      </c>
      <c r="K128" s="224">
        <v>7.3891427106439797E-2</v>
      </c>
      <c r="L128" s="224">
        <v>9.1416234068864136E-2</v>
      </c>
      <c r="M128" s="224">
        <v>0</v>
      </c>
      <c r="N128" s="224">
        <v>0</v>
      </c>
      <c r="O128" s="224">
        <v>0</v>
      </c>
      <c r="P128" s="224">
        <v>0</v>
      </c>
      <c r="Q128" s="224">
        <v>0</v>
      </c>
      <c r="R128" s="224">
        <v>0</v>
      </c>
      <c r="S128" s="224">
        <v>0</v>
      </c>
      <c r="T128" s="224">
        <v>0</v>
      </c>
      <c r="U128" s="224">
        <v>0</v>
      </c>
      <c r="V128" s="224">
        <v>165.11378815</v>
      </c>
      <c r="W128" s="224">
        <v>4.9019999999999992</v>
      </c>
      <c r="X128" s="224">
        <v>7.3529999999999998</v>
      </c>
      <c r="Y128" s="224">
        <v>0.32972037120000003</v>
      </c>
      <c r="Z128" s="224">
        <v>0</v>
      </c>
      <c r="AA128" s="224">
        <v>12.581558575399466</v>
      </c>
      <c r="AB128" s="224">
        <v>11.083714065965969</v>
      </c>
      <c r="AC128" s="224">
        <v>13.71243511032962</v>
      </c>
      <c r="AD128" s="1121">
        <v>20.231517586918883</v>
      </c>
      <c r="AE128" s="224">
        <v>15916.530409683673</v>
      </c>
      <c r="AF128" s="224">
        <v>716.91554999999994</v>
      </c>
      <c r="AG128" s="224">
        <v>447.48532979138758</v>
      </c>
      <c r="AH128" s="224">
        <v>5634.951057737585</v>
      </c>
      <c r="AI128" s="224">
        <v>40800</v>
      </c>
      <c r="AJ128" s="224">
        <v>1981.7906762525845</v>
      </c>
      <c r="AK128" s="224">
        <v>1214.2458237810094</v>
      </c>
      <c r="AL128" s="224">
        <v>0</v>
      </c>
      <c r="AM128" s="224">
        <v>436.00000000000006</v>
      </c>
      <c r="AN128" s="1121">
        <v>67147.918847246241</v>
      </c>
      <c r="AO128" s="224">
        <f t="shared" si="5"/>
        <v>2.6657047572524317</v>
      </c>
      <c r="AP128" s="1124">
        <v>0.1</v>
      </c>
      <c r="AQ128" s="1124">
        <f t="shared" si="7"/>
        <v>3.5471403350446636E-2</v>
      </c>
      <c r="AR128" s="1124">
        <v>20</v>
      </c>
      <c r="AS128" s="1124">
        <f t="shared" si="10"/>
        <v>0.76352964214238028</v>
      </c>
      <c r="AT128" s="224">
        <f t="shared" si="6"/>
        <v>2381.830913573729</v>
      </c>
    </row>
    <row r="129" spans="1:46">
      <c r="A129" s="1119">
        <v>2025</v>
      </c>
      <c r="D129" s="1108" t="s">
        <v>1864</v>
      </c>
      <c r="E129" s="224" t="s">
        <v>1918</v>
      </c>
      <c r="G129" s="224">
        <v>8208.7032176910234</v>
      </c>
      <c r="H129" s="224">
        <v>3981.9561999999996</v>
      </c>
      <c r="I129" s="224">
        <v>0.25902581759999999</v>
      </c>
      <c r="J129" s="224">
        <v>7.5309510458857698E-2</v>
      </c>
      <c r="K129" s="224">
        <v>6.1154466161957445E-2</v>
      </c>
      <c r="L129" s="224">
        <v>7.5125469466749556E-2</v>
      </c>
      <c r="M129" s="224">
        <v>0</v>
      </c>
      <c r="N129" s="224">
        <v>0</v>
      </c>
      <c r="O129" s="224">
        <v>0</v>
      </c>
      <c r="P129" s="224">
        <v>0</v>
      </c>
      <c r="Q129" s="224">
        <v>0</v>
      </c>
      <c r="R129" s="224">
        <v>0</v>
      </c>
      <c r="S129" s="224">
        <v>0</v>
      </c>
      <c r="T129" s="224">
        <v>0</v>
      </c>
      <c r="U129" s="224">
        <v>0</v>
      </c>
      <c r="V129" s="224">
        <v>160.334350675</v>
      </c>
      <c r="W129" s="224">
        <v>3.851</v>
      </c>
      <c r="X129" s="224">
        <v>5.6416302377622385</v>
      </c>
      <c r="Y129" s="224">
        <v>0.25902581759999999</v>
      </c>
      <c r="Z129" s="224">
        <v>0</v>
      </c>
      <c r="AA129" s="224">
        <v>11.296426568828654</v>
      </c>
      <c r="AB129" s="224">
        <v>9.1731699242936173</v>
      </c>
      <c r="AC129" s="224">
        <v>11.268820420012435</v>
      </c>
      <c r="AD129" s="1121">
        <v>17.461361033327691</v>
      </c>
      <c r="AE129" s="224">
        <v>16596.791967797166</v>
      </c>
      <c r="AF129" s="224">
        <v>345.77865000000003</v>
      </c>
      <c r="AG129" s="224">
        <v>239.10400698558703</v>
      </c>
      <c r="AH129" s="224">
        <v>5501.3575399018955</v>
      </c>
      <c r="AI129" s="224">
        <v>40800</v>
      </c>
      <c r="AJ129" s="224">
        <v>2363.0182694392256</v>
      </c>
      <c r="AK129" s="224">
        <v>2829.8971847014668</v>
      </c>
      <c r="AL129" s="224">
        <v>0</v>
      </c>
      <c r="AM129" s="224">
        <v>352.00000000000006</v>
      </c>
      <c r="AN129" s="1121">
        <v>69027.947618825347</v>
      </c>
      <c r="AO129" s="224">
        <f t="shared" si="5"/>
        <v>2.3007089297512562</v>
      </c>
      <c r="AP129" s="1124">
        <v>0.1</v>
      </c>
      <c r="AQ129" s="1124">
        <f t="shared" si="7"/>
        <v>3.5471403350446636E-2</v>
      </c>
      <c r="AR129" s="1124">
        <v>20</v>
      </c>
      <c r="AS129" s="1124">
        <f t="shared" si="10"/>
        <v>0.65898500613299793</v>
      </c>
      <c r="AT129" s="224">
        <f t="shared" si="6"/>
        <v>2448.5181724408562</v>
      </c>
    </row>
    <row r="130" spans="1:46">
      <c r="A130" s="1119">
        <v>2030</v>
      </c>
      <c r="D130" s="1108" t="s">
        <v>1864</v>
      </c>
      <c r="E130" s="224" t="s">
        <v>1918</v>
      </c>
      <c r="G130" s="224">
        <v>8131.4691827233955</v>
      </c>
      <c r="H130" s="224">
        <v>4019.5814499999997</v>
      </c>
      <c r="I130" s="224">
        <v>0.21194300160000001</v>
      </c>
      <c r="J130" s="224">
        <v>7.1037106108940998E-2</v>
      </c>
      <c r="K130" s="224">
        <v>5.6725236343352158E-2</v>
      </c>
      <c r="L130" s="224">
        <v>6.9494271795185664E-2</v>
      </c>
      <c r="M130" s="224">
        <v>0</v>
      </c>
      <c r="N130" s="224">
        <v>0</v>
      </c>
      <c r="O130" s="224">
        <v>0</v>
      </c>
      <c r="P130" s="224">
        <v>0</v>
      </c>
      <c r="Q130" s="224">
        <v>0</v>
      </c>
      <c r="R130" s="224">
        <v>0</v>
      </c>
      <c r="S130" s="224">
        <v>0</v>
      </c>
      <c r="T130" s="224">
        <v>0</v>
      </c>
      <c r="U130" s="224">
        <v>0</v>
      </c>
      <c r="V130" s="224">
        <v>159.86322979999997</v>
      </c>
      <c r="W130" s="224">
        <v>3.1510000000000002</v>
      </c>
      <c r="X130" s="224">
        <v>4.2354221857269367</v>
      </c>
      <c r="Y130" s="224">
        <v>0.21194300160000001</v>
      </c>
      <c r="Z130" s="224">
        <v>0</v>
      </c>
      <c r="AA130" s="224">
        <v>10.65556591634115</v>
      </c>
      <c r="AB130" s="224">
        <v>8.5087854515028223</v>
      </c>
      <c r="AC130" s="224">
        <v>10.424140769277848</v>
      </c>
      <c r="AD130" s="1121">
        <v>16.150669539587692</v>
      </c>
      <c r="AE130" s="224">
        <v>16930.996149864746</v>
      </c>
      <c r="AF130" s="224">
        <v>224.30287800000002</v>
      </c>
      <c r="AG130" s="224">
        <v>125.09563236610866</v>
      </c>
      <c r="AH130" s="224">
        <v>5488.1888991682745</v>
      </c>
      <c r="AI130" s="224">
        <v>40800</v>
      </c>
      <c r="AJ130" s="224">
        <v>2851.055440532888</v>
      </c>
      <c r="AK130" s="224">
        <v>3508.029060192428</v>
      </c>
      <c r="AL130" s="224">
        <v>0</v>
      </c>
      <c r="AM130" s="224">
        <v>296</v>
      </c>
      <c r="AN130" s="1121">
        <v>70223.66806012443</v>
      </c>
      <c r="AO130" s="224">
        <f t="shared" si="5"/>
        <v>2.1280122185360741</v>
      </c>
      <c r="AP130" s="1124">
        <v>0.1</v>
      </c>
      <c r="AQ130" s="1124">
        <f t="shared" si="7"/>
        <v>3.5471403350446636E-2</v>
      </c>
      <c r="AR130" s="1124">
        <v>20</v>
      </c>
      <c r="AS130" s="1124">
        <f t="shared" si="10"/>
        <v>0.60952001652582088</v>
      </c>
      <c r="AT130" s="224">
        <f t="shared" si="6"/>
        <v>2490.9320545085502</v>
      </c>
    </row>
    <row r="131" spans="1:46">
      <c r="A131" s="1119">
        <v>2035</v>
      </c>
      <c r="D131" s="1108" t="s">
        <v>1864</v>
      </c>
      <c r="E131" s="224" t="s">
        <v>1918</v>
      </c>
      <c r="G131" s="224">
        <v>8057.7439217320371</v>
      </c>
      <c r="H131" s="224">
        <v>4055.8958750000002</v>
      </c>
      <c r="I131" s="224">
        <v>0.18833379840000003</v>
      </c>
      <c r="J131" s="224">
        <v>6.8725537566871303E-2</v>
      </c>
      <c r="K131" s="224">
        <v>5.4518469504022782E-2</v>
      </c>
      <c r="L131" s="224">
        <v>6.6682404926218519E-2</v>
      </c>
      <c r="M131" s="224">
        <v>0</v>
      </c>
      <c r="N131" s="224">
        <v>0</v>
      </c>
      <c r="O131" s="224">
        <v>0</v>
      </c>
      <c r="P131" s="224">
        <v>0</v>
      </c>
      <c r="Q131" s="224">
        <v>0</v>
      </c>
      <c r="R131" s="224">
        <v>0</v>
      </c>
      <c r="S131" s="224">
        <v>0</v>
      </c>
      <c r="T131" s="224">
        <v>0</v>
      </c>
      <c r="U131" s="224">
        <v>0</v>
      </c>
      <c r="V131" s="224">
        <v>159.36753347499999</v>
      </c>
      <c r="W131" s="224">
        <v>2.8000000000000003</v>
      </c>
      <c r="X131" s="224">
        <v>3.4618597729257634</v>
      </c>
      <c r="Y131" s="224">
        <v>0.18833379840000003</v>
      </c>
      <c r="Z131" s="224">
        <v>0</v>
      </c>
      <c r="AA131" s="224">
        <v>10.308830635030693</v>
      </c>
      <c r="AB131" s="224">
        <v>8.177770425603418</v>
      </c>
      <c r="AC131" s="224">
        <v>10.002360738932779</v>
      </c>
      <c r="AD131" s="1121">
        <v>15.45014352582978</v>
      </c>
      <c r="AE131" s="224">
        <v>17292.520007703151</v>
      </c>
      <c r="AF131" s="224">
        <v>168.62592000000001</v>
      </c>
      <c r="AG131" s="224">
        <v>70.043851179039279</v>
      </c>
      <c r="AH131" s="224">
        <v>5474.3333322356893</v>
      </c>
      <c r="AI131" s="224">
        <v>40800</v>
      </c>
      <c r="AJ131" s="224">
        <v>3431.2796019510192</v>
      </c>
      <c r="AK131" s="224">
        <v>3935.8667708711309</v>
      </c>
      <c r="AL131" s="224">
        <v>0</v>
      </c>
      <c r="AM131" s="224">
        <v>240</v>
      </c>
      <c r="AN131" s="1121">
        <v>71412.66948394003</v>
      </c>
      <c r="AO131" s="224">
        <f t="shared" si="5"/>
        <v>2.0357109109633318</v>
      </c>
      <c r="AP131" s="1124">
        <v>0.1</v>
      </c>
      <c r="AQ131" s="1124">
        <f t="shared" si="7"/>
        <v>3.5471403350446636E-2</v>
      </c>
      <c r="AR131" s="1124">
        <v>20</v>
      </c>
      <c r="AS131" s="1124">
        <f t="shared" si="10"/>
        <v>0.58308243593909126</v>
      </c>
      <c r="AT131" s="224">
        <f t="shared" si="6"/>
        <v>2533.1076035969686</v>
      </c>
    </row>
    <row r="132" spans="1:46">
      <c r="A132" s="1119">
        <v>2050</v>
      </c>
      <c r="D132" s="1108" t="s">
        <v>1864</v>
      </c>
      <c r="E132" s="224" t="s">
        <v>1918</v>
      </c>
      <c r="G132" s="224">
        <v>7954.4117696296144</v>
      </c>
      <c r="H132" s="224">
        <v>4104.9930750000003</v>
      </c>
      <c r="I132" s="224">
        <v>0.1412509824</v>
      </c>
      <c r="J132" s="224">
        <v>6.5341037886137335E-2</v>
      </c>
      <c r="K132" s="224">
        <v>5.1154827792352559E-2</v>
      </c>
      <c r="L132" s="224">
        <v>6.2507944940178348E-2</v>
      </c>
      <c r="M132" s="224">
        <v>0</v>
      </c>
      <c r="N132" s="224">
        <v>0</v>
      </c>
      <c r="O132" s="224">
        <v>0</v>
      </c>
      <c r="P132" s="224">
        <v>0</v>
      </c>
      <c r="Q132" s="224">
        <v>0</v>
      </c>
      <c r="R132" s="224">
        <v>0</v>
      </c>
      <c r="S132" s="224">
        <v>0</v>
      </c>
      <c r="T132" s="224">
        <v>0</v>
      </c>
      <c r="U132" s="224">
        <v>0</v>
      </c>
      <c r="V132" s="224">
        <v>156.80546079999999</v>
      </c>
      <c r="W132" s="224">
        <v>2.1</v>
      </c>
      <c r="X132" s="224">
        <v>2.5963948296943227</v>
      </c>
      <c r="Y132" s="224">
        <v>0.1412509824</v>
      </c>
      <c r="Z132" s="224">
        <v>0</v>
      </c>
      <c r="AA132" s="224">
        <v>9.8011556829205997</v>
      </c>
      <c r="AB132" s="224">
        <v>7.6732241688528831</v>
      </c>
      <c r="AC132" s="224">
        <v>9.3761917410267532</v>
      </c>
      <c r="AD132" s="1121">
        <v>14.46478504308411</v>
      </c>
      <c r="AE132" s="224">
        <v>17602.808569574558</v>
      </c>
      <c r="AF132" s="224">
        <v>76.463999999999999</v>
      </c>
      <c r="AG132" s="224">
        <v>50.184060052401726</v>
      </c>
      <c r="AH132" s="224">
        <v>5402.7189836027583</v>
      </c>
      <c r="AI132" s="224">
        <v>40800</v>
      </c>
      <c r="AJ132" s="224">
        <v>4216.1246270287984</v>
      </c>
      <c r="AK132" s="224">
        <v>4842.5801991868502</v>
      </c>
      <c r="AL132" s="224">
        <v>0</v>
      </c>
      <c r="AM132" s="224">
        <v>240</v>
      </c>
      <c r="AN132" s="1121">
        <v>73230.880439445376</v>
      </c>
      <c r="AO132" s="224">
        <f t="shared" si="5"/>
        <v>1.9058800772767621</v>
      </c>
      <c r="AP132" s="1124">
        <v>0.1</v>
      </c>
      <c r="AQ132" s="1124">
        <f t="shared" si="7"/>
        <v>3.5471403350446636E-2</v>
      </c>
      <c r="AR132" s="1124">
        <v>20</v>
      </c>
      <c r="AS132" s="1124">
        <f t="shared" si="10"/>
        <v>0.5458953882309544</v>
      </c>
      <c r="AT132" s="224">
        <f t="shared" si="6"/>
        <v>2597.6020977758999</v>
      </c>
    </row>
    <row r="133" spans="1:46">
      <c r="A133" s="1119">
        <v>2017</v>
      </c>
      <c r="D133" s="1108" t="s">
        <v>1864</v>
      </c>
      <c r="E133" s="224" t="s">
        <v>1919</v>
      </c>
      <c r="G133" s="224">
        <v>8883.9599902395639</v>
      </c>
      <c r="H133" s="224">
        <v>3840.5</v>
      </c>
      <c r="I133" s="224">
        <v>4.7916000000000007</v>
      </c>
      <c r="J133" s="224">
        <v>7.7403173228406327E-2</v>
      </c>
      <c r="K133" s="224">
        <v>8.6402141538296839E-2</v>
      </c>
      <c r="L133" s="224">
        <v>0.10688099421831837</v>
      </c>
      <c r="M133" s="224">
        <v>0</v>
      </c>
      <c r="N133" s="224">
        <v>0</v>
      </c>
      <c r="O133" s="224">
        <v>0</v>
      </c>
      <c r="P133" s="224">
        <v>0</v>
      </c>
      <c r="Q133" s="224">
        <v>0</v>
      </c>
      <c r="R133" s="224">
        <v>0</v>
      </c>
      <c r="S133" s="224">
        <v>0</v>
      </c>
      <c r="T133" s="224">
        <v>0</v>
      </c>
      <c r="U133" s="224">
        <v>0</v>
      </c>
      <c r="V133" s="224">
        <v>173.34234975000001</v>
      </c>
      <c r="W133" s="224">
        <v>114.2786736</v>
      </c>
      <c r="X133" s="224">
        <v>149.15131578947364</v>
      </c>
      <c r="Y133" s="224">
        <v>4.7916000000000007</v>
      </c>
      <c r="Z133" s="224">
        <v>0</v>
      </c>
      <c r="AA133" s="224">
        <v>11.610475984260949</v>
      </c>
      <c r="AB133" s="224">
        <v>12.960321230744526</v>
      </c>
      <c r="AC133" s="224">
        <v>16.032149132747755</v>
      </c>
      <c r="AD133" s="1121">
        <v>21.689622626504793</v>
      </c>
      <c r="AE133" s="224">
        <v>16019.419254194287</v>
      </c>
      <c r="AF133" s="224">
        <v>5762.505097440001</v>
      </c>
      <c r="AG133" s="224">
        <v>6502.9973684210527</v>
      </c>
      <c r="AH133" s="224">
        <v>7764.371451110077</v>
      </c>
      <c r="AI133" s="224">
        <v>40800</v>
      </c>
      <c r="AJ133" s="224">
        <v>0</v>
      </c>
      <c r="AK133" s="224">
        <v>745.98720000000003</v>
      </c>
      <c r="AL133" s="224">
        <v>0</v>
      </c>
      <c r="AM133" s="224">
        <v>436.00000000000006</v>
      </c>
      <c r="AN133" s="1121">
        <v>78031.280371165427</v>
      </c>
      <c r="AO133" s="224">
        <f t="shared" si="5"/>
        <v>2.8578246772682712</v>
      </c>
      <c r="AP133" s="1124">
        <v>0.1</v>
      </c>
      <c r="AQ133" s="1124">
        <f t="shared" si="7"/>
        <v>3.5471403350446636E-2</v>
      </c>
      <c r="AR133" s="1124">
        <v>20</v>
      </c>
      <c r="AS133" s="1124">
        <f t="shared" si="10"/>
        <v>0.81855796190623542</v>
      </c>
      <c r="AT133" s="224">
        <f t="shared" si="6"/>
        <v>2767.8790199973982</v>
      </c>
    </row>
    <row r="134" spans="1:46">
      <c r="A134" s="1122">
        <v>2020</v>
      </c>
      <c r="D134" s="1108" t="s">
        <v>1864</v>
      </c>
      <c r="E134" s="224" t="s">
        <v>1919</v>
      </c>
      <c r="G134" s="224">
        <v>8639.3085272736189</v>
      </c>
      <c r="H134" s="224">
        <v>3950.4837499999999</v>
      </c>
      <c r="I134" s="224">
        <v>4.7124000000000006</v>
      </c>
      <c r="J134" s="224">
        <v>6.9512705014763171E-2</v>
      </c>
      <c r="K134" s="224">
        <v>7.7462408876326605E-2</v>
      </c>
      <c r="L134" s="224">
        <v>9.636438380256393E-2</v>
      </c>
      <c r="M134" s="224">
        <v>0</v>
      </c>
      <c r="N134" s="224">
        <v>0</v>
      </c>
      <c r="O134" s="224">
        <v>0</v>
      </c>
      <c r="P134" s="224">
        <v>0</v>
      </c>
      <c r="Q134" s="224">
        <v>0</v>
      </c>
      <c r="R134" s="224">
        <v>0</v>
      </c>
      <c r="S134" s="224">
        <v>0</v>
      </c>
      <c r="T134" s="224">
        <v>0</v>
      </c>
      <c r="U134" s="224">
        <v>0</v>
      </c>
      <c r="V134" s="224">
        <v>163.87392734999997</v>
      </c>
      <c r="W134" s="224">
        <v>112.8029995</v>
      </c>
      <c r="X134" s="224">
        <v>146.68600478468898</v>
      </c>
      <c r="Y134" s="224">
        <v>4.7124000000000006</v>
      </c>
      <c r="Z134" s="224">
        <v>0</v>
      </c>
      <c r="AA134" s="224">
        <v>10.426905752214473</v>
      </c>
      <c r="AB134" s="224">
        <v>11.619361331448992</v>
      </c>
      <c r="AC134" s="224">
        <v>14.45465757038459</v>
      </c>
      <c r="AD134" s="1121">
        <v>18.533552212055088</v>
      </c>
      <c r="AE134" s="224">
        <v>15809.571266991104</v>
      </c>
      <c r="AF134" s="224">
        <v>4293.8336834250003</v>
      </c>
      <c r="AG134" s="224">
        <v>6395.5098086124399</v>
      </c>
      <c r="AH134" s="224">
        <v>7475.1856432754685</v>
      </c>
      <c r="AI134" s="224">
        <v>40800</v>
      </c>
      <c r="AJ134" s="224">
        <v>1981.7906762525845</v>
      </c>
      <c r="AK134" s="224">
        <v>1214.2458237810094</v>
      </c>
      <c r="AL134" s="224">
        <v>0</v>
      </c>
      <c r="AM134" s="224">
        <v>436.00000000000006</v>
      </c>
      <c r="AN134" s="1121">
        <v>78406.136902337603</v>
      </c>
      <c r="AO134" s="224">
        <f t="shared" si="5"/>
        <v>2.4419808394603781</v>
      </c>
      <c r="AP134" s="1124">
        <v>0.1</v>
      </c>
      <c r="AQ134" s="1124">
        <f t="shared" si="7"/>
        <v>3.5471403350446636E-2</v>
      </c>
      <c r="AR134" s="1124">
        <v>20</v>
      </c>
      <c r="AS134" s="1124">
        <f t="shared" si="10"/>
        <v>0.69944908617468804</v>
      </c>
      <c r="AT134" s="224">
        <f t="shared" si="6"/>
        <v>2781.1757072131554</v>
      </c>
    </row>
    <row r="135" spans="1:46">
      <c r="A135" s="1119">
        <v>2025</v>
      </c>
      <c r="D135" s="1108" t="s">
        <v>1864</v>
      </c>
      <c r="E135" s="224" t="s">
        <v>1919</v>
      </c>
      <c r="G135" s="224">
        <v>8337.5202652810258</v>
      </c>
      <c r="H135" s="224">
        <v>3981.9561999999996</v>
      </c>
      <c r="I135" s="224">
        <v>4.6213200000000008</v>
      </c>
      <c r="J135" s="224">
        <v>5.8609311401376409E-2</v>
      </c>
      <c r="K135" s="224">
        <v>6.2351437171635431E-2</v>
      </c>
      <c r="L135" s="224">
        <v>7.7993167462590135E-2</v>
      </c>
      <c r="M135" s="224">
        <v>0</v>
      </c>
      <c r="N135" s="224">
        <v>0</v>
      </c>
      <c r="O135" s="224">
        <v>0</v>
      </c>
      <c r="P135" s="224">
        <v>0</v>
      </c>
      <c r="Q135" s="224">
        <v>0</v>
      </c>
      <c r="R135" s="224">
        <v>0</v>
      </c>
      <c r="S135" s="224">
        <v>0</v>
      </c>
      <c r="T135" s="224">
        <v>0</v>
      </c>
      <c r="U135" s="224">
        <v>0</v>
      </c>
      <c r="V135" s="224">
        <v>155.79770332499999</v>
      </c>
      <c r="W135" s="224">
        <v>110.37967212500001</v>
      </c>
      <c r="X135" s="224">
        <v>130.64964114832534</v>
      </c>
      <c r="Y135" s="224">
        <v>4.6213200000000008</v>
      </c>
      <c r="Z135" s="224">
        <v>0</v>
      </c>
      <c r="AA135" s="224">
        <v>8.7913967102064614</v>
      </c>
      <c r="AB135" s="224">
        <v>9.3527155757453144</v>
      </c>
      <c r="AC135" s="224">
        <v>11.698975119388521</v>
      </c>
      <c r="AD135" s="1121">
        <v>15.208044153868011</v>
      </c>
      <c r="AE135" s="224">
        <v>16204.807534137737</v>
      </c>
      <c r="AF135" s="224">
        <v>2076.5743628312503</v>
      </c>
      <c r="AG135" s="224">
        <v>4184.1473684210532</v>
      </c>
      <c r="AH135" s="224">
        <v>7209.1633009934994</v>
      </c>
      <c r="AI135" s="224">
        <v>40800</v>
      </c>
      <c r="AJ135" s="224">
        <v>2363.0182694392256</v>
      </c>
      <c r="AK135" s="224">
        <v>2829.8971847014668</v>
      </c>
      <c r="AL135" s="224">
        <v>0</v>
      </c>
      <c r="AM135" s="224">
        <v>352.00000000000006</v>
      </c>
      <c r="AN135" s="1121">
        <v>76019.608020524232</v>
      </c>
      <c r="AO135" s="224">
        <f t="shared" si="5"/>
        <v>2.003811897713649</v>
      </c>
      <c r="AP135" s="1124">
        <v>0.1</v>
      </c>
      <c r="AQ135" s="1124">
        <f t="shared" si="7"/>
        <v>3.5471403350446636E-2</v>
      </c>
      <c r="AR135" s="1124">
        <v>20</v>
      </c>
      <c r="AS135" s="1124">
        <f t="shared" si="10"/>
        <v>0.57394569935753181</v>
      </c>
      <c r="AT135" s="224">
        <f t="shared" si="6"/>
        <v>2696.5221786388634</v>
      </c>
    </row>
    <row r="136" spans="1:46">
      <c r="A136" s="1119">
        <v>2030</v>
      </c>
      <c r="D136" s="1108" t="s">
        <v>1864</v>
      </c>
      <c r="E136" s="224" t="s">
        <v>1919</v>
      </c>
      <c r="G136" s="224">
        <v>8168.4771848717528</v>
      </c>
      <c r="H136" s="224">
        <v>4019.5814499999997</v>
      </c>
      <c r="I136" s="224">
        <v>4.550040000000001</v>
      </c>
      <c r="J136" s="224">
        <v>5.3789831379861347E-2</v>
      </c>
      <c r="K136" s="224">
        <v>5.6777141700606278E-2</v>
      </c>
      <c r="L136" s="224">
        <v>7.1134620632623879E-2</v>
      </c>
      <c r="M136" s="224">
        <v>0</v>
      </c>
      <c r="N136" s="224">
        <v>0</v>
      </c>
      <c r="O136" s="224">
        <v>0</v>
      </c>
      <c r="P136" s="224">
        <v>0</v>
      </c>
      <c r="Q136" s="224">
        <v>0</v>
      </c>
      <c r="R136" s="224">
        <v>0</v>
      </c>
      <c r="S136" s="224">
        <v>0</v>
      </c>
      <c r="T136" s="224">
        <v>0</v>
      </c>
      <c r="U136" s="224">
        <v>0</v>
      </c>
      <c r="V136" s="224">
        <v>149.43881347500002</v>
      </c>
      <c r="W136" s="224">
        <v>108.54191707500001</v>
      </c>
      <c r="X136" s="224">
        <v>100.8063761565945</v>
      </c>
      <c r="Y136" s="224">
        <v>4.550040000000001</v>
      </c>
      <c r="Z136" s="224">
        <v>0</v>
      </c>
      <c r="AA136" s="224">
        <v>8.0684747069792007</v>
      </c>
      <c r="AB136" s="224">
        <v>8.5165712550909412</v>
      </c>
      <c r="AC136" s="224">
        <v>10.670193094893584</v>
      </c>
      <c r="AD136" s="1121">
        <v>13.686421388967844</v>
      </c>
      <c r="AE136" s="224">
        <v>16006.238656065889</v>
      </c>
      <c r="AF136" s="224">
        <v>1504.3106239468952</v>
      </c>
      <c r="AG136" s="224">
        <v>2579.4896905365376</v>
      </c>
      <c r="AH136" s="224">
        <v>7000.8761668322431</v>
      </c>
      <c r="AI136" s="224">
        <v>40800</v>
      </c>
      <c r="AJ136" s="224">
        <v>2851.055440532888</v>
      </c>
      <c r="AK136" s="224">
        <v>3508.029060192428</v>
      </c>
      <c r="AL136" s="224">
        <v>0</v>
      </c>
      <c r="AM136" s="224">
        <v>296</v>
      </c>
      <c r="AN136" s="1121">
        <v>74545.999638106878</v>
      </c>
      <c r="AO136" s="224">
        <f t="shared" si="5"/>
        <v>1.803322882210403</v>
      </c>
      <c r="AP136" s="1124">
        <v>0.1</v>
      </c>
      <c r="AQ136" s="1124">
        <f t="shared" si="7"/>
        <v>3.5471403350446636E-2</v>
      </c>
      <c r="AR136" s="1124">
        <v>20</v>
      </c>
      <c r="AS136" s="1124">
        <f t="shared" si="10"/>
        <v>0.51652024522792594</v>
      </c>
      <c r="AT136" s="224">
        <f t="shared" si="6"/>
        <v>2644.2512213255382</v>
      </c>
    </row>
    <row r="137" spans="1:46">
      <c r="A137" s="1119">
        <v>2035</v>
      </c>
      <c r="D137" s="1108" t="s">
        <v>1864</v>
      </c>
      <c r="E137" s="224" t="s">
        <v>1919</v>
      </c>
      <c r="G137" s="224">
        <v>8056.6915386154906</v>
      </c>
      <c r="H137" s="224">
        <v>4055.8958750000002</v>
      </c>
      <c r="I137" s="224">
        <v>4.51044</v>
      </c>
      <c r="J137" s="224">
        <v>5.0454922148804301E-2</v>
      </c>
      <c r="K137" s="224">
        <v>5.3379226077392539E-2</v>
      </c>
      <c r="L137" s="224">
        <v>6.7000739414086116E-2</v>
      </c>
      <c r="M137" s="224">
        <v>0</v>
      </c>
      <c r="N137" s="224">
        <v>0</v>
      </c>
      <c r="O137" s="224">
        <v>0</v>
      </c>
      <c r="P137" s="224">
        <v>0</v>
      </c>
      <c r="Q137" s="224">
        <v>0</v>
      </c>
      <c r="R137" s="224">
        <v>0</v>
      </c>
      <c r="S137" s="224">
        <v>0</v>
      </c>
      <c r="T137" s="224">
        <v>0</v>
      </c>
      <c r="U137" s="224">
        <v>0</v>
      </c>
      <c r="V137" s="224">
        <v>136.947208375</v>
      </c>
      <c r="W137" s="224">
        <v>107.78469377499999</v>
      </c>
      <c r="X137" s="224">
        <v>85.238482532751064</v>
      </c>
      <c r="Y137" s="224">
        <v>4.51044</v>
      </c>
      <c r="Z137" s="224">
        <v>0</v>
      </c>
      <c r="AA137" s="224">
        <v>7.5682383223206458</v>
      </c>
      <c r="AB137" s="224">
        <v>8.006883911608881</v>
      </c>
      <c r="AC137" s="224">
        <v>10.050110912112917</v>
      </c>
      <c r="AD137" s="1121">
        <v>12.659036135157805</v>
      </c>
      <c r="AE137" s="224">
        <v>15351.602458180867</v>
      </c>
      <c r="AF137" s="224">
        <v>1219.8626729088001</v>
      </c>
      <c r="AG137" s="224">
        <v>1636.0400436681214</v>
      </c>
      <c r="AH137" s="224">
        <v>6639.12851107592</v>
      </c>
      <c r="AI137" s="224">
        <v>40800</v>
      </c>
      <c r="AJ137" s="224">
        <v>3431.2796019510192</v>
      </c>
      <c r="AK137" s="224">
        <v>3935.8667708711309</v>
      </c>
      <c r="AL137" s="224">
        <v>0</v>
      </c>
      <c r="AM137" s="224">
        <v>240</v>
      </c>
      <c r="AN137" s="1121">
        <v>73253.780058655859</v>
      </c>
      <c r="AO137" s="224">
        <f t="shared" si="5"/>
        <v>1.6679546011683923</v>
      </c>
      <c r="AP137" s="1124">
        <v>0.1</v>
      </c>
      <c r="AQ137" s="1124">
        <f t="shared" si="7"/>
        <v>3.5471403350446636E-2</v>
      </c>
      <c r="AR137" s="1124">
        <v>20</v>
      </c>
      <c r="AS137" s="1124">
        <f t="shared" si="10"/>
        <v>0.47774712344831549</v>
      </c>
      <c r="AT137" s="224">
        <f t="shared" si="6"/>
        <v>2598.4143794054862</v>
      </c>
    </row>
    <row r="138" spans="1:46">
      <c r="A138" s="1119">
        <v>2050</v>
      </c>
      <c r="D138" s="1108" t="s">
        <v>1864</v>
      </c>
      <c r="E138" s="224" t="s">
        <v>1919</v>
      </c>
      <c r="G138" s="224">
        <v>7952.7604660087854</v>
      </c>
      <c r="H138" s="224">
        <v>4104.9930750000003</v>
      </c>
      <c r="I138" s="224">
        <v>4.5025200000000005</v>
      </c>
      <c r="J138" s="224">
        <v>4.7016940308620095E-2</v>
      </c>
      <c r="K138" s="224">
        <v>4.9639372204092584E-2</v>
      </c>
      <c r="L138" s="224">
        <v>6.2247967080612608E-2</v>
      </c>
      <c r="M138" s="224">
        <v>0</v>
      </c>
      <c r="N138" s="224">
        <v>0</v>
      </c>
      <c r="O138" s="224">
        <v>0</v>
      </c>
      <c r="P138" s="224">
        <v>0</v>
      </c>
      <c r="Q138" s="224">
        <v>0</v>
      </c>
      <c r="R138" s="224">
        <v>0</v>
      </c>
      <c r="S138" s="224">
        <v>0</v>
      </c>
      <c r="T138" s="224">
        <v>0</v>
      </c>
      <c r="U138" s="224">
        <v>0</v>
      </c>
      <c r="V138" s="224">
        <v>133.95213972499999</v>
      </c>
      <c r="W138" s="224">
        <v>107.43005837500002</v>
      </c>
      <c r="X138" s="224">
        <v>85.08881004366809</v>
      </c>
      <c r="Y138" s="224">
        <v>4.5025200000000005</v>
      </c>
      <c r="Z138" s="224">
        <v>0</v>
      </c>
      <c r="AA138" s="224">
        <v>7.0525410462930136</v>
      </c>
      <c r="AB138" s="224">
        <v>7.4459058306138877</v>
      </c>
      <c r="AC138" s="224">
        <v>9.337195062091892</v>
      </c>
      <c r="AD138" s="1121">
        <v>11.64275768427796</v>
      </c>
      <c r="AE138" s="224">
        <v>15639.325321467129</v>
      </c>
      <c r="AF138" s="224">
        <v>726.81345026700001</v>
      </c>
      <c r="AG138" s="224">
        <v>1532.4966157205231</v>
      </c>
      <c r="AH138" s="224">
        <v>6549.5168080050462</v>
      </c>
      <c r="AI138" s="224">
        <v>40800</v>
      </c>
      <c r="AJ138" s="224">
        <v>4216.1246270287984</v>
      </c>
      <c r="AK138" s="224">
        <v>4842.5801991868502</v>
      </c>
      <c r="AL138" s="224">
        <v>0</v>
      </c>
      <c r="AM138" s="224">
        <v>240</v>
      </c>
      <c r="AN138" s="1121">
        <v>74546.857021675358</v>
      </c>
      <c r="AO138" s="224">
        <f t="shared" si="5"/>
        <v>1.5340497524804639</v>
      </c>
      <c r="AP138" s="1124">
        <v>0.1</v>
      </c>
      <c r="AQ138" s="1124">
        <f t="shared" si="7"/>
        <v>3.5471403350446636E-2</v>
      </c>
      <c r="AR138" s="1124">
        <v>20</v>
      </c>
      <c r="AS138" s="1124">
        <f t="shared" si="10"/>
        <v>0.43939316811186491</v>
      </c>
      <c r="AT138" s="224">
        <f t="shared" si="6"/>
        <v>2644.2816339239216</v>
      </c>
    </row>
    <row r="139" spans="1:46">
      <c r="A139" s="1119">
        <v>2017</v>
      </c>
      <c r="D139" s="1108" t="s">
        <v>1864</v>
      </c>
      <c r="E139" s="224" t="s">
        <v>1920</v>
      </c>
      <c r="G139" s="224">
        <v>9963.9864677145597</v>
      </c>
      <c r="H139" s="224">
        <v>3840.5</v>
      </c>
      <c r="I139" s="224">
        <v>150.74981250000002</v>
      </c>
      <c r="J139" s="224">
        <v>8.4137088915472252E-2</v>
      </c>
      <c r="K139" s="224">
        <v>0.10042871987630464</v>
      </c>
      <c r="L139" s="224">
        <v>0.12385807486318451</v>
      </c>
      <c r="M139" s="224">
        <v>2.8703531113817505E-2</v>
      </c>
      <c r="N139" s="224">
        <v>3.4930946431634885E-2</v>
      </c>
      <c r="O139" s="224">
        <v>4.2985247683351505E-2</v>
      </c>
      <c r="P139" s="224">
        <v>-42.386338414795411</v>
      </c>
      <c r="Q139" s="224">
        <v>-11.72009291688979</v>
      </c>
      <c r="R139" s="224">
        <v>-22.275855225202825</v>
      </c>
      <c r="S139" s="224">
        <v>1080.8627885400911</v>
      </c>
      <c r="T139" s="224">
        <v>1315.3629083728445</v>
      </c>
      <c r="U139" s="224">
        <v>1618.6564117453827</v>
      </c>
      <c r="V139" s="224">
        <v>170</v>
      </c>
      <c r="W139" s="224">
        <v>234.79864429999998</v>
      </c>
      <c r="X139" s="224">
        <v>352.19796644999997</v>
      </c>
      <c r="Y139" s="224">
        <v>150.37743749999998</v>
      </c>
      <c r="Z139" s="224">
        <v>0</v>
      </c>
      <c r="AA139" s="224">
        <v>5.6538681218861919</v>
      </c>
      <c r="AB139" s="224">
        <v>8.3270863016276451</v>
      </c>
      <c r="AC139" s="224">
        <v>11.821438025500743</v>
      </c>
      <c r="AD139" s="1121">
        <v>8.356942104514161</v>
      </c>
      <c r="AE139" s="224">
        <v>15922.439999999999</v>
      </c>
      <c r="AF139" s="224">
        <v>10932.81184047</v>
      </c>
      <c r="AG139" s="224">
        <v>85561.754388749992</v>
      </c>
      <c r="AH139" s="224">
        <v>0</v>
      </c>
      <c r="AI139" s="224">
        <v>40800</v>
      </c>
      <c r="AJ139" s="224">
        <v>0</v>
      </c>
      <c r="AK139" s="224">
        <v>745.98720000000003</v>
      </c>
      <c r="AL139" s="224">
        <v>0</v>
      </c>
      <c r="AM139" s="224">
        <v>436.00000000000006</v>
      </c>
      <c r="AN139" s="1121">
        <v>154398.99342921999</v>
      </c>
      <c r="AO139" s="224">
        <f t="shared" si="5"/>
        <v>1.1011106916907858</v>
      </c>
      <c r="AP139" s="1124">
        <v>0.1</v>
      </c>
      <c r="AQ139" s="1124">
        <f t="shared" si="7"/>
        <v>3.5471403350446636E-2</v>
      </c>
      <c r="AR139" s="1124">
        <v>20</v>
      </c>
      <c r="AS139" s="1124">
        <f t="shared" si="10"/>
        <v>0.3153877600655085</v>
      </c>
      <c r="AT139" s="224">
        <f t="shared" si="6"/>
        <v>5476.7489728308219</v>
      </c>
    </row>
    <row r="140" spans="1:46">
      <c r="A140" s="1122">
        <v>2020</v>
      </c>
      <c r="D140" s="1108" t="s">
        <v>1864</v>
      </c>
      <c r="E140" s="224" t="s">
        <v>1920</v>
      </c>
      <c r="G140" s="224">
        <v>9577.7770919686445</v>
      </c>
      <c r="H140" s="224">
        <v>3950.4837499999999</v>
      </c>
      <c r="I140" s="224">
        <v>140.5095</v>
      </c>
      <c r="J140" s="224">
        <v>7.6499849278710966E-2</v>
      </c>
      <c r="K140" s="224">
        <v>9.0613676951541558E-2</v>
      </c>
      <c r="L140" s="224">
        <v>0.11160670285087357</v>
      </c>
      <c r="M140" s="224">
        <v>2.6453867162826945E-2</v>
      </c>
      <c r="N140" s="224">
        <v>3.2157039093303141E-2</v>
      </c>
      <c r="O140" s="224">
        <v>3.9535049183986599E-2</v>
      </c>
      <c r="P140" s="224">
        <v>-33.710690106614919</v>
      </c>
      <c r="Q140" s="224">
        <v>-12.579292568675275</v>
      </c>
      <c r="R140" s="224">
        <v>-21.868565293694552</v>
      </c>
      <c r="S140" s="224">
        <v>996.14923738487278</v>
      </c>
      <c r="T140" s="224">
        <v>1210.9084003552657</v>
      </c>
      <c r="U140" s="224">
        <v>1488.7354220158227</v>
      </c>
      <c r="V140" s="224">
        <v>160</v>
      </c>
      <c r="W140" s="224">
        <v>222.16069160000001</v>
      </c>
      <c r="X140" s="224">
        <v>333.24103740000004</v>
      </c>
      <c r="Y140" s="224">
        <v>140.32331250000001</v>
      </c>
      <c r="Z140" s="224">
        <v>0</v>
      </c>
      <c r="AA140" s="224">
        <v>5.1186579674094954</v>
      </c>
      <c r="AB140" s="224">
        <v>7.4965852657687044</v>
      </c>
      <c r="AC140" s="224">
        <v>10.628787634443164</v>
      </c>
      <c r="AD140" s="1121">
        <v>7.3708585742218737</v>
      </c>
      <c r="AE140" s="224">
        <v>15674.462296645957</v>
      </c>
      <c r="AF140" s="224">
        <v>7919.0411765399995</v>
      </c>
      <c r="AG140" s="224">
        <v>74334.871563749999</v>
      </c>
      <c r="AH140" s="224">
        <v>0</v>
      </c>
      <c r="AI140" s="224">
        <v>40800</v>
      </c>
      <c r="AJ140" s="224">
        <v>1981.7906762525845</v>
      </c>
      <c r="AK140" s="224">
        <v>1214.2458237810094</v>
      </c>
      <c r="AL140" s="224">
        <v>0</v>
      </c>
      <c r="AM140" s="224">
        <v>436.00000000000006</v>
      </c>
      <c r="AN140" s="1121">
        <v>142360.41153696954</v>
      </c>
      <c r="AO140" s="224">
        <f t="shared" si="5"/>
        <v>0.971184325739474</v>
      </c>
      <c r="AP140" s="1124">
        <v>0.1</v>
      </c>
      <c r="AQ140" s="1124">
        <f t="shared" si="7"/>
        <v>3.5471403350446636E-2</v>
      </c>
      <c r="AR140" s="1124">
        <v>20</v>
      </c>
      <c r="AS140" s="1124">
        <f t="shared" si="10"/>
        <v>0.27817334934362714</v>
      </c>
      <c r="AT140" s="224">
        <f t="shared" si="6"/>
        <v>5049.7235787634227</v>
      </c>
    </row>
    <row r="141" spans="1:46">
      <c r="A141" s="1119">
        <v>2025</v>
      </c>
      <c r="D141" s="1108" t="s">
        <v>1864</v>
      </c>
      <c r="E141" s="224" t="s">
        <v>1920</v>
      </c>
      <c r="G141" s="224">
        <v>9166.2201468744643</v>
      </c>
      <c r="H141" s="224">
        <v>3981.9561999999996</v>
      </c>
      <c r="I141" s="224">
        <v>124.09396875000002</v>
      </c>
      <c r="J141" s="224">
        <v>6.464416213746467E-2</v>
      </c>
      <c r="K141" s="224">
        <v>7.3417908809366592E-2</v>
      </c>
      <c r="L141" s="224">
        <v>9.1151521286492815E-2</v>
      </c>
      <c r="M141" s="224">
        <v>2.3488630239005485E-2</v>
      </c>
      <c r="N141" s="224">
        <v>2.7596497896195889E-2</v>
      </c>
      <c r="O141" s="224">
        <v>3.3795623142702409E-2</v>
      </c>
      <c r="P141" s="224">
        <v>-20.953287884257634</v>
      </c>
      <c r="Q141" s="224">
        <v>3.4671777686257004</v>
      </c>
      <c r="R141" s="224">
        <v>-28.400097396990915</v>
      </c>
      <c r="S141" s="224">
        <v>884.49000502579713</v>
      </c>
      <c r="T141" s="224">
        <v>1039.1762446141765</v>
      </c>
      <c r="U141" s="224">
        <v>1272.611070938483</v>
      </c>
      <c r="V141" s="224">
        <v>137.5</v>
      </c>
      <c r="W141" s="224">
        <v>202.82823310000001</v>
      </c>
      <c r="X141" s="224">
        <v>304.24234964999999</v>
      </c>
      <c r="Y141" s="224">
        <v>123.65953125</v>
      </c>
      <c r="Z141" s="224">
        <v>0</v>
      </c>
      <c r="AA141" s="224">
        <v>4.5369707988876664</v>
      </c>
      <c r="AB141" s="224">
        <v>6.103814317154117</v>
      </c>
      <c r="AC141" s="224">
        <v>8.6535431022283511</v>
      </c>
      <c r="AD141" s="1121">
        <v>6.3800894788882481</v>
      </c>
      <c r="AE141" s="224">
        <v>14759.705905664594</v>
      </c>
      <c r="AF141" s="224">
        <v>3628.3676139025001</v>
      </c>
      <c r="AG141" s="224">
        <v>39767.639175000004</v>
      </c>
      <c r="AH141" s="224">
        <v>0</v>
      </c>
      <c r="AI141" s="224">
        <v>40800</v>
      </c>
      <c r="AJ141" s="224">
        <v>2363.0182694392256</v>
      </c>
      <c r="AK141" s="224">
        <v>2829.8971847014668</v>
      </c>
      <c r="AL141" s="224">
        <v>0</v>
      </c>
      <c r="AM141" s="224">
        <v>352.00000000000006</v>
      </c>
      <c r="AN141" s="1121">
        <v>104500.62814870779</v>
      </c>
      <c r="AO141" s="224">
        <f t="shared" si="5"/>
        <v>0.84064058973831546</v>
      </c>
      <c r="AP141" s="1124">
        <v>0.1</v>
      </c>
      <c r="AQ141" s="1124">
        <f t="shared" si="7"/>
        <v>3.5471403350446636E-2</v>
      </c>
      <c r="AR141" s="1124">
        <v>20</v>
      </c>
      <c r="AS141" s="1124">
        <f t="shared" si="10"/>
        <v>0.24078210721086038</v>
      </c>
      <c r="AT141" s="224">
        <f t="shared" si="6"/>
        <v>3706.7839314378516</v>
      </c>
    </row>
    <row r="142" spans="1:46">
      <c r="A142" s="1119">
        <v>2030</v>
      </c>
      <c r="D142" s="1108" t="s">
        <v>1864</v>
      </c>
      <c r="E142" s="224" t="s">
        <v>1920</v>
      </c>
      <c r="G142" s="224">
        <v>8940.0632791102962</v>
      </c>
      <c r="H142" s="224">
        <v>4019.5814499999997</v>
      </c>
      <c r="I142" s="224">
        <v>117.4843125</v>
      </c>
      <c r="J142" s="224">
        <v>5.968703552774355E-2</v>
      </c>
      <c r="K142" s="224">
        <v>6.7736409333635977E-2</v>
      </c>
      <c r="L142" s="224">
        <v>8.4162392804370767E-2</v>
      </c>
      <c r="M142" s="224">
        <v>2.1943110540730084E-2</v>
      </c>
      <c r="N142" s="224">
        <v>2.5892047386024131E-2</v>
      </c>
      <c r="O142" s="224">
        <v>3.1690865018071446E-2</v>
      </c>
      <c r="P142" s="224">
        <v>-23.864214779971071</v>
      </c>
      <c r="Q142" s="224">
        <v>4.8653992976155021</v>
      </c>
      <c r="R142" s="224">
        <v>-29.430058531782358</v>
      </c>
      <c r="S142" s="224">
        <v>826.2917741462021</v>
      </c>
      <c r="T142" s="224">
        <v>974.99330056984672</v>
      </c>
      <c r="U142" s="224">
        <v>1193.3541068120066</v>
      </c>
      <c r="V142" s="224">
        <v>130</v>
      </c>
      <c r="W142" s="224">
        <v>197.12646230000001</v>
      </c>
      <c r="X142" s="224">
        <v>295.68969344999999</v>
      </c>
      <c r="Y142" s="224">
        <v>117.17400000000001</v>
      </c>
      <c r="Z142" s="224">
        <v>0</v>
      </c>
      <c r="AA142" s="224">
        <v>4.1671057890599332</v>
      </c>
      <c r="AB142" s="224">
        <v>5.6317991986471529</v>
      </c>
      <c r="AC142" s="224">
        <v>7.9814339490089719</v>
      </c>
      <c r="AD142" s="1121">
        <v>5.9143194253262852</v>
      </c>
      <c r="AE142" s="224">
        <v>14492.24544136646</v>
      </c>
      <c r="AF142" s="224">
        <v>2617.0740006834153</v>
      </c>
      <c r="AG142" s="224">
        <v>26651.301395625</v>
      </c>
      <c r="AH142" s="224">
        <v>0</v>
      </c>
      <c r="AI142" s="224">
        <v>40800</v>
      </c>
      <c r="AJ142" s="224">
        <v>2851.055440532888</v>
      </c>
      <c r="AK142" s="224">
        <v>3508.029060192428</v>
      </c>
      <c r="AL142" s="224">
        <v>0</v>
      </c>
      <c r="AM142" s="224">
        <v>296</v>
      </c>
      <c r="AN142" s="1121">
        <v>91215.705338400177</v>
      </c>
      <c r="AO142" s="224">
        <f t="shared" ref="AO142:AO205" si="11">AD142*$C$4</f>
        <v>0.77927072748099124</v>
      </c>
      <c r="AP142" s="1124">
        <v>0.1</v>
      </c>
      <c r="AQ142" s="1124">
        <f t="shared" si="7"/>
        <v>3.5471403350446636E-2</v>
      </c>
      <c r="AR142" s="1124">
        <v>20</v>
      </c>
      <c r="AS142" s="1124">
        <f t="shared" si="10"/>
        <v>0.22320412568827097</v>
      </c>
      <c r="AT142" s="224">
        <f t="shared" ref="AT142:AT205" si="12">AN142*AQ142</f>
        <v>3235.5490759538811</v>
      </c>
    </row>
    <row r="143" spans="1:46">
      <c r="A143" s="1119">
        <v>2035</v>
      </c>
      <c r="D143" s="1108" t="s">
        <v>1864</v>
      </c>
      <c r="E143" s="224" t="s">
        <v>1920</v>
      </c>
      <c r="G143" s="224">
        <v>8809.8491529906714</v>
      </c>
      <c r="H143" s="224">
        <v>4055.8958750000002</v>
      </c>
      <c r="I143" s="224">
        <v>109.105875</v>
      </c>
      <c r="J143" s="224">
        <v>5.6397683167089069E-2</v>
      </c>
      <c r="K143" s="224">
        <v>6.4433386754991676E-2</v>
      </c>
      <c r="L143" s="224">
        <v>8.0112675039168899E-2</v>
      </c>
      <c r="M143" s="224">
        <v>2.096566509834235E-2</v>
      </c>
      <c r="N143" s="224">
        <v>2.4915672805124356E-2</v>
      </c>
      <c r="O143" s="224">
        <v>3.0510089907083999E-2</v>
      </c>
      <c r="P143" s="224">
        <v>-24.35069647399342</v>
      </c>
      <c r="Q143" s="224">
        <v>5.0874354253391827</v>
      </c>
      <c r="R143" s="224">
        <v>-27.680290170041495</v>
      </c>
      <c r="S143" s="224">
        <v>789.48499931714878</v>
      </c>
      <c r="T143" s="224">
        <v>938.22685019876417</v>
      </c>
      <c r="U143" s="224">
        <v>1148.8907314161393</v>
      </c>
      <c r="V143" s="224">
        <v>127.5</v>
      </c>
      <c r="W143" s="224">
        <v>193.46780687500001</v>
      </c>
      <c r="X143" s="224">
        <v>290.20171031249998</v>
      </c>
      <c r="Y143" s="224">
        <v>108.6714375</v>
      </c>
      <c r="Z143" s="224">
        <v>0</v>
      </c>
      <c r="AA143" s="224">
        <v>3.9143247940582011</v>
      </c>
      <c r="AB143" s="224">
        <v>5.3575913330268179</v>
      </c>
      <c r="AC143" s="224">
        <v>7.5976793853362858</v>
      </c>
      <c r="AD143" s="1121">
        <v>5.6199360667755975</v>
      </c>
      <c r="AE143" s="224">
        <v>14708.304906832294</v>
      </c>
      <c r="AF143" s="224">
        <v>2105.4431583671999</v>
      </c>
      <c r="AG143" s="224">
        <v>18407.859142499998</v>
      </c>
      <c r="AH143" s="224">
        <v>0</v>
      </c>
      <c r="AI143" s="224">
        <v>40800</v>
      </c>
      <c r="AJ143" s="224">
        <v>3431.2796019510192</v>
      </c>
      <c r="AK143" s="224">
        <v>3935.8667708711309</v>
      </c>
      <c r="AL143" s="224">
        <v>0</v>
      </c>
      <c r="AM143" s="224">
        <v>240</v>
      </c>
      <c r="AN143" s="1121">
        <v>83628.753580521632</v>
      </c>
      <c r="AO143" s="224">
        <f t="shared" si="11"/>
        <v>0.74048277615835267</v>
      </c>
      <c r="AP143" s="1124">
        <v>0.1</v>
      </c>
      <c r="AQ143" s="1124">
        <f t="shared" ref="AQ143:AQ206" si="13">AQ142</f>
        <v>3.5471403350446636E-2</v>
      </c>
      <c r="AR143" s="1124">
        <v>20</v>
      </c>
      <c r="AS143" s="1124">
        <f t="shared" si="10"/>
        <v>0.21209421169189294</v>
      </c>
      <c r="AT143" s="224">
        <f t="shared" si="12"/>
        <v>2966.429249949791</v>
      </c>
    </row>
    <row r="144" spans="1:46">
      <c r="A144" s="1119">
        <v>2050</v>
      </c>
      <c r="D144" s="1108" t="s">
        <v>1864</v>
      </c>
      <c r="E144" s="224" t="s">
        <v>1920</v>
      </c>
      <c r="G144" s="224">
        <v>8637.6327131716334</v>
      </c>
      <c r="H144" s="224">
        <v>4104.9930750000003</v>
      </c>
      <c r="I144" s="224">
        <v>103.8305625</v>
      </c>
      <c r="J144" s="224">
        <v>5.1968003043274848E-2</v>
      </c>
      <c r="K144" s="224">
        <v>5.9799913945344396E-2</v>
      </c>
      <c r="L144" s="224">
        <v>7.4250424676182314E-2</v>
      </c>
      <c r="M144" s="224">
        <v>1.9592762843330669E-2</v>
      </c>
      <c r="N144" s="224">
        <v>2.3464840270074741E-2</v>
      </c>
      <c r="O144" s="224">
        <v>2.8749554526415456E-2</v>
      </c>
      <c r="P144" s="224">
        <v>-26.816324784001665</v>
      </c>
      <c r="Q144" s="224">
        <v>-0.94608017182925996</v>
      </c>
      <c r="R144" s="224">
        <v>-29.817580842408319</v>
      </c>
      <c r="S144" s="224">
        <v>737.78686664278371</v>
      </c>
      <c r="T144" s="224">
        <v>883.5941677834802</v>
      </c>
      <c r="U144" s="224">
        <v>1082.5958503672753</v>
      </c>
      <c r="V144" s="224">
        <v>122.5</v>
      </c>
      <c r="W144" s="224">
        <v>188.30649265</v>
      </c>
      <c r="X144" s="224">
        <v>282.45973897500005</v>
      </c>
      <c r="Y144" s="224">
        <v>103.42715625</v>
      </c>
      <c r="Z144" s="224">
        <v>0</v>
      </c>
      <c r="AA144" s="224">
        <v>3.5784015266947877</v>
      </c>
      <c r="AB144" s="224">
        <v>4.9647896966960401</v>
      </c>
      <c r="AC144" s="224">
        <v>7.03859291202129</v>
      </c>
      <c r="AD144" s="1121">
        <v>5.2116061980814212</v>
      </c>
      <c r="AE144" s="224">
        <v>14801.050236024845</v>
      </c>
      <c r="AF144" s="224">
        <v>1239.7742302859999</v>
      </c>
      <c r="AG144" s="224">
        <v>14519.978158499998</v>
      </c>
      <c r="AH144" s="224">
        <v>0</v>
      </c>
      <c r="AI144" s="224">
        <v>40800</v>
      </c>
      <c r="AJ144" s="224">
        <v>4216.1246270287984</v>
      </c>
      <c r="AK144" s="224">
        <v>4842.5801991868502</v>
      </c>
      <c r="AL144" s="224">
        <v>0</v>
      </c>
      <c r="AM144" s="224">
        <v>240</v>
      </c>
      <c r="AN144" s="1121">
        <v>80659.507451026482</v>
      </c>
      <c r="AO144" s="224">
        <f t="shared" si="11"/>
        <v>0.686681232659208</v>
      </c>
      <c r="AP144" s="1124">
        <v>0.1</v>
      </c>
      <c r="AQ144" s="1124">
        <f t="shared" si="13"/>
        <v>3.5471403350446636E-2</v>
      </c>
      <c r="AR144" s="1124">
        <v>20</v>
      </c>
      <c r="AS144" s="1124">
        <f t="shared" si="10"/>
        <v>0.19668400051121054</v>
      </c>
      <c r="AT144" s="224">
        <f t="shared" si="12"/>
        <v>2861.1059228437161</v>
      </c>
    </row>
    <row r="145" spans="1:46">
      <c r="A145" s="1119">
        <v>2017</v>
      </c>
      <c r="D145" s="1108" t="s">
        <v>1864</v>
      </c>
      <c r="E145" s="224" t="s">
        <v>1921</v>
      </c>
      <c r="G145" s="224">
        <v>9469.985274704999</v>
      </c>
      <c r="H145" s="224">
        <v>3840.5</v>
      </c>
      <c r="I145" s="224">
        <v>293.18324999999999</v>
      </c>
      <c r="J145" s="224">
        <v>0</v>
      </c>
      <c r="K145" s="224">
        <v>0</v>
      </c>
      <c r="L145" s="224">
        <v>0</v>
      </c>
      <c r="M145" s="224">
        <v>0</v>
      </c>
      <c r="N145" s="224">
        <v>0</v>
      </c>
      <c r="O145" s="224">
        <v>0</v>
      </c>
      <c r="P145" s="224">
        <v>0</v>
      </c>
      <c r="Q145" s="224">
        <v>0</v>
      </c>
      <c r="R145" s="224">
        <v>0</v>
      </c>
      <c r="S145" s="224">
        <v>964.74156206640964</v>
      </c>
      <c r="T145" s="224">
        <v>1428.4438270669507</v>
      </c>
      <c r="U145" s="224">
        <v>1767.5797310780486</v>
      </c>
      <c r="V145" s="224">
        <v>0</v>
      </c>
      <c r="W145" s="224">
        <v>208.55620490000001</v>
      </c>
      <c r="X145" s="224">
        <v>312.83430735000002</v>
      </c>
      <c r="Y145" s="224">
        <v>293.18324999999999</v>
      </c>
      <c r="Z145" s="224">
        <v>0</v>
      </c>
      <c r="AA145" s="224">
        <v>3.8435918807426681</v>
      </c>
      <c r="AB145" s="224">
        <v>5.6910112632149437</v>
      </c>
      <c r="AC145" s="224">
        <v>7.0421503230201132</v>
      </c>
      <c r="AD145" s="1121">
        <v>8.2182058522427379</v>
      </c>
      <c r="AE145" s="224">
        <v>0</v>
      </c>
      <c r="AF145" s="224">
        <v>9807.0111902099998</v>
      </c>
      <c r="AG145" s="224">
        <v>166815.405585</v>
      </c>
      <c r="AH145" s="224">
        <v>0</v>
      </c>
      <c r="AI145" s="224">
        <v>40800</v>
      </c>
      <c r="AJ145" s="224">
        <v>0</v>
      </c>
      <c r="AK145" s="224">
        <v>745.98720000000003</v>
      </c>
      <c r="AL145" s="224">
        <v>0</v>
      </c>
      <c r="AM145" s="224">
        <v>0</v>
      </c>
      <c r="AN145" s="1121">
        <v>218168.40397520998</v>
      </c>
      <c r="AO145" s="224">
        <f t="shared" si="11"/>
        <v>1.082830803091503</v>
      </c>
      <c r="AP145" s="1124">
        <v>0.1</v>
      </c>
      <c r="AQ145" s="1124">
        <f t="shared" si="13"/>
        <v>3.5471403350446636E-2</v>
      </c>
      <c r="AR145" s="1124">
        <v>20</v>
      </c>
      <c r="AS145" s="1124">
        <f t="shared" si="10"/>
        <v>0.31015190760936523</v>
      </c>
      <c r="AT145" s="224">
        <f t="shared" si="12"/>
        <v>7738.7394557278585</v>
      </c>
    </row>
    <row r="146" spans="1:46">
      <c r="A146" s="1122">
        <v>2020</v>
      </c>
      <c r="D146" s="1108" t="s">
        <v>1864</v>
      </c>
      <c r="E146" s="224" t="s">
        <v>1921</v>
      </c>
      <c r="G146" s="224">
        <v>9041.7268638538226</v>
      </c>
      <c r="H146" s="224">
        <v>3950.4837499999999</v>
      </c>
      <c r="I146" s="224">
        <v>272.57849999999996</v>
      </c>
      <c r="J146" s="224">
        <v>0</v>
      </c>
      <c r="K146" s="224">
        <v>0</v>
      </c>
      <c r="L146" s="224">
        <v>0</v>
      </c>
      <c r="M146" s="224">
        <v>0</v>
      </c>
      <c r="N146" s="224">
        <v>0</v>
      </c>
      <c r="O146" s="224">
        <v>0</v>
      </c>
      <c r="P146" s="224">
        <v>0</v>
      </c>
      <c r="Q146" s="224">
        <v>0</v>
      </c>
      <c r="R146" s="224">
        <v>0</v>
      </c>
      <c r="S146" s="224">
        <v>879.98075009588058</v>
      </c>
      <c r="T146" s="224">
        <v>1312.130382225329</v>
      </c>
      <c r="U146" s="224">
        <v>1622.7666661792407</v>
      </c>
      <c r="V146" s="224">
        <v>0</v>
      </c>
      <c r="W146" s="224">
        <v>193.9043605</v>
      </c>
      <c r="X146" s="224">
        <v>290.85654075000002</v>
      </c>
      <c r="Y146" s="224">
        <v>272.57849999999996</v>
      </c>
      <c r="Z146" s="224">
        <v>0</v>
      </c>
      <c r="AA146" s="224">
        <v>3.5058994027724326</v>
      </c>
      <c r="AB146" s="224">
        <v>5.2276110845630628</v>
      </c>
      <c r="AC146" s="224">
        <v>6.4652058413515565</v>
      </c>
      <c r="AD146" s="1121">
        <v>7.2138322178681999</v>
      </c>
      <c r="AE146" s="224">
        <v>0</v>
      </c>
      <c r="AF146" s="224">
        <v>6982.3438005749995</v>
      </c>
      <c r="AG146" s="224">
        <v>144395.73458999998</v>
      </c>
      <c r="AH146" s="224">
        <v>0</v>
      </c>
      <c r="AI146" s="224">
        <v>40800</v>
      </c>
      <c r="AJ146" s="224">
        <v>1981.7906762525845</v>
      </c>
      <c r="AK146" s="224">
        <v>1214.2458237810094</v>
      </c>
      <c r="AL146" s="224">
        <v>0</v>
      </c>
      <c r="AM146" s="224">
        <v>0</v>
      </c>
      <c r="AN146" s="1121">
        <v>195374.11489060859</v>
      </c>
      <c r="AO146" s="224">
        <f t="shared" si="11"/>
        <v>0.95049453302631393</v>
      </c>
      <c r="AP146" s="1124">
        <v>0.1</v>
      </c>
      <c r="AQ146" s="1124">
        <f t="shared" si="13"/>
        <v>3.5471403350446636E-2</v>
      </c>
      <c r="AR146" s="1124">
        <v>20</v>
      </c>
      <c r="AS146" s="1124">
        <f t="shared" si="10"/>
        <v>0.27224723543948964</v>
      </c>
      <c r="AT146" s="224">
        <f t="shared" si="12"/>
        <v>6930.1940335212794</v>
      </c>
    </row>
    <row r="147" spans="1:46">
      <c r="A147" s="1119">
        <v>2025</v>
      </c>
      <c r="D147" s="1108" t="s">
        <v>1864</v>
      </c>
      <c r="E147" s="224" t="s">
        <v>1921</v>
      </c>
      <c r="G147" s="224">
        <v>8538.6294830421739</v>
      </c>
      <c r="H147" s="224">
        <v>3981.9561999999996</v>
      </c>
      <c r="I147" s="224">
        <v>237.79246875000001</v>
      </c>
      <c r="J147" s="224">
        <v>0</v>
      </c>
      <c r="K147" s="224">
        <v>0</v>
      </c>
      <c r="L147" s="224">
        <v>0</v>
      </c>
      <c r="M147" s="224">
        <v>0</v>
      </c>
      <c r="N147" s="224">
        <v>0</v>
      </c>
      <c r="O147" s="224">
        <v>0</v>
      </c>
      <c r="P147" s="224">
        <v>0</v>
      </c>
      <c r="Q147" s="224">
        <v>0</v>
      </c>
      <c r="R147" s="224">
        <v>0</v>
      </c>
      <c r="S147" s="224">
        <v>762.53371004646806</v>
      </c>
      <c r="T147" s="224">
        <v>1125.7399144745923</v>
      </c>
      <c r="U147" s="224">
        <v>1383.2743272161597</v>
      </c>
      <c r="V147" s="224">
        <v>0</v>
      </c>
      <c r="W147" s="224">
        <v>179.6913103</v>
      </c>
      <c r="X147" s="224">
        <v>269.53696545000003</v>
      </c>
      <c r="Y147" s="224">
        <v>237.79246875000001</v>
      </c>
      <c r="Z147" s="224">
        <v>0</v>
      </c>
      <c r="AA147" s="224">
        <v>3.0379829085516654</v>
      </c>
      <c r="AB147" s="224">
        <v>4.4850195795800483</v>
      </c>
      <c r="AC147" s="224">
        <v>5.5110530964787241</v>
      </c>
      <c r="AD147" s="1121">
        <v>6.1435557777046377</v>
      </c>
      <c r="AE147" s="224">
        <v>0</v>
      </c>
      <c r="AF147" s="224">
        <v>3228.0904389950001</v>
      </c>
      <c r="AG147" s="224">
        <v>76618.018124999988</v>
      </c>
      <c r="AH147" s="224">
        <v>0</v>
      </c>
      <c r="AI147" s="224">
        <v>40800</v>
      </c>
      <c r="AJ147" s="224">
        <v>2363.0182694392256</v>
      </c>
      <c r="AK147" s="224">
        <v>2829.8971847014668</v>
      </c>
      <c r="AL147" s="224">
        <v>0</v>
      </c>
      <c r="AM147" s="224">
        <v>0</v>
      </c>
      <c r="AN147" s="1121">
        <v>125839.02401813568</v>
      </c>
      <c r="AO147" s="224">
        <f t="shared" si="11"/>
        <v>0.80947490927036303</v>
      </c>
      <c r="AP147" s="1124">
        <v>0.1</v>
      </c>
      <c r="AQ147" s="1124">
        <f t="shared" si="13"/>
        <v>3.5471403350446636E-2</v>
      </c>
      <c r="AR147" s="1124">
        <v>20</v>
      </c>
      <c r="AS147" s="1124">
        <f t="shared" si="10"/>
        <v>0.23185541689000647</v>
      </c>
      <c r="AT147" s="224">
        <f t="shared" si="12"/>
        <v>4463.6867781738329</v>
      </c>
    </row>
    <row r="148" spans="1:46">
      <c r="A148" s="1119">
        <v>2030</v>
      </c>
      <c r="D148" s="1108" t="s">
        <v>1864</v>
      </c>
      <c r="E148" s="224" t="s">
        <v>1921</v>
      </c>
      <c r="G148" s="224">
        <v>8250.504081768886</v>
      </c>
      <c r="H148" s="224">
        <v>4019.5814499999997</v>
      </c>
      <c r="I148" s="224">
        <v>224.35593749999998</v>
      </c>
      <c r="J148" s="224">
        <v>0</v>
      </c>
      <c r="K148" s="224">
        <v>0</v>
      </c>
      <c r="L148" s="224">
        <v>0</v>
      </c>
      <c r="M148" s="224">
        <v>0</v>
      </c>
      <c r="N148" s="224">
        <v>0</v>
      </c>
      <c r="O148" s="224">
        <v>0</v>
      </c>
      <c r="P148" s="224">
        <v>0</v>
      </c>
      <c r="Q148" s="224">
        <v>0</v>
      </c>
      <c r="R148" s="224">
        <v>0</v>
      </c>
      <c r="S148" s="224">
        <v>704.36406852220443</v>
      </c>
      <c r="T148" s="224">
        <v>1053.8232606769102</v>
      </c>
      <c r="U148" s="224">
        <v>1294.3930749774875</v>
      </c>
      <c r="V148" s="224">
        <v>0</v>
      </c>
      <c r="W148" s="224">
        <v>172.72639079999999</v>
      </c>
      <c r="X148" s="224">
        <v>259.08958619999999</v>
      </c>
      <c r="Y148" s="224">
        <v>224.35593749999998</v>
      </c>
      <c r="Z148" s="224">
        <v>0</v>
      </c>
      <c r="AA148" s="224">
        <v>2.806231348694042</v>
      </c>
      <c r="AB148" s="224">
        <v>4.1984990465215546</v>
      </c>
      <c r="AC148" s="224">
        <v>5.1569445218226591</v>
      </c>
      <c r="AD148" s="1121">
        <v>5.658938138213859</v>
      </c>
      <c r="AE148" s="224">
        <v>0</v>
      </c>
      <c r="AF148" s="224">
        <v>2304.1672973937002</v>
      </c>
      <c r="AG148" s="224">
        <v>51168.341064374996</v>
      </c>
      <c r="AH148" s="224">
        <v>0</v>
      </c>
      <c r="AI148" s="224">
        <v>40800</v>
      </c>
      <c r="AJ148" s="224">
        <v>2851.055440532888</v>
      </c>
      <c r="AK148" s="224">
        <v>3508.029060192428</v>
      </c>
      <c r="AL148" s="224">
        <v>0</v>
      </c>
      <c r="AM148" s="224">
        <v>0</v>
      </c>
      <c r="AN148" s="1121">
        <v>100631.592862494</v>
      </c>
      <c r="AO148" s="224">
        <f t="shared" si="11"/>
        <v>0.74562168909105797</v>
      </c>
      <c r="AP148" s="1124">
        <v>0.1</v>
      </c>
      <c r="AQ148" s="1124">
        <f t="shared" si="13"/>
        <v>3.5471403350446636E-2</v>
      </c>
      <c r="AR148" s="1124">
        <v>20</v>
      </c>
      <c r="AS148" s="1124">
        <f t="shared" si="10"/>
        <v>0.21356613477033376</v>
      </c>
      <c r="AT148" s="224">
        <f t="shared" si="12"/>
        <v>3569.5438202234513</v>
      </c>
    </row>
    <row r="149" spans="1:46">
      <c r="A149" s="1119">
        <v>2035</v>
      </c>
      <c r="D149" s="1108" t="s">
        <v>1864</v>
      </c>
      <c r="E149" s="224" t="s">
        <v>1921</v>
      </c>
      <c r="G149" s="224">
        <v>8102.7628021793735</v>
      </c>
      <c r="H149" s="224">
        <v>4055.8958750000002</v>
      </c>
      <c r="I149" s="224">
        <v>207.97143749999998</v>
      </c>
      <c r="J149" s="224">
        <v>0</v>
      </c>
      <c r="K149" s="224">
        <v>0</v>
      </c>
      <c r="L149" s="224">
        <v>0</v>
      </c>
      <c r="M149" s="224">
        <v>0</v>
      </c>
      <c r="N149" s="224">
        <v>0</v>
      </c>
      <c r="O149" s="224">
        <v>0</v>
      </c>
      <c r="P149" s="224">
        <v>0</v>
      </c>
      <c r="Q149" s="224">
        <v>0</v>
      </c>
      <c r="R149" s="224">
        <v>0</v>
      </c>
      <c r="S149" s="224">
        <v>668.45210786745827</v>
      </c>
      <c r="T149" s="224">
        <v>1013.9695206254034</v>
      </c>
      <c r="U149" s="224">
        <v>1245.8687942082888</v>
      </c>
      <c r="V149" s="224">
        <v>0</v>
      </c>
      <c r="W149" s="224">
        <v>169.18931774999999</v>
      </c>
      <c r="X149" s="224">
        <v>253.78397662499995</v>
      </c>
      <c r="Y149" s="224">
        <v>207.97143749999998</v>
      </c>
      <c r="Z149" s="224">
        <v>0</v>
      </c>
      <c r="AA149" s="224">
        <v>2.6631558082368856</v>
      </c>
      <c r="AB149" s="224">
        <v>4.0397192056788986</v>
      </c>
      <c r="AC149" s="224">
        <v>4.9636206940569281</v>
      </c>
      <c r="AD149" s="1121">
        <v>5.362542978801649</v>
      </c>
      <c r="AE149" s="224">
        <v>0</v>
      </c>
      <c r="AF149" s="224">
        <v>1849.6124367024001</v>
      </c>
      <c r="AG149" s="224">
        <v>35315.30397375</v>
      </c>
      <c r="AH149" s="224">
        <v>0</v>
      </c>
      <c r="AI149" s="224">
        <v>40800</v>
      </c>
      <c r="AJ149" s="224">
        <v>3431.2796019510192</v>
      </c>
      <c r="AK149" s="224">
        <v>3935.8667708711309</v>
      </c>
      <c r="AL149" s="224">
        <v>0</v>
      </c>
      <c r="AM149" s="224">
        <v>0</v>
      </c>
      <c r="AN149" s="1121">
        <v>85332.062783274552</v>
      </c>
      <c r="AO149" s="224">
        <f t="shared" si="11"/>
        <v>0.70656866288690523</v>
      </c>
      <c r="AP149" s="1124">
        <v>0.1</v>
      </c>
      <c r="AQ149" s="1124">
        <f t="shared" si="13"/>
        <v>3.5471403350446636E-2</v>
      </c>
      <c r="AR149" s="1124">
        <v>20</v>
      </c>
      <c r="AS149" s="1124">
        <f t="shared" si="10"/>
        <v>0.20238029618820674</v>
      </c>
      <c r="AT149" s="224">
        <f t="shared" si="12"/>
        <v>3026.8480177111678</v>
      </c>
    </row>
    <row r="150" spans="1:46">
      <c r="A150" s="1119">
        <v>2050</v>
      </c>
      <c r="D150" s="1108" t="s">
        <v>1864</v>
      </c>
      <c r="E150" s="224" t="s">
        <v>1921</v>
      </c>
      <c r="G150" s="224">
        <v>7906.9582163836603</v>
      </c>
      <c r="H150" s="224">
        <v>4104.9930750000003</v>
      </c>
      <c r="I150" s="224">
        <v>197.01740624999999</v>
      </c>
      <c r="J150" s="224">
        <v>0</v>
      </c>
      <c r="K150" s="224">
        <v>0</v>
      </c>
      <c r="L150" s="224">
        <v>0</v>
      </c>
      <c r="M150" s="224">
        <v>0</v>
      </c>
      <c r="N150" s="224">
        <v>0</v>
      </c>
      <c r="O150" s="224">
        <v>0</v>
      </c>
      <c r="P150" s="224">
        <v>0</v>
      </c>
      <c r="Q150" s="224">
        <v>0</v>
      </c>
      <c r="R150" s="224">
        <v>0</v>
      </c>
      <c r="S150" s="224">
        <v>617.75285642534482</v>
      </c>
      <c r="T150" s="224">
        <v>955.77370341717699</v>
      </c>
      <c r="U150" s="224">
        <v>1174.184450005363</v>
      </c>
      <c r="V150" s="224">
        <v>0</v>
      </c>
      <c r="W150" s="224">
        <v>164.75334622500003</v>
      </c>
      <c r="X150" s="224">
        <v>247.13001933750002</v>
      </c>
      <c r="Y150" s="224">
        <v>197.01740624999999</v>
      </c>
      <c r="Z150" s="224">
        <v>0</v>
      </c>
      <c r="AA150" s="224">
        <v>2.4611667586667121</v>
      </c>
      <c r="AB150" s="224">
        <v>3.8078633602277971</v>
      </c>
      <c r="AC150" s="224">
        <v>4.6780256972325214</v>
      </c>
      <c r="AD150" s="1121">
        <v>4.9478524735744722</v>
      </c>
      <c r="AE150" s="224">
        <v>0</v>
      </c>
      <c r="AF150" s="224">
        <v>1086.632659677</v>
      </c>
      <c r="AG150" s="224">
        <v>27706.752530999995</v>
      </c>
      <c r="AH150" s="224">
        <v>0</v>
      </c>
      <c r="AI150" s="224">
        <v>40800</v>
      </c>
      <c r="AJ150" s="224">
        <v>4216.1246270287984</v>
      </c>
      <c r="AK150" s="224">
        <v>4842.5801991868502</v>
      </c>
      <c r="AL150" s="224">
        <v>0</v>
      </c>
      <c r="AM150" s="224">
        <v>0</v>
      </c>
      <c r="AN150" s="1121">
        <v>78652.090016892646</v>
      </c>
      <c r="AO150" s="224">
        <f t="shared" si="11"/>
        <v>0.65192904191817236</v>
      </c>
      <c r="AP150" s="1124">
        <v>0.1</v>
      </c>
      <c r="AQ150" s="1124">
        <f t="shared" si="13"/>
        <v>3.5471403350446636E-2</v>
      </c>
      <c r="AR150" s="1124">
        <v>20</v>
      </c>
      <c r="AS150" s="1124">
        <f t="shared" si="10"/>
        <v>0.18673003704696109</v>
      </c>
      <c r="AT150" s="224">
        <f t="shared" si="12"/>
        <v>2789.9000093448362</v>
      </c>
    </row>
    <row r="151" spans="1:46">
      <c r="A151" s="1119">
        <v>2017</v>
      </c>
      <c r="D151" s="1108" t="s">
        <v>1864</v>
      </c>
      <c r="E151" s="224" t="s">
        <v>1922</v>
      </c>
      <c r="G151" s="224">
        <v>8902.4774964455046</v>
      </c>
      <c r="H151" s="224">
        <v>3840.5</v>
      </c>
      <c r="I151" s="224">
        <v>5.3380800000000006</v>
      </c>
      <c r="J151" s="224">
        <v>5.3319345351968875E-2</v>
      </c>
      <c r="K151" s="224">
        <v>6.6876228231675064E-2</v>
      </c>
      <c r="L151" s="224">
        <v>8.5631534134206266E-2</v>
      </c>
      <c r="M151" s="224">
        <v>0</v>
      </c>
      <c r="N151" s="224">
        <v>0</v>
      </c>
      <c r="O151" s="224">
        <v>0</v>
      </c>
      <c r="P151" s="224">
        <v>0</v>
      </c>
      <c r="Q151" s="224">
        <v>0</v>
      </c>
      <c r="R151" s="224">
        <v>0</v>
      </c>
      <c r="S151" s="224">
        <v>0</v>
      </c>
      <c r="T151" s="224">
        <v>0</v>
      </c>
      <c r="U151" s="224">
        <v>0</v>
      </c>
      <c r="V151" s="224">
        <v>0</v>
      </c>
      <c r="W151" s="224">
        <v>276.87397129999999</v>
      </c>
      <c r="X151" s="224">
        <v>166.161961722488</v>
      </c>
      <c r="Y151" s="224">
        <v>5.3380799999999997</v>
      </c>
      <c r="Z151" s="224">
        <v>180.33283879999999</v>
      </c>
      <c r="AA151" s="224">
        <v>7.9979018027953312</v>
      </c>
      <c r="AB151" s="224">
        <v>10.031434234751259</v>
      </c>
      <c r="AC151" s="224">
        <v>12.84473012013094</v>
      </c>
      <c r="AD151" s="1121">
        <v>15.484209728100451</v>
      </c>
      <c r="AE151" s="224">
        <v>0</v>
      </c>
      <c r="AF151" s="224">
        <v>12737.843368770002</v>
      </c>
      <c r="AG151" s="224">
        <v>7244.661531100478</v>
      </c>
      <c r="AH151" s="224">
        <v>0</v>
      </c>
      <c r="AI151" s="224">
        <v>40800</v>
      </c>
      <c r="AJ151" s="224">
        <v>0</v>
      </c>
      <c r="AK151" s="224">
        <v>745.98720000000003</v>
      </c>
      <c r="AL151" s="224">
        <v>86487.140000000014</v>
      </c>
      <c r="AM151" s="224">
        <v>15390.821364000001</v>
      </c>
      <c r="AN151" s="1121">
        <v>163406.45346387048</v>
      </c>
      <c r="AO151" s="224">
        <f t="shared" si="11"/>
        <v>2.040199473774515</v>
      </c>
      <c r="AP151" s="1124">
        <v>0.1</v>
      </c>
      <c r="AQ151" s="1124">
        <f t="shared" si="13"/>
        <v>3.5471403350446636E-2</v>
      </c>
      <c r="AR151" s="1124">
        <v>20</v>
      </c>
      <c r="AS151" s="1124">
        <f t="shared" si="10"/>
        <v>0.58436808122581407</v>
      </c>
      <c r="AT151" s="224">
        <f t="shared" si="12"/>
        <v>5796.2562208829377</v>
      </c>
    </row>
    <row r="152" spans="1:46">
      <c r="A152" s="1122">
        <v>2020</v>
      </c>
      <c r="D152" s="1108" t="s">
        <v>1864</v>
      </c>
      <c r="E152" s="224" t="s">
        <v>1922</v>
      </c>
      <c r="G152" s="224">
        <v>8595.5006812879838</v>
      </c>
      <c r="H152" s="224">
        <v>3950.4837499999999</v>
      </c>
      <c r="I152" s="224">
        <v>5.2826400000000007</v>
      </c>
      <c r="J152" s="224">
        <v>4.7489967529884596E-2</v>
      </c>
      <c r="K152" s="224">
        <v>6.0742118236288306E-2</v>
      </c>
      <c r="L152" s="224">
        <v>7.9649244837321859E-2</v>
      </c>
      <c r="M152" s="224">
        <v>0</v>
      </c>
      <c r="N152" s="224">
        <v>0</v>
      </c>
      <c r="O152" s="224">
        <v>0</v>
      </c>
      <c r="P152" s="224">
        <v>0</v>
      </c>
      <c r="Q152" s="224">
        <v>0</v>
      </c>
      <c r="R152" s="224">
        <v>0</v>
      </c>
      <c r="S152" s="224">
        <v>0</v>
      </c>
      <c r="T152" s="224">
        <v>0</v>
      </c>
      <c r="U152" s="224">
        <v>0</v>
      </c>
      <c r="V152" s="224">
        <v>0</v>
      </c>
      <c r="W152" s="224">
        <v>229.0009766</v>
      </c>
      <c r="X152" s="224">
        <v>164.43624401913871</v>
      </c>
      <c r="Y152" s="224">
        <v>5.2826400000000007</v>
      </c>
      <c r="Z152" s="224">
        <v>149.22344744999998</v>
      </c>
      <c r="AA152" s="224">
        <v>7.1234951294826896</v>
      </c>
      <c r="AB152" s="224">
        <v>9.1113177354432455</v>
      </c>
      <c r="AC152" s="224">
        <v>11.947386725598278</v>
      </c>
      <c r="AD152" s="1121">
        <v>13.447335832300459</v>
      </c>
      <c r="AE152" s="224">
        <v>0</v>
      </c>
      <c r="AF152" s="224">
        <v>8145.7966242899993</v>
      </c>
      <c r="AG152" s="224">
        <v>7169.4202392344487</v>
      </c>
      <c r="AH152" s="224">
        <v>0</v>
      </c>
      <c r="AI152" s="224">
        <v>40800</v>
      </c>
      <c r="AJ152" s="224">
        <v>1981.7906762525845</v>
      </c>
      <c r="AK152" s="224">
        <v>1214.2458237810094</v>
      </c>
      <c r="AL152" s="224">
        <v>68189.31</v>
      </c>
      <c r="AM152" s="224">
        <v>14098.589907692309</v>
      </c>
      <c r="AN152" s="1121">
        <v>141599.15327125034</v>
      </c>
      <c r="AO152" s="224">
        <f t="shared" si="11"/>
        <v>1.7718209692639082</v>
      </c>
      <c r="AP152" s="1124">
        <v>0.1</v>
      </c>
      <c r="AQ152" s="1124">
        <f t="shared" si="13"/>
        <v>3.5471403350446636E-2</v>
      </c>
      <c r="AR152" s="1124">
        <v>20</v>
      </c>
      <c r="AS152" s="1124">
        <f t="shared" si="10"/>
        <v>0.50749724886893355</v>
      </c>
      <c r="AT152" s="224">
        <f t="shared" si="12"/>
        <v>5022.7206797662357</v>
      </c>
    </row>
    <row r="153" spans="1:46">
      <c r="A153" s="1119">
        <v>2025</v>
      </c>
      <c r="D153" s="1108" t="s">
        <v>1864</v>
      </c>
      <c r="E153" s="224" t="s">
        <v>1922</v>
      </c>
      <c r="G153" s="224">
        <v>8190.7282374108563</v>
      </c>
      <c r="H153" s="224">
        <v>3981.9561999999996</v>
      </c>
      <c r="I153" s="224">
        <v>5.0292000000000003</v>
      </c>
      <c r="J153" s="224">
        <v>4.110701675609664E-2</v>
      </c>
      <c r="K153" s="224">
        <v>5.0942797646613393E-2</v>
      </c>
      <c r="L153" s="224">
        <v>6.5587483132194813E-2</v>
      </c>
      <c r="M153" s="224">
        <v>0</v>
      </c>
      <c r="N153" s="224">
        <v>0</v>
      </c>
      <c r="O153" s="224">
        <v>0</v>
      </c>
      <c r="P153" s="224">
        <v>0</v>
      </c>
      <c r="Q153" s="224">
        <v>0</v>
      </c>
      <c r="R153" s="224">
        <v>0</v>
      </c>
      <c r="S153" s="224">
        <v>0</v>
      </c>
      <c r="T153" s="224">
        <v>0</v>
      </c>
      <c r="U153" s="224">
        <v>0</v>
      </c>
      <c r="V153" s="224">
        <v>0</v>
      </c>
      <c r="W153" s="224">
        <v>212.61465544999999</v>
      </c>
      <c r="X153" s="224">
        <v>142.28537909458962</v>
      </c>
      <c r="Y153" s="224">
        <v>5.0292000000000003</v>
      </c>
      <c r="Z153" s="224">
        <v>138.36138970000002</v>
      </c>
      <c r="AA153" s="224">
        <v>6.1660525134144963</v>
      </c>
      <c r="AB153" s="224">
        <v>7.6414196469920093</v>
      </c>
      <c r="AC153" s="224">
        <v>9.8381224698292211</v>
      </c>
      <c r="AD153" s="1121">
        <v>11.259306497192123</v>
      </c>
      <c r="AE153" s="224">
        <v>0</v>
      </c>
      <c r="AF153" s="224">
        <v>3766.2086625425004</v>
      </c>
      <c r="AG153" s="224">
        <v>4560.4059595141698</v>
      </c>
      <c r="AH153" s="224">
        <v>0</v>
      </c>
      <c r="AI153" s="224">
        <v>40800</v>
      </c>
      <c r="AJ153" s="224">
        <v>2363.0182694392256</v>
      </c>
      <c r="AK153" s="224">
        <v>2829.8971847014668</v>
      </c>
      <c r="AL153" s="224">
        <v>39923.840000000004</v>
      </c>
      <c r="AM153" s="224">
        <v>8596.9190830769239</v>
      </c>
      <c r="AN153" s="1121">
        <v>102840.28915927428</v>
      </c>
      <c r="AO153" s="224">
        <f t="shared" si="11"/>
        <v>1.483526224070034</v>
      </c>
      <c r="AP153" s="1124">
        <v>0.1</v>
      </c>
      <c r="AQ153" s="1124">
        <f t="shared" si="13"/>
        <v>3.5471403350446636E-2</v>
      </c>
      <c r="AR153" s="1124">
        <v>20</v>
      </c>
      <c r="AS153" s="1124">
        <f t="shared" si="10"/>
        <v>0.42492186874458354</v>
      </c>
      <c r="AT153" s="224">
        <f t="shared" si="12"/>
        <v>3647.8893774451826</v>
      </c>
    </row>
    <row r="154" spans="1:46">
      <c r="A154" s="1119">
        <v>2030</v>
      </c>
      <c r="D154" s="1108" t="s">
        <v>1864</v>
      </c>
      <c r="E154" s="224" t="s">
        <v>1922</v>
      </c>
      <c r="G154" s="224">
        <v>7973.0488068125051</v>
      </c>
      <c r="H154" s="224">
        <v>4019.5814500000006</v>
      </c>
      <c r="I154" s="224">
        <v>4.8747600000000002</v>
      </c>
      <c r="J154" s="224">
        <v>3.7592858409827151E-2</v>
      </c>
      <c r="K154" s="224">
        <v>4.6696983748648592E-2</v>
      </c>
      <c r="L154" s="224">
        <v>5.9964449636131914E-2</v>
      </c>
      <c r="M154" s="224">
        <v>0</v>
      </c>
      <c r="N154" s="224">
        <v>0</v>
      </c>
      <c r="O154" s="224">
        <v>0</v>
      </c>
      <c r="P154" s="224">
        <v>0</v>
      </c>
      <c r="Q154" s="224">
        <v>0</v>
      </c>
      <c r="R154" s="224">
        <v>0</v>
      </c>
      <c r="S154" s="224">
        <v>0</v>
      </c>
      <c r="T154" s="224">
        <v>0</v>
      </c>
      <c r="U154" s="224">
        <v>0</v>
      </c>
      <c r="V154" s="224">
        <v>0</v>
      </c>
      <c r="W154" s="224">
        <v>202.41843415</v>
      </c>
      <c r="X154" s="224">
        <v>108.13264879225576</v>
      </c>
      <c r="Y154" s="224">
        <v>4.8747600000000002</v>
      </c>
      <c r="Z154" s="224">
        <v>131.59047290000001</v>
      </c>
      <c r="AA154" s="224">
        <v>5.6389287614740731</v>
      </c>
      <c r="AB154" s="224">
        <v>7.0045475622972884</v>
      </c>
      <c r="AC154" s="224">
        <v>8.9946674454197861</v>
      </c>
      <c r="AD154" s="1121">
        <v>10.18394786854423</v>
      </c>
      <c r="AE154" s="224">
        <v>0</v>
      </c>
      <c r="AF154" s="224">
        <v>2668.3623985763252</v>
      </c>
      <c r="AG154" s="224">
        <v>2769.5553766146513</v>
      </c>
      <c r="AH154" s="224">
        <v>0</v>
      </c>
      <c r="AI154" s="224">
        <v>40800</v>
      </c>
      <c r="AJ154" s="224">
        <v>2851.055440532888</v>
      </c>
      <c r="AK154" s="224">
        <v>3508.029060192428</v>
      </c>
      <c r="AL154" s="224">
        <v>25178.5</v>
      </c>
      <c r="AM154" s="224">
        <v>6060.8553000000011</v>
      </c>
      <c r="AN154" s="1121">
        <v>83836.357575916292</v>
      </c>
      <c r="AO154" s="224">
        <f t="shared" si="11"/>
        <v>1.3418369711593876</v>
      </c>
      <c r="AP154" s="1124">
        <v>0.1</v>
      </c>
      <c r="AQ154" s="1124">
        <f t="shared" si="13"/>
        <v>3.5471403350446636E-2</v>
      </c>
      <c r="AR154" s="1124">
        <v>20</v>
      </c>
      <c r="AS154" s="1124">
        <f t="shared" si="10"/>
        <v>0.3843382503690087</v>
      </c>
      <c r="AT154" s="224">
        <f t="shared" si="12"/>
        <v>2973.7932550075993</v>
      </c>
    </row>
    <row r="155" spans="1:46">
      <c r="A155" s="1119">
        <v>2035</v>
      </c>
      <c r="D155" s="1108" t="s">
        <v>1864</v>
      </c>
      <c r="E155" s="224" t="s">
        <v>1922</v>
      </c>
      <c r="G155" s="224">
        <v>7829.3634985016051</v>
      </c>
      <c r="H155" s="224">
        <v>4055.8958750000002</v>
      </c>
      <c r="I155" s="224">
        <v>4.8074400000000006</v>
      </c>
      <c r="J155" s="224">
        <v>3.4511922287984456E-2</v>
      </c>
      <c r="K155" s="224">
        <v>4.3190164144053564E-2</v>
      </c>
      <c r="L155" s="224">
        <v>5.5485135526410323E-2</v>
      </c>
      <c r="M155" s="224">
        <v>0</v>
      </c>
      <c r="N155" s="224">
        <v>0</v>
      </c>
      <c r="O155" s="224">
        <v>0</v>
      </c>
      <c r="P155" s="224">
        <v>0</v>
      </c>
      <c r="Q155" s="224">
        <v>0</v>
      </c>
      <c r="R155" s="224">
        <v>0</v>
      </c>
      <c r="S155" s="224">
        <v>0</v>
      </c>
      <c r="T155" s="224">
        <v>0</v>
      </c>
      <c r="U155" s="224">
        <v>0</v>
      </c>
      <c r="V155" s="224">
        <v>0</v>
      </c>
      <c r="W155" s="224">
        <v>194.75161574999998</v>
      </c>
      <c r="X155" s="224">
        <v>90.851200873362416</v>
      </c>
      <c r="Y155" s="224">
        <v>4.8074400000000006</v>
      </c>
      <c r="Z155" s="224">
        <v>126.54537942500001</v>
      </c>
      <c r="AA155" s="224">
        <v>5.1767883431976678</v>
      </c>
      <c r="AB155" s="224">
        <v>6.4785246216080346</v>
      </c>
      <c r="AC155" s="224">
        <v>8.3227703289615498</v>
      </c>
      <c r="AD155" s="1121">
        <v>9.2822875314681834</v>
      </c>
      <c r="AE155" s="224">
        <v>0</v>
      </c>
      <c r="AF155" s="224">
        <v>2108.0899048439996</v>
      </c>
      <c r="AG155" s="224">
        <v>1746.139126637554</v>
      </c>
      <c r="AH155" s="224">
        <v>0</v>
      </c>
      <c r="AI155" s="224">
        <v>40800</v>
      </c>
      <c r="AJ155" s="224">
        <v>3431.2796019510192</v>
      </c>
      <c r="AK155" s="224">
        <v>3935.8667708711309</v>
      </c>
      <c r="AL155" s="224">
        <v>18945.599999999999</v>
      </c>
      <c r="AM155" s="224">
        <v>4433.6135549999999</v>
      </c>
      <c r="AN155" s="1121">
        <v>75400.588959303699</v>
      </c>
      <c r="AO155" s="224">
        <f t="shared" si="11"/>
        <v>1.2230342051462477</v>
      </c>
      <c r="AP155" s="1124">
        <v>0.1</v>
      </c>
      <c r="AQ155" s="1124">
        <f t="shared" si="13"/>
        <v>3.5471403350446636E-2</v>
      </c>
      <c r="AR155" s="1124">
        <v>20</v>
      </c>
      <c r="AS155" s="1124">
        <f t="shared" si="10"/>
        <v>0.3503099382790259</v>
      </c>
      <c r="AT155" s="224">
        <f t="shared" si="12"/>
        <v>2674.5647038366947</v>
      </c>
    </row>
    <row r="156" spans="1:46">
      <c r="A156" s="1119">
        <v>2050</v>
      </c>
      <c r="D156" s="1108" t="s">
        <v>1864</v>
      </c>
      <c r="E156" s="224" t="s">
        <v>1922</v>
      </c>
      <c r="G156" s="224">
        <v>7658.3883738301492</v>
      </c>
      <c r="H156" s="224">
        <v>4104.9930750000003</v>
      </c>
      <c r="I156" s="224">
        <v>4.7282400000000004</v>
      </c>
      <c r="J156" s="224">
        <v>3.1110905010397143E-2</v>
      </c>
      <c r="K156" s="224">
        <v>3.9171141796625716E-2</v>
      </c>
      <c r="L156" s="224">
        <v>5.0235415482404011E-2</v>
      </c>
      <c r="M156" s="224">
        <v>0</v>
      </c>
      <c r="N156" s="224">
        <v>0</v>
      </c>
      <c r="O156" s="224">
        <v>0</v>
      </c>
      <c r="P156" s="224">
        <v>0</v>
      </c>
      <c r="Q156" s="224">
        <v>0</v>
      </c>
      <c r="R156" s="224">
        <v>0</v>
      </c>
      <c r="S156" s="224">
        <v>0</v>
      </c>
      <c r="T156" s="224">
        <v>0</v>
      </c>
      <c r="U156" s="224">
        <v>0</v>
      </c>
      <c r="V156" s="224">
        <v>0</v>
      </c>
      <c r="W156" s="224">
        <v>186.5456796</v>
      </c>
      <c r="X156" s="224">
        <v>89.354475982532719</v>
      </c>
      <c r="Y156" s="224">
        <v>4.7282400000000004</v>
      </c>
      <c r="Z156" s="224">
        <v>121.0601765</v>
      </c>
      <c r="AA156" s="224">
        <v>4.6666357515595713</v>
      </c>
      <c r="AB156" s="224">
        <v>5.8756712694938571</v>
      </c>
      <c r="AC156" s="224">
        <v>7.5353123223606016</v>
      </c>
      <c r="AD156" s="1121">
        <v>8.2622102802967508</v>
      </c>
      <c r="AE156" s="224">
        <v>0</v>
      </c>
      <c r="AF156" s="224">
        <v>1226.8751599319999</v>
      </c>
      <c r="AG156" s="224">
        <v>1613.7687772925758</v>
      </c>
      <c r="AH156" s="224">
        <v>0</v>
      </c>
      <c r="AI156" s="224">
        <v>40800</v>
      </c>
      <c r="AJ156" s="224">
        <v>4216.1246270287984</v>
      </c>
      <c r="AK156" s="224">
        <v>4842.5801991868502</v>
      </c>
      <c r="AL156" s="224">
        <v>16313.999999999998</v>
      </c>
      <c r="AM156" s="224">
        <v>3736.76838</v>
      </c>
      <c r="AN156" s="1121">
        <v>72750.11714344022</v>
      </c>
      <c r="AO156" s="224">
        <f t="shared" si="11"/>
        <v>1.0886288265318997</v>
      </c>
      <c r="AP156" s="1124">
        <v>0.1</v>
      </c>
      <c r="AQ156" s="1124">
        <f t="shared" si="13"/>
        <v>3.5471403350446636E-2</v>
      </c>
      <c r="AR156" s="1124">
        <v>20</v>
      </c>
      <c r="AS156" s="1124">
        <f t="shared" si="10"/>
        <v>0.31181261769008034</v>
      </c>
      <c r="AT156" s="224">
        <f t="shared" si="12"/>
        <v>2580.5487489872107</v>
      </c>
    </row>
    <row r="157" spans="1:46">
      <c r="A157" s="1119">
        <v>2017</v>
      </c>
      <c r="B157" s="1120"/>
      <c r="C157" s="1120"/>
      <c r="D157" s="1120" t="s">
        <v>1866</v>
      </c>
      <c r="E157" s="1120" t="s">
        <v>1917</v>
      </c>
      <c r="F157" s="1120"/>
      <c r="G157" s="224">
        <v>16750.959743508531</v>
      </c>
      <c r="H157" s="224">
        <v>5954.45</v>
      </c>
      <c r="I157" s="224">
        <v>3.1680000000000001</v>
      </c>
      <c r="J157" s="224">
        <v>0.14339198294881172</v>
      </c>
      <c r="K157" s="224">
        <v>0.1185719913993335</v>
      </c>
      <c r="L157" s="224">
        <v>0.14076365912149619</v>
      </c>
      <c r="M157" s="224">
        <v>0</v>
      </c>
      <c r="N157" s="224">
        <v>0</v>
      </c>
      <c r="O157" s="224">
        <v>0</v>
      </c>
      <c r="P157" s="224">
        <v>0</v>
      </c>
      <c r="Q157" s="224">
        <v>0</v>
      </c>
      <c r="R157" s="224">
        <v>0</v>
      </c>
      <c r="S157" s="224">
        <v>0</v>
      </c>
      <c r="T157" s="224">
        <v>0</v>
      </c>
      <c r="U157" s="224">
        <v>0</v>
      </c>
      <c r="V157" s="224">
        <v>200.8402384</v>
      </c>
      <c r="W157" s="224">
        <v>0</v>
      </c>
      <c r="X157" s="224">
        <v>4.3509999999999991</v>
      </c>
      <c r="Y157" s="224">
        <v>3.1680000000000001</v>
      </c>
      <c r="Z157" s="224">
        <v>0</v>
      </c>
      <c r="AA157" s="224">
        <v>28.678396589762343</v>
      </c>
      <c r="AB157" s="224">
        <v>23.7143982798667</v>
      </c>
      <c r="AC157" s="224">
        <v>28.152731824299238</v>
      </c>
      <c r="AD157" s="1121">
        <v>21.448463328243193</v>
      </c>
      <c r="AE157" s="224">
        <v>18737.146477129143</v>
      </c>
      <c r="AF157" s="224">
        <v>0</v>
      </c>
      <c r="AG157" s="224">
        <v>261.60000000000002</v>
      </c>
      <c r="AH157" s="224">
        <v>6633.566939553104</v>
      </c>
      <c r="AI157" s="224">
        <v>66600</v>
      </c>
      <c r="AJ157" s="224">
        <v>0</v>
      </c>
      <c r="AK157" s="224">
        <v>745.98720000000003</v>
      </c>
      <c r="AL157" s="224">
        <v>0</v>
      </c>
      <c r="AM157" s="224">
        <v>436.00000000000006</v>
      </c>
      <c r="AN157" s="1121">
        <v>93414.300616682245</v>
      </c>
      <c r="AO157" s="224">
        <f t="shared" si="11"/>
        <v>2.8260495281293228</v>
      </c>
      <c r="AP157" s="1124">
        <v>0.1</v>
      </c>
      <c r="AQ157" s="1124">
        <f>AA157*$C$4*365/1000*0.1</f>
        <v>0.13792129201534861</v>
      </c>
      <c r="AR157" s="1124">
        <v>20</v>
      </c>
      <c r="AS157" s="1124">
        <f>AO157/$AO$157</f>
        <v>1</v>
      </c>
      <c r="AT157" s="224">
        <f t="shared" si="12"/>
        <v>12883.821033762992</v>
      </c>
    </row>
    <row r="158" spans="1:46">
      <c r="A158" s="1122">
        <v>2020</v>
      </c>
      <c r="B158" s="1108"/>
      <c r="C158" s="1108"/>
      <c r="D158" s="1108" t="s">
        <v>1866</v>
      </c>
      <c r="E158" s="1108" t="s">
        <v>1917</v>
      </c>
      <c r="F158" s="1108"/>
      <c r="G158" s="224">
        <v>16740.761161290822</v>
      </c>
      <c r="H158" s="224">
        <v>6002.5833000000002</v>
      </c>
      <c r="I158" s="224">
        <v>3.1680000000000001</v>
      </c>
      <c r="J158" s="224">
        <v>0.13865556768885756</v>
      </c>
      <c r="K158" s="224">
        <v>0.11073040198973361</v>
      </c>
      <c r="L158" s="224">
        <v>0.13180970201570488</v>
      </c>
      <c r="M158" s="224">
        <v>0</v>
      </c>
      <c r="N158" s="224">
        <v>0</v>
      </c>
      <c r="O158" s="224">
        <v>0</v>
      </c>
      <c r="P158" s="224">
        <v>0</v>
      </c>
      <c r="Q158" s="224">
        <v>0</v>
      </c>
      <c r="R158" s="224">
        <v>0</v>
      </c>
      <c r="S158" s="224">
        <v>0</v>
      </c>
      <c r="T158" s="224">
        <v>0</v>
      </c>
      <c r="U158" s="224">
        <v>0</v>
      </c>
      <c r="V158" s="224">
        <v>205.94425634999999</v>
      </c>
      <c r="W158" s="224">
        <v>0</v>
      </c>
      <c r="X158" s="224">
        <v>4.2881538461538478</v>
      </c>
      <c r="Y158" s="224">
        <v>3.1680000000000001</v>
      </c>
      <c r="Z158" s="224">
        <v>0</v>
      </c>
      <c r="AA158" s="224">
        <v>27.731113537771513</v>
      </c>
      <c r="AB158" s="224">
        <v>22.146080397946722</v>
      </c>
      <c r="AC158" s="224">
        <v>26.361940403140977</v>
      </c>
      <c r="AD158" s="1121">
        <v>20.227002953318696</v>
      </c>
      <c r="AE158" s="224">
        <v>19816.039265041538</v>
      </c>
      <c r="AF158" s="224">
        <v>0</v>
      </c>
      <c r="AG158" s="224">
        <v>261.60000000000002</v>
      </c>
      <c r="AH158" s="224">
        <v>6776.2330412865513</v>
      </c>
      <c r="AI158" s="224">
        <v>66600</v>
      </c>
      <c r="AJ158" s="224">
        <v>1226.5823159392048</v>
      </c>
      <c r="AK158" s="224">
        <v>1214.2458237810094</v>
      </c>
      <c r="AL158" s="224">
        <v>0</v>
      </c>
      <c r="AM158" s="224">
        <v>436.00000000000006</v>
      </c>
      <c r="AN158" s="1121">
        <v>96330.700446048286</v>
      </c>
      <c r="AO158" s="224">
        <f t="shared" si="11"/>
        <v>2.6651099091292711</v>
      </c>
      <c r="AP158" s="1124">
        <v>0.1</v>
      </c>
      <c r="AQ158" s="1124">
        <f t="shared" si="13"/>
        <v>0.13792129201534861</v>
      </c>
      <c r="AR158" s="1124">
        <v>20</v>
      </c>
      <c r="AS158" s="1124">
        <f t="shared" ref="AS158:AS192" si="14">AO158/$AO$157</f>
        <v>0.94305138059396143</v>
      </c>
      <c r="AT158" s="224">
        <f t="shared" si="12"/>
        <v>13286.054666262498</v>
      </c>
    </row>
    <row r="159" spans="1:46">
      <c r="A159" s="1119">
        <v>2025</v>
      </c>
      <c r="B159" s="1120"/>
      <c r="C159" s="1120"/>
      <c r="D159" s="1108" t="s">
        <v>1866</v>
      </c>
      <c r="E159" s="1120" t="s">
        <v>1917</v>
      </c>
      <c r="F159" s="1120"/>
      <c r="G159" s="224">
        <v>16679.197097341719</v>
      </c>
      <c r="H159" s="224">
        <v>6071.2999999999993</v>
      </c>
      <c r="I159" s="224">
        <v>3.1680000000000001</v>
      </c>
      <c r="J159" s="224">
        <v>0.12633223564676163</v>
      </c>
      <c r="K159" s="224">
        <v>9.3697408317021169E-2</v>
      </c>
      <c r="L159" s="224">
        <v>0.11019422829619994</v>
      </c>
      <c r="M159" s="224">
        <v>0</v>
      </c>
      <c r="N159" s="224">
        <v>0</v>
      </c>
      <c r="O159" s="224">
        <v>0</v>
      </c>
      <c r="P159" s="224">
        <v>0</v>
      </c>
      <c r="Q159" s="224">
        <v>0</v>
      </c>
      <c r="R159" s="224">
        <v>0</v>
      </c>
      <c r="S159" s="224">
        <v>0</v>
      </c>
      <c r="T159" s="224">
        <v>0</v>
      </c>
      <c r="U159" s="224">
        <v>0</v>
      </c>
      <c r="V159" s="224">
        <v>207.56771660000004</v>
      </c>
      <c r="W159" s="224">
        <v>0</v>
      </c>
      <c r="X159" s="224">
        <v>4.342294314381272</v>
      </c>
      <c r="Y159" s="224">
        <v>3.1680000000000001</v>
      </c>
      <c r="Z159" s="224">
        <v>0</v>
      </c>
      <c r="AA159" s="224">
        <v>25.266447129352322</v>
      </c>
      <c r="AB159" s="224">
        <v>18.739481663404234</v>
      </c>
      <c r="AC159" s="224">
        <v>22.038845659239989</v>
      </c>
      <c r="AD159" s="1121">
        <v>17.847189007633272</v>
      </c>
      <c r="AE159" s="224">
        <v>20960.494815896942</v>
      </c>
      <c r="AF159" s="224">
        <v>0</v>
      </c>
      <c r="AG159" s="224">
        <v>211.2</v>
      </c>
      <c r="AH159" s="224">
        <v>6821.611554343448</v>
      </c>
      <c r="AI159" s="224">
        <v>66600</v>
      </c>
      <c r="AJ159" s="224">
        <v>2761.8476565487535</v>
      </c>
      <c r="AK159" s="224">
        <v>2829.8971847014668</v>
      </c>
      <c r="AL159" s="224">
        <v>0</v>
      </c>
      <c r="AM159" s="224">
        <v>352.00000000000006</v>
      </c>
      <c r="AN159" s="1121">
        <v>100537.0512114906</v>
      </c>
      <c r="AO159" s="224">
        <f t="shared" si="11"/>
        <v>2.3515456236457597</v>
      </c>
      <c r="AP159" s="1124">
        <v>0.1</v>
      </c>
      <c r="AQ159" s="1124">
        <f t="shared" si="13"/>
        <v>0.13792129201534861</v>
      </c>
      <c r="AR159" s="1124">
        <v>20</v>
      </c>
      <c r="AS159" s="1124">
        <f t="shared" si="14"/>
        <v>0.83209639471617591</v>
      </c>
      <c r="AT159" s="224">
        <f t="shared" si="12"/>
        <v>13866.199998502054</v>
      </c>
    </row>
    <row r="160" spans="1:46">
      <c r="A160" s="1119">
        <v>2030</v>
      </c>
      <c r="B160" s="1108"/>
      <c r="C160" s="1108"/>
      <c r="D160" s="1108" t="s">
        <v>1866</v>
      </c>
      <c r="E160" s="1108" t="s">
        <v>1917</v>
      </c>
      <c r="F160" s="1108"/>
      <c r="G160" s="224">
        <v>16641.531928954882</v>
      </c>
      <c r="H160" s="224">
        <v>6149.2</v>
      </c>
      <c r="I160" s="224">
        <v>3.1680000000000001</v>
      </c>
      <c r="J160" s="224">
        <v>0.11918449447638098</v>
      </c>
      <c r="K160" s="224">
        <v>8.6852205726672363E-2</v>
      </c>
      <c r="L160" s="224">
        <v>0.10187250299508779</v>
      </c>
      <c r="M160" s="224">
        <v>0</v>
      </c>
      <c r="N160" s="224">
        <v>0</v>
      </c>
      <c r="O160" s="224">
        <v>0</v>
      </c>
      <c r="P160" s="224">
        <v>0</v>
      </c>
      <c r="Q160" s="224">
        <v>0</v>
      </c>
      <c r="R160" s="224">
        <v>0</v>
      </c>
      <c r="S160" s="224">
        <v>0</v>
      </c>
      <c r="T160" s="224">
        <v>0</v>
      </c>
      <c r="U160" s="224">
        <v>0</v>
      </c>
      <c r="V160" s="224">
        <v>205.24579465000002</v>
      </c>
      <c r="W160" s="224">
        <v>0</v>
      </c>
      <c r="X160" s="224">
        <v>4.3964347826086954</v>
      </c>
      <c r="Y160" s="224">
        <v>3.1680000000000001</v>
      </c>
      <c r="Z160" s="224">
        <v>0</v>
      </c>
      <c r="AA160" s="224">
        <v>23.8368988952762</v>
      </c>
      <c r="AB160" s="224">
        <v>17.370441145334471</v>
      </c>
      <c r="AC160" s="224">
        <v>20.374500599017558</v>
      </c>
      <c r="AD160" s="1121">
        <v>16.560246770487524</v>
      </c>
      <c r="AE160" s="224">
        <v>21185.281365700572</v>
      </c>
      <c r="AF160" s="224">
        <v>0</v>
      </c>
      <c r="AG160" s="224">
        <v>177.6</v>
      </c>
      <c r="AH160" s="224">
        <v>6756.7098325272409</v>
      </c>
      <c r="AI160" s="224">
        <v>66600</v>
      </c>
      <c r="AJ160" s="224">
        <v>4389.3477498749999</v>
      </c>
      <c r="AK160" s="224">
        <v>3508.029060192428</v>
      </c>
      <c r="AL160" s="224">
        <v>0</v>
      </c>
      <c r="AM160" s="224">
        <v>296</v>
      </c>
      <c r="AN160" s="1121">
        <v>102912.96800829525</v>
      </c>
      <c r="AO160" s="224">
        <f t="shared" si="11"/>
        <v>2.1819781144794361</v>
      </c>
      <c r="AP160" s="1124">
        <v>0.1</v>
      </c>
      <c r="AQ160" s="1124">
        <f t="shared" si="13"/>
        <v>0.13792129201534861</v>
      </c>
      <c r="AR160" s="1124">
        <v>20</v>
      </c>
      <c r="AS160" s="1124">
        <f t="shared" si="14"/>
        <v>0.77209478912557361</v>
      </c>
      <c r="AT160" s="224">
        <f t="shared" si="12"/>
        <v>14193.889512838319</v>
      </c>
    </row>
    <row r="161" spans="1:46">
      <c r="A161" s="1119">
        <v>2035</v>
      </c>
      <c r="B161" s="1120"/>
      <c r="C161" s="1120"/>
      <c r="D161" s="1108" t="s">
        <v>1866</v>
      </c>
      <c r="E161" s="1120" t="s">
        <v>1917</v>
      </c>
      <c r="F161" s="1120"/>
      <c r="G161" s="224">
        <v>16611.464463209824</v>
      </c>
      <c r="H161" s="224">
        <v>6227.1</v>
      </c>
      <c r="I161" s="224">
        <v>3.1680000000000001</v>
      </c>
      <c r="J161" s="224">
        <v>0.11513533369433264</v>
      </c>
      <c r="K161" s="224">
        <v>8.3150417501406601E-2</v>
      </c>
      <c r="L161" s="224">
        <v>9.6608756042704441E-2</v>
      </c>
      <c r="M161" s="224">
        <v>0</v>
      </c>
      <c r="N161" s="224">
        <v>0</v>
      </c>
      <c r="O161" s="224">
        <v>0</v>
      </c>
      <c r="P161" s="224">
        <v>0</v>
      </c>
      <c r="Q161" s="224">
        <v>0</v>
      </c>
      <c r="R161" s="224">
        <v>0</v>
      </c>
      <c r="S161" s="224">
        <v>0</v>
      </c>
      <c r="T161" s="224">
        <v>0</v>
      </c>
      <c r="U161" s="224">
        <v>0</v>
      </c>
      <c r="V161" s="224">
        <v>205.27754425000001</v>
      </c>
      <c r="W161" s="224">
        <v>0</v>
      </c>
      <c r="X161" s="224">
        <v>4.3964347826086954</v>
      </c>
      <c r="Y161" s="224">
        <v>3.1680000000000001</v>
      </c>
      <c r="Z161" s="224">
        <v>0</v>
      </c>
      <c r="AA161" s="224">
        <v>23.02706673886653</v>
      </c>
      <c r="AB161" s="224">
        <v>16.630083500281319</v>
      </c>
      <c r="AC161" s="224">
        <v>19.321751208540888</v>
      </c>
      <c r="AD161" s="1121">
        <v>15.772193188021884</v>
      </c>
      <c r="AE161" s="224">
        <v>21697.930634567951</v>
      </c>
      <c r="AF161" s="224">
        <v>0</v>
      </c>
      <c r="AG161" s="224">
        <v>144</v>
      </c>
      <c r="AH161" s="224">
        <v>6757.597288587931</v>
      </c>
      <c r="AI161" s="224">
        <v>66600</v>
      </c>
      <c r="AJ161" s="224">
        <v>6152.7344628750025</v>
      </c>
      <c r="AK161" s="224">
        <v>3935.8667708711309</v>
      </c>
      <c r="AL161" s="224">
        <v>0</v>
      </c>
      <c r="AM161" s="224">
        <v>240</v>
      </c>
      <c r="AN161" s="1121">
        <v>105528.12915690201</v>
      </c>
      <c r="AO161" s="224">
        <f t="shared" si="11"/>
        <v>2.0781441744537634</v>
      </c>
      <c r="AP161" s="1124">
        <v>0.1</v>
      </c>
      <c r="AQ161" s="1124">
        <f t="shared" si="13"/>
        <v>0.13792129201534861</v>
      </c>
      <c r="AR161" s="1124">
        <v>20</v>
      </c>
      <c r="AS161" s="1124">
        <f t="shared" si="14"/>
        <v>0.73535306220530805</v>
      </c>
      <c r="AT161" s="224">
        <f t="shared" si="12"/>
        <v>14554.575917282506</v>
      </c>
    </row>
    <row r="162" spans="1:46">
      <c r="A162" s="1119">
        <v>2050</v>
      </c>
      <c r="B162" s="1108"/>
      <c r="C162" s="1108"/>
      <c r="D162" s="1108" t="s">
        <v>1866</v>
      </c>
      <c r="E162" s="1108" t="s">
        <v>1917</v>
      </c>
      <c r="F162" s="1108"/>
      <c r="G162" s="224">
        <v>16426.520500564577</v>
      </c>
      <c r="H162" s="224">
        <v>6343.95</v>
      </c>
      <c r="I162" s="224">
        <v>3.1680000000000001</v>
      </c>
      <c r="J162" s="224">
        <v>0.10879481704785139</v>
      </c>
      <c r="K162" s="224">
        <v>7.7602427385699252E-2</v>
      </c>
      <c r="L162" s="224">
        <v>9.0566726577127887E-2</v>
      </c>
      <c r="M162" s="224">
        <v>0</v>
      </c>
      <c r="N162" s="224">
        <v>0</v>
      </c>
      <c r="O162" s="224">
        <v>0</v>
      </c>
      <c r="P162" s="224">
        <v>0</v>
      </c>
      <c r="Q162" s="224">
        <v>0</v>
      </c>
      <c r="R162" s="224">
        <v>0</v>
      </c>
      <c r="S162" s="224">
        <v>0</v>
      </c>
      <c r="T162" s="224">
        <v>0</v>
      </c>
      <c r="U162" s="224">
        <v>0</v>
      </c>
      <c r="V162" s="224">
        <v>201.11886957500002</v>
      </c>
      <c r="W162" s="224">
        <v>0</v>
      </c>
      <c r="X162" s="224">
        <v>4.3964347826086954</v>
      </c>
      <c r="Y162" s="224">
        <v>3.1680000000000001</v>
      </c>
      <c r="Z162" s="224">
        <v>0</v>
      </c>
      <c r="AA162" s="224">
        <v>21.758963409570278</v>
      </c>
      <c r="AB162" s="224">
        <v>15.52048547713985</v>
      </c>
      <c r="AC162" s="224">
        <v>18.11334531542558</v>
      </c>
      <c r="AD162" s="1121">
        <v>14.619561193940985</v>
      </c>
      <c r="AE162" s="224">
        <v>22029.768129670658</v>
      </c>
      <c r="AF162" s="224">
        <v>0</v>
      </c>
      <c r="AG162" s="224">
        <v>144</v>
      </c>
      <c r="AH162" s="224">
        <v>6641.3551612929305</v>
      </c>
      <c r="AI162" s="224">
        <v>66600</v>
      </c>
      <c r="AJ162" s="224">
        <v>8806.0084035</v>
      </c>
      <c r="AK162" s="224">
        <v>4842.5801991868502</v>
      </c>
      <c r="AL162" s="224">
        <v>0</v>
      </c>
      <c r="AM162" s="224">
        <v>240</v>
      </c>
      <c r="AN162" s="1121">
        <v>109303.71189365044</v>
      </c>
      <c r="AO162" s="224">
        <f t="shared" si="11"/>
        <v>1.926273382913664</v>
      </c>
      <c r="AP162" s="1124">
        <v>0.1</v>
      </c>
      <c r="AQ162" s="1124">
        <f t="shared" si="13"/>
        <v>0.13792129201534861</v>
      </c>
      <c r="AR162" s="1124">
        <v>20</v>
      </c>
      <c r="AS162" s="1124">
        <f t="shared" si="14"/>
        <v>0.68161345501568149</v>
      </c>
      <c r="AT162" s="224">
        <f t="shared" si="12"/>
        <v>15075.309166445695</v>
      </c>
    </row>
    <row r="163" spans="1:46">
      <c r="A163" s="1119">
        <v>2017</v>
      </c>
      <c r="B163" s="1120"/>
      <c r="C163" s="1120"/>
      <c r="D163" s="1108" t="s">
        <v>1866</v>
      </c>
      <c r="E163" s="1120" t="s">
        <v>1918</v>
      </c>
      <c r="F163" s="1120"/>
      <c r="G163" s="224">
        <v>18798.384696059831</v>
      </c>
      <c r="H163" s="224">
        <v>6818</v>
      </c>
      <c r="I163" s="224">
        <v>0.44999792640000003</v>
      </c>
      <c r="J163" s="224">
        <v>0.14742535318381755</v>
      </c>
      <c r="K163" s="224">
        <v>0.12437965984541513</v>
      </c>
      <c r="L163" s="224">
        <v>0.14916420188565793</v>
      </c>
      <c r="M163" s="224">
        <v>0</v>
      </c>
      <c r="N163" s="224">
        <v>0</v>
      </c>
      <c r="O163" s="224">
        <v>0</v>
      </c>
      <c r="P163" s="224">
        <v>0</v>
      </c>
      <c r="Q163" s="224">
        <v>0</v>
      </c>
      <c r="R163" s="224">
        <v>0</v>
      </c>
      <c r="S163" s="224">
        <v>0</v>
      </c>
      <c r="T163" s="224">
        <v>0</v>
      </c>
      <c r="U163" s="224">
        <v>0</v>
      </c>
      <c r="V163" s="224">
        <v>213.72181430000001</v>
      </c>
      <c r="W163" s="224">
        <v>5.4</v>
      </c>
      <c r="X163" s="224">
        <v>8.1</v>
      </c>
      <c r="Y163" s="224">
        <v>0.44999792640000003</v>
      </c>
      <c r="Z163" s="224">
        <v>0</v>
      </c>
      <c r="AA163" s="224">
        <v>29.48507063676351</v>
      </c>
      <c r="AB163" s="224">
        <v>24.875931969083027</v>
      </c>
      <c r="AC163" s="224">
        <v>29.832840377131586</v>
      </c>
      <c r="AD163" s="1121">
        <v>19.369342197683892</v>
      </c>
      <c r="AE163" s="224">
        <v>20050.849871972572</v>
      </c>
      <c r="AF163" s="224">
        <v>1073.0849999999998</v>
      </c>
      <c r="AG163" s="224">
        <v>610.72195742009569</v>
      </c>
      <c r="AH163" s="224">
        <v>6993.6291955717243</v>
      </c>
      <c r="AI163" s="224">
        <v>66000</v>
      </c>
      <c r="AJ163" s="224">
        <v>0</v>
      </c>
      <c r="AK163" s="224">
        <v>745.98720000000003</v>
      </c>
      <c r="AL163" s="224">
        <v>0</v>
      </c>
      <c r="AM163" s="224">
        <v>436.00000000000006</v>
      </c>
      <c r="AN163" s="1121">
        <v>95910.273224964403</v>
      </c>
      <c r="AO163" s="224">
        <f t="shared" si="11"/>
        <v>2.5521045279668293</v>
      </c>
      <c r="AP163" s="1124">
        <v>0.1</v>
      </c>
      <c r="AQ163" s="1124">
        <f t="shared" si="13"/>
        <v>0.13792129201534861</v>
      </c>
      <c r="AR163" s="1124">
        <v>20</v>
      </c>
      <c r="AS163" s="1124">
        <f t="shared" si="14"/>
        <v>0.90306433152152543</v>
      </c>
      <c r="AT163" s="224">
        <f t="shared" si="12"/>
        <v>13228.068800732186</v>
      </c>
    </row>
    <row r="164" spans="1:46">
      <c r="A164" s="1122">
        <v>2020</v>
      </c>
      <c r="D164" s="1108" t="s">
        <v>1866</v>
      </c>
      <c r="E164" s="224" t="s">
        <v>1918</v>
      </c>
      <c r="G164" s="224">
        <v>18687.478629358859</v>
      </c>
      <c r="H164" s="224">
        <v>6873.7332999999999</v>
      </c>
      <c r="I164" s="224">
        <v>0.39366835200000005</v>
      </c>
      <c r="J164" s="224">
        <v>0.14173352720124627</v>
      </c>
      <c r="K164" s="224">
        <v>0.11671386345831801</v>
      </c>
      <c r="L164" s="224">
        <v>0.1397340471792278</v>
      </c>
      <c r="M164" s="224">
        <v>0</v>
      </c>
      <c r="N164" s="224">
        <v>0</v>
      </c>
      <c r="O164" s="224">
        <v>0</v>
      </c>
      <c r="P164" s="224">
        <v>0</v>
      </c>
      <c r="Q164" s="224">
        <v>0</v>
      </c>
      <c r="R164" s="224">
        <v>0</v>
      </c>
      <c r="S164" s="224">
        <v>0</v>
      </c>
      <c r="T164" s="224">
        <v>0</v>
      </c>
      <c r="U164" s="224">
        <v>0</v>
      </c>
      <c r="V164" s="224">
        <v>214.5652584</v>
      </c>
      <c r="W164" s="224">
        <v>4.7240000000000002</v>
      </c>
      <c r="X164" s="224">
        <v>7.0860000000000003</v>
      </c>
      <c r="Y164" s="224">
        <v>0.39366835200000005</v>
      </c>
      <c r="Z164" s="224">
        <v>0</v>
      </c>
      <c r="AA164" s="224">
        <v>28.346705440249252</v>
      </c>
      <c r="AB164" s="224">
        <v>23.342772691663601</v>
      </c>
      <c r="AC164" s="224">
        <v>27.946809435845559</v>
      </c>
      <c r="AD164" s="1121">
        <v>18.434119738506393</v>
      </c>
      <c r="AE164" s="224">
        <v>20422.502622786284</v>
      </c>
      <c r="AF164" s="224">
        <v>699.73410000000001</v>
      </c>
      <c r="AG164" s="224">
        <v>534.27336528229648</v>
      </c>
      <c r="AH164" s="224">
        <v>7017.2049123806892</v>
      </c>
      <c r="AI164" s="224">
        <v>66000</v>
      </c>
      <c r="AJ164" s="224">
        <v>1420.2532079296063</v>
      </c>
      <c r="AK164" s="224">
        <v>1214.2458237810094</v>
      </c>
      <c r="AL164" s="224">
        <v>0</v>
      </c>
      <c r="AM164" s="224">
        <v>436.00000000000006</v>
      </c>
      <c r="AN164" s="1121">
        <v>97744.214032159871</v>
      </c>
      <c r="AO164" s="224">
        <f t="shared" si="11"/>
        <v>2.4288796167456019</v>
      </c>
      <c r="AP164" s="1124">
        <v>0.1</v>
      </c>
      <c r="AQ164" s="1124">
        <f t="shared" si="13"/>
        <v>0.13792129201534861</v>
      </c>
      <c r="AR164" s="1124">
        <v>20</v>
      </c>
      <c r="AS164" s="1124">
        <f t="shared" si="14"/>
        <v>0.85946109315124997</v>
      </c>
      <c r="AT164" s="224">
        <f t="shared" si="12"/>
        <v>13481.008286340257</v>
      </c>
    </row>
    <row r="165" spans="1:46">
      <c r="A165" s="1119">
        <v>2025</v>
      </c>
      <c r="D165" s="1108" t="s">
        <v>1866</v>
      </c>
      <c r="E165" s="224" t="s">
        <v>1918</v>
      </c>
      <c r="G165" s="224">
        <v>18516.29256177185</v>
      </c>
      <c r="H165" s="224">
        <v>6953.2999999999993</v>
      </c>
      <c r="I165" s="224">
        <v>0.30950092800000006</v>
      </c>
      <c r="J165" s="224">
        <v>0.1279743898012109</v>
      </c>
      <c r="K165" s="224">
        <v>9.8700262022000496E-2</v>
      </c>
      <c r="L165" s="224">
        <v>0.11688874250184333</v>
      </c>
      <c r="M165" s="224">
        <v>0</v>
      </c>
      <c r="N165" s="224">
        <v>0</v>
      </c>
      <c r="O165" s="224">
        <v>0</v>
      </c>
      <c r="P165" s="224">
        <v>0</v>
      </c>
      <c r="Q165" s="224">
        <v>0</v>
      </c>
      <c r="R165" s="224">
        <v>0</v>
      </c>
      <c r="S165" s="224">
        <v>0</v>
      </c>
      <c r="T165" s="224">
        <v>0</v>
      </c>
      <c r="U165" s="224">
        <v>0</v>
      </c>
      <c r="V165" s="224">
        <v>209.22387565000002</v>
      </c>
      <c r="W165" s="224">
        <v>3.7139999999999995</v>
      </c>
      <c r="X165" s="224">
        <v>5.5709999999999997</v>
      </c>
      <c r="Y165" s="224">
        <v>0.30950092800000006</v>
      </c>
      <c r="Z165" s="224">
        <v>0</v>
      </c>
      <c r="AA165" s="224">
        <v>25.594877960242179</v>
      </c>
      <c r="AB165" s="224">
        <v>19.7400524044001</v>
      </c>
      <c r="AC165" s="224">
        <v>23.377748500368668</v>
      </c>
      <c r="AD165" s="1121">
        <v>16.372604112162687</v>
      </c>
      <c r="AE165" s="224">
        <v>20755.157169494854</v>
      </c>
      <c r="AF165" s="224">
        <v>337.6241</v>
      </c>
      <c r="AG165" s="224">
        <v>285.71973567740895</v>
      </c>
      <c r="AH165" s="224">
        <v>6867.9040552375855</v>
      </c>
      <c r="AI165" s="224">
        <v>66000</v>
      </c>
      <c r="AJ165" s="224">
        <v>3197.9288654775046</v>
      </c>
      <c r="AK165" s="224">
        <v>2829.8971847014668</v>
      </c>
      <c r="AL165" s="224">
        <v>0</v>
      </c>
      <c r="AM165" s="224">
        <v>352.00000000000006</v>
      </c>
      <c r="AN165" s="1121">
        <v>100626.23111058879</v>
      </c>
      <c r="AO165" s="224">
        <f t="shared" si="11"/>
        <v>2.1572543178185555</v>
      </c>
      <c r="AP165" s="1124">
        <v>0.1</v>
      </c>
      <c r="AQ165" s="1124">
        <f t="shared" si="13"/>
        <v>0.13792129201534861</v>
      </c>
      <c r="AR165" s="1124">
        <v>20</v>
      </c>
      <c r="AS165" s="1124">
        <f t="shared" si="14"/>
        <v>0.76334625290397151</v>
      </c>
      <c r="AT165" s="224">
        <f t="shared" si="12"/>
        <v>13878.499805407475</v>
      </c>
    </row>
    <row r="166" spans="1:46">
      <c r="A166" s="1119">
        <v>2030</v>
      </c>
      <c r="D166" s="1108" t="s">
        <v>1866</v>
      </c>
      <c r="E166" s="224" t="s">
        <v>1918</v>
      </c>
      <c r="G166" s="224">
        <v>18328.833560944367</v>
      </c>
      <c r="H166" s="224">
        <v>7043.5</v>
      </c>
      <c r="I166" s="224">
        <v>0.25316628480000003</v>
      </c>
      <c r="J166" s="224">
        <v>0.12056233930744834</v>
      </c>
      <c r="K166" s="224">
        <v>9.1333109798253875E-2</v>
      </c>
      <c r="L166" s="224">
        <v>0.10697537755951439</v>
      </c>
      <c r="M166" s="224">
        <v>0</v>
      </c>
      <c r="N166" s="224">
        <v>0</v>
      </c>
      <c r="O166" s="224">
        <v>0</v>
      </c>
      <c r="P166" s="224">
        <v>0</v>
      </c>
      <c r="Q166" s="224">
        <v>0</v>
      </c>
      <c r="R166" s="224">
        <v>0</v>
      </c>
      <c r="S166" s="224">
        <v>0</v>
      </c>
      <c r="T166" s="224">
        <v>0</v>
      </c>
      <c r="U166" s="224">
        <v>0</v>
      </c>
      <c r="V166" s="224">
        <v>206.16662495000003</v>
      </c>
      <c r="W166" s="224">
        <v>3.0380000000000003</v>
      </c>
      <c r="X166" s="224">
        <v>4.5570000000000004</v>
      </c>
      <c r="Y166" s="224">
        <v>0.25316628480000003</v>
      </c>
      <c r="Z166" s="224">
        <v>0</v>
      </c>
      <c r="AA166" s="224">
        <v>24.112467861489666</v>
      </c>
      <c r="AB166" s="224">
        <v>18.266621959650777</v>
      </c>
      <c r="AC166" s="224">
        <v>21.395075511902874</v>
      </c>
      <c r="AD166" s="1121">
        <v>15.211225419764613</v>
      </c>
      <c r="AE166" s="224">
        <v>20908.000049238857</v>
      </c>
      <c r="AF166" s="224">
        <v>219.28627440000002</v>
      </c>
      <c r="AG166" s="224">
        <v>149.45854097639233</v>
      </c>
      <c r="AH166" s="224">
        <v>6782.4486270506895</v>
      </c>
      <c r="AI166" s="224">
        <v>66000</v>
      </c>
      <c r="AJ166" s="224">
        <v>5082.4026577499999</v>
      </c>
      <c r="AK166" s="224">
        <v>3508.029060192428</v>
      </c>
      <c r="AL166" s="224">
        <v>0</v>
      </c>
      <c r="AM166" s="224">
        <v>296</v>
      </c>
      <c r="AN166" s="1121">
        <v>102945.62520960838</v>
      </c>
      <c r="AO166" s="224">
        <f t="shared" si="11"/>
        <v>2.0042310613081851</v>
      </c>
      <c r="AP166" s="1124">
        <v>0.1</v>
      </c>
      <c r="AQ166" s="1124">
        <f t="shared" si="13"/>
        <v>0.13792129201534861</v>
      </c>
      <c r="AR166" s="1124">
        <v>20</v>
      </c>
      <c r="AS166" s="1124">
        <f t="shared" si="14"/>
        <v>0.70919884501630348</v>
      </c>
      <c r="AT166" s="224">
        <f t="shared" si="12"/>
        <v>14198.393636237031</v>
      </c>
    </row>
    <row r="167" spans="1:46">
      <c r="A167" s="1119">
        <v>2035</v>
      </c>
      <c r="D167" s="1108" t="s">
        <v>1866</v>
      </c>
      <c r="E167" s="224" t="s">
        <v>1918</v>
      </c>
      <c r="G167" s="224">
        <v>18149.439140349226</v>
      </c>
      <c r="H167" s="224">
        <v>7133.7000000000007</v>
      </c>
      <c r="I167" s="224">
        <v>0.22499896320000001</v>
      </c>
      <c r="J167" s="224">
        <v>0.11560965311445159</v>
      </c>
      <c r="K167" s="224">
        <v>8.686905423637778E-2</v>
      </c>
      <c r="L167" s="224">
        <v>0.10211400314267557</v>
      </c>
      <c r="M167" s="224">
        <v>0</v>
      </c>
      <c r="N167" s="224">
        <v>0</v>
      </c>
      <c r="O167" s="224">
        <v>0</v>
      </c>
      <c r="P167" s="224">
        <v>0</v>
      </c>
      <c r="Q167" s="224">
        <v>0</v>
      </c>
      <c r="R167" s="224">
        <v>0</v>
      </c>
      <c r="S167" s="224">
        <v>0</v>
      </c>
      <c r="T167" s="224">
        <v>0</v>
      </c>
      <c r="U167" s="224">
        <v>0</v>
      </c>
      <c r="V167" s="224">
        <v>206.7935162</v>
      </c>
      <c r="W167" s="224">
        <v>2.7</v>
      </c>
      <c r="X167" s="224">
        <v>4.0500000000000007</v>
      </c>
      <c r="Y167" s="224">
        <v>0.22499896320000001</v>
      </c>
      <c r="Z167" s="224">
        <v>0</v>
      </c>
      <c r="AA167" s="224">
        <v>23.121930622890318</v>
      </c>
      <c r="AB167" s="224">
        <v>17.373810847275557</v>
      </c>
      <c r="AC167" s="224">
        <v>20.422800628535114</v>
      </c>
      <c r="AD167" s="1121">
        <v>14.397020938376512</v>
      </c>
      <c r="AE167" s="224">
        <v>21433.494232895999</v>
      </c>
      <c r="AF167" s="224">
        <v>164.96928000000003</v>
      </c>
      <c r="AG167" s="224">
        <v>83.680188366812203</v>
      </c>
      <c r="AH167" s="224">
        <v>6799.9713183351732</v>
      </c>
      <c r="AI167" s="224">
        <v>66000</v>
      </c>
      <c r="AJ167" s="224">
        <v>7124.2188517500035</v>
      </c>
      <c r="AK167" s="224">
        <v>3935.8667708711309</v>
      </c>
      <c r="AL167" s="224">
        <v>0</v>
      </c>
      <c r="AM167" s="224">
        <v>240</v>
      </c>
      <c r="AN167" s="1121">
        <v>105782.2006422191</v>
      </c>
      <c r="AO167" s="224">
        <f t="shared" si="11"/>
        <v>1.8969514788404891</v>
      </c>
      <c r="AP167" s="1124">
        <v>0.1</v>
      </c>
      <c r="AQ167" s="1124">
        <f t="shared" si="13"/>
        <v>0.13792129201534861</v>
      </c>
      <c r="AR167" s="1124">
        <v>20</v>
      </c>
      <c r="AS167" s="1124">
        <f t="shared" si="14"/>
        <v>0.67123787462286921</v>
      </c>
      <c r="AT167" s="224">
        <f t="shared" si="12"/>
        <v>14589.617784801698</v>
      </c>
    </row>
    <row r="168" spans="1:46">
      <c r="A168" s="1119">
        <v>2050</v>
      </c>
      <c r="D168" s="1108" t="s">
        <v>1866</v>
      </c>
      <c r="E168" s="224" t="s">
        <v>1918</v>
      </c>
      <c r="G168" s="224">
        <v>17868.022161462686</v>
      </c>
      <c r="H168" s="224">
        <v>7269</v>
      </c>
      <c r="I168" s="224">
        <v>0.16883159040000001</v>
      </c>
      <c r="J168" s="224">
        <v>0.1083178412446518</v>
      </c>
      <c r="K168" s="224">
        <v>8.0186186170206064E-2</v>
      </c>
      <c r="L168" s="224">
        <v>9.4798361155768757E-2</v>
      </c>
      <c r="M168" s="224">
        <v>0</v>
      </c>
      <c r="N168" s="224">
        <v>0</v>
      </c>
      <c r="O168" s="224">
        <v>0</v>
      </c>
      <c r="P168" s="224">
        <v>0</v>
      </c>
      <c r="Q168" s="224">
        <v>0</v>
      </c>
      <c r="R168" s="224">
        <v>0</v>
      </c>
      <c r="S168" s="224">
        <v>0</v>
      </c>
      <c r="T168" s="224">
        <v>0</v>
      </c>
      <c r="U168" s="224">
        <v>0</v>
      </c>
      <c r="V168" s="224">
        <v>201.24281819999999</v>
      </c>
      <c r="W168" s="224">
        <v>2.0260000000000002</v>
      </c>
      <c r="X168" s="224">
        <v>3.0389999999999997</v>
      </c>
      <c r="Y168" s="224">
        <v>0.16883159040000001</v>
      </c>
      <c r="Z168" s="224">
        <v>0</v>
      </c>
      <c r="AA168" s="224">
        <v>21.66356824893036</v>
      </c>
      <c r="AB168" s="224">
        <v>16.037237234041214</v>
      </c>
      <c r="AC168" s="224">
        <v>18.959672231153753</v>
      </c>
      <c r="AD168" s="1121">
        <v>13.227412093934699</v>
      </c>
      <c r="AE168" s="224">
        <v>21896.590475913144</v>
      </c>
      <c r="AF168" s="224">
        <v>74.8416</v>
      </c>
      <c r="AG168" s="224">
        <v>59.978043416593863</v>
      </c>
      <c r="AH168" s="224">
        <v>6644.8197390662062</v>
      </c>
      <c r="AI168" s="224">
        <v>66000</v>
      </c>
      <c r="AJ168" s="224">
        <v>10196.430783</v>
      </c>
      <c r="AK168" s="224">
        <v>4842.5801991868502</v>
      </c>
      <c r="AL168" s="224">
        <v>0</v>
      </c>
      <c r="AM168" s="224">
        <v>240</v>
      </c>
      <c r="AN168" s="1121">
        <v>109955.24084058279</v>
      </c>
      <c r="AO168" s="224">
        <f t="shared" si="11"/>
        <v>1.7428438174968359</v>
      </c>
      <c r="AP168" s="1124">
        <v>0.1</v>
      </c>
      <c r="AQ168" s="1124">
        <f t="shared" si="13"/>
        <v>0.13792129201534861</v>
      </c>
      <c r="AR168" s="1124">
        <v>20</v>
      </c>
      <c r="AS168" s="1124">
        <f t="shared" si="14"/>
        <v>0.61670674917381763</v>
      </c>
      <c r="AT168" s="224">
        <f t="shared" si="12"/>
        <v>15165.168880592004</v>
      </c>
    </row>
    <row r="169" spans="1:46">
      <c r="A169" s="1119">
        <v>2017</v>
      </c>
      <c r="D169" s="1108" t="s">
        <v>1866</v>
      </c>
      <c r="E169" s="224" t="s">
        <v>1919</v>
      </c>
      <c r="G169" s="224">
        <v>19239.994338219658</v>
      </c>
      <c r="H169" s="224">
        <v>6818</v>
      </c>
      <c r="I169" s="224">
        <v>5.8449600000000013</v>
      </c>
      <c r="J169" s="224">
        <v>0.130834617875104</v>
      </c>
      <c r="K169" s="224">
        <v>0.13331150225488958</v>
      </c>
      <c r="L169" s="224">
        <v>0.15612812984352584</v>
      </c>
      <c r="M169" s="224">
        <v>0</v>
      </c>
      <c r="N169" s="224">
        <v>0</v>
      </c>
      <c r="O169" s="224">
        <v>0</v>
      </c>
      <c r="P169" s="224">
        <v>0</v>
      </c>
      <c r="Q169" s="224">
        <v>0</v>
      </c>
      <c r="R169" s="224">
        <v>0</v>
      </c>
      <c r="S169" s="224">
        <v>0</v>
      </c>
      <c r="T169" s="224">
        <v>0</v>
      </c>
      <c r="U169" s="224">
        <v>0</v>
      </c>
      <c r="V169" s="224">
        <v>206.32542040000001</v>
      </c>
      <c r="W169" s="224">
        <v>139.50473639999998</v>
      </c>
      <c r="X169" s="224">
        <v>181.93995215311</v>
      </c>
      <c r="Y169" s="224">
        <v>5.8449600000000013</v>
      </c>
      <c r="Z169" s="224">
        <v>0</v>
      </c>
      <c r="AA169" s="224">
        <v>26.1669235750208</v>
      </c>
      <c r="AB169" s="224">
        <v>26.662300450977916</v>
      </c>
      <c r="AC169" s="224">
        <v>31.225625968705167</v>
      </c>
      <c r="AD169" s="1121">
        <v>17.36446839445874</v>
      </c>
      <c r="AE169" s="224">
        <v>19265.990516260568</v>
      </c>
      <c r="AF169" s="224">
        <v>6826.1781915599995</v>
      </c>
      <c r="AG169" s="224">
        <v>7932.581913875596</v>
      </c>
      <c r="AH169" s="224">
        <v>9105.5857836882042</v>
      </c>
      <c r="AI169" s="224">
        <v>66000</v>
      </c>
      <c r="AJ169" s="224">
        <v>0</v>
      </c>
      <c r="AK169" s="224">
        <v>745.98720000000003</v>
      </c>
      <c r="AL169" s="224">
        <v>0</v>
      </c>
      <c r="AM169" s="224">
        <v>436.00000000000006</v>
      </c>
      <c r="AN169" s="1121">
        <v>110312.32360538437</v>
      </c>
      <c r="AO169" s="224">
        <f t="shared" si="11"/>
        <v>2.2879423556538834</v>
      </c>
      <c r="AP169" s="1124">
        <v>0.1</v>
      </c>
      <c r="AQ169" s="1124">
        <f t="shared" si="13"/>
        <v>0.13792129201534861</v>
      </c>
      <c r="AR169" s="1124">
        <v>20</v>
      </c>
      <c r="AS169" s="1124">
        <f t="shared" si="14"/>
        <v>0.80959032489723048</v>
      </c>
      <c r="AT169" s="224">
        <f t="shared" si="12"/>
        <v>15214.418196869852</v>
      </c>
    </row>
    <row r="170" spans="1:46">
      <c r="A170" s="1122">
        <v>2020</v>
      </c>
      <c r="D170" s="1108" t="s">
        <v>1866</v>
      </c>
      <c r="E170" s="224" t="s">
        <v>1919</v>
      </c>
      <c r="G170" s="224">
        <v>19123.793092296313</v>
      </c>
      <c r="H170" s="224">
        <v>6873.7332999999999</v>
      </c>
      <c r="I170" s="224">
        <v>5.8449600000000013</v>
      </c>
      <c r="J170" s="224">
        <v>0.12390509814611782</v>
      </c>
      <c r="K170" s="224">
        <v>0.12266001754903105</v>
      </c>
      <c r="L170" s="224">
        <v>0.13156565056574965</v>
      </c>
      <c r="M170" s="224">
        <v>0</v>
      </c>
      <c r="N170" s="224">
        <v>0</v>
      </c>
      <c r="O170" s="224">
        <v>0</v>
      </c>
      <c r="P170" s="224">
        <v>0</v>
      </c>
      <c r="Q170" s="224">
        <v>0</v>
      </c>
      <c r="R170" s="224">
        <v>0</v>
      </c>
      <c r="S170" s="224">
        <v>0</v>
      </c>
      <c r="T170" s="224">
        <v>0</v>
      </c>
      <c r="U170" s="224">
        <v>0</v>
      </c>
      <c r="V170" s="224">
        <v>203.8227172</v>
      </c>
      <c r="W170" s="224">
        <v>139.46305280000001</v>
      </c>
      <c r="X170" s="224">
        <v>181.93995215311</v>
      </c>
      <c r="Y170" s="224">
        <v>5.8449600000000013</v>
      </c>
      <c r="Z170" s="224">
        <v>0</v>
      </c>
      <c r="AA170" s="224">
        <v>24.781019629223564</v>
      </c>
      <c r="AB170" s="224">
        <v>24.532003509806209</v>
      </c>
      <c r="AC170" s="224">
        <v>26.313130113149931</v>
      </c>
      <c r="AD170" s="1121">
        <v>16.272771978128755</v>
      </c>
      <c r="AE170" s="224">
        <v>19315.58450303314</v>
      </c>
      <c r="AF170" s="224">
        <v>5166.3337003200013</v>
      </c>
      <c r="AG170" s="224">
        <v>7932.581913875596</v>
      </c>
      <c r="AH170" s="224">
        <v>9034.9380940175542</v>
      </c>
      <c r="AI170" s="224">
        <v>66000</v>
      </c>
      <c r="AJ170" s="224">
        <v>1420.2532079296063</v>
      </c>
      <c r="AK170" s="224">
        <v>1214.2458237810094</v>
      </c>
      <c r="AL170" s="224">
        <v>0</v>
      </c>
      <c r="AM170" s="224">
        <v>436.00000000000006</v>
      </c>
      <c r="AN170" s="1121">
        <v>110519.93724295689</v>
      </c>
      <c r="AO170" s="224">
        <f t="shared" si="11"/>
        <v>2.1441004358382445</v>
      </c>
      <c r="AP170" s="1124">
        <v>0.1</v>
      </c>
      <c r="AQ170" s="1124">
        <f t="shared" si="13"/>
        <v>0.13792129201534861</v>
      </c>
      <c r="AR170" s="1124">
        <v>20</v>
      </c>
      <c r="AS170" s="1124">
        <f t="shared" si="14"/>
        <v>0.75869174071323231</v>
      </c>
      <c r="AT170" s="224">
        <f t="shared" si="12"/>
        <v>15243.05253800386</v>
      </c>
    </row>
    <row r="171" spans="1:46">
      <c r="A171" s="1119">
        <v>2025</v>
      </c>
      <c r="D171" s="1108" t="s">
        <v>1866</v>
      </c>
      <c r="E171" s="224" t="s">
        <v>1919</v>
      </c>
      <c r="G171" s="224">
        <v>18678.148789960869</v>
      </c>
      <c r="H171" s="224">
        <v>6953.2999999999993</v>
      </c>
      <c r="I171" s="224">
        <v>5.8449600000000013</v>
      </c>
      <c r="J171" s="224">
        <v>0.10870407218882905</v>
      </c>
      <c r="K171" s="224">
        <v>0.10473349290397796</v>
      </c>
      <c r="L171" s="224">
        <v>0.11377958105629912</v>
      </c>
      <c r="M171" s="224">
        <v>0</v>
      </c>
      <c r="N171" s="224">
        <v>0</v>
      </c>
      <c r="O171" s="224">
        <v>0</v>
      </c>
      <c r="P171" s="224">
        <v>0</v>
      </c>
      <c r="Q171" s="224">
        <v>0</v>
      </c>
      <c r="R171" s="224">
        <v>0</v>
      </c>
      <c r="S171" s="224">
        <v>0</v>
      </c>
      <c r="T171" s="224">
        <v>0</v>
      </c>
      <c r="U171" s="224">
        <v>0</v>
      </c>
      <c r="V171" s="224">
        <v>196.47936924999999</v>
      </c>
      <c r="W171" s="224">
        <v>139.49817490000001</v>
      </c>
      <c r="X171" s="224">
        <v>165.28605999263891</v>
      </c>
      <c r="Y171" s="224">
        <v>5.8449600000000013</v>
      </c>
      <c r="Z171" s="224">
        <v>0</v>
      </c>
      <c r="AA171" s="224">
        <v>21.74081443776581</v>
      </c>
      <c r="AB171" s="224">
        <v>20.946698580795591</v>
      </c>
      <c r="AC171" s="224">
        <v>22.755916211259823</v>
      </c>
      <c r="AD171" s="1121">
        <v>14.055339851068783</v>
      </c>
      <c r="AE171" s="224">
        <v>19453.323618354283</v>
      </c>
      <c r="AF171" s="224">
        <v>2546.0345018975004</v>
      </c>
      <c r="AG171" s="224">
        <v>5294.8840809716594</v>
      </c>
      <c r="AH171" s="224">
        <v>8830.2626198589423</v>
      </c>
      <c r="AI171" s="224">
        <v>66000</v>
      </c>
      <c r="AJ171" s="224">
        <v>3197.9288654775046</v>
      </c>
      <c r="AK171" s="224">
        <v>2829.8971847014668</v>
      </c>
      <c r="AL171" s="224">
        <v>0</v>
      </c>
      <c r="AM171" s="224">
        <v>352.00000000000006</v>
      </c>
      <c r="AN171" s="1121">
        <v>108504.33087126134</v>
      </c>
      <c r="AO171" s="224">
        <f t="shared" si="11"/>
        <v>1.8519315787768227</v>
      </c>
      <c r="AP171" s="1124">
        <v>0.1</v>
      </c>
      <c r="AQ171" s="1124">
        <f t="shared" si="13"/>
        <v>0.13792129201534861</v>
      </c>
      <c r="AR171" s="1124">
        <v>20</v>
      </c>
      <c r="AS171" s="1124">
        <f t="shared" si="14"/>
        <v>0.65530754515922851</v>
      </c>
      <c r="AT171" s="224">
        <f t="shared" si="12"/>
        <v>14965.05750302524</v>
      </c>
    </row>
    <row r="172" spans="1:46">
      <c r="A172" s="1119">
        <v>2030</v>
      </c>
      <c r="D172" s="1108" t="s">
        <v>1866</v>
      </c>
      <c r="E172" s="224" t="s">
        <v>1919</v>
      </c>
      <c r="G172" s="224">
        <v>18393.494691689535</v>
      </c>
      <c r="H172" s="224">
        <v>7043.5</v>
      </c>
      <c r="I172" s="224">
        <v>6.2251200000000004</v>
      </c>
      <c r="J172" s="224">
        <v>0.1022295342490158</v>
      </c>
      <c r="K172" s="224">
        <v>9.770895050543521E-2</v>
      </c>
      <c r="L172" s="224">
        <v>0.10963510101563058</v>
      </c>
      <c r="M172" s="224">
        <v>0</v>
      </c>
      <c r="N172" s="224">
        <v>0</v>
      </c>
      <c r="O172" s="224">
        <v>0</v>
      </c>
      <c r="P172" s="224">
        <v>0</v>
      </c>
      <c r="Q172" s="224">
        <v>0</v>
      </c>
      <c r="R172" s="224">
        <v>0</v>
      </c>
      <c r="S172" s="224">
        <v>0</v>
      </c>
      <c r="T172" s="224">
        <v>0</v>
      </c>
      <c r="U172" s="224">
        <v>0</v>
      </c>
      <c r="V172" s="224">
        <v>191.71381680000002</v>
      </c>
      <c r="W172" s="224">
        <v>148.53042765000001</v>
      </c>
      <c r="X172" s="224">
        <v>136.72951186368215</v>
      </c>
      <c r="Y172" s="224">
        <v>6.2251200000000004</v>
      </c>
      <c r="Z172" s="224">
        <v>0</v>
      </c>
      <c r="AA172" s="224">
        <v>20.445906849803162</v>
      </c>
      <c r="AB172" s="224">
        <v>19.541790101087045</v>
      </c>
      <c r="AC172" s="224">
        <v>21.927020203126116</v>
      </c>
      <c r="AD172" s="1121">
        <v>12.970124572013233</v>
      </c>
      <c r="AE172" s="224">
        <v>19444.399540315429</v>
      </c>
      <c r="AF172" s="224">
        <v>1961.6124810250803</v>
      </c>
      <c r="AG172" s="224">
        <v>3475.3463801569605</v>
      </c>
      <c r="AH172" s="224">
        <v>8847.1816590457711</v>
      </c>
      <c r="AI172" s="224">
        <v>66000</v>
      </c>
      <c r="AJ172" s="224">
        <v>5082.4026577499999</v>
      </c>
      <c r="AK172" s="224">
        <v>3508.029060192428</v>
      </c>
      <c r="AL172" s="224">
        <v>0</v>
      </c>
      <c r="AM172" s="224">
        <v>296</v>
      </c>
      <c r="AN172" s="1121">
        <v>108614.97177848569</v>
      </c>
      <c r="AO172" s="224">
        <f t="shared" si="11"/>
        <v>1.7089436136084635</v>
      </c>
      <c r="AP172" s="1124">
        <v>0.1</v>
      </c>
      <c r="AQ172" s="1124">
        <f t="shared" si="13"/>
        <v>0.13792129201534861</v>
      </c>
      <c r="AR172" s="1124">
        <v>20</v>
      </c>
      <c r="AS172" s="1124">
        <f t="shared" si="14"/>
        <v>0.60471113354467032</v>
      </c>
      <c r="AT172" s="224">
        <f t="shared" si="12"/>
        <v>14980.317239899374</v>
      </c>
    </row>
    <row r="173" spans="1:46">
      <c r="A173" s="1119">
        <v>2035</v>
      </c>
      <c r="D173" s="1108" t="s">
        <v>1866</v>
      </c>
      <c r="E173" s="224" t="s">
        <v>1919</v>
      </c>
      <c r="G173" s="224">
        <v>18183.655990274128</v>
      </c>
      <c r="H173" s="224">
        <v>7133.7000000000007</v>
      </c>
      <c r="I173" s="224">
        <v>6.2251200000000004</v>
      </c>
      <c r="J173" s="224">
        <v>9.7909987415554248E-2</v>
      </c>
      <c r="K173" s="224">
        <v>9.3117149129384694E-2</v>
      </c>
      <c r="L173" s="224">
        <v>0.10586697305375084</v>
      </c>
      <c r="M173" s="224">
        <v>0</v>
      </c>
      <c r="N173" s="224">
        <v>0</v>
      </c>
      <c r="O173" s="224">
        <v>0</v>
      </c>
      <c r="P173" s="224">
        <v>0</v>
      </c>
      <c r="Q173" s="224">
        <v>0</v>
      </c>
      <c r="R173" s="224">
        <v>0</v>
      </c>
      <c r="S173" s="224">
        <v>0</v>
      </c>
      <c r="T173" s="224">
        <v>0</v>
      </c>
      <c r="U173" s="224">
        <v>0</v>
      </c>
      <c r="V173" s="224">
        <v>186.2290146</v>
      </c>
      <c r="W173" s="224">
        <v>148.60063474999998</v>
      </c>
      <c r="X173" s="224">
        <v>117.64257641921392</v>
      </c>
      <c r="Y173" s="224">
        <v>6.2251200000000004</v>
      </c>
      <c r="Z173" s="224">
        <v>0</v>
      </c>
      <c r="AA173" s="224">
        <v>19.581997483110847</v>
      </c>
      <c r="AB173" s="224">
        <v>18.62342982587694</v>
      </c>
      <c r="AC173" s="224">
        <v>21.173394610750169</v>
      </c>
      <c r="AD173" s="1121">
        <v>12.246972540634651</v>
      </c>
      <c r="AE173" s="224">
        <v>19364.932325110858</v>
      </c>
      <c r="AF173" s="224">
        <v>1605.9969413808001</v>
      </c>
      <c r="AG173" s="224">
        <v>2241.4951965065493</v>
      </c>
      <c r="AH173" s="224">
        <v>8695.0388883409832</v>
      </c>
      <c r="AI173" s="224">
        <v>66000</v>
      </c>
      <c r="AJ173" s="224">
        <v>7124.2188517500035</v>
      </c>
      <c r="AK173" s="224">
        <v>3935.8667708711309</v>
      </c>
      <c r="AL173" s="224">
        <v>0</v>
      </c>
      <c r="AM173" s="224">
        <v>240</v>
      </c>
      <c r="AN173" s="1121">
        <v>109207.54897396032</v>
      </c>
      <c r="AO173" s="224">
        <f t="shared" si="11"/>
        <v>1.6136611019540215</v>
      </c>
      <c r="AP173" s="1124">
        <v>0.1</v>
      </c>
      <c r="AQ173" s="1124">
        <f t="shared" si="13"/>
        <v>0.13792129201534861</v>
      </c>
      <c r="AR173" s="1124">
        <v>20</v>
      </c>
      <c r="AS173" s="1124">
        <f t="shared" si="14"/>
        <v>0.57099533673854941</v>
      </c>
      <c r="AT173" s="224">
        <f t="shared" si="12"/>
        <v>15062.046252318067</v>
      </c>
    </row>
    <row r="174" spans="1:46">
      <c r="A174" s="1119">
        <v>2050</v>
      </c>
      <c r="D174" s="1108" t="s">
        <v>1866</v>
      </c>
      <c r="E174" s="224" t="s">
        <v>1919</v>
      </c>
      <c r="G174" s="224">
        <v>17906.372617120549</v>
      </c>
      <c r="H174" s="224">
        <v>7269</v>
      </c>
      <c r="I174" s="224">
        <v>6.2251200000000004</v>
      </c>
      <c r="J174" s="224">
        <v>9.0558889208858032E-2</v>
      </c>
      <c r="K174" s="224">
        <v>8.5413645410935157E-2</v>
      </c>
      <c r="L174" s="224">
        <v>9.733575861349561E-2</v>
      </c>
      <c r="M174" s="224">
        <v>0</v>
      </c>
      <c r="N174" s="224">
        <v>0</v>
      </c>
      <c r="O174" s="224">
        <v>0</v>
      </c>
      <c r="P174" s="224">
        <v>0</v>
      </c>
      <c r="Q174" s="224">
        <v>0</v>
      </c>
      <c r="R174" s="224">
        <v>0</v>
      </c>
      <c r="S174" s="224">
        <v>0</v>
      </c>
      <c r="T174" s="224">
        <v>0</v>
      </c>
      <c r="U174" s="224">
        <v>0</v>
      </c>
      <c r="V174" s="224">
        <v>182.69435214999999</v>
      </c>
      <c r="W174" s="224">
        <v>148.56446505</v>
      </c>
      <c r="X174" s="224">
        <v>117.64257641921392</v>
      </c>
      <c r="Y174" s="224">
        <v>6.2251200000000004</v>
      </c>
      <c r="Z174" s="224">
        <v>0</v>
      </c>
      <c r="AA174" s="224">
        <v>18.111777841771605</v>
      </c>
      <c r="AB174" s="224">
        <v>17.082729082187029</v>
      </c>
      <c r="AC174" s="224">
        <v>19.467151722699121</v>
      </c>
      <c r="AD174" s="1121">
        <v>11.121875505781333</v>
      </c>
      <c r="AE174" s="224">
        <v>20059.238592443431</v>
      </c>
      <c r="AF174" s="224">
        <v>966.99292966199982</v>
      </c>
      <c r="AG174" s="224">
        <v>2100.3241048034929</v>
      </c>
      <c r="AH174" s="224">
        <v>8595.6378045422935</v>
      </c>
      <c r="AI174" s="224">
        <v>66000</v>
      </c>
      <c r="AJ174" s="224">
        <v>10196.430783</v>
      </c>
      <c r="AK174" s="224">
        <v>4842.5801991868502</v>
      </c>
      <c r="AL174" s="224">
        <v>0</v>
      </c>
      <c r="AM174" s="224">
        <v>240</v>
      </c>
      <c r="AN174" s="1121">
        <v>113001.20441363807</v>
      </c>
      <c r="AO174" s="224">
        <f t="shared" si="11"/>
        <v>1.4654183166417483</v>
      </c>
      <c r="AP174" s="1124">
        <v>0.1</v>
      </c>
      <c r="AQ174" s="1124">
        <f t="shared" si="13"/>
        <v>0.13792129201534861</v>
      </c>
      <c r="AR174" s="1124">
        <v>20</v>
      </c>
      <c r="AS174" s="1124">
        <f t="shared" si="14"/>
        <v>0.51853950260092163</v>
      </c>
      <c r="AT174" s="224">
        <f t="shared" si="12"/>
        <v>15585.272112019476</v>
      </c>
    </row>
    <row r="175" spans="1:46">
      <c r="A175" s="1119">
        <v>2017</v>
      </c>
      <c r="D175" s="1108" t="s">
        <v>1866</v>
      </c>
      <c r="E175" s="224" t="s">
        <v>1920</v>
      </c>
      <c r="G175" s="224">
        <v>21442.798532908047</v>
      </c>
      <c r="H175" s="224">
        <v>6818</v>
      </c>
      <c r="I175" s="224">
        <v>328.43475000000001</v>
      </c>
      <c r="J175" s="224">
        <v>0.13637680898780222</v>
      </c>
      <c r="K175" s="224">
        <v>0.16605844745726939</v>
      </c>
      <c r="L175" s="224">
        <v>0.19476127514474026</v>
      </c>
      <c r="M175" s="224">
        <v>5.0162437631331457E-2</v>
      </c>
      <c r="N175" s="224">
        <v>6.1851535894817566E-2</v>
      </c>
      <c r="O175" s="224">
        <v>7.5124617980359035E-2</v>
      </c>
      <c r="P175" s="224">
        <v>-56.235883975474685</v>
      </c>
      <c r="Q175" s="224">
        <v>-28.283745137283045</v>
      </c>
      <c r="R175" s="224">
        <v>123.99796400420324</v>
      </c>
      <c r="S175" s="224">
        <v>1888.9213317754179</v>
      </c>
      <c r="T175" s="224">
        <v>2329.0870833163058</v>
      </c>
      <c r="U175" s="224">
        <v>2828.899474294004</v>
      </c>
      <c r="V175" s="224">
        <v>230</v>
      </c>
      <c r="W175" s="224">
        <v>318.18448959999995</v>
      </c>
      <c r="X175" s="224">
        <v>477.27673439999995</v>
      </c>
      <c r="Y175" s="224">
        <v>327.44175000000001</v>
      </c>
      <c r="Z175" s="224">
        <v>0</v>
      </c>
      <c r="AA175" s="224">
        <v>13.826006298510123</v>
      </c>
      <c r="AB175" s="224">
        <v>20.027736272506395</v>
      </c>
      <c r="AC175" s="224">
        <v>26.49050046990784</v>
      </c>
      <c r="AD175" s="1121">
        <v>9.0836261979655113</v>
      </c>
      <c r="AE175" s="224">
        <v>21795.66857142857</v>
      </c>
      <c r="AF175" s="224">
        <v>14491.539603839999</v>
      </c>
      <c r="AG175" s="224">
        <v>186307.80691500002</v>
      </c>
      <c r="AH175" s="224">
        <v>0</v>
      </c>
      <c r="AI175" s="224">
        <v>66000</v>
      </c>
      <c r="AJ175" s="224">
        <v>0</v>
      </c>
      <c r="AK175" s="224">
        <v>745.98720000000003</v>
      </c>
      <c r="AL175" s="224">
        <v>0</v>
      </c>
      <c r="AM175" s="224">
        <v>436.00000000000006</v>
      </c>
      <c r="AN175" s="1121">
        <v>289777.0022902686</v>
      </c>
      <c r="AO175" s="224">
        <f t="shared" si="11"/>
        <v>1.1968585878439357</v>
      </c>
      <c r="AP175" s="1124">
        <v>0.1</v>
      </c>
      <c r="AQ175" s="1124">
        <f t="shared" si="13"/>
        <v>0.13792129201534861</v>
      </c>
      <c r="AR175" s="1124">
        <v>20</v>
      </c>
      <c r="AS175" s="1124">
        <f t="shared" si="14"/>
        <v>0.42350941691959132</v>
      </c>
      <c r="AT175" s="224">
        <f t="shared" si="12"/>
        <v>39966.418552208481</v>
      </c>
    </row>
    <row r="176" spans="1:46">
      <c r="A176" s="1122">
        <v>2020</v>
      </c>
      <c r="D176" s="1108" t="s">
        <v>1866</v>
      </c>
      <c r="E176" s="224" t="s">
        <v>1920</v>
      </c>
      <c r="G176" s="224">
        <v>21024.851143642729</v>
      </c>
      <c r="H176" s="224">
        <v>6873.7332999999999</v>
      </c>
      <c r="I176" s="224">
        <v>308.07825000000003</v>
      </c>
      <c r="J176" s="224">
        <v>0.12536652208676966</v>
      </c>
      <c r="K176" s="224">
        <v>0.15224669562628959</v>
      </c>
      <c r="L176" s="224">
        <v>0.17641779748226225</v>
      </c>
      <c r="M176" s="224">
        <v>4.6934046996331413E-2</v>
      </c>
      <c r="N176" s="224">
        <v>5.7620571094789907E-2</v>
      </c>
      <c r="O176" s="224">
        <v>6.9821384989158131E-2</v>
      </c>
      <c r="P176" s="224">
        <v>-55.247268621647677</v>
      </c>
      <c r="Q176" s="224">
        <v>-33.476898404361172</v>
      </c>
      <c r="R176" s="224">
        <v>149.29632089541943</v>
      </c>
      <c r="S176" s="224">
        <v>1767.3527592396481</v>
      </c>
      <c r="T176" s="224">
        <v>2169.7654864772526</v>
      </c>
      <c r="U176" s="224">
        <v>2629.2004485393682</v>
      </c>
      <c r="V176" s="224">
        <v>210</v>
      </c>
      <c r="W176" s="224">
        <v>311.01074610000001</v>
      </c>
      <c r="X176" s="224">
        <v>466.51611915000001</v>
      </c>
      <c r="Y176" s="224">
        <v>307.45762500000001</v>
      </c>
      <c r="Z176" s="224">
        <v>0</v>
      </c>
      <c r="AA176" s="224">
        <v>12.794434238316633</v>
      </c>
      <c r="AB176" s="224">
        <v>18.382785513245757</v>
      </c>
      <c r="AC176" s="224">
        <v>24.06594158997526</v>
      </c>
      <c r="AD176" s="1121">
        <v>8.3848377639502285</v>
      </c>
      <c r="AE176" s="224">
        <v>19948.919155485713</v>
      </c>
      <c r="AF176" s="224">
        <v>10853.139733214999</v>
      </c>
      <c r="AG176" s="224">
        <v>162872.60226750001</v>
      </c>
      <c r="AH176" s="224">
        <v>0</v>
      </c>
      <c r="AI176" s="224">
        <v>66000</v>
      </c>
      <c r="AJ176" s="224">
        <v>1420.2532079296063</v>
      </c>
      <c r="AK176" s="224">
        <v>1214.2458237810094</v>
      </c>
      <c r="AL176" s="224">
        <v>0</v>
      </c>
      <c r="AM176" s="224">
        <v>436.00000000000006</v>
      </c>
      <c r="AN176" s="1121">
        <v>262745.16018791136</v>
      </c>
      <c r="AO176" s="224">
        <f t="shared" si="11"/>
        <v>1.1047862237780821</v>
      </c>
      <c r="AP176" s="1124">
        <v>0.1</v>
      </c>
      <c r="AQ176" s="1124">
        <f t="shared" si="13"/>
        <v>0.13792129201534861</v>
      </c>
      <c r="AR176" s="1124">
        <v>20</v>
      </c>
      <c r="AS176" s="1124">
        <f t="shared" si="14"/>
        <v>0.39092953353488646</v>
      </c>
      <c r="AT176" s="224">
        <f t="shared" si="12"/>
        <v>36238.151963896467</v>
      </c>
    </row>
    <row r="177" spans="1:46">
      <c r="A177" s="1119">
        <v>2025</v>
      </c>
      <c r="D177" s="1108" t="s">
        <v>1866</v>
      </c>
      <c r="E177" s="224" t="s">
        <v>1920</v>
      </c>
      <c r="G177" s="224">
        <v>20221.865903274273</v>
      </c>
      <c r="H177" s="224">
        <v>6953.2999999999993</v>
      </c>
      <c r="I177" s="224">
        <v>271.70962500000002</v>
      </c>
      <c r="J177" s="224">
        <v>0.10464956373575834</v>
      </c>
      <c r="K177" s="224">
        <v>0.12567957629639384</v>
      </c>
      <c r="L177" s="224">
        <v>0.14013583660349763</v>
      </c>
      <c r="M177" s="224">
        <v>4.1718351737718817E-2</v>
      </c>
      <c r="N177" s="224">
        <v>4.9945745208648154E-2</v>
      </c>
      <c r="O177" s="224">
        <v>6.0125784985443534E-2</v>
      </c>
      <c r="P177" s="224">
        <v>-27.156857320125081</v>
      </c>
      <c r="Q177" s="224">
        <v>-52.935421447141294</v>
      </c>
      <c r="R177" s="224">
        <v>224.46288268560232</v>
      </c>
      <c r="S177" s="224">
        <v>1570.9500623364245</v>
      </c>
      <c r="T177" s="224">
        <v>1880.7615421206801</v>
      </c>
      <c r="U177" s="224">
        <v>2264.1020494946765</v>
      </c>
      <c r="V177" s="224">
        <v>175</v>
      </c>
      <c r="W177" s="224">
        <v>295.60341964999998</v>
      </c>
      <c r="X177" s="224">
        <v>443.40512947499997</v>
      </c>
      <c r="Y177" s="224">
        <v>271.58550000000002</v>
      </c>
      <c r="Z177" s="224">
        <v>0</v>
      </c>
      <c r="AA177" s="224">
        <v>11.132848340260427</v>
      </c>
      <c r="AB177" s="224">
        <v>15.29847749310669</v>
      </c>
      <c r="AC177" s="224">
        <v>19.398823659405156</v>
      </c>
      <c r="AD177" s="1121">
        <v>7.1798969628866747</v>
      </c>
      <c r="AE177" s="224">
        <v>17383.606995885712</v>
      </c>
      <c r="AF177" s="224">
        <v>5110.832482759999</v>
      </c>
      <c r="AG177" s="224">
        <v>87326.108099999998</v>
      </c>
      <c r="AH177" s="224">
        <v>0</v>
      </c>
      <c r="AI177" s="224">
        <v>66000</v>
      </c>
      <c r="AJ177" s="224">
        <v>3197.9288654775046</v>
      </c>
      <c r="AK177" s="224">
        <v>2829.8971847014668</v>
      </c>
      <c r="AL177" s="224">
        <v>0</v>
      </c>
      <c r="AM177" s="224">
        <v>352.00000000000006</v>
      </c>
      <c r="AN177" s="1121">
        <v>182200.37362882466</v>
      </c>
      <c r="AO177" s="224">
        <f t="shared" si="11"/>
        <v>0.94602322382994819</v>
      </c>
      <c r="AP177" s="1124">
        <v>0.1</v>
      </c>
      <c r="AQ177" s="1124">
        <f t="shared" si="13"/>
        <v>0.13792129201534861</v>
      </c>
      <c r="AR177" s="1124">
        <v>20</v>
      </c>
      <c r="AS177" s="1124">
        <f t="shared" si="14"/>
        <v>0.33475111260918328</v>
      </c>
      <c r="AT177" s="224">
        <f t="shared" si="12"/>
        <v>25129.310936566748</v>
      </c>
    </row>
    <row r="178" spans="1:46">
      <c r="A178" s="1119">
        <v>2030</v>
      </c>
      <c r="D178" s="1108" t="s">
        <v>1866</v>
      </c>
      <c r="E178" s="224" t="s">
        <v>1920</v>
      </c>
      <c r="G178" s="224">
        <v>19777.551534303493</v>
      </c>
      <c r="H178" s="224">
        <v>7043.5</v>
      </c>
      <c r="I178" s="224">
        <v>258.49031250000002</v>
      </c>
      <c r="J178" s="224">
        <v>9.5338918321506608E-2</v>
      </c>
      <c r="K178" s="224">
        <v>0.11407672086662826</v>
      </c>
      <c r="L178" s="224">
        <v>0.12911587157488816</v>
      </c>
      <c r="M178" s="224">
        <v>3.9133252573242724E-2</v>
      </c>
      <c r="N178" s="224">
        <v>4.7016277568690895E-2</v>
      </c>
      <c r="O178" s="224">
        <v>5.6524164462443419E-2</v>
      </c>
      <c r="P178" s="224">
        <v>-42.034688657105107</v>
      </c>
      <c r="Q178" s="224">
        <v>-50.776778139309727</v>
      </c>
      <c r="R178" s="224">
        <v>157.40748617459889</v>
      </c>
      <c r="S178" s="224">
        <v>1473.6053321536206</v>
      </c>
      <c r="T178" s="224">
        <v>1770.4492411808865</v>
      </c>
      <c r="U178" s="224">
        <v>2128.479098216771</v>
      </c>
      <c r="V178" s="224">
        <v>170</v>
      </c>
      <c r="W178" s="224">
        <v>287.56546094999999</v>
      </c>
      <c r="X178" s="224">
        <v>431.34819142499998</v>
      </c>
      <c r="Y178" s="224">
        <v>257.80762499999997</v>
      </c>
      <c r="Z178" s="224">
        <v>0</v>
      </c>
      <c r="AA178" s="224">
        <v>10.217282453883607</v>
      </c>
      <c r="AB178" s="224">
        <v>14.035678030554454</v>
      </c>
      <c r="AC178" s="224">
        <v>17.919118854186291</v>
      </c>
      <c r="AD178" s="1121">
        <v>6.6641501394333371</v>
      </c>
      <c r="AE178" s="224">
        <v>17369.774255999997</v>
      </c>
      <c r="AF178" s="224">
        <v>3699.9210460214099</v>
      </c>
      <c r="AG178" s="224">
        <v>58631.747062499999</v>
      </c>
      <c r="AH178" s="224">
        <v>0</v>
      </c>
      <c r="AI178" s="224">
        <v>66000</v>
      </c>
      <c r="AJ178" s="224">
        <v>5082.4026577499999</v>
      </c>
      <c r="AK178" s="224">
        <v>3508.029060192428</v>
      </c>
      <c r="AL178" s="224">
        <v>0</v>
      </c>
      <c r="AM178" s="224">
        <v>296</v>
      </c>
      <c r="AN178" s="1121">
        <v>154587.87408246385</v>
      </c>
      <c r="AO178" s="224">
        <f t="shared" si="11"/>
        <v>0.87806842237173643</v>
      </c>
      <c r="AP178" s="1124">
        <v>0.1</v>
      </c>
      <c r="AQ178" s="1124">
        <f t="shared" si="13"/>
        <v>0.13792129201534861</v>
      </c>
      <c r="AR178" s="1124">
        <v>20</v>
      </c>
      <c r="AS178" s="1124">
        <f t="shared" si="14"/>
        <v>0.31070524901697871</v>
      </c>
      <c r="AT178" s="224">
        <f t="shared" si="12"/>
        <v>21320.959323359439</v>
      </c>
    </row>
    <row r="179" spans="1:46">
      <c r="A179" s="1119">
        <v>2035</v>
      </c>
      <c r="D179" s="1108" t="s">
        <v>1866</v>
      </c>
      <c r="E179" s="224" t="s">
        <v>1920</v>
      </c>
      <c r="G179" s="224">
        <v>19465.594620876189</v>
      </c>
      <c r="H179" s="224">
        <v>7133.7000000000007</v>
      </c>
      <c r="I179" s="224">
        <v>239.74743749999999</v>
      </c>
      <c r="J179" s="224">
        <v>8.8308525555869655E-2</v>
      </c>
      <c r="K179" s="224">
        <v>0.10712670483970141</v>
      </c>
      <c r="L179" s="224">
        <v>0.11946695709840469</v>
      </c>
      <c r="M179" s="224">
        <v>3.7272136092448185E-2</v>
      </c>
      <c r="N179" s="224">
        <v>4.5240549162070195E-2</v>
      </c>
      <c r="O179" s="224">
        <v>5.4399065929141059E-2</v>
      </c>
      <c r="P179" s="224">
        <v>-38.060981126421197</v>
      </c>
      <c r="Q179" s="224">
        <v>-58.648593441615176</v>
      </c>
      <c r="R179" s="224">
        <v>197.63645134433062</v>
      </c>
      <c r="S179" s="224">
        <v>1403.5229600143562</v>
      </c>
      <c r="T179" s="224">
        <v>1703.5822501594939</v>
      </c>
      <c r="U179" s="224">
        <v>2048.4561938040824</v>
      </c>
      <c r="V179" s="224">
        <v>160</v>
      </c>
      <c r="W179" s="224">
        <v>283.15475255000001</v>
      </c>
      <c r="X179" s="224">
        <v>424.73212882500002</v>
      </c>
      <c r="Y179" s="224">
        <v>239.06475</v>
      </c>
      <c r="Z179" s="224">
        <v>0</v>
      </c>
      <c r="AA179" s="224">
        <v>9.4930248789490186</v>
      </c>
      <c r="AB179" s="224">
        <v>13.27173941647168</v>
      </c>
      <c r="AC179" s="224">
        <v>16.765196624075237</v>
      </c>
      <c r="AD179" s="1121">
        <v>6.3241250987439521</v>
      </c>
      <c r="AE179" s="224">
        <v>16907.771699428566</v>
      </c>
      <c r="AF179" s="224">
        <v>2993.7781017312</v>
      </c>
      <c r="AG179" s="224">
        <v>40503.310672500003</v>
      </c>
      <c r="AH179" s="224">
        <v>0</v>
      </c>
      <c r="AI179" s="224">
        <v>66000</v>
      </c>
      <c r="AJ179" s="224">
        <v>7124.2188517500035</v>
      </c>
      <c r="AK179" s="224">
        <v>3935.8667708711309</v>
      </c>
      <c r="AL179" s="224">
        <v>0</v>
      </c>
      <c r="AM179" s="224">
        <v>240</v>
      </c>
      <c r="AN179" s="1121">
        <v>137704.94609628088</v>
      </c>
      <c r="AO179" s="224">
        <f t="shared" si="11"/>
        <v>0.83326672301050309</v>
      </c>
      <c r="AP179" s="1124">
        <v>0.1</v>
      </c>
      <c r="AQ179" s="1124">
        <f t="shared" si="13"/>
        <v>0.13792129201534861</v>
      </c>
      <c r="AR179" s="1124">
        <v>20</v>
      </c>
      <c r="AS179" s="1124">
        <f t="shared" si="14"/>
        <v>0.29485213005522809</v>
      </c>
      <c r="AT179" s="224">
        <f t="shared" si="12"/>
        <v>18992.444082502996</v>
      </c>
    </row>
    <row r="180" spans="1:46">
      <c r="A180" s="1119">
        <v>2050</v>
      </c>
      <c r="D180" s="1108" t="s">
        <v>1866</v>
      </c>
      <c r="E180" s="224" t="s">
        <v>1920</v>
      </c>
      <c r="G180" s="224">
        <v>19061.456711624814</v>
      </c>
      <c r="H180" s="224">
        <v>7269</v>
      </c>
      <c r="I180" s="224">
        <v>228.82443749999999</v>
      </c>
      <c r="J180" s="224">
        <v>7.9536628329220233E-2</v>
      </c>
      <c r="K180" s="224">
        <v>9.7337920317146595E-2</v>
      </c>
      <c r="L180" s="224">
        <v>0.10983229970123273</v>
      </c>
      <c r="M180" s="224">
        <v>3.4814357174466966E-2</v>
      </c>
      <c r="N180" s="224">
        <v>4.2659554786354983E-2</v>
      </c>
      <c r="O180" s="224">
        <v>5.1290514298042843E-2</v>
      </c>
      <c r="P180" s="224">
        <v>-35.2867312737784</v>
      </c>
      <c r="Q180" s="224">
        <v>-56.286502957404828</v>
      </c>
      <c r="R180" s="224">
        <v>150.81087351635719</v>
      </c>
      <c r="S180" s="224">
        <v>1310.9726126591693</v>
      </c>
      <c r="T180" s="224">
        <v>1606.3920902770774</v>
      </c>
      <c r="U180" s="224">
        <v>1931.4002897417336</v>
      </c>
      <c r="V180" s="224">
        <v>155</v>
      </c>
      <c r="W180" s="224">
        <v>276.80785404999995</v>
      </c>
      <c r="X180" s="224">
        <v>415.21178107500003</v>
      </c>
      <c r="Y180" s="224">
        <v>227.45906250000002</v>
      </c>
      <c r="Z180" s="224">
        <v>0</v>
      </c>
      <c r="AA180" s="224">
        <v>8.6233804781861565</v>
      </c>
      <c r="AB180" s="224">
        <v>12.198074412433025</v>
      </c>
      <c r="AC180" s="224">
        <v>15.491691903803796</v>
      </c>
      <c r="AD180" s="1121">
        <v>5.8448202265105103</v>
      </c>
      <c r="AE180" s="224">
        <v>17490.397985142859</v>
      </c>
      <c r="AF180" s="224">
        <v>1779.6565801319998</v>
      </c>
      <c r="AG180" s="224">
        <v>31964.967899999996</v>
      </c>
      <c r="AH180" s="224">
        <v>0</v>
      </c>
      <c r="AI180" s="224">
        <v>66000</v>
      </c>
      <c r="AJ180" s="224">
        <v>10196.430783</v>
      </c>
      <c r="AK180" s="224">
        <v>4842.5801991868502</v>
      </c>
      <c r="AL180" s="224">
        <v>0</v>
      </c>
      <c r="AM180" s="224">
        <v>240</v>
      </c>
      <c r="AN180" s="1121">
        <v>132514.0334474617</v>
      </c>
      <c r="AO180" s="224">
        <f t="shared" si="11"/>
        <v>0.77011351304502473</v>
      </c>
      <c r="AP180" s="1124">
        <v>0.1</v>
      </c>
      <c r="AQ180" s="1124">
        <f t="shared" si="13"/>
        <v>0.13792129201534861</v>
      </c>
      <c r="AR180" s="1124">
        <v>20</v>
      </c>
      <c r="AS180" s="1124">
        <f t="shared" si="14"/>
        <v>0.27250531364706626</v>
      </c>
      <c r="AT180" s="224">
        <f t="shared" si="12"/>
        <v>18276.506703239036</v>
      </c>
    </row>
    <row r="181" spans="1:46">
      <c r="A181" s="1119">
        <v>2017</v>
      </c>
      <c r="D181" s="1108" t="s">
        <v>1866</v>
      </c>
      <c r="E181" s="224" t="s">
        <v>1921</v>
      </c>
      <c r="G181" s="224">
        <v>21557.102694159999</v>
      </c>
      <c r="H181" s="224">
        <v>6818</v>
      </c>
      <c r="I181" s="224">
        <v>625.59</v>
      </c>
      <c r="J181" s="224">
        <v>0</v>
      </c>
      <c r="K181" s="224">
        <v>0</v>
      </c>
      <c r="L181" s="224">
        <v>0</v>
      </c>
      <c r="M181" s="224">
        <v>0</v>
      </c>
      <c r="N181" s="224">
        <v>0</v>
      </c>
      <c r="O181" s="224">
        <v>0</v>
      </c>
      <c r="P181" s="224">
        <v>0</v>
      </c>
      <c r="Q181" s="224">
        <v>0</v>
      </c>
      <c r="R181" s="224">
        <v>0</v>
      </c>
      <c r="S181" s="224">
        <v>1896.0745460713624</v>
      </c>
      <c r="T181" s="224">
        <v>2572.126009487029</v>
      </c>
      <c r="U181" s="224">
        <v>3119.4761552366012</v>
      </c>
      <c r="V181" s="224">
        <v>0</v>
      </c>
      <c r="W181" s="224">
        <v>307.41920959999999</v>
      </c>
      <c r="X181" s="224">
        <v>461.12881440000001</v>
      </c>
      <c r="Y181" s="224">
        <v>625.59</v>
      </c>
      <c r="Z181" s="224">
        <v>0</v>
      </c>
      <c r="AA181" s="224">
        <v>10.072109142477357</v>
      </c>
      <c r="AB181" s="224">
        <v>13.663351976026714</v>
      </c>
      <c r="AC181" s="224">
        <v>16.57092247137637</v>
      </c>
      <c r="AD181" s="1121">
        <v>6.9532161209092616</v>
      </c>
      <c r="AE181" s="224">
        <v>0</v>
      </c>
      <c r="AF181" s="224">
        <v>14029.709091839999</v>
      </c>
      <c r="AG181" s="224">
        <v>355948.19820000004</v>
      </c>
      <c r="AH181" s="224">
        <v>0</v>
      </c>
      <c r="AI181" s="224">
        <v>66000</v>
      </c>
      <c r="AJ181" s="224">
        <v>0</v>
      </c>
      <c r="AK181" s="224">
        <v>745.98720000000003</v>
      </c>
      <c r="AL181" s="224">
        <v>0</v>
      </c>
      <c r="AM181" s="224">
        <v>0</v>
      </c>
      <c r="AN181" s="1121">
        <v>436723.89449184004</v>
      </c>
      <c r="AO181" s="224">
        <f t="shared" si="11"/>
        <v>0.91615575609100419</v>
      </c>
      <c r="AP181" s="1124">
        <v>0.1</v>
      </c>
      <c r="AQ181" s="1124">
        <f t="shared" si="13"/>
        <v>0.13792129201534861</v>
      </c>
      <c r="AR181" s="1124">
        <v>20</v>
      </c>
      <c r="AS181" s="1124">
        <f t="shared" si="14"/>
        <v>0.32418248405485128</v>
      </c>
      <c r="AT181" s="224">
        <f t="shared" si="12"/>
        <v>60233.523782289369</v>
      </c>
    </row>
    <row r="182" spans="1:46">
      <c r="A182" s="1122">
        <v>2020</v>
      </c>
      <c r="D182" s="1108" t="s">
        <v>1866</v>
      </c>
      <c r="E182" s="224" t="s">
        <v>1921</v>
      </c>
      <c r="G182" s="224">
        <v>21048.047906506472</v>
      </c>
      <c r="H182" s="224">
        <v>6873.7332999999999</v>
      </c>
      <c r="I182" s="224">
        <v>589.84199999999998</v>
      </c>
      <c r="J182" s="224">
        <v>0</v>
      </c>
      <c r="K182" s="224">
        <v>0</v>
      </c>
      <c r="L182" s="224">
        <v>0</v>
      </c>
      <c r="M182" s="224">
        <v>0</v>
      </c>
      <c r="N182" s="224">
        <v>0</v>
      </c>
      <c r="O182" s="224">
        <v>0</v>
      </c>
      <c r="P182" s="224">
        <v>0</v>
      </c>
      <c r="Q182" s="224">
        <v>0</v>
      </c>
      <c r="R182" s="224">
        <v>0</v>
      </c>
      <c r="S182" s="224">
        <v>1767.1124528685141</v>
      </c>
      <c r="T182" s="224">
        <v>2397.2389648208778</v>
      </c>
      <c r="U182" s="224">
        <v>2901.6882594579884</v>
      </c>
      <c r="V182" s="224">
        <v>0</v>
      </c>
      <c r="W182" s="224">
        <v>298.50401740000001</v>
      </c>
      <c r="X182" s="224">
        <v>447.75602610000004</v>
      </c>
      <c r="Y182" s="224">
        <v>589.84199999999998</v>
      </c>
      <c r="Z182" s="224">
        <v>0</v>
      </c>
      <c r="AA182" s="224">
        <v>9.3870515424622276</v>
      </c>
      <c r="AB182" s="224">
        <v>12.734337130522592</v>
      </c>
      <c r="AC182" s="224">
        <v>15.41401465847537</v>
      </c>
      <c r="AD182" s="1121">
        <v>6.4277677634517305</v>
      </c>
      <c r="AE182" s="224">
        <v>0</v>
      </c>
      <c r="AF182" s="224">
        <v>10438.54167681</v>
      </c>
      <c r="AG182" s="224">
        <v>312462.90107999998</v>
      </c>
      <c r="AH182" s="224">
        <v>0</v>
      </c>
      <c r="AI182" s="224">
        <v>66000</v>
      </c>
      <c r="AJ182" s="224">
        <v>1420.2532079296063</v>
      </c>
      <c r="AK182" s="224">
        <v>1214.2458237810094</v>
      </c>
      <c r="AL182" s="224">
        <v>0</v>
      </c>
      <c r="AM182" s="224">
        <v>0</v>
      </c>
      <c r="AN182" s="1121">
        <v>391535.94178852061</v>
      </c>
      <c r="AO182" s="224">
        <f t="shared" si="11"/>
        <v>0.84692268051239994</v>
      </c>
      <c r="AP182" s="1124">
        <v>0.1</v>
      </c>
      <c r="AQ182" s="1124">
        <f t="shared" si="13"/>
        <v>0.13792129201534861</v>
      </c>
      <c r="AR182" s="1124">
        <v>20</v>
      </c>
      <c r="AS182" s="1124">
        <f t="shared" si="14"/>
        <v>0.29968430209112878</v>
      </c>
      <c r="AT182" s="224">
        <f t="shared" si="12"/>
        <v>54001.142961919089</v>
      </c>
    </row>
    <row r="183" spans="1:46">
      <c r="A183" s="1119">
        <v>2025</v>
      </c>
      <c r="D183" s="1108" t="s">
        <v>1866</v>
      </c>
      <c r="E183" s="224" t="s">
        <v>1921</v>
      </c>
      <c r="G183" s="224">
        <v>19960.276358228042</v>
      </c>
      <c r="H183" s="224">
        <v>6953.2999999999993</v>
      </c>
      <c r="I183" s="224">
        <v>520.14581250000003</v>
      </c>
      <c r="J183" s="224">
        <v>0</v>
      </c>
      <c r="K183" s="224">
        <v>0</v>
      </c>
      <c r="L183" s="224">
        <v>0</v>
      </c>
      <c r="M183" s="224">
        <v>0</v>
      </c>
      <c r="N183" s="224">
        <v>0</v>
      </c>
      <c r="O183" s="224">
        <v>0</v>
      </c>
      <c r="P183" s="224">
        <v>0</v>
      </c>
      <c r="Q183" s="224">
        <v>0</v>
      </c>
      <c r="R183" s="224">
        <v>0</v>
      </c>
      <c r="S183" s="224">
        <v>1551.1638914094738</v>
      </c>
      <c r="T183" s="224">
        <v>2075.0177327809529</v>
      </c>
      <c r="U183" s="224">
        <v>2498.7971249475668</v>
      </c>
      <c r="V183" s="224">
        <v>0</v>
      </c>
      <c r="W183" s="224">
        <v>279.94560230000002</v>
      </c>
      <c r="X183" s="224">
        <v>419.91840345000003</v>
      </c>
      <c r="Y183" s="224">
        <v>520.14581250000003</v>
      </c>
      <c r="Z183" s="224">
        <v>0</v>
      </c>
      <c r="AA183" s="224">
        <v>8.2399144297980023</v>
      </c>
      <c r="AB183" s="224">
        <v>11.022670559261369</v>
      </c>
      <c r="AC183" s="224">
        <v>13.273822708884815</v>
      </c>
      <c r="AD183" s="1121">
        <v>5.5690096494678469</v>
      </c>
      <c r="AE183" s="224">
        <v>0</v>
      </c>
      <c r="AF183" s="224">
        <v>4858.4300010200004</v>
      </c>
      <c r="AG183" s="224">
        <v>167166.13814999998</v>
      </c>
      <c r="AH183" s="224">
        <v>0</v>
      </c>
      <c r="AI183" s="224">
        <v>66000</v>
      </c>
      <c r="AJ183" s="224">
        <v>3197.9288654775046</v>
      </c>
      <c r="AK183" s="224">
        <v>2829.8971847014668</v>
      </c>
      <c r="AL183" s="224">
        <v>0</v>
      </c>
      <c r="AM183" s="224">
        <v>0</v>
      </c>
      <c r="AN183" s="1121">
        <v>244052.39420119894</v>
      </c>
      <c r="AO183" s="224">
        <f t="shared" si="11"/>
        <v>0.73377271141388345</v>
      </c>
      <c r="AP183" s="1124">
        <v>0.1</v>
      </c>
      <c r="AQ183" s="1124">
        <f t="shared" si="13"/>
        <v>0.13792129201534861</v>
      </c>
      <c r="AR183" s="1124">
        <v>20</v>
      </c>
      <c r="AS183" s="1124">
        <f t="shared" si="14"/>
        <v>0.25964609045602871</v>
      </c>
      <c r="AT183" s="224">
        <f t="shared" si="12"/>
        <v>33660.021527668534</v>
      </c>
    </row>
    <row r="184" spans="1:46">
      <c r="A184" s="1119">
        <v>2030</v>
      </c>
      <c r="D184" s="1108" t="s">
        <v>1866</v>
      </c>
      <c r="E184" s="224" t="s">
        <v>1921</v>
      </c>
      <c r="G184" s="224">
        <v>19328.480411014512</v>
      </c>
      <c r="H184" s="224">
        <v>7043.5</v>
      </c>
      <c r="I184" s="224">
        <v>494.94843749999995</v>
      </c>
      <c r="J184" s="224">
        <v>0</v>
      </c>
      <c r="K184" s="224">
        <v>0</v>
      </c>
      <c r="L184" s="224">
        <v>0</v>
      </c>
      <c r="M184" s="224">
        <v>0</v>
      </c>
      <c r="N184" s="224">
        <v>0</v>
      </c>
      <c r="O184" s="224">
        <v>0</v>
      </c>
      <c r="P184" s="224">
        <v>0</v>
      </c>
      <c r="Q184" s="224">
        <v>0</v>
      </c>
      <c r="R184" s="224">
        <v>0</v>
      </c>
      <c r="S184" s="224">
        <v>1443.3868076820445</v>
      </c>
      <c r="T184" s="224">
        <v>1947.8869517511803</v>
      </c>
      <c r="U184" s="224">
        <v>2344.6235409211113</v>
      </c>
      <c r="V184" s="224">
        <v>0</v>
      </c>
      <c r="W184" s="224">
        <v>270.22816384999999</v>
      </c>
      <c r="X184" s="224">
        <v>405.34224577500004</v>
      </c>
      <c r="Y184" s="224">
        <v>494.94843749999995</v>
      </c>
      <c r="Z184" s="224">
        <v>0</v>
      </c>
      <c r="AA184" s="224">
        <v>7.6673934007014317</v>
      </c>
      <c r="AB184" s="224">
        <v>10.347341045158991</v>
      </c>
      <c r="AC184" s="224">
        <v>12.454839526805372</v>
      </c>
      <c r="AD184" s="1121">
        <v>5.1228741011479508</v>
      </c>
      <c r="AE184" s="224">
        <v>0</v>
      </c>
      <c r="AF184" s="224">
        <v>3493.5508413023408</v>
      </c>
      <c r="AG184" s="224">
        <v>112495.66048125</v>
      </c>
      <c r="AH184" s="224">
        <v>0</v>
      </c>
      <c r="AI184" s="224">
        <v>66000</v>
      </c>
      <c r="AJ184" s="224">
        <v>5082.4026577499999</v>
      </c>
      <c r="AK184" s="224">
        <v>3508.029060192428</v>
      </c>
      <c r="AL184" s="224">
        <v>0</v>
      </c>
      <c r="AM184" s="224">
        <v>0</v>
      </c>
      <c r="AN184" s="1121">
        <v>190579.64304049476</v>
      </c>
      <c r="AO184" s="224">
        <f t="shared" si="11"/>
        <v>0.67498989156725397</v>
      </c>
      <c r="AP184" s="1124">
        <v>0.1</v>
      </c>
      <c r="AQ184" s="1124">
        <f t="shared" si="13"/>
        <v>0.13792129201534861</v>
      </c>
      <c r="AR184" s="1124">
        <v>20</v>
      </c>
      <c r="AS184" s="1124">
        <f t="shared" si="14"/>
        <v>0.23884574026346145</v>
      </c>
      <c r="AT184" s="224">
        <f t="shared" si="12"/>
        <v>26284.99059996898</v>
      </c>
    </row>
    <row r="185" spans="1:46">
      <c r="A185" s="1119">
        <v>2035</v>
      </c>
      <c r="D185" s="1108" t="s">
        <v>1866</v>
      </c>
      <c r="E185" s="224" t="s">
        <v>1921</v>
      </c>
      <c r="G185" s="224">
        <v>18984.288476120004</v>
      </c>
      <c r="H185" s="224">
        <v>7133.7000000000007</v>
      </c>
      <c r="I185" s="224">
        <v>458.76600000000002</v>
      </c>
      <c r="J185" s="224">
        <v>0</v>
      </c>
      <c r="K185" s="224">
        <v>0</v>
      </c>
      <c r="L185" s="224">
        <v>0</v>
      </c>
      <c r="M185" s="224">
        <v>0</v>
      </c>
      <c r="N185" s="224">
        <v>0</v>
      </c>
      <c r="O185" s="224">
        <v>0</v>
      </c>
      <c r="P185" s="224">
        <v>0</v>
      </c>
      <c r="Q185" s="224">
        <v>0</v>
      </c>
      <c r="R185" s="224">
        <v>0</v>
      </c>
      <c r="S185" s="224">
        <v>1371.6439903096771</v>
      </c>
      <c r="T185" s="224">
        <v>1874.6624470550896</v>
      </c>
      <c r="U185" s="224">
        <v>2257.5537767339065</v>
      </c>
      <c r="V185" s="224">
        <v>0</v>
      </c>
      <c r="W185" s="224">
        <v>264.96900599999998</v>
      </c>
      <c r="X185" s="224">
        <v>397.453509</v>
      </c>
      <c r="Y185" s="224">
        <v>458.76600000000002</v>
      </c>
      <c r="Z185" s="224">
        <v>0</v>
      </c>
      <c r="AA185" s="224">
        <v>7.2862894571563199</v>
      </c>
      <c r="AB185" s="224">
        <v>9.9583662526166776</v>
      </c>
      <c r="AC185" s="224">
        <v>11.992317539091136</v>
      </c>
      <c r="AD185" s="1121">
        <v>4.8156706385010022</v>
      </c>
      <c r="AE185" s="224">
        <v>0</v>
      </c>
      <c r="AF185" s="224">
        <v>2813.7681087743995</v>
      </c>
      <c r="AG185" s="224">
        <v>77740.818119999996</v>
      </c>
      <c r="AH185" s="224">
        <v>0</v>
      </c>
      <c r="AI185" s="224">
        <v>66000</v>
      </c>
      <c r="AJ185" s="224">
        <v>7124.2188517500035</v>
      </c>
      <c r="AK185" s="224">
        <v>3935.8667708711309</v>
      </c>
      <c r="AL185" s="224">
        <v>0</v>
      </c>
      <c r="AM185" s="224">
        <v>0</v>
      </c>
      <c r="AN185" s="1121">
        <v>157614.67185139551</v>
      </c>
      <c r="AO185" s="224">
        <f t="shared" si="11"/>
        <v>0.63451276332889195</v>
      </c>
      <c r="AP185" s="1124">
        <v>0.1</v>
      </c>
      <c r="AQ185" s="1124">
        <f t="shared" si="13"/>
        <v>0.13792129201534861</v>
      </c>
      <c r="AR185" s="1124">
        <v>20</v>
      </c>
      <c r="AS185" s="1124">
        <f t="shared" si="14"/>
        <v>0.22452287442708119</v>
      </c>
      <c r="AT185" s="224">
        <f t="shared" si="12"/>
        <v>21738.419182319667</v>
      </c>
    </row>
    <row r="186" spans="1:46">
      <c r="A186" s="1119">
        <v>2050</v>
      </c>
      <c r="D186" s="1108" t="s">
        <v>1866</v>
      </c>
      <c r="E186" s="224" t="s">
        <v>1921</v>
      </c>
      <c r="G186" s="224">
        <v>18506.068513950715</v>
      </c>
      <c r="H186" s="224">
        <v>7269</v>
      </c>
      <c r="I186" s="224">
        <v>436.54762499999998</v>
      </c>
      <c r="J186" s="224">
        <v>0</v>
      </c>
      <c r="K186" s="224">
        <v>0</v>
      </c>
      <c r="L186" s="224">
        <v>0</v>
      </c>
      <c r="M186" s="224">
        <v>0</v>
      </c>
      <c r="N186" s="224">
        <v>0</v>
      </c>
      <c r="O186" s="224">
        <v>0</v>
      </c>
      <c r="P186" s="224">
        <v>0</v>
      </c>
      <c r="Q186" s="224">
        <v>0</v>
      </c>
      <c r="R186" s="224">
        <v>0</v>
      </c>
      <c r="S186" s="224">
        <v>1276.4702971527481</v>
      </c>
      <c r="T186" s="224">
        <v>1767.7825760397509</v>
      </c>
      <c r="U186" s="224">
        <v>2129.6935555471237</v>
      </c>
      <c r="V186" s="224">
        <v>0</v>
      </c>
      <c r="W186" s="224">
        <v>257.35262130000001</v>
      </c>
      <c r="X186" s="224">
        <v>386.02893195000001</v>
      </c>
      <c r="Y186" s="224">
        <v>436.54762499999998</v>
      </c>
      <c r="Z186" s="224">
        <v>0</v>
      </c>
      <c r="AA186" s="224">
        <v>6.7807187099747583</v>
      </c>
      <c r="AB186" s="224">
        <v>9.3906112937038557</v>
      </c>
      <c r="AC186" s="224">
        <v>11.313113176877151</v>
      </c>
      <c r="AD186" s="1121">
        <v>4.4068989916320103</v>
      </c>
      <c r="AE186" s="224">
        <v>0</v>
      </c>
      <c r="AF186" s="224">
        <v>1660.6092705239998</v>
      </c>
      <c r="AG186" s="224">
        <v>61369.098029999994</v>
      </c>
      <c r="AH186" s="224">
        <v>0</v>
      </c>
      <c r="AI186" s="224">
        <v>66000</v>
      </c>
      <c r="AJ186" s="224">
        <v>10196.430783</v>
      </c>
      <c r="AK186" s="224">
        <v>4842.5801991868502</v>
      </c>
      <c r="AL186" s="224">
        <v>0</v>
      </c>
      <c r="AM186" s="224">
        <v>0</v>
      </c>
      <c r="AN186" s="1121">
        <v>144068.71828271082</v>
      </c>
      <c r="AO186" s="224">
        <f t="shared" si="11"/>
        <v>0.58065301113743362</v>
      </c>
      <c r="AP186" s="1124">
        <v>0.1</v>
      </c>
      <c r="AQ186" s="1124">
        <f t="shared" si="13"/>
        <v>0.13792129201534861</v>
      </c>
      <c r="AR186" s="1124">
        <v>20</v>
      </c>
      <c r="AS186" s="1124">
        <f t="shared" si="14"/>
        <v>0.20546455586070053</v>
      </c>
      <c r="AT186" s="224">
        <f t="shared" si="12"/>
        <v>19870.143764546752</v>
      </c>
    </row>
    <row r="187" spans="1:46">
      <c r="A187" s="1119">
        <v>2017</v>
      </c>
      <c r="D187" s="1108" t="s">
        <v>1866</v>
      </c>
      <c r="E187" s="224" t="s">
        <v>1922</v>
      </c>
      <c r="G187" s="224">
        <v>19606.978433003693</v>
      </c>
      <c r="H187" s="224">
        <v>6818</v>
      </c>
      <c r="I187" s="224">
        <v>6.6528000000000009</v>
      </c>
      <c r="J187" s="224">
        <v>9.4657873641763493E-2</v>
      </c>
      <c r="K187" s="224">
        <v>0.12316018085685555</v>
      </c>
      <c r="L187" s="224">
        <v>0.15649256157745464</v>
      </c>
      <c r="M187" s="224">
        <v>0</v>
      </c>
      <c r="N187" s="224">
        <v>0</v>
      </c>
      <c r="O187" s="224">
        <v>0</v>
      </c>
      <c r="P187" s="224">
        <v>0</v>
      </c>
      <c r="Q187" s="224">
        <v>0</v>
      </c>
      <c r="R187" s="224">
        <v>0</v>
      </c>
      <c r="S187" s="224">
        <v>0</v>
      </c>
      <c r="T187" s="224">
        <v>0</v>
      </c>
      <c r="U187" s="224">
        <v>0</v>
      </c>
      <c r="V187" s="224">
        <v>0</v>
      </c>
      <c r="W187" s="224">
        <v>305.79246330000001</v>
      </c>
      <c r="X187" s="224">
        <v>207.08612440191385</v>
      </c>
      <c r="Y187" s="224">
        <v>6.6528000000000009</v>
      </c>
      <c r="Z187" s="224">
        <v>198.96140359999998</v>
      </c>
      <c r="AA187" s="224">
        <v>18.9315747283527</v>
      </c>
      <c r="AB187" s="224">
        <v>24.632036171371112</v>
      </c>
      <c r="AC187" s="224">
        <v>31.298512315490928</v>
      </c>
      <c r="AD187" s="1121">
        <v>12.583208593833213</v>
      </c>
      <c r="AE187" s="224">
        <v>0</v>
      </c>
      <c r="AF187" s="224">
        <v>13959.921675569998</v>
      </c>
      <c r="AG187" s="224">
        <v>9028.9550239234432</v>
      </c>
      <c r="AH187" s="224">
        <v>0</v>
      </c>
      <c r="AI187" s="224">
        <v>66000</v>
      </c>
      <c r="AJ187" s="224">
        <v>0</v>
      </c>
      <c r="AK187" s="224">
        <v>745.98720000000003</v>
      </c>
      <c r="AL187" s="224">
        <v>95422.96</v>
      </c>
      <c r="AM187" s="224">
        <v>29542.285695999999</v>
      </c>
      <c r="AN187" s="1121">
        <v>214700.10959549344</v>
      </c>
      <c r="AO187" s="224">
        <f t="shared" si="11"/>
        <v>1.657963564323464</v>
      </c>
      <c r="AP187" s="1124">
        <v>0.1</v>
      </c>
      <c r="AQ187" s="1124">
        <f t="shared" si="13"/>
        <v>0.13792129201534861</v>
      </c>
      <c r="AR187" s="1124">
        <v>20</v>
      </c>
      <c r="AS187" s="1124">
        <f t="shared" si="14"/>
        <v>0.58667180027129162</v>
      </c>
      <c r="AT187" s="224">
        <f t="shared" si="12"/>
        <v>29611.716511247403</v>
      </c>
    </row>
    <row r="188" spans="1:46">
      <c r="A188" s="1122">
        <v>2020</v>
      </c>
      <c r="D188" s="1108" t="s">
        <v>1866</v>
      </c>
      <c r="E188" s="224" t="s">
        <v>1922</v>
      </c>
      <c r="G188" s="224">
        <v>19460.294094325123</v>
      </c>
      <c r="H188" s="224">
        <v>6873.7332999999999</v>
      </c>
      <c r="I188" s="224">
        <v>6.7003199999999996</v>
      </c>
      <c r="J188" s="224">
        <v>8.8491829313362427E-2</v>
      </c>
      <c r="K188" s="224">
        <v>0.11300521430044612</v>
      </c>
      <c r="L188" s="224">
        <v>0.14641634791690061</v>
      </c>
      <c r="M188" s="224">
        <v>0</v>
      </c>
      <c r="N188" s="224">
        <v>0</v>
      </c>
      <c r="O188" s="224">
        <v>0</v>
      </c>
      <c r="P188" s="224">
        <v>0</v>
      </c>
      <c r="Q188" s="224">
        <v>0</v>
      </c>
      <c r="R188" s="224">
        <v>0</v>
      </c>
      <c r="S188" s="224">
        <v>0</v>
      </c>
      <c r="T188" s="224">
        <v>0</v>
      </c>
      <c r="U188" s="224">
        <v>0</v>
      </c>
      <c r="V188" s="224">
        <v>0</v>
      </c>
      <c r="W188" s="224">
        <v>298.94341989999998</v>
      </c>
      <c r="X188" s="224">
        <v>208.56531100478466</v>
      </c>
      <c r="Y188" s="224">
        <v>6.7003200000000005</v>
      </c>
      <c r="Z188" s="224">
        <v>194.35906219999998</v>
      </c>
      <c r="AA188" s="224">
        <v>17.698365862672485</v>
      </c>
      <c r="AB188" s="224">
        <v>22.601042860089223</v>
      </c>
      <c r="AC188" s="224">
        <v>29.283269583380122</v>
      </c>
      <c r="AD188" s="1121">
        <v>11.604297333809688</v>
      </c>
      <c r="AE188" s="224">
        <v>0</v>
      </c>
      <c r="AF188" s="224">
        <v>10453.107869684998</v>
      </c>
      <c r="AG188" s="224">
        <v>9093.4475598086101</v>
      </c>
      <c r="AH188" s="224">
        <v>0</v>
      </c>
      <c r="AI188" s="224">
        <v>66000</v>
      </c>
      <c r="AJ188" s="224">
        <v>1420.2532079296063</v>
      </c>
      <c r="AK188" s="224">
        <v>1214.2458237810094</v>
      </c>
      <c r="AL188" s="224">
        <v>88815.380000000019</v>
      </c>
      <c r="AM188" s="224">
        <v>27893.557464615387</v>
      </c>
      <c r="AN188" s="1121">
        <v>204889.99192581963</v>
      </c>
      <c r="AO188" s="224">
        <f t="shared" si="11"/>
        <v>1.5289822167027645</v>
      </c>
      <c r="AP188" s="1124">
        <v>0.1</v>
      </c>
      <c r="AQ188" s="1124">
        <f t="shared" si="13"/>
        <v>0.13792129201534861</v>
      </c>
      <c r="AR188" s="1124">
        <v>20</v>
      </c>
      <c r="AS188" s="1124">
        <f t="shared" si="14"/>
        <v>0.54103164204445486</v>
      </c>
      <c r="AT188" s="224">
        <f t="shared" si="12"/>
        <v>28258.69240742339</v>
      </c>
    </row>
    <row r="189" spans="1:46">
      <c r="A189" s="1119">
        <v>2025</v>
      </c>
      <c r="D189" s="1108" t="s">
        <v>1866</v>
      </c>
      <c r="E189" s="224" t="s">
        <v>1922</v>
      </c>
      <c r="G189" s="224">
        <v>18850.552920461443</v>
      </c>
      <c r="H189" s="224">
        <v>6953.2999999999993</v>
      </c>
      <c r="I189" s="224">
        <v>6.6765600000000003</v>
      </c>
      <c r="J189" s="224">
        <v>7.8087984536286431E-2</v>
      </c>
      <c r="K189" s="224">
        <v>9.5598029759206032E-2</v>
      </c>
      <c r="L189" s="224">
        <v>0.12573737143357708</v>
      </c>
      <c r="M189" s="224">
        <v>0</v>
      </c>
      <c r="N189" s="224">
        <v>0</v>
      </c>
      <c r="O189" s="224">
        <v>0</v>
      </c>
      <c r="P189" s="224">
        <v>0</v>
      </c>
      <c r="Q189" s="224">
        <v>0</v>
      </c>
      <c r="R189" s="224">
        <v>0</v>
      </c>
      <c r="S189" s="224">
        <v>0</v>
      </c>
      <c r="T189" s="224">
        <v>0</v>
      </c>
      <c r="U189" s="224">
        <v>0</v>
      </c>
      <c r="V189" s="224">
        <v>0</v>
      </c>
      <c r="W189" s="224">
        <v>284.51656609999998</v>
      </c>
      <c r="X189" s="224">
        <v>188.73467059256532</v>
      </c>
      <c r="Y189" s="224">
        <v>6.6765600000000003</v>
      </c>
      <c r="Z189" s="224">
        <v>184.77359974999999</v>
      </c>
      <c r="AA189" s="224">
        <v>15.617596907257287</v>
      </c>
      <c r="AB189" s="224">
        <v>19.119605951841205</v>
      </c>
      <c r="AC189" s="224">
        <v>25.147474286715415</v>
      </c>
      <c r="AD189" s="1121">
        <v>10.018771362154025</v>
      </c>
      <c r="AE189" s="224">
        <v>0</v>
      </c>
      <c r="AF189" s="224">
        <v>4922.9781415774996</v>
      </c>
      <c r="AG189" s="224">
        <v>6043.7114817813763</v>
      </c>
      <c r="AH189" s="224">
        <v>0</v>
      </c>
      <c r="AI189" s="224">
        <v>66000</v>
      </c>
      <c r="AJ189" s="224">
        <v>3197.9288654775046</v>
      </c>
      <c r="AK189" s="224">
        <v>2829.8971847014668</v>
      </c>
      <c r="AL189" s="224">
        <v>53180.160000000003</v>
      </c>
      <c r="AM189" s="224">
        <v>17372.183840000002</v>
      </c>
      <c r="AN189" s="1121">
        <v>153546.85951353784</v>
      </c>
      <c r="AO189" s="224">
        <f t="shared" si="11"/>
        <v>1.3200733146774142</v>
      </c>
      <c r="AP189" s="1124">
        <v>0.1</v>
      </c>
      <c r="AQ189" s="1124">
        <f t="shared" si="13"/>
        <v>0.13792129201534861</v>
      </c>
      <c r="AR189" s="1124">
        <v>20</v>
      </c>
      <c r="AS189" s="1124">
        <f t="shared" si="14"/>
        <v>0.46710905153570487</v>
      </c>
      <c r="AT189" s="224">
        <f t="shared" si="12"/>
        <v>21177.381249006361</v>
      </c>
    </row>
    <row r="190" spans="1:46">
      <c r="A190" s="1119">
        <v>2030</v>
      </c>
      <c r="D190" s="1108" t="s">
        <v>1866</v>
      </c>
      <c r="E190" s="224" t="s">
        <v>1922</v>
      </c>
      <c r="G190" s="224">
        <v>18465.928973242753</v>
      </c>
      <c r="H190" s="224">
        <v>7043.5</v>
      </c>
      <c r="I190" s="224">
        <v>6.6528000000000009</v>
      </c>
      <c r="J190" s="224">
        <v>7.2212141542293759E-2</v>
      </c>
      <c r="K190" s="224">
        <v>8.8007012750989266E-2</v>
      </c>
      <c r="L190" s="224">
        <v>0.11614075246722463</v>
      </c>
      <c r="M190" s="224">
        <v>0</v>
      </c>
      <c r="N190" s="224">
        <v>0</v>
      </c>
      <c r="O190" s="224">
        <v>0</v>
      </c>
      <c r="P190" s="224">
        <v>0</v>
      </c>
      <c r="Q190" s="224">
        <v>0</v>
      </c>
      <c r="R190" s="224">
        <v>0</v>
      </c>
      <c r="S190" s="224">
        <v>0</v>
      </c>
      <c r="T190" s="224">
        <v>0</v>
      </c>
      <c r="U190" s="224">
        <v>0</v>
      </c>
      <c r="V190" s="224">
        <v>0</v>
      </c>
      <c r="W190" s="224">
        <v>277.27313500000002</v>
      </c>
      <c r="X190" s="224">
        <v>147.44985800225973</v>
      </c>
      <c r="Y190" s="224">
        <v>6.6528000000000009</v>
      </c>
      <c r="Z190" s="224">
        <v>179.91648594999998</v>
      </c>
      <c r="AA190" s="224">
        <v>14.442428308458751</v>
      </c>
      <c r="AB190" s="224">
        <v>17.601402550197854</v>
      </c>
      <c r="AC190" s="224">
        <v>23.228150493444929</v>
      </c>
      <c r="AD190" s="1121">
        <v>9.1161890039719342</v>
      </c>
      <c r="AE190" s="224">
        <v>0</v>
      </c>
      <c r="AF190" s="224">
        <v>3561.3534865881002</v>
      </c>
      <c r="AG190" s="224">
        <v>3774.1443301676486</v>
      </c>
      <c r="AH190" s="224">
        <v>0</v>
      </c>
      <c r="AI190" s="224">
        <v>66000</v>
      </c>
      <c r="AJ190" s="224">
        <v>5082.4026577499999</v>
      </c>
      <c r="AK190" s="224">
        <v>3508.029060192428</v>
      </c>
      <c r="AL190" s="224">
        <v>34077</v>
      </c>
      <c r="AM190" s="224">
        <v>12297.904600000002</v>
      </c>
      <c r="AN190" s="1121">
        <v>128300.83413469818</v>
      </c>
      <c r="AO190" s="224">
        <f t="shared" si="11"/>
        <v>1.2011490631633419</v>
      </c>
      <c r="AP190" s="1124">
        <v>0.1</v>
      </c>
      <c r="AQ190" s="1124">
        <f t="shared" si="13"/>
        <v>0.13792129201534861</v>
      </c>
      <c r="AR190" s="1124">
        <v>20</v>
      </c>
      <c r="AS190" s="1124">
        <f t="shared" si="14"/>
        <v>0.42502760521625799</v>
      </c>
      <c r="AT190" s="224">
        <f t="shared" si="12"/>
        <v>17695.416810504514</v>
      </c>
    </row>
    <row r="191" spans="1:46">
      <c r="A191" s="1119">
        <v>2035</v>
      </c>
      <c r="D191" s="1108" t="s">
        <v>1866</v>
      </c>
      <c r="E191" s="224" t="s">
        <v>1922</v>
      </c>
      <c r="G191" s="224">
        <v>18176.405880584774</v>
      </c>
      <c r="H191" s="224">
        <v>7133.7000000000007</v>
      </c>
      <c r="I191" s="224">
        <v>6.6528000000000009</v>
      </c>
      <c r="J191" s="224">
        <v>6.6717317489780867E-2</v>
      </c>
      <c r="K191" s="224">
        <v>8.1474665309264407E-2</v>
      </c>
      <c r="L191" s="224">
        <v>0.10751723488398779</v>
      </c>
      <c r="M191" s="224">
        <v>0</v>
      </c>
      <c r="N191" s="224">
        <v>0</v>
      </c>
      <c r="O191" s="224">
        <v>0</v>
      </c>
      <c r="P191" s="224">
        <v>0</v>
      </c>
      <c r="Q191" s="224">
        <v>0</v>
      </c>
      <c r="R191" s="224">
        <v>0</v>
      </c>
      <c r="S191" s="224">
        <v>0</v>
      </c>
      <c r="T191" s="224">
        <v>0</v>
      </c>
      <c r="U191" s="224">
        <v>0</v>
      </c>
      <c r="V191" s="224">
        <v>0</v>
      </c>
      <c r="W191" s="224">
        <v>274.08423310000001</v>
      </c>
      <c r="X191" s="224">
        <v>125.72489082969429</v>
      </c>
      <c r="Y191" s="224">
        <v>6.6528000000000009</v>
      </c>
      <c r="Z191" s="224">
        <v>177.76752440000001</v>
      </c>
      <c r="AA191" s="224">
        <v>13.343463497956174</v>
      </c>
      <c r="AB191" s="224">
        <v>16.29493306185288</v>
      </c>
      <c r="AC191" s="224">
        <v>21.503446976797555</v>
      </c>
      <c r="AD191" s="1121">
        <v>8.2880594513037753</v>
      </c>
      <c r="AE191" s="224">
        <v>0</v>
      </c>
      <c r="AF191" s="224">
        <v>2901.0652419648</v>
      </c>
      <c r="AG191" s="224">
        <v>2413.9179039301303</v>
      </c>
      <c r="AH191" s="224">
        <v>0</v>
      </c>
      <c r="AI191" s="224">
        <v>66000</v>
      </c>
      <c r="AJ191" s="224">
        <v>7124.2188517500035</v>
      </c>
      <c r="AK191" s="224">
        <v>3935.8667708711309</v>
      </c>
      <c r="AL191" s="224">
        <v>26508.6</v>
      </c>
      <c r="AM191" s="224">
        <v>8996.9115299999994</v>
      </c>
      <c r="AN191" s="1121">
        <v>117880.58029851606</v>
      </c>
      <c r="AO191" s="224">
        <f t="shared" si="11"/>
        <v>1.0920347133037853</v>
      </c>
      <c r="AP191" s="1124">
        <v>0.1</v>
      </c>
      <c r="AQ191" s="1124">
        <f t="shared" si="13"/>
        <v>0.13792129201534861</v>
      </c>
      <c r="AR191" s="1124">
        <v>20</v>
      </c>
      <c r="AS191" s="1124">
        <f t="shared" si="14"/>
        <v>0.38641740083962633</v>
      </c>
      <c r="AT191" s="224">
        <f t="shared" si="12"/>
        <v>16258.241938290383</v>
      </c>
    </row>
    <row r="192" spans="1:46">
      <c r="A192" s="1119">
        <v>2050</v>
      </c>
      <c r="D192" s="1108" t="s">
        <v>1866</v>
      </c>
      <c r="E192" s="224" t="s">
        <v>1922</v>
      </c>
      <c r="G192" s="224">
        <v>17776.715214781463</v>
      </c>
      <c r="H192" s="224">
        <v>7269</v>
      </c>
      <c r="I192" s="224">
        <v>6.6290400000000007</v>
      </c>
      <c r="J192" s="224">
        <v>6.0643449174750085E-2</v>
      </c>
      <c r="K192" s="224">
        <v>7.3935172392706056E-2</v>
      </c>
      <c r="L192" s="224">
        <v>9.7049659858491247E-2</v>
      </c>
      <c r="M192" s="224">
        <v>0</v>
      </c>
      <c r="N192" s="224">
        <v>0</v>
      </c>
      <c r="O192" s="224">
        <v>0</v>
      </c>
      <c r="P192" s="224">
        <v>0</v>
      </c>
      <c r="Q192" s="224">
        <v>0</v>
      </c>
      <c r="R192" s="224">
        <v>0</v>
      </c>
      <c r="S192" s="224">
        <v>0</v>
      </c>
      <c r="T192" s="224">
        <v>0</v>
      </c>
      <c r="U192" s="224">
        <v>0</v>
      </c>
      <c r="V192" s="224">
        <v>0</v>
      </c>
      <c r="W192" s="224">
        <v>266.16780510000001</v>
      </c>
      <c r="X192" s="224">
        <v>125.27587336244537</v>
      </c>
      <c r="Y192" s="224">
        <v>6.6290400000000007</v>
      </c>
      <c r="Z192" s="224">
        <v>172.47618445000001</v>
      </c>
      <c r="AA192" s="224">
        <v>12.128689834950016</v>
      </c>
      <c r="AB192" s="224">
        <v>14.787034478541209</v>
      </c>
      <c r="AC192" s="224">
        <v>19.409931971698249</v>
      </c>
      <c r="AD192" s="1121">
        <v>7.3556439557929512</v>
      </c>
      <c r="AE192" s="224">
        <v>0</v>
      </c>
      <c r="AF192" s="224">
        <v>1715.7119713739999</v>
      </c>
      <c r="AG192" s="224">
        <v>2256.043362445414</v>
      </c>
      <c r="AH192" s="224">
        <v>0</v>
      </c>
      <c r="AI192" s="224">
        <v>66000</v>
      </c>
      <c r="AJ192" s="224">
        <v>10196.430783</v>
      </c>
      <c r="AK192" s="224">
        <v>4842.5801991868502</v>
      </c>
      <c r="AL192" s="224">
        <v>23041.799999999996</v>
      </c>
      <c r="AM192" s="224">
        <v>7577.2243199999994</v>
      </c>
      <c r="AN192" s="1121">
        <v>115629.79063600626</v>
      </c>
      <c r="AO192" s="224">
        <f t="shared" si="11"/>
        <v>0.96917964761527919</v>
      </c>
      <c r="AP192" s="1124">
        <v>0.1</v>
      </c>
      <c r="AQ192" s="1124">
        <f t="shared" si="13"/>
        <v>0.13792129201534861</v>
      </c>
      <c r="AR192" s="1124">
        <v>20</v>
      </c>
      <c r="AS192" s="1124">
        <f t="shared" si="14"/>
        <v>0.34294503262185172</v>
      </c>
      <c r="AT192" s="224">
        <f t="shared" si="12"/>
        <v>15947.810119982243</v>
      </c>
    </row>
    <row r="193" spans="1:46">
      <c r="A193" s="1119">
        <v>2017</v>
      </c>
      <c r="B193" s="1120"/>
      <c r="C193" s="1120"/>
      <c r="D193" s="1120" t="s">
        <v>1868</v>
      </c>
      <c r="E193" s="1120" t="s">
        <v>1917</v>
      </c>
      <c r="F193" s="1120"/>
      <c r="G193" s="224">
        <v>24989.884255070989</v>
      </c>
      <c r="H193" s="224">
        <v>9364</v>
      </c>
      <c r="I193" s="224">
        <v>2.3759999999999999</v>
      </c>
      <c r="J193" s="224">
        <v>0.16950749573681748</v>
      </c>
      <c r="K193" s="224">
        <v>0.10886097846829028</v>
      </c>
      <c r="L193" s="224">
        <v>0.12220511235236636</v>
      </c>
      <c r="M193" s="224">
        <v>0</v>
      </c>
      <c r="N193" s="224">
        <v>0</v>
      </c>
      <c r="O193" s="224">
        <v>0</v>
      </c>
      <c r="P193" s="224">
        <v>0</v>
      </c>
      <c r="Q193" s="224">
        <v>0</v>
      </c>
      <c r="R193" s="224">
        <v>0</v>
      </c>
      <c r="S193" s="224">
        <v>0</v>
      </c>
      <c r="T193" s="224">
        <v>0</v>
      </c>
      <c r="U193" s="224">
        <v>0</v>
      </c>
      <c r="V193" s="224">
        <v>304.51632640000003</v>
      </c>
      <c r="W193" s="224">
        <v>0</v>
      </c>
      <c r="X193" s="224">
        <v>3.2632499999999989</v>
      </c>
      <c r="Y193" s="224">
        <v>2.3759999999999999</v>
      </c>
      <c r="Z193" s="224">
        <v>0</v>
      </c>
      <c r="AA193" s="224">
        <v>84.753747868408738</v>
      </c>
      <c r="AB193" s="224">
        <v>54.430489234145142</v>
      </c>
      <c r="AC193" s="224">
        <v>61.102556176183178</v>
      </c>
      <c r="AD193" s="1121">
        <v>11.975722271073153</v>
      </c>
      <c r="AE193" s="224">
        <v>30789.827542454852</v>
      </c>
      <c r="AF193" s="224">
        <v>0</v>
      </c>
      <c r="AG193" s="224">
        <v>261.60000000000002</v>
      </c>
      <c r="AH193" s="224">
        <v>12689.115239486457</v>
      </c>
      <c r="AI193" s="224">
        <v>90000</v>
      </c>
      <c r="AJ193" s="224">
        <v>0</v>
      </c>
      <c r="AK193" s="224">
        <v>745.98720000000003</v>
      </c>
      <c r="AL193" s="224">
        <v>0</v>
      </c>
      <c r="AM193" s="224">
        <v>436.00000000000006</v>
      </c>
      <c r="AN193" s="1121">
        <v>134922.5299819413</v>
      </c>
      <c r="AO193" s="224">
        <f t="shared" si="11"/>
        <v>1.5779211664365984</v>
      </c>
      <c r="AP193" s="1124">
        <v>0.1</v>
      </c>
      <c r="AQ193" s="1124">
        <f>AA193*$C$4*365/1000*0.1</f>
        <v>0.40760111439866603</v>
      </c>
      <c r="AR193" s="1124">
        <v>20</v>
      </c>
      <c r="AS193" s="1124">
        <f>AO193/$AO$193</f>
        <v>1</v>
      </c>
      <c r="AT193" s="224">
        <f t="shared" si="12"/>
        <v>54994.573578126707</v>
      </c>
    </row>
    <row r="194" spans="1:46">
      <c r="A194" s="1122">
        <v>2020</v>
      </c>
      <c r="B194" s="1108"/>
      <c r="C194" s="1108"/>
      <c r="D194" s="1108" t="s">
        <v>1868</v>
      </c>
      <c r="E194" s="1108" t="s">
        <v>1917</v>
      </c>
      <c r="F194" s="1108"/>
      <c r="G194" s="224" t="e">
        <v>#DIV/0!</v>
      </c>
      <c r="H194" s="224" t="e">
        <v>#DIV/0!</v>
      </c>
      <c r="I194" s="224" t="e">
        <v>#DIV/0!</v>
      </c>
      <c r="J194" s="224" t="e">
        <v>#DIV/0!</v>
      </c>
      <c r="K194" s="224" t="e">
        <v>#DIV/0!</v>
      </c>
      <c r="L194" s="224" t="e">
        <v>#DIV/0!</v>
      </c>
      <c r="M194" s="224" t="e">
        <v>#DIV/0!</v>
      </c>
      <c r="N194" s="224" t="e">
        <v>#DIV/0!</v>
      </c>
      <c r="O194" s="224" t="e">
        <v>#DIV/0!</v>
      </c>
      <c r="P194" s="224" t="e">
        <v>#DIV/0!</v>
      </c>
      <c r="Q194" s="224" t="e">
        <v>#DIV/0!</v>
      </c>
      <c r="R194" s="224" t="e">
        <v>#DIV/0!</v>
      </c>
      <c r="S194" s="224" t="e">
        <v>#DIV/0!</v>
      </c>
      <c r="T194" s="224" t="e">
        <v>#DIV/0!</v>
      </c>
      <c r="U194" s="224" t="e">
        <v>#DIV/0!</v>
      </c>
      <c r="V194" s="224" t="e">
        <v>#DIV/0!</v>
      </c>
      <c r="W194" s="224" t="e">
        <v>#DIV/0!</v>
      </c>
      <c r="X194" s="224" t="e">
        <v>#DIV/0!</v>
      </c>
      <c r="Y194" s="224" t="e">
        <v>#DIV/0!</v>
      </c>
      <c r="Z194" s="224" t="e">
        <v>#DIV/0!</v>
      </c>
      <c r="AA194" s="224" t="e">
        <v>#DIV/0!</v>
      </c>
      <c r="AB194" s="224" t="e">
        <v>#DIV/0!</v>
      </c>
      <c r="AC194" s="224" t="e">
        <v>#DIV/0!</v>
      </c>
      <c r="AD194" s="1121" t="e">
        <v>#DIV/0!</v>
      </c>
      <c r="AE194" s="224" t="e">
        <v>#DIV/0!</v>
      </c>
      <c r="AF194" s="224" t="e">
        <v>#DIV/0!</v>
      </c>
      <c r="AG194" s="224" t="e">
        <v>#DIV/0!</v>
      </c>
      <c r="AH194" s="224" t="e">
        <v>#DIV/0!</v>
      </c>
      <c r="AI194" s="224" t="e">
        <v>#DIV/0!</v>
      </c>
      <c r="AJ194" s="224" t="e">
        <v>#DIV/0!</v>
      </c>
      <c r="AK194" s="224" t="e">
        <v>#DIV/0!</v>
      </c>
      <c r="AL194" s="224" t="e">
        <v>#DIV/0!</v>
      </c>
      <c r="AM194" s="224" t="e">
        <v>#DIV/0!</v>
      </c>
      <c r="AN194" s="1121" t="e">
        <v>#DIV/0!</v>
      </c>
      <c r="AO194" s="224" t="e">
        <f t="shared" si="11"/>
        <v>#DIV/0!</v>
      </c>
      <c r="AP194" s="1124">
        <v>0.1</v>
      </c>
      <c r="AQ194" s="1124">
        <f t="shared" si="13"/>
        <v>0.40760111439866603</v>
      </c>
      <c r="AR194" s="1124">
        <v>20</v>
      </c>
      <c r="AS194" s="1124" t="e">
        <f t="shared" ref="AS194:AS228" si="15">AO194/$AO$193</f>
        <v>#DIV/0!</v>
      </c>
      <c r="AT194" s="224" t="e">
        <f t="shared" si="12"/>
        <v>#DIV/0!</v>
      </c>
    </row>
    <row r="195" spans="1:46">
      <c r="A195" s="1119">
        <v>2025</v>
      </c>
      <c r="B195" s="1120"/>
      <c r="C195" s="1120"/>
      <c r="D195" s="1108" t="s">
        <v>1868</v>
      </c>
      <c r="E195" s="1120" t="s">
        <v>1917</v>
      </c>
      <c r="F195" s="1120"/>
      <c r="G195" s="224" t="e">
        <v>#DIV/0!</v>
      </c>
      <c r="H195" s="224" t="e">
        <v>#DIV/0!</v>
      </c>
      <c r="I195" s="224" t="e">
        <v>#DIV/0!</v>
      </c>
      <c r="J195" s="224" t="e">
        <v>#DIV/0!</v>
      </c>
      <c r="K195" s="224" t="e">
        <v>#DIV/0!</v>
      </c>
      <c r="L195" s="224" t="e">
        <v>#DIV/0!</v>
      </c>
      <c r="M195" s="224" t="e">
        <v>#DIV/0!</v>
      </c>
      <c r="N195" s="224" t="e">
        <v>#DIV/0!</v>
      </c>
      <c r="O195" s="224" t="e">
        <v>#DIV/0!</v>
      </c>
      <c r="P195" s="224" t="e">
        <v>#DIV/0!</v>
      </c>
      <c r="Q195" s="224" t="e">
        <v>#DIV/0!</v>
      </c>
      <c r="R195" s="224" t="e">
        <v>#DIV/0!</v>
      </c>
      <c r="S195" s="224" t="e">
        <v>#DIV/0!</v>
      </c>
      <c r="T195" s="224" t="e">
        <v>#DIV/0!</v>
      </c>
      <c r="U195" s="224" t="e">
        <v>#DIV/0!</v>
      </c>
      <c r="V195" s="224" t="e">
        <v>#DIV/0!</v>
      </c>
      <c r="W195" s="224" t="e">
        <v>#DIV/0!</v>
      </c>
      <c r="X195" s="224" t="e">
        <v>#DIV/0!</v>
      </c>
      <c r="Y195" s="224" t="e">
        <v>#DIV/0!</v>
      </c>
      <c r="Z195" s="224" t="e">
        <v>#DIV/0!</v>
      </c>
      <c r="AA195" s="224" t="e">
        <v>#DIV/0!</v>
      </c>
      <c r="AB195" s="224" t="e">
        <v>#DIV/0!</v>
      </c>
      <c r="AC195" s="224" t="e">
        <v>#DIV/0!</v>
      </c>
      <c r="AD195" s="1121" t="e">
        <v>#DIV/0!</v>
      </c>
      <c r="AE195" s="224" t="e">
        <v>#DIV/0!</v>
      </c>
      <c r="AF195" s="224" t="e">
        <v>#DIV/0!</v>
      </c>
      <c r="AG195" s="224" t="e">
        <v>#DIV/0!</v>
      </c>
      <c r="AH195" s="224" t="e">
        <v>#DIV/0!</v>
      </c>
      <c r="AI195" s="224" t="e">
        <v>#DIV/0!</v>
      </c>
      <c r="AJ195" s="224" t="e">
        <v>#DIV/0!</v>
      </c>
      <c r="AK195" s="224" t="e">
        <v>#DIV/0!</v>
      </c>
      <c r="AL195" s="224" t="e">
        <v>#DIV/0!</v>
      </c>
      <c r="AM195" s="224" t="e">
        <v>#DIV/0!</v>
      </c>
      <c r="AN195" s="1121" t="e">
        <v>#DIV/0!</v>
      </c>
      <c r="AO195" s="224" t="e">
        <f t="shared" si="11"/>
        <v>#DIV/0!</v>
      </c>
      <c r="AP195" s="1124">
        <v>0.1</v>
      </c>
      <c r="AQ195" s="1124">
        <f t="shared" si="13"/>
        <v>0.40760111439866603</v>
      </c>
      <c r="AR195" s="1124">
        <v>20</v>
      </c>
      <c r="AS195" s="1124" t="e">
        <f t="shared" si="15"/>
        <v>#DIV/0!</v>
      </c>
      <c r="AT195" s="224" t="e">
        <f t="shared" si="12"/>
        <v>#DIV/0!</v>
      </c>
    </row>
    <row r="196" spans="1:46">
      <c r="A196" s="1119">
        <v>2030</v>
      </c>
      <c r="B196" s="1108"/>
      <c r="C196" s="1108"/>
      <c r="D196" s="1108" t="s">
        <v>1868</v>
      </c>
      <c r="E196" s="1108" t="s">
        <v>1917</v>
      </c>
      <c r="F196" s="1108"/>
      <c r="G196" s="224">
        <v>22576.914856884745</v>
      </c>
      <c r="H196" s="224">
        <v>9364</v>
      </c>
      <c r="I196" s="224">
        <v>2.3759999999999999</v>
      </c>
      <c r="J196" s="224">
        <v>0.12715167281672726</v>
      </c>
      <c r="K196" s="224">
        <v>7.6144552277835051E-2</v>
      </c>
      <c r="L196" s="224">
        <v>8.3863058368518345E-2</v>
      </c>
      <c r="M196" s="224">
        <v>0</v>
      </c>
      <c r="N196" s="224">
        <v>0</v>
      </c>
      <c r="O196" s="224">
        <v>0</v>
      </c>
      <c r="P196" s="224">
        <v>0</v>
      </c>
      <c r="Q196" s="224">
        <v>0</v>
      </c>
      <c r="R196" s="224">
        <v>0</v>
      </c>
      <c r="S196" s="224">
        <v>0</v>
      </c>
      <c r="T196" s="224">
        <v>0</v>
      </c>
      <c r="U196" s="224">
        <v>0</v>
      </c>
      <c r="V196" s="224">
        <v>267.6789569</v>
      </c>
      <c r="W196" s="224">
        <v>0</v>
      </c>
      <c r="X196" s="224">
        <v>3.2973260869565211</v>
      </c>
      <c r="Y196" s="224">
        <v>2.3759999999999999</v>
      </c>
      <c r="Z196" s="224">
        <v>0</v>
      </c>
      <c r="AA196" s="224">
        <v>63.575836408363628</v>
      </c>
      <c r="AB196" s="224">
        <v>38.072276138917523</v>
      </c>
      <c r="AC196" s="224">
        <v>41.931529184259169</v>
      </c>
      <c r="AD196" s="1121">
        <v>8.2797608146575641</v>
      </c>
      <c r="AE196" s="224">
        <v>26148.558274751998</v>
      </c>
      <c r="AF196" s="224">
        <v>0</v>
      </c>
      <c r="AG196" s="224">
        <v>177.6</v>
      </c>
      <c r="AH196" s="224">
        <v>11277.469302591977</v>
      </c>
      <c r="AI196" s="224">
        <v>90000</v>
      </c>
      <c r="AJ196" s="224">
        <v>0</v>
      </c>
      <c r="AK196" s="224">
        <v>658.22399999999993</v>
      </c>
      <c r="AL196" s="224">
        <v>0</v>
      </c>
      <c r="AM196" s="224">
        <v>296</v>
      </c>
      <c r="AN196" s="1121">
        <v>128557.85157734397</v>
      </c>
      <c r="AO196" s="224">
        <f t="shared" si="11"/>
        <v>1.0909412849392806</v>
      </c>
      <c r="AP196" s="1124">
        <v>0.1</v>
      </c>
      <c r="AQ196" s="1124">
        <f t="shared" si="13"/>
        <v>0.40760111439866603</v>
      </c>
      <c r="AR196" s="1124">
        <v>20</v>
      </c>
      <c r="AS196" s="1124">
        <f t="shared" si="15"/>
        <v>0.69137882686683327</v>
      </c>
      <c r="AT196" s="224">
        <f t="shared" si="12"/>
        <v>52400.323567623709</v>
      </c>
    </row>
    <row r="197" spans="1:46">
      <c r="A197" s="1119">
        <v>2035</v>
      </c>
      <c r="B197" s="1120"/>
      <c r="C197" s="1120"/>
      <c r="D197" s="1108" t="s">
        <v>1868</v>
      </c>
      <c r="E197" s="1120" t="s">
        <v>1917</v>
      </c>
      <c r="F197" s="1120"/>
      <c r="G197" s="224" t="e">
        <v>#DIV/0!</v>
      </c>
      <c r="H197" s="224" t="e">
        <v>#DIV/0!</v>
      </c>
      <c r="I197" s="224" t="e">
        <v>#DIV/0!</v>
      </c>
      <c r="J197" s="224" t="e">
        <v>#DIV/0!</v>
      </c>
      <c r="K197" s="224" t="e">
        <v>#DIV/0!</v>
      </c>
      <c r="L197" s="224" t="e">
        <v>#DIV/0!</v>
      </c>
      <c r="M197" s="224" t="e">
        <v>#DIV/0!</v>
      </c>
      <c r="N197" s="224" t="e">
        <v>#DIV/0!</v>
      </c>
      <c r="O197" s="224" t="e">
        <v>#DIV/0!</v>
      </c>
      <c r="P197" s="224" t="e">
        <v>#DIV/0!</v>
      </c>
      <c r="Q197" s="224" t="e">
        <v>#DIV/0!</v>
      </c>
      <c r="R197" s="224" t="e">
        <v>#DIV/0!</v>
      </c>
      <c r="S197" s="224" t="e">
        <v>#DIV/0!</v>
      </c>
      <c r="T197" s="224" t="e">
        <v>#DIV/0!</v>
      </c>
      <c r="U197" s="224" t="e">
        <v>#DIV/0!</v>
      </c>
      <c r="V197" s="224" t="e">
        <v>#DIV/0!</v>
      </c>
      <c r="W197" s="224" t="e">
        <v>#DIV/0!</v>
      </c>
      <c r="X197" s="224" t="e">
        <v>#DIV/0!</v>
      </c>
      <c r="Y197" s="224" t="e">
        <v>#DIV/0!</v>
      </c>
      <c r="Z197" s="224" t="e">
        <v>#DIV/0!</v>
      </c>
      <c r="AA197" s="224" t="e">
        <v>#DIV/0!</v>
      </c>
      <c r="AB197" s="224" t="e">
        <v>#DIV/0!</v>
      </c>
      <c r="AC197" s="224" t="e">
        <v>#DIV/0!</v>
      </c>
      <c r="AD197" s="1121" t="e">
        <v>#DIV/0!</v>
      </c>
      <c r="AE197" s="224" t="e">
        <v>#DIV/0!</v>
      </c>
      <c r="AF197" s="224" t="e">
        <v>#DIV/0!</v>
      </c>
      <c r="AG197" s="224" t="e">
        <v>#DIV/0!</v>
      </c>
      <c r="AH197" s="224" t="e">
        <v>#DIV/0!</v>
      </c>
      <c r="AI197" s="224" t="e">
        <v>#DIV/0!</v>
      </c>
      <c r="AJ197" s="224" t="e">
        <v>#DIV/0!</v>
      </c>
      <c r="AK197" s="224" t="e">
        <v>#DIV/0!</v>
      </c>
      <c r="AL197" s="224" t="e">
        <v>#DIV/0!</v>
      </c>
      <c r="AM197" s="224" t="e">
        <v>#DIV/0!</v>
      </c>
      <c r="AN197" s="1121" t="e">
        <v>#DIV/0!</v>
      </c>
      <c r="AO197" s="224" t="e">
        <f t="shared" si="11"/>
        <v>#DIV/0!</v>
      </c>
      <c r="AP197" s="1124">
        <v>0.1</v>
      </c>
      <c r="AQ197" s="1124">
        <f t="shared" si="13"/>
        <v>0.40760111439866603</v>
      </c>
      <c r="AR197" s="1124">
        <v>20</v>
      </c>
      <c r="AS197" s="1124" t="e">
        <f t="shared" si="15"/>
        <v>#DIV/0!</v>
      </c>
      <c r="AT197" s="224" t="e">
        <f t="shared" si="12"/>
        <v>#DIV/0!</v>
      </c>
    </row>
    <row r="198" spans="1:46">
      <c r="A198" s="1119">
        <v>2050</v>
      </c>
      <c r="B198" s="1108"/>
      <c r="C198" s="1108"/>
      <c r="D198" s="1108" t="s">
        <v>1868</v>
      </c>
      <c r="E198" s="1108" t="s">
        <v>1917</v>
      </c>
      <c r="F198" s="1108"/>
      <c r="G198" s="224">
        <v>21132.204102031774</v>
      </c>
      <c r="H198" s="224">
        <v>9364</v>
      </c>
      <c r="I198" s="224">
        <v>2.3759999999999999</v>
      </c>
      <c r="J198" s="224">
        <v>0.10816003000012898</v>
      </c>
      <c r="K198" s="224">
        <v>6.3423850478708479E-2</v>
      </c>
      <c r="L198" s="224">
        <v>7.0027103434465304E-2</v>
      </c>
      <c r="M198" s="224">
        <v>0</v>
      </c>
      <c r="N198" s="224">
        <v>0</v>
      </c>
      <c r="O198" s="224">
        <v>0</v>
      </c>
      <c r="P198" s="224">
        <v>0</v>
      </c>
      <c r="Q198" s="224">
        <v>0</v>
      </c>
      <c r="R198" s="224">
        <v>0</v>
      </c>
      <c r="S198" s="224">
        <v>0</v>
      </c>
      <c r="T198" s="224">
        <v>0</v>
      </c>
      <c r="U198" s="224">
        <v>0</v>
      </c>
      <c r="V198" s="224">
        <v>246.38190019999999</v>
      </c>
      <c r="W198" s="224">
        <v>0</v>
      </c>
      <c r="X198" s="224">
        <v>3.2973260869565211</v>
      </c>
      <c r="Y198" s="224">
        <v>2.3759999999999999</v>
      </c>
      <c r="Z198" s="224">
        <v>0</v>
      </c>
      <c r="AA198" s="224">
        <v>54.080015000064492</v>
      </c>
      <c r="AB198" s="224">
        <v>31.71192523935424</v>
      </c>
      <c r="AC198" s="224">
        <v>35.013551717232652</v>
      </c>
      <c r="AD198" s="1121">
        <v>6.9224005701607405</v>
      </c>
      <c r="AE198" s="224">
        <v>23650.658756187426</v>
      </c>
      <c r="AF198" s="224">
        <v>0</v>
      </c>
      <c r="AG198" s="224">
        <v>144</v>
      </c>
      <c r="AH198" s="224">
        <v>10461.344156675514</v>
      </c>
      <c r="AI198" s="224">
        <v>90000</v>
      </c>
      <c r="AJ198" s="224">
        <v>0</v>
      </c>
      <c r="AK198" s="224">
        <v>658.22399999999993</v>
      </c>
      <c r="AL198" s="224">
        <v>0</v>
      </c>
      <c r="AM198" s="224">
        <v>240</v>
      </c>
      <c r="AN198" s="1121">
        <v>125154.22691286294</v>
      </c>
      <c r="AO198" s="224">
        <f t="shared" si="11"/>
        <v>0.91209549912437904</v>
      </c>
      <c r="AP198" s="1124">
        <v>0.1</v>
      </c>
      <c r="AQ198" s="1124">
        <f t="shared" si="13"/>
        <v>0.40760111439866603</v>
      </c>
      <c r="AR198" s="1124">
        <v>20</v>
      </c>
      <c r="AS198" s="1124">
        <f t="shared" si="15"/>
        <v>0.5780361646229476</v>
      </c>
      <c r="AT198" s="224">
        <f t="shared" si="12"/>
        <v>51013.002361386454</v>
      </c>
    </row>
    <row r="199" spans="1:46">
      <c r="A199" s="1119">
        <v>2017</v>
      </c>
      <c r="B199" s="1120"/>
      <c r="C199" s="1120"/>
      <c r="D199" s="1108" t="s">
        <v>1868</v>
      </c>
      <c r="E199" s="1120" t="s">
        <v>1918</v>
      </c>
      <c r="F199" s="1120"/>
      <c r="G199" s="224">
        <v>24972.322295949962</v>
      </c>
      <c r="H199" s="224">
        <v>9364</v>
      </c>
      <c r="I199" s="224">
        <v>0.10666782720000001</v>
      </c>
      <c r="J199" s="224">
        <v>0.17221090405746176</v>
      </c>
      <c r="K199" s="224">
        <v>0.10782294043001833</v>
      </c>
      <c r="L199" s="224">
        <v>0.12295243011306108</v>
      </c>
      <c r="M199" s="224">
        <v>0</v>
      </c>
      <c r="N199" s="224">
        <v>0</v>
      </c>
      <c r="O199" s="224">
        <v>0</v>
      </c>
      <c r="P199" s="224">
        <v>0</v>
      </c>
      <c r="Q199" s="224">
        <v>0</v>
      </c>
      <c r="R199" s="224">
        <v>0</v>
      </c>
      <c r="S199" s="224">
        <v>0</v>
      </c>
      <c r="T199" s="224">
        <v>0</v>
      </c>
      <c r="U199" s="224">
        <v>0</v>
      </c>
      <c r="V199" s="224">
        <v>304.51632640000003</v>
      </c>
      <c r="W199" s="224">
        <v>2</v>
      </c>
      <c r="X199" s="224">
        <v>3</v>
      </c>
      <c r="Y199" s="224">
        <v>0.10666782720000001</v>
      </c>
      <c r="Z199" s="224">
        <v>0</v>
      </c>
      <c r="AA199" s="224">
        <v>86.10545202873088</v>
      </c>
      <c r="AB199" s="224">
        <v>53.911470215009167</v>
      </c>
      <c r="AC199" s="224">
        <v>61.476215056530535</v>
      </c>
      <c r="AD199" s="1121">
        <v>12.041723372227729</v>
      </c>
      <c r="AE199" s="224">
        <v>30789.827542454852</v>
      </c>
      <c r="AF199" s="224">
        <v>612.29999999999995</v>
      </c>
      <c r="AG199" s="224">
        <v>144.76596535119614</v>
      </c>
      <c r="AH199" s="224">
        <v>12689.115239486457</v>
      </c>
      <c r="AI199" s="224">
        <v>90000</v>
      </c>
      <c r="AJ199" s="224">
        <v>0</v>
      </c>
      <c r="AK199" s="224">
        <v>745.98720000000003</v>
      </c>
      <c r="AL199" s="224">
        <v>0</v>
      </c>
      <c r="AM199" s="224">
        <v>436.00000000000006</v>
      </c>
      <c r="AN199" s="1121">
        <v>135417.99594729248</v>
      </c>
      <c r="AO199" s="224">
        <f t="shared" si="11"/>
        <v>1.5866174715247254</v>
      </c>
      <c r="AP199" s="1124">
        <v>0.1</v>
      </c>
      <c r="AQ199" s="1124">
        <f t="shared" si="13"/>
        <v>0.40760111439866603</v>
      </c>
      <c r="AR199" s="1124">
        <v>20</v>
      </c>
      <c r="AS199" s="1124">
        <f t="shared" si="15"/>
        <v>1.0055112417990855</v>
      </c>
      <c r="AT199" s="224">
        <f t="shared" si="12"/>
        <v>55196.52605775046</v>
      </c>
    </row>
    <row r="200" spans="1:46">
      <c r="A200" s="1122">
        <v>2020</v>
      </c>
      <c r="D200" s="1108" t="s">
        <v>1868</v>
      </c>
      <c r="E200" s="224" t="s">
        <v>1918</v>
      </c>
      <c r="G200" s="224" t="e">
        <v>#DIV/0!</v>
      </c>
      <c r="H200" s="224" t="e">
        <v>#DIV/0!</v>
      </c>
      <c r="I200" s="224" t="e">
        <v>#DIV/0!</v>
      </c>
      <c r="J200" s="224" t="e">
        <v>#DIV/0!</v>
      </c>
      <c r="K200" s="224" t="e">
        <v>#DIV/0!</v>
      </c>
      <c r="L200" s="224" t="e">
        <v>#DIV/0!</v>
      </c>
      <c r="M200" s="224" t="e">
        <v>#DIV/0!</v>
      </c>
      <c r="N200" s="224" t="e">
        <v>#DIV/0!</v>
      </c>
      <c r="O200" s="224" t="e">
        <v>#DIV/0!</v>
      </c>
      <c r="P200" s="224" t="e">
        <v>#DIV/0!</v>
      </c>
      <c r="Q200" s="224" t="e">
        <v>#DIV/0!</v>
      </c>
      <c r="R200" s="224" t="e">
        <v>#DIV/0!</v>
      </c>
      <c r="S200" s="224" t="e">
        <v>#DIV/0!</v>
      </c>
      <c r="T200" s="224" t="e">
        <v>#DIV/0!</v>
      </c>
      <c r="U200" s="224" t="e">
        <v>#DIV/0!</v>
      </c>
      <c r="V200" s="224" t="e">
        <v>#DIV/0!</v>
      </c>
      <c r="W200" s="224" t="e">
        <v>#DIV/0!</v>
      </c>
      <c r="X200" s="224" t="e">
        <v>#DIV/0!</v>
      </c>
      <c r="Y200" s="224" t="e">
        <v>#DIV/0!</v>
      </c>
      <c r="Z200" s="224" t="e">
        <v>#DIV/0!</v>
      </c>
      <c r="AA200" s="224" t="e">
        <v>#DIV/0!</v>
      </c>
      <c r="AB200" s="224" t="e">
        <v>#DIV/0!</v>
      </c>
      <c r="AC200" s="224" t="e">
        <v>#DIV/0!</v>
      </c>
      <c r="AD200" s="1121" t="e">
        <v>#DIV/0!</v>
      </c>
      <c r="AE200" s="224" t="e">
        <v>#DIV/0!</v>
      </c>
      <c r="AF200" s="224" t="e">
        <v>#DIV/0!</v>
      </c>
      <c r="AG200" s="224" t="e">
        <v>#DIV/0!</v>
      </c>
      <c r="AH200" s="224" t="e">
        <v>#DIV/0!</v>
      </c>
      <c r="AI200" s="224" t="e">
        <v>#DIV/0!</v>
      </c>
      <c r="AJ200" s="224" t="e">
        <v>#DIV/0!</v>
      </c>
      <c r="AK200" s="224" t="e">
        <v>#DIV/0!</v>
      </c>
      <c r="AL200" s="224" t="e">
        <v>#DIV/0!</v>
      </c>
      <c r="AM200" s="224" t="e">
        <v>#DIV/0!</v>
      </c>
      <c r="AN200" s="1121" t="e">
        <v>#DIV/0!</v>
      </c>
      <c r="AO200" s="224" t="e">
        <f t="shared" si="11"/>
        <v>#DIV/0!</v>
      </c>
      <c r="AP200" s="1124">
        <v>0.1</v>
      </c>
      <c r="AQ200" s="1124">
        <f t="shared" si="13"/>
        <v>0.40760111439866603</v>
      </c>
      <c r="AR200" s="1124">
        <v>20</v>
      </c>
      <c r="AS200" s="1124" t="e">
        <f t="shared" si="15"/>
        <v>#DIV/0!</v>
      </c>
      <c r="AT200" s="224" t="e">
        <f t="shared" si="12"/>
        <v>#DIV/0!</v>
      </c>
    </row>
    <row r="201" spans="1:46">
      <c r="A201" s="1119">
        <v>2025</v>
      </c>
      <c r="D201" s="1108" t="s">
        <v>1868</v>
      </c>
      <c r="E201" s="224" t="s">
        <v>1918</v>
      </c>
      <c r="G201" s="224" t="e">
        <v>#DIV/0!</v>
      </c>
      <c r="H201" s="224" t="e">
        <v>#DIV/0!</v>
      </c>
      <c r="I201" s="224" t="e">
        <v>#DIV/0!</v>
      </c>
      <c r="J201" s="224" t="e">
        <v>#DIV/0!</v>
      </c>
      <c r="K201" s="224" t="e">
        <v>#DIV/0!</v>
      </c>
      <c r="L201" s="224" t="e">
        <v>#DIV/0!</v>
      </c>
      <c r="M201" s="224" t="e">
        <v>#DIV/0!</v>
      </c>
      <c r="N201" s="224" t="e">
        <v>#DIV/0!</v>
      </c>
      <c r="O201" s="224" t="e">
        <v>#DIV/0!</v>
      </c>
      <c r="P201" s="224" t="e">
        <v>#DIV/0!</v>
      </c>
      <c r="Q201" s="224" t="e">
        <v>#DIV/0!</v>
      </c>
      <c r="R201" s="224" t="e">
        <v>#DIV/0!</v>
      </c>
      <c r="S201" s="224" t="e">
        <v>#DIV/0!</v>
      </c>
      <c r="T201" s="224" t="e">
        <v>#DIV/0!</v>
      </c>
      <c r="U201" s="224" t="e">
        <v>#DIV/0!</v>
      </c>
      <c r="V201" s="224" t="e">
        <v>#DIV/0!</v>
      </c>
      <c r="W201" s="224" t="e">
        <v>#DIV/0!</v>
      </c>
      <c r="X201" s="224" t="e">
        <v>#DIV/0!</v>
      </c>
      <c r="Y201" s="224" t="e">
        <v>#DIV/0!</v>
      </c>
      <c r="Z201" s="224" t="e">
        <v>#DIV/0!</v>
      </c>
      <c r="AA201" s="224" t="e">
        <v>#DIV/0!</v>
      </c>
      <c r="AB201" s="224" t="e">
        <v>#DIV/0!</v>
      </c>
      <c r="AC201" s="224" t="e">
        <v>#DIV/0!</v>
      </c>
      <c r="AD201" s="1121" t="e">
        <v>#DIV/0!</v>
      </c>
      <c r="AE201" s="224" t="e">
        <v>#DIV/0!</v>
      </c>
      <c r="AF201" s="224" t="e">
        <v>#DIV/0!</v>
      </c>
      <c r="AG201" s="224" t="e">
        <v>#DIV/0!</v>
      </c>
      <c r="AH201" s="224" t="e">
        <v>#DIV/0!</v>
      </c>
      <c r="AI201" s="224" t="e">
        <v>#DIV/0!</v>
      </c>
      <c r="AJ201" s="224" t="e">
        <v>#DIV/0!</v>
      </c>
      <c r="AK201" s="224" t="e">
        <v>#DIV/0!</v>
      </c>
      <c r="AL201" s="224" t="e">
        <v>#DIV/0!</v>
      </c>
      <c r="AM201" s="224" t="e">
        <v>#DIV/0!</v>
      </c>
      <c r="AN201" s="1121" t="e">
        <v>#DIV/0!</v>
      </c>
      <c r="AO201" s="224" t="e">
        <f t="shared" si="11"/>
        <v>#DIV/0!</v>
      </c>
      <c r="AP201" s="1124">
        <v>0.1</v>
      </c>
      <c r="AQ201" s="1124">
        <f t="shared" si="13"/>
        <v>0.40760111439866603</v>
      </c>
      <c r="AR201" s="1124">
        <v>20</v>
      </c>
      <c r="AS201" s="1124" t="e">
        <f t="shared" si="15"/>
        <v>#DIV/0!</v>
      </c>
      <c r="AT201" s="224" t="e">
        <f t="shared" si="12"/>
        <v>#DIV/0!</v>
      </c>
    </row>
    <row r="202" spans="1:46">
      <c r="A202" s="1119">
        <v>2030</v>
      </c>
      <c r="D202" s="1108" t="s">
        <v>1868</v>
      </c>
      <c r="E202" s="224" t="s">
        <v>1918</v>
      </c>
      <c r="G202" s="224" t="e">
        <v>#DIV/0!</v>
      </c>
      <c r="H202" s="224" t="e">
        <v>#DIV/0!</v>
      </c>
      <c r="I202" s="224" t="e">
        <v>#DIV/0!</v>
      </c>
      <c r="J202" s="224" t="e">
        <v>#DIV/0!</v>
      </c>
      <c r="K202" s="224" t="e">
        <v>#DIV/0!</v>
      </c>
      <c r="L202" s="224" t="e">
        <v>#DIV/0!</v>
      </c>
      <c r="M202" s="224" t="e">
        <v>#DIV/0!</v>
      </c>
      <c r="N202" s="224" t="e">
        <v>#DIV/0!</v>
      </c>
      <c r="O202" s="224" t="e">
        <v>#DIV/0!</v>
      </c>
      <c r="P202" s="224" t="e">
        <v>#DIV/0!</v>
      </c>
      <c r="Q202" s="224" t="e">
        <v>#DIV/0!</v>
      </c>
      <c r="R202" s="224" t="e">
        <v>#DIV/0!</v>
      </c>
      <c r="S202" s="224" t="e">
        <v>#DIV/0!</v>
      </c>
      <c r="T202" s="224" t="e">
        <v>#DIV/0!</v>
      </c>
      <c r="U202" s="224" t="e">
        <v>#DIV/0!</v>
      </c>
      <c r="V202" s="224" t="e">
        <v>#DIV/0!</v>
      </c>
      <c r="W202" s="224" t="e">
        <v>#DIV/0!</v>
      </c>
      <c r="X202" s="224" t="e">
        <v>#DIV/0!</v>
      </c>
      <c r="Y202" s="224" t="e">
        <v>#DIV/0!</v>
      </c>
      <c r="Z202" s="224" t="e">
        <v>#DIV/0!</v>
      </c>
      <c r="AA202" s="224" t="e">
        <v>#DIV/0!</v>
      </c>
      <c r="AB202" s="224" t="e">
        <v>#DIV/0!</v>
      </c>
      <c r="AC202" s="224" t="e">
        <v>#DIV/0!</v>
      </c>
      <c r="AD202" s="1121" t="e">
        <v>#DIV/0!</v>
      </c>
      <c r="AE202" s="224" t="e">
        <v>#DIV/0!</v>
      </c>
      <c r="AF202" s="224" t="e">
        <v>#DIV/0!</v>
      </c>
      <c r="AG202" s="224" t="e">
        <v>#DIV/0!</v>
      </c>
      <c r="AH202" s="224" t="e">
        <v>#DIV/0!</v>
      </c>
      <c r="AI202" s="224" t="e">
        <v>#DIV/0!</v>
      </c>
      <c r="AJ202" s="224" t="e">
        <v>#DIV/0!</v>
      </c>
      <c r="AK202" s="224" t="e">
        <v>#DIV/0!</v>
      </c>
      <c r="AL202" s="224" t="e">
        <v>#DIV/0!</v>
      </c>
      <c r="AM202" s="224" t="e">
        <v>#DIV/0!</v>
      </c>
      <c r="AN202" s="1121" t="e">
        <v>#DIV/0!</v>
      </c>
      <c r="AO202" s="224" t="e">
        <f t="shared" si="11"/>
        <v>#DIV/0!</v>
      </c>
      <c r="AP202" s="1124">
        <v>0.1</v>
      </c>
      <c r="AQ202" s="1124">
        <f t="shared" si="13"/>
        <v>0.40760111439866603</v>
      </c>
      <c r="AR202" s="1124">
        <v>20</v>
      </c>
      <c r="AS202" s="1124" t="e">
        <f t="shared" si="15"/>
        <v>#DIV/0!</v>
      </c>
      <c r="AT202" s="224" t="e">
        <f t="shared" si="12"/>
        <v>#DIV/0!</v>
      </c>
    </row>
    <row r="203" spans="1:46">
      <c r="A203" s="1119">
        <v>2035</v>
      </c>
      <c r="D203" s="1108" t="s">
        <v>1868</v>
      </c>
      <c r="E203" s="224" t="s">
        <v>1918</v>
      </c>
      <c r="G203" s="224" t="e">
        <v>#DIV/0!</v>
      </c>
      <c r="H203" s="224" t="e">
        <v>#DIV/0!</v>
      </c>
      <c r="I203" s="224" t="e">
        <v>#DIV/0!</v>
      </c>
      <c r="J203" s="224" t="e">
        <v>#DIV/0!</v>
      </c>
      <c r="K203" s="224" t="e">
        <v>#DIV/0!</v>
      </c>
      <c r="L203" s="224" t="e">
        <v>#DIV/0!</v>
      </c>
      <c r="M203" s="224" t="e">
        <v>#DIV/0!</v>
      </c>
      <c r="N203" s="224" t="e">
        <v>#DIV/0!</v>
      </c>
      <c r="O203" s="224" t="e">
        <v>#DIV/0!</v>
      </c>
      <c r="P203" s="224" t="e">
        <v>#DIV/0!</v>
      </c>
      <c r="Q203" s="224" t="e">
        <v>#DIV/0!</v>
      </c>
      <c r="R203" s="224" t="e">
        <v>#DIV/0!</v>
      </c>
      <c r="S203" s="224" t="e">
        <v>#DIV/0!</v>
      </c>
      <c r="T203" s="224" t="e">
        <v>#DIV/0!</v>
      </c>
      <c r="U203" s="224" t="e">
        <v>#DIV/0!</v>
      </c>
      <c r="V203" s="224" t="e">
        <v>#DIV/0!</v>
      </c>
      <c r="W203" s="224" t="e">
        <v>#DIV/0!</v>
      </c>
      <c r="X203" s="224" t="e">
        <v>#DIV/0!</v>
      </c>
      <c r="Y203" s="224" t="e">
        <v>#DIV/0!</v>
      </c>
      <c r="Z203" s="224" t="e">
        <v>#DIV/0!</v>
      </c>
      <c r="AA203" s="224" t="e">
        <v>#DIV/0!</v>
      </c>
      <c r="AB203" s="224" t="e">
        <v>#DIV/0!</v>
      </c>
      <c r="AC203" s="224" t="e">
        <v>#DIV/0!</v>
      </c>
      <c r="AD203" s="1121" t="e">
        <v>#DIV/0!</v>
      </c>
      <c r="AE203" s="224" t="e">
        <v>#DIV/0!</v>
      </c>
      <c r="AF203" s="224" t="e">
        <v>#DIV/0!</v>
      </c>
      <c r="AG203" s="224" t="e">
        <v>#DIV/0!</v>
      </c>
      <c r="AH203" s="224" t="e">
        <v>#DIV/0!</v>
      </c>
      <c r="AI203" s="224" t="e">
        <v>#DIV/0!</v>
      </c>
      <c r="AJ203" s="224" t="e">
        <v>#DIV/0!</v>
      </c>
      <c r="AK203" s="224" t="e">
        <v>#DIV/0!</v>
      </c>
      <c r="AL203" s="224" t="e">
        <v>#DIV/0!</v>
      </c>
      <c r="AM203" s="224" t="e">
        <v>#DIV/0!</v>
      </c>
      <c r="AN203" s="1121" t="e">
        <v>#DIV/0!</v>
      </c>
      <c r="AO203" s="224" t="e">
        <f t="shared" si="11"/>
        <v>#DIV/0!</v>
      </c>
      <c r="AP203" s="1124">
        <v>0.1</v>
      </c>
      <c r="AQ203" s="1124">
        <f t="shared" si="13"/>
        <v>0.40760111439866603</v>
      </c>
      <c r="AR203" s="1124">
        <v>20</v>
      </c>
      <c r="AS203" s="1124" t="e">
        <f t="shared" si="15"/>
        <v>#DIV/0!</v>
      </c>
      <c r="AT203" s="224" t="e">
        <f t="shared" si="12"/>
        <v>#DIV/0!</v>
      </c>
    </row>
    <row r="204" spans="1:46">
      <c r="A204" s="1119">
        <v>2050</v>
      </c>
      <c r="D204" s="1108" t="s">
        <v>1868</v>
      </c>
      <c r="E204" s="224" t="s">
        <v>1918</v>
      </c>
      <c r="G204" s="224" t="e">
        <v>#DIV/0!</v>
      </c>
      <c r="H204" s="224" t="e">
        <v>#DIV/0!</v>
      </c>
      <c r="I204" s="224" t="e">
        <v>#DIV/0!</v>
      </c>
      <c r="J204" s="224" t="e">
        <v>#DIV/0!</v>
      </c>
      <c r="K204" s="224" t="e">
        <v>#DIV/0!</v>
      </c>
      <c r="L204" s="224" t="e">
        <v>#DIV/0!</v>
      </c>
      <c r="M204" s="224" t="e">
        <v>#DIV/0!</v>
      </c>
      <c r="N204" s="224" t="e">
        <v>#DIV/0!</v>
      </c>
      <c r="O204" s="224" t="e">
        <v>#DIV/0!</v>
      </c>
      <c r="P204" s="224" t="e">
        <v>#DIV/0!</v>
      </c>
      <c r="Q204" s="224" t="e">
        <v>#DIV/0!</v>
      </c>
      <c r="R204" s="224" t="e">
        <v>#DIV/0!</v>
      </c>
      <c r="S204" s="224" t="e">
        <v>#DIV/0!</v>
      </c>
      <c r="T204" s="224" t="e">
        <v>#DIV/0!</v>
      </c>
      <c r="U204" s="224" t="e">
        <v>#DIV/0!</v>
      </c>
      <c r="V204" s="224" t="e">
        <v>#DIV/0!</v>
      </c>
      <c r="W204" s="224" t="e">
        <v>#DIV/0!</v>
      </c>
      <c r="X204" s="224" t="e">
        <v>#DIV/0!</v>
      </c>
      <c r="Y204" s="224" t="e">
        <v>#DIV/0!</v>
      </c>
      <c r="Z204" s="224" t="e">
        <v>#DIV/0!</v>
      </c>
      <c r="AA204" s="224" t="e">
        <v>#DIV/0!</v>
      </c>
      <c r="AB204" s="224" t="e">
        <v>#DIV/0!</v>
      </c>
      <c r="AC204" s="224" t="e">
        <v>#DIV/0!</v>
      </c>
      <c r="AD204" s="1121" t="e">
        <v>#DIV/0!</v>
      </c>
      <c r="AE204" s="224" t="e">
        <v>#DIV/0!</v>
      </c>
      <c r="AF204" s="224" t="e">
        <v>#DIV/0!</v>
      </c>
      <c r="AG204" s="224" t="e">
        <v>#DIV/0!</v>
      </c>
      <c r="AH204" s="224" t="e">
        <v>#DIV/0!</v>
      </c>
      <c r="AI204" s="224" t="e">
        <v>#DIV/0!</v>
      </c>
      <c r="AJ204" s="224" t="e">
        <v>#DIV/0!</v>
      </c>
      <c r="AK204" s="224" t="e">
        <v>#DIV/0!</v>
      </c>
      <c r="AL204" s="224" t="e">
        <v>#DIV/0!</v>
      </c>
      <c r="AM204" s="224" t="e">
        <v>#DIV/0!</v>
      </c>
      <c r="AN204" s="1121" t="e">
        <v>#DIV/0!</v>
      </c>
      <c r="AO204" s="224" t="e">
        <f t="shared" si="11"/>
        <v>#DIV/0!</v>
      </c>
      <c r="AP204" s="1124">
        <v>0.1</v>
      </c>
      <c r="AQ204" s="1124">
        <f t="shared" si="13"/>
        <v>0.40760111439866603</v>
      </c>
      <c r="AR204" s="1124">
        <v>20</v>
      </c>
      <c r="AS204" s="1124" t="e">
        <f t="shared" si="15"/>
        <v>#DIV/0!</v>
      </c>
      <c r="AT204" s="224" t="e">
        <f t="shared" si="12"/>
        <v>#DIV/0!</v>
      </c>
    </row>
    <row r="205" spans="1:46">
      <c r="A205" s="1119">
        <v>2017</v>
      </c>
      <c r="D205" s="1108" t="s">
        <v>1868</v>
      </c>
      <c r="E205" s="224" t="s">
        <v>1919</v>
      </c>
      <c r="G205" s="224">
        <v>25089.675453402142</v>
      </c>
      <c r="H205" s="224">
        <v>9364</v>
      </c>
      <c r="I205" s="224">
        <v>3.1046400000000003</v>
      </c>
      <c r="J205" s="224">
        <v>0.15153580584049722</v>
      </c>
      <c r="K205" s="224">
        <v>0.10467547106226353</v>
      </c>
      <c r="L205" s="224">
        <v>0.12482378882670668</v>
      </c>
      <c r="M205" s="224">
        <v>0</v>
      </c>
      <c r="N205" s="224">
        <v>0</v>
      </c>
      <c r="O205" s="224">
        <v>0</v>
      </c>
      <c r="P205" s="224">
        <v>0</v>
      </c>
      <c r="Q205" s="224">
        <v>0</v>
      </c>
      <c r="R205" s="224">
        <v>0</v>
      </c>
      <c r="S205" s="224">
        <v>0</v>
      </c>
      <c r="T205" s="224">
        <v>0</v>
      </c>
      <c r="U205" s="224">
        <v>0</v>
      </c>
      <c r="V205" s="224">
        <v>267.71743819999995</v>
      </c>
      <c r="W205" s="224">
        <v>74.079214399999998</v>
      </c>
      <c r="X205" s="224">
        <v>96.640191387559796</v>
      </c>
      <c r="Y205" s="224">
        <v>3.1046400000000003</v>
      </c>
      <c r="Z205" s="224">
        <v>0</v>
      </c>
      <c r="AA205" s="224">
        <v>75.767902920248616</v>
      </c>
      <c r="AB205" s="224">
        <v>52.33773553113177</v>
      </c>
      <c r="AC205" s="224">
        <v>62.411894413353338</v>
      </c>
      <c r="AD205" s="1121">
        <v>12.004259970206405</v>
      </c>
      <c r="AE205" s="224">
        <v>26149.363963227428</v>
      </c>
      <c r="AF205" s="224">
        <v>3704.4982977599998</v>
      </c>
      <c r="AG205" s="224">
        <v>4213.512344497608</v>
      </c>
      <c r="AH205" s="224">
        <v>12510.209431304665</v>
      </c>
      <c r="AI205" s="224">
        <v>90000</v>
      </c>
      <c r="AJ205" s="224">
        <v>0</v>
      </c>
      <c r="AK205" s="224">
        <v>745.98720000000003</v>
      </c>
      <c r="AL205" s="224">
        <v>0</v>
      </c>
      <c r="AM205" s="224">
        <v>436.00000000000006</v>
      </c>
      <c r="AN205" s="1121">
        <v>137759.57123678969</v>
      </c>
      <c r="AO205" s="224">
        <f t="shared" si="11"/>
        <v>1.5816812936743958</v>
      </c>
      <c r="AP205" s="1124">
        <v>0.1</v>
      </c>
      <c r="AQ205" s="1124">
        <f t="shared" si="13"/>
        <v>0.40760111439866603</v>
      </c>
      <c r="AR205" s="1124">
        <v>20</v>
      </c>
      <c r="AS205" s="1124">
        <f t="shared" si="15"/>
        <v>1.0023829626712524</v>
      </c>
      <c r="AT205" s="224">
        <f t="shared" si="12"/>
        <v>56150.954755197898</v>
      </c>
    </row>
    <row r="206" spans="1:46">
      <c r="A206" s="1122">
        <v>2020</v>
      </c>
      <c r="D206" s="1108" t="s">
        <v>1868</v>
      </c>
      <c r="E206" s="224" t="s">
        <v>1919</v>
      </c>
      <c r="G206" s="224" t="e">
        <v>#DIV/0!</v>
      </c>
      <c r="H206" s="224" t="e">
        <v>#DIV/0!</v>
      </c>
      <c r="I206" s="224" t="e">
        <v>#DIV/0!</v>
      </c>
      <c r="J206" s="224" t="e">
        <v>#DIV/0!</v>
      </c>
      <c r="K206" s="224" t="e">
        <v>#DIV/0!</v>
      </c>
      <c r="L206" s="224" t="e">
        <v>#DIV/0!</v>
      </c>
      <c r="M206" s="224" t="e">
        <v>#DIV/0!</v>
      </c>
      <c r="N206" s="224" t="e">
        <v>#DIV/0!</v>
      </c>
      <c r="O206" s="224" t="e">
        <v>#DIV/0!</v>
      </c>
      <c r="P206" s="224" t="e">
        <v>#DIV/0!</v>
      </c>
      <c r="Q206" s="224" t="e">
        <v>#DIV/0!</v>
      </c>
      <c r="R206" s="224" t="e">
        <v>#DIV/0!</v>
      </c>
      <c r="S206" s="224" t="e">
        <v>#DIV/0!</v>
      </c>
      <c r="T206" s="224" t="e">
        <v>#DIV/0!</v>
      </c>
      <c r="U206" s="224" t="e">
        <v>#DIV/0!</v>
      </c>
      <c r="V206" s="224" t="e">
        <v>#DIV/0!</v>
      </c>
      <c r="W206" s="224" t="e">
        <v>#DIV/0!</v>
      </c>
      <c r="X206" s="224" t="e">
        <v>#DIV/0!</v>
      </c>
      <c r="Y206" s="224" t="e">
        <v>#DIV/0!</v>
      </c>
      <c r="Z206" s="224" t="e">
        <v>#DIV/0!</v>
      </c>
      <c r="AA206" s="224" t="e">
        <v>#DIV/0!</v>
      </c>
      <c r="AB206" s="224" t="e">
        <v>#DIV/0!</v>
      </c>
      <c r="AC206" s="224" t="e">
        <v>#DIV/0!</v>
      </c>
      <c r="AD206" s="1121" t="e">
        <v>#DIV/0!</v>
      </c>
      <c r="AE206" s="224" t="e">
        <v>#DIV/0!</v>
      </c>
      <c r="AF206" s="224" t="e">
        <v>#DIV/0!</v>
      </c>
      <c r="AG206" s="224" t="e">
        <v>#DIV/0!</v>
      </c>
      <c r="AH206" s="224" t="e">
        <v>#DIV/0!</v>
      </c>
      <c r="AI206" s="224" t="e">
        <v>#DIV/0!</v>
      </c>
      <c r="AJ206" s="224" t="e">
        <v>#DIV/0!</v>
      </c>
      <c r="AK206" s="224" t="e">
        <v>#DIV/0!</v>
      </c>
      <c r="AL206" s="224" t="e">
        <v>#DIV/0!</v>
      </c>
      <c r="AM206" s="224" t="e">
        <v>#DIV/0!</v>
      </c>
      <c r="AN206" s="1121" t="e">
        <v>#DIV/0!</v>
      </c>
      <c r="AO206" s="224" t="e">
        <f t="shared" ref="AO206:AO264" si="16">AD206*$C$4</f>
        <v>#DIV/0!</v>
      </c>
      <c r="AP206" s="1124">
        <v>0.1</v>
      </c>
      <c r="AQ206" s="1124">
        <f t="shared" si="13"/>
        <v>0.40760111439866603</v>
      </c>
      <c r="AR206" s="1124">
        <v>20</v>
      </c>
      <c r="AS206" s="1124" t="e">
        <f t="shared" si="15"/>
        <v>#DIV/0!</v>
      </c>
      <c r="AT206" s="224" t="e">
        <f t="shared" ref="AT206:AT264" si="17">AN206*AQ206</f>
        <v>#DIV/0!</v>
      </c>
    </row>
    <row r="207" spans="1:46">
      <c r="A207" s="1119">
        <v>2025</v>
      </c>
      <c r="D207" s="1108" t="s">
        <v>1868</v>
      </c>
      <c r="E207" s="224" t="s">
        <v>1919</v>
      </c>
      <c r="G207" s="224" t="e">
        <v>#DIV/0!</v>
      </c>
      <c r="H207" s="224" t="e">
        <v>#DIV/0!</v>
      </c>
      <c r="I207" s="224" t="e">
        <v>#DIV/0!</v>
      </c>
      <c r="J207" s="224" t="e">
        <v>#DIV/0!</v>
      </c>
      <c r="K207" s="224" t="e">
        <v>#DIV/0!</v>
      </c>
      <c r="L207" s="224" t="e">
        <v>#DIV/0!</v>
      </c>
      <c r="M207" s="224" t="e">
        <v>#DIV/0!</v>
      </c>
      <c r="N207" s="224" t="e">
        <v>#DIV/0!</v>
      </c>
      <c r="O207" s="224" t="e">
        <v>#DIV/0!</v>
      </c>
      <c r="P207" s="224" t="e">
        <v>#DIV/0!</v>
      </c>
      <c r="Q207" s="224" t="e">
        <v>#DIV/0!</v>
      </c>
      <c r="R207" s="224" t="e">
        <v>#DIV/0!</v>
      </c>
      <c r="S207" s="224" t="e">
        <v>#DIV/0!</v>
      </c>
      <c r="T207" s="224" t="e">
        <v>#DIV/0!</v>
      </c>
      <c r="U207" s="224" t="e">
        <v>#DIV/0!</v>
      </c>
      <c r="V207" s="224" t="e">
        <v>#DIV/0!</v>
      </c>
      <c r="W207" s="224" t="e">
        <v>#DIV/0!</v>
      </c>
      <c r="X207" s="224" t="e">
        <v>#DIV/0!</v>
      </c>
      <c r="Y207" s="224" t="e">
        <v>#DIV/0!</v>
      </c>
      <c r="Z207" s="224" t="e">
        <v>#DIV/0!</v>
      </c>
      <c r="AA207" s="224" t="e">
        <v>#DIV/0!</v>
      </c>
      <c r="AB207" s="224" t="e">
        <v>#DIV/0!</v>
      </c>
      <c r="AC207" s="224" t="e">
        <v>#DIV/0!</v>
      </c>
      <c r="AD207" s="1121" t="e">
        <v>#DIV/0!</v>
      </c>
      <c r="AE207" s="224" t="e">
        <v>#DIV/0!</v>
      </c>
      <c r="AF207" s="224" t="e">
        <v>#DIV/0!</v>
      </c>
      <c r="AG207" s="224" t="e">
        <v>#DIV/0!</v>
      </c>
      <c r="AH207" s="224" t="e">
        <v>#DIV/0!</v>
      </c>
      <c r="AI207" s="224" t="e">
        <v>#DIV/0!</v>
      </c>
      <c r="AJ207" s="224" t="e">
        <v>#DIV/0!</v>
      </c>
      <c r="AK207" s="224" t="e">
        <v>#DIV/0!</v>
      </c>
      <c r="AL207" s="224" t="e">
        <v>#DIV/0!</v>
      </c>
      <c r="AM207" s="224" t="e">
        <v>#DIV/0!</v>
      </c>
      <c r="AN207" s="1121" t="e">
        <v>#DIV/0!</v>
      </c>
      <c r="AO207" s="224" t="e">
        <f t="shared" si="16"/>
        <v>#DIV/0!</v>
      </c>
      <c r="AP207" s="1124">
        <v>0.1</v>
      </c>
      <c r="AQ207" s="1124">
        <f t="shared" ref="AQ207:AQ264" si="18">AQ206</f>
        <v>0.40760111439866603</v>
      </c>
      <c r="AR207" s="1124">
        <v>20</v>
      </c>
      <c r="AS207" s="1124" t="e">
        <f t="shared" si="15"/>
        <v>#DIV/0!</v>
      </c>
      <c r="AT207" s="224" t="e">
        <f t="shared" si="17"/>
        <v>#DIV/0!</v>
      </c>
    </row>
    <row r="208" spans="1:46">
      <c r="A208" s="1119">
        <v>2030</v>
      </c>
      <c r="D208" s="1108" t="s">
        <v>1868</v>
      </c>
      <c r="E208" s="224" t="s">
        <v>1919</v>
      </c>
      <c r="G208" s="224" t="e">
        <v>#DIV/0!</v>
      </c>
      <c r="H208" s="224" t="e">
        <v>#DIV/0!</v>
      </c>
      <c r="I208" s="224" t="e">
        <v>#DIV/0!</v>
      </c>
      <c r="J208" s="224" t="e">
        <v>#DIV/0!</v>
      </c>
      <c r="K208" s="224" t="e">
        <v>#DIV/0!</v>
      </c>
      <c r="L208" s="224" t="e">
        <v>#DIV/0!</v>
      </c>
      <c r="M208" s="224" t="e">
        <v>#DIV/0!</v>
      </c>
      <c r="N208" s="224" t="e">
        <v>#DIV/0!</v>
      </c>
      <c r="O208" s="224" t="e">
        <v>#DIV/0!</v>
      </c>
      <c r="P208" s="224" t="e">
        <v>#DIV/0!</v>
      </c>
      <c r="Q208" s="224" t="e">
        <v>#DIV/0!</v>
      </c>
      <c r="R208" s="224" t="e">
        <v>#DIV/0!</v>
      </c>
      <c r="S208" s="224" t="e">
        <v>#DIV/0!</v>
      </c>
      <c r="T208" s="224" t="e">
        <v>#DIV/0!</v>
      </c>
      <c r="U208" s="224" t="e">
        <v>#DIV/0!</v>
      </c>
      <c r="V208" s="224" t="e">
        <v>#DIV/0!</v>
      </c>
      <c r="W208" s="224" t="e">
        <v>#DIV/0!</v>
      </c>
      <c r="X208" s="224" t="e">
        <v>#DIV/0!</v>
      </c>
      <c r="Y208" s="224" t="e">
        <v>#DIV/0!</v>
      </c>
      <c r="Z208" s="224" t="e">
        <v>#DIV/0!</v>
      </c>
      <c r="AA208" s="224" t="e">
        <v>#DIV/0!</v>
      </c>
      <c r="AB208" s="224" t="e">
        <v>#DIV/0!</v>
      </c>
      <c r="AC208" s="224" t="e">
        <v>#DIV/0!</v>
      </c>
      <c r="AD208" s="1121" t="e">
        <v>#DIV/0!</v>
      </c>
      <c r="AE208" s="224" t="e">
        <v>#DIV/0!</v>
      </c>
      <c r="AF208" s="224" t="e">
        <v>#DIV/0!</v>
      </c>
      <c r="AG208" s="224" t="e">
        <v>#DIV/0!</v>
      </c>
      <c r="AH208" s="224" t="e">
        <v>#DIV/0!</v>
      </c>
      <c r="AI208" s="224" t="e">
        <v>#DIV/0!</v>
      </c>
      <c r="AJ208" s="224" t="e">
        <v>#DIV/0!</v>
      </c>
      <c r="AK208" s="224" t="e">
        <v>#DIV/0!</v>
      </c>
      <c r="AL208" s="224" t="e">
        <v>#DIV/0!</v>
      </c>
      <c r="AM208" s="224" t="e">
        <v>#DIV/0!</v>
      </c>
      <c r="AN208" s="1121" t="e">
        <v>#DIV/0!</v>
      </c>
      <c r="AO208" s="224" t="e">
        <f t="shared" si="16"/>
        <v>#DIV/0!</v>
      </c>
      <c r="AP208" s="1124">
        <v>0.1</v>
      </c>
      <c r="AQ208" s="1124">
        <f t="shared" si="18"/>
        <v>0.40760111439866603</v>
      </c>
      <c r="AR208" s="1124">
        <v>20</v>
      </c>
      <c r="AS208" s="1124" t="e">
        <f t="shared" si="15"/>
        <v>#DIV/0!</v>
      </c>
      <c r="AT208" s="224" t="e">
        <f t="shared" si="17"/>
        <v>#DIV/0!</v>
      </c>
    </row>
    <row r="209" spans="1:46">
      <c r="A209" s="1119">
        <v>2035</v>
      </c>
      <c r="D209" s="1108" t="s">
        <v>1868</v>
      </c>
      <c r="E209" s="224" t="s">
        <v>1919</v>
      </c>
      <c r="G209" s="224" t="e">
        <v>#DIV/0!</v>
      </c>
      <c r="H209" s="224" t="e">
        <v>#DIV/0!</v>
      </c>
      <c r="I209" s="224" t="e">
        <v>#DIV/0!</v>
      </c>
      <c r="J209" s="224" t="e">
        <v>#DIV/0!</v>
      </c>
      <c r="K209" s="224" t="e">
        <v>#DIV/0!</v>
      </c>
      <c r="L209" s="224" t="e">
        <v>#DIV/0!</v>
      </c>
      <c r="M209" s="224" t="e">
        <v>#DIV/0!</v>
      </c>
      <c r="N209" s="224" t="e">
        <v>#DIV/0!</v>
      </c>
      <c r="O209" s="224" t="e">
        <v>#DIV/0!</v>
      </c>
      <c r="P209" s="224" t="e">
        <v>#DIV/0!</v>
      </c>
      <c r="Q209" s="224" t="e">
        <v>#DIV/0!</v>
      </c>
      <c r="R209" s="224" t="e">
        <v>#DIV/0!</v>
      </c>
      <c r="S209" s="224" t="e">
        <v>#DIV/0!</v>
      </c>
      <c r="T209" s="224" t="e">
        <v>#DIV/0!</v>
      </c>
      <c r="U209" s="224" t="e">
        <v>#DIV/0!</v>
      </c>
      <c r="V209" s="224" t="e">
        <v>#DIV/0!</v>
      </c>
      <c r="W209" s="224" t="e">
        <v>#DIV/0!</v>
      </c>
      <c r="X209" s="224" t="e">
        <v>#DIV/0!</v>
      </c>
      <c r="Y209" s="224" t="e">
        <v>#DIV/0!</v>
      </c>
      <c r="Z209" s="224" t="e">
        <v>#DIV/0!</v>
      </c>
      <c r="AA209" s="224" t="e">
        <v>#DIV/0!</v>
      </c>
      <c r="AB209" s="224" t="e">
        <v>#DIV/0!</v>
      </c>
      <c r="AC209" s="224" t="e">
        <v>#DIV/0!</v>
      </c>
      <c r="AD209" s="1121" t="e">
        <v>#DIV/0!</v>
      </c>
      <c r="AE209" s="224" t="e">
        <v>#DIV/0!</v>
      </c>
      <c r="AF209" s="224" t="e">
        <v>#DIV/0!</v>
      </c>
      <c r="AG209" s="224" t="e">
        <v>#DIV/0!</v>
      </c>
      <c r="AH209" s="224" t="e">
        <v>#DIV/0!</v>
      </c>
      <c r="AI209" s="224" t="e">
        <v>#DIV/0!</v>
      </c>
      <c r="AJ209" s="224" t="e">
        <v>#DIV/0!</v>
      </c>
      <c r="AK209" s="224" t="e">
        <v>#DIV/0!</v>
      </c>
      <c r="AL209" s="224" t="e">
        <v>#DIV/0!</v>
      </c>
      <c r="AM209" s="224" t="e">
        <v>#DIV/0!</v>
      </c>
      <c r="AN209" s="1121" t="e">
        <v>#DIV/0!</v>
      </c>
      <c r="AO209" s="224" t="e">
        <f t="shared" si="16"/>
        <v>#DIV/0!</v>
      </c>
      <c r="AP209" s="1124">
        <v>0.1</v>
      </c>
      <c r="AQ209" s="1124">
        <f t="shared" si="18"/>
        <v>0.40760111439866603</v>
      </c>
      <c r="AR209" s="1124">
        <v>20</v>
      </c>
      <c r="AS209" s="1124" t="e">
        <f t="shared" si="15"/>
        <v>#DIV/0!</v>
      </c>
      <c r="AT209" s="224" t="e">
        <f t="shared" si="17"/>
        <v>#DIV/0!</v>
      </c>
    </row>
    <row r="210" spans="1:46">
      <c r="A210" s="1119">
        <v>2050</v>
      </c>
      <c r="D210" s="1108" t="s">
        <v>1868</v>
      </c>
      <c r="E210" s="224" t="s">
        <v>1919</v>
      </c>
      <c r="G210" s="224" t="e">
        <v>#DIV/0!</v>
      </c>
      <c r="H210" s="224" t="e">
        <v>#DIV/0!</v>
      </c>
      <c r="I210" s="224" t="e">
        <v>#DIV/0!</v>
      </c>
      <c r="J210" s="224" t="e">
        <v>#DIV/0!</v>
      </c>
      <c r="K210" s="224" t="e">
        <v>#DIV/0!</v>
      </c>
      <c r="L210" s="224" t="e">
        <v>#DIV/0!</v>
      </c>
      <c r="M210" s="224" t="e">
        <v>#DIV/0!</v>
      </c>
      <c r="N210" s="224" t="e">
        <v>#DIV/0!</v>
      </c>
      <c r="O210" s="224" t="e">
        <v>#DIV/0!</v>
      </c>
      <c r="P210" s="224" t="e">
        <v>#DIV/0!</v>
      </c>
      <c r="Q210" s="224" t="e">
        <v>#DIV/0!</v>
      </c>
      <c r="R210" s="224" t="e">
        <v>#DIV/0!</v>
      </c>
      <c r="S210" s="224" t="e">
        <v>#DIV/0!</v>
      </c>
      <c r="T210" s="224" t="e">
        <v>#DIV/0!</v>
      </c>
      <c r="U210" s="224" t="e">
        <v>#DIV/0!</v>
      </c>
      <c r="V210" s="224" t="e">
        <v>#DIV/0!</v>
      </c>
      <c r="W210" s="224" t="e">
        <v>#DIV/0!</v>
      </c>
      <c r="X210" s="224" t="e">
        <v>#DIV/0!</v>
      </c>
      <c r="Y210" s="224" t="e">
        <v>#DIV/0!</v>
      </c>
      <c r="Z210" s="224" t="e">
        <v>#DIV/0!</v>
      </c>
      <c r="AA210" s="224" t="e">
        <v>#DIV/0!</v>
      </c>
      <c r="AB210" s="224" t="e">
        <v>#DIV/0!</v>
      </c>
      <c r="AC210" s="224" t="e">
        <v>#DIV/0!</v>
      </c>
      <c r="AD210" s="1121" t="e">
        <v>#DIV/0!</v>
      </c>
      <c r="AE210" s="224" t="e">
        <v>#DIV/0!</v>
      </c>
      <c r="AF210" s="224" t="e">
        <v>#DIV/0!</v>
      </c>
      <c r="AG210" s="224" t="e">
        <v>#DIV/0!</v>
      </c>
      <c r="AH210" s="224" t="e">
        <v>#DIV/0!</v>
      </c>
      <c r="AI210" s="224" t="e">
        <v>#DIV/0!</v>
      </c>
      <c r="AJ210" s="224" t="e">
        <v>#DIV/0!</v>
      </c>
      <c r="AK210" s="224" t="e">
        <v>#DIV/0!</v>
      </c>
      <c r="AL210" s="224" t="e">
        <v>#DIV/0!</v>
      </c>
      <c r="AM210" s="224" t="e">
        <v>#DIV/0!</v>
      </c>
      <c r="AN210" s="1121" t="e">
        <v>#DIV/0!</v>
      </c>
      <c r="AO210" s="224" t="e">
        <f t="shared" si="16"/>
        <v>#DIV/0!</v>
      </c>
      <c r="AP210" s="1124">
        <v>0.1</v>
      </c>
      <c r="AQ210" s="1124">
        <f t="shared" si="18"/>
        <v>0.40760111439866603</v>
      </c>
      <c r="AR210" s="1124">
        <v>20</v>
      </c>
      <c r="AS210" s="1124" t="e">
        <f t="shared" si="15"/>
        <v>#DIV/0!</v>
      </c>
      <c r="AT210" s="224" t="e">
        <f t="shared" si="17"/>
        <v>#DIV/0!</v>
      </c>
    </row>
    <row r="211" spans="1:46">
      <c r="A211" s="1119">
        <v>2017</v>
      </c>
      <c r="D211" s="1108" t="s">
        <v>1868</v>
      </c>
      <c r="E211" s="224" t="s">
        <v>1920</v>
      </c>
      <c r="G211" s="224">
        <v>28578.54367849847</v>
      </c>
      <c r="H211" s="224">
        <v>9364</v>
      </c>
      <c r="I211" s="224">
        <v>679.21199999999999</v>
      </c>
      <c r="J211" s="224">
        <v>0.16809308825632943</v>
      </c>
      <c r="K211" s="224">
        <v>0.1447217683375126</v>
      </c>
      <c r="L211" s="224">
        <v>0.14620730438261273</v>
      </c>
      <c r="M211" s="224">
        <v>6.3612026016272569E-2</v>
      </c>
      <c r="N211" s="224">
        <v>5.2831206270658723E-2</v>
      </c>
      <c r="O211" s="224">
        <v>6.1322905704347903E-2</v>
      </c>
      <c r="P211" s="224">
        <v>25.697652058729066</v>
      </c>
      <c r="Q211" s="224">
        <v>-102.39553130684378</v>
      </c>
      <c r="R211" s="224">
        <v>375.86090135473563</v>
      </c>
      <c r="S211" s="224">
        <v>2395.3802600800918</v>
      </c>
      <c r="T211" s="224">
        <v>1989.4167273430744</v>
      </c>
      <c r="U211" s="224">
        <v>2309.1809365947806</v>
      </c>
      <c r="V211" s="224">
        <v>180</v>
      </c>
      <c r="W211" s="224">
        <v>457.05737329999999</v>
      </c>
      <c r="X211" s="224">
        <v>685.58605994999994</v>
      </c>
      <c r="Y211" s="224">
        <v>678.83962499999996</v>
      </c>
      <c r="Z211" s="224">
        <v>0</v>
      </c>
      <c r="AA211" s="224">
        <v>57.400666677169426</v>
      </c>
      <c r="AB211" s="224">
        <v>44.143650270790715</v>
      </c>
      <c r="AC211" s="224">
        <v>50.64783604622086</v>
      </c>
      <c r="AD211" s="1121">
        <v>5.8903643325416581</v>
      </c>
      <c r="AE211" s="224">
        <v>16644.811428571425</v>
      </c>
      <c r="AF211" s="224">
        <v>20134.261314570002</v>
      </c>
      <c r="AG211" s="224">
        <v>386246.16983250005</v>
      </c>
      <c r="AH211" s="224">
        <v>0</v>
      </c>
      <c r="AI211" s="224">
        <v>90000</v>
      </c>
      <c r="AJ211" s="224">
        <v>0</v>
      </c>
      <c r="AK211" s="224">
        <v>745.98720000000003</v>
      </c>
      <c r="AL211" s="224">
        <v>0</v>
      </c>
      <c r="AM211" s="224">
        <v>436.00000000000006</v>
      </c>
      <c r="AN211" s="1121">
        <v>514207.22977564146</v>
      </c>
      <c r="AO211" s="224">
        <f t="shared" si="16"/>
        <v>0.7761144044556888</v>
      </c>
      <c r="AP211" s="1124">
        <v>0.1</v>
      </c>
      <c r="AQ211" s="1124">
        <f t="shared" si="18"/>
        <v>0.40760111439866603</v>
      </c>
      <c r="AR211" s="1124">
        <v>20</v>
      </c>
      <c r="AS211" s="1124">
        <f t="shared" si="15"/>
        <v>0.49185879558760165</v>
      </c>
      <c r="AT211" s="224">
        <f t="shared" si="17"/>
        <v>209591.43988840238</v>
      </c>
    </row>
    <row r="212" spans="1:46">
      <c r="A212" s="1122">
        <v>2020</v>
      </c>
      <c r="D212" s="1108" t="s">
        <v>1868</v>
      </c>
      <c r="E212" s="224" t="s">
        <v>1920</v>
      </c>
      <c r="G212" s="224" t="e">
        <v>#DIV/0!</v>
      </c>
      <c r="H212" s="224" t="e">
        <v>#DIV/0!</v>
      </c>
      <c r="I212" s="224" t="e">
        <v>#DIV/0!</v>
      </c>
      <c r="J212" s="224" t="e">
        <v>#DIV/0!</v>
      </c>
      <c r="K212" s="224" t="e">
        <v>#DIV/0!</v>
      </c>
      <c r="L212" s="224" t="e">
        <v>#DIV/0!</v>
      </c>
      <c r="M212" s="224" t="e">
        <v>#DIV/0!</v>
      </c>
      <c r="N212" s="224" t="e">
        <v>#DIV/0!</v>
      </c>
      <c r="O212" s="224" t="e">
        <v>#DIV/0!</v>
      </c>
      <c r="P212" s="224" t="e">
        <v>#DIV/0!</v>
      </c>
      <c r="Q212" s="224" t="e">
        <v>#DIV/0!</v>
      </c>
      <c r="R212" s="224" t="e">
        <v>#DIV/0!</v>
      </c>
      <c r="S212" s="224" t="e">
        <v>#DIV/0!</v>
      </c>
      <c r="T212" s="224" t="e">
        <v>#DIV/0!</v>
      </c>
      <c r="U212" s="224" t="e">
        <v>#DIV/0!</v>
      </c>
      <c r="V212" s="224" t="e">
        <v>#DIV/0!</v>
      </c>
      <c r="W212" s="224" t="e">
        <v>#DIV/0!</v>
      </c>
      <c r="X212" s="224" t="e">
        <v>#DIV/0!</v>
      </c>
      <c r="Y212" s="224" t="e">
        <v>#DIV/0!</v>
      </c>
      <c r="Z212" s="224" t="e">
        <v>#DIV/0!</v>
      </c>
      <c r="AA212" s="224" t="e">
        <v>#DIV/0!</v>
      </c>
      <c r="AB212" s="224" t="e">
        <v>#DIV/0!</v>
      </c>
      <c r="AC212" s="224" t="e">
        <v>#DIV/0!</v>
      </c>
      <c r="AD212" s="1121" t="e">
        <v>#DIV/0!</v>
      </c>
      <c r="AE212" s="224" t="e">
        <v>#DIV/0!</v>
      </c>
      <c r="AF212" s="224" t="e">
        <v>#DIV/0!</v>
      </c>
      <c r="AG212" s="224" t="e">
        <v>#DIV/0!</v>
      </c>
      <c r="AH212" s="224" t="e">
        <v>#DIV/0!</v>
      </c>
      <c r="AI212" s="224" t="e">
        <v>#DIV/0!</v>
      </c>
      <c r="AJ212" s="224" t="e">
        <v>#DIV/0!</v>
      </c>
      <c r="AK212" s="224" t="e">
        <v>#DIV/0!</v>
      </c>
      <c r="AL212" s="224" t="e">
        <v>#DIV/0!</v>
      </c>
      <c r="AM212" s="224" t="e">
        <v>#DIV/0!</v>
      </c>
      <c r="AN212" s="1121" t="e">
        <v>#DIV/0!</v>
      </c>
      <c r="AO212" s="224" t="e">
        <f t="shared" si="16"/>
        <v>#DIV/0!</v>
      </c>
      <c r="AP212" s="1124">
        <v>0.1</v>
      </c>
      <c r="AQ212" s="1124">
        <f t="shared" si="18"/>
        <v>0.40760111439866603</v>
      </c>
      <c r="AR212" s="1124">
        <v>20</v>
      </c>
      <c r="AS212" s="1124" t="e">
        <f t="shared" si="15"/>
        <v>#DIV/0!</v>
      </c>
      <c r="AT212" s="224" t="e">
        <f t="shared" si="17"/>
        <v>#DIV/0!</v>
      </c>
    </row>
    <row r="213" spans="1:46">
      <c r="A213" s="1119">
        <v>2025</v>
      </c>
      <c r="D213" s="1108" t="s">
        <v>1868</v>
      </c>
      <c r="E213" s="224" t="s">
        <v>1920</v>
      </c>
      <c r="G213" s="224" t="e">
        <v>#DIV/0!</v>
      </c>
      <c r="H213" s="224" t="e">
        <v>#DIV/0!</v>
      </c>
      <c r="I213" s="224" t="e">
        <v>#DIV/0!</v>
      </c>
      <c r="J213" s="224" t="e">
        <v>#DIV/0!</v>
      </c>
      <c r="K213" s="224" t="e">
        <v>#DIV/0!</v>
      </c>
      <c r="L213" s="224" t="e">
        <v>#DIV/0!</v>
      </c>
      <c r="M213" s="224" t="e">
        <v>#DIV/0!</v>
      </c>
      <c r="N213" s="224" t="e">
        <v>#DIV/0!</v>
      </c>
      <c r="O213" s="224" t="e">
        <v>#DIV/0!</v>
      </c>
      <c r="P213" s="224" t="e">
        <v>#DIV/0!</v>
      </c>
      <c r="Q213" s="224" t="e">
        <v>#DIV/0!</v>
      </c>
      <c r="R213" s="224" t="e">
        <v>#DIV/0!</v>
      </c>
      <c r="S213" s="224" t="e">
        <v>#DIV/0!</v>
      </c>
      <c r="T213" s="224" t="e">
        <v>#DIV/0!</v>
      </c>
      <c r="U213" s="224" t="e">
        <v>#DIV/0!</v>
      </c>
      <c r="V213" s="224" t="e">
        <v>#DIV/0!</v>
      </c>
      <c r="W213" s="224" t="e">
        <v>#DIV/0!</v>
      </c>
      <c r="X213" s="224" t="e">
        <v>#DIV/0!</v>
      </c>
      <c r="Y213" s="224" t="e">
        <v>#DIV/0!</v>
      </c>
      <c r="Z213" s="224" t="e">
        <v>#DIV/0!</v>
      </c>
      <c r="AA213" s="224" t="e">
        <v>#DIV/0!</v>
      </c>
      <c r="AB213" s="224" t="e">
        <v>#DIV/0!</v>
      </c>
      <c r="AC213" s="224" t="e">
        <v>#DIV/0!</v>
      </c>
      <c r="AD213" s="1121" t="e">
        <v>#DIV/0!</v>
      </c>
      <c r="AE213" s="224" t="e">
        <v>#DIV/0!</v>
      </c>
      <c r="AF213" s="224" t="e">
        <v>#DIV/0!</v>
      </c>
      <c r="AG213" s="224" t="e">
        <v>#DIV/0!</v>
      </c>
      <c r="AH213" s="224" t="e">
        <v>#DIV/0!</v>
      </c>
      <c r="AI213" s="224" t="e">
        <v>#DIV/0!</v>
      </c>
      <c r="AJ213" s="224" t="e">
        <v>#DIV/0!</v>
      </c>
      <c r="AK213" s="224" t="e">
        <v>#DIV/0!</v>
      </c>
      <c r="AL213" s="224" t="e">
        <v>#DIV/0!</v>
      </c>
      <c r="AM213" s="224" t="e">
        <v>#DIV/0!</v>
      </c>
      <c r="AN213" s="1121" t="e">
        <v>#DIV/0!</v>
      </c>
      <c r="AO213" s="224" t="e">
        <f t="shared" si="16"/>
        <v>#DIV/0!</v>
      </c>
      <c r="AP213" s="1124">
        <v>0.1</v>
      </c>
      <c r="AQ213" s="1124">
        <f t="shared" si="18"/>
        <v>0.40760111439866603</v>
      </c>
      <c r="AR213" s="1124">
        <v>20</v>
      </c>
      <c r="AS213" s="1124" t="e">
        <f t="shared" si="15"/>
        <v>#DIV/0!</v>
      </c>
      <c r="AT213" s="224" t="e">
        <f t="shared" si="17"/>
        <v>#DIV/0!</v>
      </c>
    </row>
    <row r="214" spans="1:46">
      <c r="A214" s="1119">
        <v>2030</v>
      </c>
      <c r="D214" s="1108" t="s">
        <v>1868</v>
      </c>
      <c r="E214" s="224" t="s">
        <v>1920</v>
      </c>
      <c r="G214" s="224" t="e">
        <v>#DIV/0!</v>
      </c>
      <c r="H214" s="224" t="e">
        <v>#DIV/0!</v>
      </c>
      <c r="I214" s="224" t="e">
        <v>#DIV/0!</v>
      </c>
      <c r="J214" s="224" t="e">
        <v>#DIV/0!</v>
      </c>
      <c r="K214" s="224" t="e">
        <v>#DIV/0!</v>
      </c>
      <c r="L214" s="224" t="e">
        <v>#DIV/0!</v>
      </c>
      <c r="M214" s="224" t="e">
        <v>#DIV/0!</v>
      </c>
      <c r="N214" s="224" t="e">
        <v>#DIV/0!</v>
      </c>
      <c r="O214" s="224" t="e">
        <v>#DIV/0!</v>
      </c>
      <c r="P214" s="224" t="e">
        <v>#DIV/0!</v>
      </c>
      <c r="Q214" s="224" t="e">
        <v>#DIV/0!</v>
      </c>
      <c r="R214" s="224" t="e">
        <v>#DIV/0!</v>
      </c>
      <c r="S214" s="224" t="e">
        <v>#DIV/0!</v>
      </c>
      <c r="T214" s="224" t="e">
        <v>#DIV/0!</v>
      </c>
      <c r="U214" s="224" t="e">
        <v>#DIV/0!</v>
      </c>
      <c r="V214" s="224" t="e">
        <v>#DIV/0!</v>
      </c>
      <c r="W214" s="224" t="e">
        <v>#DIV/0!</v>
      </c>
      <c r="X214" s="224" t="e">
        <v>#DIV/0!</v>
      </c>
      <c r="Y214" s="224" t="e">
        <v>#DIV/0!</v>
      </c>
      <c r="Z214" s="224" t="e">
        <v>#DIV/0!</v>
      </c>
      <c r="AA214" s="224" t="e">
        <v>#DIV/0!</v>
      </c>
      <c r="AB214" s="224" t="e">
        <v>#DIV/0!</v>
      </c>
      <c r="AC214" s="224" t="e">
        <v>#DIV/0!</v>
      </c>
      <c r="AD214" s="1121" t="e">
        <v>#DIV/0!</v>
      </c>
      <c r="AE214" s="224" t="e">
        <v>#DIV/0!</v>
      </c>
      <c r="AF214" s="224" t="e">
        <v>#DIV/0!</v>
      </c>
      <c r="AG214" s="224" t="e">
        <v>#DIV/0!</v>
      </c>
      <c r="AH214" s="224" t="e">
        <v>#DIV/0!</v>
      </c>
      <c r="AI214" s="224" t="e">
        <v>#DIV/0!</v>
      </c>
      <c r="AJ214" s="224" t="e">
        <v>#DIV/0!</v>
      </c>
      <c r="AK214" s="224" t="e">
        <v>#DIV/0!</v>
      </c>
      <c r="AL214" s="224" t="e">
        <v>#DIV/0!</v>
      </c>
      <c r="AM214" s="224" t="e">
        <v>#DIV/0!</v>
      </c>
      <c r="AN214" s="1121" t="e">
        <v>#DIV/0!</v>
      </c>
      <c r="AO214" s="224" t="e">
        <f t="shared" si="16"/>
        <v>#DIV/0!</v>
      </c>
      <c r="AP214" s="1124">
        <v>0.1</v>
      </c>
      <c r="AQ214" s="1124">
        <f t="shared" si="18"/>
        <v>0.40760111439866603</v>
      </c>
      <c r="AR214" s="1124">
        <v>20</v>
      </c>
      <c r="AS214" s="1124" t="e">
        <f t="shared" si="15"/>
        <v>#DIV/0!</v>
      </c>
      <c r="AT214" s="224" t="e">
        <f t="shared" si="17"/>
        <v>#DIV/0!</v>
      </c>
    </row>
    <row r="215" spans="1:46">
      <c r="A215" s="1119">
        <v>2035</v>
      </c>
      <c r="D215" s="1108" t="s">
        <v>1868</v>
      </c>
      <c r="E215" s="224" t="s">
        <v>1920</v>
      </c>
      <c r="G215" s="224" t="e">
        <v>#DIV/0!</v>
      </c>
      <c r="H215" s="224" t="e">
        <v>#DIV/0!</v>
      </c>
      <c r="I215" s="224" t="e">
        <v>#DIV/0!</v>
      </c>
      <c r="J215" s="224" t="e">
        <v>#DIV/0!</v>
      </c>
      <c r="K215" s="224" t="e">
        <v>#DIV/0!</v>
      </c>
      <c r="L215" s="224" t="e">
        <v>#DIV/0!</v>
      </c>
      <c r="M215" s="224" t="e">
        <v>#DIV/0!</v>
      </c>
      <c r="N215" s="224" t="e">
        <v>#DIV/0!</v>
      </c>
      <c r="O215" s="224" t="e">
        <v>#DIV/0!</v>
      </c>
      <c r="P215" s="224" t="e">
        <v>#DIV/0!</v>
      </c>
      <c r="Q215" s="224" t="e">
        <v>#DIV/0!</v>
      </c>
      <c r="R215" s="224" t="e">
        <v>#DIV/0!</v>
      </c>
      <c r="S215" s="224" t="e">
        <v>#DIV/0!</v>
      </c>
      <c r="T215" s="224" t="e">
        <v>#DIV/0!</v>
      </c>
      <c r="U215" s="224" t="e">
        <v>#DIV/0!</v>
      </c>
      <c r="V215" s="224" t="e">
        <v>#DIV/0!</v>
      </c>
      <c r="W215" s="224" t="e">
        <v>#DIV/0!</v>
      </c>
      <c r="X215" s="224" t="e">
        <v>#DIV/0!</v>
      </c>
      <c r="Y215" s="224" t="e">
        <v>#DIV/0!</v>
      </c>
      <c r="Z215" s="224" t="e">
        <v>#DIV/0!</v>
      </c>
      <c r="AA215" s="224" t="e">
        <v>#DIV/0!</v>
      </c>
      <c r="AB215" s="224" t="e">
        <v>#DIV/0!</v>
      </c>
      <c r="AC215" s="224" t="e">
        <v>#DIV/0!</v>
      </c>
      <c r="AD215" s="1121" t="e">
        <v>#DIV/0!</v>
      </c>
      <c r="AE215" s="224" t="e">
        <v>#DIV/0!</v>
      </c>
      <c r="AF215" s="224" t="e">
        <v>#DIV/0!</v>
      </c>
      <c r="AG215" s="224" t="e">
        <v>#DIV/0!</v>
      </c>
      <c r="AH215" s="224" t="e">
        <v>#DIV/0!</v>
      </c>
      <c r="AI215" s="224" t="e">
        <v>#DIV/0!</v>
      </c>
      <c r="AJ215" s="224" t="e">
        <v>#DIV/0!</v>
      </c>
      <c r="AK215" s="224" t="e">
        <v>#DIV/0!</v>
      </c>
      <c r="AL215" s="224" t="e">
        <v>#DIV/0!</v>
      </c>
      <c r="AM215" s="224" t="e">
        <v>#DIV/0!</v>
      </c>
      <c r="AN215" s="1121" t="e">
        <v>#DIV/0!</v>
      </c>
      <c r="AO215" s="224" t="e">
        <f t="shared" si="16"/>
        <v>#DIV/0!</v>
      </c>
      <c r="AP215" s="1124">
        <v>0.1</v>
      </c>
      <c r="AQ215" s="1124">
        <f t="shared" si="18"/>
        <v>0.40760111439866603</v>
      </c>
      <c r="AR215" s="1124">
        <v>20</v>
      </c>
      <c r="AS215" s="1124" t="e">
        <f t="shared" si="15"/>
        <v>#DIV/0!</v>
      </c>
      <c r="AT215" s="224" t="e">
        <f t="shared" si="17"/>
        <v>#DIV/0!</v>
      </c>
    </row>
    <row r="216" spans="1:46">
      <c r="A216" s="1119">
        <v>2050</v>
      </c>
      <c r="D216" s="1108" t="s">
        <v>1868</v>
      </c>
      <c r="E216" s="224" t="s">
        <v>1920</v>
      </c>
      <c r="G216" s="224" t="e">
        <v>#DIV/0!</v>
      </c>
      <c r="H216" s="224" t="e">
        <v>#DIV/0!</v>
      </c>
      <c r="I216" s="224" t="e">
        <v>#DIV/0!</v>
      </c>
      <c r="J216" s="224" t="e">
        <v>#DIV/0!</v>
      </c>
      <c r="K216" s="224" t="e">
        <v>#DIV/0!</v>
      </c>
      <c r="L216" s="224" t="e">
        <v>#DIV/0!</v>
      </c>
      <c r="M216" s="224" t="e">
        <v>#DIV/0!</v>
      </c>
      <c r="N216" s="224" t="e">
        <v>#DIV/0!</v>
      </c>
      <c r="O216" s="224" t="e">
        <v>#DIV/0!</v>
      </c>
      <c r="P216" s="224" t="e">
        <v>#DIV/0!</v>
      </c>
      <c r="Q216" s="224" t="e">
        <v>#DIV/0!</v>
      </c>
      <c r="R216" s="224" t="e">
        <v>#DIV/0!</v>
      </c>
      <c r="S216" s="224" t="e">
        <v>#DIV/0!</v>
      </c>
      <c r="T216" s="224" t="e">
        <v>#DIV/0!</v>
      </c>
      <c r="U216" s="224" t="e">
        <v>#DIV/0!</v>
      </c>
      <c r="V216" s="224" t="e">
        <v>#DIV/0!</v>
      </c>
      <c r="W216" s="224" t="e">
        <v>#DIV/0!</v>
      </c>
      <c r="X216" s="224" t="e">
        <v>#DIV/0!</v>
      </c>
      <c r="Y216" s="224" t="e">
        <v>#DIV/0!</v>
      </c>
      <c r="Z216" s="224" t="e">
        <v>#DIV/0!</v>
      </c>
      <c r="AA216" s="224" t="e">
        <v>#DIV/0!</v>
      </c>
      <c r="AB216" s="224" t="e">
        <v>#DIV/0!</v>
      </c>
      <c r="AC216" s="224" t="e">
        <v>#DIV/0!</v>
      </c>
      <c r="AD216" s="1121" t="e">
        <v>#DIV/0!</v>
      </c>
      <c r="AE216" s="224" t="e">
        <v>#DIV/0!</v>
      </c>
      <c r="AF216" s="224" t="e">
        <v>#DIV/0!</v>
      </c>
      <c r="AG216" s="224" t="e">
        <v>#DIV/0!</v>
      </c>
      <c r="AH216" s="224" t="e">
        <v>#DIV/0!</v>
      </c>
      <c r="AI216" s="224" t="e">
        <v>#DIV/0!</v>
      </c>
      <c r="AJ216" s="224" t="e">
        <v>#DIV/0!</v>
      </c>
      <c r="AK216" s="224" t="e">
        <v>#DIV/0!</v>
      </c>
      <c r="AL216" s="224" t="e">
        <v>#DIV/0!</v>
      </c>
      <c r="AM216" s="224" t="e">
        <v>#DIV/0!</v>
      </c>
      <c r="AN216" s="1121" t="e">
        <v>#DIV/0!</v>
      </c>
      <c r="AO216" s="224" t="e">
        <f t="shared" si="16"/>
        <v>#DIV/0!</v>
      </c>
      <c r="AP216" s="1124">
        <v>0.1</v>
      </c>
      <c r="AQ216" s="1124">
        <f t="shared" si="18"/>
        <v>0.40760111439866603</v>
      </c>
      <c r="AR216" s="1124">
        <v>20</v>
      </c>
      <c r="AS216" s="1124" t="e">
        <f t="shared" si="15"/>
        <v>#DIV/0!</v>
      </c>
      <c r="AT216" s="224" t="e">
        <f t="shared" si="17"/>
        <v>#DIV/0!</v>
      </c>
    </row>
    <row r="217" spans="1:46">
      <c r="A217" s="1119">
        <v>2017</v>
      </c>
      <c r="D217" s="1108" t="s">
        <v>1868</v>
      </c>
      <c r="E217" s="224" t="s">
        <v>1921</v>
      </c>
      <c r="G217" s="224">
        <v>30691.178976530005</v>
      </c>
      <c r="H217" s="224">
        <v>9364</v>
      </c>
      <c r="I217" s="224">
        <v>1304.8019999999999</v>
      </c>
      <c r="J217" s="224">
        <v>0</v>
      </c>
      <c r="K217" s="224">
        <v>0</v>
      </c>
      <c r="L217" s="224">
        <v>0</v>
      </c>
      <c r="M217" s="224">
        <v>0</v>
      </c>
      <c r="N217" s="224">
        <v>0</v>
      </c>
      <c r="O217" s="224">
        <v>0</v>
      </c>
      <c r="P217" s="224">
        <v>0</v>
      </c>
      <c r="Q217" s="224">
        <v>0</v>
      </c>
      <c r="R217" s="224">
        <v>0</v>
      </c>
      <c r="S217" s="224">
        <v>2553.601292560098</v>
      </c>
      <c r="T217" s="224">
        <v>2328.6629084223073</v>
      </c>
      <c r="U217" s="224">
        <v>2663.2837217045339</v>
      </c>
      <c r="V217" s="224">
        <v>0</v>
      </c>
      <c r="W217" s="224">
        <v>485.91511020000002</v>
      </c>
      <c r="X217" s="224">
        <v>728.87266529999999</v>
      </c>
      <c r="Y217" s="224">
        <v>1304.8019999999999</v>
      </c>
      <c r="Z217" s="224">
        <v>0</v>
      </c>
      <c r="AA217" s="224">
        <v>33.912367763082315</v>
      </c>
      <c r="AB217" s="224">
        <v>30.925138226059854</v>
      </c>
      <c r="AC217" s="224">
        <v>35.368973727815856</v>
      </c>
      <c r="AD217" s="1121">
        <v>6.7746016405599576</v>
      </c>
      <c r="AE217" s="224">
        <v>0</v>
      </c>
      <c r="AF217" s="224">
        <v>21372.258227579998</v>
      </c>
      <c r="AG217" s="224">
        <v>742406.2419599999</v>
      </c>
      <c r="AH217" s="224">
        <v>0</v>
      </c>
      <c r="AI217" s="224">
        <v>90000</v>
      </c>
      <c r="AJ217" s="224">
        <v>0</v>
      </c>
      <c r="AK217" s="224">
        <v>745.98720000000003</v>
      </c>
      <c r="AL217" s="224">
        <v>0</v>
      </c>
      <c r="AM217" s="224">
        <v>0</v>
      </c>
      <c r="AN217" s="1121">
        <v>854524.48738757998</v>
      </c>
      <c r="AO217" s="224">
        <f t="shared" si="16"/>
        <v>0.89262151216017993</v>
      </c>
      <c r="AP217" s="1124">
        <v>0.1</v>
      </c>
      <c r="AQ217" s="1124">
        <f t="shared" si="18"/>
        <v>0.40760111439866603</v>
      </c>
      <c r="AR217" s="1124">
        <v>20</v>
      </c>
      <c r="AS217" s="1124">
        <f t="shared" si="15"/>
        <v>0.56569461843013169</v>
      </c>
      <c r="AT217" s="224">
        <f t="shared" si="17"/>
        <v>348305.13334012643</v>
      </c>
    </row>
    <row r="218" spans="1:46">
      <c r="A218" s="1122">
        <v>2020</v>
      </c>
      <c r="D218" s="1108" t="s">
        <v>1868</v>
      </c>
      <c r="E218" s="224" t="s">
        <v>1921</v>
      </c>
      <c r="G218" s="224" t="e">
        <v>#DIV/0!</v>
      </c>
      <c r="H218" s="224" t="e">
        <v>#DIV/0!</v>
      </c>
      <c r="I218" s="224" t="e">
        <v>#DIV/0!</v>
      </c>
      <c r="J218" s="224" t="e">
        <v>#DIV/0!</v>
      </c>
      <c r="K218" s="224" t="e">
        <v>#DIV/0!</v>
      </c>
      <c r="L218" s="224" t="e">
        <v>#DIV/0!</v>
      </c>
      <c r="M218" s="224" t="e">
        <v>#DIV/0!</v>
      </c>
      <c r="N218" s="224" t="e">
        <v>#DIV/0!</v>
      </c>
      <c r="O218" s="224" t="e">
        <v>#DIV/0!</v>
      </c>
      <c r="P218" s="224" t="e">
        <v>#DIV/0!</v>
      </c>
      <c r="Q218" s="224" t="e">
        <v>#DIV/0!</v>
      </c>
      <c r="R218" s="224" t="e">
        <v>#DIV/0!</v>
      </c>
      <c r="S218" s="224" t="e">
        <v>#DIV/0!</v>
      </c>
      <c r="T218" s="224" t="e">
        <v>#DIV/0!</v>
      </c>
      <c r="U218" s="224" t="e">
        <v>#DIV/0!</v>
      </c>
      <c r="V218" s="224" t="e">
        <v>#DIV/0!</v>
      </c>
      <c r="W218" s="224" t="e">
        <v>#DIV/0!</v>
      </c>
      <c r="X218" s="224" t="e">
        <v>#DIV/0!</v>
      </c>
      <c r="Y218" s="224" t="e">
        <v>#DIV/0!</v>
      </c>
      <c r="Z218" s="224" t="e">
        <v>#DIV/0!</v>
      </c>
      <c r="AA218" s="224" t="e">
        <v>#DIV/0!</v>
      </c>
      <c r="AB218" s="224" t="e">
        <v>#DIV/0!</v>
      </c>
      <c r="AC218" s="224" t="e">
        <v>#DIV/0!</v>
      </c>
      <c r="AD218" s="1121" t="e">
        <v>#DIV/0!</v>
      </c>
      <c r="AE218" s="224" t="e">
        <v>#DIV/0!</v>
      </c>
      <c r="AF218" s="224" t="e">
        <v>#DIV/0!</v>
      </c>
      <c r="AG218" s="224" t="e">
        <v>#DIV/0!</v>
      </c>
      <c r="AH218" s="224" t="e">
        <v>#DIV/0!</v>
      </c>
      <c r="AI218" s="224" t="e">
        <v>#DIV/0!</v>
      </c>
      <c r="AJ218" s="224" t="e">
        <v>#DIV/0!</v>
      </c>
      <c r="AK218" s="224" t="e">
        <v>#DIV/0!</v>
      </c>
      <c r="AL218" s="224" t="e">
        <v>#DIV/0!</v>
      </c>
      <c r="AM218" s="224" t="e">
        <v>#DIV/0!</v>
      </c>
      <c r="AN218" s="1121" t="e">
        <v>#DIV/0!</v>
      </c>
      <c r="AO218" s="224" t="e">
        <f t="shared" si="16"/>
        <v>#DIV/0!</v>
      </c>
      <c r="AP218" s="1124">
        <v>0.1</v>
      </c>
      <c r="AQ218" s="1124">
        <f t="shared" si="18"/>
        <v>0.40760111439866603</v>
      </c>
      <c r="AR218" s="1124">
        <v>20</v>
      </c>
      <c r="AS218" s="1124" t="e">
        <f t="shared" si="15"/>
        <v>#DIV/0!</v>
      </c>
      <c r="AT218" s="224" t="e">
        <f t="shared" si="17"/>
        <v>#DIV/0!</v>
      </c>
    </row>
    <row r="219" spans="1:46">
      <c r="A219" s="1119">
        <v>2025</v>
      </c>
      <c r="D219" s="1108" t="s">
        <v>1868</v>
      </c>
      <c r="E219" s="224" t="s">
        <v>1921</v>
      </c>
      <c r="G219" s="224" t="e">
        <v>#DIV/0!</v>
      </c>
      <c r="H219" s="224" t="e">
        <v>#DIV/0!</v>
      </c>
      <c r="I219" s="224" t="e">
        <v>#DIV/0!</v>
      </c>
      <c r="J219" s="224" t="e">
        <v>#DIV/0!</v>
      </c>
      <c r="K219" s="224" t="e">
        <v>#DIV/0!</v>
      </c>
      <c r="L219" s="224" t="e">
        <v>#DIV/0!</v>
      </c>
      <c r="M219" s="224" t="e">
        <v>#DIV/0!</v>
      </c>
      <c r="N219" s="224" t="e">
        <v>#DIV/0!</v>
      </c>
      <c r="O219" s="224" t="e">
        <v>#DIV/0!</v>
      </c>
      <c r="P219" s="224" t="e">
        <v>#DIV/0!</v>
      </c>
      <c r="Q219" s="224" t="e">
        <v>#DIV/0!</v>
      </c>
      <c r="R219" s="224" t="e">
        <v>#DIV/0!</v>
      </c>
      <c r="S219" s="224" t="e">
        <v>#DIV/0!</v>
      </c>
      <c r="T219" s="224" t="e">
        <v>#DIV/0!</v>
      </c>
      <c r="U219" s="224" t="e">
        <v>#DIV/0!</v>
      </c>
      <c r="V219" s="224" t="e">
        <v>#DIV/0!</v>
      </c>
      <c r="W219" s="224" t="e">
        <v>#DIV/0!</v>
      </c>
      <c r="X219" s="224" t="e">
        <v>#DIV/0!</v>
      </c>
      <c r="Y219" s="224" t="e">
        <v>#DIV/0!</v>
      </c>
      <c r="Z219" s="224" t="e">
        <v>#DIV/0!</v>
      </c>
      <c r="AA219" s="224" t="e">
        <v>#DIV/0!</v>
      </c>
      <c r="AB219" s="224" t="e">
        <v>#DIV/0!</v>
      </c>
      <c r="AC219" s="224" t="e">
        <v>#DIV/0!</v>
      </c>
      <c r="AD219" s="1121" t="e">
        <v>#DIV/0!</v>
      </c>
      <c r="AE219" s="224" t="e">
        <v>#DIV/0!</v>
      </c>
      <c r="AF219" s="224" t="e">
        <v>#DIV/0!</v>
      </c>
      <c r="AG219" s="224" t="e">
        <v>#DIV/0!</v>
      </c>
      <c r="AH219" s="224" t="e">
        <v>#DIV/0!</v>
      </c>
      <c r="AI219" s="224" t="e">
        <v>#DIV/0!</v>
      </c>
      <c r="AJ219" s="224" t="e">
        <v>#DIV/0!</v>
      </c>
      <c r="AK219" s="224" t="e">
        <v>#DIV/0!</v>
      </c>
      <c r="AL219" s="224" t="e">
        <v>#DIV/0!</v>
      </c>
      <c r="AM219" s="224" t="e">
        <v>#DIV/0!</v>
      </c>
      <c r="AN219" s="1121" t="e">
        <v>#DIV/0!</v>
      </c>
      <c r="AO219" s="224" t="e">
        <f t="shared" si="16"/>
        <v>#DIV/0!</v>
      </c>
      <c r="AP219" s="1124">
        <v>0.1</v>
      </c>
      <c r="AQ219" s="1124">
        <f t="shared" si="18"/>
        <v>0.40760111439866603</v>
      </c>
      <c r="AR219" s="1124">
        <v>20</v>
      </c>
      <c r="AS219" s="1124" t="e">
        <f t="shared" si="15"/>
        <v>#DIV/0!</v>
      </c>
      <c r="AT219" s="224" t="e">
        <f t="shared" si="17"/>
        <v>#DIV/0!</v>
      </c>
    </row>
    <row r="220" spans="1:46">
      <c r="A220" s="1119">
        <v>2030</v>
      </c>
      <c r="D220" s="1108" t="s">
        <v>1868</v>
      </c>
      <c r="E220" s="224" t="s">
        <v>1921</v>
      </c>
      <c r="G220" s="224" t="e">
        <v>#DIV/0!</v>
      </c>
      <c r="H220" s="224" t="e">
        <v>#DIV/0!</v>
      </c>
      <c r="I220" s="224" t="e">
        <v>#DIV/0!</v>
      </c>
      <c r="J220" s="224" t="e">
        <v>#DIV/0!</v>
      </c>
      <c r="K220" s="224" t="e">
        <v>#DIV/0!</v>
      </c>
      <c r="L220" s="224" t="e">
        <v>#DIV/0!</v>
      </c>
      <c r="M220" s="224" t="e">
        <v>#DIV/0!</v>
      </c>
      <c r="N220" s="224" t="e">
        <v>#DIV/0!</v>
      </c>
      <c r="O220" s="224" t="e">
        <v>#DIV/0!</v>
      </c>
      <c r="P220" s="224" t="e">
        <v>#DIV/0!</v>
      </c>
      <c r="Q220" s="224" t="e">
        <v>#DIV/0!</v>
      </c>
      <c r="R220" s="224" t="e">
        <v>#DIV/0!</v>
      </c>
      <c r="S220" s="224" t="e">
        <v>#DIV/0!</v>
      </c>
      <c r="T220" s="224" t="e">
        <v>#DIV/0!</v>
      </c>
      <c r="U220" s="224" t="e">
        <v>#DIV/0!</v>
      </c>
      <c r="V220" s="224" t="e">
        <v>#DIV/0!</v>
      </c>
      <c r="W220" s="224" t="e">
        <v>#DIV/0!</v>
      </c>
      <c r="X220" s="224" t="e">
        <v>#DIV/0!</v>
      </c>
      <c r="Y220" s="224" t="e">
        <v>#DIV/0!</v>
      </c>
      <c r="Z220" s="224" t="e">
        <v>#DIV/0!</v>
      </c>
      <c r="AA220" s="224" t="e">
        <v>#DIV/0!</v>
      </c>
      <c r="AB220" s="224" t="e">
        <v>#DIV/0!</v>
      </c>
      <c r="AC220" s="224" t="e">
        <v>#DIV/0!</v>
      </c>
      <c r="AD220" s="1121" t="e">
        <v>#DIV/0!</v>
      </c>
      <c r="AE220" s="224" t="e">
        <v>#DIV/0!</v>
      </c>
      <c r="AF220" s="224" t="e">
        <v>#DIV/0!</v>
      </c>
      <c r="AG220" s="224" t="e">
        <v>#DIV/0!</v>
      </c>
      <c r="AH220" s="224" t="e">
        <v>#DIV/0!</v>
      </c>
      <c r="AI220" s="224" t="e">
        <v>#DIV/0!</v>
      </c>
      <c r="AJ220" s="224" t="e">
        <v>#DIV/0!</v>
      </c>
      <c r="AK220" s="224" t="e">
        <v>#DIV/0!</v>
      </c>
      <c r="AL220" s="224" t="e">
        <v>#DIV/0!</v>
      </c>
      <c r="AM220" s="224" t="e">
        <v>#DIV/0!</v>
      </c>
      <c r="AN220" s="1121" t="e">
        <v>#DIV/0!</v>
      </c>
      <c r="AO220" s="224" t="e">
        <f t="shared" si="16"/>
        <v>#DIV/0!</v>
      </c>
      <c r="AP220" s="1124">
        <v>0.1</v>
      </c>
      <c r="AQ220" s="1124">
        <f t="shared" si="18"/>
        <v>0.40760111439866603</v>
      </c>
      <c r="AR220" s="1124">
        <v>20</v>
      </c>
      <c r="AS220" s="1124" t="e">
        <f t="shared" si="15"/>
        <v>#DIV/0!</v>
      </c>
      <c r="AT220" s="224" t="e">
        <f t="shared" si="17"/>
        <v>#DIV/0!</v>
      </c>
    </row>
    <row r="221" spans="1:46">
      <c r="A221" s="1119">
        <v>2035</v>
      </c>
      <c r="D221" s="1108" t="s">
        <v>1868</v>
      </c>
      <c r="E221" s="224" t="s">
        <v>1921</v>
      </c>
      <c r="G221" s="224" t="e">
        <v>#DIV/0!</v>
      </c>
      <c r="H221" s="224" t="e">
        <v>#DIV/0!</v>
      </c>
      <c r="I221" s="224" t="e">
        <v>#DIV/0!</v>
      </c>
      <c r="J221" s="224" t="e">
        <v>#DIV/0!</v>
      </c>
      <c r="K221" s="224" t="e">
        <v>#DIV/0!</v>
      </c>
      <c r="L221" s="224" t="e">
        <v>#DIV/0!</v>
      </c>
      <c r="M221" s="224" t="e">
        <v>#DIV/0!</v>
      </c>
      <c r="N221" s="224" t="e">
        <v>#DIV/0!</v>
      </c>
      <c r="O221" s="224" t="e">
        <v>#DIV/0!</v>
      </c>
      <c r="P221" s="224" t="e">
        <v>#DIV/0!</v>
      </c>
      <c r="Q221" s="224" t="e">
        <v>#DIV/0!</v>
      </c>
      <c r="R221" s="224" t="e">
        <v>#DIV/0!</v>
      </c>
      <c r="S221" s="224" t="e">
        <v>#DIV/0!</v>
      </c>
      <c r="T221" s="224" t="e">
        <v>#DIV/0!</v>
      </c>
      <c r="U221" s="224" t="e">
        <v>#DIV/0!</v>
      </c>
      <c r="V221" s="224" t="e">
        <v>#DIV/0!</v>
      </c>
      <c r="W221" s="224" t="e">
        <v>#DIV/0!</v>
      </c>
      <c r="X221" s="224" t="e">
        <v>#DIV/0!</v>
      </c>
      <c r="Y221" s="224" t="e">
        <v>#DIV/0!</v>
      </c>
      <c r="Z221" s="224" t="e">
        <v>#DIV/0!</v>
      </c>
      <c r="AA221" s="224" t="e">
        <v>#DIV/0!</v>
      </c>
      <c r="AB221" s="224" t="e">
        <v>#DIV/0!</v>
      </c>
      <c r="AC221" s="224" t="e">
        <v>#DIV/0!</v>
      </c>
      <c r="AD221" s="1121" t="e">
        <v>#DIV/0!</v>
      </c>
      <c r="AE221" s="224" t="e">
        <v>#DIV/0!</v>
      </c>
      <c r="AF221" s="224" t="e">
        <v>#DIV/0!</v>
      </c>
      <c r="AG221" s="224" t="e">
        <v>#DIV/0!</v>
      </c>
      <c r="AH221" s="224" t="e">
        <v>#DIV/0!</v>
      </c>
      <c r="AI221" s="224" t="e">
        <v>#DIV/0!</v>
      </c>
      <c r="AJ221" s="224" t="e">
        <v>#DIV/0!</v>
      </c>
      <c r="AK221" s="224" t="e">
        <v>#DIV/0!</v>
      </c>
      <c r="AL221" s="224" t="e">
        <v>#DIV/0!</v>
      </c>
      <c r="AM221" s="224" t="e">
        <v>#DIV/0!</v>
      </c>
      <c r="AN221" s="1121" t="e">
        <v>#DIV/0!</v>
      </c>
      <c r="AO221" s="224" t="e">
        <f t="shared" si="16"/>
        <v>#DIV/0!</v>
      </c>
      <c r="AP221" s="1124">
        <v>0.1</v>
      </c>
      <c r="AQ221" s="1124">
        <f t="shared" si="18"/>
        <v>0.40760111439866603</v>
      </c>
      <c r="AR221" s="1124">
        <v>20</v>
      </c>
      <c r="AS221" s="1124" t="e">
        <f t="shared" si="15"/>
        <v>#DIV/0!</v>
      </c>
      <c r="AT221" s="224" t="e">
        <f t="shared" si="17"/>
        <v>#DIV/0!</v>
      </c>
    </row>
    <row r="222" spans="1:46">
      <c r="A222" s="1119">
        <v>2050</v>
      </c>
      <c r="D222" s="1108" t="s">
        <v>1868</v>
      </c>
      <c r="E222" s="224" t="s">
        <v>1921</v>
      </c>
      <c r="G222" s="224" t="e">
        <v>#DIV/0!</v>
      </c>
      <c r="H222" s="224" t="e">
        <v>#DIV/0!</v>
      </c>
      <c r="I222" s="224" t="e">
        <v>#DIV/0!</v>
      </c>
      <c r="J222" s="224" t="e">
        <v>#DIV/0!</v>
      </c>
      <c r="K222" s="224" t="e">
        <v>#DIV/0!</v>
      </c>
      <c r="L222" s="224" t="e">
        <v>#DIV/0!</v>
      </c>
      <c r="M222" s="224" t="e">
        <v>#DIV/0!</v>
      </c>
      <c r="N222" s="224" t="e">
        <v>#DIV/0!</v>
      </c>
      <c r="O222" s="224" t="e">
        <v>#DIV/0!</v>
      </c>
      <c r="P222" s="224" t="e">
        <v>#DIV/0!</v>
      </c>
      <c r="Q222" s="224" t="e">
        <v>#DIV/0!</v>
      </c>
      <c r="R222" s="224" t="e">
        <v>#DIV/0!</v>
      </c>
      <c r="S222" s="224" t="e">
        <v>#DIV/0!</v>
      </c>
      <c r="T222" s="224" t="e">
        <v>#DIV/0!</v>
      </c>
      <c r="U222" s="224" t="e">
        <v>#DIV/0!</v>
      </c>
      <c r="V222" s="224" t="e">
        <v>#DIV/0!</v>
      </c>
      <c r="W222" s="224" t="e">
        <v>#DIV/0!</v>
      </c>
      <c r="X222" s="224" t="e">
        <v>#DIV/0!</v>
      </c>
      <c r="Y222" s="224" t="e">
        <v>#DIV/0!</v>
      </c>
      <c r="Z222" s="224" t="e">
        <v>#DIV/0!</v>
      </c>
      <c r="AA222" s="224" t="e">
        <v>#DIV/0!</v>
      </c>
      <c r="AB222" s="224" t="e">
        <v>#DIV/0!</v>
      </c>
      <c r="AC222" s="224" t="e">
        <v>#DIV/0!</v>
      </c>
      <c r="AD222" s="1121" t="e">
        <v>#DIV/0!</v>
      </c>
      <c r="AE222" s="224" t="e">
        <v>#DIV/0!</v>
      </c>
      <c r="AF222" s="224" t="e">
        <v>#DIV/0!</v>
      </c>
      <c r="AG222" s="224" t="e">
        <v>#DIV/0!</v>
      </c>
      <c r="AH222" s="224" t="e">
        <v>#DIV/0!</v>
      </c>
      <c r="AI222" s="224" t="e">
        <v>#DIV/0!</v>
      </c>
      <c r="AJ222" s="224" t="e">
        <v>#DIV/0!</v>
      </c>
      <c r="AK222" s="224" t="e">
        <v>#DIV/0!</v>
      </c>
      <c r="AL222" s="224" t="e">
        <v>#DIV/0!</v>
      </c>
      <c r="AM222" s="224" t="e">
        <v>#DIV/0!</v>
      </c>
      <c r="AN222" s="1121" t="e">
        <v>#DIV/0!</v>
      </c>
      <c r="AO222" s="224" t="e">
        <f t="shared" si="16"/>
        <v>#DIV/0!</v>
      </c>
      <c r="AP222" s="1124">
        <v>0.1</v>
      </c>
      <c r="AQ222" s="1124">
        <f t="shared" si="18"/>
        <v>0.40760111439866603</v>
      </c>
      <c r="AR222" s="1124">
        <v>20</v>
      </c>
      <c r="AS222" s="1124" t="e">
        <f t="shared" si="15"/>
        <v>#DIV/0!</v>
      </c>
      <c r="AT222" s="224" t="e">
        <f t="shared" si="17"/>
        <v>#DIV/0!</v>
      </c>
    </row>
    <row r="223" spans="1:46">
      <c r="A223" s="1119">
        <v>2017</v>
      </c>
      <c r="D223" s="1108" t="s">
        <v>1868</v>
      </c>
      <c r="E223" s="224" t="s">
        <v>1922</v>
      </c>
      <c r="G223" s="224">
        <v>25534.86775654148</v>
      </c>
      <c r="H223" s="224">
        <v>9364</v>
      </c>
      <c r="I223" s="224">
        <v>2.5660800000000004</v>
      </c>
      <c r="J223" s="224">
        <v>0.1302780109415648</v>
      </c>
      <c r="K223" s="224">
        <v>9.9214558371791869E-2</v>
      </c>
      <c r="L223" s="224">
        <v>0.11887603990438811</v>
      </c>
      <c r="M223" s="224">
        <v>0</v>
      </c>
      <c r="N223" s="224">
        <v>0</v>
      </c>
      <c r="O223" s="224">
        <v>0</v>
      </c>
      <c r="P223" s="224">
        <v>0</v>
      </c>
      <c r="Q223" s="224">
        <v>0</v>
      </c>
      <c r="R223" s="224">
        <v>0</v>
      </c>
      <c r="S223" s="224">
        <v>0</v>
      </c>
      <c r="T223" s="224">
        <v>0</v>
      </c>
      <c r="U223" s="224">
        <v>0</v>
      </c>
      <c r="V223" s="224">
        <v>0</v>
      </c>
      <c r="W223" s="224">
        <v>475.59541869999998</v>
      </c>
      <c r="X223" s="224">
        <v>79.876076555023914</v>
      </c>
      <c r="Y223" s="224">
        <v>2.5660800000000004</v>
      </c>
      <c r="Z223" s="224">
        <v>307.75849840000001</v>
      </c>
      <c r="AA223" s="224">
        <v>65.139005470782394</v>
      </c>
      <c r="AB223" s="224">
        <v>49.607279185895933</v>
      </c>
      <c r="AC223" s="224">
        <v>59.438019952194054</v>
      </c>
      <c r="AD223" s="1121">
        <v>11.352815462075323</v>
      </c>
      <c r="AE223" s="224">
        <v>0</v>
      </c>
      <c r="AF223" s="224">
        <v>20929.543462230002</v>
      </c>
      <c r="AG223" s="224">
        <v>3482.5969377990432</v>
      </c>
      <c r="AH223" s="224">
        <v>0</v>
      </c>
      <c r="AI223" s="224">
        <v>90000</v>
      </c>
      <c r="AJ223" s="224">
        <v>0</v>
      </c>
      <c r="AK223" s="224">
        <v>745.98720000000003</v>
      </c>
      <c r="AL223" s="224">
        <v>147601.26</v>
      </c>
      <c r="AM223" s="224">
        <v>58917.277320000001</v>
      </c>
      <c r="AN223" s="1121">
        <v>321676.66492002906</v>
      </c>
      <c r="AO223" s="224">
        <f t="shared" si="16"/>
        <v>1.4958469652830444</v>
      </c>
      <c r="AP223" s="1124">
        <v>0.1</v>
      </c>
      <c r="AQ223" s="1124">
        <f t="shared" si="18"/>
        <v>0.40760111439866603</v>
      </c>
      <c r="AR223" s="1124">
        <v>20</v>
      </c>
      <c r="AS223" s="1124">
        <f t="shared" si="15"/>
        <v>0.94798586716540389</v>
      </c>
      <c r="AT223" s="224">
        <f t="shared" si="17"/>
        <v>131115.76709745012</v>
      </c>
    </row>
    <row r="224" spans="1:46">
      <c r="A224" s="1122">
        <v>2020</v>
      </c>
      <c r="D224" s="1108" t="s">
        <v>1868</v>
      </c>
      <c r="E224" s="224" t="s">
        <v>1922</v>
      </c>
      <c r="G224" s="224" t="e">
        <v>#DIV/0!</v>
      </c>
      <c r="H224" s="224" t="e">
        <v>#DIV/0!</v>
      </c>
      <c r="I224" s="224" t="e">
        <v>#DIV/0!</v>
      </c>
      <c r="J224" s="224" t="e">
        <v>#DIV/0!</v>
      </c>
      <c r="K224" s="224" t="e">
        <v>#DIV/0!</v>
      </c>
      <c r="L224" s="224" t="e">
        <v>#DIV/0!</v>
      </c>
      <c r="M224" s="224" t="e">
        <v>#DIV/0!</v>
      </c>
      <c r="N224" s="224" t="e">
        <v>#DIV/0!</v>
      </c>
      <c r="O224" s="224" t="e">
        <v>#DIV/0!</v>
      </c>
      <c r="P224" s="224" t="e">
        <v>#DIV/0!</v>
      </c>
      <c r="Q224" s="224" t="e">
        <v>#DIV/0!</v>
      </c>
      <c r="R224" s="224" t="e">
        <v>#DIV/0!</v>
      </c>
      <c r="S224" s="224" t="e">
        <v>#DIV/0!</v>
      </c>
      <c r="T224" s="224" t="e">
        <v>#DIV/0!</v>
      </c>
      <c r="U224" s="224" t="e">
        <v>#DIV/0!</v>
      </c>
      <c r="V224" s="224" t="e">
        <v>#DIV/0!</v>
      </c>
      <c r="W224" s="224" t="e">
        <v>#DIV/0!</v>
      </c>
      <c r="X224" s="224" t="e">
        <v>#DIV/0!</v>
      </c>
      <c r="Y224" s="224" t="e">
        <v>#DIV/0!</v>
      </c>
      <c r="Z224" s="224" t="e">
        <v>#DIV/0!</v>
      </c>
      <c r="AA224" s="224" t="e">
        <v>#DIV/0!</v>
      </c>
      <c r="AB224" s="224" t="e">
        <v>#DIV/0!</v>
      </c>
      <c r="AC224" s="224" t="e">
        <v>#DIV/0!</v>
      </c>
      <c r="AD224" s="1121" t="e">
        <v>#DIV/0!</v>
      </c>
      <c r="AE224" s="224" t="e">
        <v>#DIV/0!</v>
      </c>
      <c r="AF224" s="224" t="e">
        <v>#DIV/0!</v>
      </c>
      <c r="AG224" s="224" t="e">
        <v>#DIV/0!</v>
      </c>
      <c r="AH224" s="224" t="e">
        <v>#DIV/0!</v>
      </c>
      <c r="AI224" s="224" t="e">
        <v>#DIV/0!</v>
      </c>
      <c r="AJ224" s="224" t="e">
        <v>#DIV/0!</v>
      </c>
      <c r="AK224" s="224" t="e">
        <v>#DIV/0!</v>
      </c>
      <c r="AL224" s="224" t="e">
        <v>#DIV/0!</v>
      </c>
      <c r="AM224" s="224" t="e">
        <v>#DIV/0!</v>
      </c>
      <c r="AN224" s="1121" t="e">
        <v>#DIV/0!</v>
      </c>
      <c r="AO224" s="224" t="e">
        <f t="shared" si="16"/>
        <v>#DIV/0!</v>
      </c>
      <c r="AP224" s="1124">
        <v>0.1</v>
      </c>
      <c r="AQ224" s="1124">
        <f t="shared" si="18"/>
        <v>0.40760111439866603</v>
      </c>
      <c r="AR224" s="1124">
        <v>20</v>
      </c>
      <c r="AS224" s="1124" t="e">
        <f t="shared" si="15"/>
        <v>#DIV/0!</v>
      </c>
      <c r="AT224" s="224" t="e">
        <f t="shared" si="17"/>
        <v>#DIV/0!</v>
      </c>
    </row>
    <row r="225" spans="1:46">
      <c r="A225" s="1119">
        <v>2025</v>
      </c>
      <c r="D225" s="1108" t="s">
        <v>1868</v>
      </c>
      <c r="E225" s="224" t="s">
        <v>1922</v>
      </c>
      <c r="G225" s="224" t="e">
        <v>#DIV/0!</v>
      </c>
      <c r="H225" s="224" t="e">
        <v>#DIV/0!</v>
      </c>
      <c r="I225" s="224" t="e">
        <v>#DIV/0!</v>
      </c>
      <c r="J225" s="224" t="e">
        <v>#DIV/0!</v>
      </c>
      <c r="K225" s="224" t="e">
        <v>#DIV/0!</v>
      </c>
      <c r="L225" s="224" t="e">
        <v>#DIV/0!</v>
      </c>
      <c r="M225" s="224" t="e">
        <v>#DIV/0!</v>
      </c>
      <c r="N225" s="224" t="e">
        <v>#DIV/0!</v>
      </c>
      <c r="O225" s="224" t="e">
        <v>#DIV/0!</v>
      </c>
      <c r="P225" s="224" t="e">
        <v>#DIV/0!</v>
      </c>
      <c r="Q225" s="224" t="e">
        <v>#DIV/0!</v>
      </c>
      <c r="R225" s="224" t="e">
        <v>#DIV/0!</v>
      </c>
      <c r="S225" s="224" t="e">
        <v>#DIV/0!</v>
      </c>
      <c r="T225" s="224" t="e">
        <v>#DIV/0!</v>
      </c>
      <c r="U225" s="224" t="e">
        <v>#DIV/0!</v>
      </c>
      <c r="V225" s="224" t="e">
        <v>#DIV/0!</v>
      </c>
      <c r="W225" s="224" t="e">
        <v>#DIV/0!</v>
      </c>
      <c r="X225" s="224" t="e">
        <v>#DIV/0!</v>
      </c>
      <c r="Y225" s="224" t="e">
        <v>#DIV/0!</v>
      </c>
      <c r="Z225" s="224" t="e">
        <v>#DIV/0!</v>
      </c>
      <c r="AA225" s="224" t="e">
        <v>#DIV/0!</v>
      </c>
      <c r="AB225" s="224" t="e">
        <v>#DIV/0!</v>
      </c>
      <c r="AC225" s="224" t="e">
        <v>#DIV/0!</v>
      </c>
      <c r="AD225" s="1121" t="e">
        <v>#DIV/0!</v>
      </c>
      <c r="AE225" s="224" t="e">
        <v>#DIV/0!</v>
      </c>
      <c r="AF225" s="224" t="e">
        <v>#DIV/0!</v>
      </c>
      <c r="AG225" s="224" t="e">
        <v>#DIV/0!</v>
      </c>
      <c r="AH225" s="224" t="e">
        <v>#DIV/0!</v>
      </c>
      <c r="AI225" s="224" t="e">
        <v>#DIV/0!</v>
      </c>
      <c r="AJ225" s="224" t="e">
        <v>#DIV/0!</v>
      </c>
      <c r="AK225" s="224" t="e">
        <v>#DIV/0!</v>
      </c>
      <c r="AL225" s="224" t="e">
        <v>#DIV/0!</v>
      </c>
      <c r="AM225" s="224" t="e">
        <v>#DIV/0!</v>
      </c>
      <c r="AN225" s="1121" t="e">
        <v>#DIV/0!</v>
      </c>
      <c r="AO225" s="224" t="e">
        <f t="shared" si="16"/>
        <v>#DIV/0!</v>
      </c>
      <c r="AP225" s="1124">
        <v>0.1</v>
      </c>
      <c r="AQ225" s="1124">
        <f t="shared" si="18"/>
        <v>0.40760111439866603</v>
      </c>
      <c r="AR225" s="1124">
        <v>20</v>
      </c>
      <c r="AS225" s="1124" t="e">
        <f t="shared" si="15"/>
        <v>#DIV/0!</v>
      </c>
      <c r="AT225" s="224" t="e">
        <f t="shared" si="17"/>
        <v>#DIV/0!</v>
      </c>
    </row>
    <row r="226" spans="1:46">
      <c r="A226" s="1119">
        <v>2030</v>
      </c>
      <c r="D226" s="1108" t="s">
        <v>1868</v>
      </c>
      <c r="E226" s="224" t="s">
        <v>1922</v>
      </c>
      <c r="G226" s="224">
        <v>22352.31373488313</v>
      </c>
      <c r="H226" s="224">
        <v>9364</v>
      </c>
      <c r="I226" s="224">
        <v>5.8924800000000017</v>
      </c>
      <c r="J226" s="224">
        <v>9.3763641137222992E-2</v>
      </c>
      <c r="K226" s="224">
        <v>7.2331496825707303E-2</v>
      </c>
      <c r="L226" s="224">
        <v>8.5505412702411368E-2</v>
      </c>
      <c r="M226" s="224">
        <v>0</v>
      </c>
      <c r="N226" s="224">
        <v>0</v>
      </c>
      <c r="O226" s="224">
        <v>0</v>
      </c>
      <c r="P226" s="224">
        <v>0</v>
      </c>
      <c r="Q226" s="224">
        <v>0</v>
      </c>
      <c r="R226" s="224">
        <v>0</v>
      </c>
      <c r="S226" s="224">
        <v>0</v>
      </c>
      <c r="T226" s="224">
        <v>0</v>
      </c>
      <c r="U226" s="224">
        <v>0</v>
      </c>
      <c r="V226" s="224">
        <v>0</v>
      </c>
      <c r="W226" s="224">
        <v>418.3983715</v>
      </c>
      <c r="X226" s="224">
        <v>111.35633187772922</v>
      </c>
      <c r="Y226" s="224">
        <v>5.8924800000000008</v>
      </c>
      <c r="Z226" s="224">
        <v>270.70423839999995</v>
      </c>
      <c r="AA226" s="224">
        <v>46.881820568611495</v>
      </c>
      <c r="AB226" s="224">
        <v>36.165748412853652</v>
      </c>
      <c r="AC226" s="224">
        <v>42.752706351205681</v>
      </c>
      <c r="AD226" s="1121">
        <v>8.1772957224046934</v>
      </c>
      <c r="AE226" s="224">
        <v>0</v>
      </c>
      <c r="AF226" s="224">
        <v>3987.323274492001</v>
      </c>
      <c r="AG226" s="224">
        <v>2472.1105676855886</v>
      </c>
      <c r="AH226" s="224">
        <v>0</v>
      </c>
      <c r="AI226" s="224">
        <v>90000</v>
      </c>
      <c r="AJ226" s="224">
        <v>0</v>
      </c>
      <c r="AK226" s="224">
        <v>658.22399999999993</v>
      </c>
      <c r="AL226" s="224">
        <v>32050.880000000001</v>
      </c>
      <c r="AM226" s="224">
        <v>21032.679599999999</v>
      </c>
      <c r="AN226" s="1121">
        <v>150201.21744217759</v>
      </c>
      <c r="AO226" s="224">
        <f t="shared" si="16"/>
        <v>1.0774404843840424</v>
      </c>
      <c r="AP226" s="1124">
        <v>0.1</v>
      </c>
      <c r="AQ226" s="1124">
        <f t="shared" si="18"/>
        <v>0.40760111439866603</v>
      </c>
      <c r="AR226" s="1124">
        <v>20</v>
      </c>
      <c r="AS226" s="1124">
        <f t="shared" si="15"/>
        <v>0.68282275902110756</v>
      </c>
      <c r="AT226" s="224">
        <f t="shared" si="17"/>
        <v>61222.18361346794</v>
      </c>
    </row>
    <row r="227" spans="1:46">
      <c r="A227" s="1119">
        <v>2035</v>
      </c>
      <c r="D227" s="1108" t="s">
        <v>1868</v>
      </c>
      <c r="E227" s="224" t="s">
        <v>1922</v>
      </c>
      <c r="G227" s="224" t="e">
        <v>#DIV/0!</v>
      </c>
      <c r="H227" s="224" t="e">
        <v>#DIV/0!</v>
      </c>
      <c r="I227" s="224" t="e">
        <v>#DIV/0!</v>
      </c>
      <c r="J227" s="224" t="e">
        <v>#DIV/0!</v>
      </c>
      <c r="K227" s="224" t="e">
        <v>#DIV/0!</v>
      </c>
      <c r="L227" s="224" t="e">
        <v>#DIV/0!</v>
      </c>
      <c r="M227" s="224" t="e">
        <v>#DIV/0!</v>
      </c>
      <c r="N227" s="224" t="e">
        <v>#DIV/0!</v>
      </c>
      <c r="O227" s="224" t="e">
        <v>#DIV/0!</v>
      </c>
      <c r="P227" s="224" t="e">
        <v>#DIV/0!</v>
      </c>
      <c r="Q227" s="224" t="e">
        <v>#DIV/0!</v>
      </c>
      <c r="R227" s="224" t="e">
        <v>#DIV/0!</v>
      </c>
      <c r="S227" s="224" t="e">
        <v>#DIV/0!</v>
      </c>
      <c r="T227" s="224" t="e">
        <v>#DIV/0!</v>
      </c>
      <c r="U227" s="224" t="e">
        <v>#DIV/0!</v>
      </c>
      <c r="V227" s="224" t="e">
        <v>#DIV/0!</v>
      </c>
      <c r="W227" s="224" t="e">
        <v>#DIV/0!</v>
      </c>
      <c r="X227" s="224" t="e">
        <v>#DIV/0!</v>
      </c>
      <c r="Y227" s="224" t="e">
        <v>#DIV/0!</v>
      </c>
      <c r="Z227" s="224" t="e">
        <v>#DIV/0!</v>
      </c>
      <c r="AA227" s="224" t="e">
        <v>#DIV/0!</v>
      </c>
      <c r="AB227" s="224" t="e">
        <v>#DIV/0!</v>
      </c>
      <c r="AC227" s="224" t="e">
        <v>#DIV/0!</v>
      </c>
      <c r="AD227" s="1121" t="e">
        <v>#DIV/0!</v>
      </c>
      <c r="AE227" s="224" t="e">
        <v>#DIV/0!</v>
      </c>
      <c r="AF227" s="224" t="e">
        <v>#DIV/0!</v>
      </c>
      <c r="AG227" s="224" t="e">
        <v>#DIV/0!</v>
      </c>
      <c r="AH227" s="224" t="e">
        <v>#DIV/0!</v>
      </c>
      <c r="AI227" s="224" t="e">
        <v>#DIV/0!</v>
      </c>
      <c r="AJ227" s="224" t="e">
        <v>#DIV/0!</v>
      </c>
      <c r="AK227" s="224" t="e">
        <v>#DIV/0!</v>
      </c>
      <c r="AL227" s="224" t="e">
        <v>#DIV/0!</v>
      </c>
      <c r="AM227" s="224" t="e">
        <v>#DIV/0!</v>
      </c>
      <c r="AN227" s="1121" t="e">
        <v>#DIV/0!</v>
      </c>
      <c r="AO227" s="224" t="e">
        <f t="shared" si="16"/>
        <v>#DIV/0!</v>
      </c>
      <c r="AP227" s="1124">
        <v>0.1</v>
      </c>
      <c r="AQ227" s="1124">
        <f t="shared" si="18"/>
        <v>0.40760111439866603</v>
      </c>
      <c r="AR227" s="1124">
        <v>20</v>
      </c>
      <c r="AS227" s="1124" t="e">
        <f t="shared" si="15"/>
        <v>#DIV/0!</v>
      </c>
      <c r="AT227" s="224" t="e">
        <f t="shared" si="17"/>
        <v>#DIV/0!</v>
      </c>
    </row>
    <row r="228" spans="1:46">
      <c r="A228" s="1119">
        <v>2050</v>
      </c>
      <c r="D228" s="1108" t="s">
        <v>1868</v>
      </c>
      <c r="E228" s="224" t="s">
        <v>1922</v>
      </c>
      <c r="G228" s="224">
        <v>20226.52146037616</v>
      </c>
      <c r="H228" s="224">
        <v>9364</v>
      </c>
      <c r="I228" s="224">
        <v>6.3201600000000004</v>
      </c>
      <c r="J228" s="224">
        <v>7.5378415413228386E-2</v>
      </c>
      <c r="K228" s="224">
        <v>5.8415325261279738E-2</v>
      </c>
      <c r="L228" s="224">
        <v>6.9533082861795742E-2</v>
      </c>
      <c r="M228" s="224">
        <v>0</v>
      </c>
      <c r="N228" s="224">
        <v>0</v>
      </c>
      <c r="O228" s="224">
        <v>0</v>
      </c>
      <c r="P228" s="224">
        <v>0</v>
      </c>
      <c r="Q228" s="224">
        <v>0</v>
      </c>
      <c r="R228" s="224">
        <v>0</v>
      </c>
      <c r="S228" s="224">
        <v>0</v>
      </c>
      <c r="T228" s="224">
        <v>0</v>
      </c>
      <c r="U228" s="224">
        <v>0</v>
      </c>
      <c r="V228" s="224">
        <v>0</v>
      </c>
      <c r="W228" s="224">
        <v>371.73317680000002</v>
      </c>
      <c r="X228" s="224">
        <v>119.43864628820957</v>
      </c>
      <c r="Y228" s="224">
        <v>6.3201600000000004</v>
      </c>
      <c r="Z228" s="224">
        <v>240.45350060000001</v>
      </c>
      <c r="AA228" s="224">
        <v>37.689207706614191</v>
      </c>
      <c r="AB228" s="224">
        <v>29.20766263063987</v>
      </c>
      <c r="AC228" s="224">
        <v>34.766541430897874</v>
      </c>
      <c r="AD228" s="1121">
        <v>6.6411223724235882</v>
      </c>
      <c r="AE228" s="224">
        <v>0</v>
      </c>
      <c r="AF228" s="224">
        <v>1818.87924864</v>
      </c>
      <c r="AG228" s="224">
        <v>1863.242882096069</v>
      </c>
      <c r="AH228" s="224">
        <v>0</v>
      </c>
      <c r="AI228" s="224">
        <v>90000</v>
      </c>
      <c r="AJ228" s="224">
        <v>0</v>
      </c>
      <c r="AK228" s="224">
        <v>658.22399999999993</v>
      </c>
      <c r="AL228" s="224">
        <v>17312.399999999998</v>
      </c>
      <c r="AM228" s="224">
        <v>12378.86328</v>
      </c>
      <c r="AN228" s="1121">
        <v>124031.60941073607</v>
      </c>
      <c r="AO228" s="224">
        <f t="shared" si="16"/>
        <v>0.87503428379053194</v>
      </c>
      <c r="AP228" s="1124">
        <v>0.1</v>
      </c>
      <c r="AQ228" s="1124">
        <f t="shared" si="18"/>
        <v>0.40760111439866603</v>
      </c>
      <c r="AR228" s="1124">
        <v>20</v>
      </c>
      <c r="AS228" s="1124">
        <f t="shared" si="15"/>
        <v>0.55454879648177358</v>
      </c>
      <c r="AT228" s="224">
        <f t="shared" si="17"/>
        <v>50555.422216476094</v>
      </c>
    </row>
    <row r="229" spans="1:46">
      <c r="A229" s="1119">
        <v>2017</v>
      </c>
      <c r="B229" s="1120"/>
      <c r="C229" s="1120"/>
      <c r="D229" s="1120" t="s">
        <v>1924</v>
      </c>
      <c r="E229" s="1120" t="s">
        <v>1917</v>
      </c>
      <c r="F229" s="1120"/>
      <c r="G229" s="224">
        <v>7715.1847696842215</v>
      </c>
      <c r="H229" s="224">
        <v>4500</v>
      </c>
      <c r="I229" s="224">
        <v>3.1680000000000001</v>
      </c>
      <c r="J229" s="224">
        <v>9.1708277887815326E-2</v>
      </c>
      <c r="K229" s="224">
        <v>6.3074259889277465E-2</v>
      </c>
      <c r="L229" s="224">
        <v>7.603189212238233E-2</v>
      </c>
      <c r="M229" s="224">
        <v>0</v>
      </c>
      <c r="N229" s="224">
        <v>0</v>
      </c>
      <c r="O229" s="224">
        <v>0</v>
      </c>
      <c r="P229" s="224">
        <v>0</v>
      </c>
      <c r="Q229" s="224">
        <v>0</v>
      </c>
      <c r="R229" s="224">
        <v>0</v>
      </c>
      <c r="S229" s="224">
        <v>0</v>
      </c>
      <c r="T229" s="224">
        <v>0</v>
      </c>
      <c r="U229" s="224">
        <v>0</v>
      </c>
      <c r="V229" s="224">
        <v>231.5721681</v>
      </c>
      <c r="W229" s="224">
        <v>0</v>
      </c>
      <c r="X229" s="224">
        <v>4.3509999999999991</v>
      </c>
      <c r="Y229" s="224">
        <v>3.1680000000000001</v>
      </c>
      <c r="Z229" s="224">
        <v>0</v>
      </c>
      <c r="AA229" s="224">
        <v>13.756241683172298</v>
      </c>
      <c r="AB229" s="224">
        <v>9.4611389833916189</v>
      </c>
      <c r="AC229" s="224">
        <v>11.40478381835735</v>
      </c>
      <c r="AD229" s="1121">
        <v>16.465157139568362</v>
      </c>
      <c r="AE229" s="224">
        <v>21972.585279533716</v>
      </c>
      <c r="AF229" s="224">
        <v>0</v>
      </c>
      <c r="AG229" s="224">
        <v>261.60000000000002</v>
      </c>
      <c r="AH229" s="224">
        <v>7492.577360753794</v>
      </c>
      <c r="AI229" s="224">
        <v>40800</v>
      </c>
      <c r="AJ229" s="224">
        <v>0</v>
      </c>
      <c r="AK229" s="224">
        <v>745.98720000000003</v>
      </c>
      <c r="AL229" s="224">
        <v>0</v>
      </c>
      <c r="AM229" s="224">
        <v>436.00000000000006</v>
      </c>
      <c r="AN229" s="1121">
        <v>71708.749840287506</v>
      </c>
      <c r="AO229" s="224">
        <f t="shared" si="16"/>
        <v>2.169449104709527</v>
      </c>
      <c r="AP229" s="1124">
        <v>0.1</v>
      </c>
      <c r="AQ229" s="1124">
        <f>AA229*$C$4*365/1000*0.1</f>
        <v>6.6157067752379534E-2</v>
      </c>
      <c r="AR229" s="1124">
        <v>20</v>
      </c>
      <c r="AS229" s="1124">
        <f>AO229/$AO$229</f>
        <v>1</v>
      </c>
      <c r="AT229" s="224">
        <f t="shared" si="17"/>
        <v>4744.0406216223355</v>
      </c>
    </row>
    <row r="230" spans="1:46">
      <c r="A230" s="1122">
        <v>2020</v>
      </c>
      <c r="B230" s="1108"/>
      <c r="C230" s="1108"/>
      <c r="D230" s="1108" t="s">
        <v>1924</v>
      </c>
      <c r="E230" s="1108" t="s">
        <v>1917</v>
      </c>
      <c r="F230" s="1108"/>
      <c r="G230" s="224" t="e">
        <v>#DIV/0!</v>
      </c>
      <c r="H230" s="224" t="e">
        <v>#DIV/0!</v>
      </c>
      <c r="I230" s="224" t="e">
        <v>#DIV/0!</v>
      </c>
      <c r="J230" s="224" t="e">
        <v>#DIV/0!</v>
      </c>
      <c r="K230" s="224" t="e">
        <v>#DIV/0!</v>
      </c>
      <c r="L230" s="224" t="e">
        <v>#DIV/0!</v>
      </c>
      <c r="M230" s="224" t="e">
        <v>#DIV/0!</v>
      </c>
      <c r="N230" s="224" t="e">
        <v>#DIV/0!</v>
      </c>
      <c r="O230" s="224" t="e">
        <v>#DIV/0!</v>
      </c>
      <c r="P230" s="224" t="e">
        <v>#DIV/0!</v>
      </c>
      <c r="Q230" s="224" t="e">
        <v>#DIV/0!</v>
      </c>
      <c r="R230" s="224" t="e">
        <v>#DIV/0!</v>
      </c>
      <c r="S230" s="224" t="e">
        <v>#DIV/0!</v>
      </c>
      <c r="T230" s="224" t="e">
        <v>#DIV/0!</v>
      </c>
      <c r="U230" s="224" t="e">
        <v>#DIV/0!</v>
      </c>
      <c r="V230" s="224" t="e">
        <v>#DIV/0!</v>
      </c>
      <c r="W230" s="224" t="e">
        <v>#DIV/0!</v>
      </c>
      <c r="X230" s="224" t="e">
        <v>#DIV/0!</v>
      </c>
      <c r="Y230" s="224" t="e">
        <v>#DIV/0!</v>
      </c>
      <c r="Z230" s="224" t="e">
        <v>#DIV/0!</v>
      </c>
      <c r="AA230" s="224" t="e">
        <v>#DIV/0!</v>
      </c>
      <c r="AB230" s="224" t="e">
        <v>#DIV/0!</v>
      </c>
      <c r="AC230" s="224" t="e">
        <v>#DIV/0!</v>
      </c>
      <c r="AD230" s="1121" t="e">
        <v>#DIV/0!</v>
      </c>
      <c r="AE230" s="224" t="e">
        <v>#DIV/0!</v>
      </c>
      <c r="AF230" s="224" t="e">
        <v>#DIV/0!</v>
      </c>
      <c r="AG230" s="224" t="e">
        <v>#DIV/0!</v>
      </c>
      <c r="AH230" s="224" t="e">
        <v>#DIV/0!</v>
      </c>
      <c r="AI230" s="224" t="e">
        <v>#DIV/0!</v>
      </c>
      <c r="AJ230" s="224" t="e">
        <v>#DIV/0!</v>
      </c>
      <c r="AK230" s="224" t="e">
        <v>#DIV/0!</v>
      </c>
      <c r="AL230" s="224" t="e">
        <v>#DIV/0!</v>
      </c>
      <c r="AM230" s="224" t="e">
        <v>#DIV/0!</v>
      </c>
      <c r="AN230" s="1121" t="e">
        <v>#DIV/0!</v>
      </c>
      <c r="AO230" s="224" t="e">
        <f t="shared" si="16"/>
        <v>#DIV/0!</v>
      </c>
      <c r="AP230" s="1124">
        <v>0.1</v>
      </c>
      <c r="AQ230" s="1124">
        <f t="shared" si="18"/>
        <v>6.6157067752379534E-2</v>
      </c>
      <c r="AR230" s="1124">
        <v>20</v>
      </c>
      <c r="AS230" s="1124" t="e">
        <f t="shared" ref="AS230:AS264" si="19">AO230/$AO$229</f>
        <v>#DIV/0!</v>
      </c>
      <c r="AT230" s="224" t="e">
        <f t="shared" si="17"/>
        <v>#DIV/0!</v>
      </c>
    </row>
    <row r="231" spans="1:46">
      <c r="A231" s="1119">
        <v>2025</v>
      </c>
      <c r="B231" s="1120"/>
      <c r="C231" s="1120"/>
      <c r="D231" s="1108" t="s">
        <v>1924</v>
      </c>
      <c r="E231" s="1120" t="s">
        <v>1917</v>
      </c>
      <c r="F231" s="1120"/>
      <c r="G231" s="224" t="e">
        <v>#DIV/0!</v>
      </c>
      <c r="H231" s="224" t="e">
        <v>#DIV/0!</v>
      </c>
      <c r="I231" s="224" t="e">
        <v>#DIV/0!</v>
      </c>
      <c r="J231" s="224" t="e">
        <v>#DIV/0!</v>
      </c>
      <c r="K231" s="224" t="e">
        <v>#DIV/0!</v>
      </c>
      <c r="L231" s="224" t="e">
        <v>#DIV/0!</v>
      </c>
      <c r="M231" s="224" t="e">
        <v>#DIV/0!</v>
      </c>
      <c r="N231" s="224" t="e">
        <v>#DIV/0!</v>
      </c>
      <c r="O231" s="224" t="e">
        <v>#DIV/0!</v>
      </c>
      <c r="P231" s="224" t="e">
        <v>#DIV/0!</v>
      </c>
      <c r="Q231" s="224" t="e">
        <v>#DIV/0!</v>
      </c>
      <c r="R231" s="224" t="e">
        <v>#DIV/0!</v>
      </c>
      <c r="S231" s="224" t="e">
        <v>#DIV/0!</v>
      </c>
      <c r="T231" s="224" t="e">
        <v>#DIV/0!</v>
      </c>
      <c r="U231" s="224" t="e">
        <v>#DIV/0!</v>
      </c>
      <c r="V231" s="224" t="e">
        <v>#DIV/0!</v>
      </c>
      <c r="W231" s="224" t="e">
        <v>#DIV/0!</v>
      </c>
      <c r="X231" s="224" t="e">
        <v>#DIV/0!</v>
      </c>
      <c r="Y231" s="224" t="e">
        <v>#DIV/0!</v>
      </c>
      <c r="Z231" s="224" t="e">
        <v>#DIV/0!</v>
      </c>
      <c r="AA231" s="224" t="e">
        <v>#DIV/0!</v>
      </c>
      <c r="AB231" s="224" t="e">
        <v>#DIV/0!</v>
      </c>
      <c r="AC231" s="224" t="e">
        <v>#DIV/0!</v>
      </c>
      <c r="AD231" s="1121" t="e">
        <v>#DIV/0!</v>
      </c>
      <c r="AE231" s="224" t="e">
        <v>#DIV/0!</v>
      </c>
      <c r="AF231" s="224" t="e">
        <v>#DIV/0!</v>
      </c>
      <c r="AG231" s="224" t="e">
        <v>#DIV/0!</v>
      </c>
      <c r="AH231" s="224" t="e">
        <v>#DIV/0!</v>
      </c>
      <c r="AI231" s="224" t="e">
        <v>#DIV/0!</v>
      </c>
      <c r="AJ231" s="224" t="e">
        <v>#DIV/0!</v>
      </c>
      <c r="AK231" s="224" t="e">
        <v>#DIV/0!</v>
      </c>
      <c r="AL231" s="224" t="e">
        <v>#DIV/0!</v>
      </c>
      <c r="AM231" s="224" t="e">
        <v>#DIV/0!</v>
      </c>
      <c r="AN231" s="1121" t="e">
        <v>#DIV/0!</v>
      </c>
      <c r="AO231" s="224" t="e">
        <f t="shared" si="16"/>
        <v>#DIV/0!</v>
      </c>
      <c r="AP231" s="1124">
        <v>0.1</v>
      </c>
      <c r="AQ231" s="1124">
        <f t="shared" si="18"/>
        <v>6.6157067752379534E-2</v>
      </c>
      <c r="AR231" s="1124">
        <v>20</v>
      </c>
      <c r="AS231" s="1124" t="e">
        <f t="shared" si="19"/>
        <v>#DIV/0!</v>
      </c>
      <c r="AT231" s="224" t="e">
        <f t="shared" si="17"/>
        <v>#DIV/0!</v>
      </c>
    </row>
    <row r="232" spans="1:46">
      <c r="A232" s="1119">
        <v>2030</v>
      </c>
      <c r="B232" s="1108"/>
      <c r="C232" s="1108"/>
      <c r="D232" s="1108" t="s">
        <v>1924</v>
      </c>
      <c r="E232" s="1108" t="s">
        <v>1917</v>
      </c>
      <c r="F232" s="1108"/>
      <c r="G232" s="224">
        <v>7769.0109925377456</v>
      </c>
      <c r="H232" s="224">
        <v>4581</v>
      </c>
      <c r="I232" s="224">
        <v>3.1680000000000001</v>
      </c>
      <c r="J232" s="224">
        <v>6.6869126036282547E-2</v>
      </c>
      <c r="K232" s="224">
        <v>4.1798887165477104E-2</v>
      </c>
      <c r="L232" s="224">
        <v>4.9869941621400779E-2</v>
      </c>
      <c r="M232" s="224">
        <v>0</v>
      </c>
      <c r="N232" s="224">
        <v>0</v>
      </c>
      <c r="O232" s="224">
        <v>0</v>
      </c>
      <c r="P232" s="224">
        <v>0</v>
      </c>
      <c r="Q232" s="224">
        <v>0</v>
      </c>
      <c r="R232" s="224">
        <v>0</v>
      </c>
      <c r="S232" s="224">
        <v>0</v>
      </c>
      <c r="T232" s="224">
        <v>0</v>
      </c>
      <c r="U232" s="224">
        <v>0</v>
      </c>
      <c r="V232" s="224">
        <v>203.2395961</v>
      </c>
      <c r="W232" s="224">
        <v>0</v>
      </c>
      <c r="X232" s="224">
        <v>4.3964347826086954</v>
      </c>
      <c r="Y232" s="224">
        <v>3.1680000000000001</v>
      </c>
      <c r="Z232" s="224">
        <v>0</v>
      </c>
      <c r="AA232" s="224">
        <v>10.030368905442382</v>
      </c>
      <c r="AB232" s="224">
        <v>6.269833074821566</v>
      </c>
      <c r="AC232" s="224">
        <v>7.4804912432101167</v>
      </c>
      <c r="AD232" s="1121">
        <v>11.293667743221315</v>
      </c>
      <c r="AE232" s="224">
        <v>18949.382172059428</v>
      </c>
      <c r="AF232" s="224">
        <v>0</v>
      </c>
      <c r="AG232" s="224">
        <v>177.6</v>
      </c>
      <c r="AH232" s="224">
        <v>6700.6331240917234</v>
      </c>
      <c r="AI232" s="224">
        <v>40800</v>
      </c>
      <c r="AJ232" s="224">
        <v>1426.4912628</v>
      </c>
      <c r="AK232" s="224">
        <v>5614.4184944067338</v>
      </c>
      <c r="AL232" s="224">
        <v>0</v>
      </c>
      <c r="AM232" s="224">
        <v>296</v>
      </c>
      <c r="AN232" s="1121">
        <v>73964.52505335788</v>
      </c>
      <c r="AO232" s="224">
        <f t="shared" si="16"/>
        <v>1.4880536618468403</v>
      </c>
      <c r="AP232" s="1124">
        <v>0.1</v>
      </c>
      <c r="AQ232" s="1124">
        <f t="shared" si="18"/>
        <v>6.6157067752379534E-2</v>
      </c>
      <c r="AR232" s="1124">
        <v>20</v>
      </c>
      <c r="AS232" s="1124">
        <f t="shared" si="19"/>
        <v>0.68591314662165326</v>
      </c>
      <c r="AT232" s="224">
        <f t="shared" si="17"/>
        <v>4893.2760952275703</v>
      </c>
    </row>
    <row r="233" spans="1:46">
      <c r="A233" s="1119">
        <v>2035</v>
      </c>
      <c r="B233" s="1120"/>
      <c r="C233" s="1120"/>
      <c r="D233" s="1108" t="s">
        <v>1924</v>
      </c>
      <c r="E233" s="1120" t="s">
        <v>1917</v>
      </c>
      <c r="F233" s="1120"/>
      <c r="G233" s="224" t="e">
        <v>#DIV/0!</v>
      </c>
      <c r="H233" s="224" t="e">
        <v>#DIV/0!</v>
      </c>
      <c r="I233" s="224" t="e">
        <v>#DIV/0!</v>
      </c>
      <c r="J233" s="224" t="e">
        <v>#DIV/0!</v>
      </c>
      <c r="K233" s="224" t="e">
        <v>#DIV/0!</v>
      </c>
      <c r="L233" s="224" t="e">
        <v>#DIV/0!</v>
      </c>
      <c r="M233" s="224" t="e">
        <v>#DIV/0!</v>
      </c>
      <c r="N233" s="224" t="e">
        <v>#DIV/0!</v>
      </c>
      <c r="O233" s="224" t="e">
        <v>#DIV/0!</v>
      </c>
      <c r="P233" s="224" t="e">
        <v>#DIV/0!</v>
      </c>
      <c r="Q233" s="224" t="e">
        <v>#DIV/0!</v>
      </c>
      <c r="R233" s="224" t="e">
        <v>#DIV/0!</v>
      </c>
      <c r="S233" s="224" t="e">
        <v>#DIV/0!</v>
      </c>
      <c r="T233" s="224" t="e">
        <v>#DIV/0!</v>
      </c>
      <c r="U233" s="224" t="e">
        <v>#DIV/0!</v>
      </c>
      <c r="V233" s="224" t="e">
        <v>#DIV/0!</v>
      </c>
      <c r="W233" s="224" t="e">
        <v>#DIV/0!</v>
      </c>
      <c r="X233" s="224" t="e">
        <v>#DIV/0!</v>
      </c>
      <c r="Y233" s="224" t="e">
        <v>#DIV/0!</v>
      </c>
      <c r="Z233" s="224" t="e">
        <v>#DIV/0!</v>
      </c>
      <c r="AA233" s="224" t="e">
        <v>#DIV/0!</v>
      </c>
      <c r="AB233" s="224" t="e">
        <v>#DIV/0!</v>
      </c>
      <c r="AC233" s="224" t="e">
        <v>#DIV/0!</v>
      </c>
      <c r="AD233" s="1121" t="e">
        <v>#DIV/0!</v>
      </c>
      <c r="AE233" s="224" t="e">
        <v>#DIV/0!</v>
      </c>
      <c r="AF233" s="224" t="e">
        <v>#DIV/0!</v>
      </c>
      <c r="AG233" s="224" t="e">
        <v>#DIV/0!</v>
      </c>
      <c r="AH233" s="224" t="e">
        <v>#DIV/0!</v>
      </c>
      <c r="AI233" s="224" t="e">
        <v>#DIV/0!</v>
      </c>
      <c r="AJ233" s="224" t="e">
        <v>#DIV/0!</v>
      </c>
      <c r="AK233" s="224" t="e">
        <v>#DIV/0!</v>
      </c>
      <c r="AL233" s="224" t="e">
        <v>#DIV/0!</v>
      </c>
      <c r="AM233" s="224" t="e">
        <v>#DIV/0!</v>
      </c>
      <c r="AN233" s="1121" t="e">
        <v>#DIV/0!</v>
      </c>
      <c r="AO233" s="224" t="e">
        <f t="shared" si="16"/>
        <v>#DIV/0!</v>
      </c>
      <c r="AP233" s="1124">
        <v>0.1</v>
      </c>
      <c r="AQ233" s="1124">
        <f t="shared" si="18"/>
        <v>6.6157067752379534E-2</v>
      </c>
      <c r="AR233" s="1124">
        <v>20</v>
      </c>
      <c r="AS233" s="1124" t="e">
        <f t="shared" si="19"/>
        <v>#DIV/0!</v>
      </c>
      <c r="AT233" s="224" t="e">
        <f t="shared" si="17"/>
        <v>#DIV/0!</v>
      </c>
    </row>
    <row r="234" spans="1:46">
      <c r="A234" s="1119">
        <v>2050</v>
      </c>
      <c r="B234" s="1108"/>
      <c r="C234" s="1108"/>
      <c r="D234" s="1108" t="s">
        <v>1924</v>
      </c>
      <c r="E234" s="1108" t="s">
        <v>1917</v>
      </c>
      <c r="F234" s="1108"/>
      <c r="G234" s="224">
        <v>7672.0810096492369</v>
      </c>
      <c r="H234" s="224">
        <v>4699</v>
      </c>
      <c r="I234" s="224">
        <v>3.1680000000000001</v>
      </c>
      <c r="J234" s="224">
        <v>6.1814367038089298E-2</v>
      </c>
      <c r="K234" s="224">
        <v>3.8686455628347965E-2</v>
      </c>
      <c r="L234" s="224">
        <v>4.6348312829270107E-2</v>
      </c>
      <c r="M234" s="224">
        <v>0</v>
      </c>
      <c r="N234" s="224">
        <v>0</v>
      </c>
      <c r="O234" s="224">
        <v>0</v>
      </c>
      <c r="P234" s="224">
        <v>0</v>
      </c>
      <c r="Q234" s="224">
        <v>0</v>
      </c>
      <c r="R234" s="224">
        <v>0</v>
      </c>
      <c r="S234" s="224">
        <v>0</v>
      </c>
      <c r="T234" s="224">
        <v>0</v>
      </c>
      <c r="U234" s="224">
        <v>0</v>
      </c>
      <c r="V234" s="224">
        <v>199.208101</v>
      </c>
      <c r="W234" s="224">
        <v>0</v>
      </c>
      <c r="X234" s="224">
        <v>4.3964347826086954</v>
      </c>
      <c r="Y234" s="224">
        <v>3.1680000000000001</v>
      </c>
      <c r="Z234" s="224">
        <v>0</v>
      </c>
      <c r="AA234" s="224">
        <v>9.2721550557133945</v>
      </c>
      <c r="AB234" s="224">
        <v>5.8029683442521947</v>
      </c>
      <c r="AC234" s="224">
        <v>6.9522469243905158</v>
      </c>
      <c r="AD234" s="1121">
        <v>10.212914723832165</v>
      </c>
      <c r="AE234" s="224">
        <v>18540.974183222857</v>
      </c>
      <c r="AF234" s="224">
        <v>0</v>
      </c>
      <c r="AG234" s="224">
        <v>144</v>
      </c>
      <c r="AH234" s="224">
        <v>6587.945885193104</v>
      </c>
      <c r="AI234" s="224">
        <v>40800</v>
      </c>
      <c r="AJ234" s="224">
        <v>2092.7190328799998</v>
      </c>
      <c r="AK234" s="224">
        <v>6393.2965024452897</v>
      </c>
      <c r="AL234" s="224">
        <v>0</v>
      </c>
      <c r="AM234" s="224">
        <v>240</v>
      </c>
      <c r="AN234" s="1121">
        <v>74798.935603741251</v>
      </c>
      <c r="AO234" s="224">
        <f t="shared" si="16"/>
        <v>1.3456536440121261</v>
      </c>
      <c r="AP234" s="1124">
        <v>0.1</v>
      </c>
      <c r="AQ234" s="1124">
        <f t="shared" si="18"/>
        <v>6.6157067752379534E-2</v>
      </c>
      <c r="AR234" s="1124">
        <v>20</v>
      </c>
      <c r="AS234" s="1124">
        <f t="shared" si="19"/>
        <v>0.62027435494611383</v>
      </c>
      <c r="AT234" s="224">
        <f t="shared" si="17"/>
        <v>4948.4782505425837</v>
      </c>
    </row>
    <row r="235" spans="1:46">
      <c r="A235" s="1119">
        <v>2017</v>
      </c>
      <c r="B235" s="1120"/>
      <c r="C235" s="1120"/>
      <c r="D235" s="1108" t="s">
        <v>1924</v>
      </c>
      <c r="E235" s="1120" t="s">
        <v>1918</v>
      </c>
      <c r="F235" s="1120"/>
      <c r="G235" s="224">
        <v>7711.0655516680272</v>
      </c>
      <c r="H235" s="224">
        <v>4500</v>
      </c>
      <c r="I235" s="224">
        <v>0.21333565440000002</v>
      </c>
      <c r="J235" s="224">
        <v>8.7146044233268702E-2</v>
      </c>
      <c r="K235" s="224">
        <v>6.072652113568186E-2</v>
      </c>
      <c r="L235" s="224">
        <v>7.3609250049487374E-2</v>
      </c>
      <c r="M235" s="224">
        <v>0</v>
      </c>
      <c r="N235" s="224">
        <v>0</v>
      </c>
      <c r="O235" s="224">
        <v>0</v>
      </c>
      <c r="P235" s="224">
        <v>0</v>
      </c>
      <c r="Q235" s="224">
        <v>0</v>
      </c>
      <c r="R235" s="224">
        <v>0</v>
      </c>
      <c r="S235" s="224">
        <v>0</v>
      </c>
      <c r="T235" s="224">
        <v>0</v>
      </c>
      <c r="U235" s="224">
        <v>0</v>
      </c>
      <c r="V235" s="224">
        <v>231.5721681</v>
      </c>
      <c r="W235" s="224">
        <v>4</v>
      </c>
      <c r="X235" s="224">
        <v>6</v>
      </c>
      <c r="Y235" s="224">
        <v>0.21333565440000002</v>
      </c>
      <c r="Z235" s="224">
        <v>0</v>
      </c>
      <c r="AA235" s="224">
        <v>13.071906634990306</v>
      </c>
      <c r="AB235" s="224">
        <v>9.1089781703522785</v>
      </c>
      <c r="AC235" s="224">
        <v>11.041387507423106</v>
      </c>
      <c r="AD235" s="1121">
        <v>15.743322897722262</v>
      </c>
      <c r="AE235" s="224">
        <v>21972.585279533716</v>
      </c>
      <c r="AF235" s="224">
        <v>883.35</v>
      </c>
      <c r="AG235" s="224">
        <v>289.53193070239229</v>
      </c>
      <c r="AH235" s="224">
        <v>7492.577360753794</v>
      </c>
      <c r="AI235" s="224">
        <v>40800</v>
      </c>
      <c r="AJ235" s="224">
        <v>0</v>
      </c>
      <c r="AK235" s="224">
        <v>745.98720000000003</v>
      </c>
      <c r="AL235" s="224">
        <v>0</v>
      </c>
      <c r="AM235" s="224">
        <v>436.00000000000006</v>
      </c>
      <c r="AN235" s="1121">
        <v>72620.03177098991</v>
      </c>
      <c r="AO235" s="224">
        <f t="shared" si="16"/>
        <v>2.0743402250038852</v>
      </c>
      <c r="AP235" s="1124">
        <v>0.1</v>
      </c>
      <c r="AQ235" s="1124">
        <f t="shared" si="18"/>
        <v>6.6157067752379534E-2</v>
      </c>
      <c r="AR235" s="1124">
        <v>20</v>
      </c>
      <c r="AS235" s="1124">
        <f t="shared" si="19"/>
        <v>0.95615989354201691</v>
      </c>
      <c r="AT235" s="224">
        <f t="shared" si="17"/>
        <v>4804.3283620533339</v>
      </c>
    </row>
    <row r="236" spans="1:46">
      <c r="A236" s="1122">
        <v>2020</v>
      </c>
      <c r="D236" s="1108" t="s">
        <v>1924</v>
      </c>
      <c r="E236" s="224" t="s">
        <v>1918</v>
      </c>
      <c r="G236" s="224" t="e">
        <v>#DIV/0!</v>
      </c>
      <c r="H236" s="224" t="e">
        <v>#DIV/0!</v>
      </c>
      <c r="I236" s="224" t="e">
        <v>#DIV/0!</v>
      </c>
      <c r="J236" s="224" t="e">
        <v>#DIV/0!</v>
      </c>
      <c r="K236" s="224" t="e">
        <v>#DIV/0!</v>
      </c>
      <c r="L236" s="224" t="e">
        <v>#DIV/0!</v>
      </c>
      <c r="M236" s="224" t="e">
        <v>#DIV/0!</v>
      </c>
      <c r="N236" s="224" t="e">
        <v>#DIV/0!</v>
      </c>
      <c r="O236" s="224" t="e">
        <v>#DIV/0!</v>
      </c>
      <c r="P236" s="224" t="e">
        <v>#DIV/0!</v>
      </c>
      <c r="Q236" s="224" t="e">
        <v>#DIV/0!</v>
      </c>
      <c r="R236" s="224" t="e">
        <v>#DIV/0!</v>
      </c>
      <c r="S236" s="224" t="e">
        <v>#DIV/0!</v>
      </c>
      <c r="T236" s="224" t="e">
        <v>#DIV/0!</v>
      </c>
      <c r="U236" s="224" t="e">
        <v>#DIV/0!</v>
      </c>
      <c r="V236" s="224" t="e">
        <v>#DIV/0!</v>
      </c>
      <c r="W236" s="224" t="e">
        <v>#DIV/0!</v>
      </c>
      <c r="X236" s="224" t="e">
        <v>#DIV/0!</v>
      </c>
      <c r="Y236" s="224" t="e">
        <v>#DIV/0!</v>
      </c>
      <c r="Z236" s="224" t="e">
        <v>#DIV/0!</v>
      </c>
      <c r="AA236" s="224" t="e">
        <v>#DIV/0!</v>
      </c>
      <c r="AB236" s="224" t="e">
        <v>#DIV/0!</v>
      </c>
      <c r="AC236" s="224" t="e">
        <v>#DIV/0!</v>
      </c>
      <c r="AD236" s="1121" t="e">
        <v>#DIV/0!</v>
      </c>
      <c r="AE236" s="224" t="e">
        <v>#DIV/0!</v>
      </c>
      <c r="AF236" s="224" t="e">
        <v>#DIV/0!</v>
      </c>
      <c r="AG236" s="224" t="e">
        <v>#DIV/0!</v>
      </c>
      <c r="AH236" s="224" t="e">
        <v>#DIV/0!</v>
      </c>
      <c r="AI236" s="224" t="e">
        <v>#DIV/0!</v>
      </c>
      <c r="AJ236" s="224" t="e">
        <v>#DIV/0!</v>
      </c>
      <c r="AK236" s="224" t="e">
        <v>#DIV/0!</v>
      </c>
      <c r="AL236" s="224" t="e">
        <v>#DIV/0!</v>
      </c>
      <c r="AM236" s="224" t="e">
        <v>#DIV/0!</v>
      </c>
      <c r="AN236" s="1121" t="e">
        <v>#DIV/0!</v>
      </c>
      <c r="AO236" s="224" t="e">
        <f t="shared" si="16"/>
        <v>#DIV/0!</v>
      </c>
      <c r="AP236" s="1124">
        <v>0.1</v>
      </c>
      <c r="AQ236" s="1124">
        <f t="shared" si="18"/>
        <v>6.6157067752379534E-2</v>
      </c>
      <c r="AR236" s="1124">
        <v>20</v>
      </c>
      <c r="AS236" s="1124" t="e">
        <f t="shared" si="19"/>
        <v>#DIV/0!</v>
      </c>
      <c r="AT236" s="224" t="e">
        <f t="shared" si="17"/>
        <v>#DIV/0!</v>
      </c>
    </row>
    <row r="237" spans="1:46">
      <c r="A237" s="1119">
        <v>2025</v>
      </c>
      <c r="D237" s="1108" t="s">
        <v>1924</v>
      </c>
      <c r="E237" s="224" t="s">
        <v>1918</v>
      </c>
      <c r="G237" s="224" t="e">
        <v>#DIV/0!</v>
      </c>
      <c r="H237" s="224" t="e">
        <v>#DIV/0!</v>
      </c>
      <c r="I237" s="224" t="e">
        <v>#DIV/0!</v>
      </c>
      <c r="J237" s="224" t="e">
        <v>#DIV/0!</v>
      </c>
      <c r="K237" s="224" t="e">
        <v>#DIV/0!</v>
      </c>
      <c r="L237" s="224" t="e">
        <v>#DIV/0!</v>
      </c>
      <c r="M237" s="224" t="e">
        <v>#DIV/0!</v>
      </c>
      <c r="N237" s="224" t="e">
        <v>#DIV/0!</v>
      </c>
      <c r="O237" s="224" t="e">
        <v>#DIV/0!</v>
      </c>
      <c r="P237" s="224" t="e">
        <v>#DIV/0!</v>
      </c>
      <c r="Q237" s="224" t="e">
        <v>#DIV/0!</v>
      </c>
      <c r="R237" s="224" t="e">
        <v>#DIV/0!</v>
      </c>
      <c r="S237" s="224" t="e">
        <v>#DIV/0!</v>
      </c>
      <c r="T237" s="224" t="e">
        <v>#DIV/0!</v>
      </c>
      <c r="U237" s="224" t="e">
        <v>#DIV/0!</v>
      </c>
      <c r="V237" s="224" t="e">
        <v>#DIV/0!</v>
      </c>
      <c r="W237" s="224" t="e">
        <v>#DIV/0!</v>
      </c>
      <c r="X237" s="224" t="e">
        <v>#DIV/0!</v>
      </c>
      <c r="Y237" s="224" t="e">
        <v>#DIV/0!</v>
      </c>
      <c r="Z237" s="224" t="e">
        <v>#DIV/0!</v>
      </c>
      <c r="AA237" s="224" t="e">
        <v>#DIV/0!</v>
      </c>
      <c r="AB237" s="224" t="e">
        <v>#DIV/0!</v>
      </c>
      <c r="AC237" s="224" t="e">
        <v>#DIV/0!</v>
      </c>
      <c r="AD237" s="1121" t="e">
        <v>#DIV/0!</v>
      </c>
      <c r="AE237" s="224" t="e">
        <v>#DIV/0!</v>
      </c>
      <c r="AF237" s="224" t="e">
        <v>#DIV/0!</v>
      </c>
      <c r="AG237" s="224" t="e">
        <v>#DIV/0!</v>
      </c>
      <c r="AH237" s="224" t="e">
        <v>#DIV/0!</v>
      </c>
      <c r="AI237" s="224" t="e">
        <v>#DIV/0!</v>
      </c>
      <c r="AJ237" s="224" t="e">
        <v>#DIV/0!</v>
      </c>
      <c r="AK237" s="224" t="e">
        <v>#DIV/0!</v>
      </c>
      <c r="AL237" s="224" t="e">
        <v>#DIV/0!</v>
      </c>
      <c r="AM237" s="224" t="e">
        <v>#DIV/0!</v>
      </c>
      <c r="AN237" s="1121" t="e">
        <v>#DIV/0!</v>
      </c>
      <c r="AO237" s="224" t="e">
        <f t="shared" si="16"/>
        <v>#DIV/0!</v>
      </c>
      <c r="AP237" s="1124">
        <v>0.1</v>
      </c>
      <c r="AQ237" s="1124">
        <f t="shared" si="18"/>
        <v>6.6157067752379534E-2</v>
      </c>
      <c r="AR237" s="1124">
        <v>20</v>
      </c>
      <c r="AS237" s="1124" t="e">
        <f t="shared" si="19"/>
        <v>#DIV/0!</v>
      </c>
      <c r="AT237" s="224" t="e">
        <f t="shared" si="17"/>
        <v>#DIV/0!</v>
      </c>
    </row>
    <row r="238" spans="1:46">
      <c r="A238" s="1119">
        <v>2030</v>
      </c>
      <c r="D238" s="1108" t="s">
        <v>1924</v>
      </c>
      <c r="E238" s="224" t="s">
        <v>1918</v>
      </c>
      <c r="G238" s="224" t="e">
        <v>#DIV/0!</v>
      </c>
      <c r="H238" s="224" t="e">
        <v>#DIV/0!</v>
      </c>
      <c r="I238" s="224" t="e">
        <v>#DIV/0!</v>
      </c>
      <c r="J238" s="224" t="e">
        <v>#DIV/0!</v>
      </c>
      <c r="K238" s="224" t="e">
        <v>#DIV/0!</v>
      </c>
      <c r="L238" s="224" t="e">
        <v>#DIV/0!</v>
      </c>
      <c r="M238" s="224" t="e">
        <v>#DIV/0!</v>
      </c>
      <c r="N238" s="224" t="e">
        <v>#DIV/0!</v>
      </c>
      <c r="O238" s="224" t="e">
        <v>#DIV/0!</v>
      </c>
      <c r="P238" s="224" t="e">
        <v>#DIV/0!</v>
      </c>
      <c r="Q238" s="224" t="e">
        <v>#DIV/0!</v>
      </c>
      <c r="R238" s="224" t="e">
        <v>#DIV/0!</v>
      </c>
      <c r="S238" s="224" t="e">
        <v>#DIV/0!</v>
      </c>
      <c r="T238" s="224" t="e">
        <v>#DIV/0!</v>
      </c>
      <c r="U238" s="224" t="e">
        <v>#DIV/0!</v>
      </c>
      <c r="V238" s="224" t="e">
        <v>#DIV/0!</v>
      </c>
      <c r="W238" s="224" t="e">
        <v>#DIV/0!</v>
      </c>
      <c r="X238" s="224" t="e">
        <v>#DIV/0!</v>
      </c>
      <c r="Y238" s="224" t="e">
        <v>#DIV/0!</v>
      </c>
      <c r="Z238" s="224" t="e">
        <v>#DIV/0!</v>
      </c>
      <c r="AA238" s="224" t="e">
        <v>#DIV/0!</v>
      </c>
      <c r="AB238" s="224" t="e">
        <v>#DIV/0!</v>
      </c>
      <c r="AC238" s="224" t="e">
        <v>#DIV/0!</v>
      </c>
      <c r="AD238" s="1121" t="e">
        <v>#DIV/0!</v>
      </c>
      <c r="AE238" s="224" t="e">
        <v>#DIV/0!</v>
      </c>
      <c r="AF238" s="224" t="e">
        <v>#DIV/0!</v>
      </c>
      <c r="AG238" s="224" t="e">
        <v>#DIV/0!</v>
      </c>
      <c r="AH238" s="224" t="e">
        <v>#DIV/0!</v>
      </c>
      <c r="AI238" s="224" t="e">
        <v>#DIV/0!</v>
      </c>
      <c r="AJ238" s="224" t="e">
        <v>#DIV/0!</v>
      </c>
      <c r="AK238" s="224" t="e">
        <v>#DIV/0!</v>
      </c>
      <c r="AL238" s="224" t="e">
        <v>#DIV/0!</v>
      </c>
      <c r="AM238" s="224" t="e">
        <v>#DIV/0!</v>
      </c>
      <c r="AN238" s="1121" t="e">
        <v>#DIV/0!</v>
      </c>
      <c r="AO238" s="224" t="e">
        <f t="shared" si="16"/>
        <v>#DIV/0!</v>
      </c>
      <c r="AP238" s="1124">
        <v>0.1</v>
      </c>
      <c r="AQ238" s="1124">
        <f t="shared" si="18"/>
        <v>6.6157067752379534E-2</v>
      </c>
      <c r="AR238" s="1124">
        <v>20</v>
      </c>
      <c r="AS238" s="1124" t="e">
        <f t="shared" si="19"/>
        <v>#DIV/0!</v>
      </c>
      <c r="AT238" s="224" t="e">
        <f t="shared" si="17"/>
        <v>#DIV/0!</v>
      </c>
    </row>
    <row r="239" spans="1:46">
      <c r="A239" s="1119">
        <v>2035</v>
      </c>
      <c r="D239" s="1108" t="s">
        <v>1924</v>
      </c>
      <c r="E239" s="224" t="s">
        <v>1918</v>
      </c>
      <c r="G239" s="224" t="e">
        <v>#DIV/0!</v>
      </c>
      <c r="H239" s="224" t="e">
        <v>#DIV/0!</v>
      </c>
      <c r="I239" s="224" t="e">
        <v>#DIV/0!</v>
      </c>
      <c r="J239" s="224" t="e">
        <v>#DIV/0!</v>
      </c>
      <c r="K239" s="224" t="e">
        <v>#DIV/0!</v>
      </c>
      <c r="L239" s="224" t="e">
        <v>#DIV/0!</v>
      </c>
      <c r="M239" s="224" t="e">
        <v>#DIV/0!</v>
      </c>
      <c r="N239" s="224" t="e">
        <v>#DIV/0!</v>
      </c>
      <c r="O239" s="224" t="e">
        <v>#DIV/0!</v>
      </c>
      <c r="P239" s="224" t="e">
        <v>#DIV/0!</v>
      </c>
      <c r="Q239" s="224" t="e">
        <v>#DIV/0!</v>
      </c>
      <c r="R239" s="224" t="e">
        <v>#DIV/0!</v>
      </c>
      <c r="S239" s="224" t="e">
        <v>#DIV/0!</v>
      </c>
      <c r="T239" s="224" t="e">
        <v>#DIV/0!</v>
      </c>
      <c r="U239" s="224" t="e">
        <v>#DIV/0!</v>
      </c>
      <c r="V239" s="224" t="e">
        <v>#DIV/0!</v>
      </c>
      <c r="W239" s="224" t="e">
        <v>#DIV/0!</v>
      </c>
      <c r="X239" s="224" t="e">
        <v>#DIV/0!</v>
      </c>
      <c r="Y239" s="224" t="e">
        <v>#DIV/0!</v>
      </c>
      <c r="Z239" s="224" t="e">
        <v>#DIV/0!</v>
      </c>
      <c r="AA239" s="224" t="e">
        <v>#DIV/0!</v>
      </c>
      <c r="AB239" s="224" t="e">
        <v>#DIV/0!</v>
      </c>
      <c r="AC239" s="224" t="e">
        <v>#DIV/0!</v>
      </c>
      <c r="AD239" s="1121" t="e">
        <v>#DIV/0!</v>
      </c>
      <c r="AE239" s="224" t="e">
        <v>#DIV/0!</v>
      </c>
      <c r="AF239" s="224" t="e">
        <v>#DIV/0!</v>
      </c>
      <c r="AG239" s="224" t="e">
        <v>#DIV/0!</v>
      </c>
      <c r="AH239" s="224" t="e">
        <v>#DIV/0!</v>
      </c>
      <c r="AI239" s="224" t="e">
        <v>#DIV/0!</v>
      </c>
      <c r="AJ239" s="224" t="e">
        <v>#DIV/0!</v>
      </c>
      <c r="AK239" s="224" t="e">
        <v>#DIV/0!</v>
      </c>
      <c r="AL239" s="224" t="e">
        <v>#DIV/0!</v>
      </c>
      <c r="AM239" s="224" t="e">
        <v>#DIV/0!</v>
      </c>
      <c r="AN239" s="1121" t="e">
        <v>#DIV/0!</v>
      </c>
      <c r="AO239" s="224" t="e">
        <f t="shared" si="16"/>
        <v>#DIV/0!</v>
      </c>
      <c r="AP239" s="1124">
        <v>0.1</v>
      </c>
      <c r="AQ239" s="1124">
        <f t="shared" si="18"/>
        <v>6.6157067752379534E-2</v>
      </c>
      <c r="AR239" s="1124">
        <v>20</v>
      </c>
      <c r="AS239" s="1124" t="e">
        <f t="shared" si="19"/>
        <v>#DIV/0!</v>
      </c>
      <c r="AT239" s="224" t="e">
        <f t="shared" si="17"/>
        <v>#DIV/0!</v>
      </c>
    </row>
    <row r="240" spans="1:46">
      <c r="A240" s="1119">
        <v>2050</v>
      </c>
      <c r="D240" s="1108" t="s">
        <v>1924</v>
      </c>
      <c r="E240" s="224" t="s">
        <v>1918</v>
      </c>
      <c r="G240" s="224" t="e">
        <v>#DIV/0!</v>
      </c>
      <c r="H240" s="224" t="e">
        <v>#DIV/0!</v>
      </c>
      <c r="I240" s="224" t="e">
        <v>#DIV/0!</v>
      </c>
      <c r="J240" s="224" t="e">
        <v>#DIV/0!</v>
      </c>
      <c r="K240" s="224" t="e">
        <v>#DIV/0!</v>
      </c>
      <c r="L240" s="224" t="e">
        <v>#DIV/0!</v>
      </c>
      <c r="M240" s="224" t="e">
        <v>#DIV/0!</v>
      </c>
      <c r="N240" s="224" t="e">
        <v>#DIV/0!</v>
      </c>
      <c r="O240" s="224" t="e">
        <v>#DIV/0!</v>
      </c>
      <c r="P240" s="224" t="e">
        <v>#DIV/0!</v>
      </c>
      <c r="Q240" s="224" t="e">
        <v>#DIV/0!</v>
      </c>
      <c r="R240" s="224" t="e">
        <v>#DIV/0!</v>
      </c>
      <c r="S240" s="224" t="e">
        <v>#DIV/0!</v>
      </c>
      <c r="T240" s="224" t="e">
        <v>#DIV/0!</v>
      </c>
      <c r="U240" s="224" t="e">
        <v>#DIV/0!</v>
      </c>
      <c r="V240" s="224" t="e">
        <v>#DIV/0!</v>
      </c>
      <c r="W240" s="224" t="e">
        <v>#DIV/0!</v>
      </c>
      <c r="X240" s="224" t="e">
        <v>#DIV/0!</v>
      </c>
      <c r="Y240" s="224" t="e">
        <v>#DIV/0!</v>
      </c>
      <c r="Z240" s="224" t="e">
        <v>#DIV/0!</v>
      </c>
      <c r="AA240" s="224" t="e">
        <v>#DIV/0!</v>
      </c>
      <c r="AB240" s="224" t="e">
        <v>#DIV/0!</v>
      </c>
      <c r="AC240" s="224" t="e">
        <v>#DIV/0!</v>
      </c>
      <c r="AD240" s="1121" t="e">
        <v>#DIV/0!</v>
      </c>
      <c r="AE240" s="224" t="e">
        <v>#DIV/0!</v>
      </c>
      <c r="AF240" s="224" t="e">
        <v>#DIV/0!</v>
      </c>
      <c r="AG240" s="224" t="e">
        <v>#DIV/0!</v>
      </c>
      <c r="AH240" s="224" t="e">
        <v>#DIV/0!</v>
      </c>
      <c r="AI240" s="224" t="e">
        <v>#DIV/0!</v>
      </c>
      <c r="AJ240" s="224" t="e">
        <v>#DIV/0!</v>
      </c>
      <c r="AK240" s="224" t="e">
        <v>#DIV/0!</v>
      </c>
      <c r="AL240" s="224" t="e">
        <v>#DIV/0!</v>
      </c>
      <c r="AM240" s="224" t="e">
        <v>#DIV/0!</v>
      </c>
      <c r="AN240" s="1121" t="e">
        <v>#DIV/0!</v>
      </c>
      <c r="AO240" s="224" t="e">
        <f t="shared" si="16"/>
        <v>#DIV/0!</v>
      </c>
      <c r="AP240" s="1124">
        <v>0.1</v>
      </c>
      <c r="AQ240" s="1124">
        <f t="shared" si="18"/>
        <v>6.6157067752379534E-2</v>
      </c>
      <c r="AR240" s="1124">
        <v>20</v>
      </c>
      <c r="AS240" s="1124" t="e">
        <f t="shared" si="19"/>
        <v>#DIV/0!</v>
      </c>
      <c r="AT240" s="224" t="e">
        <f t="shared" si="17"/>
        <v>#DIV/0!</v>
      </c>
    </row>
    <row r="241" spans="1:46">
      <c r="A241" s="1119">
        <v>2017</v>
      </c>
      <c r="D241" s="1108" t="s">
        <v>1924</v>
      </c>
      <c r="E241" s="224" t="s">
        <v>1919</v>
      </c>
      <c r="G241" s="224">
        <v>8074.9597203803824</v>
      </c>
      <c r="H241" s="224">
        <v>4500</v>
      </c>
      <c r="I241" s="224">
        <v>4.7520000000000007</v>
      </c>
      <c r="J241" s="224">
        <v>6.7710210487715347E-2</v>
      </c>
      <c r="K241" s="224">
        <v>6.0540850222056991E-2</v>
      </c>
      <c r="L241" s="224">
        <v>7.3822967772974077E-2</v>
      </c>
      <c r="M241" s="224">
        <v>0</v>
      </c>
      <c r="N241" s="224">
        <v>0</v>
      </c>
      <c r="O241" s="224">
        <v>0</v>
      </c>
      <c r="P241" s="224">
        <v>0</v>
      </c>
      <c r="Q241" s="224">
        <v>0</v>
      </c>
      <c r="R241" s="224">
        <v>0</v>
      </c>
      <c r="S241" s="224">
        <v>0</v>
      </c>
      <c r="T241" s="224">
        <v>0</v>
      </c>
      <c r="U241" s="224">
        <v>0</v>
      </c>
      <c r="V241" s="224">
        <v>231.5059072</v>
      </c>
      <c r="W241" s="224">
        <v>113.6112368</v>
      </c>
      <c r="X241" s="224">
        <v>147.91866028708131</v>
      </c>
      <c r="Y241" s="224">
        <v>4.7520000000000007</v>
      </c>
      <c r="Z241" s="224">
        <v>0</v>
      </c>
      <c r="AA241" s="224">
        <v>10.156531573157302</v>
      </c>
      <c r="AB241" s="224">
        <v>9.0811275333085479</v>
      </c>
      <c r="AC241" s="224">
        <v>11.073445165946112</v>
      </c>
      <c r="AD241" s="1121">
        <v>13.536109626683087</v>
      </c>
      <c r="AE241" s="224">
        <v>21971.19796560457</v>
      </c>
      <c r="AF241" s="224">
        <v>5585.6720587199998</v>
      </c>
      <c r="AG241" s="224">
        <v>6449.2535885167463</v>
      </c>
      <c r="AH241" s="224">
        <v>9379.0497430624619</v>
      </c>
      <c r="AI241" s="224">
        <v>40800</v>
      </c>
      <c r="AJ241" s="224">
        <v>0</v>
      </c>
      <c r="AK241" s="224">
        <v>745.98720000000003</v>
      </c>
      <c r="AL241" s="224">
        <v>0</v>
      </c>
      <c r="AM241" s="224">
        <v>436.00000000000006</v>
      </c>
      <c r="AN241" s="1121">
        <v>85367.160555903785</v>
      </c>
      <c r="AO241" s="224">
        <f t="shared" si="16"/>
        <v>1.7835178044117634</v>
      </c>
      <c r="AP241" s="1124">
        <v>0.1</v>
      </c>
      <c r="AQ241" s="1124">
        <f t="shared" si="18"/>
        <v>6.6157067752379534E-2</v>
      </c>
      <c r="AR241" s="1124">
        <v>20</v>
      </c>
      <c r="AS241" s="1124">
        <f t="shared" si="19"/>
        <v>0.8221063128607311</v>
      </c>
      <c r="AT241" s="224">
        <f t="shared" si="17"/>
        <v>5647.6410247251888</v>
      </c>
    </row>
    <row r="242" spans="1:46">
      <c r="A242" s="1122">
        <v>2020</v>
      </c>
      <c r="D242" s="1108" t="s">
        <v>1924</v>
      </c>
      <c r="E242" s="224" t="s">
        <v>1919</v>
      </c>
      <c r="G242" s="224" t="e">
        <v>#DIV/0!</v>
      </c>
      <c r="H242" s="224" t="e">
        <v>#DIV/0!</v>
      </c>
      <c r="I242" s="224" t="e">
        <v>#DIV/0!</v>
      </c>
      <c r="J242" s="224" t="e">
        <v>#DIV/0!</v>
      </c>
      <c r="K242" s="224" t="e">
        <v>#DIV/0!</v>
      </c>
      <c r="L242" s="224" t="e">
        <v>#DIV/0!</v>
      </c>
      <c r="M242" s="224" t="e">
        <v>#DIV/0!</v>
      </c>
      <c r="N242" s="224" t="e">
        <v>#DIV/0!</v>
      </c>
      <c r="O242" s="224" t="e">
        <v>#DIV/0!</v>
      </c>
      <c r="P242" s="224" t="e">
        <v>#DIV/0!</v>
      </c>
      <c r="Q242" s="224" t="e">
        <v>#DIV/0!</v>
      </c>
      <c r="R242" s="224" t="e">
        <v>#DIV/0!</v>
      </c>
      <c r="S242" s="224" t="e">
        <v>#DIV/0!</v>
      </c>
      <c r="T242" s="224" t="e">
        <v>#DIV/0!</v>
      </c>
      <c r="U242" s="224" t="e">
        <v>#DIV/0!</v>
      </c>
      <c r="V242" s="224" t="e">
        <v>#DIV/0!</v>
      </c>
      <c r="W242" s="224" t="e">
        <v>#DIV/0!</v>
      </c>
      <c r="X242" s="224" t="e">
        <v>#DIV/0!</v>
      </c>
      <c r="Y242" s="224" t="e">
        <v>#DIV/0!</v>
      </c>
      <c r="Z242" s="224" t="e">
        <v>#DIV/0!</v>
      </c>
      <c r="AA242" s="224" t="e">
        <v>#DIV/0!</v>
      </c>
      <c r="AB242" s="224" t="e">
        <v>#DIV/0!</v>
      </c>
      <c r="AC242" s="224" t="e">
        <v>#DIV/0!</v>
      </c>
      <c r="AD242" s="1121" t="e">
        <v>#DIV/0!</v>
      </c>
      <c r="AE242" s="224" t="e">
        <v>#DIV/0!</v>
      </c>
      <c r="AF242" s="224" t="e">
        <v>#DIV/0!</v>
      </c>
      <c r="AG242" s="224" t="e">
        <v>#DIV/0!</v>
      </c>
      <c r="AH242" s="224" t="e">
        <v>#DIV/0!</v>
      </c>
      <c r="AI242" s="224" t="e">
        <v>#DIV/0!</v>
      </c>
      <c r="AJ242" s="224" t="e">
        <v>#DIV/0!</v>
      </c>
      <c r="AK242" s="224" t="e">
        <v>#DIV/0!</v>
      </c>
      <c r="AL242" s="224" t="e">
        <v>#DIV/0!</v>
      </c>
      <c r="AM242" s="224" t="e">
        <v>#DIV/0!</v>
      </c>
      <c r="AN242" s="1121" t="e">
        <v>#DIV/0!</v>
      </c>
      <c r="AO242" s="224" t="e">
        <f t="shared" si="16"/>
        <v>#DIV/0!</v>
      </c>
      <c r="AP242" s="1124">
        <v>0.1</v>
      </c>
      <c r="AQ242" s="1124">
        <f t="shared" si="18"/>
        <v>6.6157067752379534E-2</v>
      </c>
      <c r="AR242" s="1124">
        <v>20</v>
      </c>
      <c r="AS242" s="1124" t="e">
        <f t="shared" si="19"/>
        <v>#DIV/0!</v>
      </c>
      <c r="AT242" s="224" t="e">
        <f t="shared" si="17"/>
        <v>#DIV/0!</v>
      </c>
    </row>
    <row r="243" spans="1:46">
      <c r="A243" s="1119">
        <v>2025</v>
      </c>
      <c r="D243" s="1108" t="s">
        <v>1924</v>
      </c>
      <c r="E243" s="224" t="s">
        <v>1919</v>
      </c>
      <c r="G243" s="224" t="e">
        <v>#DIV/0!</v>
      </c>
      <c r="H243" s="224" t="e">
        <v>#DIV/0!</v>
      </c>
      <c r="I243" s="224" t="e">
        <v>#DIV/0!</v>
      </c>
      <c r="J243" s="224" t="e">
        <v>#DIV/0!</v>
      </c>
      <c r="K243" s="224" t="e">
        <v>#DIV/0!</v>
      </c>
      <c r="L243" s="224" t="e">
        <v>#DIV/0!</v>
      </c>
      <c r="M243" s="224" t="e">
        <v>#DIV/0!</v>
      </c>
      <c r="N243" s="224" t="e">
        <v>#DIV/0!</v>
      </c>
      <c r="O243" s="224" t="e">
        <v>#DIV/0!</v>
      </c>
      <c r="P243" s="224" t="e">
        <v>#DIV/0!</v>
      </c>
      <c r="Q243" s="224" t="e">
        <v>#DIV/0!</v>
      </c>
      <c r="R243" s="224" t="e">
        <v>#DIV/0!</v>
      </c>
      <c r="S243" s="224" t="e">
        <v>#DIV/0!</v>
      </c>
      <c r="T243" s="224" t="e">
        <v>#DIV/0!</v>
      </c>
      <c r="U243" s="224" t="e">
        <v>#DIV/0!</v>
      </c>
      <c r="V243" s="224" t="e">
        <v>#DIV/0!</v>
      </c>
      <c r="W243" s="224" t="e">
        <v>#DIV/0!</v>
      </c>
      <c r="X243" s="224" t="e">
        <v>#DIV/0!</v>
      </c>
      <c r="Y243" s="224" t="e">
        <v>#DIV/0!</v>
      </c>
      <c r="Z243" s="224" t="e">
        <v>#DIV/0!</v>
      </c>
      <c r="AA243" s="224" t="e">
        <v>#DIV/0!</v>
      </c>
      <c r="AB243" s="224" t="e">
        <v>#DIV/0!</v>
      </c>
      <c r="AC243" s="224" t="e">
        <v>#DIV/0!</v>
      </c>
      <c r="AD243" s="1121" t="e">
        <v>#DIV/0!</v>
      </c>
      <c r="AE243" s="224" t="e">
        <v>#DIV/0!</v>
      </c>
      <c r="AF243" s="224" t="e">
        <v>#DIV/0!</v>
      </c>
      <c r="AG243" s="224" t="e">
        <v>#DIV/0!</v>
      </c>
      <c r="AH243" s="224" t="e">
        <v>#DIV/0!</v>
      </c>
      <c r="AI243" s="224" t="e">
        <v>#DIV/0!</v>
      </c>
      <c r="AJ243" s="224" t="e">
        <v>#DIV/0!</v>
      </c>
      <c r="AK243" s="224" t="e">
        <v>#DIV/0!</v>
      </c>
      <c r="AL243" s="224" t="e">
        <v>#DIV/0!</v>
      </c>
      <c r="AM243" s="224" t="e">
        <v>#DIV/0!</v>
      </c>
      <c r="AN243" s="1121" t="e">
        <v>#DIV/0!</v>
      </c>
      <c r="AO243" s="224" t="e">
        <f t="shared" si="16"/>
        <v>#DIV/0!</v>
      </c>
      <c r="AP243" s="1124">
        <v>0.1</v>
      </c>
      <c r="AQ243" s="1124">
        <f t="shared" si="18"/>
        <v>6.6157067752379534E-2</v>
      </c>
      <c r="AR243" s="1124">
        <v>20</v>
      </c>
      <c r="AS243" s="1124" t="e">
        <f t="shared" si="19"/>
        <v>#DIV/0!</v>
      </c>
      <c r="AT243" s="224" t="e">
        <f t="shared" si="17"/>
        <v>#DIV/0!</v>
      </c>
    </row>
    <row r="244" spans="1:46">
      <c r="A244" s="1119">
        <v>2030</v>
      </c>
      <c r="D244" s="1108" t="s">
        <v>1924</v>
      </c>
      <c r="E244" s="71" t="s">
        <v>1919</v>
      </c>
      <c r="G244" s="224">
        <v>8074.9597203803824</v>
      </c>
      <c r="H244" s="224">
        <v>4500</v>
      </c>
      <c r="I244" s="224">
        <v>4.7520000000000007</v>
      </c>
      <c r="J244" s="224">
        <v>6.7710210487715347E-2</v>
      </c>
      <c r="K244" s="224">
        <v>6.0540850222056991E-2</v>
      </c>
      <c r="L244" s="224">
        <v>7.3822967772974077E-2</v>
      </c>
      <c r="M244" s="224">
        <v>0</v>
      </c>
      <c r="N244" s="224">
        <v>0</v>
      </c>
      <c r="O244" s="224">
        <v>0</v>
      </c>
      <c r="P244" s="224">
        <v>0</v>
      </c>
      <c r="Q244" s="224">
        <v>0</v>
      </c>
      <c r="R244" s="224">
        <v>0</v>
      </c>
      <c r="S244" s="224">
        <v>0</v>
      </c>
      <c r="T244" s="224">
        <v>0</v>
      </c>
      <c r="U244" s="224">
        <v>0</v>
      </c>
      <c r="V244" s="224">
        <v>231.5059072</v>
      </c>
      <c r="W244" s="224">
        <v>113.6112368</v>
      </c>
      <c r="X244" s="224">
        <v>147.91866028708131</v>
      </c>
      <c r="Y244" s="224">
        <v>4.7520000000000007</v>
      </c>
      <c r="Z244" s="224">
        <v>0</v>
      </c>
      <c r="AA244" s="224">
        <v>10.156531573157302</v>
      </c>
      <c r="AB244" s="224">
        <v>9.0811275333085479</v>
      </c>
      <c r="AC244" s="224">
        <v>11.073445165946112</v>
      </c>
      <c r="AD244" s="224">
        <v>13.536109626683087</v>
      </c>
      <c r="AE244" s="224">
        <v>22174.658046364562</v>
      </c>
      <c r="AF244" s="224">
        <v>1605.1330214094808</v>
      </c>
      <c r="AG244" s="224">
        <v>2825.484861916229</v>
      </c>
      <c r="AH244" s="224">
        <v>9112.8850836535621</v>
      </c>
      <c r="AI244" s="224">
        <v>40800</v>
      </c>
      <c r="AJ244" s="224">
        <v>0</v>
      </c>
      <c r="AK244" s="224">
        <v>3508.0290601924276</v>
      </c>
      <c r="AL244" s="224">
        <v>0</v>
      </c>
      <c r="AM244" s="224">
        <v>296</v>
      </c>
      <c r="AN244" s="1121">
        <v>80322.190073536258</v>
      </c>
      <c r="AO244" s="224">
        <f t="shared" si="16"/>
        <v>1.7835178044117634</v>
      </c>
      <c r="AP244" s="1124">
        <v>0.1</v>
      </c>
      <c r="AQ244" s="1124">
        <f t="shared" si="18"/>
        <v>6.6157067752379534E-2</v>
      </c>
      <c r="AR244" s="1124">
        <v>20</v>
      </c>
      <c r="AS244" s="1124">
        <f t="shared" si="19"/>
        <v>0.8221063128607311</v>
      </c>
      <c r="AT244" s="224">
        <f t="shared" si="17"/>
        <v>5313.8805707144447</v>
      </c>
    </row>
    <row r="245" spans="1:46">
      <c r="A245" s="1119">
        <v>2035</v>
      </c>
      <c r="D245" s="1108" t="s">
        <v>1924</v>
      </c>
      <c r="E245" s="224" t="s">
        <v>1919</v>
      </c>
      <c r="G245" s="224" t="e">
        <v>#DIV/0!</v>
      </c>
      <c r="H245" s="224" t="e">
        <v>#DIV/0!</v>
      </c>
      <c r="I245" s="224" t="e">
        <v>#DIV/0!</v>
      </c>
      <c r="J245" s="224" t="e">
        <v>#DIV/0!</v>
      </c>
      <c r="K245" s="224" t="e">
        <v>#DIV/0!</v>
      </c>
      <c r="L245" s="224" t="e">
        <v>#DIV/0!</v>
      </c>
      <c r="M245" s="224" t="e">
        <v>#DIV/0!</v>
      </c>
      <c r="N245" s="224" t="e">
        <v>#DIV/0!</v>
      </c>
      <c r="O245" s="224" t="e">
        <v>#DIV/0!</v>
      </c>
      <c r="P245" s="224" t="e">
        <v>#DIV/0!</v>
      </c>
      <c r="Q245" s="224" t="e">
        <v>#DIV/0!</v>
      </c>
      <c r="R245" s="224" t="e">
        <v>#DIV/0!</v>
      </c>
      <c r="S245" s="224" t="e">
        <v>#DIV/0!</v>
      </c>
      <c r="T245" s="224" t="e">
        <v>#DIV/0!</v>
      </c>
      <c r="U245" s="224" t="e">
        <v>#DIV/0!</v>
      </c>
      <c r="V245" s="224" t="e">
        <v>#DIV/0!</v>
      </c>
      <c r="W245" s="224" t="e">
        <v>#DIV/0!</v>
      </c>
      <c r="X245" s="224" t="e">
        <v>#DIV/0!</v>
      </c>
      <c r="Y245" s="224" t="e">
        <v>#DIV/0!</v>
      </c>
      <c r="Z245" s="224" t="e">
        <v>#DIV/0!</v>
      </c>
      <c r="AA245" s="224" t="e">
        <v>#DIV/0!</v>
      </c>
      <c r="AB245" s="224" t="e">
        <v>#DIV/0!</v>
      </c>
      <c r="AC245" s="224" t="e">
        <v>#DIV/0!</v>
      </c>
      <c r="AD245" s="224" t="e">
        <v>#DIV/0!</v>
      </c>
      <c r="AE245" s="224" t="e">
        <v>#DIV/0!</v>
      </c>
      <c r="AF245" s="224" t="e">
        <v>#DIV/0!</v>
      </c>
      <c r="AG245" s="224" t="e">
        <v>#DIV/0!</v>
      </c>
      <c r="AH245" s="224" t="e">
        <v>#DIV/0!</v>
      </c>
      <c r="AI245" s="224" t="e">
        <v>#DIV/0!</v>
      </c>
      <c r="AJ245" s="224" t="e">
        <v>#DIV/0!</v>
      </c>
      <c r="AK245" s="224" t="e">
        <v>#DIV/0!</v>
      </c>
      <c r="AL245" s="224" t="e">
        <v>#DIV/0!</v>
      </c>
      <c r="AM245" s="224" t="e">
        <v>#DIV/0!</v>
      </c>
      <c r="AN245" s="1121" t="e">
        <v>#DIV/0!</v>
      </c>
      <c r="AO245" s="224" t="e">
        <f t="shared" si="16"/>
        <v>#DIV/0!</v>
      </c>
      <c r="AP245" s="1124">
        <v>0.1</v>
      </c>
      <c r="AQ245" s="1124">
        <f t="shared" si="18"/>
        <v>6.6157067752379534E-2</v>
      </c>
      <c r="AR245" s="1124">
        <v>20</v>
      </c>
      <c r="AS245" s="1124" t="e">
        <f t="shared" si="19"/>
        <v>#DIV/0!</v>
      </c>
      <c r="AT245" s="224" t="e">
        <f t="shared" si="17"/>
        <v>#DIV/0!</v>
      </c>
    </row>
    <row r="246" spans="1:46">
      <c r="A246" s="1119">
        <v>2050</v>
      </c>
      <c r="D246" s="1108" t="s">
        <v>1924</v>
      </c>
      <c r="E246" s="71" t="s">
        <v>1919</v>
      </c>
      <c r="G246" s="224">
        <v>8074.9597203803824</v>
      </c>
      <c r="H246" s="224">
        <v>4500</v>
      </c>
      <c r="I246" s="224">
        <v>4.7520000000000007</v>
      </c>
      <c r="J246" s="224">
        <v>6.7710210487715347E-2</v>
      </c>
      <c r="K246" s="224">
        <v>6.0540850222056991E-2</v>
      </c>
      <c r="L246" s="224">
        <v>7.3822967772974077E-2</v>
      </c>
      <c r="M246" s="224">
        <v>0</v>
      </c>
      <c r="N246" s="224">
        <v>0</v>
      </c>
      <c r="O246" s="224">
        <v>0</v>
      </c>
      <c r="P246" s="224">
        <v>0</v>
      </c>
      <c r="Q246" s="224">
        <v>0</v>
      </c>
      <c r="R246" s="224">
        <v>0</v>
      </c>
      <c r="S246" s="224">
        <v>0</v>
      </c>
      <c r="T246" s="224">
        <v>0</v>
      </c>
      <c r="U246" s="224">
        <v>0</v>
      </c>
      <c r="V246" s="224">
        <v>231.5059072</v>
      </c>
      <c r="W246" s="224">
        <v>113.6112368</v>
      </c>
      <c r="X246" s="224">
        <v>147.91866028708131</v>
      </c>
      <c r="Y246" s="224">
        <v>4.7520000000000007</v>
      </c>
      <c r="Z246" s="224">
        <v>0</v>
      </c>
      <c r="AA246" s="224">
        <v>10.156531573157302</v>
      </c>
      <c r="AB246" s="224">
        <v>9.0811275333085479</v>
      </c>
      <c r="AC246" s="224">
        <v>11.073445165946112</v>
      </c>
      <c r="AD246" s="224">
        <v>13.536109626683087</v>
      </c>
      <c r="AE246" s="224">
        <v>22875.828874819377</v>
      </c>
      <c r="AF246" s="224">
        <v>791.26346201613819</v>
      </c>
      <c r="AG246" s="224">
        <v>1707.5805730109701</v>
      </c>
      <c r="AH246" s="224">
        <v>8853.7867257888593</v>
      </c>
      <c r="AI246" s="224">
        <v>40800</v>
      </c>
      <c r="AJ246" s="224">
        <v>0</v>
      </c>
      <c r="AK246" s="224">
        <v>4842.5801991868502</v>
      </c>
      <c r="AL246" s="224">
        <v>0</v>
      </c>
      <c r="AM246" s="224">
        <v>240</v>
      </c>
      <c r="AN246" s="1121">
        <v>80111.039834822193</v>
      </c>
      <c r="AO246" s="224">
        <f t="shared" si="16"/>
        <v>1.7835178044117634</v>
      </c>
      <c r="AP246" s="1124">
        <v>0.1</v>
      </c>
      <c r="AQ246" s="1124">
        <f t="shared" si="18"/>
        <v>6.6157067752379534E-2</v>
      </c>
      <c r="AR246" s="1124">
        <v>20</v>
      </c>
      <c r="AS246" s="1124">
        <f t="shared" si="19"/>
        <v>0.8221063128607311</v>
      </c>
      <c r="AT246" s="224">
        <f t="shared" si="17"/>
        <v>5299.9114900659079</v>
      </c>
    </row>
    <row r="247" spans="1:46">
      <c r="A247" s="1119">
        <v>2017</v>
      </c>
      <c r="D247" s="1108" t="s">
        <v>1924</v>
      </c>
      <c r="E247" s="224" t="s">
        <v>1920</v>
      </c>
      <c r="G247" s="224">
        <v>8535.8837748748629</v>
      </c>
      <c r="H247" s="224">
        <v>4500</v>
      </c>
      <c r="I247" s="224">
        <v>107.98875</v>
      </c>
      <c r="J247" s="224">
        <v>6.25136907746566E-2</v>
      </c>
      <c r="K247" s="224">
        <v>7.2210247963338511E-2</v>
      </c>
      <c r="L247" s="224">
        <v>8.7750578230701426E-2</v>
      </c>
      <c r="M247" s="224">
        <v>2.0976099809536165E-2</v>
      </c>
      <c r="N247" s="224">
        <v>2.4864927210847324E-2</v>
      </c>
      <c r="O247" s="224">
        <v>2.9333478491419988E-2</v>
      </c>
      <c r="P247" s="224">
        <v>-15.910871775069657</v>
      </c>
      <c r="Q247" s="224">
        <v>-7.1516626140394446E-2</v>
      </c>
      <c r="R247" s="224">
        <v>-54.104516016274395</v>
      </c>
      <c r="S247" s="224">
        <v>789.87792975465629</v>
      </c>
      <c r="T247" s="224">
        <v>936.3159694670901</v>
      </c>
      <c r="U247" s="224">
        <v>1104.5841445115577</v>
      </c>
      <c r="V247" s="224">
        <v>110</v>
      </c>
      <c r="W247" s="224">
        <v>280.08470490000002</v>
      </c>
      <c r="X247" s="224">
        <v>420.12705735000003</v>
      </c>
      <c r="Y247" s="224">
        <v>107.36812500000001</v>
      </c>
      <c r="Z247" s="224">
        <v>0</v>
      </c>
      <c r="AA247" s="224">
        <v>4.2958836702726426</v>
      </c>
      <c r="AB247" s="224">
        <v>5.9457380606827392</v>
      </c>
      <c r="AC247" s="224">
        <v>8.0525528312865138</v>
      </c>
      <c r="AD247" s="1121">
        <v>4.8066115573072752</v>
      </c>
      <c r="AE247" s="224">
        <v>10607.211428571429</v>
      </c>
      <c r="AF247" s="224">
        <v>12727.383840209999</v>
      </c>
      <c r="AG247" s="224">
        <v>61090.315762499988</v>
      </c>
      <c r="AH247" s="224">
        <v>0</v>
      </c>
      <c r="AI247" s="224">
        <v>40800</v>
      </c>
      <c r="AJ247" s="224">
        <v>0</v>
      </c>
      <c r="AK247" s="224">
        <v>745.98720000000003</v>
      </c>
      <c r="AL247" s="224">
        <v>0</v>
      </c>
      <c r="AM247" s="224">
        <v>436.00000000000006</v>
      </c>
      <c r="AN247" s="1121">
        <v>126406.89823128143</v>
      </c>
      <c r="AO247" s="224">
        <f t="shared" si="16"/>
        <v>0.63331913879080648</v>
      </c>
      <c r="AP247" s="1124">
        <v>0.1</v>
      </c>
      <c r="AQ247" s="1124">
        <f t="shared" si="18"/>
        <v>6.6157067752379534E-2</v>
      </c>
      <c r="AR247" s="1124">
        <v>20</v>
      </c>
      <c r="AS247" s="1124">
        <f t="shared" si="19"/>
        <v>0.29192624865730749</v>
      </c>
      <c r="AT247" s="224">
        <f t="shared" si="17"/>
        <v>8362.7097306550313</v>
      </c>
    </row>
    <row r="248" spans="1:46">
      <c r="A248" s="1122">
        <v>2020</v>
      </c>
      <c r="D248" s="1108" t="s">
        <v>1924</v>
      </c>
      <c r="E248" s="224" t="s">
        <v>1920</v>
      </c>
      <c r="G248" s="224" t="e">
        <v>#DIV/0!</v>
      </c>
      <c r="H248" s="224" t="e">
        <v>#DIV/0!</v>
      </c>
      <c r="I248" s="224" t="e">
        <v>#DIV/0!</v>
      </c>
      <c r="J248" s="224" t="e">
        <v>#DIV/0!</v>
      </c>
      <c r="K248" s="224" t="e">
        <v>#DIV/0!</v>
      </c>
      <c r="L248" s="224" t="e">
        <v>#DIV/0!</v>
      </c>
      <c r="M248" s="224" t="e">
        <v>#DIV/0!</v>
      </c>
      <c r="N248" s="224" t="e">
        <v>#DIV/0!</v>
      </c>
      <c r="O248" s="224" t="e">
        <v>#DIV/0!</v>
      </c>
      <c r="P248" s="224" t="e">
        <v>#DIV/0!</v>
      </c>
      <c r="Q248" s="224" t="e">
        <v>#DIV/0!</v>
      </c>
      <c r="R248" s="224" t="e">
        <v>#DIV/0!</v>
      </c>
      <c r="S248" s="224" t="e">
        <v>#DIV/0!</v>
      </c>
      <c r="T248" s="224" t="e">
        <v>#DIV/0!</v>
      </c>
      <c r="U248" s="224" t="e">
        <v>#DIV/0!</v>
      </c>
      <c r="V248" s="224" t="e">
        <v>#DIV/0!</v>
      </c>
      <c r="W248" s="224" t="e">
        <v>#DIV/0!</v>
      </c>
      <c r="X248" s="224" t="e">
        <v>#DIV/0!</v>
      </c>
      <c r="Y248" s="224" t="e">
        <v>#DIV/0!</v>
      </c>
      <c r="Z248" s="224" t="e">
        <v>#DIV/0!</v>
      </c>
      <c r="AA248" s="224" t="e">
        <v>#DIV/0!</v>
      </c>
      <c r="AB248" s="224" t="e">
        <v>#DIV/0!</v>
      </c>
      <c r="AC248" s="224" t="e">
        <v>#DIV/0!</v>
      </c>
      <c r="AD248" s="1121" t="e">
        <v>#DIV/0!</v>
      </c>
      <c r="AE248" s="224" t="e">
        <v>#DIV/0!</v>
      </c>
      <c r="AF248" s="224" t="e">
        <v>#DIV/0!</v>
      </c>
      <c r="AG248" s="224" t="e">
        <v>#DIV/0!</v>
      </c>
      <c r="AH248" s="224" t="e">
        <v>#DIV/0!</v>
      </c>
      <c r="AI248" s="224" t="e">
        <v>#DIV/0!</v>
      </c>
      <c r="AJ248" s="224" t="e">
        <v>#DIV/0!</v>
      </c>
      <c r="AK248" s="224" t="e">
        <v>#DIV/0!</v>
      </c>
      <c r="AL248" s="224" t="e">
        <v>#DIV/0!</v>
      </c>
      <c r="AM248" s="224" t="e">
        <v>#DIV/0!</v>
      </c>
      <c r="AN248" s="1121" t="e">
        <v>#DIV/0!</v>
      </c>
      <c r="AO248" s="224" t="e">
        <f t="shared" si="16"/>
        <v>#DIV/0!</v>
      </c>
      <c r="AP248" s="1124">
        <v>0.1</v>
      </c>
      <c r="AQ248" s="1124">
        <f t="shared" si="18"/>
        <v>6.6157067752379534E-2</v>
      </c>
      <c r="AR248" s="1124">
        <v>20</v>
      </c>
      <c r="AS248" s="1124" t="e">
        <f t="shared" si="19"/>
        <v>#DIV/0!</v>
      </c>
      <c r="AT248" s="224" t="e">
        <f t="shared" si="17"/>
        <v>#DIV/0!</v>
      </c>
    </row>
    <row r="249" spans="1:46">
      <c r="A249" s="1119">
        <v>2025</v>
      </c>
      <c r="D249" s="1108" t="s">
        <v>1924</v>
      </c>
      <c r="E249" s="224" t="s">
        <v>1920</v>
      </c>
      <c r="G249" s="224" t="e">
        <v>#DIV/0!</v>
      </c>
      <c r="H249" s="224" t="e">
        <v>#DIV/0!</v>
      </c>
      <c r="I249" s="224" t="e">
        <v>#DIV/0!</v>
      </c>
      <c r="J249" s="224" t="e">
        <v>#DIV/0!</v>
      </c>
      <c r="K249" s="224" t="e">
        <v>#DIV/0!</v>
      </c>
      <c r="L249" s="224" t="e">
        <v>#DIV/0!</v>
      </c>
      <c r="M249" s="224" t="e">
        <v>#DIV/0!</v>
      </c>
      <c r="N249" s="224" t="e">
        <v>#DIV/0!</v>
      </c>
      <c r="O249" s="224" t="e">
        <v>#DIV/0!</v>
      </c>
      <c r="P249" s="224" t="e">
        <v>#DIV/0!</v>
      </c>
      <c r="Q249" s="224" t="e">
        <v>#DIV/0!</v>
      </c>
      <c r="R249" s="224" t="e">
        <v>#DIV/0!</v>
      </c>
      <c r="S249" s="224" t="e">
        <v>#DIV/0!</v>
      </c>
      <c r="T249" s="224" t="e">
        <v>#DIV/0!</v>
      </c>
      <c r="U249" s="224" t="e">
        <v>#DIV/0!</v>
      </c>
      <c r="V249" s="224" t="e">
        <v>#DIV/0!</v>
      </c>
      <c r="W249" s="224" t="e">
        <v>#DIV/0!</v>
      </c>
      <c r="X249" s="224" t="e">
        <v>#DIV/0!</v>
      </c>
      <c r="Y249" s="224" t="e">
        <v>#DIV/0!</v>
      </c>
      <c r="Z249" s="224" t="e">
        <v>#DIV/0!</v>
      </c>
      <c r="AA249" s="224" t="e">
        <v>#DIV/0!</v>
      </c>
      <c r="AB249" s="224" t="e">
        <v>#DIV/0!</v>
      </c>
      <c r="AC249" s="224" t="e">
        <v>#DIV/0!</v>
      </c>
      <c r="AD249" s="1121" t="e">
        <v>#DIV/0!</v>
      </c>
      <c r="AE249" s="224" t="e">
        <v>#DIV/0!</v>
      </c>
      <c r="AF249" s="224" t="e">
        <v>#DIV/0!</v>
      </c>
      <c r="AG249" s="224" t="e">
        <v>#DIV/0!</v>
      </c>
      <c r="AH249" s="224" t="e">
        <v>#DIV/0!</v>
      </c>
      <c r="AI249" s="224" t="e">
        <v>#DIV/0!</v>
      </c>
      <c r="AJ249" s="224" t="e">
        <v>#DIV/0!</v>
      </c>
      <c r="AK249" s="224" t="e">
        <v>#DIV/0!</v>
      </c>
      <c r="AL249" s="224" t="e">
        <v>#DIV/0!</v>
      </c>
      <c r="AM249" s="224" t="e">
        <v>#DIV/0!</v>
      </c>
      <c r="AN249" s="1121" t="e">
        <v>#DIV/0!</v>
      </c>
      <c r="AO249" s="224" t="e">
        <f t="shared" si="16"/>
        <v>#DIV/0!</v>
      </c>
      <c r="AP249" s="1124">
        <v>0.1</v>
      </c>
      <c r="AQ249" s="1124">
        <f t="shared" si="18"/>
        <v>6.6157067752379534E-2</v>
      </c>
      <c r="AR249" s="1124">
        <v>20</v>
      </c>
      <c r="AS249" s="1124" t="e">
        <f t="shared" si="19"/>
        <v>#DIV/0!</v>
      </c>
      <c r="AT249" s="224" t="e">
        <f t="shared" si="17"/>
        <v>#DIV/0!</v>
      </c>
    </row>
    <row r="250" spans="1:46">
      <c r="A250" s="1119">
        <v>2030</v>
      </c>
      <c r="D250" s="1108" t="s">
        <v>1924</v>
      </c>
      <c r="E250" s="71" t="s">
        <v>1920</v>
      </c>
      <c r="G250" s="224">
        <v>8535.8837748748629</v>
      </c>
      <c r="H250" s="224">
        <v>4500</v>
      </c>
      <c r="I250" s="224">
        <v>107.98875</v>
      </c>
      <c r="J250" s="224">
        <v>6.25136907746566E-2</v>
      </c>
      <c r="K250" s="224">
        <v>7.2210247963338511E-2</v>
      </c>
      <c r="L250" s="224">
        <v>8.7750578230701426E-2</v>
      </c>
      <c r="M250" s="224">
        <v>2.0976099809536165E-2</v>
      </c>
      <c r="N250" s="224">
        <v>2.4864927210847324E-2</v>
      </c>
      <c r="O250" s="224">
        <v>2.9333478491419988E-2</v>
      </c>
      <c r="P250" s="224">
        <v>-15.910871775069657</v>
      </c>
      <c r="Q250" s="224">
        <v>-7.1516626140394446E-2</v>
      </c>
      <c r="R250" s="224">
        <v>-54.104516016274395</v>
      </c>
      <c r="S250" s="224">
        <v>789.87792975465629</v>
      </c>
      <c r="T250" s="224">
        <v>936.3159694670901</v>
      </c>
      <c r="U250" s="224">
        <v>1104.5841445115577</v>
      </c>
      <c r="V250" s="224">
        <v>110</v>
      </c>
      <c r="W250" s="224">
        <v>280.08470490000002</v>
      </c>
      <c r="X250" s="224">
        <v>420.12705735000003</v>
      </c>
      <c r="Y250" s="224">
        <v>107.36812500000001</v>
      </c>
      <c r="Z250" s="224">
        <v>0</v>
      </c>
      <c r="AA250" s="224">
        <v>4.2958836702726426</v>
      </c>
      <c r="AB250" s="224">
        <v>5.9457380606827392</v>
      </c>
      <c r="AC250" s="224">
        <v>8.0525528312865138</v>
      </c>
      <c r="AD250" s="224">
        <v>4.8066115573072752</v>
      </c>
      <c r="AE250" s="224">
        <v>8453.2790263415554</v>
      </c>
      <c r="AF250" s="224">
        <v>3249.5039601387612</v>
      </c>
      <c r="AG250" s="224">
        <v>19225.345416627173</v>
      </c>
      <c r="AH250" s="224">
        <v>0</v>
      </c>
      <c r="AI250" s="224">
        <v>40800</v>
      </c>
      <c r="AJ250" s="224">
        <v>0</v>
      </c>
      <c r="AK250" s="224">
        <v>3508.0290601924276</v>
      </c>
      <c r="AL250" s="224">
        <v>0</v>
      </c>
      <c r="AM250" s="224">
        <v>296</v>
      </c>
      <c r="AN250" s="1121">
        <v>75532.157463299911</v>
      </c>
      <c r="AO250" s="224">
        <f t="shared" si="16"/>
        <v>0.63331913879080648</v>
      </c>
      <c r="AP250" s="1124">
        <v>0.1</v>
      </c>
      <c r="AQ250" s="1124">
        <f t="shared" si="18"/>
        <v>6.6157067752379534E-2</v>
      </c>
      <c r="AR250" s="1124">
        <v>20</v>
      </c>
      <c r="AS250" s="1124">
        <f t="shared" si="19"/>
        <v>0.29192624865730749</v>
      </c>
      <c r="AT250" s="224">
        <f t="shared" si="17"/>
        <v>4996.9860587829317</v>
      </c>
    </row>
    <row r="251" spans="1:46">
      <c r="A251" s="1119">
        <v>2035</v>
      </c>
      <c r="D251" s="1108" t="s">
        <v>1924</v>
      </c>
      <c r="E251" s="224" t="s">
        <v>1920</v>
      </c>
      <c r="G251" s="224" t="e">
        <v>#DIV/0!</v>
      </c>
      <c r="H251" s="224" t="e">
        <v>#DIV/0!</v>
      </c>
      <c r="I251" s="224" t="e">
        <v>#DIV/0!</v>
      </c>
      <c r="J251" s="224" t="e">
        <v>#DIV/0!</v>
      </c>
      <c r="K251" s="224" t="e">
        <v>#DIV/0!</v>
      </c>
      <c r="L251" s="224" t="e">
        <v>#DIV/0!</v>
      </c>
      <c r="M251" s="224" t="e">
        <v>#DIV/0!</v>
      </c>
      <c r="N251" s="224" t="e">
        <v>#DIV/0!</v>
      </c>
      <c r="O251" s="224" t="e">
        <v>#DIV/0!</v>
      </c>
      <c r="P251" s="224" t="e">
        <v>#DIV/0!</v>
      </c>
      <c r="Q251" s="224" t="e">
        <v>#DIV/0!</v>
      </c>
      <c r="R251" s="224" t="e">
        <v>#DIV/0!</v>
      </c>
      <c r="S251" s="224" t="e">
        <v>#DIV/0!</v>
      </c>
      <c r="T251" s="224" t="e">
        <v>#DIV/0!</v>
      </c>
      <c r="U251" s="224" t="e">
        <v>#DIV/0!</v>
      </c>
      <c r="V251" s="224" t="e">
        <v>#DIV/0!</v>
      </c>
      <c r="W251" s="224" t="e">
        <v>#DIV/0!</v>
      </c>
      <c r="X251" s="224" t="e">
        <v>#DIV/0!</v>
      </c>
      <c r="Y251" s="224" t="e">
        <v>#DIV/0!</v>
      </c>
      <c r="Z251" s="224" t="e">
        <v>#DIV/0!</v>
      </c>
      <c r="AA251" s="224" t="e">
        <v>#DIV/0!</v>
      </c>
      <c r="AB251" s="224" t="e">
        <v>#DIV/0!</v>
      </c>
      <c r="AC251" s="224" t="e">
        <v>#DIV/0!</v>
      </c>
      <c r="AD251" s="224" t="e">
        <v>#DIV/0!</v>
      </c>
      <c r="AE251" s="224" t="e">
        <v>#DIV/0!</v>
      </c>
      <c r="AF251" s="224" t="e">
        <v>#DIV/0!</v>
      </c>
      <c r="AG251" s="224" t="e">
        <v>#DIV/0!</v>
      </c>
      <c r="AH251" s="224" t="e">
        <v>#DIV/0!</v>
      </c>
      <c r="AI251" s="224" t="e">
        <v>#DIV/0!</v>
      </c>
      <c r="AJ251" s="224" t="e">
        <v>#DIV/0!</v>
      </c>
      <c r="AK251" s="224" t="e">
        <v>#DIV/0!</v>
      </c>
      <c r="AL251" s="224" t="e">
        <v>#DIV/0!</v>
      </c>
      <c r="AM251" s="224" t="e">
        <v>#DIV/0!</v>
      </c>
      <c r="AN251" s="1121" t="e">
        <v>#DIV/0!</v>
      </c>
      <c r="AO251" s="224" t="e">
        <f t="shared" si="16"/>
        <v>#DIV/0!</v>
      </c>
      <c r="AP251" s="1124">
        <v>0.1</v>
      </c>
      <c r="AQ251" s="1124">
        <f t="shared" si="18"/>
        <v>6.6157067752379534E-2</v>
      </c>
      <c r="AR251" s="1124">
        <v>20</v>
      </c>
      <c r="AS251" s="1124" t="e">
        <f t="shared" si="19"/>
        <v>#DIV/0!</v>
      </c>
      <c r="AT251" s="224" t="e">
        <f t="shared" si="17"/>
        <v>#DIV/0!</v>
      </c>
    </row>
    <row r="252" spans="1:46">
      <c r="A252" s="1119">
        <v>2050</v>
      </c>
      <c r="D252" s="1108" t="s">
        <v>1924</v>
      </c>
      <c r="E252" s="71" t="s">
        <v>1920</v>
      </c>
      <c r="G252" s="224">
        <v>8535.8837748748629</v>
      </c>
      <c r="H252" s="224">
        <v>4500</v>
      </c>
      <c r="I252" s="224">
        <v>107.98875</v>
      </c>
      <c r="J252" s="224">
        <v>6.25136907746566E-2</v>
      </c>
      <c r="K252" s="224">
        <v>7.2210247963338511E-2</v>
      </c>
      <c r="L252" s="224">
        <v>8.7750578230701426E-2</v>
      </c>
      <c r="M252" s="224">
        <v>2.0976099809536165E-2</v>
      </c>
      <c r="N252" s="224">
        <v>2.4864927210847324E-2</v>
      </c>
      <c r="O252" s="224">
        <v>2.9333478491419988E-2</v>
      </c>
      <c r="P252" s="224">
        <v>-15.910871775069657</v>
      </c>
      <c r="Q252" s="224">
        <v>-7.1516626140394446E-2</v>
      </c>
      <c r="R252" s="224">
        <v>-54.104516016274395</v>
      </c>
      <c r="S252" s="224">
        <v>789.87792975465629</v>
      </c>
      <c r="T252" s="224">
        <v>936.3159694670901</v>
      </c>
      <c r="U252" s="224">
        <v>1104.5841445115577</v>
      </c>
      <c r="V252" s="224">
        <v>110</v>
      </c>
      <c r="W252" s="224">
        <v>280.08470490000002</v>
      </c>
      <c r="X252" s="224">
        <v>420.12705735000003</v>
      </c>
      <c r="Y252" s="224">
        <v>107.36812500000001</v>
      </c>
      <c r="Z252" s="224">
        <v>0</v>
      </c>
      <c r="AA252" s="224">
        <v>4.2958836702726426</v>
      </c>
      <c r="AB252" s="224">
        <v>5.9457380606827392</v>
      </c>
      <c r="AC252" s="224">
        <v>8.0525528312865138</v>
      </c>
      <c r="AD252" s="224">
        <v>4.8066115573072752</v>
      </c>
      <c r="AE252" s="224">
        <v>8511.9824973604864</v>
      </c>
      <c r="AF252" s="224">
        <v>1563.0066244371621</v>
      </c>
      <c r="AG252" s="224">
        <v>10481.31055098559</v>
      </c>
      <c r="AH252" s="224">
        <v>0</v>
      </c>
      <c r="AI252" s="224">
        <v>40800</v>
      </c>
      <c r="AJ252" s="224">
        <v>0</v>
      </c>
      <c r="AK252" s="224">
        <v>4842.5801991868502</v>
      </c>
      <c r="AL252" s="224">
        <v>0</v>
      </c>
      <c r="AM252" s="224">
        <v>240</v>
      </c>
      <c r="AN252" s="1121">
        <v>66438.879871970086</v>
      </c>
      <c r="AO252" s="224">
        <f t="shared" si="16"/>
        <v>0.63331913879080648</v>
      </c>
      <c r="AP252" s="1124">
        <v>0.1</v>
      </c>
      <c r="AQ252" s="1124">
        <f t="shared" si="18"/>
        <v>6.6157067752379534E-2</v>
      </c>
      <c r="AR252" s="1124">
        <v>20</v>
      </c>
      <c r="AS252" s="1124">
        <f t="shared" si="19"/>
        <v>0.29192624865730749</v>
      </c>
      <c r="AT252" s="224">
        <f t="shared" si="17"/>
        <v>4395.4014770821295</v>
      </c>
    </row>
    <row r="253" spans="1:46">
      <c r="A253" s="1119">
        <v>2017</v>
      </c>
      <c r="D253" s="1108" t="s">
        <v>1924</v>
      </c>
      <c r="E253" s="224" t="s">
        <v>1921</v>
      </c>
      <c r="G253" s="224">
        <v>8046.2394769900002</v>
      </c>
      <c r="H253" s="224">
        <v>4500</v>
      </c>
      <c r="I253" s="224">
        <v>200.71012500000001</v>
      </c>
      <c r="J253" s="224">
        <v>0</v>
      </c>
      <c r="K253" s="224">
        <v>0</v>
      </c>
      <c r="L253" s="224">
        <v>0</v>
      </c>
      <c r="M253" s="224">
        <v>0</v>
      </c>
      <c r="N253" s="224">
        <v>0</v>
      </c>
      <c r="O253" s="224">
        <v>0</v>
      </c>
      <c r="P253" s="224">
        <v>0</v>
      </c>
      <c r="Q253" s="224">
        <v>0</v>
      </c>
      <c r="R253" s="224">
        <v>0</v>
      </c>
      <c r="S253" s="224">
        <v>776.86862174944338</v>
      </c>
      <c r="T253" s="224">
        <v>1031.7341707930466</v>
      </c>
      <c r="U253" s="224">
        <v>1188.8652973642702</v>
      </c>
      <c r="V253" s="224">
        <v>0</v>
      </c>
      <c r="W253" s="224">
        <v>287.99307429999999</v>
      </c>
      <c r="X253" s="224">
        <v>431.98961144999998</v>
      </c>
      <c r="Y253" s="224">
        <v>200.71012500000001</v>
      </c>
      <c r="Z253" s="224">
        <v>0</v>
      </c>
      <c r="AA253" s="224">
        <v>3.0950941105555514</v>
      </c>
      <c r="AB253" s="224">
        <v>4.1104947043547675</v>
      </c>
      <c r="AC253" s="224">
        <v>4.7365151289413161</v>
      </c>
      <c r="AD253" s="1121">
        <v>4.9906580019543947</v>
      </c>
      <c r="AE253" s="224">
        <v>0</v>
      </c>
      <c r="AF253" s="224">
        <v>13066.65288747</v>
      </c>
      <c r="AG253" s="224">
        <v>114200.0469225</v>
      </c>
      <c r="AH253" s="224">
        <v>0</v>
      </c>
      <c r="AI253" s="224">
        <v>40800</v>
      </c>
      <c r="AJ253" s="224">
        <v>0</v>
      </c>
      <c r="AK253" s="224">
        <v>745.98720000000003</v>
      </c>
      <c r="AL253" s="224">
        <v>0</v>
      </c>
      <c r="AM253" s="224">
        <v>0</v>
      </c>
      <c r="AN253" s="1121">
        <v>168812.68700997002</v>
      </c>
      <c r="AO253" s="224">
        <f t="shared" si="16"/>
        <v>0.65756909833751098</v>
      </c>
      <c r="AP253" s="1124">
        <v>0.1</v>
      </c>
      <c r="AQ253" s="1124">
        <f t="shared" si="18"/>
        <v>6.6157067752379534E-2</v>
      </c>
      <c r="AR253" s="1124">
        <v>20</v>
      </c>
      <c r="AS253" s="1124">
        <f t="shared" si="19"/>
        <v>0.30310418295134633</v>
      </c>
      <c r="AT253" s="224">
        <f t="shared" si="17"/>
        <v>11168.152371979826</v>
      </c>
    </row>
    <row r="254" spans="1:46">
      <c r="A254" s="1122">
        <v>2020</v>
      </c>
      <c r="D254" s="1108" t="s">
        <v>1924</v>
      </c>
      <c r="E254" s="224" t="s">
        <v>1921</v>
      </c>
      <c r="G254" s="224" t="e">
        <v>#DIV/0!</v>
      </c>
      <c r="H254" s="224" t="e">
        <v>#DIV/0!</v>
      </c>
      <c r="I254" s="224" t="e">
        <v>#DIV/0!</v>
      </c>
      <c r="J254" s="224" t="e">
        <v>#DIV/0!</v>
      </c>
      <c r="K254" s="224" t="e">
        <v>#DIV/0!</v>
      </c>
      <c r="L254" s="224" t="e">
        <v>#DIV/0!</v>
      </c>
      <c r="M254" s="224" t="e">
        <v>#DIV/0!</v>
      </c>
      <c r="N254" s="224" t="e">
        <v>#DIV/0!</v>
      </c>
      <c r="O254" s="224" t="e">
        <v>#DIV/0!</v>
      </c>
      <c r="P254" s="224" t="e">
        <v>#DIV/0!</v>
      </c>
      <c r="Q254" s="224" t="e">
        <v>#DIV/0!</v>
      </c>
      <c r="R254" s="224" t="e">
        <v>#DIV/0!</v>
      </c>
      <c r="S254" s="224" t="e">
        <v>#DIV/0!</v>
      </c>
      <c r="T254" s="224" t="e">
        <v>#DIV/0!</v>
      </c>
      <c r="U254" s="224" t="e">
        <v>#DIV/0!</v>
      </c>
      <c r="V254" s="224" t="e">
        <v>#DIV/0!</v>
      </c>
      <c r="W254" s="224" t="e">
        <v>#DIV/0!</v>
      </c>
      <c r="X254" s="224" t="e">
        <v>#DIV/0!</v>
      </c>
      <c r="Y254" s="224" t="e">
        <v>#DIV/0!</v>
      </c>
      <c r="Z254" s="224" t="e">
        <v>#DIV/0!</v>
      </c>
      <c r="AA254" s="224" t="e">
        <v>#DIV/0!</v>
      </c>
      <c r="AB254" s="224" t="e">
        <v>#DIV/0!</v>
      </c>
      <c r="AC254" s="224" t="e">
        <v>#DIV/0!</v>
      </c>
      <c r="AD254" s="1121" t="e">
        <v>#DIV/0!</v>
      </c>
      <c r="AE254" s="224" t="e">
        <v>#DIV/0!</v>
      </c>
      <c r="AF254" s="224" t="e">
        <v>#DIV/0!</v>
      </c>
      <c r="AG254" s="224" t="e">
        <v>#DIV/0!</v>
      </c>
      <c r="AH254" s="224" t="e">
        <v>#DIV/0!</v>
      </c>
      <c r="AI254" s="224" t="e">
        <v>#DIV/0!</v>
      </c>
      <c r="AJ254" s="224" t="e">
        <v>#DIV/0!</v>
      </c>
      <c r="AK254" s="224" t="e">
        <v>#DIV/0!</v>
      </c>
      <c r="AL254" s="224" t="e">
        <v>#DIV/0!</v>
      </c>
      <c r="AM254" s="224" t="e">
        <v>#DIV/0!</v>
      </c>
      <c r="AN254" s="1121" t="e">
        <v>#DIV/0!</v>
      </c>
      <c r="AO254" s="224" t="e">
        <f t="shared" si="16"/>
        <v>#DIV/0!</v>
      </c>
      <c r="AP254" s="1124">
        <v>0.1</v>
      </c>
      <c r="AQ254" s="1124">
        <f t="shared" si="18"/>
        <v>6.6157067752379534E-2</v>
      </c>
      <c r="AR254" s="1124">
        <v>20</v>
      </c>
      <c r="AS254" s="1124" t="e">
        <f t="shared" si="19"/>
        <v>#DIV/0!</v>
      </c>
      <c r="AT254" s="224" t="e">
        <f t="shared" si="17"/>
        <v>#DIV/0!</v>
      </c>
    </row>
    <row r="255" spans="1:46">
      <c r="A255" s="1119">
        <v>2025</v>
      </c>
      <c r="D255" s="1108" t="s">
        <v>1924</v>
      </c>
      <c r="E255" s="224" t="s">
        <v>1921</v>
      </c>
      <c r="G255" s="224" t="e">
        <v>#DIV/0!</v>
      </c>
      <c r="H255" s="224" t="e">
        <v>#DIV/0!</v>
      </c>
      <c r="I255" s="224" t="e">
        <v>#DIV/0!</v>
      </c>
      <c r="J255" s="224" t="e">
        <v>#DIV/0!</v>
      </c>
      <c r="K255" s="224" t="e">
        <v>#DIV/0!</v>
      </c>
      <c r="L255" s="224" t="e">
        <v>#DIV/0!</v>
      </c>
      <c r="M255" s="224" t="e">
        <v>#DIV/0!</v>
      </c>
      <c r="N255" s="224" t="e">
        <v>#DIV/0!</v>
      </c>
      <c r="O255" s="224" t="e">
        <v>#DIV/0!</v>
      </c>
      <c r="P255" s="224" t="e">
        <v>#DIV/0!</v>
      </c>
      <c r="Q255" s="224" t="e">
        <v>#DIV/0!</v>
      </c>
      <c r="R255" s="224" t="e">
        <v>#DIV/0!</v>
      </c>
      <c r="S255" s="224" t="e">
        <v>#DIV/0!</v>
      </c>
      <c r="T255" s="224" t="e">
        <v>#DIV/0!</v>
      </c>
      <c r="U255" s="224" t="e">
        <v>#DIV/0!</v>
      </c>
      <c r="V255" s="224" t="e">
        <v>#DIV/0!</v>
      </c>
      <c r="W255" s="224" t="e">
        <v>#DIV/0!</v>
      </c>
      <c r="X255" s="224" t="e">
        <v>#DIV/0!</v>
      </c>
      <c r="Y255" s="224" t="e">
        <v>#DIV/0!</v>
      </c>
      <c r="Z255" s="224" t="e">
        <v>#DIV/0!</v>
      </c>
      <c r="AA255" s="224" t="e">
        <v>#DIV/0!</v>
      </c>
      <c r="AB255" s="224" t="e">
        <v>#DIV/0!</v>
      </c>
      <c r="AC255" s="224" t="e">
        <v>#DIV/0!</v>
      </c>
      <c r="AD255" s="1121" t="e">
        <v>#DIV/0!</v>
      </c>
      <c r="AE255" s="224" t="e">
        <v>#DIV/0!</v>
      </c>
      <c r="AF255" s="224" t="e">
        <v>#DIV/0!</v>
      </c>
      <c r="AG255" s="224" t="e">
        <v>#DIV/0!</v>
      </c>
      <c r="AH255" s="224" t="e">
        <v>#DIV/0!</v>
      </c>
      <c r="AI255" s="224" t="e">
        <v>#DIV/0!</v>
      </c>
      <c r="AJ255" s="224" t="e">
        <v>#DIV/0!</v>
      </c>
      <c r="AK255" s="224" t="e">
        <v>#DIV/0!</v>
      </c>
      <c r="AL255" s="224" t="e">
        <v>#DIV/0!</v>
      </c>
      <c r="AM255" s="224" t="e">
        <v>#DIV/0!</v>
      </c>
      <c r="AN255" s="1121" t="e">
        <v>#DIV/0!</v>
      </c>
      <c r="AO255" s="224" t="e">
        <f t="shared" si="16"/>
        <v>#DIV/0!</v>
      </c>
      <c r="AP255" s="1124">
        <v>0.1</v>
      </c>
      <c r="AQ255" s="1124">
        <f t="shared" si="18"/>
        <v>6.6157067752379534E-2</v>
      </c>
      <c r="AR255" s="1124">
        <v>20</v>
      </c>
      <c r="AS255" s="1124" t="e">
        <f t="shared" si="19"/>
        <v>#DIV/0!</v>
      </c>
      <c r="AT255" s="224" t="e">
        <f t="shared" si="17"/>
        <v>#DIV/0!</v>
      </c>
    </row>
    <row r="256" spans="1:46">
      <c r="A256" s="1119">
        <v>2030</v>
      </c>
      <c r="D256" s="1108" t="s">
        <v>1924</v>
      </c>
      <c r="E256" s="71" t="s">
        <v>1921</v>
      </c>
      <c r="G256" s="224">
        <v>8046.2394769900002</v>
      </c>
      <c r="H256" s="224">
        <v>4500</v>
      </c>
      <c r="I256" s="224">
        <v>200.71012500000001</v>
      </c>
      <c r="J256" s="224">
        <v>0</v>
      </c>
      <c r="K256" s="224">
        <v>0</v>
      </c>
      <c r="L256" s="224">
        <v>0</v>
      </c>
      <c r="M256" s="224">
        <v>0</v>
      </c>
      <c r="N256" s="224">
        <v>0</v>
      </c>
      <c r="O256" s="224">
        <v>0</v>
      </c>
      <c r="P256" s="224">
        <v>0</v>
      </c>
      <c r="Q256" s="224">
        <v>0</v>
      </c>
      <c r="R256" s="224">
        <v>0</v>
      </c>
      <c r="S256" s="224">
        <v>776.86862174944338</v>
      </c>
      <c r="T256" s="224">
        <v>1031.7341707930466</v>
      </c>
      <c r="U256" s="224">
        <v>1188.8652973642702</v>
      </c>
      <c r="V256" s="224">
        <v>0</v>
      </c>
      <c r="W256" s="224">
        <v>287.99307429999999</v>
      </c>
      <c r="X256" s="224">
        <v>431.98961144999998</v>
      </c>
      <c r="Y256" s="224">
        <v>200.71012500000001</v>
      </c>
      <c r="Z256" s="224">
        <v>0</v>
      </c>
      <c r="AA256" s="224">
        <v>3.0950941105555514</v>
      </c>
      <c r="AB256" s="224">
        <v>4.1104947043547675</v>
      </c>
      <c r="AC256" s="224">
        <v>4.7365151289413161</v>
      </c>
      <c r="AD256" s="224">
        <v>4.9906580019543947</v>
      </c>
      <c r="AE256" s="224">
        <v>0</v>
      </c>
      <c r="AF256" s="224">
        <v>3253.7393248286949</v>
      </c>
      <c r="AG256" s="224">
        <v>36092.357737734375</v>
      </c>
      <c r="AH256" s="224">
        <v>0</v>
      </c>
      <c r="AI256" s="224">
        <v>40800</v>
      </c>
      <c r="AJ256" s="224">
        <v>0</v>
      </c>
      <c r="AK256" s="224">
        <v>3508.0290601924276</v>
      </c>
      <c r="AL256" s="224">
        <v>0</v>
      </c>
      <c r="AM256" s="224">
        <v>0</v>
      </c>
      <c r="AN256" s="1121">
        <v>83654.126122755493</v>
      </c>
      <c r="AO256" s="224">
        <f t="shared" si="16"/>
        <v>0.65756909833751098</v>
      </c>
      <c r="AP256" s="1124">
        <v>0.1</v>
      </c>
      <c r="AQ256" s="1124">
        <f t="shared" si="18"/>
        <v>6.6157067752379534E-2</v>
      </c>
      <c r="AR256" s="1124">
        <v>20</v>
      </c>
      <c r="AS256" s="1124">
        <f t="shared" si="19"/>
        <v>0.30310418295134633</v>
      </c>
      <c r="AT256" s="224">
        <f t="shared" si="17"/>
        <v>5534.3116896692381</v>
      </c>
    </row>
    <row r="257" spans="1:46">
      <c r="A257" s="1119">
        <v>2035</v>
      </c>
      <c r="D257" s="1108" t="s">
        <v>1924</v>
      </c>
      <c r="E257" s="224" t="s">
        <v>1921</v>
      </c>
      <c r="G257" s="224" t="e">
        <v>#DIV/0!</v>
      </c>
      <c r="H257" s="224" t="e">
        <v>#DIV/0!</v>
      </c>
      <c r="I257" s="224" t="e">
        <v>#DIV/0!</v>
      </c>
      <c r="J257" s="224" t="e">
        <v>#DIV/0!</v>
      </c>
      <c r="K257" s="224" t="e">
        <v>#DIV/0!</v>
      </c>
      <c r="L257" s="224" t="e">
        <v>#DIV/0!</v>
      </c>
      <c r="M257" s="224" t="e">
        <v>#DIV/0!</v>
      </c>
      <c r="N257" s="224" t="e">
        <v>#DIV/0!</v>
      </c>
      <c r="O257" s="224" t="e">
        <v>#DIV/0!</v>
      </c>
      <c r="P257" s="224" t="e">
        <v>#DIV/0!</v>
      </c>
      <c r="Q257" s="224" t="e">
        <v>#DIV/0!</v>
      </c>
      <c r="R257" s="224" t="e">
        <v>#DIV/0!</v>
      </c>
      <c r="S257" s="224" t="e">
        <v>#DIV/0!</v>
      </c>
      <c r="T257" s="224" t="e">
        <v>#DIV/0!</v>
      </c>
      <c r="U257" s="224" t="e">
        <v>#DIV/0!</v>
      </c>
      <c r="V257" s="224" t="e">
        <v>#DIV/0!</v>
      </c>
      <c r="W257" s="224" t="e">
        <v>#DIV/0!</v>
      </c>
      <c r="X257" s="224" t="e">
        <v>#DIV/0!</v>
      </c>
      <c r="Y257" s="224" t="e">
        <v>#DIV/0!</v>
      </c>
      <c r="Z257" s="224" t="e">
        <v>#DIV/0!</v>
      </c>
      <c r="AA257" s="224" t="e">
        <v>#DIV/0!</v>
      </c>
      <c r="AB257" s="224" t="e">
        <v>#DIV/0!</v>
      </c>
      <c r="AC257" s="224" t="e">
        <v>#DIV/0!</v>
      </c>
      <c r="AD257" s="224" t="e">
        <v>#DIV/0!</v>
      </c>
      <c r="AE257" s="224" t="e">
        <v>#DIV/0!</v>
      </c>
      <c r="AF257" s="224" t="e">
        <v>#DIV/0!</v>
      </c>
      <c r="AG257" s="224" t="e">
        <v>#DIV/0!</v>
      </c>
      <c r="AH257" s="224" t="e">
        <v>#DIV/0!</v>
      </c>
      <c r="AI257" s="224" t="e">
        <v>#DIV/0!</v>
      </c>
      <c r="AJ257" s="224" t="e">
        <v>#DIV/0!</v>
      </c>
      <c r="AK257" s="224" t="e">
        <v>#DIV/0!</v>
      </c>
      <c r="AL257" s="224" t="e">
        <v>#DIV/0!</v>
      </c>
      <c r="AM257" s="224" t="e">
        <v>#DIV/0!</v>
      </c>
      <c r="AN257" s="1121" t="e">
        <v>#DIV/0!</v>
      </c>
      <c r="AO257" s="224" t="e">
        <f t="shared" si="16"/>
        <v>#DIV/0!</v>
      </c>
      <c r="AP257" s="1124">
        <v>0.1</v>
      </c>
      <c r="AQ257" s="1124">
        <f t="shared" si="18"/>
        <v>6.6157067752379534E-2</v>
      </c>
      <c r="AR257" s="1124">
        <v>20</v>
      </c>
      <c r="AS257" s="1124" t="e">
        <f t="shared" si="19"/>
        <v>#DIV/0!</v>
      </c>
      <c r="AT257" s="224" t="e">
        <f t="shared" si="17"/>
        <v>#DIV/0!</v>
      </c>
    </row>
    <row r="258" spans="1:46">
      <c r="A258" s="1119">
        <v>2050</v>
      </c>
      <c r="D258" s="1108" t="s">
        <v>1924</v>
      </c>
      <c r="E258" s="71" t="s">
        <v>1921</v>
      </c>
      <c r="G258" s="224">
        <v>8046.2394769900002</v>
      </c>
      <c r="H258" s="224">
        <v>4500</v>
      </c>
      <c r="I258" s="224">
        <v>200.71012500000001</v>
      </c>
      <c r="J258" s="224">
        <v>0</v>
      </c>
      <c r="K258" s="224">
        <v>0</v>
      </c>
      <c r="L258" s="224">
        <v>0</v>
      </c>
      <c r="M258" s="224">
        <v>0</v>
      </c>
      <c r="N258" s="224">
        <v>0</v>
      </c>
      <c r="O258" s="224">
        <v>0</v>
      </c>
      <c r="P258" s="224">
        <v>0</v>
      </c>
      <c r="Q258" s="224">
        <v>0</v>
      </c>
      <c r="R258" s="224">
        <v>0</v>
      </c>
      <c r="S258" s="224">
        <v>776.86862174944338</v>
      </c>
      <c r="T258" s="224">
        <v>1031.7341707930466</v>
      </c>
      <c r="U258" s="224">
        <v>1188.8652973642702</v>
      </c>
      <c r="V258" s="224">
        <v>0</v>
      </c>
      <c r="W258" s="224">
        <v>287.99307429999999</v>
      </c>
      <c r="X258" s="224">
        <v>431.98961144999998</v>
      </c>
      <c r="Y258" s="224">
        <v>200.71012500000001</v>
      </c>
      <c r="Z258" s="224">
        <v>0</v>
      </c>
      <c r="AA258" s="224">
        <v>3.0950941105555514</v>
      </c>
      <c r="AB258" s="224">
        <v>4.1104947043547675</v>
      </c>
      <c r="AC258" s="224">
        <v>4.7365151289413161</v>
      </c>
      <c r="AD258" s="224">
        <v>4.9906580019543947</v>
      </c>
      <c r="AE258" s="224">
        <v>0</v>
      </c>
      <c r="AF258" s="224">
        <v>1546.6183067382544</v>
      </c>
      <c r="AG258" s="224">
        <v>19689.252284624996</v>
      </c>
      <c r="AH258" s="224">
        <v>0</v>
      </c>
      <c r="AI258" s="224">
        <v>40800</v>
      </c>
      <c r="AJ258" s="224">
        <v>0</v>
      </c>
      <c r="AK258" s="224">
        <v>4842.5801991868502</v>
      </c>
      <c r="AL258" s="224">
        <v>0</v>
      </c>
      <c r="AM258" s="224">
        <v>0</v>
      </c>
      <c r="AN258" s="1121">
        <v>66878.450790550094</v>
      </c>
      <c r="AO258" s="224">
        <f t="shared" si="16"/>
        <v>0.65756909833751098</v>
      </c>
      <c r="AP258" s="1124">
        <v>0.1</v>
      </c>
      <c r="AQ258" s="1124">
        <f t="shared" si="18"/>
        <v>6.6157067752379534E-2</v>
      </c>
      <c r="AR258" s="1124">
        <v>20</v>
      </c>
      <c r="AS258" s="1124">
        <f t="shared" si="19"/>
        <v>0.30310418295134633</v>
      </c>
      <c r="AT258" s="224">
        <f t="shared" si="17"/>
        <v>4424.482200124603</v>
      </c>
    </row>
    <row r="259" spans="1:46">
      <c r="A259" s="1119">
        <v>2017</v>
      </c>
      <c r="D259" s="1108" t="s">
        <v>1924</v>
      </c>
      <c r="E259" s="224" t="s">
        <v>1922</v>
      </c>
      <c r="G259" s="224">
        <v>7952.1925725600022</v>
      </c>
      <c r="H259" s="224">
        <v>4500</v>
      </c>
      <c r="I259" s="224">
        <v>5.3697600000000003</v>
      </c>
      <c r="J259" s="224">
        <v>4.9205156496759085E-2</v>
      </c>
      <c r="K259" s="224">
        <v>4.9492795596186377E-2</v>
      </c>
      <c r="L259" s="224">
        <v>5.738214250235537E-2</v>
      </c>
      <c r="M259" s="224">
        <v>0</v>
      </c>
      <c r="N259" s="224">
        <v>0</v>
      </c>
      <c r="O259" s="224">
        <v>0</v>
      </c>
      <c r="P259" s="224">
        <v>0</v>
      </c>
      <c r="Q259" s="224">
        <v>0</v>
      </c>
      <c r="R259" s="224">
        <v>0</v>
      </c>
      <c r="S259" s="224">
        <v>0</v>
      </c>
      <c r="T259" s="224">
        <v>0</v>
      </c>
      <c r="U259" s="224">
        <v>0</v>
      </c>
      <c r="V259" s="224">
        <v>0</v>
      </c>
      <c r="W259" s="224">
        <v>370.01442309999999</v>
      </c>
      <c r="X259" s="224">
        <v>167.14808612440189</v>
      </c>
      <c r="Y259" s="224">
        <v>5.3697600000000003</v>
      </c>
      <c r="Z259" s="224">
        <v>240.08003669999999</v>
      </c>
      <c r="AA259" s="224">
        <v>7.3807734745138625</v>
      </c>
      <c r="AB259" s="224">
        <v>7.4239193394279566</v>
      </c>
      <c r="AC259" s="224">
        <v>8.6073213753533047</v>
      </c>
      <c r="AD259" s="1121">
        <v>10.162476287272719</v>
      </c>
      <c r="AE259" s="224">
        <v>0</v>
      </c>
      <c r="AF259" s="224">
        <v>16585.368750989997</v>
      </c>
      <c r="AG259" s="224">
        <v>7287.6565550239238</v>
      </c>
      <c r="AH259" s="224">
        <v>0</v>
      </c>
      <c r="AI259" s="224">
        <v>40800</v>
      </c>
      <c r="AJ259" s="224">
        <v>0</v>
      </c>
      <c r="AK259" s="224">
        <v>745.98720000000003</v>
      </c>
      <c r="AL259" s="224">
        <v>115143.24</v>
      </c>
      <c r="AM259" s="224">
        <v>9755.5863280000012</v>
      </c>
      <c r="AN259" s="1121">
        <v>190317.83883401394</v>
      </c>
      <c r="AO259" s="224">
        <f t="shared" si="16"/>
        <v>1.3390078756110533</v>
      </c>
      <c r="AP259" s="1124">
        <v>0.1</v>
      </c>
      <c r="AQ259" s="1124">
        <f t="shared" si="18"/>
        <v>6.6157067752379534E-2</v>
      </c>
      <c r="AR259" s="1124">
        <v>20</v>
      </c>
      <c r="AS259" s="1124">
        <f t="shared" si="19"/>
        <v>0.61721101117527088</v>
      </c>
      <c r="AT259" s="224">
        <f t="shared" si="17"/>
        <v>12590.870158228308</v>
      </c>
    </row>
    <row r="260" spans="1:46">
      <c r="A260" s="1122">
        <v>2020</v>
      </c>
      <c r="D260" s="1108" t="s">
        <v>1924</v>
      </c>
      <c r="E260" s="224" t="s">
        <v>1922</v>
      </c>
      <c r="G260" s="224" t="e">
        <v>#DIV/0!</v>
      </c>
      <c r="H260" s="224" t="e">
        <v>#DIV/0!</v>
      </c>
      <c r="I260" s="224" t="e">
        <v>#DIV/0!</v>
      </c>
      <c r="J260" s="224" t="e">
        <v>#DIV/0!</v>
      </c>
      <c r="K260" s="224" t="e">
        <v>#DIV/0!</v>
      </c>
      <c r="L260" s="224" t="e">
        <v>#DIV/0!</v>
      </c>
      <c r="M260" s="224" t="e">
        <v>#DIV/0!</v>
      </c>
      <c r="N260" s="224" t="e">
        <v>#DIV/0!</v>
      </c>
      <c r="O260" s="224" t="e">
        <v>#DIV/0!</v>
      </c>
      <c r="P260" s="224" t="e">
        <v>#DIV/0!</v>
      </c>
      <c r="Q260" s="224" t="e">
        <v>#DIV/0!</v>
      </c>
      <c r="R260" s="224" t="e">
        <v>#DIV/0!</v>
      </c>
      <c r="S260" s="224" t="e">
        <v>#DIV/0!</v>
      </c>
      <c r="T260" s="224" t="e">
        <v>#DIV/0!</v>
      </c>
      <c r="U260" s="224" t="e">
        <v>#DIV/0!</v>
      </c>
      <c r="V260" s="224" t="e">
        <v>#DIV/0!</v>
      </c>
      <c r="W260" s="224" t="e">
        <v>#DIV/0!</v>
      </c>
      <c r="X260" s="224" t="e">
        <v>#DIV/0!</v>
      </c>
      <c r="Y260" s="224" t="e">
        <v>#DIV/0!</v>
      </c>
      <c r="Z260" s="224" t="e">
        <v>#DIV/0!</v>
      </c>
      <c r="AA260" s="224" t="e">
        <v>#DIV/0!</v>
      </c>
      <c r="AB260" s="224" t="e">
        <v>#DIV/0!</v>
      </c>
      <c r="AC260" s="224" t="e">
        <v>#DIV/0!</v>
      </c>
      <c r="AD260" s="1121" t="e">
        <v>#DIV/0!</v>
      </c>
      <c r="AE260" s="224" t="e">
        <v>#DIV/0!</v>
      </c>
      <c r="AF260" s="224" t="e">
        <v>#DIV/0!</v>
      </c>
      <c r="AG260" s="224" t="e">
        <v>#DIV/0!</v>
      </c>
      <c r="AH260" s="224" t="e">
        <v>#DIV/0!</v>
      </c>
      <c r="AI260" s="224" t="e">
        <v>#DIV/0!</v>
      </c>
      <c r="AJ260" s="224" t="e">
        <v>#DIV/0!</v>
      </c>
      <c r="AK260" s="224" t="e">
        <v>#DIV/0!</v>
      </c>
      <c r="AL260" s="224" t="e">
        <v>#DIV/0!</v>
      </c>
      <c r="AM260" s="224" t="e">
        <v>#DIV/0!</v>
      </c>
      <c r="AN260" s="1121" t="e">
        <v>#DIV/0!</v>
      </c>
      <c r="AO260" s="224" t="e">
        <f t="shared" si="16"/>
        <v>#DIV/0!</v>
      </c>
      <c r="AP260" s="1124">
        <v>0.1</v>
      </c>
      <c r="AQ260" s="1124">
        <f t="shared" si="18"/>
        <v>6.6157067752379534E-2</v>
      </c>
      <c r="AR260" s="1124">
        <v>20</v>
      </c>
      <c r="AS260" s="1124" t="e">
        <f t="shared" si="19"/>
        <v>#DIV/0!</v>
      </c>
      <c r="AT260" s="224" t="e">
        <f t="shared" si="17"/>
        <v>#DIV/0!</v>
      </c>
    </row>
    <row r="261" spans="1:46">
      <c r="A261" s="1119">
        <v>2025</v>
      </c>
      <c r="D261" s="1108" t="s">
        <v>1924</v>
      </c>
      <c r="E261" s="224" t="s">
        <v>1922</v>
      </c>
      <c r="G261" s="224" t="e">
        <v>#DIV/0!</v>
      </c>
      <c r="H261" s="224" t="e">
        <v>#DIV/0!</v>
      </c>
      <c r="I261" s="224" t="e">
        <v>#DIV/0!</v>
      </c>
      <c r="J261" s="224" t="e">
        <v>#DIV/0!</v>
      </c>
      <c r="K261" s="224" t="e">
        <v>#DIV/0!</v>
      </c>
      <c r="L261" s="224" t="e">
        <v>#DIV/0!</v>
      </c>
      <c r="M261" s="224" t="e">
        <v>#DIV/0!</v>
      </c>
      <c r="N261" s="224" t="e">
        <v>#DIV/0!</v>
      </c>
      <c r="O261" s="224" t="e">
        <v>#DIV/0!</v>
      </c>
      <c r="P261" s="224" t="e">
        <v>#DIV/0!</v>
      </c>
      <c r="Q261" s="224" t="e">
        <v>#DIV/0!</v>
      </c>
      <c r="R261" s="224" t="e">
        <v>#DIV/0!</v>
      </c>
      <c r="S261" s="224" t="e">
        <v>#DIV/0!</v>
      </c>
      <c r="T261" s="224" t="e">
        <v>#DIV/0!</v>
      </c>
      <c r="U261" s="224" t="e">
        <v>#DIV/0!</v>
      </c>
      <c r="V261" s="224" t="e">
        <v>#DIV/0!</v>
      </c>
      <c r="W261" s="224" t="e">
        <v>#DIV/0!</v>
      </c>
      <c r="X261" s="224" t="e">
        <v>#DIV/0!</v>
      </c>
      <c r="Y261" s="224" t="e">
        <v>#DIV/0!</v>
      </c>
      <c r="Z261" s="224" t="e">
        <v>#DIV/0!</v>
      </c>
      <c r="AA261" s="224" t="e">
        <v>#DIV/0!</v>
      </c>
      <c r="AB261" s="224" t="e">
        <v>#DIV/0!</v>
      </c>
      <c r="AC261" s="224" t="e">
        <v>#DIV/0!</v>
      </c>
      <c r="AD261" s="1121" t="e">
        <v>#DIV/0!</v>
      </c>
      <c r="AE261" s="224" t="e">
        <v>#DIV/0!</v>
      </c>
      <c r="AF261" s="224" t="e">
        <v>#DIV/0!</v>
      </c>
      <c r="AG261" s="224" t="e">
        <v>#DIV/0!</v>
      </c>
      <c r="AH261" s="224" t="e">
        <v>#DIV/0!</v>
      </c>
      <c r="AI261" s="224" t="e">
        <v>#DIV/0!</v>
      </c>
      <c r="AJ261" s="224" t="e">
        <v>#DIV/0!</v>
      </c>
      <c r="AK261" s="224" t="e">
        <v>#DIV/0!</v>
      </c>
      <c r="AL261" s="224" t="e">
        <v>#DIV/0!</v>
      </c>
      <c r="AM261" s="224" t="e">
        <v>#DIV/0!</v>
      </c>
      <c r="AN261" s="1121" t="e">
        <v>#DIV/0!</v>
      </c>
      <c r="AO261" s="224" t="e">
        <f t="shared" si="16"/>
        <v>#DIV/0!</v>
      </c>
      <c r="AP261" s="1124">
        <v>0.1</v>
      </c>
      <c r="AQ261" s="1124">
        <f t="shared" si="18"/>
        <v>6.6157067752379534E-2</v>
      </c>
      <c r="AR261" s="1124">
        <v>20</v>
      </c>
      <c r="AS261" s="1124" t="e">
        <f t="shared" si="19"/>
        <v>#DIV/0!</v>
      </c>
      <c r="AT261" s="224" t="e">
        <f t="shared" si="17"/>
        <v>#DIV/0!</v>
      </c>
    </row>
    <row r="262" spans="1:46">
      <c r="A262" s="1119">
        <v>2030</v>
      </c>
      <c r="D262" s="1108" t="s">
        <v>1924</v>
      </c>
      <c r="E262" s="224" t="s">
        <v>1922</v>
      </c>
      <c r="G262" s="224">
        <v>7191.931798060773</v>
      </c>
      <c r="H262" s="224">
        <v>4581</v>
      </c>
      <c r="I262" s="224">
        <v>4.7044800000000002</v>
      </c>
      <c r="J262" s="224">
        <v>3.474182465266723E-2</v>
      </c>
      <c r="K262" s="224">
        <v>3.3233851318587519E-2</v>
      </c>
      <c r="L262" s="224">
        <v>3.8292804914657884E-2</v>
      </c>
      <c r="M262" s="224">
        <v>0</v>
      </c>
      <c r="N262" s="224">
        <v>0</v>
      </c>
      <c r="O262" s="224">
        <v>0</v>
      </c>
      <c r="P262" s="224">
        <v>0</v>
      </c>
      <c r="Q262" s="224">
        <v>0</v>
      </c>
      <c r="R262" s="224">
        <v>0</v>
      </c>
      <c r="S262" s="224">
        <v>0</v>
      </c>
      <c r="T262" s="224">
        <v>0</v>
      </c>
      <c r="U262" s="224">
        <v>0</v>
      </c>
      <c r="V262" s="224">
        <v>0</v>
      </c>
      <c r="W262" s="224">
        <v>309.03279420000001</v>
      </c>
      <c r="X262" s="224">
        <v>88.905458515283811</v>
      </c>
      <c r="Y262" s="224">
        <v>4.7044800000000002</v>
      </c>
      <c r="Z262" s="224">
        <v>200.13358799999997</v>
      </c>
      <c r="AA262" s="224">
        <v>5.2112736979000847</v>
      </c>
      <c r="AB262" s="224">
        <v>4.9850776977881281</v>
      </c>
      <c r="AC262" s="224">
        <v>5.7439207371986827</v>
      </c>
      <c r="AD262" s="1121">
        <v>6.8196278650938442</v>
      </c>
      <c r="AE262" s="224">
        <v>0</v>
      </c>
      <c r="AF262" s="224">
        <v>2979.9723925296003</v>
      </c>
      <c r="AG262" s="224">
        <v>1973.7011790393003</v>
      </c>
      <c r="AH262" s="224">
        <v>0</v>
      </c>
      <c r="AI262" s="224">
        <v>40800</v>
      </c>
      <c r="AJ262" s="224">
        <v>1426.4912628</v>
      </c>
      <c r="AK262" s="224">
        <v>5614.4184944067338</v>
      </c>
      <c r="AL262" s="224">
        <v>23696.280000000002</v>
      </c>
      <c r="AM262" s="224">
        <v>3163.9884000000002</v>
      </c>
      <c r="AN262" s="1121">
        <v>79654.85172877564</v>
      </c>
      <c r="AO262" s="224">
        <f t="shared" si="16"/>
        <v>0.8985541675047648</v>
      </c>
      <c r="AP262" s="1124">
        <v>0.1</v>
      </c>
      <c r="AQ262" s="1124">
        <f t="shared" si="18"/>
        <v>6.6157067752379534E-2</v>
      </c>
      <c r="AR262" s="1124">
        <v>20</v>
      </c>
      <c r="AS262" s="1124">
        <f t="shared" si="19"/>
        <v>0.41418541027496214</v>
      </c>
      <c r="AT262" s="224">
        <f t="shared" si="17"/>
        <v>5269.7314226263561</v>
      </c>
    </row>
    <row r="263" spans="1:46">
      <c r="A263" s="1119">
        <v>2035</v>
      </c>
      <c r="D263" s="1108" t="s">
        <v>1924</v>
      </c>
      <c r="E263" s="224" t="s">
        <v>1922</v>
      </c>
      <c r="G263" s="224" t="e">
        <v>#DIV/0!</v>
      </c>
      <c r="H263" s="224" t="e">
        <v>#DIV/0!</v>
      </c>
      <c r="I263" s="224" t="e">
        <v>#DIV/0!</v>
      </c>
      <c r="J263" s="224" t="e">
        <v>#DIV/0!</v>
      </c>
      <c r="K263" s="224" t="e">
        <v>#DIV/0!</v>
      </c>
      <c r="L263" s="224" t="e">
        <v>#DIV/0!</v>
      </c>
      <c r="M263" s="224" t="e">
        <v>#DIV/0!</v>
      </c>
      <c r="N263" s="224" t="e">
        <v>#DIV/0!</v>
      </c>
      <c r="O263" s="224" t="e">
        <v>#DIV/0!</v>
      </c>
      <c r="P263" s="224" t="e">
        <v>#DIV/0!</v>
      </c>
      <c r="Q263" s="224" t="e">
        <v>#DIV/0!</v>
      </c>
      <c r="R263" s="224" t="e">
        <v>#DIV/0!</v>
      </c>
      <c r="S263" s="224" t="e">
        <v>#DIV/0!</v>
      </c>
      <c r="T263" s="224" t="e">
        <v>#DIV/0!</v>
      </c>
      <c r="U263" s="224" t="e">
        <v>#DIV/0!</v>
      </c>
      <c r="V263" s="224" t="e">
        <v>#DIV/0!</v>
      </c>
      <c r="W263" s="224" t="e">
        <v>#DIV/0!</v>
      </c>
      <c r="X263" s="224" t="e">
        <v>#DIV/0!</v>
      </c>
      <c r="Y263" s="224" t="e">
        <v>#DIV/0!</v>
      </c>
      <c r="Z263" s="224" t="e">
        <v>#DIV/0!</v>
      </c>
      <c r="AA263" s="224" t="e">
        <v>#DIV/0!</v>
      </c>
      <c r="AB263" s="224" t="e">
        <v>#DIV/0!</v>
      </c>
      <c r="AC263" s="224" t="e">
        <v>#DIV/0!</v>
      </c>
      <c r="AD263" s="1121" t="e">
        <v>#DIV/0!</v>
      </c>
      <c r="AE263" s="224" t="e">
        <v>#DIV/0!</v>
      </c>
      <c r="AF263" s="224" t="e">
        <v>#DIV/0!</v>
      </c>
      <c r="AG263" s="224" t="e">
        <v>#DIV/0!</v>
      </c>
      <c r="AH263" s="224" t="e">
        <v>#DIV/0!</v>
      </c>
      <c r="AI263" s="224" t="e">
        <v>#DIV/0!</v>
      </c>
      <c r="AJ263" s="224" t="e">
        <v>#DIV/0!</v>
      </c>
      <c r="AK263" s="224" t="e">
        <v>#DIV/0!</v>
      </c>
      <c r="AL263" s="224" t="e">
        <v>#DIV/0!</v>
      </c>
      <c r="AM263" s="224" t="e">
        <v>#DIV/0!</v>
      </c>
      <c r="AN263" s="1121" t="e">
        <v>#DIV/0!</v>
      </c>
      <c r="AO263" s="224" t="e">
        <f t="shared" si="16"/>
        <v>#DIV/0!</v>
      </c>
      <c r="AP263" s="1124">
        <v>0.1</v>
      </c>
      <c r="AQ263" s="1124">
        <f t="shared" si="18"/>
        <v>6.6157067752379534E-2</v>
      </c>
      <c r="AR263" s="1124">
        <v>20</v>
      </c>
      <c r="AS263" s="1124" t="e">
        <f t="shared" si="19"/>
        <v>#DIV/0!</v>
      </c>
      <c r="AT263" s="224" t="e">
        <f t="shared" si="17"/>
        <v>#DIV/0!</v>
      </c>
    </row>
    <row r="264" spans="1:46">
      <c r="A264" s="1119">
        <v>2050</v>
      </c>
      <c r="D264" s="1108" t="s">
        <v>1924</v>
      </c>
      <c r="E264" s="224" t="s">
        <v>1922</v>
      </c>
      <c r="G264" s="224">
        <v>6760.045691076979</v>
      </c>
      <c r="H264" s="224">
        <v>4699</v>
      </c>
      <c r="I264" s="224">
        <v>4.4035200000000003</v>
      </c>
      <c r="J264" s="224">
        <v>2.8349511023532413E-2</v>
      </c>
      <c r="K264" s="224">
        <v>2.8033731496655046E-2</v>
      </c>
      <c r="L264" s="224">
        <v>3.2465985586443084E-2</v>
      </c>
      <c r="M264" s="224">
        <v>0</v>
      </c>
      <c r="N264" s="224">
        <v>0</v>
      </c>
      <c r="O264" s="224">
        <v>0</v>
      </c>
      <c r="P264" s="224">
        <v>0</v>
      </c>
      <c r="Q264" s="224">
        <v>0</v>
      </c>
      <c r="R264" s="224">
        <v>0</v>
      </c>
      <c r="S264" s="224">
        <v>0</v>
      </c>
      <c r="T264" s="224">
        <v>0</v>
      </c>
      <c r="U264" s="224">
        <v>0</v>
      </c>
      <c r="V264" s="224">
        <v>0</v>
      </c>
      <c r="W264" s="224">
        <v>280.85784690000003</v>
      </c>
      <c r="X264" s="224">
        <v>83.217903930130973</v>
      </c>
      <c r="Y264" s="224">
        <v>4.4035200000000003</v>
      </c>
      <c r="Z264" s="224">
        <v>181.6958755</v>
      </c>
      <c r="AA264" s="224">
        <v>4.252426653529862</v>
      </c>
      <c r="AB264" s="224">
        <v>4.2050597244982573</v>
      </c>
      <c r="AC264" s="224">
        <v>4.8698978379664624</v>
      </c>
      <c r="AD264" s="1121">
        <v>5.4963813903230774</v>
      </c>
      <c r="AE264" s="224">
        <v>0</v>
      </c>
      <c r="AF264" s="224">
        <v>1380.5176651200002</v>
      </c>
      <c r="AG264" s="224">
        <v>1298.1993013100432</v>
      </c>
      <c r="AH264" s="224">
        <v>0</v>
      </c>
      <c r="AI264" s="224">
        <v>40800</v>
      </c>
      <c r="AJ264" s="224">
        <v>2092.7190328799998</v>
      </c>
      <c r="AK264" s="224">
        <v>6393.2965024452897</v>
      </c>
      <c r="AL264" s="224">
        <v>13082.4</v>
      </c>
      <c r="AM264" s="224">
        <v>1927.1699999999998</v>
      </c>
      <c r="AN264" s="1121">
        <v>66974.30250175533</v>
      </c>
      <c r="AO264" s="224">
        <f t="shared" si="16"/>
        <v>0.72420321198896864</v>
      </c>
      <c r="AP264" s="1124">
        <v>0.1</v>
      </c>
      <c r="AQ264" s="1124">
        <f t="shared" si="18"/>
        <v>6.6157067752379534E-2</v>
      </c>
      <c r="AR264" s="1124">
        <v>20</v>
      </c>
      <c r="AS264" s="1124">
        <f t="shared" si="19"/>
        <v>0.33381894528746459</v>
      </c>
      <c r="AT264" s="224">
        <f t="shared" si="17"/>
        <v>4430.8234682769898</v>
      </c>
    </row>
  </sheetData>
  <mergeCells count="6">
    <mergeCell ref="AE11:AM11"/>
    <mergeCell ref="G11:H11"/>
    <mergeCell ref="J11:O11"/>
    <mergeCell ref="P11:U11"/>
    <mergeCell ref="V11:Z11"/>
    <mergeCell ref="AA11:AC11"/>
  </mergeCells>
  <conditionalFormatting sqref="AD13:AD109 AN13:AN109 AN115:AN228 AD115:AD228">
    <cfRule type="cellIs" dxfId="5" priority="5" operator="notBetween">
      <formula>0.01</formula>
      <formula>99999999</formula>
    </cfRule>
    <cfRule type="cellIs" dxfId="4" priority="6" operator="greaterThan">
      <formula>0</formula>
    </cfRule>
  </conditionalFormatting>
  <conditionalFormatting sqref="AD229:AD243 AD259:AD264 AD253:AD255 AD247:AD249 AN229:AN264">
    <cfRule type="cellIs" dxfId="3" priority="3" operator="notBetween">
      <formula>0.01</formula>
      <formula>99999999</formula>
    </cfRule>
    <cfRule type="cellIs" dxfId="2" priority="4" operator="greaterThan">
      <formula>0</formula>
    </cfRule>
  </conditionalFormatting>
  <conditionalFormatting sqref="AD110:AD111 AN110:AN114">
    <cfRule type="cellIs" dxfId="1" priority="1" operator="notBetween">
      <formula>0.01</formula>
      <formula>99999999</formula>
    </cfRule>
    <cfRule type="cellIs" dxfId="0" priority="2" operator="greaterThan">
      <formula>0</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DAD7-1139-4BEF-BAF6-9FFB3FDEC562}">
  <sheetPr>
    <tabColor theme="3"/>
  </sheetPr>
  <dimension ref="A2:AR352"/>
  <sheetViews>
    <sheetView topLeftCell="B17" zoomScale="55" zoomScaleNormal="55" workbookViewId="0">
      <selection activeCell="C25" sqref="C25"/>
    </sheetView>
  </sheetViews>
  <sheetFormatPr defaultColWidth="8.77734375" defaultRowHeight="14.4" outlineLevelRow="1"/>
  <cols>
    <col min="1" max="1" width="20.5546875" style="224"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8" t="s">
        <v>673</v>
      </c>
    </row>
    <row r="4" spans="1:44" ht="25.05" customHeight="1">
      <c r="E4" s="224" t="s">
        <v>358</v>
      </c>
      <c r="F4" s="358">
        <v>7.45</v>
      </c>
      <c r="G4" s="358" t="s">
        <v>328</v>
      </c>
      <c r="T4" s="224" t="s">
        <v>678</v>
      </c>
      <c r="U4" s="224" t="s">
        <v>679</v>
      </c>
      <c r="V4" s="224" t="s">
        <v>680</v>
      </c>
      <c r="W4" s="224" t="s">
        <v>681</v>
      </c>
      <c r="X4" s="224" t="s">
        <v>682</v>
      </c>
    </row>
    <row r="5" spans="1:44" ht="15" customHeight="1">
      <c r="A5" s="359" t="s">
        <v>674</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183" t="s">
        <v>675</v>
      </c>
      <c r="D7" s="1202"/>
      <c r="E7" s="1202"/>
      <c r="F7" s="1202"/>
      <c r="G7" s="1202"/>
      <c r="H7" s="1202"/>
      <c r="I7" s="1202"/>
      <c r="J7" s="1202"/>
      <c r="K7" s="1202"/>
      <c r="L7" s="1203"/>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outlineLevel="1" thickBot="1">
      <c r="B8" s="1161" t="s">
        <v>4</v>
      </c>
      <c r="C8" s="1163">
        <v>2020</v>
      </c>
      <c r="D8" s="1163">
        <v>2030</v>
      </c>
      <c r="E8" s="1163">
        <v>2040</v>
      </c>
      <c r="F8" s="1163">
        <v>2050</v>
      </c>
      <c r="G8" s="1214" t="s">
        <v>684</v>
      </c>
      <c r="H8" s="1215"/>
      <c r="I8" s="1214" t="s">
        <v>628</v>
      </c>
      <c r="J8" s="1215"/>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30" customHeight="1" outlineLevel="1" thickBot="1">
      <c r="B9" s="1162"/>
      <c r="C9" s="1164"/>
      <c r="D9" s="1164"/>
      <c r="E9" s="1164"/>
      <c r="F9" s="1164"/>
      <c r="G9" s="368" t="s">
        <v>629</v>
      </c>
      <c r="H9" s="368" t="s">
        <v>630</v>
      </c>
      <c r="I9" s="368" t="s">
        <v>629</v>
      </c>
      <c r="J9" s="368" t="s">
        <v>630</v>
      </c>
      <c r="K9" s="1217"/>
      <c r="L9" s="1217"/>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687</v>
      </c>
      <c r="C10" s="371">
        <v>20000</v>
      </c>
      <c r="D10" s="371">
        <v>20000</v>
      </c>
      <c r="E10" s="371">
        <v>20000</v>
      </c>
      <c r="F10" s="371">
        <v>20000</v>
      </c>
      <c r="G10" s="371">
        <v>1000</v>
      </c>
      <c r="H10" s="371">
        <v>50000</v>
      </c>
      <c r="I10" s="371">
        <v>1000</v>
      </c>
      <c r="J10" s="371">
        <v>50000</v>
      </c>
      <c r="K10" s="371" t="s">
        <v>6</v>
      </c>
      <c r="L10" s="372" t="s">
        <v>688</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95</v>
      </c>
      <c r="D11" s="376">
        <v>96</v>
      </c>
      <c r="E11" s="377">
        <v>97</v>
      </c>
      <c r="F11" s="376">
        <v>97</v>
      </c>
      <c r="G11" s="376">
        <v>90</v>
      </c>
      <c r="H11" s="376">
        <v>98</v>
      </c>
      <c r="I11" s="376">
        <v>90</v>
      </c>
      <c r="J11" s="376">
        <v>98</v>
      </c>
      <c r="K11" s="378" t="s">
        <v>59</v>
      </c>
      <c r="L11" s="379" t="s">
        <v>692</v>
      </c>
      <c r="M11" s="369"/>
      <c r="N11" s="369"/>
      <c r="P11" s="1196" t="str">
        <f>C7</f>
        <v>Steam boiler, Oil</v>
      </c>
      <c r="Q11" s="1151" t="s">
        <v>693</v>
      </c>
      <c r="R11" s="380" t="s">
        <v>694</v>
      </c>
      <c r="S11" s="381"/>
      <c r="T11" s="1134">
        <v>0</v>
      </c>
      <c r="U11" s="1148">
        <v>1</v>
      </c>
      <c r="V11" s="1134">
        <v>0</v>
      </c>
      <c r="W11" s="1148">
        <v>1</v>
      </c>
      <c r="X11" s="1134">
        <v>0</v>
      </c>
      <c r="Y11" s="1148">
        <v>1</v>
      </c>
      <c r="Z11" s="1134">
        <v>0</v>
      </c>
      <c r="AA11" s="1148">
        <v>1</v>
      </c>
      <c r="AB11" s="1134">
        <v>0</v>
      </c>
      <c r="AC11" s="1148">
        <v>1</v>
      </c>
      <c r="AE11" s="1145" t="str">
        <f>P11</f>
        <v>Steam boiler, Oil</v>
      </c>
      <c r="AF11" s="1151" t="s">
        <v>693</v>
      </c>
      <c r="AG11" s="380" t="s">
        <v>694</v>
      </c>
      <c r="AH11" s="381"/>
      <c r="AI11" s="1134">
        <v>0</v>
      </c>
      <c r="AJ11" s="1148">
        <v>1</v>
      </c>
      <c r="AK11" s="1134">
        <v>0</v>
      </c>
      <c r="AL11" s="1148">
        <v>1</v>
      </c>
      <c r="AM11" s="1134">
        <v>0</v>
      </c>
      <c r="AN11" s="1148">
        <v>1</v>
      </c>
      <c r="AO11" s="1134">
        <v>0</v>
      </c>
      <c r="AP11" s="1148">
        <v>1</v>
      </c>
      <c r="AQ11" s="1134">
        <v>0</v>
      </c>
      <c r="AR11" s="1148">
        <v>1</v>
      </c>
    </row>
    <row r="12" spans="1:44" ht="32.549999999999997" customHeight="1" outlineLevel="1">
      <c r="B12" s="382" t="s">
        <v>695</v>
      </c>
      <c r="C12" s="383">
        <v>94</v>
      </c>
      <c r="D12" s="383">
        <v>95</v>
      </c>
      <c r="E12" s="383">
        <v>96</v>
      </c>
      <c r="F12" s="383">
        <v>96</v>
      </c>
      <c r="G12" s="384">
        <v>89</v>
      </c>
      <c r="H12" s="384">
        <v>97</v>
      </c>
      <c r="I12" s="384">
        <v>89</v>
      </c>
      <c r="J12" s="384">
        <v>97</v>
      </c>
      <c r="K12" s="385"/>
      <c r="L12" s="386" t="s">
        <v>692</v>
      </c>
      <c r="M12" s="369"/>
      <c r="N12" s="369"/>
      <c r="O12" s="71"/>
      <c r="P12" s="1192"/>
      <c r="Q12" s="1152"/>
      <c r="R12" s="387" t="s">
        <v>696</v>
      </c>
      <c r="S12" s="388"/>
      <c r="T12" s="1137"/>
      <c r="U12" s="1149"/>
      <c r="V12" s="1137"/>
      <c r="W12" s="1149"/>
      <c r="X12" s="1137"/>
      <c r="Y12" s="1149"/>
      <c r="Z12" s="1137"/>
      <c r="AA12" s="1149"/>
      <c r="AB12" s="1137"/>
      <c r="AC12" s="1149"/>
      <c r="AE12" s="1192"/>
      <c r="AF12" s="1152"/>
      <c r="AG12" s="387" t="s">
        <v>696</v>
      </c>
      <c r="AH12" s="388"/>
      <c r="AI12" s="1137"/>
      <c r="AJ12" s="1149"/>
      <c r="AK12" s="1137"/>
      <c r="AL12" s="1149"/>
      <c r="AM12" s="1137"/>
      <c r="AN12" s="1149"/>
      <c r="AO12" s="1137"/>
      <c r="AP12" s="1149"/>
      <c r="AQ12" s="1137"/>
      <c r="AR12" s="1149"/>
    </row>
    <row r="13" spans="1:44" ht="15" outlineLevel="1" thickBot="1">
      <c r="B13" s="375" t="s">
        <v>697</v>
      </c>
      <c r="C13" s="389">
        <v>0.14000000000000001</v>
      </c>
      <c r="D13" s="390">
        <v>0.12</v>
      </c>
      <c r="E13" s="390">
        <v>0.11</v>
      </c>
      <c r="F13" s="391">
        <v>0.1</v>
      </c>
      <c r="G13" s="390">
        <v>0.1</v>
      </c>
      <c r="H13" s="390">
        <v>0.14000000000000001</v>
      </c>
      <c r="I13" s="390">
        <v>0.08</v>
      </c>
      <c r="J13" s="390">
        <v>0.12</v>
      </c>
      <c r="K13" s="378" t="s">
        <v>16</v>
      </c>
      <c r="L13" s="379">
        <v>3</v>
      </c>
      <c r="M13" s="369"/>
      <c r="N13" s="369"/>
      <c r="O13" s="71"/>
      <c r="P13" s="1192"/>
      <c r="Q13" s="1153"/>
      <c r="R13" s="392" t="s">
        <v>698</v>
      </c>
      <c r="S13" s="393"/>
      <c r="T13" s="1138"/>
      <c r="U13" s="1150"/>
      <c r="V13" s="1138"/>
      <c r="W13" s="1150"/>
      <c r="X13" s="1138"/>
      <c r="Y13" s="1150"/>
      <c r="Z13" s="1138"/>
      <c r="AA13" s="1150"/>
      <c r="AB13" s="1138"/>
      <c r="AC13" s="1150"/>
      <c r="AE13" s="1192"/>
      <c r="AF13" s="1153"/>
      <c r="AG13" s="392" t="s">
        <v>698</v>
      </c>
      <c r="AH13" s="393"/>
      <c r="AI13" s="1138"/>
      <c r="AJ13" s="1150"/>
      <c r="AK13" s="1138"/>
      <c r="AL13" s="1150"/>
      <c r="AM13" s="1138"/>
      <c r="AN13" s="1150"/>
      <c r="AO13" s="1138"/>
      <c r="AP13" s="1150"/>
      <c r="AQ13" s="1138"/>
      <c r="AR13" s="1150"/>
    </row>
    <row r="14" spans="1:44" ht="15" customHeight="1" outlineLevel="1">
      <c r="B14" s="375" t="s">
        <v>637</v>
      </c>
      <c r="C14" s="389">
        <v>1.1000000000000001</v>
      </c>
      <c r="D14" s="389">
        <v>1.1000000000000001</v>
      </c>
      <c r="E14" s="389">
        <v>1.1000000000000001</v>
      </c>
      <c r="F14" s="389">
        <v>1.1000000000000001</v>
      </c>
      <c r="G14" s="389">
        <v>0.09</v>
      </c>
      <c r="H14" s="389">
        <v>2.1</v>
      </c>
      <c r="I14" s="389">
        <v>0.09</v>
      </c>
      <c r="J14" s="389">
        <v>2.1</v>
      </c>
      <c r="K14" s="378" t="s">
        <v>20</v>
      </c>
      <c r="L14" s="379">
        <v>3</v>
      </c>
      <c r="M14" s="369"/>
      <c r="N14" s="369"/>
      <c r="O14" s="71"/>
      <c r="P14" s="1192"/>
      <c r="Q14" s="1151" t="s">
        <v>699</v>
      </c>
      <c r="R14" s="394" t="s">
        <v>700</v>
      </c>
      <c r="S14" s="395" t="s">
        <v>701</v>
      </c>
      <c r="T14" s="1134">
        <v>0</v>
      </c>
      <c r="U14" s="1134">
        <v>1</v>
      </c>
      <c r="V14" s="1134">
        <v>0</v>
      </c>
      <c r="W14" s="1134">
        <v>1</v>
      </c>
      <c r="X14" s="1134">
        <v>0</v>
      </c>
      <c r="Y14" s="1134">
        <v>0.97</v>
      </c>
      <c r="Z14" s="1134">
        <v>0</v>
      </c>
      <c r="AA14" s="1134">
        <v>1</v>
      </c>
      <c r="AB14" s="1134">
        <v>0</v>
      </c>
      <c r="AC14" s="1134">
        <v>1</v>
      </c>
      <c r="AE14" s="1192"/>
      <c r="AF14" s="1151" t="s">
        <v>699</v>
      </c>
      <c r="AG14" s="394" t="s">
        <v>700</v>
      </c>
      <c r="AH14" s="395" t="s">
        <v>701</v>
      </c>
      <c r="AI14" s="1134">
        <v>0</v>
      </c>
      <c r="AJ14" s="1134">
        <v>1</v>
      </c>
      <c r="AK14" s="1134">
        <v>0</v>
      </c>
      <c r="AL14" s="1134">
        <v>1</v>
      </c>
      <c r="AM14" s="1134">
        <v>0</v>
      </c>
      <c r="AN14" s="1134">
        <v>0.97</v>
      </c>
      <c r="AO14" s="1134">
        <v>0</v>
      </c>
      <c r="AP14" s="1134">
        <v>1</v>
      </c>
      <c r="AQ14" s="1134">
        <v>0</v>
      </c>
      <c r="AR14" s="1134">
        <v>1</v>
      </c>
    </row>
    <row r="15" spans="1:44" outlineLevel="1">
      <c r="B15" s="375" t="s">
        <v>638</v>
      </c>
      <c r="C15" s="389">
        <v>0.60000000000000009</v>
      </c>
      <c r="D15" s="389">
        <v>0.60000000000000009</v>
      </c>
      <c r="E15" s="389">
        <v>0.60000000000000009</v>
      </c>
      <c r="F15" s="389">
        <v>0.60000000000000009</v>
      </c>
      <c r="G15" s="389">
        <v>0.5</v>
      </c>
      <c r="H15" s="389">
        <v>0.8</v>
      </c>
      <c r="I15" s="389">
        <v>0.5</v>
      </c>
      <c r="J15" s="389">
        <v>0.8</v>
      </c>
      <c r="K15" s="378" t="s">
        <v>20</v>
      </c>
      <c r="L15" s="379">
        <v>3</v>
      </c>
      <c r="M15" s="366"/>
      <c r="N15" s="366"/>
      <c r="O15" s="71"/>
      <c r="P15" s="1192"/>
      <c r="Q15" s="1152"/>
      <c r="R15" s="394" t="s">
        <v>702</v>
      </c>
      <c r="S15" s="395" t="s">
        <v>701</v>
      </c>
      <c r="T15" s="1135"/>
      <c r="U15" s="1135"/>
      <c r="V15" s="1135"/>
      <c r="W15" s="1135"/>
      <c r="X15" s="1135"/>
      <c r="Y15" s="1135"/>
      <c r="Z15" s="1135"/>
      <c r="AA15" s="1135"/>
      <c r="AB15" s="1135"/>
      <c r="AC15" s="1135"/>
      <c r="AE15" s="1192"/>
      <c r="AF15" s="1152"/>
      <c r="AG15" s="394" t="s">
        <v>702</v>
      </c>
      <c r="AH15" s="395" t="s">
        <v>701</v>
      </c>
      <c r="AI15" s="1135"/>
      <c r="AJ15" s="1135"/>
      <c r="AK15" s="1135"/>
      <c r="AL15" s="1135"/>
      <c r="AM15" s="1135"/>
      <c r="AN15" s="1135"/>
      <c r="AO15" s="1135"/>
      <c r="AP15" s="1135"/>
      <c r="AQ15" s="1135"/>
      <c r="AR15" s="1135"/>
    </row>
    <row r="16" spans="1:44" outlineLevel="1">
      <c r="B16" s="382" t="s">
        <v>11</v>
      </c>
      <c r="C16" s="396">
        <v>25</v>
      </c>
      <c r="D16" s="396">
        <v>25</v>
      </c>
      <c r="E16" s="396">
        <v>25</v>
      </c>
      <c r="F16" s="396">
        <v>25</v>
      </c>
      <c r="G16" s="397">
        <v>20</v>
      </c>
      <c r="H16" s="397">
        <v>30</v>
      </c>
      <c r="I16" s="397">
        <v>20</v>
      </c>
      <c r="J16" s="397">
        <v>30</v>
      </c>
      <c r="K16" s="371"/>
      <c r="L16" s="372" t="s">
        <v>703</v>
      </c>
      <c r="M16" s="362"/>
      <c r="N16" s="362"/>
      <c r="P16" s="1192"/>
      <c r="Q16" s="1152"/>
      <c r="R16" s="394" t="s">
        <v>704</v>
      </c>
      <c r="S16" s="395" t="s">
        <v>701</v>
      </c>
      <c r="T16" s="1135"/>
      <c r="U16" s="1135"/>
      <c r="V16" s="1135"/>
      <c r="W16" s="1135"/>
      <c r="X16" s="1135"/>
      <c r="Y16" s="1135"/>
      <c r="Z16" s="1135"/>
      <c r="AA16" s="1135"/>
      <c r="AB16" s="1135"/>
      <c r="AC16" s="1135"/>
      <c r="AE16" s="1192"/>
      <c r="AF16" s="1152"/>
      <c r="AG16" s="394" t="s">
        <v>704</v>
      </c>
      <c r="AH16" s="395" t="s">
        <v>701</v>
      </c>
      <c r="AI16" s="1135"/>
      <c r="AJ16" s="1135"/>
      <c r="AK16" s="1135"/>
      <c r="AL16" s="1135"/>
      <c r="AM16" s="1135"/>
      <c r="AN16" s="1135"/>
      <c r="AO16" s="1135"/>
      <c r="AP16" s="1135"/>
      <c r="AQ16" s="1135"/>
      <c r="AR16" s="1135"/>
    </row>
    <row r="17" spans="1:44" ht="15" outlineLevel="1" thickBot="1">
      <c r="B17" s="375" t="s">
        <v>273</v>
      </c>
      <c r="C17" s="398">
        <v>0.5</v>
      </c>
      <c r="D17" s="398">
        <v>0.5</v>
      </c>
      <c r="E17" s="398">
        <v>0.5</v>
      </c>
      <c r="F17" s="398">
        <v>0.5</v>
      </c>
      <c r="G17" s="398">
        <v>0.2</v>
      </c>
      <c r="H17" s="398">
        <v>0.7</v>
      </c>
      <c r="I17" s="398">
        <v>0.2</v>
      </c>
      <c r="J17" s="398">
        <v>0.7</v>
      </c>
      <c r="K17" s="371"/>
      <c r="L17" s="399"/>
      <c r="M17" s="362"/>
      <c r="N17" s="362"/>
      <c r="P17" s="1192"/>
      <c r="Q17" s="1152"/>
      <c r="R17" s="394" t="s">
        <v>705</v>
      </c>
      <c r="S17" s="395" t="s">
        <v>701</v>
      </c>
      <c r="T17" s="1135"/>
      <c r="U17" s="1135"/>
      <c r="V17" s="1135"/>
      <c r="W17" s="1135"/>
      <c r="X17" s="1135"/>
      <c r="Y17" s="1135"/>
      <c r="Z17" s="1135"/>
      <c r="AA17" s="1135"/>
      <c r="AB17" s="1135"/>
      <c r="AC17" s="1135"/>
      <c r="AE17" s="1192"/>
      <c r="AF17" s="1152"/>
      <c r="AG17" s="394" t="s">
        <v>705</v>
      </c>
      <c r="AH17" s="395" t="s">
        <v>701</v>
      </c>
      <c r="AI17" s="1135"/>
      <c r="AJ17" s="1135"/>
      <c r="AK17" s="1135"/>
      <c r="AL17" s="1135"/>
      <c r="AM17" s="1135"/>
      <c r="AN17" s="1135"/>
      <c r="AO17" s="1135"/>
      <c r="AP17" s="1135"/>
      <c r="AQ17" s="1135"/>
      <c r="AR17" s="1135"/>
    </row>
    <row r="18" spans="1:44" ht="15" outlineLevel="1" thickBot="1">
      <c r="B18" s="400" t="s">
        <v>706</v>
      </c>
      <c r="C18" s="401"/>
      <c r="D18" s="402"/>
      <c r="E18" s="403"/>
      <c r="F18" s="404"/>
      <c r="G18" s="405"/>
      <c r="H18" s="405"/>
      <c r="I18" s="405"/>
      <c r="J18" s="405"/>
      <c r="K18" s="406"/>
      <c r="L18" s="407"/>
      <c r="M18" s="362"/>
      <c r="N18" s="362"/>
      <c r="P18" s="1192"/>
      <c r="Q18" s="1152"/>
      <c r="R18" s="408" t="s">
        <v>707</v>
      </c>
      <c r="S18" s="409" t="s">
        <v>701</v>
      </c>
      <c r="T18" s="1136"/>
      <c r="U18" s="1136"/>
      <c r="V18" s="1136"/>
      <c r="W18" s="1136"/>
      <c r="X18" s="1136"/>
      <c r="Y18" s="1136"/>
      <c r="Z18" s="1136"/>
      <c r="AA18" s="1136"/>
      <c r="AB18" s="1136"/>
      <c r="AC18" s="1136"/>
      <c r="AE18" s="1192"/>
      <c r="AF18" s="1152"/>
      <c r="AG18" s="408" t="s">
        <v>707</v>
      </c>
      <c r="AH18" s="409" t="s">
        <v>701</v>
      </c>
      <c r="AI18" s="1136"/>
      <c r="AJ18" s="1136"/>
      <c r="AK18" s="1136"/>
      <c r="AL18" s="1136"/>
      <c r="AM18" s="1136"/>
      <c r="AN18" s="1136"/>
      <c r="AO18" s="1136"/>
      <c r="AP18" s="1136"/>
      <c r="AQ18" s="1136"/>
      <c r="AR18" s="1136"/>
    </row>
    <row r="19" spans="1:44" ht="29.4" outlineLevel="1" thickBot="1">
      <c r="B19" s="375" t="s">
        <v>643</v>
      </c>
      <c r="C19" s="389">
        <v>15</v>
      </c>
      <c r="D19" s="389">
        <v>15</v>
      </c>
      <c r="E19" s="389">
        <v>15</v>
      </c>
      <c r="F19" s="389">
        <v>15</v>
      </c>
      <c r="G19" s="390"/>
      <c r="H19" s="390"/>
      <c r="I19" s="390"/>
      <c r="J19" s="390"/>
      <c r="K19" s="378"/>
      <c r="L19" s="379">
        <v>3</v>
      </c>
      <c r="M19" s="362"/>
      <c r="N19" s="362"/>
      <c r="P19" s="1193"/>
      <c r="Q19" s="410" t="s">
        <v>708</v>
      </c>
      <c r="R19" s="411" t="s">
        <v>709</v>
      </c>
      <c r="S19" s="412" t="s">
        <v>701</v>
      </c>
      <c r="T19" s="413">
        <v>1</v>
      </c>
      <c r="U19" s="414">
        <v>1</v>
      </c>
      <c r="V19" s="415">
        <v>1</v>
      </c>
      <c r="W19" s="414">
        <v>1</v>
      </c>
      <c r="X19" s="415">
        <v>1</v>
      </c>
      <c r="Y19" s="414">
        <v>1</v>
      </c>
      <c r="Z19" s="415">
        <v>1</v>
      </c>
      <c r="AA19" s="414">
        <v>1</v>
      </c>
      <c r="AB19" s="415">
        <v>1</v>
      </c>
      <c r="AC19" s="416">
        <v>1</v>
      </c>
      <c r="AE19" s="1193"/>
      <c r="AF19" s="410" t="s">
        <v>708</v>
      </c>
      <c r="AG19" s="411" t="s">
        <v>709</v>
      </c>
      <c r="AH19" s="412" t="s">
        <v>701</v>
      </c>
      <c r="AI19" s="413">
        <v>1</v>
      </c>
      <c r="AJ19" s="414">
        <v>1</v>
      </c>
      <c r="AK19" s="415">
        <v>1</v>
      </c>
      <c r="AL19" s="414">
        <v>1</v>
      </c>
      <c r="AM19" s="415">
        <v>1</v>
      </c>
      <c r="AN19" s="414">
        <v>1</v>
      </c>
      <c r="AO19" s="415">
        <v>1</v>
      </c>
      <c r="AP19" s="414">
        <v>1</v>
      </c>
      <c r="AQ19" s="415">
        <v>1</v>
      </c>
      <c r="AR19" s="416">
        <v>1</v>
      </c>
    </row>
    <row r="20" spans="1:44" outlineLevel="1">
      <c r="B20" s="375" t="s">
        <v>644</v>
      </c>
      <c r="C20" s="389">
        <v>0.1</v>
      </c>
      <c r="D20" s="389">
        <v>0.1</v>
      </c>
      <c r="E20" s="389">
        <v>0.1</v>
      </c>
      <c r="F20" s="389">
        <v>0.1</v>
      </c>
      <c r="G20" s="417"/>
      <c r="H20" s="417"/>
      <c r="I20" s="417"/>
      <c r="J20" s="417"/>
      <c r="K20" s="418"/>
      <c r="L20" s="379">
        <v>3</v>
      </c>
      <c r="M20" s="362"/>
      <c r="N20" s="362"/>
    </row>
    <row r="21" spans="1:44" outlineLevel="1">
      <c r="B21" s="375" t="s">
        <v>646</v>
      </c>
      <c r="C21" s="389">
        <v>0.4</v>
      </c>
      <c r="D21" s="389">
        <v>0.4</v>
      </c>
      <c r="E21" s="389">
        <v>0.4</v>
      </c>
      <c r="F21" s="389">
        <v>0.4</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15.6" outlineLevel="1">
      <c r="B23" s="382" t="s">
        <v>710</v>
      </c>
      <c r="C23" s="396">
        <v>0.5</v>
      </c>
      <c r="D23" s="396">
        <v>0.5</v>
      </c>
      <c r="E23" s="396">
        <v>0.5</v>
      </c>
      <c r="F23" s="396">
        <v>0.5</v>
      </c>
      <c r="G23" s="421"/>
      <c r="H23" s="424"/>
      <c r="I23" s="424"/>
      <c r="J23" s="424"/>
      <c r="K23" s="425" t="s">
        <v>76</v>
      </c>
      <c r="L23" s="426" t="s">
        <v>711</v>
      </c>
      <c r="M23" s="427"/>
      <c r="N23" s="427"/>
    </row>
    <row r="24" spans="1:44" outlineLevel="1">
      <c r="B24" s="382" t="s">
        <v>712</v>
      </c>
      <c r="C24" s="396">
        <v>0.1</v>
      </c>
      <c r="D24" s="396">
        <v>0.1</v>
      </c>
      <c r="E24" s="396">
        <v>0.1</v>
      </c>
      <c r="F24" s="396">
        <v>0.1</v>
      </c>
      <c r="G24" s="424"/>
      <c r="H24" s="424"/>
      <c r="I24" s="424"/>
      <c r="J24" s="424"/>
      <c r="K24" s="422"/>
      <c r="L24" s="426">
        <v>9</v>
      </c>
      <c r="M24" s="427"/>
      <c r="N24" s="427"/>
    </row>
    <row r="25" spans="1:44" ht="15.6" outlineLevel="1">
      <c r="B25" s="382" t="s">
        <v>713</v>
      </c>
      <c r="C25" s="396">
        <v>25</v>
      </c>
      <c r="D25" s="396">
        <v>20</v>
      </c>
      <c r="E25" s="396">
        <v>18</v>
      </c>
      <c r="F25" s="396">
        <v>15</v>
      </c>
      <c r="G25" s="424"/>
      <c r="H25" s="424"/>
      <c r="I25" s="424"/>
      <c r="J25" s="424"/>
      <c r="K25" s="422"/>
      <c r="L25" s="426" t="s">
        <v>711</v>
      </c>
      <c r="M25" s="427"/>
      <c r="N25" s="427"/>
      <c r="T25" s="224">
        <f>C$23</f>
        <v>0.5</v>
      </c>
      <c r="U25" s="224">
        <f t="shared" ref="U25:V25" si="0">D$23</f>
        <v>0.5</v>
      </c>
      <c r="V25" s="224">
        <f t="shared" si="0"/>
        <v>0.5</v>
      </c>
    </row>
    <row r="26" spans="1:44" outlineLevel="1">
      <c r="B26" s="382" t="s">
        <v>366</v>
      </c>
      <c r="C26" s="396">
        <v>0</v>
      </c>
      <c r="D26" s="396">
        <v>0</v>
      </c>
      <c r="E26" s="396">
        <v>0</v>
      </c>
      <c r="F26" s="396">
        <v>0</v>
      </c>
      <c r="G26" s="424"/>
      <c r="H26" s="424"/>
      <c r="I26" s="424"/>
      <c r="J26" s="424"/>
      <c r="K26" s="422"/>
      <c r="L26" s="426" t="s">
        <v>711</v>
      </c>
      <c r="M26" s="427"/>
      <c r="N26" s="427"/>
    </row>
    <row r="27" spans="1:44" ht="15" outlineLevel="1" thickBot="1">
      <c r="B27" s="428" t="s">
        <v>367</v>
      </c>
      <c r="C27" s="429">
        <v>0</v>
      </c>
      <c r="D27" s="429">
        <v>0</v>
      </c>
      <c r="E27" s="429">
        <v>0</v>
      </c>
      <c r="F27" s="429">
        <v>0</v>
      </c>
      <c r="G27" s="424"/>
      <c r="H27" s="424"/>
      <c r="I27" s="424"/>
      <c r="J27" s="424"/>
      <c r="K27" s="422"/>
      <c r="L27" s="426" t="s">
        <v>711</v>
      </c>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436">
        <v>5.5E-2</v>
      </c>
      <c r="D29" s="437">
        <v>4.6576380486507002E-2</v>
      </c>
      <c r="E29" s="437">
        <v>4.4600000000000001E-2</v>
      </c>
      <c r="F29" s="438">
        <v>4.4045618468049198E-2</v>
      </c>
      <c r="G29" s="424"/>
      <c r="H29" s="424"/>
      <c r="I29" s="424"/>
      <c r="J29" s="424"/>
      <c r="K29" s="425" t="s">
        <v>715</v>
      </c>
      <c r="L29" s="439" t="s">
        <v>716</v>
      </c>
      <c r="M29" s="419"/>
      <c r="N29" s="419"/>
    </row>
    <row r="30" spans="1:44" outlineLevel="1">
      <c r="B30" s="440" t="s">
        <v>717</v>
      </c>
      <c r="C30" s="441">
        <v>60</v>
      </c>
      <c r="D30" s="442">
        <v>60</v>
      </c>
      <c r="E30" s="442">
        <v>60</v>
      </c>
      <c r="F30" s="442">
        <v>60</v>
      </c>
      <c r="G30" s="424"/>
      <c r="H30" s="424"/>
      <c r="I30" s="424"/>
      <c r="J30" s="424"/>
      <c r="K30" s="443"/>
      <c r="L30" s="372">
        <v>3</v>
      </c>
      <c r="M30" s="71"/>
      <c r="N30" s="419"/>
    </row>
    <row r="31" spans="1:44" outlineLevel="1">
      <c r="B31" s="440" t="s">
        <v>718</v>
      </c>
      <c r="C31" s="441">
        <v>40</v>
      </c>
      <c r="D31" s="441">
        <v>40</v>
      </c>
      <c r="E31" s="441">
        <v>40</v>
      </c>
      <c r="F31" s="441">
        <v>40</v>
      </c>
      <c r="G31" s="424"/>
      <c r="H31" s="424"/>
      <c r="I31" s="424"/>
      <c r="J31" s="424"/>
      <c r="K31" s="443"/>
      <c r="L31" s="372">
        <v>3</v>
      </c>
      <c r="M31" s="419"/>
      <c r="N31" s="419"/>
    </row>
    <row r="32" spans="1:44" ht="26.4" outlineLevel="1">
      <c r="B32" s="382" t="s">
        <v>719</v>
      </c>
      <c r="C32" s="444">
        <v>1.8</v>
      </c>
      <c r="D32" s="445">
        <v>1.7</v>
      </c>
      <c r="E32" s="445">
        <v>1.6</v>
      </c>
      <c r="F32" s="446">
        <v>1.5</v>
      </c>
      <c r="G32" s="424"/>
      <c r="H32" s="424"/>
      <c r="I32" s="424"/>
      <c r="J32" s="424"/>
      <c r="K32" s="447"/>
      <c r="L32" s="372">
        <v>3</v>
      </c>
      <c r="M32" s="419"/>
      <c r="N32" s="419"/>
    </row>
    <row r="33" spans="1:30" ht="37.049999999999997" customHeight="1" outlineLevel="1" thickBot="1">
      <c r="B33" s="382" t="s">
        <v>720</v>
      </c>
      <c r="C33" s="448">
        <f>1/3.6</f>
        <v>0.27777777777777779</v>
      </c>
      <c r="D33" s="448">
        <f>0.9/3.6</f>
        <v>0.25</v>
      </c>
      <c r="E33" s="448">
        <f>0.9/3.6</f>
        <v>0.25</v>
      </c>
      <c r="F33" s="448">
        <f>0.9/3.6</f>
        <v>0.25</v>
      </c>
      <c r="G33" s="424"/>
      <c r="H33" s="424"/>
      <c r="I33" s="424"/>
      <c r="J33" s="424"/>
      <c r="K33" s="447"/>
      <c r="L33" s="372">
        <v>3</v>
      </c>
      <c r="M33" s="449"/>
      <c r="N33" s="360"/>
      <c r="P33" s="1139">
        <f>C33</f>
        <v>0.27777777777777779</v>
      </c>
      <c r="Q33" s="1140"/>
      <c r="R33" s="1140"/>
      <c r="S33" s="1140"/>
      <c r="T33" s="1140"/>
      <c r="U33" s="1141"/>
    </row>
    <row r="34" spans="1:30" ht="15.75" customHeight="1" outlineLevel="1" thickBot="1">
      <c r="A34" s="224" t="s">
        <v>959</v>
      </c>
      <c r="B34" s="450" t="s">
        <v>721</v>
      </c>
      <c r="C34" s="451">
        <v>0.10220000000000001</v>
      </c>
      <c r="D34" s="451">
        <v>0.09</v>
      </c>
      <c r="E34" s="451">
        <v>8.3600000000000008E-2</v>
      </c>
      <c r="F34" s="451">
        <v>7.5999999999999998E-2</v>
      </c>
      <c r="G34" s="452"/>
      <c r="H34" s="452"/>
      <c r="I34" s="452"/>
      <c r="J34" s="452"/>
      <c r="K34" s="378" t="s">
        <v>52</v>
      </c>
      <c r="L34" s="379">
        <v>3</v>
      </c>
      <c r="M34" s="449"/>
      <c r="N34" s="360"/>
      <c r="P34" s="1131">
        <f>C34</f>
        <v>0.10220000000000001</v>
      </c>
      <c r="Q34" s="1132"/>
      <c r="R34" s="1132"/>
      <c r="S34" s="1132"/>
      <c r="T34" s="1132"/>
      <c r="U34" s="1133"/>
    </row>
    <row r="35" spans="1:30" outlineLevel="1">
      <c r="B35" s="450" t="s">
        <v>722</v>
      </c>
      <c r="C35" s="453">
        <v>0.89779999999999993</v>
      </c>
      <c r="D35" s="453">
        <v>0.81</v>
      </c>
      <c r="E35" s="453">
        <v>0.81640000000000001</v>
      </c>
      <c r="F35" s="453">
        <v>0.82400000000000007</v>
      </c>
      <c r="G35" s="452"/>
      <c r="H35" s="452"/>
      <c r="I35" s="452"/>
      <c r="J35" s="452"/>
      <c r="K35" s="454"/>
      <c r="L35" s="379">
        <v>3</v>
      </c>
      <c r="M35" s="362"/>
      <c r="N35" s="362"/>
      <c r="P35" s="53" t="s">
        <v>357</v>
      </c>
    </row>
    <row r="36" spans="1:30" ht="27.6"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1: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1: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1:30" outlineLevel="1">
      <c r="B39" s="450" t="s">
        <v>725</v>
      </c>
      <c r="C39" s="461" t="s">
        <v>36</v>
      </c>
      <c r="D39" s="461" t="s">
        <v>36</v>
      </c>
      <c r="E39" s="461" t="s">
        <v>36</v>
      </c>
      <c r="F39" s="461" t="s">
        <v>36</v>
      </c>
      <c r="G39" s="462"/>
      <c r="H39" s="462"/>
      <c r="I39" s="462"/>
      <c r="J39" s="462"/>
      <c r="K39" s="462" t="s">
        <v>55</v>
      </c>
      <c r="L39" s="463"/>
      <c r="M39" s="362"/>
      <c r="N39" s="362"/>
      <c r="O39" s="464">
        <f>C12</f>
        <v>94</v>
      </c>
      <c r="P39" s="465">
        <f>C8</f>
        <v>2020</v>
      </c>
      <c r="Q39" s="58">
        <f>P39</f>
        <v>2020</v>
      </c>
      <c r="R39" s="465">
        <f>O39/100</f>
        <v>0.94</v>
      </c>
      <c r="S39" s="58"/>
      <c r="T39" s="465">
        <f>C16</f>
        <v>25</v>
      </c>
      <c r="U39" s="466">
        <f>C46</f>
        <v>409.75</v>
      </c>
      <c r="V39" s="466">
        <f>C48</f>
        <v>13.41</v>
      </c>
      <c r="W39" s="466">
        <f>C49</f>
        <v>2.0694444444444446</v>
      </c>
      <c r="X39" s="58"/>
      <c r="Y39" s="58"/>
      <c r="Z39" s="465">
        <f>C23</f>
        <v>0.5</v>
      </c>
      <c r="AA39" s="467">
        <f>C25</f>
        <v>25</v>
      </c>
      <c r="AB39" s="467">
        <f>C26</f>
        <v>0</v>
      </c>
      <c r="AC39" s="467">
        <f>C27</f>
        <v>0</v>
      </c>
      <c r="AD39" s="467">
        <f>C24</f>
        <v>0.1</v>
      </c>
    </row>
    <row r="40" spans="1:30" ht="14.55" customHeight="1" outlineLevel="1">
      <c r="B40" s="375" t="s">
        <v>726</v>
      </c>
      <c r="C40" s="468" t="s">
        <v>36</v>
      </c>
      <c r="D40" s="469" t="s">
        <v>36</v>
      </c>
      <c r="E40" s="469" t="s">
        <v>36</v>
      </c>
      <c r="F40" s="470" t="s">
        <v>36</v>
      </c>
      <c r="G40" s="470"/>
      <c r="H40" s="470"/>
      <c r="I40" s="470"/>
      <c r="J40" s="470"/>
      <c r="K40" s="471" t="s">
        <v>55</v>
      </c>
      <c r="L40" s="463"/>
      <c r="M40" s="362"/>
      <c r="N40" s="362"/>
      <c r="O40" s="464">
        <f>D12</f>
        <v>95</v>
      </c>
      <c r="P40" s="465">
        <f>D8</f>
        <v>2030</v>
      </c>
      <c r="Q40" s="58"/>
      <c r="R40" s="465">
        <f>O40/100</f>
        <v>0.95</v>
      </c>
      <c r="S40" s="58"/>
      <c r="T40" s="465">
        <f>D16</f>
        <v>25</v>
      </c>
      <c r="U40" s="466">
        <f>D46</f>
        <v>346.99403462447719</v>
      </c>
      <c r="V40" s="466">
        <f>D48</f>
        <v>12.664999999999999</v>
      </c>
      <c r="W40" s="466">
        <f>D49</f>
        <v>1.8625</v>
      </c>
      <c r="X40" s="58"/>
      <c r="Y40" s="58"/>
      <c r="Z40" s="465">
        <f>D23</f>
        <v>0.5</v>
      </c>
      <c r="AA40" s="467">
        <f>D25</f>
        <v>20</v>
      </c>
      <c r="AB40" s="467">
        <f>D26</f>
        <v>0</v>
      </c>
      <c r="AC40" s="467">
        <f>D27</f>
        <v>0</v>
      </c>
      <c r="AD40" s="467">
        <f>D24</f>
        <v>0.1</v>
      </c>
    </row>
    <row r="41" spans="1:30" outlineLevel="1">
      <c r="B41" s="375" t="s">
        <v>727</v>
      </c>
      <c r="C41" s="468" t="s">
        <v>36</v>
      </c>
      <c r="D41" s="469" t="s">
        <v>36</v>
      </c>
      <c r="E41" s="469" t="s">
        <v>36</v>
      </c>
      <c r="F41" s="470" t="s">
        <v>36</v>
      </c>
      <c r="G41" s="452"/>
      <c r="H41" s="452"/>
      <c r="I41" s="452"/>
      <c r="J41" s="452"/>
      <c r="K41" s="452"/>
      <c r="L41" s="379"/>
      <c r="M41" s="362"/>
      <c r="N41" s="362"/>
      <c r="O41" s="464">
        <f>E12</f>
        <v>96</v>
      </c>
      <c r="P41" s="465">
        <f>E8</f>
        <v>2040</v>
      </c>
      <c r="Q41" s="58"/>
      <c r="R41" s="465">
        <f>O41/100</f>
        <v>0.96</v>
      </c>
      <c r="S41" s="58"/>
      <c r="T41" s="465">
        <f>E16</f>
        <v>25</v>
      </c>
      <c r="U41" s="466">
        <f>E46</f>
        <v>332.27</v>
      </c>
      <c r="V41" s="466">
        <f>E48</f>
        <v>11.920000000000002</v>
      </c>
      <c r="W41" s="466">
        <f>E49</f>
        <v>1.8625</v>
      </c>
      <c r="X41" s="58"/>
      <c r="Y41" s="58"/>
      <c r="Z41" s="465">
        <f>E23</f>
        <v>0.5</v>
      </c>
      <c r="AA41" s="467">
        <f>E25</f>
        <v>18</v>
      </c>
      <c r="AB41" s="467">
        <f>E26</f>
        <v>0</v>
      </c>
      <c r="AC41" s="467">
        <f>E27</f>
        <v>0</v>
      </c>
      <c r="AD41" s="467">
        <f>E24</f>
        <v>0.1</v>
      </c>
    </row>
    <row r="42" spans="1:30" outlineLevel="1">
      <c r="B42" s="375" t="s">
        <v>728</v>
      </c>
      <c r="C42" s="472">
        <v>90</v>
      </c>
      <c r="D42" s="472">
        <v>90</v>
      </c>
      <c r="E42" s="472">
        <v>90</v>
      </c>
      <c r="F42" s="472">
        <v>90</v>
      </c>
      <c r="G42" s="473"/>
      <c r="H42" s="473"/>
      <c r="I42" s="473"/>
      <c r="J42" s="473"/>
      <c r="K42" s="473"/>
      <c r="L42" s="379">
        <v>3</v>
      </c>
      <c r="M42" s="362"/>
      <c r="N42" s="362"/>
      <c r="O42" s="464">
        <f>F12</f>
        <v>96</v>
      </c>
      <c r="P42" s="465">
        <f>F8</f>
        <v>2050</v>
      </c>
      <c r="Q42" s="58"/>
      <c r="R42" s="465">
        <f>O42/100</f>
        <v>0.96</v>
      </c>
      <c r="S42" s="58"/>
      <c r="T42" s="465">
        <f>F16</f>
        <v>25</v>
      </c>
      <c r="U42" s="466">
        <f>F46</f>
        <v>328.13985758696651</v>
      </c>
      <c r="V42" s="466">
        <f>F48</f>
        <v>11.175000000000001</v>
      </c>
      <c r="W42" s="466">
        <f>F49</f>
        <v>1.8625</v>
      </c>
      <c r="X42" s="58"/>
      <c r="Y42" s="58"/>
      <c r="Z42" s="465">
        <f>F23</f>
        <v>0.5</v>
      </c>
      <c r="AA42" s="467">
        <f>F25</f>
        <v>15</v>
      </c>
      <c r="AB42" s="467">
        <f>F26</f>
        <v>0</v>
      </c>
      <c r="AC42" s="467">
        <f>F27</f>
        <v>0</v>
      </c>
      <c r="AD42" s="467">
        <f>F24</f>
        <v>0.1</v>
      </c>
    </row>
    <row r="43" spans="1:30" outlineLevel="1">
      <c r="B43" s="474" t="s">
        <v>729</v>
      </c>
      <c r="C43" s="468" t="s">
        <v>36</v>
      </c>
      <c r="D43" s="469" t="s">
        <v>36</v>
      </c>
      <c r="E43" s="469" t="s">
        <v>36</v>
      </c>
      <c r="F43" s="470" t="s">
        <v>36</v>
      </c>
      <c r="G43" s="473"/>
      <c r="H43" s="473"/>
      <c r="I43" s="473"/>
      <c r="J43" s="473"/>
      <c r="K43" s="473"/>
      <c r="L43" s="475"/>
      <c r="M43" s="366"/>
      <c r="N43" s="366"/>
    </row>
    <row r="44" spans="1:30" outlineLevel="1">
      <c r="B44" s="474" t="s">
        <v>730</v>
      </c>
      <c r="C44" s="468" t="s">
        <v>36</v>
      </c>
      <c r="D44" s="469" t="s">
        <v>36</v>
      </c>
      <c r="E44" s="469" t="s">
        <v>36</v>
      </c>
      <c r="F44" s="470" t="s">
        <v>36</v>
      </c>
      <c r="G44" s="473"/>
      <c r="H44" s="473"/>
      <c r="I44" s="473"/>
      <c r="J44" s="473"/>
      <c r="K44" s="473"/>
      <c r="L44" s="475"/>
      <c r="M44" s="362"/>
      <c r="N44" s="362"/>
    </row>
    <row r="45" spans="1:30" ht="15" outlineLevel="1" thickBot="1">
      <c r="B45" s="476" t="s">
        <v>731</v>
      </c>
      <c r="C45" s="477" t="s">
        <v>36</v>
      </c>
      <c r="D45" s="478" t="s">
        <v>36</v>
      </c>
      <c r="E45" s="478" t="s">
        <v>36</v>
      </c>
      <c r="F45" s="479" t="s">
        <v>36</v>
      </c>
      <c r="G45" s="480"/>
      <c r="H45" s="480"/>
      <c r="I45" s="480"/>
      <c r="J45" s="480"/>
      <c r="K45" s="480"/>
      <c r="L45" s="481"/>
      <c r="M45" s="362"/>
      <c r="N45" s="362"/>
    </row>
    <row r="46" spans="1:30" ht="57.6" outlineLevel="1">
      <c r="B46" s="460" t="s">
        <v>732</v>
      </c>
      <c r="C46" s="482">
        <f>C29*$F$4*1000</f>
        <v>409.75</v>
      </c>
      <c r="D46" s="482">
        <f t="shared" ref="D46:F46" si="1">D29*$F$4*1000</f>
        <v>346.99403462447719</v>
      </c>
      <c r="E46" s="482">
        <f t="shared" si="1"/>
        <v>332.27</v>
      </c>
      <c r="F46" s="482">
        <f t="shared" si="1"/>
        <v>328.13985758696651</v>
      </c>
      <c r="G46" s="482"/>
      <c r="H46" s="483"/>
      <c r="I46" s="419" t="s">
        <v>332</v>
      </c>
      <c r="J46" s="419"/>
      <c r="K46" s="483"/>
      <c r="L46" s="483"/>
      <c r="N46" s="419"/>
    </row>
    <row r="47" spans="1:30" outlineLevel="1">
      <c r="B47" s="484" t="s">
        <v>733</v>
      </c>
      <c r="C47" s="485">
        <f>C46*$I47</f>
        <v>204875</v>
      </c>
      <c r="D47" s="485">
        <f>D46*$I47</f>
        <v>173497.0173122386</v>
      </c>
      <c r="E47" s="485">
        <f>E46*$I47</f>
        <v>166135</v>
      </c>
      <c r="F47" s="485">
        <f>F46*$I47</f>
        <v>164069.92879348327</v>
      </c>
      <c r="G47" s="485"/>
      <c r="H47" s="483"/>
      <c r="I47" s="71">
        <v>500</v>
      </c>
      <c r="J47" s="419" t="s">
        <v>330</v>
      </c>
      <c r="K47" s="483"/>
      <c r="L47" s="483"/>
      <c r="N47" s="419"/>
    </row>
    <row r="48" spans="1:30" ht="43.2" outlineLevel="1">
      <c r="B48" s="460" t="s">
        <v>734</v>
      </c>
      <c r="C48" s="358">
        <f>C32*$F$4</f>
        <v>13.41</v>
      </c>
      <c r="D48" s="358">
        <f t="shared" ref="D48:F49" si="2">D32*$F$4</f>
        <v>12.664999999999999</v>
      </c>
      <c r="E48" s="358">
        <f t="shared" si="2"/>
        <v>11.920000000000002</v>
      </c>
      <c r="F48" s="358">
        <f t="shared" si="2"/>
        <v>11.175000000000001</v>
      </c>
      <c r="G48" s="358"/>
      <c r="I48" s="419" t="s">
        <v>333</v>
      </c>
      <c r="J48" s="419"/>
      <c r="N48" s="419"/>
    </row>
    <row r="49" spans="2:14" ht="43.2" outlineLevel="1">
      <c r="B49" s="460" t="s">
        <v>735</v>
      </c>
      <c r="C49" s="486">
        <f>C33*$F$4</f>
        <v>2.0694444444444446</v>
      </c>
      <c r="D49" s="486">
        <f t="shared" si="2"/>
        <v>1.8625</v>
      </c>
      <c r="E49" s="486">
        <f t="shared" si="2"/>
        <v>1.8625</v>
      </c>
      <c r="F49" s="486">
        <f t="shared" si="2"/>
        <v>1.8625</v>
      </c>
      <c r="G49" s="358"/>
      <c r="M49" s="419"/>
      <c r="N49" s="419"/>
    </row>
    <row r="50" spans="2:14" outlineLevel="1"/>
    <row r="51" spans="2:14" outlineLevel="1"/>
    <row r="52" spans="2:14" outlineLevel="1"/>
    <row r="53" spans="2:14" outlineLevel="1"/>
    <row r="54" spans="2:14" outlineLevel="1">
      <c r="B54" s="487" t="s">
        <v>736</v>
      </c>
      <c r="C54" s="488"/>
      <c r="D54" s="489"/>
      <c r="E54" s="489"/>
      <c r="F54" s="489"/>
    </row>
    <row r="55" spans="2:14" outlineLevel="1">
      <c r="B55" s="490">
        <v>1</v>
      </c>
      <c r="C55" s="491" t="s">
        <v>737</v>
      </c>
      <c r="E55" s="489"/>
      <c r="F55" s="489"/>
    </row>
    <row r="56" spans="2:14" outlineLevel="1">
      <c r="B56" s="490">
        <v>2</v>
      </c>
      <c r="C56" s="492" t="s">
        <v>738</v>
      </c>
      <c r="E56" s="489"/>
      <c r="F56" s="489"/>
    </row>
    <row r="57" spans="2:14" outlineLevel="1">
      <c r="B57" s="490">
        <v>3</v>
      </c>
      <c r="C57" s="492" t="s">
        <v>739</v>
      </c>
      <c r="E57" s="489"/>
      <c r="F57" s="489"/>
    </row>
    <row r="58" spans="2:14" outlineLevel="1">
      <c r="B58" s="490">
        <v>4</v>
      </c>
      <c r="C58" s="492" t="s">
        <v>740</v>
      </c>
      <c r="E58" s="489"/>
      <c r="F58" s="489"/>
    </row>
    <row r="59" spans="2:14" outlineLevel="1">
      <c r="B59" s="357">
        <v>5</v>
      </c>
      <c r="C59" s="493" t="s">
        <v>741</v>
      </c>
      <c r="D59" s="489"/>
      <c r="E59" s="489"/>
      <c r="F59" s="489"/>
    </row>
    <row r="60" spans="2:14" outlineLevel="1">
      <c r="B60" s="357">
        <v>6</v>
      </c>
      <c r="C60" s="491" t="s">
        <v>742</v>
      </c>
      <c r="D60" s="489"/>
      <c r="E60" s="489"/>
      <c r="F60" s="489"/>
    </row>
    <row r="61" spans="2:14" outlineLevel="1">
      <c r="B61" s="357">
        <v>7</v>
      </c>
      <c r="C61" s="494" t="s">
        <v>737</v>
      </c>
      <c r="D61" s="489"/>
      <c r="E61" s="489"/>
      <c r="F61" s="489"/>
    </row>
    <row r="62" spans="2:14" outlineLevel="1">
      <c r="B62" s="357">
        <v>8</v>
      </c>
      <c r="C62" s="494" t="s">
        <v>743</v>
      </c>
      <c r="D62" s="489"/>
      <c r="E62" s="489"/>
      <c r="F62" s="489"/>
    </row>
    <row r="63" spans="2:14" outlineLevel="1">
      <c r="B63" s="357">
        <v>9</v>
      </c>
      <c r="C63" s="488" t="s">
        <v>744</v>
      </c>
      <c r="D63" s="489"/>
      <c r="E63" s="489"/>
      <c r="F63" s="489"/>
    </row>
    <row r="64" spans="2:14" outlineLevel="1">
      <c r="B64" s="357">
        <v>10</v>
      </c>
      <c r="C64" s="489" t="s">
        <v>745</v>
      </c>
      <c r="D64" s="489"/>
      <c r="E64" s="489"/>
      <c r="F64" s="489"/>
    </row>
    <row r="65" spans="2:6" outlineLevel="1">
      <c r="B65" s="487" t="s">
        <v>746</v>
      </c>
      <c r="C65" s="488"/>
      <c r="D65" s="489"/>
      <c r="E65" s="489"/>
      <c r="F65" s="489"/>
    </row>
    <row r="66" spans="2:6" outlineLevel="1">
      <c r="B66" s="495" t="s">
        <v>6</v>
      </c>
      <c r="C66" s="496" t="s">
        <v>747</v>
      </c>
      <c r="E66" s="489"/>
      <c r="F66" s="489"/>
    </row>
    <row r="67" spans="2:6" outlineLevel="1">
      <c r="B67" s="495" t="s">
        <v>59</v>
      </c>
      <c r="C67" s="488" t="s">
        <v>748</v>
      </c>
      <c r="E67" s="489"/>
      <c r="F67" s="489"/>
    </row>
    <row r="68" spans="2:6" outlineLevel="1">
      <c r="B68" s="495" t="s">
        <v>16</v>
      </c>
      <c r="C68" s="488" t="s">
        <v>749</v>
      </c>
      <c r="E68" s="489"/>
      <c r="F68" s="489"/>
    </row>
    <row r="69" spans="2:6" outlineLevel="1">
      <c r="B69" s="495" t="s">
        <v>20</v>
      </c>
      <c r="C69" s="488" t="s">
        <v>750</v>
      </c>
      <c r="E69" s="489"/>
      <c r="F69" s="489"/>
    </row>
    <row r="70" spans="2:6" outlineLevel="1">
      <c r="B70" s="495" t="s">
        <v>76</v>
      </c>
      <c r="C70" s="497" t="s">
        <v>751</v>
      </c>
      <c r="E70" s="489"/>
      <c r="F70" s="489"/>
    </row>
    <row r="71" spans="2:6" outlineLevel="1">
      <c r="B71" s="495" t="s">
        <v>25</v>
      </c>
      <c r="C71" s="488" t="s">
        <v>752</v>
      </c>
      <c r="E71" s="489"/>
      <c r="F71" s="489"/>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59" t="s">
        <v>753</v>
      </c>
      <c r="B84" s="1204"/>
      <c r="C84" s="1140"/>
      <c r="D84" s="1140"/>
      <c r="E84" s="1140"/>
      <c r="F84" s="1140"/>
      <c r="G84" s="1140"/>
      <c r="H84" s="1140"/>
      <c r="I84" s="1140"/>
      <c r="J84" s="1140"/>
      <c r="K84" s="1140"/>
      <c r="L84" s="1140"/>
      <c r="M84" s="1140"/>
      <c r="N84" s="360"/>
      <c r="P84" s="1140"/>
      <c r="Q84" s="1140"/>
      <c r="R84" s="1140"/>
      <c r="S84" s="1140"/>
      <c r="T84" s="1140"/>
      <c r="U84" s="1140"/>
    </row>
    <row r="85" spans="1:44" ht="15" outlineLevel="1" thickBot="1">
      <c r="B85" s="1204"/>
      <c r="C85" s="1140"/>
      <c r="D85" s="1140"/>
      <c r="E85" s="1140"/>
      <c r="F85" s="1140"/>
      <c r="G85" s="1140"/>
      <c r="H85" s="1140"/>
      <c r="I85" s="1140"/>
      <c r="J85" s="1140"/>
      <c r="K85" s="1140"/>
      <c r="L85" s="1140"/>
      <c r="M85" s="1140"/>
      <c r="N85" s="360"/>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5" customHeight="1" outlineLevel="1" thickBot="1">
      <c r="B86" s="361" t="s">
        <v>0</v>
      </c>
      <c r="C86" s="1183" t="s">
        <v>754</v>
      </c>
      <c r="D86" s="1202"/>
      <c r="E86" s="1202"/>
      <c r="F86" s="1202"/>
      <c r="G86" s="1202"/>
      <c r="H86" s="1202"/>
      <c r="I86" s="1202"/>
      <c r="J86" s="1202"/>
      <c r="K86" s="1202"/>
      <c r="L86" s="1203"/>
      <c r="M86" s="362"/>
      <c r="N86" s="362"/>
      <c r="P86" s="363" t="s">
        <v>676</v>
      </c>
      <c r="Q86" s="364"/>
      <c r="R86" s="365"/>
      <c r="S86" s="1173" t="s">
        <v>677</v>
      </c>
      <c r="T86" s="1157" t="s">
        <v>678</v>
      </c>
      <c r="U86" s="1158"/>
      <c r="V86" s="1157" t="s">
        <v>679</v>
      </c>
      <c r="W86" s="1158"/>
      <c r="X86" s="1157" t="s">
        <v>680</v>
      </c>
      <c r="Y86" s="1158"/>
      <c r="Z86" s="1157" t="s">
        <v>681</v>
      </c>
      <c r="AA86" s="1158"/>
      <c r="AB86" s="1157" t="s">
        <v>682</v>
      </c>
      <c r="AC86" s="1158"/>
      <c r="AE86" s="363" t="s">
        <v>683</v>
      </c>
      <c r="AF86" s="364"/>
      <c r="AG86" s="365"/>
      <c r="AH86" s="1173" t="s">
        <v>677</v>
      </c>
      <c r="AI86" s="1157" t="s">
        <v>678</v>
      </c>
      <c r="AJ86" s="1158"/>
      <c r="AK86" s="1157" t="s">
        <v>679</v>
      </c>
      <c r="AL86" s="1158"/>
      <c r="AM86" s="1157" t="s">
        <v>680</v>
      </c>
      <c r="AN86" s="1158"/>
      <c r="AO86" s="1157" t="s">
        <v>681</v>
      </c>
      <c r="AP86" s="1158"/>
      <c r="AQ86" s="1157" t="s">
        <v>682</v>
      </c>
      <c r="AR86" s="1158"/>
    </row>
    <row r="87" spans="1:44" ht="15" customHeight="1" outlineLevel="1" thickBot="1">
      <c r="B87" s="1161" t="s">
        <v>4</v>
      </c>
      <c r="C87" s="1163">
        <v>2020</v>
      </c>
      <c r="D87" s="1163">
        <v>2030</v>
      </c>
      <c r="E87" s="1163">
        <v>2040</v>
      </c>
      <c r="F87" s="1163">
        <v>2050</v>
      </c>
      <c r="G87" s="1197" t="s">
        <v>684</v>
      </c>
      <c r="H87" s="1198"/>
      <c r="I87" s="1197" t="s">
        <v>628</v>
      </c>
      <c r="J87" s="1198"/>
      <c r="K87" s="1199" t="s">
        <v>2</v>
      </c>
      <c r="L87" s="1199" t="s">
        <v>3</v>
      </c>
      <c r="M87" s="366"/>
      <c r="N87" s="366"/>
      <c r="P87" s="1177" t="s">
        <v>0</v>
      </c>
      <c r="Q87" s="367"/>
      <c r="R87" s="367"/>
      <c r="S87" s="1174"/>
      <c r="T87" s="1159"/>
      <c r="U87" s="1160"/>
      <c r="V87" s="1159"/>
      <c r="W87" s="1160"/>
      <c r="X87" s="1159"/>
      <c r="Y87" s="1160"/>
      <c r="Z87" s="1159"/>
      <c r="AA87" s="1160"/>
      <c r="AB87" s="1159"/>
      <c r="AC87" s="1160"/>
      <c r="AE87" s="1177" t="s">
        <v>0</v>
      </c>
      <c r="AF87" s="367"/>
      <c r="AG87" s="367"/>
      <c r="AH87" s="1174"/>
      <c r="AI87" s="1159"/>
      <c r="AJ87" s="1160"/>
      <c r="AK87" s="1159"/>
      <c r="AL87" s="1160"/>
      <c r="AM87" s="1159"/>
      <c r="AN87" s="1160"/>
      <c r="AO87" s="1159"/>
      <c r="AP87" s="1160"/>
      <c r="AQ87" s="1159"/>
      <c r="AR87" s="1160"/>
    </row>
    <row r="88" spans="1:44" ht="15" customHeight="1" outlineLevel="1" thickBot="1">
      <c r="B88" s="1162"/>
      <c r="C88" s="1164"/>
      <c r="D88" s="1164"/>
      <c r="E88" s="1164"/>
      <c r="F88" s="1164"/>
      <c r="G88" s="498" t="s">
        <v>629</v>
      </c>
      <c r="H88" s="498" t="s">
        <v>630</v>
      </c>
      <c r="I88" s="498" t="s">
        <v>629</v>
      </c>
      <c r="J88" s="498" t="s">
        <v>630</v>
      </c>
      <c r="K88" s="1200"/>
      <c r="L88" s="1200"/>
      <c r="M88" s="369"/>
      <c r="N88" s="369"/>
      <c r="P88" s="1178"/>
      <c r="Q88" s="1180" t="s">
        <v>685</v>
      </c>
      <c r="R88" s="1181" t="s">
        <v>686</v>
      </c>
      <c r="S88" s="1175"/>
      <c r="T88" s="1159"/>
      <c r="U88" s="1160"/>
      <c r="V88" s="1159"/>
      <c r="W88" s="1160"/>
      <c r="X88" s="1159"/>
      <c r="Y88" s="1160"/>
      <c r="Z88" s="1159"/>
      <c r="AA88" s="1160"/>
      <c r="AB88" s="1159"/>
      <c r="AC88" s="1160"/>
      <c r="AE88" s="1178"/>
      <c r="AF88" s="1194" t="s">
        <v>685</v>
      </c>
      <c r="AG88" s="1181" t="s">
        <v>686</v>
      </c>
      <c r="AH88" s="1175"/>
      <c r="AI88" s="1159"/>
      <c r="AJ88" s="1160"/>
      <c r="AK88" s="1159"/>
      <c r="AL88" s="1160"/>
      <c r="AM88" s="1159"/>
      <c r="AN88" s="1160"/>
      <c r="AO88" s="1159"/>
      <c r="AP88" s="1160"/>
      <c r="AQ88" s="1159"/>
      <c r="AR88" s="1160"/>
    </row>
    <row r="89" spans="1:44" ht="29.4" outlineLevel="1" thickBot="1">
      <c r="B89" s="370" t="s">
        <v>631</v>
      </c>
      <c r="C89" s="371">
        <v>20000</v>
      </c>
      <c r="D89" s="371">
        <v>20000</v>
      </c>
      <c r="E89" s="371">
        <v>20000</v>
      </c>
      <c r="F89" s="371">
        <v>20000</v>
      </c>
      <c r="G89" s="371">
        <v>1000</v>
      </c>
      <c r="H89" s="371">
        <v>50000</v>
      </c>
      <c r="I89" s="371">
        <v>1000</v>
      </c>
      <c r="J89" s="371">
        <v>50000</v>
      </c>
      <c r="K89" s="371" t="s">
        <v>6</v>
      </c>
      <c r="L89" s="372" t="s">
        <v>688</v>
      </c>
      <c r="M89" s="369"/>
      <c r="N89" s="369"/>
      <c r="O89" s="74"/>
      <c r="P89" s="1179"/>
      <c r="Q89" s="1176"/>
      <c r="R89" s="1182"/>
      <c r="S89" s="1176"/>
      <c r="T89" s="373" t="s">
        <v>689</v>
      </c>
      <c r="U89" s="374" t="s">
        <v>690</v>
      </c>
      <c r="V89" s="373" t="s">
        <v>689</v>
      </c>
      <c r="W89" s="374" t="s">
        <v>690</v>
      </c>
      <c r="X89" s="373" t="s">
        <v>689</v>
      </c>
      <c r="Y89" s="374" t="s">
        <v>690</v>
      </c>
      <c r="Z89" s="373" t="s">
        <v>689</v>
      </c>
      <c r="AA89" s="374" t="s">
        <v>690</v>
      </c>
      <c r="AB89" s="373" t="s">
        <v>689</v>
      </c>
      <c r="AC89" s="374" t="s">
        <v>690</v>
      </c>
      <c r="AE89" s="1179"/>
      <c r="AF89" s="1195"/>
      <c r="AG89" s="1182"/>
      <c r="AH89" s="1176"/>
      <c r="AI89" s="373" t="s">
        <v>689</v>
      </c>
      <c r="AJ89" s="374" t="s">
        <v>690</v>
      </c>
      <c r="AK89" s="373" t="s">
        <v>689</v>
      </c>
      <c r="AL89" s="374" t="s">
        <v>690</v>
      </c>
      <c r="AM89" s="373" t="s">
        <v>689</v>
      </c>
      <c r="AN89" s="374" t="s">
        <v>690</v>
      </c>
      <c r="AO89" s="373" t="s">
        <v>689</v>
      </c>
      <c r="AP89" s="374" t="s">
        <v>690</v>
      </c>
      <c r="AQ89" s="373" t="s">
        <v>689</v>
      </c>
      <c r="AR89" s="374" t="s">
        <v>690</v>
      </c>
    </row>
    <row r="90" spans="1:44" ht="15" customHeight="1" outlineLevel="1">
      <c r="B90" s="499" t="s">
        <v>691</v>
      </c>
      <c r="C90" s="500">
        <v>96</v>
      </c>
      <c r="D90" s="500">
        <v>97</v>
      </c>
      <c r="E90" s="501">
        <v>98</v>
      </c>
      <c r="F90" s="500">
        <v>98</v>
      </c>
      <c r="G90" s="500">
        <v>90</v>
      </c>
      <c r="H90" s="500">
        <v>98</v>
      </c>
      <c r="I90" s="500">
        <v>90</v>
      </c>
      <c r="J90" s="500">
        <v>98</v>
      </c>
      <c r="K90" s="502" t="s">
        <v>59</v>
      </c>
      <c r="L90" s="503" t="s">
        <v>692</v>
      </c>
      <c r="M90" s="369"/>
      <c r="N90" s="369"/>
      <c r="P90" s="1196" t="str">
        <f>C86</f>
        <v>Hot water boiler, Oil</v>
      </c>
      <c r="Q90" s="1151" t="s">
        <v>693</v>
      </c>
      <c r="R90" s="380" t="s">
        <v>694</v>
      </c>
      <c r="S90" s="381"/>
      <c r="T90" s="1134">
        <v>0</v>
      </c>
      <c r="U90" s="1148">
        <v>0</v>
      </c>
      <c r="V90" s="1134">
        <v>0</v>
      </c>
      <c r="W90" s="1148">
        <v>0</v>
      </c>
      <c r="X90" s="1134">
        <v>0</v>
      </c>
      <c r="Y90" s="1148">
        <v>0</v>
      </c>
      <c r="Z90" s="1134">
        <v>0</v>
      </c>
      <c r="AA90" s="1148">
        <v>0</v>
      </c>
      <c r="AB90" s="1134">
        <v>0</v>
      </c>
      <c r="AC90" s="1148">
        <v>0</v>
      </c>
      <c r="AE90" s="1145" t="str">
        <f>P90</f>
        <v>Hot water boiler, Oil</v>
      </c>
      <c r="AF90" s="1151" t="s">
        <v>693</v>
      </c>
      <c r="AG90" s="380" t="s">
        <v>694</v>
      </c>
      <c r="AH90" s="381"/>
      <c r="AI90" s="1134">
        <v>0</v>
      </c>
      <c r="AJ90" s="1148">
        <v>0</v>
      </c>
      <c r="AK90" s="1134">
        <v>0</v>
      </c>
      <c r="AL90" s="1148">
        <v>0</v>
      </c>
      <c r="AM90" s="1134">
        <v>0</v>
      </c>
      <c r="AN90" s="1148">
        <v>0</v>
      </c>
      <c r="AO90" s="1134">
        <v>0</v>
      </c>
      <c r="AP90" s="1148">
        <v>0</v>
      </c>
      <c r="AQ90" s="1134">
        <v>0</v>
      </c>
      <c r="AR90" s="1148">
        <v>0</v>
      </c>
    </row>
    <row r="91" spans="1:44" outlineLevel="1">
      <c r="B91" s="382" t="s">
        <v>695</v>
      </c>
      <c r="C91" s="383">
        <v>95</v>
      </c>
      <c r="D91" s="383">
        <v>96</v>
      </c>
      <c r="E91" s="383">
        <v>97</v>
      </c>
      <c r="F91" s="383">
        <v>97</v>
      </c>
      <c r="G91" s="504">
        <v>89</v>
      </c>
      <c r="H91" s="504">
        <v>97</v>
      </c>
      <c r="I91" s="504">
        <v>89</v>
      </c>
      <c r="J91" s="504">
        <v>97</v>
      </c>
      <c r="K91" s="371"/>
      <c r="L91" s="372" t="s">
        <v>692</v>
      </c>
      <c r="M91" s="369"/>
      <c r="N91" s="369"/>
      <c r="O91" s="71"/>
      <c r="P91" s="1192"/>
      <c r="Q91" s="1152"/>
      <c r="R91" s="387" t="s">
        <v>696</v>
      </c>
      <c r="S91" s="388"/>
      <c r="T91" s="1137"/>
      <c r="U91" s="1149"/>
      <c r="V91" s="1137"/>
      <c r="W91" s="1149"/>
      <c r="X91" s="1137"/>
      <c r="Y91" s="1149"/>
      <c r="Z91" s="1137"/>
      <c r="AA91" s="1149"/>
      <c r="AB91" s="1137"/>
      <c r="AC91" s="1149"/>
      <c r="AE91" s="1192"/>
      <c r="AF91" s="1152"/>
      <c r="AG91" s="387" t="s">
        <v>696</v>
      </c>
      <c r="AH91" s="388"/>
      <c r="AI91" s="1137"/>
      <c r="AJ91" s="1149"/>
      <c r="AK91" s="1137"/>
      <c r="AL91" s="1149"/>
      <c r="AM91" s="1137"/>
      <c r="AN91" s="1149"/>
      <c r="AO91" s="1137"/>
      <c r="AP91" s="1149"/>
      <c r="AQ91" s="1137"/>
      <c r="AR91" s="1149"/>
    </row>
    <row r="92" spans="1:44" ht="15" outlineLevel="1" thickBot="1">
      <c r="B92" s="499" t="s">
        <v>697</v>
      </c>
      <c r="C92" s="505">
        <v>0.14000000000000001</v>
      </c>
      <c r="D92" s="506">
        <v>0.12</v>
      </c>
      <c r="E92" s="506">
        <v>0.11</v>
      </c>
      <c r="F92" s="507">
        <v>0.1</v>
      </c>
      <c r="G92" s="506">
        <v>0.1</v>
      </c>
      <c r="H92" s="506">
        <v>0.14000000000000001</v>
      </c>
      <c r="I92" s="506">
        <v>0.08</v>
      </c>
      <c r="J92" s="506">
        <v>0.12</v>
      </c>
      <c r="K92" s="502" t="s">
        <v>16</v>
      </c>
      <c r="L92" s="503">
        <v>3</v>
      </c>
      <c r="M92" s="369"/>
      <c r="N92" s="369"/>
      <c r="O92" s="71"/>
      <c r="P92" s="1192"/>
      <c r="Q92" s="1153"/>
      <c r="R92" s="392" t="s">
        <v>698</v>
      </c>
      <c r="S92" s="393"/>
      <c r="T92" s="1138"/>
      <c r="U92" s="1150"/>
      <c r="V92" s="1138"/>
      <c r="W92" s="1150"/>
      <c r="X92" s="1138"/>
      <c r="Y92" s="1150"/>
      <c r="Z92" s="1138"/>
      <c r="AA92" s="1150"/>
      <c r="AB92" s="1138"/>
      <c r="AC92" s="1150"/>
      <c r="AE92" s="1192"/>
      <c r="AF92" s="1153"/>
      <c r="AG92" s="392" t="s">
        <v>698</v>
      </c>
      <c r="AH92" s="393"/>
      <c r="AI92" s="1138"/>
      <c r="AJ92" s="1150"/>
      <c r="AK92" s="1138"/>
      <c r="AL92" s="1150"/>
      <c r="AM92" s="1138"/>
      <c r="AN92" s="1150"/>
      <c r="AO92" s="1138"/>
      <c r="AP92" s="1150"/>
      <c r="AQ92" s="1138"/>
      <c r="AR92" s="1150"/>
    </row>
    <row r="93" spans="1:44" ht="15" customHeight="1" outlineLevel="1">
      <c r="B93" s="499" t="s">
        <v>637</v>
      </c>
      <c r="C93" s="505">
        <v>1.1000000000000001</v>
      </c>
      <c r="D93" s="505">
        <v>1.1000000000000001</v>
      </c>
      <c r="E93" s="505">
        <v>1.1000000000000001</v>
      </c>
      <c r="F93" s="505">
        <v>1.1000000000000001</v>
      </c>
      <c r="G93" s="505">
        <v>0.09</v>
      </c>
      <c r="H93" s="505">
        <v>2.1</v>
      </c>
      <c r="I93" s="505">
        <v>0.09</v>
      </c>
      <c r="J93" s="505">
        <v>2.1</v>
      </c>
      <c r="K93" s="502" t="s">
        <v>20</v>
      </c>
      <c r="L93" s="503">
        <v>3</v>
      </c>
      <c r="M93" s="369"/>
      <c r="N93" s="369"/>
      <c r="O93" s="71"/>
      <c r="P93" s="1192"/>
      <c r="Q93" s="1151" t="s">
        <v>699</v>
      </c>
      <c r="R93" s="394" t="s">
        <v>700</v>
      </c>
      <c r="S93" s="395" t="s">
        <v>701</v>
      </c>
      <c r="T93" s="1134">
        <v>0</v>
      </c>
      <c r="U93" s="1134">
        <v>0.67</v>
      </c>
      <c r="V93" s="1134">
        <v>0</v>
      </c>
      <c r="W93" s="1134">
        <v>0.56999999999999995</v>
      </c>
      <c r="X93" s="1134">
        <v>0</v>
      </c>
      <c r="Y93" s="1134">
        <v>0.5</v>
      </c>
      <c r="Z93" s="1134">
        <v>0</v>
      </c>
      <c r="AA93" s="1134">
        <v>0.51</v>
      </c>
      <c r="AB93" s="1134">
        <v>0</v>
      </c>
      <c r="AC93" s="1134">
        <v>0.41</v>
      </c>
      <c r="AE93" s="1192"/>
      <c r="AF93" s="1151" t="s">
        <v>699</v>
      </c>
      <c r="AG93" s="394" t="s">
        <v>700</v>
      </c>
      <c r="AH93" s="395" t="s">
        <v>701</v>
      </c>
      <c r="AI93" s="1134">
        <v>0</v>
      </c>
      <c r="AJ93" s="1134">
        <v>0.16750000000000001</v>
      </c>
      <c r="AK93" s="1134">
        <v>0</v>
      </c>
      <c r="AL93" s="1134">
        <v>0.14249999999999999</v>
      </c>
      <c r="AM93" s="1134">
        <v>0</v>
      </c>
      <c r="AN93" s="1134">
        <v>0.125</v>
      </c>
      <c r="AO93" s="1134">
        <v>0</v>
      </c>
      <c r="AP93" s="1134">
        <v>0.1275</v>
      </c>
      <c r="AQ93" s="1134">
        <v>0</v>
      </c>
      <c r="AR93" s="1134">
        <v>0.10249999999999999</v>
      </c>
    </row>
    <row r="94" spans="1:44" outlineLevel="1">
      <c r="B94" s="499" t="s">
        <v>638</v>
      </c>
      <c r="C94" s="505">
        <v>0.60000000000000009</v>
      </c>
      <c r="D94" s="505">
        <v>0.60000000000000009</v>
      </c>
      <c r="E94" s="505">
        <v>0.60000000000000009</v>
      </c>
      <c r="F94" s="505">
        <v>0.60000000000000009</v>
      </c>
      <c r="G94" s="505">
        <v>0.5</v>
      </c>
      <c r="H94" s="505">
        <v>0.8</v>
      </c>
      <c r="I94" s="505">
        <v>0.5</v>
      </c>
      <c r="J94" s="505">
        <v>0.8</v>
      </c>
      <c r="K94" s="502" t="s">
        <v>20</v>
      </c>
      <c r="L94" s="503">
        <v>3</v>
      </c>
      <c r="M94" s="366"/>
      <c r="N94" s="366"/>
      <c r="O94" s="71"/>
      <c r="P94" s="1192"/>
      <c r="Q94" s="1152"/>
      <c r="R94" s="394" t="s">
        <v>702</v>
      </c>
      <c r="S94" s="395" t="s">
        <v>701</v>
      </c>
      <c r="T94" s="1135"/>
      <c r="U94" s="1135"/>
      <c r="V94" s="1135"/>
      <c r="W94" s="1135"/>
      <c r="X94" s="1135"/>
      <c r="Y94" s="1135"/>
      <c r="Z94" s="1135"/>
      <c r="AA94" s="1135"/>
      <c r="AB94" s="1135"/>
      <c r="AC94" s="1135"/>
      <c r="AE94" s="1192"/>
      <c r="AF94" s="1152"/>
      <c r="AG94" s="394" t="s">
        <v>702</v>
      </c>
      <c r="AH94" s="395" t="s">
        <v>701</v>
      </c>
      <c r="AI94" s="1135"/>
      <c r="AJ94" s="1135"/>
      <c r="AK94" s="1135"/>
      <c r="AL94" s="1135"/>
      <c r="AM94" s="1135"/>
      <c r="AN94" s="1135"/>
      <c r="AO94" s="1135"/>
      <c r="AP94" s="1135"/>
      <c r="AQ94" s="1135"/>
      <c r="AR94" s="1135"/>
    </row>
    <row r="95" spans="1:44" outlineLevel="1">
      <c r="B95" s="382" t="s">
        <v>11</v>
      </c>
      <c r="C95" s="396">
        <v>25</v>
      </c>
      <c r="D95" s="396">
        <v>25</v>
      </c>
      <c r="E95" s="396">
        <v>25</v>
      </c>
      <c r="F95" s="396">
        <v>25</v>
      </c>
      <c r="G95" s="398">
        <v>20</v>
      </c>
      <c r="H95" s="398">
        <v>30</v>
      </c>
      <c r="I95" s="398">
        <v>20</v>
      </c>
      <c r="J95" s="398">
        <v>30</v>
      </c>
      <c r="K95" s="371"/>
      <c r="L95" s="372" t="s">
        <v>703</v>
      </c>
      <c r="M95" s="362"/>
      <c r="N95" s="362"/>
      <c r="P95" s="1192"/>
      <c r="Q95" s="1152"/>
      <c r="R95" s="394" t="s">
        <v>704</v>
      </c>
      <c r="S95" s="395"/>
      <c r="T95" s="1135"/>
      <c r="U95" s="1135"/>
      <c r="V95" s="1135"/>
      <c r="W95" s="1135"/>
      <c r="X95" s="1135"/>
      <c r="Y95" s="1135"/>
      <c r="Z95" s="1135"/>
      <c r="AA95" s="1135"/>
      <c r="AB95" s="1135"/>
      <c r="AC95" s="1135"/>
      <c r="AE95" s="1192"/>
      <c r="AF95" s="1152"/>
      <c r="AG95" s="394" t="s">
        <v>704</v>
      </c>
      <c r="AH95" s="395" t="s">
        <v>701</v>
      </c>
      <c r="AI95" s="1135"/>
      <c r="AJ95" s="1135"/>
      <c r="AK95" s="1135"/>
      <c r="AL95" s="1135"/>
      <c r="AM95" s="1135"/>
      <c r="AN95" s="1135"/>
      <c r="AO95" s="1135"/>
      <c r="AP95" s="1135"/>
      <c r="AQ95" s="1135"/>
      <c r="AR95" s="1135"/>
    </row>
    <row r="96" spans="1:44" ht="15" outlineLevel="1" thickBot="1">
      <c r="B96" s="499" t="s">
        <v>273</v>
      </c>
      <c r="C96" s="505">
        <v>0.5</v>
      </c>
      <c r="D96" s="505">
        <v>0.5</v>
      </c>
      <c r="E96" s="505">
        <v>0.5</v>
      </c>
      <c r="F96" s="505">
        <v>0.5</v>
      </c>
      <c r="G96" s="505">
        <v>0.2</v>
      </c>
      <c r="H96" s="505">
        <v>0.7</v>
      </c>
      <c r="I96" s="505">
        <v>0.2</v>
      </c>
      <c r="J96" s="505">
        <v>0.7</v>
      </c>
      <c r="K96" s="371"/>
      <c r="L96" s="399"/>
      <c r="M96" s="362"/>
      <c r="N96" s="362"/>
      <c r="P96" s="1192"/>
      <c r="Q96" s="1152"/>
      <c r="R96" s="394" t="s">
        <v>705</v>
      </c>
      <c r="S96" s="395" t="s">
        <v>701</v>
      </c>
      <c r="T96" s="1135"/>
      <c r="U96" s="1135"/>
      <c r="V96" s="1135"/>
      <c r="W96" s="1135"/>
      <c r="X96" s="1135"/>
      <c r="Y96" s="1135"/>
      <c r="Z96" s="1135"/>
      <c r="AA96" s="1135"/>
      <c r="AB96" s="1135"/>
      <c r="AC96" s="1135"/>
      <c r="AE96" s="1192"/>
      <c r="AF96" s="1152"/>
      <c r="AG96" s="394" t="s">
        <v>705</v>
      </c>
      <c r="AH96" s="395" t="s">
        <v>701</v>
      </c>
      <c r="AI96" s="1135"/>
      <c r="AJ96" s="1135"/>
      <c r="AK96" s="1135"/>
      <c r="AL96" s="1135"/>
      <c r="AM96" s="1135"/>
      <c r="AN96" s="1135"/>
      <c r="AO96" s="1135"/>
      <c r="AP96" s="1135"/>
      <c r="AQ96" s="1135"/>
      <c r="AR96" s="1135"/>
    </row>
    <row r="97" spans="1:44" ht="15" outlineLevel="1" thickBot="1">
      <c r="B97" s="400" t="s">
        <v>706</v>
      </c>
      <c r="C97" s="401"/>
      <c r="D97" s="402"/>
      <c r="E97" s="403"/>
      <c r="F97" s="404"/>
      <c r="G97" s="405"/>
      <c r="H97" s="405"/>
      <c r="I97" s="405"/>
      <c r="J97" s="405"/>
      <c r="K97" s="406"/>
      <c r="L97" s="407"/>
      <c r="M97" s="362"/>
      <c r="N97" s="362"/>
      <c r="P97" s="1192"/>
      <c r="Q97" s="1152"/>
      <c r="R97" s="408" t="s">
        <v>707</v>
      </c>
      <c r="S97" s="409" t="s">
        <v>701</v>
      </c>
      <c r="T97" s="1136"/>
      <c r="U97" s="1136"/>
      <c r="V97" s="1136"/>
      <c r="W97" s="1136"/>
      <c r="X97" s="1136"/>
      <c r="Y97" s="1136"/>
      <c r="Z97" s="1136"/>
      <c r="AA97" s="1136"/>
      <c r="AB97" s="1136"/>
      <c r="AC97" s="1136"/>
      <c r="AE97" s="1192"/>
      <c r="AF97" s="1152"/>
      <c r="AG97" s="408" t="s">
        <v>707</v>
      </c>
      <c r="AH97" s="409" t="s">
        <v>701</v>
      </c>
      <c r="AI97" s="1136"/>
      <c r="AJ97" s="1136"/>
      <c r="AK97" s="1136"/>
      <c r="AL97" s="1136"/>
      <c r="AM97" s="1136"/>
      <c r="AN97" s="1136"/>
      <c r="AO97" s="1136"/>
      <c r="AP97" s="1136"/>
      <c r="AQ97" s="1136"/>
      <c r="AR97" s="1136"/>
    </row>
    <row r="98" spans="1:44" ht="29.4" outlineLevel="1" thickBot="1">
      <c r="B98" s="499" t="s">
        <v>643</v>
      </c>
      <c r="C98" s="505">
        <v>15</v>
      </c>
      <c r="D98" s="505">
        <v>15</v>
      </c>
      <c r="E98" s="505">
        <v>15</v>
      </c>
      <c r="F98" s="505">
        <v>15</v>
      </c>
      <c r="G98" s="506"/>
      <c r="H98" s="506"/>
      <c r="I98" s="506"/>
      <c r="J98" s="506"/>
      <c r="K98" s="502"/>
      <c r="L98" s="503">
        <v>3</v>
      </c>
      <c r="M98" s="362"/>
      <c r="N98" s="362"/>
      <c r="P98" s="1193"/>
      <c r="Q98" s="410" t="s">
        <v>708</v>
      </c>
      <c r="R98" s="411" t="s">
        <v>709</v>
      </c>
      <c r="S98" s="412" t="s">
        <v>701</v>
      </c>
      <c r="T98" s="413">
        <v>1</v>
      </c>
      <c r="U98" s="414">
        <v>1</v>
      </c>
      <c r="V98" s="415">
        <v>1</v>
      </c>
      <c r="W98" s="414">
        <v>1</v>
      </c>
      <c r="X98" s="415">
        <v>1</v>
      </c>
      <c r="Y98" s="414">
        <v>1</v>
      </c>
      <c r="Z98" s="415">
        <v>1</v>
      </c>
      <c r="AA98" s="414">
        <v>1</v>
      </c>
      <c r="AB98" s="415">
        <v>1</v>
      </c>
      <c r="AC98" s="416">
        <v>1</v>
      </c>
      <c r="AE98" s="1193"/>
      <c r="AF98" s="410" t="s">
        <v>708</v>
      </c>
      <c r="AG98" s="411" t="s">
        <v>709</v>
      </c>
      <c r="AH98" s="412" t="s">
        <v>701</v>
      </c>
      <c r="AI98" s="413">
        <v>1</v>
      </c>
      <c r="AJ98" s="414">
        <v>1</v>
      </c>
      <c r="AK98" s="413">
        <v>1</v>
      </c>
      <c r="AL98" s="414">
        <v>1</v>
      </c>
      <c r="AM98" s="413">
        <v>1</v>
      </c>
      <c r="AN98" s="414">
        <v>1</v>
      </c>
      <c r="AO98" s="413">
        <v>1</v>
      </c>
      <c r="AP98" s="414">
        <v>1</v>
      </c>
      <c r="AQ98" s="413">
        <v>1</v>
      </c>
      <c r="AR98" s="416">
        <v>1</v>
      </c>
    </row>
    <row r="99" spans="1:44" outlineLevel="1">
      <c r="B99" s="499" t="s">
        <v>644</v>
      </c>
      <c r="C99" s="505">
        <v>0.1</v>
      </c>
      <c r="D99" s="505">
        <v>0.1</v>
      </c>
      <c r="E99" s="505">
        <v>0.1</v>
      </c>
      <c r="F99" s="505">
        <v>0.1</v>
      </c>
      <c r="G99" s="508"/>
      <c r="H99" s="508"/>
      <c r="I99" s="508"/>
      <c r="J99" s="508"/>
      <c r="K99" s="509"/>
      <c r="L99" s="503">
        <v>3</v>
      </c>
      <c r="M99" s="362"/>
      <c r="N99" s="362"/>
    </row>
    <row r="100" spans="1:44" outlineLevel="1">
      <c r="B100" s="499" t="s">
        <v>646</v>
      </c>
      <c r="C100" s="505">
        <v>0.4</v>
      </c>
      <c r="D100" s="505">
        <v>0.4</v>
      </c>
      <c r="E100" s="505">
        <v>0.4</v>
      </c>
      <c r="F100" s="505">
        <v>0.4</v>
      </c>
      <c r="G100" s="508"/>
      <c r="H100" s="508"/>
      <c r="I100" s="508"/>
      <c r="J100" s="508"/>
      <c r="K100" s="509"/>
      <c r="L100" s="503">
        <v>3</v>
      </c>
      <c r="M100" s="419"/>
      <c r="N100" s="362"/>
    </row>
    <row r="101" spans="1:44" outlineLevel="1">
      <c r="B101" s="420" t="s">
        <v>12</v>
      </c>
      <c r="C101" s="398"/>
      <c r="D101" s="398"/>
      <c r="E101" s="398"/>
      <c r="F101" s="398"/>
      <c r="G101" s="421"/>
      <c r="H101" s="421"/>
      <c r="I101" s="421"/>
      <c r="J101" s="421"/>
      <c r="K101" s="422"/>
      <c r="L101" s="423"/>
      <c r="M101" s="419"/>
      <c r="N101" s="419"/>
    </row>
    <row r="102" spans="1:44" ht="15.6" outlineLevel="1">
      <c r="B102" s="382" t="s">
        <v>710</v>
      </c>
      <c r="C102" s="396">
        <v>0.5</v>
      </c>
      <c r="D102" s="396">
        <v>0.5</v>
      </c>
      <c r="E102" s="396">
        <v>0.5</v>
      </c>
      <c r="F102" s="396">
        <v>0.5</v>
      </c>
      <c r="G102" s="421"/>
      <c r="H102" s="424"/>
      <c r="I102" s="424"/>
      <c r="J102" s="424"/>
      <c r="K102" s="425" t="s">
        <v>76</v>
      </c>
      <c r="L102" s="426" t="s">
        <v>711</v>
      </c>
      <c r="M102" s="427"/>
      <c r="N102" s="427"/>
    </row>
    <row r="103" spans="1:44" outlineLevel="1">
      <c r="B103" s="382" t="s">
        <v>712</v>
      </c>
      <c r="C103" s="396">
        <v>0.1</v>
      </c>
      <c r="D103" s="396">
        <v>0.1</v>
      </c>
      <c r="E103" s="396">
        <v>0.1</v>
      </c>
      <c r="F103" s="396">
        <v>0.1</v>
      </c>
      <c r="G103" s="424"/>
      <c r="H103" s="424"/>
      <c r="I103" s="424"/>
      <c r="J103" s="424"/>
      <c r="K103" s="422"/>
      <c r="L103" s="426">
        <v>9</v>
      </c>
      <c r="M103" s="427"/>
      <c r="N103" s="427"/>
    </row>
    <row r="104" spans="1:44" ht="15.6" outlineLevel="1">
      <c r="B104" s="382" t="s">
        <v>713</v>
      </c>
      <c r="C104" s="396">
        <v>25</v>
      </c>
      <c r="D104" s="396">
        <v>20</v>
      </c>
      <c r="E104" s="396">
        <v>18</v>
      </c>
      <c r="F104" s="396">
        <v>15</v>
      </c>
      <c r="G104" s="424"/>
      <c r="H104" s="424"/>
      <c r="I104" s="424"/>
      <c r="J104" s="424"/>
      <c r="K104" s="422"/>
      <c r="L104" s="426" t="s">
        <v>711</v>
      </c>
      <c r="M104" s="427"/>
      <c r="N104" s="427"/>
    </row>
    <row r="105" spans="1:44" outlineLevel="1">
      <c r="B105" s="382" t="s">
        <v>366</v>
      </c>
      <c r="C105" s="396">
        <v>0</v>
      </c>
      <c r="D105" s="396">
        <v>0</v>
      </c>
      <c r="E105" s="396">
        <v>0</v>
      </c>
      <c r="F105" s="396">
        <v>0</v>
      </c>
      <c r="G105" s="424"/>
      <c r="H105" s="424"/>
      <c r="I105" s="424"/>
      <c r="J105" s="424"/>
      <c r="K105" s="422"/>
      <c r="L105" s="426" t="s">
        <v>711</v>
      </c>
      <c r="M105" s="427"/>
      <c r="N105" s="427"/>
    </row>
    <row r="106" spans="1:44" ht="15" outlineLevel="1" thickBot="1">
      <c r="B106" s="428" t="s">
        <v>367</v>
      </c>
      <c r="C106" s="429">
        <v>0</v>
      </c>
      <c r="D106" s="429">
        <v>0</v>
      </c>
      <c r="E106" s="429">
        <v>0</v>
      </c>
      <c r="F106" s="429">
        <v>0</v>
      </c>
      <c r="G106" s="424"/>
      <c r="H106" s="424"/>
      <c r="I106" s="424"/>
      <c r="J106" s="424"/>
      <c r="K106" s="422"/>
      <c r="L106" s="426" t="s">
        <v>711</v>
      </c>
      <c r="M106" s="427"/>
      <c r="N106" s="427"/>
    </row>
    <row r="107" spans="1:44" ht="15" outlineLevel="1" thickBot="1">
      <c r="B107" s="430" t="s">
        <v>654</v>
      </c>
      <c r="C107" s="431"/>
      <c r="D107" s="402"/>
      <c r="E107" s="402"/>
      <c r="F107" s="432"/>
      <c r="G107" s="433"/>
      <c r="H107" s="405"/>
      <c r="I107" s="405"/>
      <c r="J107" s="405"/>
      <c r="K107" s="406"/>
      <c r="L107" s="407"/>
      <c r="M107" s="427"/>
      <c r="N107" s="427"/>
    </row>
    <row r="108" spans="1:44" outlineLevel="1">
      <c r="A108" s="434"/>
      <c r="B108" s="435" t="s">
        <v>755</v>
      </c>
      <c r="C108" s="510">
        <v>4.4000000000000004E-2</v>
      </c>
      <c r="D108" s="511">
        <v>3.7261104389205602E-2</v>
      </c>
      <c r="E108" s="511">
        <v>3.5680000000000003E-2</v>
      </c>
      <c r="F108" s="512">
        <v>3.523649477443936E-2</v>
      </c>
      <c r="G108" s="424"/>
      <c r="H108" s="424"/>
      <c r="I108" s="424"/>
      <c r="J108" s="424"/>
      <c r="K108" s="425" t="s">
        <v>715</v>
      </c>
      <c r="L108" s="439" t="s">
        <v>716</v>
      </c>
      <c r="M108" s="419"/>
      <c r="N108" s="419"/>
    </row>
    <row r="109" spans="1:44" outlineLevel="1">
      <c r="B109" s="440" t="s">
        <v>717</v>
      </c>
      <c r="C109" s="441">
        <v>60</v>
      </c>
      <c r="D109" s="441">
        <v>60</v>
      </c>
      <c r="E109" s="441">
        <v>60</v>
      </c>
      <c r="F109" s="441">
        <v>60</v>
      </c>
      <c r="G109" s="424"/>
      <c r="H109" s="424"/>
      <c r="I109" s="424"/>
      <c r="J109" s="424"/>
      <c r="K109" s="443"/>
      <c r="L109" s="372">
        <v>3</v>
      </c>
      <c r="M109" s="71"/>
      <c r="N109" s="419"/>
    </row>
    <row r="110" spans="1:44" outlineLevel="1">
      <c r="B110" s="440" t="s">
        <v>718</v>
      </c>
      <c r="C110" s="441">
        <v>40</v>
      </c>
      <c r="D110" s="441">
        <v>40</v>
      </c>
      <c r="E110" s="441">
        <v>40</v>
      </c>
      <c r="F110" s="441">
        <v>40</v>
      </c>
      <c r="G110" s="424"/>
      <c r="H110" s="424"/>
      <c r="I110" s="424"/>
      <c r="J110" s="424"/>
      <c r="K110" s="443"/>
      <c r="L110" s="372">
        <v>3</v>
      </c>
      <c r="M110" s="419"/>
      <c r="N110" s="419"/>
    </row>
    <row r="111" spans="1:44" outlineLevel="1">
      <c r="B111" s="382" t="s">
        <v>756</v>
      </c>
      <c r="C111" s="444">
        <f>1800/1000</f>
        <v>1.8</v>
      </c>
      <c r="D111" s="445">
        <v>1.7</v>
      </c>
      <c r="E111" s="445">
        <v>1.6</v>
      </c>
      <c r="F111" s="446">
        <v>1.5</v>
      </c>
      <c r="G111" s="424"/>
      <c r="H111" s="424"/>
      <c r="I111" s="424"/>
      <c r="J111" s="424"/>
      <c r="K111" s="447"/>
      <c r="L111" s="372">
        <v>3</v>
      </c>
      <c r="M111" s="419"/>
      <c r="N111" s="419"/>
    </row>
    <row r="112" spans="1:44" outlineLevel="1">
      <c r="B112" s="382" t="s">
        <v>757</v>
      </c>
      <c r="C112" s="448">
        <f>1/3.6</f>
        <v>0.27777777777777779</v>
      </c>
      <c r="D112" s="448">
        <f>0.9/3.6</f>
        <v>0.25</v>
      </c>
      <c r="E112" s="448">
        <f>0.9/3.6</f>
        <v>0.25</v>
      </c>
      <c r="F112" s="448">
        <f>0.9/3.6</f>
        <v>0.25</v>
      </c>
      <c r="G112" s="424"/>
      <c r="H112" s="424"/>
      <c r="I112" s="424"/>
      <c r="J112" s="424"/>
      <c r="K112" s="447"/>
      <c r="L112" s="372">
        <v>3</v>
      </c>
      <c r="M112" s="449"/>
      <c r="N112" s="360"/>
      <c r="P112" s="1139">
        <f>C112</f>
        <v>0.27777777777777779</v>
      </c>
      <c r="Q112" s="1140"/>
      <c r="R112" s="1140"/>
      <c r="S112" s="1140"/>
      <c r="T112" s="1140"/>
      <c r="U112" s="1141"/>
    </row>
    <row r="113" spans="2:30" ht="15" outlineLevel="1" thickBot="1">
      <c r="B113" s="499" t="s">
        <v>721</v>
      </c>
      <c r="C113" s="513">
        <v>0.10220000000000001</v>
      </c>
      <c r="D113" s="513">
        <v>0.09</v>
      </c>
      <c r="E113" s="513">
        <v>8.3600000000000008E-2</v>
      </c>
      <c r="F113" s="513">
        <v>7.5999999999999998E-2</v>
      </c>
      <c r="G113" s="514"/>
      <c r="H113" s="514"/>
      <c r="I113" s="514"/>
      <c r="J113" s="514"/>
      <c r="K113" s="502" t="s">
        <v>52</v>
      </c>
      <c r="L113" s="503">
        <v>3</v>
      </c>
      <c r="M113" s="449"/>
      <c r="N113" s="360"/>
      <c r="P113" s="1131">
        <f>C113</f>
        <v>0.10220000000000001</v>
      </c>
      <c r="Q113" s="1132"/>
      <c r="R113" s="1132"/>
      <c r="S113" s="1132"/>
      <c r="T113" s="1132"/>
      <c r="U113" s="1133"/>
    </row>
    <row r="114" spans="2:30" outlineLevel="1">
      <c r="B114" s="499" t="s">
        <v>722</v>
      </c>
      <c r="C114" s="515">
        <v>0.89779999999999993</v>
      </c>
      <c r="D114" s="515">
        <v>0.81</v>
      </c>
      <c r="E114" s="515">
        <v>0.81640000000000001</v>
      </c>
      <c r="F114" s="515">
        <v>0.82400000000000007</v>
      </c>
      <c r="G114" s="514"/>
      <c r="H114" s="514"/>
      <c r="I114" s="514"/>
      <c r="J114" s="514"/>
      <c r="K114" s="516"/>
      <c r="L114" s="503">
        <v>3</v>
      </c>
      <c r="M114" s="362"/>
      <c r="N114" s="362"/>
      <c r="P114" s="53" t="s">
        <v>357</v>
      </c>
    </row>
    <row r="115" spans="2:30" ht="27.6" outlineLevel="1">
      <c r="B115" s="440"/>
      <c r="C115" s="517"/>
      <c r="D115" s="517"/>
      <c r="E115" s="517"/>
      <c r="F115" s="517"/>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8"/>
      <c r="C116" s="441"/>
      <c r="D116" s="519"/>
      <c r="E116" s="519"/>
      <c r="F116" s="520"/>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43.8"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522">
        <v>3.5000000000000003E-2</v>
      </c>
      <c r="D118" s="522">
        <v>0.03</v>
      </c>
      <c r="E118" s="522">
        <v>0.03</v>
      </c>
      <c r="F118" s="522">
        <v>0.03</v>
      </c>
      <c r="G118" s="523"/>
      <c r="H118" s="523"/>
      <c r="I118" s="523"/>
      <c r="J118" s="523"/>
      <c r="K118" s="523" t="s">
        <v>55</v>
      </c>
      <c r="L118" s="524"/>
      <c r="M118" s="362"/>
      <c r="N118" s="362"/>
      <c r="O118" s="464">
        <f>C91</f>
        <v>95</v>
      </c>
      <c r="P118" s="465">
        <f>C87</f>
        <v>2020</v>
      </c>
      <c r="Q118" s="58">
        <f>P118</f>
        <v>2020</v>
      </c>
      <c r="R118" s="465">
        <f>O118/100</f>
        <v>0.95</v>
      </c>
      <c r="S118" s="58"/>
      <c r="T118" s="465">
        <f>C95</f>
        <v>25</v>
      </c>
      <c r="U118" s="466">
        <f>C125</f>
        <v>327.8</v>
      </c>
      <c r="V118" s="466">
        <f>C127</f>
        <v>13.41</v>
      </c>
      <c r="W118" s="466">
        <f>C128</f>
        <v>2.0694444444444446</v>
      </c>
      <c r="X118" s="58"/>
      <c r="Y118" s="58"/>
      <c r="Z118" s="465">
        <f>C102</f>
        <v>0.5</v>
      </c>
      <c r="AA118" s="467">
        <f>C104</f>
        <v>25</v>
      </c>
      <c r="AB118" s="467">
        <f>C105</f>
        <v>0</v>
      </c>
      <c r="AC118" s="467">
        <f>C106</f>
        <v>0</v>
      </c>
      <c r="AD118" s="467">
        <f>C103</f>
        <v>0.1</v>
      </c>
    </row>
    <row r="119" spans="2:30" outlineLevel="1">
      <c r="B119" s="499" t="s">
        <v>726</v>
      </c>
      <c r="C119" s="525" t="s">
        <v>36</v>
      </c>
      <c r="D119" s="526" t="s">
        <v>36</v>
      </c>
      <c r="E119" s="526" t="s">
        <v>36</v>
      </c>
      <c r="F119" s="527" t="s">
        <v>36</v>
      </c>
      <c r="G119" s="527"/>
      <c r="H119" s="527"/>
      <c r="I119" s="527"/>
      <c r="J119" s="527"/>
      <c r="K119" s="528" t="s">
        <v>49</v>
      </c>
      <c r="L119" s="524"/>
      <c r="M119" s="362"/>
      <c r="N119" s="362"/>
      <c r="O119" s="464">
        <f>D91</f>
        <v>96</v>
      </c>
      <c r="P119" s="465">
        <f>D87</f>
        <v>2030</v>
      </c>
      <c r="Q119" s="58"/>
      <c r="R119" s="465">
        <f>O119/100</f>
        <v>0.96</v>
      </c>
      <c r="S119" s="58"/>
      <c r="T119" s="465">
        <f>D95</f>
        <v>25</v>
      </c>
      <c r="U119" s="466">
        <f>D125</f>
        <v>277.5952276995817</v>
      </c>
      <c r="V119" s="466">
        <f>D127</f>
        <v>12.664999999999999</v>
      </c>
      <c r="W119" s="466">
        <f>D128</f>
        <v>1.8625</v>
      </c>
      <c r="X119" s="58"/>
      <c r="Y119" s="58"/>
      <c r="Z119" s="465">
        <f>D102</f>
        <v>0.5</v>
      </c>
      <c r="AA119" s="467">
        <f>D104</f>
        <v>20</v>
      </c>
      <c r="AB119" s="467">
        <f>D105</f>
        <v>0</v>
      </c>
      <c r="AC119" s="467">
        <f>D106</f>
        <v>0</v>
      </c>
      <c r="AD119" s="467">
        <f>D103</f>
        <v>0.1</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97</v>
      </c>
      <c r="P120" s="465">
        <f>E87</f>
        <v>2040</v>
      </c>
      <c r="Q120" s="58"/>
      <c r="R120" s="465">
        <f>O120/100</f>
        <v>0.97</v>
      </c>
      <c r="S120" s="58"/>
      <c r="T120" s="465">
        <f>E95</f>
        <v>25</v>
      </c>
      <c r="U120" s="466">
        <f>E125</f>
        <v>265.81600000000003</v>
      </c>
      <c r="V120" s="466">
        <f>E127</f>
        <v>11.920000000000002</v>
      </c>
      <c r="W120" s="466">
        <f>E128</f>
        <v>1.8625</v>
      </c>
      <c r="X120" s="58"/>
      <c r="Y120" s="58"/>
      <c r="Z120" s="465">
        <f>E102</f>
        <v>0.5</v>
      </c>
      <c r="AA120" s="467">
        <f>E104</f>
        <v>18</v>
      </c>
      <c r="AB120" s="467">
        <f>E105</f>
        <v>0</v>
      </c>
      <c r="AC120" s="467">
        <f>E106</f>
        <v>0</v>
      </c>
      <c r="AD120" s="467">
        <f>E103</f>
        <v>0.1</v>
      </c>
    </row>
    <row r="121" spans="2:30" outlineLevel="1">
      <c r="B121" s="499" t="s">
        <v>728</v>
      </c>
      <c r="C121" s="529">
        <v>90</v>
      </c>
      <c r="D121" s="529">
        <v>90</v>
      </c>
      <c r="E121" s="529">
        <v>90</v>
      </c>
      <c r="F121" s="529">
        <v>90</v>
      </c>
      <c r="G121" s="530"/>
      <c r="H121" s="530"/>
      <c r="I121" s="530"/>
      <c r="J121" s="530"/>
      <c r="K121" s="530"/>
      <c r="L121" s="503">
        <v>3</v>
      </c>
      <c r="M121" s="362"/>
      <c r="N121" s="362"/>
      <c r="O121" s="464">
        <f>F91</f>
        <v>97</v>
      </c>
      <c r="P121" s="465">
        <f>F87</f>
        <v>2050</v>
      </c>
      <c r="Q121" s="58"/>
      <c r="R121" s="465">
        <f>O121/100</f>
        <v>0.97</v>
      </c>
      <c r="S121" s="58"/>
      <c r="T121" s="465">
        <f>F95</f>
        <v>25</v>
      </c>
      <c r="U121" s="466">
        <f>F125</f>
        <v>262.51188606957328</v>
      </c>
      <c r="V121" s="466">
        <f>F127</f>
        <v>11.175000000000001</v>
      </c>
      <c r="W121" s="466">
        <f>F128</f>
        <v>1.8625</v>
      </c>
      <c r="X121" s="58"/>
      <c r="Y121" s="58"/>
      <c r="Z121" s="465">
        <f>F102</f>
        <v>0.5</v>
      </c>
      <c r="AA121" s="467">
        <f>F104</f>
        <v>15</v>
      </c>
      <c r="AB121" s="467">
        <f>F105</f>
        <v>0</v>
      </c>
      <c r="AC121" s="467">
        <f>F106</f>
        <v>0</v>
      </c>
      <c r="AD121" s="467">
        <f>F103</f>
        <v>0.1</v>
      </c>
    </row>
    <row r="122" spans="2:30" outlineLevel="1">
      <c r="B122" s="531" t="s">
        <v>729</v>
      </c>
      <c r="C122" s="525"/>
      <c r="D122" s="526"/>
      <c r="E122" s="526"/>
      <c r="F122" s="527"/>
      <c r="G122" s="530"/>
      <c r="H122" s="530"/>
      <c r="I122" s="530"/>
      <c r="J122" s="530"/>
      <c r="K122" s="530"/>
      <c r="L122" s="532"/>
      <c r="M122" s="366"/>
      <c r="N122" s="366"/>
    </row>
    <row r="123" spans="2:30" outlineLevel="1">
      <c r="B123" s="531" t="s">
        <v>730</v>
      </c>
      <c r="C123" s="525"/>
      <c r="D123" s="526"/>
      <c r="E123" s="526"/>
      <c r="F123" s="527"/>
      <c r="G123" s="530"/>
      <c r="H123" s="530"/>
      <c r="I123" s="530"/>
      <c r="J123" s="530"/>
      <c r="K123" s="530"/>
      <c r="L123" s="532"/>
      <c r="M123" s="362"/>
      <c r="N123" s="362"/>
    </row>
    <row r="124" spans="2:30" ht="15" outlineLevel="1" thickBot="1">
      <c r="B124" s="533" t="s">
        <v>731</v>
      </c>
      <c r="C124" s="534"/>
      <c r="D124" s="535"/>
      <c r="E124" s="535"/>
      <c r="F124" s="536"/>
      <c r="G124" s="537"/>
      <c r="H124" s="537"/>
      <c r="I124" s="537"/>
      <c r="J124" s="537"/>
      <c r="K124" s="537"/>
      <c r="L124" s="538"/>
      <c r="M124" s="362"/>
      <c r="N124" s="362"/>
    </row>
    <row r="125" spans="2:30" ht="57.6" outlineLevel="1">
      <c r="B125" s="460" t="s">
        <v>732</v>
      </c>
      <c r="C125" s="482">
        <f>C108*$F$4*1000</f>
        <v>327.8</v>
      </c>
      <c r="D125" s="482">
        <f t="shared" ref="D125:F125" si="3">D108*$F$4*1000</f>
        <v>277.5952276995817</v>
      </c>
      <c r="E125" s="482">
        <f t="shared" si="3"/>
        <v>265.81600000000003</v>
      </c>
      <c r="F125" s="482">
        <f t="shared" si="3"/>
        <v>262.51188606957328</v>
      </c>
      <c r="G125" s="482"/>
      <c r="H125" s="483"/>
      <c r="I125" s="419" t="s">
        <v>332</v>
      </c>
      <c r="J125" s="419"/>
      <c r="K125" s="483"/>
      <c r="L125" s="483"/>
      <c r="N125" s="419"/>
    </row>
    <row r="126" spans="2:30" outlineLevel="1">
      <c r="B126" s="484" t="s">
        <v>733</v>
      </c>
      <c r="C126" s="485">
        <f>C125*$I126</f>
        <v>163900</v>
      </c>
      <c r="D126" s="485">
        <f>D125*$I126</f>
        <v>138797.61384979085</v>
      </c>
      <c r="E126" s="485">
        <f>E125*$I126</f>
        <v>132908.00000000003</v>
      </c>
      <c r="F126" s="485">
        <f>F125*$I126</f>
        <v>131255.94303478664</v>
      </c>
      <c r="G126" s="485"/>
      <c r="H126" s="483"/>
      <c r="I126" s="71">
        <v>500</v>
      </c>
      <c r="J126" s="419" t="s">
        <v>330</v>
      </c>
      <c r="K126" s="483"/>
      <c r="L126" s="483"/>
      <c r="N126" s="419"/>
    </row>
    <row r="127" spans="2:30" ht="43.2" outlineLevel="1">
      <c r="B127" s="460" t="s">
        <v>734</v>
      </c>
      <c r="C127" s="358">
        <f>C111*$F$4</f>
        <v>13.41</v>
      </c>
      <c r="D127" s="358">
        <f t="shared" ref="D127:F128" si="4">D111*$F$4</f>
        <v>12.664999999999999</v>
      </c>
      <c r="E127" s="358">
        <f t="shared" si="4"/>
        <v>11.920000000000002</v>
      </c>
      <c r="F127" s="358">
        <f t="shared" si="4"/>
        <v>11.175000000000001</v>
      </c>
      <c r="G127" s="358"/>
      <c r="I127" s="419" t="s">
        <v>333</v>
      </c>
      <c r="J127" s="419"/>
      <c r="N127" s="419"/>
    </row>
    <row r="128" spans="2:30" ht="43.2" outlineLevel="1">
      <c r="B128" s="460" t="s">
        <v>735</v>
      </c>
      <c r="C128" s="486">
        <f>C112*$F$4</f>
        <v>2.0694444444444446</v>
      </c>
      <c r="D128" s="486">
        <f t="shared" si="4"/>
        <v>1.8625</v>
      </c>
      <c r="E128" s="486">
        <f t="shared" si="4"/>
        <v>1.8625</v>
      </c>
      <c r="F128" s="486">
        <f t="shared" si="4"/>
        <v>1.8625</v>
      </c>
      <c r="G128" s="358"/>
      <c r="M128" s="419"/>
      <c r="N128" s="419"/>
    </row>
    <row r="129" spans="2:6" outlineLevel="1"/>
    <row r="130" spans="2:6" outlineLevel="1"/>
    <row r="131" spans="2:6" outlineLevel="1"/>
    <row r="132" spans="2:6" outlineLevel="1"/>
    <row r="133" spans="2:6" outlineLevel="1">
      <c r="B133" s="487" t="s">
        <v>736</v>
      </c>
      <c r="C133" s="488"/>
      <c r="D133" s="489"/>
      <c r="E133" s="489"/>
      <c r="F133" s="489"/>
    </row>
    <row r="134" spans="2:6" outlineLevel="1">
      <c r="B134" s="490">
        <v>1</v>
      </c>
      <c r="C134" s="491" t="s">
        <v>737</v>
      </c>
      <c r="E134" s="489"/>
      <c r="F134" s="489"/>
    </row>
    <row r="135" spans="2:6" outlineLevel="1">
      <c r="B135" s="490">
        <v>2</v>
      </c>
      <c r="C135" s="492" t="s">
        <v>738</v>
      </c>
      <c r="E135" s="489"/>
      <c r="F135" s="489"/>
    </row>
    <row r="136" spans="2:6" outlineLevel="1">
      <c r="B136" s="490">
        <v>3</v>
      </c>
      <c r="C136" s="492" t="s">
        <v>739</v>
      </c>
      <c r="E136" s="489"/>
      <c r="F136" s="489"/>
    </row>
    <row r="137" spans="2:6" outlineLevel="1">
      <c r="B137" s="490">
        <v>4</v>
      </c>
      <c r="C137" s="492" t="s">
        <v>740</v>
      </c>
      <c r="E137" s="489"/>
      <c r="F137" s="489"/>
    </row>
    <row r="138" spans="2:6" outlineLevel="1">
      <c r="B138" s="357">
        <v>5</v>
      </c>
      <c r="C138" s="493" t="s">
        <v>741</v>
      </c>
      <c r="D138" s="489"/>
      <c r="E138" s="489"/>
      <c r="F138" s="489"/>
    </row>
    <row r="139" spans="2:6" outlineLevel="1">
      <c r="B139" s="357">
        <v>6</v>
      </c>
      <c r="C139" s="491" t="s">
        <v>742</v>
      </c>
      <c r="D139" s="489"/>
      <c r="E139" s="489"/>
      <c r="F139" s="489"/>
    </row>
    <row r="140" spans="2:6" outlineLevel="1">
      <c r="B140" s="357">
        <v>7</v>
      </c>
      <c r="C140" s="494" t="s">
        <v>737</v>
      </c>
      <c r="D140" s="489"/>
      <c r="E140" s="489"/>
      <c r="F140" s="489"/>
    </row>
    <row r="141" spans="2:6" outlineLevel="1">
      <c r="B141" s="357">
        <v>8</v>
      </c>
      <c r="C141" s="494" t="s">
        <v>743</v>
      </c>
      <c r="D141" s="489"/>
      <c r="E141" s="489"/>
      <c r="F141" s="489"/>
    </row>
    <row r="142" spans="2:6" outlineLevel="1">
      <c r="B142" s="357">
        <v>9</v>
      </c>
      <c r="C142" s="488" t="s">
        <v>744</v>
      </c>
      <c r="D142" s="489"/>
      <c r="E142" s="489"/>
      <c r="F142" s="489"/>
    </row>
    <row r="143" spans="2:6" outlineLevel="1">
      <c r="B143" s="357">
        <v>10</v>
      </c>
      <c r="C143" s="489" t="s">
        <v>745</v>
      </c>
      <c r="D143" s="489"/>
      <c r="E143" s="489"/>
      <c r="F143" s="489"/>
    </row>
    <row r="144" spans="2:6" outlineLevel="1">
      <c r="B144" s="487" t="s">
        <v>746</v>
      </c>
      <c r="C144" s="488"/>
      <c r="D144" s="489"/>
      <c r="E144" s="489"/>
      <c r="F144" s="489"/>
    </row>
    <row r="145" spans="1:44" outlineLevel="1">
      <c r="B145" s="495" t="s">
        <v>6</v>
      </c>
      <c r="C145" s="496" t="s">
        <v>747</v>
      </c>
      <c r="E145" s="489"/>
      <c r="F145" s="489"/>
    </row>
    <row r="146" spans="1:44" outlineLevel="1">
      <c r="B146" s="495" t="s">
        <v>59</v>
      </c>
      <c r="C146" s="488" t="s">
        <v>748</v>
      </c>
      <c r="E146" s="489"/>
      <c r="F146" s="489"/>
    </row>
    <row r="147" spans="1:44" outlineLevel="1">
      <c r="B147" s="495" t="s">
        <v>16</v>
      </c>
      <c r="C147" s="488" t="s">
        <v>749</v>
      </c>
      <c r="E147" s="489"/>
      <c r="F147" s="489"/>
    </row>
    <row r="148" spans="1:44" outlineLevel="1">
      <c r="B148" s="495" t="s">
        <v>20</v>
      </c>
      <c r="C148" s="488" t="s">
        <v>750</v>
      </c>
      <c r="E148" s="489"/>
      <c r="F148" s="489"/>
    </row>
    <row r="149" spans="1:44" outlineLevel="1">
      <c r="B149" s="495" t="s">
        <v>76</v>
      </c>
      <c r="C149" s="497" t="s">
        <v>751</v>
      </c>
      <c r="E149" s="489"/>
      <c r="F149" s="489"/>
    </row>
    <row r="150" spans="1:44" outlineLevel="1">
      <c r="B150" s="495" t="s">
        <v>25</v>
      </c>
      <c r="C150" s="488" t="s">
        <v>752</v>
      </c>
      <c r="E150" s="489"/>
      <c r="F150" s="489"/>
    </row>
    <row r="151" spans="1:44" outlineLevel="1"/>
    <row r="152" spans="1:44" outlineLevel="1">
      <c r="M152" s="214"/>
    </row>
    <row r="153" spans="1:44" outlineLevel="1"/>
    <row r="156" spans="1:44">
      <c r="A156" s="359"/>
      <c r="B156" s="1204"/>
      <c r="C156" s="1140"/>
      <c r="D156" s="1140"/>
      <c r="E156" s="1140"/>
      <c r="F156" s="1140"/>
      <c r="G156" s="1140"/>
      <c r="H156" s="1140"/>
      <c r="I156" s="1140"/>
      <c r="J156" s="1140"/>
      <c r="K156" s="1140"/>
      <c r="L156" s="1140"/>
      <c r="M156" s="1140"/>
      <c r="N156" s="360"/>
      <c r="P156" s="1140"/>
      <c r="Q156" s="1140"/>
      <c r="R156" s="1140"/>
      <c r="S156" s="1140"/>
      <c r="T156" s="1140"/>
      <c r="U156" s="1140"/>
    </row>
    <row r="157" spans="1:44" ht="15" outlineLevel="1" thickBot="1">
      <c r="B157" s="1204"/>
      <c r="C157" s="1140"/>
      <c r="D157" s="1140"/>
      <c r="E157" s="1140"/>
      <c r="F157" s="1140"/>
      <c r="G157" s="1140"/>
      <c r="H157" s="1140"/>
      <c r="I157" s="1140"/>
      <c r="J157" s="1140"/>
      <c r="K157" s="1140"/>
      <c r="L157" s="1140"/>
      <c r="M157" s="1140"/>
      <c r="N157" s="360"/>
      <c r="P157" s="1140"/>
      <c r="Q157" s="1140"/>
      <c r="R157" s="1140"/>
      <c r="S157" s="1140"/>
      <c r="T157" s="1140"/>
      <c r="U157" s="1140"/>
    </row>
    <row r="158" spans="1:44" ht="20.55" customHeight="1" outlineLevel="1" thickBot="1">
      <c r="B158" s="361"/>
      <c r="C158" s="1183"/>
      <c r="D158" s="1202"/>
      <c r="E158" s="1202"/>
      <c r="F158" s="1202"/>
      <c r="G158" s="1202"/>
      <c r="H158" s="1202"/>
      <c r="I158" s="1202"/>
      <c r="J158" s="1202"/>
      <c r="K158" s="1202"/>
      <c r="L158" s="1203"/>
      <c r="M158" s="362"/>
      <c r="N158" s="362"/>
      <c r="P158" s="363"/>
      <c r="Q158" s="364"/>
      <c r="R158" s="365"/>
      <c r="S158" s="1173"/>
      <c r="T158" s="1157"/>
      <c r="U158" s="1158"/>
      <c r="V158" s="1157"/>
      <c r="W158" s="1158"/>
      <c r="X158" s="1157"/>
      <c r="Y158" s="1158"/>
      <c r="Z158" s="1157"/>
      <c r="AA158" s="1158"/>
      <c r="AB158" s="1157"/>
      <c r="AC158" s="1158"/>
      <c r="AE158" s="363"/>
      <c r="AF158" s="364"/>
      <c r="AG158" s="365"/>
      <c r="AH158" s="1173"/>
      <c r="AI158" s="1157"/>
      <c r="AJ158" s="1158"/>
      <c r="AK158" s="1157"/>
      <c r="AL158" s="1158"/>
      <c r="AM158" s="1157"/>
      <c r="AN158" s="1158"/>
      <c r="AO158" s="1157"/>
      <c r="AP158" s="1158"/>
      <c r="AQ158" s="1157"/>
      <c r="AR158" s="1158"/>
    </row>
    <row r="159" spans="1:44" ht="15" customHeight="1" outlineLevel="1" thickBot="1">
      <c r="B159" s="1161"/>
      <c r="C159" s="1163"/>
      <c r="D159" s="1163"/>
      <c r="E159" s="1163"/>
      <c r="F159" s="1163"/>
      <c r="G159" s="1218"/>
      <c r="H159" s="1219"/>
      <c r="I159" s="1218"/>
      <c r="J159" s="1219"/>
      <c r="K159" s="1186"/>
      <c r="L159" s="1186"/>
      <c r="M159" s="366"/>
      <c r="N159" s="366"/>
      <c r="P159" s="1177"/>
      <c r="Q159" s="367"/>
      <c r="R159" s="367"/>
      <c r="S159" s="1174"/>
      <c r="T159" s="1159"/>
      <c r="U159" s="1160"/>
      <c r="V159" s="1159"/>
      <c r="W159" s="1160"/>
      <c r="X159" s="1159"/>
      <c r="Y159" s="1160"/>
      <c r="Z159" s="1159"/>
      <c r="AA159" s="1160"/>
      <c r="AB159" s="1159"/>
      <c r="AC159" s="1160"/>
      <c r="AE159" s="1177"/>
      <c r="AF159" s="367"/>
      <c r="AG159" s="367"/>
      <c r="AH159" s="1174"/>
      <c r="AI159" s="1159"/>
      <c r="AJ159" s="1160"/>
      <c r="AK159" s="1159"/>
      <c r="AL159" s="1160"/>
      <c r="AM159" s="1159"/>
      <c r="AN159" s="1160"/>
      <c r="AO159" s="1159"/>
      <c r="AP159" s="1160"/>
      <c r="AQ159" s="1159"/>
      <c r="AR159" s="1160"/>
    </row>
    <row r="160" spans="1:44" ht="15" customHeight="1" outlineLevel="1" thickBot="1">
      <c r="B160" s="1162"/>
      <c r="C160" s="1164"/>
      <c r="D160" s="1164"/>
      <c r="E160" s="1164"/>
      <c r="F160" s="1164"/>
      <c r="G160" s="539"/>
      <c r="H160" s="539"/>
      <c r="I160" s="539"/>
      <c r="J160" s="539"/>
      <c r="K160" s="1187"/>
      <c r="L160" s="1187"/>
      <c r="M160" s="369"/>
      <c r="N160" s="369"/>
      <c r="P160" s="1178"/>
      <c r="Q160" s="1180"/>
      <c r="R160" s="1181"/>
      <c r="S160" s="1175"/>
      <c r="T160" s="1159"/>
      <c r="U160" s="1160"/>
      <c r="V160" s="1159"/>
      <c r="W160" s="1160"/>
      <c r="X160" s="1159"/>
      <c r="Y160" s="1160"/>
      <c r="Z160" s="1159"/>
      <c r="AA160" s="1160"/>
      <c r="AB160" s="1159"/>
      <c r="AC160" s="1160"/>
      <c r="AE160" s="1178"/>
      <c r="AF160" s="1194"/>
      <c r="AG160" s="1181"/>
      <c r="AH160" s="1175"/>
      <c r="AI160" s="1159"/>
      <c r="AJ160" s="1160"/>
      <c r="AK160" s="1159"/>
      <c r="AL160" s="1160"/>
      <c r="AM160" s="1159"/>
      <c r="AN160" s="1160"/>
      <c r="AO160" s="1159"/>
      <c r="AP160" s="1160"/>
      <c r="AQ160" s="1159"/>
      <c r="AR160" s="1160"/>
    </row>
    <row r="161" spans="2:44" ht="15" outlineLevel="1" thickBot="1">
      <c r="B161" s="370"/>
      <c r="C161" s="371"/>
      <c r="D161" s="371"/>
      <c r="E161" s="371"/>
      <c r="F161" s="371"/>
      <c r="G161" s="371"/>
      <c r="H161" s="371"/>
      <c r="I161" s="371"/>
      <c r="J161" s="371"/>
      <c r="K161" s="371"/>
      <c r="L161" s="372"/>
      <c r="M161" s="369"/>
      <c r="N161" s="369"/>
      <c r="O161" s="74"/>
      <c r="P161" s="1179"/>
      <c r="Q161" s="1176"/>
      <c r="R161" s="1182"/>
      <c r="S161" s="1176"/>
      <c r="T161" s="373"/>
      <c r="U161" s="374"/>
      <c r="V161" s="373"/>
      <c r="W161" s="374"/>
      <c r="X161" s="373"/>
      <c r="Y161" s="374"/>
      <c r="Z161" s="373"/>
      <c r="AA161" s="374"/>
      <c r="AB161" s="373"/>
      <c r="AC161" s="374"/>
      <c r="AE161" s="1179"/>
      <c r="AF161" s="1195"/>
      <c r="AG161" s="1182"/>
      <c r="AH161" s="1176"/>
      <c r="AI161" s="373"/>
      <c r="AJ161" s="374"/>
      <c r="AK161" s="373"/>
      <c r="AL161" s="374"/>
      <c r="AM161" s="373"/>
      <c r="AN161" s="374"/>
      <c r="AO161" s="373"/>
      <c r="AP161" s="374"/>
      <c r="AQ161" s="373"/>
      <c r="AR161" s="374"/>
    </row>
    <row r="162" spans="2:44" ht="14.55" customHeight="1" outlineLevel="1">
      <c r="B162" s="540"/>
      <c r="C162" s="541"/>
      <c r="D162" s="541"/>
      <c r="E162" s="542"/>
      <c r="F162" s="541"/>
      <c r="G162" s="541"/>
      <c r="H162" s="541"/>
      <c r="I162" s="541"/>
      <c r="J162" s="541"/>
      <c r="K162" s="371"/>
      <c r="L162" s="372"/>
      <c r="M162" s="369"/>
      <c r="N162" s="369"/>
      <c r="P162" s="1145"/>
      <c r="Q162" s="1151"/>
      <c r="R162" s="380"/>
      <c r="S162" s="381"/>
      <c r="T162" s="1134"/>
      <c r="U162" s="1148"/>
      <c r="V162" s="1134"/>
      <c r="W162" s="1148"/>
      <c r="X162" s="1134"/>
      <c r="Y162" s="1148"/>
      <c r="Z162" s="1134"/>
      <c r="AA162" s="1148"/>
      <c r="AB162" s="1134"/>
      <c r="AC162" s="1148"/>
      <c r="AE162" s="1145"/>
      <c r="AF162" s="1151"/>
      <c r="AG162" s="380"/>
      <c r="AH162" s="381"/>
      <c r="AI162" s="1134"/>
      <c r="AJ162" s="1148"/>
      <c r="AK162" s="1134"/>
      <c r="AL162" s="1148"/>
      <c r="AM162" s="1134"/>
      <c r="AN162" s="1148"/>
      <c r="AO162" s="1134"/>
      <c r="AP162" s="1148"/>
      <c r="AQ162" s="1134"/>
      <c r="AR162" s="1148"/>
    </row>
    <row r="163" spans="2:44" outlineLevel="1">
      <c r="B163" s="382"/>
      <c r="C163" s="383"/>
      <c r="D163" s="383"/>
      <c r="E163" s="383"/>
      <c r="F163" s="383"/>
      <c r="G163" s="504"/>
      <c r="H163" s="504"/>
      <c r="I163" s="504"/>
      <c r="J163" s="504"/>
      <c r="K163" s="371"/>
      <c r="L163" s="372"/>
      <c r="M163" s="369"/>
      <c r="N163" s="369"/>
      <c r="O163" s="71"/>
      <c r="P163" s="1192"/>
      <c r="Q163" s="1152"/>
      <c r="R163" s="387"/>
      <c r="S163" s="388"/>
      <c r="T163" s="1137"/>
      <c r="U163" s="1149"/>
      <c r="V163" s="1137"/>
      <c r="W163" s="1149"/>
      <c r="X163" s="1137"/>
      <c r="Y163" s="1149"/>
      <c r="Z163" s="1137"/>
      <c r="AA163" s="1149"/>
      <c r="AB163" s="1137"/>
      <c r="AC163" s="1149"/>
      <c r="AE163" s="1192"/>
      <c r="AF163" s="1152"/>
      <c r="AG163" s="387"/>
      <c r="AH163" s="388"/>
      <c r="AI163" s="1137"/>
      <c r="AJ163" s="1149"/>
      <c r="AK163" s="1137"/>
      <c r="AL163" s="1149"/>
      <c r="AM163" s="1137"/>
      <c r="AN163" s="1149"/>
      <c r="AO163" s="1137"/>
      <c r="AP163" s="1149"/>
      <c r="AQ163" s="1137"/>
      <c r="AR163" s="1149"/>
    </row>
    <row r="164" spans="2:44" ht="15" outlineLevel="1" thickBot="1">
      <c r="B164" s="540"/>
      <c r="C164" s="543"/>
      <c r="D164" s="544"/>
      <c r="E164" s="544"/>
      <c r="F164" s="545"/>
      <c r="G164" s="544"/>
      <c r="H164" s="544"/>
      <c r="I164" s="544"/>
      <c r="J164" s="544"/>
      <c r="K164" s="546"/>
      <c r="L164" s="547"/>
      <c r="M164" s="369"/>
      <c r="N164" s="369"/>
      <c r="O164" s="71"/>
      <c r="P164" s="1192"/>
      <c r="Q164" s="1153"/>
      <c r="R164" s="392"/>
      <c r="S164" s="393"/>
      <c r="T164" s="1138"/>
      <c r="U164" s="1150"/>
      <c r="V164" s="1138"/>
      <c r="W164" s="1150"/>
      <c r="X164" s="1138"/>
      <c r="Y164" s="1150"/>
      <c r="Z164" s="1138"/>
      <c r="AA164" s="1150"/>
      <c r="AB164" s="1138"/>
      <c r="AC164" s="1150"/>
      <c r="AE164" s="1192"/>
      <c r="AF164" s="1153"/>
      <c r="AG164" s="392"/>
      <c r="AH164" s="393"/>
      <c r="AI164" s="1138"/>
      <c r="AJ164" s="1150"/>
      <c r="AK164" s="1138"/>
      <c r="AL164" s="1150"/>
      <c r="AM164" s="1138"/>
      <c r="AN164" s="1150"/>
      <c r="AO164" s="1138"/>
      <c r="AP164" s="1150"/>
      <c r="AQ164" s="1138"/>
      <c r="AR164" s="1150"/>
    </row>
    <row r="165" spans="2:44" ht="14.55" customHeight="1" outlineLevel="1">
      <c r="B165" s="540"/>
      <c r="C165" s="543"/>
      <c r="D165" s="543"/>
      <c r="E165" s="543"/>
      <c r="F165" s="543"/>
      <c r="G165" s="543"/>
      <c r="H165" s="543"/>
      <c r="I165" s="543"/>
      <c r="J165" s="543"/>
      <c r="K165" s="546"/>
      <c r="L165" s="547"/>
      <c r="M165" s="369"/>
      <c r="N165" s="369"/>
      <c r="O165" s="71"/>
      <c r="P165" s="1192"/>
      <c r="Q165" s="1151"/>
      <c r="R165" s="394"/>
      <c r="S165" s="395"/>
      <c r="T165" s="1134"/>
      <c r="U165" s="1134"/>
      <c r="V165" s="1134"/>
      <c r="W165" s="1134"/>
      <c r="X165" s="1134"/>
      <c r="Y165" s="1134"/>
      <c r="Z165" s="1134"/>
      <c r="AA165" s="1134"/>
      <c r="AB165" s="1134"/>
      <c r="AC165" s="1134"/>
      <c r="AE165" s="1192"/>
      <c r="AF165" s="1151"/>
      <c r="AG165" s="394"/>
      <c r="AH165" s="395"/>
      <c r="AI165" s="1134"/>
      <c r="AJ165" s="1134"/>
      <c r="AK165" s="1134"/>
      <c r="AL165" s="1134"/>
      <c r="AM165" s="1134"/>
      <c r="AN165" s="1134"/>
      <c r="AO165" s="1134"/>
      <c r="AP165" s="1134"/>
      <c r="AQ165" s="1134"/>
      <c r="AR165" s="1134"/>
    </row>
    <row r="166" spans="2:44" outlineLevel="1">
      <c r="B166" s="540"/>
      <c r="C166" s="543"/>
      <c r="D166" s="543"/>
      <c r="E166" s="543"/>
      <c r="F166" s="543"/>
      <c r="G166" s="543"/>
      <c r="H166" s="543"/>
      <c r="I166" s="543"/>
      <c r="J166" s="543"/>
      <c r="K166" s="546"/>
      <c r="L166" s="547"/>
      <c r="M166" s="366"/>
      <c r="N166" s="366"/>
      <c r="O166" s="71"/>
      <c r="P166" s="1192"/>
      <c r="Q166" s="1152"/>
      <c r="R166" s="394"/>
      <c r="S166" s="395"/>
      <c r="T166" s="1135"/>
      <c r="U166" s="1135"/>
      <c r="V166" s="1135"/>
      <c r="W166" s="1135"/>
      <c r="X166" s="1135"/>
      <c r="Y166" s="1135"/>
      <c r="Z166" s="1135"/>
      <c r="AA166" s="1135"/>
      <c r="AB166" s="1135"/>
      <c r="AC166" s="1135"/>
      <c r="AE166" s="1192"/>
      <c r="AF166" s="1152"/>
      <c r="AG166" s="394"/>
      <c r="AH166" s="395"/>
      <c r="AI166" s="1135"/>
      <c r="AJ166" s="1135"/>
      <c r="AK166" s="1135"/>
      <c r="AL166" s="1135"/>
      <c r="AM166" s="1135"/>
      <c r="AN166" s="1135"/>
      <c r="AO166" s="1135"/>
      <c r="AP166" s="1135"/>
      <c r="AQ166" s="1135"/>
      <c r="AR166" s="1135"/>
    </row>
    <row r="167" spans="2:44" outlineLevel="1">
      <c r="B167" s="382"/>
      <c r="C167" s="396"/>
      <c r="D167" s="396"/>
      <c r="E167" s="396"/>
      <c r="F167" s="398"/>
      <c r="G167" s="398"/>
      <c r="H167" s="398"/>
      <c r="I167" s="398"/>
      <c r="J167" s="398"/>
      <c r="K167" s="371"/>
      <c r="L167" s="372"/>
      <c r="M167" s="362"/>
      <c r="N167" s="362"/>
      <c r="P167" s="1192"/>
      <c r="Q167" s="1152"/>
      <c r="R167" s="394"/>
      <c r="S167" s="395"/>
      <c r="T167" s="1135"/>
      <c r="U167" s="1135"/>
      <c r="V167" s="1135"/>
      <c r="W167" s="1135"/>
      <c r="X167" s="1135"/>
      <c r="Y167" s="1135"/>
      <c r="Z167" s="1135"/>
      <c r="AA167" s="1135"/>
      <c r="AB167" s="1135"/>
      <c r="AC167" s="1135"/>
      <c r="AE167" s="1192"/>
      <c r="AF167" s="1152"/>
      <c r="AG167" s="394"/>
      <c r="AH167" s="395"/>
      <c r="AI167" s="1135"/>
      <c r="AJ167" s="1135"/>
      <c r="AK167" s="1135"/>
      <c r="AL167" s="1135"/>
      <c r="AM167" s="1135"/>
      <c r="AN167" s="1135"/>
      <c r="AO167" s="1135"/>
      <c r="AP167" s="1135"/>
      <c r="AQ167" s="1135"/>
      <c r="AR167" s="1135"/>
    </row>
    <row r="168" spans="2:44" ht="15" outlineLevel="1" thickBot="1">
      <c r="B168" s="540"/>
      <c r="C168" s="543"/>
      <c r="D168" s="543"/>
      <c r="E168" s="543"/>
      <c r="F168" s="543"/>
      <c r="G168" s="543"/>
      <c r="H168" s="543"/>
      <c r="I168" s="543"/>
      <c r="J168" s="543"/>
      <c r="K168" s="371"/>
      <c r="L168" s="399"/>
      <c r="M168" s="362"/>
      <c r="N168" s="362"/>
      <c r="P168" s="1192"/>
      <c r="Q168" s="1152"/>
      <c r="R168" s="394"/>
      <c r="S168" s="395"/>
      <c r="T168" s="1135"/>
      <c r="U168" s="1135"/>
      <c r="V168" s="1135"/>
      <c r="W168" s="1135"/>
      <c r="X168" s="1135"/>
      <c r="Y168" s="1135"/>
      <c r="Z168" s="1135"/>
      <c r="AA168" s="1135"/>
      <c r="AB168" s="1135"/>
      <c r="AC168" s="1135"/>
      <c r="AE168" s="1192"/>
      <c r="AF168" s="1152"/>
      <c r="AG168" s="394"/>
      <c r="AH168" s="395"/>
      <c r="AI168" s="1135"/>
      <c r="AJ168" s="1135"/>
      <c r="AK168" s="1135"/>
      <c r="AL168" s="1135"/>
      <c r="AM168" s="1135"/>
      <c r="AN168" s="1135"/>
      <c r="AO168" s="1135"/>
      <c r="AP168" s="1135"/>
      <c r="AQ168" s="1135"/>
      <c r="AR168" s="1135"/>
    </row>
    <row r="169" spans="2:44" ht="15" outlineLevel="1" thickBot="1">
      <c r="B169" s="400"/>
      <c r="C169" s="401"/>
      <c r="D169" s="402"/>
      <c r="E169" s="403"/>
      <c r="F169" s="404"/>
      <c r="G169" s="405"/>
      <c r="H169" s="405"/>
      <c r="I169" s="405"/>
      <c r="J169" s="405"/>
      <c r="K169" s="406"/>
      <c r="L169" s="407"/>
      <c r="M169" s="362"/>
      <c r="N169" s="362"/>
      <c r="P169" s="1192"/>
      <c r="Q169" s="1152"/>
      <c r="R169" s="408"/>
      <c r="S169" s="409"/>
      <c r="T169" s="1136"/>
      <c r="U169" s="1136"/>
      <c r="V169" s="1136"/>
      <c r="W169" s="1136"/>
      <c r="X169" s="1136"/>
      <c r="Y169" s="1136"/>
      <c r="Z169" s="1136"/>
      <c r="AA169" s="1136"/>
      <c r="AB169" s="1136"/>
      <c r="AC169" s="1136"/>
      <c r="AE169" s="1192"/>
      <c r="AF169" s="1152"/>
      <c r="AG169" s="408"/>
      <c r="AH169" s="409"/>
      <c r="AI169" s="1136"/>
      <c r="AJ169" s="1136"/>
      <c r="AK169" s="1136"/>
      <c r="AL169" s="1136"/>
      <c r="AM169" s="1136"/>
      <c r="AN169" s="1136"/>
      <c r="AO169" s="1136"/>
      <c r="AP169" s="1136"/>
      <c r="AQ169" s="1136"/>
      <c r="AR169" s="1136"/>
    </row>
    <row r="170" spans="2:44" ht="15" outlineLevel="1" thickBot="1">
      <c r="B170" s="540"/>
      <c r="C170" s="543"/>
      <c r="D170" s="543"/>
      <c r="E170" s="543"/>
      <c r="F170" s="543"/>
      <c r="G170" s="544"/>
      <c r="H170" s="544"/>
      <c r="I170" s="544"/>
      <c r="J170" s="544"/>
      <c r="K170" s="546"/>
      <c r="L170" s="547"/>
      <c r="M170" s="362"/>
      <c r="N170" s="362"/>
      <c r="P170" s="1193"/>
      <c r="Q170" s="410"/>
      <c r="R170" s="411"/>
      <c r="S170" s="412"/>
      <c r="T170" s="413"/>
      <c r="U170" s="414"/>
      <c r="V170" s="415"/>
      <c r="W170" s="414"/>
      <c r="X170" s="415"/>
      <c r="Y170" s="414"/>
      <c r="Z170" s="415"/>
      <c r="AA170" s="414"/>
      <c r="AB170" s="415"/>
      <c r="AC170" s="416"/>
      <c r="AE170" s="1193"/>
      <c r="AF170" s="410"/>
      <c r="AG170" s="411"/>
      <c r="AH170" s="412"/>
      <c r="AI170" s="413"/>
      <c r="AJ170" s="414"/>
      <c r="AK170" s="415"/>
      <c r="AL170" s="414"/>
      <c r="AM170" s="415"/>
      <c r="AN170" s="414"/>
      <c r="AO170" s="415"/>
      <c r="AP170" s="414"/>
      <c r="AQ170" s="415"/>
      <c r="AR170" s="416"/>
    </row>
    <row r="171" spans="2:44" outlineLevel="1">
      <c r="B171" s="540"/>
      <c r="C171" s="543"/>
      <c r="D171" s="543"/>
      <c r="E171" s="543"/>
      <c r="F171" s="543"/>
      <c r="G171" s="548"/>
      <c r="H171" s="548"/>
      <c r="I171" s="548"/>
      <c r="J171" s="548"/>
      <c r="K171" s="549"/>
      <c r="L171" s="547"/>
      <c r="M171" s="362"/>
      <c r="N171" s="362"/>
    </row>
    <row r="172" spans="2:44" outlineLevel="1">
      <c r="B172" s="540"/>
      <c r="C172" s="543"/>
      <c r="D172" s="543"/>
      <c r="E172" s="543"/>
      <c r="F172" s="543"/>
      <c r="G172" s="548"/>
      <c r="H172" s="548"/>
      <c r="I172" s="548"/>
      <c r="J172" s="548"/>
      <c r="K172" s="549"/>
      <c r="L172" s="547"/>
      <c r="M172" s="419"/>
      <c r="N172" s="362"/>
    </row>
    <row r="173" spans="2:44" outlineLevel="1">
      <c r="B173" s="420"/>
      <c r="C173" s="398"/>
      <c r="D173" s="398"/>
      <c r="E173" s="398"/>
      <c r="F173" s="398"/>
      <c r="G173" s="421"/>
      <c r="H173" s="421"/>
      <c r="I173" s="421"/>
      <c r="J173" s="421"/>
      <c r="K173" s="422"/>
      <c r="L173" s="423"/>
      <c r="M173" s="419"/>
      <c r="N173" s="419"/>
    </row>
    <row r="174" spans="2:44" outlineLevel="1">
      <c r="B174" s="382"/>
      <c r="C174" s="396"/>
      <c r="D174" s="396"/>
      <c r="E174" s="396"/>
      <c r="F174" s="396"/>
      <c r="G174" s="421"/>
      <c r="H174" s="424"/>
      <c r="I174" s="424"/>
      <c r="J174" s="424"/>
      <c r="K174" s="425"/>
      <c r="L174" s="426"/>
      <c r="M174" s="427"/>
      <c r="N174" s="427"/>
    </row>
    <row r="175" spans="2:44" outlineLevel="1">
      <c r="B175" s="382"/>
      <c r="C175" s="396"/>
      <c r="D175" s="396"/>
      <c r="E175" s="396"/>
      <c r="F175" s="396"/>
      <c r="G175" s="424"/>
      <c r="H175" s="424"/>
      <c r="I175" s="424"/>
      <c r="J175" s="424"/>
      <c r="K175" s="422"/>
      <c r="L175" s="426"/>
      <c r="M175" s="427"/>
      <c r="N175" s="427"/>
    </row>
    <row r="176" spans="2:44" outlineLevel="1">
      <c r="B176" s="382"/>
      <c r="C176" s="396"/>
      <c r="D176" s="396"/>
      <c r="E176" s="396"/>
      <c r="F176" s="396"/>
      <c r="G176" s="424"/>
      <c r="H176" s="424"/>
      <c r="I176" s="424"/>
      <c r="J176" s="424"/>
      <c r="K176" s="422"/>
      <c r="L176" s="426"/>
      <c r="M176" s="427"/>
      <c r="N176" s="427"/>
    </row>
    <row r="177" spans="1:30" outlineLevel="1">
      <c r="B177" s="382"/>
      <c r="C177" s="396"/>
      <c r="D177" s="396"/>
      <c r="E177" s="396"/>
      <c r="F177" s="396"/>
      <c r="G177" s="424"/>
      <c r="H177" s="424"/>
      <c r="I177" s="424"/>
      <c r="J177" s="424"/>
      <c r="K177" s="422"/>
      <c r="L177" s="426"/>
      <c r="M177" s="427"/>
      <c r="N177" s="427"/>
    </row>
    <row r="178" spans="1:30" ht="15" outlineLevel="1" thickBot="1">
      <c r="B178" s="428"/>
      <c r="C178" s="429"/>
      <c r="D178" s="429"/>
      <c r="E178" s="429"/>
      <c r="F178" s="429"/>
      <c r="G178" s="424"/>
      <c r="H178" s="424"/>
      <c r="I178" s="424"/>
      <c r="J178" s="424"/>
      <c r="K178" s="422"/>
      <c r="L178" s="426"/>
      <c r="M178" s="427"/>
      <c r="N178" s="427"/>
    </row>
    <row r="179" spans="1:30" ht="15" outlineLevel="1" thickBot="1">
      <c r="B179" s="430"/>
      <c r="C179" s="431"/>
      <c r="D179" s="402"/>
      <c r="E179" s="402"/>
      <c r="F179" s="432"/>
      <c r="G179" s="433"/>
      <c r="H179" s="405"/>
      <c r="I179" s="405"/>
      <c r="J179" s="405"/>
      <c r="K179" s="406"/>
      <c r="L179" s="407"/>
      <c r="M179" s="427"/>
      <c r="N179" s="427"/>
    </row>
    <row r="180" spans="1:30" outlineLevel="1">
      <c r="A180" s="434"/>
      <c r="B180" s="435"/>
      <c r="C180" s="550"/>
      <c r="D180" s="437"/>
      <c r="E180" s="437"/>
      <c r="F180" s="438"/>
      <c r="G180" s="424"/>
      <c r="H180" s="424"/>
      <c r="I180" s="424"/>
      <c r="J180" s="424"/>
      <c r="K180" s="425"/>
      <c r="L180" s="439"/>
      <c r="M180" s="419"/>
      <c r="N180" s="419"/>
    </row>
    <row r="181" spans="1:30" outlineLevel="1">
      <c r="B181" s="440"/>
      <c r="C181" s="441"/>
      <c r="D181" s="442"/>
      <c r="E181" s="442"/>
      <c r="F181" s="442"/>
      <c r="G181" s="424"/>
      <c r="H181" s="424"/>
      <c r="I181" s="424"/>
      <c r="J181" s="424"/>
      <c r="K181" s="443"/>
      <c r="L181" s="372"/>
      <c r="M181" s="71"/>
      <c r="N181" s="419"/>
    </row>
    <row r="182" spans="1:30" outlineLevel="1">
      <c r="B182" s="440"/>
      <c r="C182" s="441"/>
      <c r="D182" s="441"/>
      <c r="E182" s="441"/>
      <c r="F182" s="441"/>
      <c r="G182" s="424"/>
      <c r="H182" s="424"/>
      <c r="I182" s="424"/>
      <c r="J182" s="424"/>
      <c r="K182" s="443"/>
      <c r="L182" s="372"/>
      <c r="M182" s="419"/>
      <c r="N182" s="419"/>
    </row>
    <row r="183" spans="1:30" outlineLevel="1">
      <c r="B183" s="382"/>
      <c r="C183" s="444"/>
      <c r="D183" s="445"/>
      <c r="E183" s="445"/>
      <c r="F183" s="446"/>
      <c r="G183" s="424"/>
      <c r="H183" s="424"/>
      <c r="I183" s="424"/>
      <c r="J183" s="424"/>
      <c r="K183" s="447"/>
      <c r="L183" s="372"/>
      <c r="M183" s="419"/>
      <c r="N183" s="419"/>
    </row>
    <row r="184" spans="1:30" outlineLevel="1">
      <c r="B184" s="382"/>
      <c r="C184" s="448"/>
      <c r="D184" s="448"/>
      <c r="E184" s="448"/>
      <c r="F184" s="448"/>
      <c r="G184" s="424"/>
      <c r="H184" s="424"/>
      <c r="I184" s="424"/>
      <c r="J184" s="424"/>
      <c r="K184" s="447"/>
      <c r="L184" s="372"/>
      <c r="M184" s="449"/>
      <c r="N184" s="360"/>
      <c r="P184" s="1139"/>
      <c r="Q184" s="1140"/>
      <c r="R184" s="1140"/>
      <c r="S184" s="1140"/>
      <c r="T184" s="1140"/>
      <c r="U184" s="1141"/>
    </row>
    <row r="185" spans="1:30" ht="15" outlineLevel="1" thickBot="1">
      <c r="B185" s="540"/>
      <c r="C185" s="551"/>
      <c r="D185" s="551"/>
      <c r="E185" s="551"/>
      <c r="F185" s="551"/>
      <c r="G185" s="552"/>
      <c r="H185" s="552"/>
      <c r="I185" s="552"/>
      <c r="J185" s="552"/>
      <c r="K185" s="546"/>
      <c r="L185" s="547"/>
      <c r="M185" s="449"/>
      <c r="N185" s="360"/>
      <c r="P185" s="1131"/>
      <c r="Q185" s="1132"/>
      <c r="R185" s="1132"/>
      <c r="S185" s="1132"/>
      <c r="T185" s="1132"/>
      <c r="U185" s="1133"/>
    </row>
    <row r="186" spans="1:30" outlineLevel="1">
      <c r="B186" s="540"/>
      <c r="C186" s="553"/>
      <c r="D186" s="553"/>
      <c r="E186" s="553"/>
      <c r="F186" s="553"/>
      <c r="G186" s="552"/>
      <c r="H186" s="552"/>
      <c r="I186" s="552"/>
      <c r="J186" s="552"/>
      <c r="K186" s="554"/>
      <c r="L186" s="547"/>
      <c r="M186" s="362"/>
      <c r="N186" s="362"/>
      <c r="P186" s="53"/>
    </row>
    <row r="187" spans="1:30" outlineLevel="1">
      <c r="B187" s="440"/>
      <c r="C187" s="455"/>
      <c r="D187" s="455"/>
      <c r="E187" s="455"/>
      <c r="F187" s="455"/>
      <c r="G187" s="424"/>
      <c r="H187" s="424"/>
      <c r="I187" s="424"/>
      <c r="J187" s="424"/>
      <c r="K187" s="443"/>
      <c r="L187" s="423"/>
      <c r="M187" s="366"/>
      <c r="N187" s="366"/>
      <c r="P187" s="46"/>
      <c r="Q187" s="46"/>
      <c r="R187" s="47"/>
      <c r="S187" s="47"/>
      <c r="T187" s="47"/>
      <c r="U187" s="48"/>
      <c r="V187" s="49"/>
      <c r="W187" s="49"/>
      <c r="X187" s="49"/>
      <c r="Y187" s="49"/>
      <c r="Z187" s="49"/>
      <c r="AA187" s="49"/>
      <c r="AB187" s="49"/>
      <c r="AC187" s="49"/>
      <c r="AD187" s="49"/>
    </row>
    <row r="188" spans="1:30" ht="15" outlineLevel="1" thickBot="1">
      <c r="B188" s="440"/>
      <c r="C188" s="441"/>
      <c r="D188" s="456"/>
      <c r="E188" s="456"/>
      <c r="F188" s="457"/>
      <c r="G188" s="424"/>
      <c r="H188" s="424"/>
      <c r="I188" s="424"/>
      <c r="J188" s="424"/>
      <c r="K188" s="447"/>
      <c r="L188" s="423"/>
      <c r="M188" s="362"/>
      <c r="N188" s="362"/>
      <c r="P188" s="50"/>
      <c r="Q188" s="50"/>
      <c r="R188" s="51"/>
      <c r="S188" s="51"/>
      <c r="T188" s="51"/>
      <c r="U188" s="51"/>
      <c r="V188" s="50"/>
      <c r="W188" s="50"/>
      <c r="X188" s="50"/>
      <c r="Y188" s="50"/>
      <c r="Z188" s="50"/>
      <c r="AA188" s="50"/>
      <c r="AB188" s="50"/>
      <c r="AC188" s="50"/>
      <c r="AD188" s="50"/>
    </row>
    <row r="189" spans="1:30" ht="15" outlineLevel="1" thickBot="1">
      <c r="B189" s="400"/>
      <c r="C189" s="401"/>
      <c r="D189" s="402"/>
      <c r="E189" s="403"/>
      <c r="F189" s="404"/>
      <c r="G189" s="405"/>
      <c r="H189" s="405"/>
      <c r="I189" s="405"/>
      <c r="J189" s="405"/>
      <c r="K189" s="458"/>
      <c r="L189" s="459"/>
      <c r="M189" s="362"/>
      <c r="N189" s="362"/>
      <c r="O189" s="460"/>
      <c r="P189" s="56"/>
      <c r="Q189" s="56"/>
      <c r="R189" s="57"/>
      <c r="S189" s="57"/>
      <c r="T189" s="57"/>
      <c r="U189" s="56"/>
      <c r="V189" s="56"/>
      <c r="W189" s="56"/>
      <c r="X189" s="56"/>
      <c r="Y189" s="56"/>
      <c r="Z189" s="56"/>
      <c r="AA189" s="56"/>
      <c r="AB189" s="56"/>
      <c r="AC189" s="56"/>
      <c r="AD189" s="56"/>
    </row>
    <row r="190" spans="1:30" outlineLevel="1">
      <c r="B190" s="555"/>
      <c r="C190" s="556"/>
      <c r="D190" s="556"/>
      <c r="E190" s="556"/>
      <c r="F190" s="556"/>
      <c r="G190" s="557"/>
      <c r="H190" s="557"/>
      <c r="I190" s="557"/>
      <c r="J190" s="557"/>
      <c r="K190" s="557"/>
      <c r="L190" s="558"/>
      <c r="M190" s="362"/>
      <c r="N190" s="362"/>
      <c r="O190" s="464"/>
      <c r="P190" s="465"/>
      <c r="Q190" s="58"/>
      <c r="R190" s="465"/>
      <c r="S190" s="58"/>
      <c r="T190" s="465"/>
      <c r="U190" s="466"/>
      <c r="V190" s="466"/>
      <c r="W190" s="466"/>
      <c r="X190" s="58"/>
      <c r="Y190" s="58"/>
      <c r="Z190" s="465"/>
      <c r="AA190" s="467"/>
      <c r="AB190" s="467"/>
      <c r="AC190" s="467"/>
      <c r="AD190" s="467"/>
    </row>
    <row r="191" spans="1:30" outlineLevel="1">
      <c r="B191" s="540"/>
      <c r="C191" s="559"/>
      <c r="D191" s="560"/>
      <c r="E191" s="560"/>
      <c r="F191" s="561"/>
      <c r="G191" s="561"/>
      <c r="H191" s="561"/>
      <c r="I191" s="561"/>
      <c r="J191" s="561"/>
      <c r="K191" s="562"/>
      <c r="L191" s="558"/>
      <c r="M191" s="362"/>
      <c r="N191" s="362"/>
      <c r="O191" s="464"/>
      <c r="P191" s="465"/>
      <c r="Q191" s="58"/>
      <c r="R191" s="465"/>
      <c r="S191" s="58"/>
      <c r="T191" s="465"/>
      <c r="U191" s="466"/>
      <c r="V191" s="466"/>
      <c r="W191" s="466"/>
      <c r="X191" s="58"/>
      <c r="Y191" s="58"/>
      <c r="Z191" s="465"/>
      <c r="AA191" s="467"/>
      <c r="AB191" s="467"/>
      <c r="AC191" s="467"/>
      <c r="AD191" s="467"/>
    </row>
    <row r="192" spans="1:30" outlineLevel="1">
      <c r="B192" s="540"/>
      <c r="C192" s="559"/>
      <c r="D192" s="560"/>
      <c r="E192" s="560"/>
      <c r="F192" s="561"/>
      <c r="G192" s="561"/>
      <c r="H192" s="561"/>
      <c r="I192" s="561"/>
      <c r="J192" s="561"/>
      <c r="K192" s="562"/>
      <c r="L192" s="558"/>
      <c r="M192" s="362"/>
      <c r="N192" s="362"/>
      <c r="O192" s="464"/>
      <c r="P192" s="465"/>
      <c r="Q192" s="58"/>
      <c r="R192" s="465"/>
      <c r="S192" s="58"/>
      <c r="T192" s="465"/>
      <c r="U192" s="466"/>
      <c r="V192" s="466"/>
      <c r="W192" s="466"/>
      <c r="X192" s="58"/>
      <c r="Y192" s="58"/>
      <c r="Z192" s="465"/>
      <c r="AA192" s="467"/>
      <c r="AB192" s="467"/>
      <c r="AC192" s="467"/>
      <c r="AD192" s="467"/>
    </row>
    <row r="193" spans="1:30" outlineLevel="1">
      <c r="B193" s="540"/>
      <c r="C193" s="563"/>
      <c r="D193" s="563"/>
      <c r="E193" s="563"/>
      <c r="F193" s="563"/>
      <c r="G193" s="564"/>
      <c r="H193" s="564"/>
      <c r="I193" s="564"/>
      <c r="J193" s="564"/>
      <c r="K193" s="564"/>
      <c r="L193" s="547"/>
      <c r="M193" s="362"/>
      <c r="N193" s="362"/>
      <c r="O193" s="464"/>
      <c r="P193" s="465"/>
      <c r="Q193" s="58"/>
      <c r="R193" s="465"/>
      <c r="S193" s="58"/>
      <c r="T193" s="465"/>
      <c r="U193" s="466"/>
      <c r="V193" s="466"/>
      <c r="W193" s="466"/>
      <c r="X193" s="58"/>
      <c r="Y193" s="58"/>
      <c r="Z193" s="465"/>
      <c r="AA193" s="467"/>
      <c r="AB193" s="467"/>
      <c r="AC193" s="467"/>
      <c r="AD193" s="467"/>
    </row>
    <row r="194" spans="1:30" outlineLevel="1">
      <c r="B194" s="565"/>
      <c r="C194" s="559"/>
      <c r="D194" s="560"/>
      <c r="E194" s="560"/>
      <c r="F194" s="561"/>
      <c r="G194" s="561"/>
      <c r="H194" s="561"/>
      <c r="I194" s="561"/>
      <c r="J194" s="561"/>
      <c r="K194" s="562"/>
      <c r="L194" s="558"/>
      <c r="M194" s="366"/>
      <c r="N194" s="366"/>
    </row>
    <row r="195" spans="1:30" outlineLevel="1">
      <c r="B195" s="565"/>
      <c r="C195" s="559"/>
      <c r="D195" s="560"/>
      <c r="E195" s="560"/>
      <c r="F195" s="561"/>
      <c r="G195" s="561"/>
      <c r="H195" s="561"/>
      <c r="I195" s="561"/>
      <c r="J195" s="561"/>
      <c r="K195" s="562"/>
      <c r="L195" s="558"/>
      <c r="M195" s="362"/>
      <c r="N195" s="362"/>
    </row>
    <row r="196" spans="1:30" ht="15" outlineLevel="1" thickBot="1">
      <c r="B196" s="566"/>
      <c r="C196" s="567"/>
      <c r="D196" s="567"/>
      <c r="E196" s="567"/>
      <c r="F196" s="567"/>
      <c r="G196" s="567"/>
      <c r="H196" s="567"/>
      <c r="I196" s="567"/>
      <c r="J196" s="567"/>
      <c r="K196" s="567"/>
      <c r="L196" s="568"/>
      <c r="M196" s="362"/>
      <c r="N196" s="362"/>
    </row>
    <row r="197" spans="1:30" outlineLevel="1">
      <c r="B197" s="460"/>
      <c r="C197" s="482"/>
      <c r="D197" s="482"/>
      <c r="E197" s="482"/>
      <c r="F197" s="482"/>
      <c r="G197" s="482"/>
      <c r="H197" s="483"/>
      <c r="I197" s="419"/>
      <c r="J197" s="419"/>
      <c r="K197" s="483"/>
      <c r="L197" s="483"/>
      <c r="N197" s="419"/>
    </row>
    <row r="198" spans="1:30" outlineLevel="1">
      <c r="B198" s="484"/>
      <c r="C198" s="485"/>
      <c r="D198" s="485"/>
      <c r="E198" s="485"/>
      <c r="F198" s="485"/>
      <c r="G198" s="485"/>
      <c r="H198" s="483"/>
      <c r="I198" s="71"/>
      <c r="J198" s="419"/>
      <c r="K198" s="483"/>
      <c r="L198" s="483"/>
      <c r="N198" s="419"/>
    </row>
    <row r="199" spans="1:30" outlineLevel="1">
      <c r="B199" s="460"/>
      <c r="C199" s="358"/>
      <c r="D199" s="358"/>
      <c r="E199" s="358"/>
      <c r="F199" s="358"/>
      <c r="G199" s="358"/>
      <c r="I199" s="419"/>
      <c r="J199" s="419"/>
      <c r="N199" s="419"/>
    </row>
    <row r="200" spans="1:30" outlineLevel="1">
      <c r="B200" s="460"/>
      <c r="C200" s="486"/>
      <c r="D200" s="486"/>
      <c r="E200" s="486"/>
      <c r="F200" s="486"/>
      <c r="G200" s="358"/>
      <c r="M200" s="419"/>
      <c r="N200" s="419"/>
    </row>
    <row r="201" spans="1:30" outlineLevel="1"/>
    <row r="202" spans="1:30" outlineLevel="1">
      <c r="A202" s="487"/>
      <c r="B202" s="488"/>
      <c r="D202" s="489"/>
      <c r="E202" s="489"/>
      <c r="F202" s="489"/>
      <c r="G202" s="357"/>
      <c r="H202" s="357"/>
      <c r="I202" s="357"/>
      <c r="J202" s="357"/>
      <c r="K202" s="357"/>
      <c r="L202" s="357"/>
      <c r="N202" s="569"/>
      <c r="O202" s="488"/>
      <c r="P202" s="489"/>
    </row>
    <row r="203" spans="1:30" outlineLevel="1">
      <c r="A203" s="490"/>
      <c r="B203" s="491"/>
      <c r="D203" s="489"/>
      <c r="E203" s="489"/>
      <c r="F203" s="489"/>
      <c r="G203" s="357"/>
      <c r="H203" s="357"/>
      <c r="I203" s="357"/>
      <c r="J203" s="357"/>
      <c r="K203" s="357"/>
      <c r="L203" s="357"/>
      <c r="N203" s="569"/>
      <c r="O203" s="488"/>
      <c r="P203" s="489"/>
    </row>
    <row r="204" spans="1:30" outlineLevel="1">
      <c r="A204" s="490"/>
      <c r="B204" s="492"/>
      <c r="D204" s="489"/>
      <c r="E204" s="489"/>
      <c r="F204" s="489"/>
      <c r="G204" s="357"/>
      <c r="H204" s="357"/>
      <c r="I204" s="357"/>
      <c r="J204" s="357"/>
      <c r="K204" s="357"/>
      <c r="L204" s="357"/>
      <c r="N204" s="569"/>
      <c r="O204" s="488"/>
      <c r="P204" s="489"/>
    </row>
    <row r="205" spans="1:30" outlineLevel="1">
      <c r="A205" s="490"/>
      <c r="B205" s="492"/>
      <c r="D205" s="489"/>
      <c r="E205" s="489"/>
      <c r="F205" s="489"/>
      <c r="G205" s="357"/>
      <c r="H205" s="357"/>
      <c r="I205" s="357"/>
      <c r="J205" s="357"/>
      <c r="K205" s="357"/>
      <c r="L205" s="357"/>
      <c r="N205" s="569"/>
      <c r="O205" s="488"/>
      <c r="P205" s="489"/>
    </row>
    <row r="206" spans="1:30" outlineLevel="1">
      <c r="A206" s="490"/>
      <c r="B206" s="492"/>
      <c r="D206" s="489"/>
      <c r="E206" s="489"/>
      <c r="F206" s="489"/>
      <c r="G206" s="357"/>
      <c r="H206" s="357"/>
      <c r="I206" s="357"/>
      <c r="J206" s="357"/>
      <c r="K206" s="357"/>
      <c r="L206" s="357"/>
      <c r="N206" s="569"/>
      <c r="O206" s="488"/>
      <c r="P206" s="489"/>
    </row>
    <row r="207" spans="1:30" outlineLevel="1">
      <c r="A207" s="357"/>
      <c r="B207" s="493"/>
      <c r="D207" s="489"/>
      <c r="E207" s="489"/>
      <c r="F207" s="489"/>
      <c r="G207" s="357"/>
      <c r="H207" s="357"/>
      <c r="I207" s="357"/>
      <c r="J207" s="357"/>
      <c r="K207" s="357"/>
      <c r="L207" s="357"/>
    </row>
    <row r="208" spans="1:30" outlineLevel="1">
      <c r="A208" s="357"/>
      <c r="B208" s="491"/>
      <c r="D208" s="489"/>
      <c r="E208" s="489"/>
      <c r="F208" s="489"/>
      <c r="G208" s="357"/>
      <c r="H208" s="357"/>
      <c r="I208" s="357"/>
      <c r="J208" s="357"/>
      <c r="K208" s="357"/>
      <c r="L208" s="357"/>
    </row>
    <row r="209" spans="1:16" outlineLevel="1">
      <c r="A209" s="357"/>
      <c r="B209" s="494"/>
      <c r="D209" s="489"/>
      <c r="E209" s="489"/>
      <c r="F209" s="489"/>
      <c r="G209" s="357"/>
      <c r="H209" s="357"/>
      <c r="I209" s="357"/>
      <c r="J209" s="357"/>
      <c r="K209" s="357"/>
      <c r="L209" s="357"/>
    </row>
    <row r="210" spans="1:16" outlineLevel="1">
      <c r="A210" s="357"/>
      <c r="B210" s="494"/>
      <c r="D210" s="489"/>
      <c r="E210" s="489"/>
      <c r="F210" s="489"/>
      <c r="G210" s="357"/>
      <c r="H210" s="357"/>
      <c r="I210" s="357"/>
      <c r="J210" s="357"/>
      <c r="K210" s="357"/>
      <c r="L210" s="357"/>
    </row>
    <row r="211" spans="1:16" outlineLevel="1">
      <c r="A211" s="357"/>
      <c r="B211" s="488"/>
      <c r="D211" s="489"/>
      <c r="E211" s="489"/>
      <c r="F211" s="489"/>
      <c r="G211" s="357"/>
      <c r="H211" s="357"/>
      <c r="I211" s="357"/>
      <c r="J211" s="357"/>
      <c r="K211" s="357"/>
      <c r="L211" s="357"/>
    </row>
    <row r="212" spans="1:16" outlineLevel="1">
      <c r="A212" s="357"/>
      <c r="B212" s="489"/>
      <c r="D212" s="489"/>
      <c r="E212" s="489"/>
      <c r="F212" s="489"/>
      <c r="G212" s="357"/>
      <c r="H212" s="357"/>
      <c r="I212" s="357"/>
      <c r="J212" s="357"/>
      <c r="K212" s="357"/>
      <c r="L212" s="357"/>
    </row>
    <row r="213" spans="1:16" outlineLevel="1">
      <c r="A213" s="487"/>
      <c r="B213" s="488"/>
      <c r="D213" s="489"/>
      <c r="E213" s="489"/>
      <c r="F213" s="489"/>
      <c r="G213" s="357"/>
      <c r="H213" s="357"/>
      <c r="I213" s="357"/>
      <c r="J213" s="357"/>
      <c r="K213" s="357"/>
      <c r="L213" s="357"/>
    </row>
    <row r="214" spans="1:16" outlineLevel="1">
      <c r="A214" s="495"/>
      <c r="B214" s="496"/>
      <c r="C214" s="489"/>
      <c r="D214" s="489"/>
      <c r="E214" s="489"/>
      <c r="F214" s="489"/>
      <c r="G214" s="357"/>
      <c r="H214" s="357"/>
      <c r="I214" s="357"/>
      <c r="J214" s="357"/>
      <c r="K214" s="357"/>
      <c r="L214" s="357"/>
      <c r="N214" s="569"/>
      <c r="O214" s="488"/>
      <c r="P214" s="489"/>
    </row>
    <row r="215" spans="1:16" outlineLevel="1">
      <c r="A215" s="495"/>
      <c r="B215" s="488"/>
      <c r="C215" s="489"/>
      <c r="D215" s="489"/>
      <c r="E215" s="489"/>
      <c r="F215" s="489"/>
      <c r="G215" s="357"/>
      <c r="H215" s="357"/>
      <c r="I215" s="357"/>
      <c r="J215" s="357"/>
      <c r="K215" s="357"/>
      <c r="L215" s="357"/>
      <c r="N215" s="570"/>
      <c r="O215" s="488"/>
      <c r="P215" s="489"/>
    </row>
    <row r="216" spans="1:16" outlineLevel="1">
      <c r="A216" s="495"/>
      <c r="B216" s="488"/>
      <c r="C216" s="489"/>
      <c r="D216" s="489"/>
      <c r="E216" s="489"/>
      <c r="F216" s="489"/>
      <c r="G216" s="357"/>
      <c r="H216" s="357"/>
      <c r="I216" s="357"/>
      <c r="J216" s="357"/>
      <c r="K216" s="357"/>
      <c r="L216" s="357"/>
      <c r="N216" s="571"/>
      <c r="O216" s="488"/>
      <c r="P216" s="489"/>
    </row>
    <row r="217" spans="1:16" outlineLevel="1">
      <c r="A217" s="495"/>
      <c r="B217" s="488"/>
      <c r="C217" s="489"/>
      <c r="D217" s="489"/>
      <c r="E217" s="489"/>
      <c r="F217" s="489"/>
      <c r="G217" s="357"/>
      <c r="H217" s="357"/>
      <c r="I217" s="357"/>
      <c r="J217" s="357"/>
      <c r="K217" s="357"/>
      <c r="L217" s="357"/>
      <c r="N217" s="572"/>
      <c r="O217" s="488"/>
      <c r="P217" s="489"/>
    </row>
    <row r="218" spans="1:16" outlineLevel="1">
      <c r="A218" s="495"/>
      <c r="B218" s="497"/>
      <c r="C218" s="489"/>
      <c r="D218" s="489"/>
      <c r="E218" s="489"/>
      <c r="F218" s="489"/>
      <c r="G218" s="357"/>
      <c r="H218" s="357"/>
      <c r="I218" s="357"/>
      <c r="J218" s="357"/>
      <c r="K218" s="357"/>
      <c r="L218" s="357"/>
      <c r="N218" s="572"/>
      <c r="O218" s="489"/>
      <c r="P218" s="489"/>
    </row>
    <row r="219" spans="1:16" outlineLevel="1">
      <c r="A219" s="495"/>
      <c r="B219" s="488"/>
      <c r="C219" s="489"/>
      <c r="D219" s="489"/>
      <c r="E219" s="489"/>
      <c r="F219" s="489"/>
      <c r="G219" s="357"/>
      <c r="H219" s="357"/>
      <c r="I219" s="357"/>
      <c r="J219" s="357"/>
      <c r="K219" s="357"/>
      <c r="L219" s="357"/>
      <c r="N219" s="488"/>
      <c r="O219" s="489"/>
      <c r="P219" s="489"/>
    </row>
    <row r="220" spans="1:16" outlineLevel="1">
      <c r="A220" s="495"/>
      <c r="B220" s="488"/>
      <c r="C220" s="489"/>
      <c r="D220" s="489"/>
      <c r="E220" s="489"/>
      <c r="F220" s="489"/>
      <c r="G220" s="357"/>
      <c r="H220" s="357"/>
      <c r="I220" s="357"/>
      <c r="J220" s="357"/>
      <c r="K220" s="357"/>
      <c r="L220" s="357"/>
      <c r="N220" s="489"/>
      <c r="O220" s="489"/>
      <c r="P220" s="489"/>
    </row>
    <row r="221" spans="1:16" outlineLevel="1"/>
    <row r="222" spans="1:16" outlineLevel="1"/>
    <row r="224" spans="1:16" ht="15" thickBot="1">
      <c r="A224" s="359"/>
    </row>
    <row r="225" spans="2:44" ht="20.55" customHeight="1" outlineLevel="1" thickBot="1">
      <c r="B225" s="361"/>
      <c r="C225" s="1183"/>
      <c r="D225" s="1202"/>
      <c r="E225" s="1202"/>
      <c r="F225" s="1202"/>
      <c r="G225" s="1202"/>
      <c r="H225" s="1202"/>
      <c r="I225" s="1202"/>
      <c r="J225" s="1202"/>
      <c r="K225" s="1202"/>
      <c r="L225" s="1203"/>
      <c r="M225" s="362"/>
      <c r="N225" s="362"/>
      <c r="P225" s="363"/>
      <c r="Q225" s="364"/>
      <c r="R225" s="365"/>
      <c r="S225" s="1173"/>
      <c r="T225" s="1157"/>
      <c r="U225" s="1158"/>
      <c r="V225" s="1157"/>
      <c r="W225" s="1158"/>
      <c r="X225" s="1157"/>
      <c r="Y225" s="1158"/>
      <c r="Z225" s="1157"/>
      <c r="AA225" s="1158"/>
      <c r="AB225" s="1157"/>
      <c r="AC225" s="1158"/>
      <c r="AE225" s="363"/>
      <c r="AF225" s="364"/>
      <c r="AG225" s="365"/>
      <c r="AH225" s="1173"/>
      <c r="AI225" s="1157"/>
      <c r="AJ225" s="1158"/>
      <c r="AK225" s="1157"/>
      <c r="AL225" s="1158"/>
      <c r="AM225" s="1157"/>
      <c r="AN225" s="1158"/>
      <c r="AO225" s="1157"/>
      <c r="AP225" s="1158"/>
      <c r="AQ225" s="1157"/>
      <c r="AR225" s="1158"/>
    </row>
    <row r="226" spans="2:44" ht="15" customHeight="1" outlineLevel="1" thickBot="1">
      <c r="B226" s="1161"/>
      <c r="C226" s="1163"/>
      <c r="D226" s="1163"/>
      <c r="E226" s="1163"/>
      <c r="F226" s="1163"/>
      <c r="G226" s="1165"/>
      <c r="H226" s="1166"/>
      <c r="I226" s="1165"/>
      <c r="J226" s="1166"/>
      <c r="K226" s="1186"/>
      <c r="L226" s="1186"/>
      <c r="M226" s="366"/>
      <c r="N226" s="366"/>
      <c r="P226" s="1177"/>
      <c r="Q226" s="367"/>
      <c r="R226" s="367"/>
      <c r="S226" s="1174"/>
      <c r="T226" s="1159"/>
      <c r="U226" s="1160"/>
      <c r="V226" s="1159"/>
      <c r="W226" s="1160"/>
      <c r="X226" s="1159"/>
      <c r="Y226" s="1160"/>
      <c r="Z226" s="1159"/>
      <c r="AA226" s="1160"/>
      <c r="AB226" s="1159"/>
      <c r="AC226" s="1160"/>
      <c r="AE226" s="1177"/>
      <c r="AF226" s="367"/>
      <c r="AG226" s="367"/>
      <c r="AH226" s="1174"/>
      <c r="AI226" s="1159"/>
      <c r="AJ226" s="1160"/>
      <c r="AK226" s="1159"/>
      <c r="AL226" s="1160"/>
      <c r="AM226" s="1159"/>
      <c r="AN226" s="1160"/>
      <c r="AO226" s="1159"/>
      <c r="AP226" s="1160"/>
      <c r="AQ226" s="1159"/>
      <c r="AR226" s="1160"/>
    </row>
    <row r="227" spans="2:44" ht="15" customHeight="1" outlineLevel="1" thickBot="1">
      <c r="B227" s="1162"/>
      <c r="C227" s="1164"/>
      <c r="D227" s="1164"/>
      <c r="E227" s="1164"/>
      <c r="F227" s="1164"/>
      <c r="G227" s="405"/>
      <c r="H227" s="405"/>
      <c r="I227" s="405"/>
      <c r="J227" s="405"/>
      <c r="K227" s="1187"/>
      <c r="L227" s="1187"/>
      <c r="M227" s="369"/>
      <c r="N227" s="369"/>
      <c r="P227" s="1178"/>
      <c r="Q227" s="1180"/>
      <c r="R227" s="1181"/>
      <c r="S227" s="1175"/>
      <c r="T227" s="1159"/>
      <c r="U227" s="1160"/>
      <c r="V227" s="1159"/>
      <c r="W227" s="1160"/>
      <c r="X227" s="1159"/>
      <c r="Y227" s="1160"/>
      <c r="Z227" s="1159"/>
      <c r="AA227" s="1160"/>
      <c r="AB227" s="1159"/>
      <c r="AC227" s="1160"/>
      <c r="AE227" s="1178"/>
      <c r="AF227" s="1194"/>
      <c r="AG227" s="1181"/>
      <c r="AH227" s="1175"/>
      <c r="AI227" s="1159"/>
      <c r="AJ227" s="1160"/>
      <c r="AK227" s="1159"/>
      <c r="AL227" s="1160"/>
      <c r="AM227" s="1159"/>
      <c r="AN227" s="1160"/>
      <c r="AO227" s="1159"/>
      <c r="AP227" s="1160"/>
      <c r="AQ227" s="1159"/>
      <c r="AR227" s="1160"/>
    </row>
    <row r="228" spans="2:44" ht="15" outlineLevel="1" thickBot="1">
      <c r="B228" s="370"/>
      <c r="C228" s="371"/>
      <c r="D228" s="371"/>
      <c r="E228" s="371"/>
      <c r="F228" s="371"/>
      <c r="G228" s="371"/>
      <c r="H228" s="371"/>
      <c r="I228" s="371"/>
      <c r="J228" s="371"/>
      <c r="K228" s="371"/>
      <c r="L228" s="372"/>
      <c r="M228" s="369"/>
      <c r="N228" s="369"/>
      <c r="O228" s="74"/>
      <c r="P228" s="1179"/>
      <c r="Q228" s="1176"/>
      <c r="R228" s="1182"/>
      <c r="S228" s="1176"/>
      <c r="T228" s="373"/>
      <c r="U228" s="374"/>
      <c r="V228" s="373"/>
      <c r="W228" s="374"/>
      <c r="X228" s="373"/>
      <c r="Y228" s="374"/>
      <c r="Z228" s="373"/>
      <c r="AA228" s="374"/>
      <c r="AB228" s="373"/>
      <c r="AC228" s="374"/>
      <c r="AE228" s="1179"/>
      <c r="AF228" s="1195"/>
      <c r="AG228" s="1182"/>
      <c r="AH228" s="1176"/>
      <c r="AI228" s="373"/>
      <c r="AJ228" s="374"/>
      <c r="AK228" s="373"/>
      <c r="AL228" s="374"/>
      <c r="AM228" s="373"/>
      <c r="AN228" s="374"/>
      <c r="AO228" s="373"/>
      <c r="AP228" s="374"/>
      <c r="AQ228" s="373"/>
      <c r="AR228" s="374"/>
    </row>
    <row r="229" spans="2:44" ht="14.55" customHeight="1" outlineLevel="1">
      <c r="B229" s="540"/>
      <c r="C229" s="541"/>
      <c r="D229" s="541"/>
      <c r="E229" s="542"/>
      <c r="F229" s="541"/>
      <c r="G229" s="541"/>
      <c r="H229" s="541"/>
      <c r="I229" s="541"/>
      <c r="J229" s="541"/>
      <c r="K229" s="546"/>
      <c r="L229" s="547"/>
      <c r="M229" s="369"/>
      <c r="N229" s="369"/>
      <c r="P229" s="1145"/>
      <c r="Q229" s="1151"/>
      <c r="R229" s="380"/>
      <c r="S229" s="381"/>
      <c r="T229" s="1134"/>
      <c r="U229" s="1148"/>
      <c r="V229" s="1134"/>
      <c r="W229" s="1148"/>
      <c r="X229" s="1134"/>
      <c r="Y229" s="1148"/>
      <c r="Z229" s="1134"/>
      <c r="AA229" s="1148"/>
      <c r="AB229" s="1134"/>
      <c r="AC229" s="1148"/>
      <c r="AE229" s="1145"/>
      <c r="AF229" s="1151"/>
      <c r="AG229" s="380"/>
      <c r="AH229" s="381"/>
      <c r="AI229" s="1134"/>
      <c r="AJ229" s="1148"/>
      <c r="AK229" s="1134"/>
      <c r="AL229" s="1148"/>
      <c r="AM229" s="1134"/>
      <c r="AN229" s="1148"/>
      <c r="AO229" s="1134"/>
      <c r="AP229" s="1148"/>
      <c r="AQ229" s="1134"/>
      <c r="AR229" s="1148"/>
    </row>
    <row r="230" spans="2:44" outlineLevel="1">
      <c r="B230" s="382"/>
      <c r="C230" s="383"/>
      <c r="D230" s="383"/>
      <c r="E230" s="383"/>
      <c r="F230" s="383"/>
      <c r="G230" s="504"/>
      <c r="H230" s="504"/>
      <c r="I230" s="504"/>
      <c r="J230" s="504"/>
      <c r="K230" s="371"/>
      <c r="L230" s="372"/>
      <c r="M230" s="369"/>
      <c r="N230" s="369"/>
      <c r="O230" s="71"/>
      <c r="P230" s="1192"/>
      <c r="Q230" s="1152"/>
      <c r="R230" s="387"/>
      <c r="S230" s="388"/>
      <c r="T230" s="1137"/>
      <c r="U230" s="1149"/>
      <c r="V230" s="1137"/>
      <c r="W230" s="1149"/>
      <c r="X230" s="1137"/>
      <c r="Y230" s="1149"/>
      <c r="Z230" s="1137"/>
      <c r="AA230" s="1149"/>
      <c r="AB230" s="1137"/>
      <c r="AC230" s="1149"/>
      <c r="AE230" s="1192"/>
      <c r="AF230" s="1152"/>
      <c r="AG230" s="387"/>
      <c r="AH230" s="388"/>
      <c r="AI230" s="1137"/>
      <c r="AJ230" s="1149"/>
      <c r="AK230" s="1137"/>
      <c r="AL230" s="1149"/>
      <c r="AM230" s="1137"/>
      <c r="AN230" s="1149"/>
      <c r="AO230" s="1137"/>
      <c r="AP230" s="1149"/>
      <c r="AQ230" s="1137"/>
      <c r="AR230" s="1149"/>
    </row>
    <row r="231" spans="2:44" ht="15" outlineLevel="1" thickBot="1">
      <c r="B231" s="540"/>
      <c r="C231" s="543"/>
      <c r="D231" s="544"/>
      <c r="E231" s="544"/>
      <c r="F231" s="545"/>
      <c r="G231" s="544"/>
      <c r="H231" s="544"/>
      <c r="I231" s="544"/>
      <c r="J231" s="544"/>
      <c r="K231" s="546"/>
      <c r="L231" s="547"/>
      <c r="M231" s="369"/>
      <c r="N231" s="369"/>
      <c r="O231" s="71"/>
      <c r="P231" s="1192"/>
      <c r="Q231" s="1153"/>
      <c r="R231" s="392"/>
      <c r="S231" s="393"/>
      <c r="T231" s="1138"/>
      <c r="U231" s="1150"/>
      <c r="V231" s="1138"/>
      <c r="W231" s="1150"/>
      <c r="X231" s="1138"/>
      <c r="Y231" s="1150"/>
      <c r="Z231" s="1138"/>
      <c r="AA231" s="1150"/>
      <c r="AB231" s="1138"/>
      <c r="AC231" s="1150"/>
      <c r="AE231" s="1192"/>
      <c r="AF231" s="1153"/>
      <c r="AG231" s="392"/>
      <c r="AH231" s="393"/>
      <c r="AI231" s="1138"/>
      <c r="AJ231" s="1150"/>
      <c r="AK231" s="1138"/>
      <c r="AL231" s="1150"/>
      <c r="AM231" s="1138"/>
      <c r="AN231" s="1150"/>
      <c r="AO231" s="1138"/>
      <c r="AP231" s="1150"/>
      <c r="AQ231" s="1138"/>
      <c r="AR231" s="1150"/>
    </row>
    <row r="232" spans="2:44" ht="14.55" customHeight="1" outlineLevel="1">
      <c r="B232" s="540"/>
      <c r="C232" s="543"/>
      <c r="D232" s="543"/>
      <c r="E232" s="543"/>
      <c r="F232" s="543"/>
      <c r="G232" s="543"/>
      <c r="H232" s="543"/>
      <c r="I232" s="543"/>
      <c r="J232" s="543"/>
      <c r="K232" s="546"/>
      <c r="L232" s="547"/>
      <c r="M232" s="369"/>
      <c r="N232" s="369"/>
      <c r="O232" s="71"/>
      <c r="P232" s="1192"/>
      <c r="Q232" s="1151"/>
      <c r="R232" s="394"/>
      <c r="S232" s="395"/>
      <c r="T232" s="1134"/>
      <c r="U232" s="1134"/>
      <c r="V232" s="1134"/>
      <c r="W232" s="1134"/>
      <c r="X232" s="1134"/>
      <c r="Y232" s="1134"/>
      <c r="Z232" s="1134"/>
      <c r="AA232" s="1134"/>
      <c r="AB232" s="1134"/>
      <c r="AC232" s="1134"/>
      <c r="AE232" s="1192"/>
      <c r="AF232" s="1151"/>
      <c r="AG232" s="394"/>
      <c r="AH232" s="395"/>
      <c r="AI232" s="1134"/>
      <c r="AJ232" s="1134"/>
      <c r="AK232" s="1134"/>
      <c r="AL232" s="1134"/>
      <c r="AM232" s="1134"/>
      <c r="AN232" s="1134"/>
      <c r="AO232" s="1134"/>
      <c r="AP232" s="1134"/>
      <c r="AQ232" s="1134"/>
      <c r="AR232" s="1134"/>
    </row>
    <row r="233" spans="2:44" outlineLevel="1">
      <c r="B233" s="540"/>
      <c r="C233" s="543"/>
      <c r="D233" s="543"/>
      <c r="E233" s="543"/>
      <c r="F233" s="543"/>
      <c r="G233" s="543"/>
      <c r="H233" s="543"/>
      <c r="I233" s="543"/>
      <c r="J233" s="543"/>
      <c r="K233" s="546"/>
      <c r="L233" s="547"/>
      <c r="M233" s="366"/>
      <c r="N233" s="366"/>
      <c r="O233" s="71"/>
      <c r="P233" s="1192"/>
      <c r="Q233" s="1152"/>
      <c r="R233" s="394"/>
      <c r="S233" s="395"/>
      <c r="T233" s="1135"/>
      <c r="U233" s="1135"/>
      <c r="V233" s="1135"/>
      <c r="W233" s="1135"/>
      <c r="X233" s="1135"/>
      <c r="Y233" s="1135"/>
      <c r="Z233" s="1135"/>
      <c r="AA233" s="1135"/>
      <c r="AB233" s="1135"/>
      <c r="AC233" s="1135"/>
      <c r="AE233" s="1192"/>
      <c r="AF233" s="1152"/>
      <c r="AG233" s="394"/>
      <c r="AH233" s="395"/>
      <c r="AI233" s="1135"/>
      <c r="AJ233" s="1135"/>
      <c r="AK233" s="1135"/>
      <c r="AL233" s="1135"/>
      <c r="AM233" s="1135"/>
      <c r="AN233" s="1135"/>
      <c r="AO233" s="1135"/>
      <c r="AP233" s="1135"/>
      <c r="AQ233" s="1135"/>
      <c r="AR233" s="1135"/>
    </row>
    <row r="234" spans="2:44" outlineLevel="1">
      <c r="B234" s="382"/>
      <c r="C234" s="396"/>
      <c r="D234" s="396"/>
      <c r="E234" s="396"/>
      <c r="F234" s="396"/>
      <c r="G234" s="398"/>
      <c r="H234" s="398"/>
      <c r="I234" s="398"/>
      <c r="J234" s="398"/>
      <c r="K234" s="371"/>
      <c r="L234" s="372"/>
      <c r="M234" s="362"/>
      <c r="N234" s="362"/>
      <c r="P234" s="1192"/>
      <c r="Q234" s="1152"/>
      <c r="R234" s="394"/>
      <c r="S234" s="395"/>
      <c r="T234" s="1135"/>
      <c r="U234" s="1135"/>
      <c r="V234" s="1135"/>
      <c r="W234" s="1135"/>
      <c r="X234" s="1135"/>
      <c r="Y234" s="1135"/>
      <c r="Z234" s="1135"/>
      <c r="AA234" s="1135"/>
      <c r="AB234" s="1135"/>
      <c r="AC234" s="1135"/>
      <c r="AE234" s="1192"/>
      <c r="AF234" s="1152"/>
      <c r="AG234" s="394"/>
      <c r="AH234" s="395"/>
      <c r="AI234" s="1135"/>
      <c r="AJ234" s="1135"/>
      <c r="AK234" s="1135"/>
      <c r="AL234" s="1135"/>
      <c r="AM234" s="1135"/>
      <c r="AN234" s="1135"/>
      <c r="AO234" s="1135"/>
      <c r="AP234" s="1135"/>
      <c r="AQ234" s="1135"/>
      <c r="AR234" s="1135"/>
    </row>
    <row r="235" spans="2:44" ht="15" outlineLevel="1" thickBot="1">
      <c r="B235" s="540"/>
      <c r="C235" s="543"/>
      <c r="D235" s="543"/>
      <c r="E235" s="543"/>
      <c r="F235" s="543"/>
      <c r="G235" s="543"/>
      <c r="H235" s="543"/>
      <c r="I235" s="543"/>
      <c r="J235" s="543"/>
      <c r="K235" s="546"/>
      <c r="L235" s="558"/>
      <c r="M235" s="362"/>
      <c r="N235" s="362"/>
      <c r="P235" s="1192"/>
      <c r="Q235" s="1152"/>
      <c r="R235" s="394"/>
      <c r="S235" s="395"/>
      <c r="T235" s="1135"/>
      <c r="U235" s="1135"/>
      <c r="V235" s="1135"/>
      <c r="W235" s="1135"/>
      <c r="X235" s="1135"/>
      <c r="Y235" s="1135"/>
      <c r="Z235" s="1135"/>
      <c r="AA235" s="1135"/>
      <c r="AB235" s="1135"/>
      <c r="AC235" s="1135"/>
      <c r="AE235" s="1192"/>
      <c r="AF235" s="1152"/>
      <c r="AG235" s="394"/>
      <c r="AH235" s="395"/>
      <c r="AI235" s="1135"/>
      <c r="AJ235" s="1135"/>
      <c r="AK235" s="1135"/>
      <c r="AL235" s="1135"/>
      <c r="AM235" s="1135"/>
      <c r="AN235" s="1135"/>
      <c r="AO235" s="1135"/>
      <c r="AP235" s="1135"/>
      <c r="AQ235" s="1135"/>
      <c r="AR235" s="1135"/>
    </row>
    <row r="236" spans="2:44" ht="15" outlineLevel="1" thickBot="1">
      <c r="B236" s="400"/>
      <c r="C236" s="401"/>
      <c r="D236" s="402"/>
      <c r="E236" s="403"/>
      <c r="F236" s="404"/>
      <c r="G236" s="405"/>
      <c r="H236" s="405"/>
      <c r="I236" s="405"/>
      <c r="J236" s="405"/>
      <c r="K236" s="406"/>
      <c r="L236" s="407"/>
      <c r="M236" s="362"/>
      <c r="N236" s="362"/>
      <c r="P236" s="1192"/>
      <c r="Q236" s="1152"/>
      <c r="R236" s="408"/>
      <c r="S236" s="409"/>
      <c r="T236" s="1136"/>
      <c r="U236" s="1136"/>
      <c r="V236" s="1136"/>
      <c r="W236" s="1136"/>
      <c r="X236" s="1136"/>
      <c r="Y236" s="1136"/>
      <c r="Z236" s="1136"/>
      <c r="AA236" s="1136"/>
      <c r="AB236" s="1136"/>
      <c r="AC236" s="1136"/>
      <c r="AE236" s="1192"/>
      <c r="AF236" s="1152"/>
      <c r="AG236" s="408"/>
      <c r="AH236" s="409"/>
      <c r="AI236" s="1136"/>
      <c r="AJ236" s="1136"/>
      <c r="AK236" s="1136"/>
      <c r="AL236" s="1136"/>
      <c r="AM236" s="1136"/>
      <c r="AN236" s="1136"/>
      <c r="AO236" s="1136"/>
      <c r="AP236" s="1136"/>
      <c r="AQ236" s="1136"/>
      <c r="AR236" s="1136"/>
    </row>
    <row r="237" spans="2:44" ht="15" outlineLevel="1" thickBot="1">
      <c r="B237" s="540"/>
      <c r="C237" s="543"/>
      <c r="D237" s="543"/>
      <c r="E237" s="543"/>
      <c r="F237" s="543"/>
      <c r="G237" s="544"/>
      <c r="H237" s="544"/>
      <c r="I237" s="544"/>
      <c r="J237" s="544"/>
      <c r="K237" s="546"/>
      <c r="L237" s="547"/>
      <c r="M237" s="362"/>
      <c r="N237" s="362"/>
      <c r="P237" s="1193"/>
      <c r="Q237" s="410"/>
      <c r="R237" s="411"/>
      <c r="S237" s="412"/>
      <c r="T237" s="413"/>
      <c r="U237" s="414"/>
      <c r="V237" s="413"/>
      <c r="W237" s="414"/>
      <c r="X237" s="413"/>
      <c r="Y237" s="414"/>
      <c r="Z237" s="413"/>
      <c r="AA237" s="414"/>
      <c r="AB237" s="413"/>
      <c r="AC237" s="416"/>
      <c r="AE237" s="1193"/>
      <c r="AF237" s="410"/>
      <c r="AG237" s="411"/>
      <c r="AH237" s="412"/>
      <c r="AI237" s="413"/>
      <c r="AJ237" s="414"/>
      <c r="AK237" s="413"/>
      <c r="AL237" s="414"/>
      <c r="AM237" s="413"/>
      <c r="AN237" s="414"/>
      <c r="AO237" s="413"/>
      <c r="AP237" s="414"/>
      <c r="AQ237" s="413"/>
      <c r="AR237" s="416"/>
    </row>
    <row r="238" spans="2:44" outlineLevel="1">
      <c r="B238" s="540"/>
      <c r="C238" s="543"/>
      <c r="D238" s="543"/>
      <c r="E238" s="543"/>
      <c r="F238" s="543"/>
      <c r="G238" s="548"/>
      <c r="H238" s="548"/>
      <c r="I238" s="548"/>
      <c r="J238" s="548"/>
      <c r="K238" s="549"/>
      <c r="L238" s="547"/>
      <c r="M238" s="362"/>
      <c r="N238" s="362"/>
    </row>
    <row r="239" spans="2:44" outlineLevel="1">
      <c r="B239" s="540"/>
      <c r="C239" s="543"/>
      <c r="D239" s="543"/>
      <c r="E239" s="543"/>
      <c r="F239" s="543"/>
      <c r="G239" s="548"/>
      <c r="H239" s="548"/>
      <c r="I239" s="548"/>
      <c r="J239" s="548"/>
      <c r="K239" s="549"/>
      <c r="L239" s="547"/>
      <c r="M239" s="419"/>
      <c r="N239" s="362"/>
    </row>
    <row r="240" spans="2:44" outlineLevel="1">
      <c r="B240" s="420"/>
      <c r="C240" s="398"/>
      <c r="D240" s="398"/>
      <c r="E240" s="398"/>
      <c r="F240" s="398"/>
      <c r="G240" s="421"/>
      <c r="H240" s="421"/>
      <c r="I240" s="421"/>
      <c r="J240" s="421"/>
      <c r="K240" s="422"/>
      <c r="L240" s="423"/>
      <c r="M240" s="419"/>
      <c r="N240" s="419"/>
    </row>
    <row r="241" spans="1:30" outlineLevel="1">
      <c r="B241" s="382"/>
      <c r="C241" s="396"/>
      <c r="D241" s="396"/>
      <c r="E241" s="396"/>
      <c r="F241" s="396"/>
      <c r="G241" s="421"/>
      <c r="H241" s="424"/>
      <c r="I241" s="424"/>
      <c r="J241" s="424"/>
      <c r="K241" s="425"/>
      <c r="L241" s="426"/>
      <c r="M241" s="427"/>
      <c r="N241" s="427"/>
    </row>
    <row r="242" spans="1:30" outlineLevel="1">
      <c r="B242" s="382"/>
      <c r="C242" s="396"/>
      <c r="D242" s="396"/>
      <c r="E242" s="396"/>
      <c r="F242" s="396"/>
      <c r="G242" s="424"/>
      <c r="H242" s="424"/>
      <c r="I242" s="424"/>
      <c r="J242" s="424"/>
      <c r="K242" s="422"/>
      <c r="L242" s="426"/>
      <c r="M242" s="427"/>
      <c r="N242" s="427"/>
    </row>
    <row r="243" spans="1:30" outlineLevel="1">
      <c r="B243" s="382"/>
      <c r="C243" s="396"/>
      <c r="D243" s="396"/>
      <c r="E243" s="396"/>
      <c r="F243" s="396"/>
      <c r="G243" s="424"/>
      <c r="H243" s="424"/>
      <c r="I243" s="424"/>
      <c r="J243" s="424"/>
      <c r="K243" s="422"/>
      <c r="L243" s="426"/>
      <c r="M243" s="427"/>
      <c r="N243" s="427"/>
    </row>
    <row r="244" spans="1:30" outlineLevel="1">
      <c r="B244" s="382"/>
      <c r="C244" s="396"/>
      <c r="D244" s="396"/>
      <c r="E244" s="396"/>
      <c r="F244" s="396"/>
      <c r="G244" s="424"/>
      <c r="H244" s="424"/>
      <c r="I244" s="424"/>
      <c r="J244" s="424"/>
      <c r="K244" s="422"/>
      <c r="L244" s="426"/>
      <c r="M244" s="427"/>
      <c r="N244" s="427"/>
    </row>
    <row r="245" spans="1:30" ht="15" outlineLevel="1" thickBot="1">
      <c r="B245" s="428"/>
      <c r="C245" s="429"/>
      <c r="D245" s="429"/>
      <c r="E245" s="429"/>
      <c r="F245" s="429"/>
      <c r="G245" s="424"/>
      <c r="H245" s="424"/>
      <c r="I245" s="424"/>
      <c r="J245" s="424"/>
      <c r="K245" s="422"/>
      <c r="L245" s="426"/>
      <c r="M245" s="427"/>
      <c r="N245" s="427"/>
    </row>
    <row r="246" spans="1:30" ht="15" outlineLevel="1" thickBot="1">
      <c r="B246" s="430"/>
      <c r="C246" s="431"/>
      <c r="D246" s="402"/>
      <c r="E246" s="402"/>
      <c r="F246" s="432"/>
      <c r="G246" s="433"/>
      <c r="H246" s="405"/>
      <c r="I246" s="405"/>
      <c r="J246" s="405"/>
      <c r="K246" s="406"/>
      <c r="L246" s="407"/>
      <c r="M246" s="427"/>
      <c r="N246" s="427"/>
    </row>
    <row r="247" spans="1:30" outlineLevel="1">
      <c r="A247" s="434"/>
      <c r="B247" s="435"/>
      <c r="C247" s="550"/>
      <c r="D247" s="511"/>
      <c r="E247" s="511"/>
      <c r="F247" s="512"/>
      <c r="G247" s="424"/>
      <c r="H247" s="424"/>
      <c r="I247" s="424"/>
      <c r="J247" s="424"/>
      <c r="K247" s="425"/>
      <c r="L247" s="439"/>
      <c r="M247" s="419"/>
      <c r="N247" s="419"/>
    </row>
    <row r="248" spans="1:30" outlineLevel="1">
      <c r="B248" s="440"/>
      <c r="C248" s="442"/>
      <c r="D248" s="441"/>
      <c r="E248" s="441"/>
      <c r="F248" s="441"/>
      <c r="G248" s="424"/>
      <c r="H248" s="424"/>
      <c r="I248" s="424"/>
      <c r="J248" s="424"/>
      <c r="K248" s="443"/>
      <c r="L248" s="372"/>
      <c r="M248" s="71"/>
      <c r="N248" s="419"/>
    </row>
    <row r="249" spans="1:30" outlineLevel="1">
      <c r="B249" s="440"/>
      <c r="C249" s="442"/>
      <c r="D249" s="442"/>
      <c r="E249" s="442"/>
      <c r="F249" s="442"/>
      <c r="G249" s="424"/>
      <c r="H249" s="424"/>
      <c r="I249" s="424"/>
      <c r="J249" s="424"/>
      <c r="K249" s="443"/>
      <c r="L249" s="372"/>
      <c r="M249" s="419"/>
      <c r="N249" s="419"/>
    </row>
    <row r="250" spans="1:30" outlineLevel="1">
      <c r="B250" s="382"/>
      <c r="C250" s="444"/>
      <c r="D250" s="445"/>
      <c r="E250" s="445"/>
      <c r="F250" s="446"/>
      <c r="G250" s="424"/>
      <c r="H250" s="424"/>
      <c r="I250" s="424"/>
      <c r="J250" s="424"/>
      <c r="K250" s="447"/>
      <c r="L250" s="372"/>
      <c r="M250" s="419"/>
      <c r="N250" s="419"/>
    </row>
    <row r="251" spans="1:30" outlineLevel="1">
      <c r="B251" s="382"/>
      <c r="C251" s="448"/>
      <c r="D251" s="448"/>
      <c r="E251" s="448"/>
      <c r="F251" s="448"/>
      <c r="G251" s="424"/>
      <c r="H251" s="424"/>
      <c r="I251" s="424"/>
      <c r="J251" s="424"/>
      <c r="K251" s="447"/>
      <c r="L251" s="372"/>
      <c r="M251" s="449"/>
      <c r="N251" s="360"/>
      <c r="P251" s="1139"/>
      <c r="Q251" s="1140"/>
      <c r="R251" s="1140"/>
      <c r="S251" s="1140"/>
      <c r="T251" s="1140"/>
      <c r="U251" s="1141"/>
    </row>
    <row r="252" spans="1:30" ht="15" outlineLevel="1" thickBot="1">
      <c r="B252" s="540"/>
      <c r="C252" s="551"/>
      <c r="D252" s="551"/>
      <c r="E252" s="551"/>
      <c r="F252" s="551"/>
      <c r="G252" s="424"/>
      <c r="H252" s="424"/>
      <c r="I252" s="424"/>
      <c r="J252" s="424"/>
      <c r="K252" s="443"/>
      <c r="L252" s="372"/>
      <c r="M252" s="449"/>
      <c r="N252" s="360"/>
      <c r="P252" s="1131"/>
      <c r="Q252" s="1132"/>
      <c r="R252" s="1132"/>
      <c r="S252" s="1132"/>
      <c r="T252" s="1132"/>
      <c r="U252" s="1133"/>
    </row>
    <row r="253" spans="1:30" outlineLevel="1">
      <c r="B253" s="540"/>
      <c r="C253" s="553"/>
      <c r="D253" s="553"/>
      <c r="E253" s="553"/>
      <c r="F253" s="553"/>
      <c r="G253" s="424"/>
      <c r="H253" s="424"/>
      <c r="I253" s="424"/>
      <c r="J253" s="424"/>
      <c r="K253" s="447"/>
      <c r="L253" s="372"/>
      <c r="M253" s="362"/>
      <c r="N253" s="362"/>
      <c r="P253" s="53"/>
    </row>
    <row r="254" spans="1:30" outlineLevel="1">
      <c r="B254" s="440"/>
      <c r="C254" s="517"/>
      <c r="D254" s="517"/>
      <c r="E254" s="517"/>
      <c r="F254" s="517"/>
      <c r="G254" s="424"/>
      <c r="H254" s="424"/>
      <c r="I254" s="424"/>
      <c r="J254" s="424"/>
      <c r="K254" s="443"/>
      <c r="L254" s="423"/>
      <c r="M254" s="366"/>
      <c r="N254" s="366"/>
      <c r="P254" s="46"/>
      <c r="Q254" s="46"/>
      <c r="R254" s="47"/>
      <c r="S254" s="47"/>
      <c r="T254" s="47"/>
      <c r="U254" s="48"/>
      <c r="V254" s="49"/>
      <c r="W254" s="49"/>
      <c r="X254" s="49"/>
      <c r="Y254" s="49"/>
      <c r="Z254" s="49"/>
      <c r="AA254" s="49"/>
      <c r="AB254" s="49"/>
      <c r="AC254" s="49"/>
      <c r="AD254" s="49"/>
    </row>
    <row r="255" spans="1:30" ht="15" outlineLevel="1" thickBot="1">
      <c r="B255" s="518"/>
      <c r="C255" s="441"/>
      <c r="D255" s="519"/>
      <c r="E255" s="519"/>
      <c r="F255" s="520"/>
      <c r="G255" s="424"/>
      <c r="H255" s="424"/>
      <c r="I255" s="424"/>
      <c r="J255" s="424"/>
      <c r="K255" s="447"/>
      <c r="L255" s="423"/>
      <c r="M255" s="362"/>
      <c r="N255" s="362"/>
      <c r="P255" s="50"/>
      <c r="Q255" s="50"/>
      <c r="R255" s="51"/>
      <c r="S255" s="51"/>
      <c r="T255" s="51"/>
      <c r="U255" s="51"/>
      <c r="V255" s="50"/>
      <c r="W255" s="50"/>
      <c r="X255" s="50"/>
      <c r="Y255" s="50"/>
      <c r="Z255" s="50"/>
      <c r="AA255" s="50"/>
      <c r="AB255" s="50"/>
      <c r="AC255" s="50"/>
      <c r="AD255" s="50"/>
    </row>
    <row r="256" spans="1:30" ht="15" outlineLevel="1" thickBot="1">
      <c r="B256" s="400"/>
      <c r="C256" s="401"/>
      <c r="D256" s="402"/>
      <c r="E256" s="403"/>
      <c r="F256" s="404"/>
      <c r="G256" s="405"/>
      <c r="H256" s="405"/>
      <c r="I256" s="405"/>
      <c r="J256" s="405"/>
      <c r="K256" s="458"/>
      <c r="L256" s="459"/>
      <c r="M256" s="362"/>
      <c r="N256" s="362"/>
      <c r="O256" s="460"/>
      <c r="P256" s="56"/>
      <c r="Q256" s="56"/>
      <c r="R256" s="57"/>
      <c r="S256" s="57"/>
      <c r="T256" s="57"/>
      <c r="U256" s="56"/>
      <c r="V256" s="56"/>
      <c r="W256" s="56"/>
      <c r="X256" s="56"/>
      <c r="Y256" s="56"/>
      <c r="Z256" s="56"/>
      <c r="AA256" s="56"/>
      <c r="AB256" s="56"/>
      <c r="AC256" s="56"/>
      <c r="AD256" s="56"/>
    </row>
    <row r="257" spans="1:30" outlineLevel="1">
      <c r="B257" s="555"/>
      <c r="C257" s="556"/>
      <c r="D257" s="556"/>
      <c r="E257" s="556"/>
      <c r="F257" s="556"/>
      <c r="G257" s="557"/>
      <c r="H257" s="557"/>
      <c r="I257" s="557"/>
      <c r="J257" s="557"/>
      <c r="K257" s="557"/>
      <c r="L257" s="558"/>
      <c r="M257" s="362"/>
      <c r="N257" s="362"/>
      <c r="O257" s="464"/>
      <c r="P257" s="465"/>
      <c r="Q257" s="58"/>
      <c r="R257" s="465"/>
      <c r="S257" s="58"/>
      <c r="T257" s="465"/>
      <c r="U257" s="466"/>
      <c r="V257" s="466"/>
      <c r="W257" s="466"/>
      <c r="X257" s="58"/>
      <c r="Y257" s="58"/>
      <c r="Z257" s="465"/>
      <c r="AA257" s="467"/>
      <c r="AB257" s="467"/>
      <c r="AC257" s="467"/>
      <c r="AD257" s="467"/>
    </row>
    <row r="258" spans="1:30" outlineLevel="1">
      <c r="B258" s="540"/>
      <c r="C258" s="559"/>
      <c r="D258" s="560"/>
      <c r="E258" s="560"/>
      <c r="F258" s="561"/>
      <c r="G258" s="561"/>
      <c r="H258" s="561"/>
      <c r="I258" s="561"/>
      <c r="J258" s="561"/>
      <c r="K258" s="562"/>
      <c r="L258" s="558"/>
      <c r="M258" s="362"/>
      <c r="N258" s="362"/>
      <c r="O258" s="464"/>
      <c r="P258" s="465"/>
      <c r="Q258" s="58"/>
      <c r="R258" s="465"/>
      <c r="S258" s="58"/>
      <c r="T258" s="465"/>
      <c r="U258" s="466"/>
      <c r="V258" s="466"/>
      <c r="W258" s="466"/>
      <c r="X258" s="58"/>
      <c r="Y258" s="58"/>
      <c r="Z258" s="465"/>
      <c r="AA258" s="467"/>
      <c r="AB258" s="467"/>
      <c r="AC258" s="467"/>
      <c r="AD258" s="467"/>
    </row>
    <row r="259" spans="1:30" outlineLevel="1">
      <c r="B259" s="540"/>
      <c r="C259" s="559"/>
      <c r="D259" s="560"/>
      <c r="E259" s="560"/>
      <c r="F259" s="561"/>
      <c r="G259" s="561"/>
      <c r="H259" s="561"/>
      <c r="I259" s="561"/>
      <c r="J259" s="561"/>
      <c r="K259" s="562"/>
      <c r="L259" s="558"/>
      <c r="M259" s="362"/>
      <c r="N259" s="362"/>
      <c r="O259" s="464"/>
      <c r="P259" s="465"/>
      <c r="Q259" s="58"/>
      <c r="R259" s="465"/>
      <c r="S259" s="58"/>
      <c r="T259" s="465"/>
      <c r="U259" s="466"/>
      <c r="V259" s="466"/>
      <c r="W259" s="466"/>
      <c r="X259" s="58"/>
      <c r="Y259" s="58"/>
      <c r="Z259" s="465"/>
      <c r="AA259" s="467"/>
      <c r="AB259" s="467"/>
      <c r="AC259" s="467"/>
      <c r="AD259" s="467"/>
    </row>
    <row r="260" spans="1:30" outlineLevel="1">
      <c r="B260" s="540"/>
      <c r="C260" s="563"/>
      <c r="D260" s="563"/>
      <c r="E260" s="563"/>
      <c r="F260" s="563"/>
      <c r="G260" s="564"/>
      <c r="H260" s="564"/>
      <c r="I260" s="564"/>
      <c r="J260" s="564"/>
      <c r="K260" s="564"/>
      <c r="L260" s="547"/>
      <c r="M260" s="362"/>
      <c r="N260" s="362"/>
      <c r="O260" s="464"/>
      <c r="P260" s="465"/>
      <c r="Q260" s="58"/>
      <c r="R260" s="465"/>
      <c r="S260" s="58"/>
      <c r="T260" s="465"/>
      <c r="U260" s="466"/>
      <c r="V260" s="466"/>
      <c r="W260" s="466"/>
      <c r="X260" s="58"/>
      <c r="Y260" s="58"/>
      <c r="Z260" s="465"/>
      <c r="AA260" s="467"/>
      <c r="AB260" s="467"/>
      <c r="AC260" s="467"/>
      <c r="AD260" s="467"/>
    </row>
    <row r="261" spans="1:30" outlineLevel="1">
      <c r="B261" s="565"/>
      <c r="C261" s="559"/>
      <c r="D261" s="560"/>
      <c r="E261" s="560"/>
      <c r="F261" s="561"/>
      <c r="G261" s="561"/>
      <c r="H261" s="561"/>
      <c r="I261" s="561"/>
      <c r="J261" s="561"/>
      <c r="K261" s="562"/>
      <c r="L261" s="558"/>
      <c r="M261" s="366"/>
      <c r="N261" s="366"/>
    </row>
    <row r="262" spans="1:30" outlineLevel="1">
      <c r="B262" s="565"/>
      <c r="C262" s="559"/>
      <c r="D262" s="560"/>
      <c r="E262" s="560"/>
      <c r="F262" s="561"/>
      <c r="G262" s="561"/>
      <c r="H262" s="561"/>
      <c r="I262" s="561"/>
      <c r="J262" s="561"/>
      <c r="K262" s="562"/>
      <c r="L262" s="558"/>
      <c r="M262" s="362"/>
      <c r="N262" s="362"/>
    </row>
    <row r="263" spans="1:30" ht="15" outlineLevel="1" thickBot="1">
      <c r="B263" s="566"/>
      <c r="C263" s="567"/>
      <c r="D263" s="567"/>
      <c r="E263" s="567"/>
      <c r="F263" s="567"/>
      <c r="G263" s="567"/>
      <c r="H263" s="567"/>
      <c r="I263" s="567"/>
      <c r="J263" s="567"/>
      <c r="K263" s="567"/>
      <c r="L263" s="568"/>
      <c r="M263" s="362"/>
      <c r="N263" s="362"/>
    </row>
    <row r="264" spans="1:30" outlineLevel="1">
      <c r="B264" s="460"/>
      <c r="C264" s="482"/>
      <c r="D264" s="482"/>
      <c r="E264" s="482"/>
      <c r="F264" s="482"/>
      <c r="G264" s="482"/>
      <c r="H264" s="483"/>
      <c r="I264" s="419"/>
      <c r="J264" s="419"/>
      <c r="K264" s="483"/>
      <c r="L264" s="483"/>
      <c r="N264" s="419"/>
    </row>
    <row r="265" spans="1:30" outlineLevel="1">
      <c r="B265" s="484"/>
      <c r="C265" s="485"/>
      <c r="D265" s="485"/>
      <c r="E265" s="485"/>
      <c r="F265" s="485"/>
      <c r="G265" s="485"/>
      <c r="H265" s="483"/>
      <c r="I265" s="71"/>
      <c r="J265" s="419"/>
      <c r="K265" s="483"/>
      <c r="L265" s="483"/>
      <c r="N265" s="419"/>
    </row>
    <row r="266" spans="1:30" outlineLevel="1">
      <c r="B266" s="460"/>
      <c r="C266" s="358"/>
      <c r="D266" s="358"/>
      <c r="E266" s="358"/>
      <c r="F266" s="358"/>
      <c r="G266" s="358"/>
      <c r="I266" s="419"/>
      <c r="J266" s="419"/>
      <c r="N266" s="419"/>
    </row>
    <row r="267" spans="1:30" outlineLevel="1">
      <c r="B267" s="460"/>
      <c r="C267" s="486"/>
      <c r="D267" s="486"/>
      <c r="E267" s="486"/>
      <c r="F267" s="486"/>
      <c r="G267" s="358"/>
      <c r="M267" s="419"/>
      <c r="N267" s="419"/>
    </row>
    <row r="268" spans="1:30" outlineLevel="1"/>
    <row r="269" spans="1:30" outlineLevel="1">
      <c r="A269" s="487"/>
      <c r="B269" s="488"/>
      <c r="D269" s="489"/>
      <c r="E269" s="489"/>
      <c r="F269" s="489"/>
      <c r="G269" s="357"/>
      <c r="H269" s="357"/>
      <c r="I269" s="357"/>
      <c r="J269" s="357"/>
      <c r="K269" s="357"/>
      <c r="L269" s="357"/>
    </row>
    <row r="270" spans="1:30" outlineLevel="1">
      <c r="A270" s="490"/>
      <c r="B270" s="491"/>
      <c r="D270" s="489"/>
      <c r="E270" s="489"/>
      <c r="F270" s="489"/>
      <c r="G270" s="357"/>
      <c r="H270" s="357"/>
      <c r="I270" s="357"/>
      <c r="J270" s="357"/>
      <c r="K270" s="357"/>
      <c r="L270" s="357"/>
    </row>
    <row r="271" spans="1:30" outlineLevel="1">
      <c r="A271" s="490"/>
      <c r="B271" s="492"/>
      <c r="D271" s="489"/>
      <c r="E271" s="489"/>
      <c r="F271" s="489"/>
      <c r="G271" s="357"/>
      <c r="H271" s="357"/>
      <c r="I271" s="357"/>
      <c r="J271" s="357"/>
      <c r="K271" s="357"/>
      <c r="L271" s="357"/>
    </row>
    <row r="272" spans="1:30" outlineLevel="1">
      <c r="A272" s="490"/>
      <c r="B272" s="492"/>
      <c r="D272" s="489"/>
      <c r="E272" s="489"/>
      <c r="F272" s="489"/>
      <c r="G272" s="357"/>
      <c r="H272" s="357"/>
      <c r="I272" s="357"/>
      <c r="J272" s="357"/>
      <c r="K272" s="357"/>
      <c r="L272" s="357"/>
    </row>
    <row r="273" spans="1:15" outlineLevel="1">
      <c r="A273" s="490"/>
      <c r="B273" s="492"/>
      <c r="D273" s="489"/>
      <c r="E273" s="489"/>
      <c r="F273" s="489"/>
      <c r="G273" s="357"/>
      <c r="H273" s="357"/>
      <c r="I273" s="357"/>
      <c r="J273" s="357"/>
      <c r="K273" s="357"/>
      <c r="L273" s="357"/>
    </row>
    <row r="274" spans="1:15" outlineLevel="1">
      <c r="A274" s="357"/>
      <c r="B274" s="493"/>
      <c r="D274" s="489"/>
      <c r="E274" s="489"/>
      <c r="F274" s="489"/>
      <c r="G274" s="357"/>
      <c r="H274" s="357"/>
      <c r="I274" s="357"/>
      <c r="J274" s="357"/>
      <c r="K274" s="357"/>
      <c r="L274" s="357"/>
      <c r="M274" s="569"/>
      <c r="N274" s="488"/>
      <c r="O274" s="489"/>
    </row>
    <row r="275" spans="1:15" outlineLevel="1">
      <c r="A275" s="357"/>
      <c r="B275" s="491"/>
      <c r="D275" s="489"/>
      <c r="E275" s="489"/>
      <c r="F275" s="489"/>
      <c r="G275" s="357"/>
      <c r="H275" s="357"/>
      <c r="I275" s="357"/>
      <c r="J275" s="357"/>
      <c r="K275" s="357"/>
      <c r="L275" s="357"/>
      <c r="O275" s="489"/>
    </row>
    <row r="276" spans="1:15" outlineLevel="1">
      <c r="A276" s="357"/>
      <c r="B276" s="494"/>
      <c r="D276" s="489"/>
      <c r="E276" s="489"/>
      <c r="F276" s="489"/>
      <c r="G276" s="357"/>
      <c r="H276" s="357"/>
      <c r="I276" s="357"/>
      <c r="J276" s="357"/>
      <c r="K276" s="357"/>
      <c r="L276" s="357"/>
      <c r="O276" s="489"/>
    </row>
    <row r="277" spans="1:15" outlineLevel="1">
      <c r="A277" s="357"/>
      <c r="B277" s="494"/>
      <c r="D277" s="489"/>
      <c r="E277" s="489"/>
      <c r="F277" s="489"/>
      <c r="G277" s="357"/>
      <c r="H277" s="357"/>
      <c r="I277" s="357"/>
      <c r="J277" s="357"/>
      <c r="K277" s="357"/>
      <c r="L277" s="357"/>
      <c r="O277" s="489"/>
    </row>
    <row r="278" spans="1:15" outlineLevel="1">
      <c r="A278" s="357"/>
      <c r="B278" s="488"/>
      <c r="D278" s="489"/>
      <c r="E278" s="489"/>
      <c r="F278" s="489"/>
      <c r="G278" s="357"/>
      <c r="H278" s="357"/>
      <c r="I278" s="357"/>
      <c r="J278" s="357"/>
      <c r="K278" s="357"/>
      <c r="L278" s="357"/>
      <c r="O278" s="489"/>
    </row>
    <row r="279" spans="1:15" outlineLevel="1">
      <c r="A279" s="357"/>
      <c r="B279" s="489"/>
      <c r="D279" s="489"/>
      <c r="E279" s="489"/>
      <c r="F279" s="489"/>
      <c r="G279" s="357"/>
      <c r="H279" s="357"/>
      <c r="I279" s="357"/>
      <c r="J279" s="357"/>
      <c r="K279" s="357"/>
      <c r="L279" s="357"/>
      <c r="O279" s="489"/>
    </row>
    <row r="280" spans="1:15" outlineLevel="1">
      <c r="A280" s="487"/>
      <c r="B280" s="488"/>
      <c r="D280" s="489"/>
      <c r="E280" s="489"/>
      <c r="F280" s="489"/>
      <c r="G280" s="357"/>
      <c r="H280" s="357"/>
      <c r="I280" s="357"/>
      <c r="J280" s="357"/>
      <c r="K280" s="357"/>
      <c r="L280" s="357"/>
      <c r="O280" s="489"/>
    </row>
    <row r="281" spans="1:15" outlineLevel="1">
      <c r="A281" s="495"/>
      <c r="B281" s="496"/>
      <c r="D281" s="489"/>
      <c r="E281" s="489"/>
      <c r="F281" s="489"/>
      <c r="G281" s="357"/>
      <c r="H281" s="357"/>
      <c r="I281" s="357"/>
      <c r="J281" s="357"/>
      <c r="K281" s="357"/>
      <c r="L281" s="357"/>
      <c r="M281" s="569"/>
      <c r="N281" s="488"/>
      <c r="O281" s="489"/>
    </row>
    <row r="282" spans="1:15" outlineLevel="1">
      <c r="A282" s="495"/>
      <c r="B282" s="488"/>
      <c r="D282" s="489"/>
      <c r="E282" s="489"/>
      <c r="F282" s="489"/>
      <c r="G282" s="357"/>
      <c r="H282" s="357"/>
      <c r="I282" s="357"/>
      <c r="J282" s="357"/>
      <c r="K282" s="357"/>
      <c r="L282" s="357"/>
      <c r="M282" s="570"/>
      <c r="N282" s="488"/>
      <c r="O282" s="489"/>
    </row>
    <row r="283" spans="1:15" outlineLevel="1">
      <c r="A283" s="495"/>
      <c r="B283" s="488"/>
      <c r="D283" s="489"/>
      <c r="E283" s="489"/>
      <c r="F283" s="489"/>
      <c r="G283" s="357"/>
      <c r="H283" s="357"/>
      <c r="I283" s="357"/>
      <c r="J283" s="357"/>
      <c r="K283" s="357"/>
      <c r="L283" s="357"/>
      <c r="M283" s="571"/>
      <c r="N283" s="488"/>
      <c r="O283" s="489"/>
    </row>
    <row r="284" spans="1:15" outlineLevel="1">
      <c r="A284" s="495"/>
      <c r="B284" s="497"/>
      <c r="D284" s="489"/>
      <c r="E284" s="489"/>
      <c r="F284" s="489"/>
      <c r="G284" s="357"/>
      <c r="H284" s="357"/>
      <c r="I284" s="357"/>
      <c r="J284" s="357"/>
      <c r="K284" s="357"/>
      <c r="L284" s="357"/>
      <c r="M284" s="572"/>
      <c r="N284" s="488"/>
      <c r="O284" s="489"/>
    </row>
    <row r="285" spans="1:15" outlineLevel="1">
      <c r="A285" s="495"/>
      <c r="B285" s="488"/>
      <c r="D285" s="489"/>
      <c r="E285" s="489"/>
      <c r="F285" s="489"/>
      <c r="G285" s="357"/>
      <c r="H285" s="357"/>
      <c r="I285" s="357"/>
      <c r="J285" s="357"/>
      <c r="K285" s="357"/>
      <c r="L285" s="357"/>
      <c r="M285" s="572"/>
      <c r="N285" s="489"/>
      <c r="O285" s="489"/>
    </row>
    <row r="286" spans="1:15" outlineLevel="1">
      <c r="A286" s="495"/>
      <c r="B286" s="488"/>
      <c r="D286" s="489"/>
      <c r="E286" s="489"/>
      <c r="F286" s="489"/>
      <c r="G286" s="357"/>
      <c r="H286" s="357"/>
      <c r="I286" s="357"/>
      <c r="J286" s="357"/>
      <c r="K286" s="357"/>
      <c r="L286" s="357"/>
      <c r="M286" s="488"/>
      <c r="N286" s="489"/>
      <c r="O286" s="489"/>
    </row>
    <row r="287" spans="1:15" outlineLevel="1"/>
    <row r="290" spans="1:44" ht="15" thickBot="1">
      <c r="A290" s="359"/>
    </row>
    <row r="291" spans="1:44" ht="20.55" customHeight="1" thickBot="1">
      <c r="B291" s="361"/>
      <c r="C291" s="1183"/>
      <c r="D291" s="1184"/>
      <c r="E291" s="1184"/>
      <c r="F291" s="1184"/>
      <c r="G291" s="1184"/>
      <c r="H291" s="1184"/>
      <c r="I291" s="1184"/>
      <c r="J291" s="1184"/>
      <c r="K291" s="1184"/>
      <c r="L291" s="1185"/>
      <c r="M291" s="362"/>
      <c r="N291" s="362"/>
      <c r="P291" s="363"/>
      <c r="Q291" s="364"/>
      <c r="R291" s="365"/>
      <c r="S291" s="1173"/>
      <c r="T291" s="1157"/>
      <c r="U291" s="1158"/>
      <c r="V291" s="1157"/>
      <c r="W291" s="1158"/>
      <c r="X291" s="1157"/>
      <c r="Y291" s="1158"/>
      <c r="Z291" s="1157"/>
      <c r="AA291" s="1158"/>
      <c r="AB291" s="1157"/>
      <c r="AC291" s="1158"/>
      <c r="AE291" s="363"/>
      <c r="AF291" s="364"/>
      <c r="AG291" s="365"/>
      <c r="AH291" s="1173"/>
      <c r="AI291" s="1157"/>
      <c r="AJ291" s="1158"/>
      <c r="AK291" s="1157"/>
      <c r="AL291" s="1158"/>
      <c r="AM291" s="1157"/>
      <c r="AN291" s="1158"/>
      <c r="AO291" s="1157"/>
      <c r="AP291" s="1158"/>
      <c r="AQ291" s="1157"/>
      <c r="AR291" s="1158"/>
    </row>
    <row r="292" spans="1:44" ht="15" customHeight="1" thickBot="1">
      <c r="B292" s="1161"/>
      <c r="C292" s="1163"/>
      <c r="D292" s="1163"/>
      <c r="E292" s="1163"/>
      <c r="F292" s="1163"/>
      <c r="G292" s="1165"/>
      <c r="H292" s="1166"/>
      <c r="I292" s="1165"/>
      <c r="J292" s="1166"/>
      <c r="K292" s="1186"/>
      <c r="L292" s="1186"/>
      <c r="M292" s="366"/>
      <c r="N292" s="366"/>
      <c r="P292" s="1177"/>
      <c r="Q292" s="367"/>
      <c r="R292" s="367"/>
      <c r="S292" s="1174"/>
      <c r="T292" s="1159"/>
      <c r="U292" s="1160"/>
      <c r="V292" s="1159"/>
      <c r="W292" s="1160"/>
      <c r="X292" s="1159"/>
      <c r="Y292" s="1160"/>
      <c r="Z292" s="1159"/>
      <c r="AA292" s="1160"/>
      <c r="AB292" s="1159"/>
      <c r="AC292" s="1160"/>
      <c r="AE292" s="1177"/>
      <c r="AF292" s="367"/>
      <c r="AG292" s="367"/>
      <c r="AH292" s="1174"/>
      <c r="AI292" s="1159"/>
      <c r="AJ292" s="1160"/>
      <c r="AK292" s="1159"/>
      <c r="AL292" s="1160"/>
      <c r="AM292" s="1159"/>
      <c r="AN292" s="1160"/>
      <c r="AO292" s="1159"/>
      <c r="AP292" s="1160"/>
      <c r="AQ292" s="1159"/>
      <c r="AR292" s="1160"/>
    </row>
    <row r="293" spans="1:44" ht="15" customHeight="1" thickBot="1">
      <c r="B293" s="1162"/>
      <c r="C293" s="1164"/>
      <c r="D293" s="1164"/>
      <c r="E293" s="1164"/>
      <c r="F293" s="1164"/>
      <c r="G293" s="405"/>
      <c r="H293" s="405"/>
      <c r="I293" s="405"/>
      <c r="J293" s="405"/>
      <c r="K293" s="1187"/>
      <c r="L293" s="1187"/>
      <c r="M293" s="369"/>
      <c r="N293" s="369"/>
      <c r="P293" s="1178"/>
      <c r="Q293" s="1180"/>
      <c r="R293" s="1181"/>
      <c r="S293" s="1175"/>
      <c r="T293" s="1159"/>
      <c r="U293" s="1160"/>
      <c r="V293" s="1159"/>
      <c r="W293" s="1160"/>
      <c r="X293" s="1159"/>
      <c r="Y293" s="1160"/>
      <c r="Z293" s="1159"/>
      <c r="AA293" s="1160"/>
      <c r="AB293" s="1159"/>
      <c r="AC293" s="1160"/>
      <c r="AE293" s="1178"/>
      <c r="AF293" s="1180"/>
      <c r="AG293" s="1181"/>
      <c r="AH293" s="1175"/>
      <c r="AI293" s="1159"/>
      <c r="AJ293" s="1160"/>
      <c r="AK293" s="1159"/>
      <c r="AL293" s="1160"/>
      <c r="AM293" s="1159"/>
      <c r="AN293" s="1160"/>
      <c r="AO293" s="1159"/>
      <c r="AP293" s="1160"/>
      <c r="AQ293" s="1159"/>
      <c r="AR293" s="1160"/>
    </row>
    <row r="294" spans="1:44" ht="15" thickBot="1">
      <c r="B294" s="370"/>
      <c r="C294" s="371"/>
      <c r="D294" s="371"/>
      <c r="E294" s="371"/>
      <c r="F294" s="371"/>
      <c r="G294" s="371"/>
      <c r="H294" s="371"/>
      <c r="I294" s="371"/>
      <c r="J294" s="371"/>
      <c r="K294" s="371"/>
      <c r="L294" s="372"/>
      <c r="M294" s="369"/>
      <c r="N294" s="369"/>
      <c r="O294" s="74"/>
      <c r="P294" s="1179"/>
      <c r="Q294" s="1176"/>
      <c r="R294" s="1182"/>
      <c r="S294" s="1176"/>
      <c r="T294" s="373"/>
      <c r="U294" s="374"/>
      <c r="V294" s="373"/>
      <c r="W294" s="374"/>
      <c r="X294" s="373"/>
      <c r="Y294" s="374"/>
      <c r="Z294" s="373"/>
      <c r="AA294" s="374"/>
      <c r="AB294" s="373"/>
      <c r="AC294" s="374"/>
      <c r="AE294" s="1179"/>
      <c r="AF294" s="1176"/>
      <c r="AG294" s="1182"/>
      <c r="AH294" s="1176"/>
      <c r="AI294" s="373"/>
      <c r="AJ294" s="374"/>
      <c r="AK294" s="373"/>
      <c r="AL294" s="374"/>
      <c r="AM294" s="373"/>
      <c r="AN294" s="374"/>
      <c r="AO294" s="373"/>
      <c r="AP294" s="374"/>
      <c r="AQ294" s="373"/>
      <c r="AR294" s="374"/>
    </row>
    <row r="295" spans="1:44" ht="14.55" customHeight="1">
      <c r="B295" s="573"/>
      <c r="C295" s="574"/>
      <c r="D295" s="574"/>
      <c r="E295" s="574"/>
      <c r="F295" s="574"/>
      <c r="G295" s="575"/>
      <c r="H295" s="575"/>
      <c r="I295" s="575"/>
      <c r="J295" s="575"/>
      <c r="K295" s="371"/>
      <c r="L295" s="372"/>
      <c r="M295" s="369"/>
      <c r="N295" s="369"/>
      <c r="P295" s="1145"/>
      <c r="Q295" s="1151"/>
      <c r="R295" s="380"/>
      <c r="S295" s="381"/>
      <c r="T295" s="1134"/>
      <c r="U295" s="1148"/>
      <c r="V295" s="1134"/>
      <c r="W295" s="1148"/>
      <c r="X295" s="1134"/>
      <c r="Y295" s="1148"/>
      <c r="Z295" s="1134"/>
      <c r="AA295" s="1148"/>
      <c r="AB295" s="1154"/>
      <c r="AC295" s="1148"/>
      <c r="AE295" s="1145"/>
      <c r="AF295" s="1151"/>
      <c r="AG295" s="380"/>
      <c r="AH295" s="381"/>
      <c r="AI295" s="1134"/>
      <c r="AJ295" s="1148"/>
      <c r="AK295" s="1134"/>
      <c r="AL295" s="1148"/>
      <c r="AM295" s="1134"/>
      <c r="AN295" s="1148"/>
      <c r="AO295" s="1134"/>
      <c r="AP295" s="1148"/>
      <c r="AQ295" s="1154"/>
      <c r="AR295" s="1148"/>
    </row>
    <row r="296" spans="1:44">
      <c r="B296" s="382"/>
      <c r="C296" s="576"/>
      <c r="D296" s="576"/>
      <c r="E296" s="576"/>
      <c r="F296" s="576"/>
      <c r="G296" s="575"/>
      <c r="H296" s="575"/>
      <c r="I296" s="575"/>
      <c r="J296" s="575"/>
      <c r="K296" s="371"/>
      <c r="L296" s="372"/>
      <c r="M296" s="369"/>
      <c r="N296" s="369"/>
      <c r="O296" s="71"/>
      <c r="P296" s="1146"/>
      <c r="Q296" s="1152"/>
      <c r="R296" s="387"/>
      <c r="S296" s="388"/>
      <c r="T296" s="1137"/>
      <c r="U296" s="1149"/>
      <c r="V296" s="1137"/>
      <c r="W296" s="1149"/>
      <c r="X296" s="1137"/>
      <c r="Y296" s="1149"/>
      <c r="Z296" s="1137"/>
      <c r="AA296" s="1149"/>
      <c r="AB296" s="1155"/>
      <c r="AC296" s="1149"/>
      <c r="AE296" s="1146"/>
      <c r="AF296" s="1152"/>
      <c r="AG296" s="387"/>
      <c r="AH296" s="388"/>
      <c r="AI296" s="1137"/>
      <c r="AJ296" s="1149"/>
      <c r="AK296" s="1137"/>
      <c r="AL296" s="1149"/>
      <c r="AM296" s="1137"/>
      <c r="AN296" s="1149"/>
      <c r="AO296" s="1137"/>
      <c r="AP296" s="1149"/>
      <c r="AQ296" s="1155"/>
      <c r="AR296" s="1149"/>
    </row>
    <row r="297" spans="1:44" ht="15" thickBot="1">
      <c r="B297" s="573"/>
      <c r="C297" s="577"/>
      <c r="D297" s="577"/>
      <c r="E297" s="577"/>
      <c r="F297" s="577"/>
      <c r="G297" s="577"/>
      <c r="H297" s="577"/>
      <c r="I297" s="577"/>
      <c r="J297" s="577"/>
      <c r="K297" s="578"/>
      <c r="L297" s="579"/>
      <c r="M297" s="369"/>
      <c r="N297" s="369"/>
      <c r="O297" s="71"/>
      <c r="P297" s="1146"/>
      <c r="Q297" s="1153"/>
      <c r="R297" s="392"/>
      <c r="S297" s="393"/>
      <c r="T297" s="1138"/>
      <c r="U297" s="1150"/>
      <c r="V297" s="1138"/>
      <c r="W297" s="1150"/>
      <c r="X297" s="1138"/>
      <c r="Y297" s="1150"/>
      <c r="Z297" s="1138"/>
      <c r="AA297" s="1150"/>
      <c r="AB297" s="1156"/>
      <c r="AC297" s="1150"/>
      <c r="AE297" s="1146"/>
      <c r="AF297" s="1153"/>
      <c r="AG297" s="392"/>
      <c r="AH297" s="393"/>
      <c r="AI297" s="1138"/>
      <c r="AJ297" s="1150"/>
      <c r="AK297" s="1138"/>
      <c r="AL297" s="1150"/>
      <c r="AM297" s="1138"/>
      <c r="AN297" s="1150"/>
      <c r="AO297" s="1138"/>
      <c r="AP297" s="1150"/>
      <c r="AQ297" s="1156"/>
      <c r="AR297" s="1150"/>
    </row>
    <row r="298" spans="1:44" ht="14.55" customHeight="1">
      <c r="B298" s="573"/>
      <c r="C298" s="580"/>
      <c r="D298" s="580"/>
      <c r="E298" s="580"/>
      <c r="F298" s="580"/>
      <c r="G298" s="580"/>
      <c r="H298" s="580"/>
      <c r="I298" s="580"/>
      <c r="J298" s="580"/>
      <c r="K298" s="578"/>
      <c r="L298" s="579"/>
      <c r="M298" s="369"/>
      <c r="N298" s="369"/>
      <c r="O298" s="71"/>
      <c r="P298" s="1146"/>
      <c r="Q298" s="1142"/>
      <c r="R298" s="394"/>
      <c r="S298" s="395"/>
      <c r="T298" s="1134"/>
      <c r="U298" s="1134"/>
      <c r="V298" s="1134"/>
      <c r="W298" s="1134"/>
      <c r="X298" s="1134"/>
      <c r="Y298" s="1134"/>
      <c r="Z298" s="1134"/>
      <c r="AA298" s="1134"/>
      <c r="AB298" s="1134"/>
      <c r="AC298" s="1134"/>
      <c r="AE298" s="1146"/>
      <c r="AF298" s="1142"/>
      <c r="AG298" s="394"/>
      <c r="AH298" s="395"/>
      <c r="AI298" s="1134"/>
      <c r="AJ298" s="1134"/>
      <c r="AK298" s="1134"/>
      <c r="AL298" s="1134"/>
      <c r="AM298" s="1134"/>
      <c r="AN298" s="1134"/>
      <c r="AO298" s="1134"/>
      <c r="AP298" s="1134"/>
      <c r="AQ298" s="1134"/>
      <c r="AR298" s="1134"/>
    </row>
    <row r="299" spans="1:44">
      <c r="B299" s="573"/>
      <c r="C299" s="581"/>
      <c r="D299" s="581"/>
      <c r="E299" s="581"/>
      <c r="F299" s="581"/>
      <c r="G299" s="581"/>
      <c r="H299" s="581"/>
      <c r="I299" s="581"/>
      <c r="J299" s="581"/>
      <c r="K299" s="578"/>
      <c r="L299" s="579"/>
      <c r="M299" s="366"/>
      <c r="N299" s="366"/>
      <c r="O299" s="71"/>
      <c r="P299" s="1146"/>
      <c r="Q299" s="1143"/>
      <c r="R299" s="394"/>
      <c r="S299" s="395"/>
      <c r="T299" s="1135"/>
      <c r="U299" s="1135"/>
      <c r="V299" s="1135"/>
      <c r="W299" s="1135"/>
      <c r="X299" s="1135"/>
      <c r="Y299" s="1135"/>
      <c r="Z299" s="1135"/>
      <c r="AA299" s="1135"/>
      <c r="AB299" s="1137"/>
      <c r="AC299" s="1135"/>
      <c r="AE299" s="1146"/>
      <c r="AF299" s="1143"/>
      <c r="AG299" s="394"/>
      <c r="AH299" s="395"/>
      <c r="AI299" s="1135"/>
      <c r="AJ299" s="1135"/>
      <c r="AK299" s="1135"/>
      <c r="AL299" s="1135"/>
      <c r="AM299" s="1135"/>
      <c r="AN299" s="1135"/>
      <c r="AO299" s="1135"/>
      <c r="AP299" s="1135"/>
      <c r="AQ299" s="1137"/>
      <c r="AR299" s="1135"/>
    </row>
    <row r="300" spans="1:44">
      <c r="B300" s="382"/>
      <c r="C300" s="396"/>
      <c r="D300" s="396"/>
      <c r="E300" s="396"/>
      <c r="F300" s="396"/>
      <c r="G300" s="397"/>
      <c r="H300" s="397"/>
      <c r="I300" s="397"/>
      <c r="J300" s="397"/>
      <c r="K300" s="371"/>
      <c r="L300" s="372"/>
      <c r="M300" s="362"/>
      <c r="N300" s="362"/>
      <c r="P300" s="1146"/>
      <c r="Q300" s="1143"/>
      <c r="R300" s="394"/>
      <c r="S300" s="395"/>
      <c r="T300" s="1135"/>
      <c r="U300" s="1135"/>
      <c r="V300" s="1135"/>
      <c r="W300" s="1135"/>
      <c r="X300" s="1135"/>
      <c r="Y300" s="1135"/>
      <c r="Z300" s="1135"/>
      <c r="AA300" s="1135"/>
      <c r="AB300" s="1137"/>
      <c r="AC300" s="1135"/>
      <c r="AE300" s="1146"/>
      <c r="AF300" s="1143"/>
      <c r="AG300" s="394"/>
      <c r="AH300" s="395"/>
      <c r="AI300" s="1135"/>
      <c r="AJ300" s="1135"/>
      <c r="AK300" s="1135"/>
      <c r="AL300" s="1135"/>
      <c r="AM300" s="1135"/>
      <c r="AN300" s="1135"/>
      <c r="AO300" s="1135"/>
      <c r="AP300" s="1135"/>
      <c r="AQ300" s="1137"/>
      <c r="AR300" s="1135"/>
    </row>
    <row r="301" spans="1:44" ht="15" thickBot="1">
      <c r="B301" s="573"/>
      <c r="C301" s="581"/>
      <c r="D301" s="581"/>
      <c r="E301" s="581"/>
      <c r="F301" s="581"/>
      <c r="G301" s="581"/>
      <c r="H301" s="581"/>
      <c r="I301" s="581"/>
      <c r="J301" s="581"/>
      <c r="K301" s="371"/>
      <c r="L301" s="372"/>
      <c r="M301" s="362"/>
      <c r="N301" s="362"/>
      <c r="P301" s="1146"/>
      <c r="Q301" s="1143"/>
      <c r="R301" s="394"/>
      <c r="S301" s="395"/>
      <c r="T301" s="1135"/>
      <c r="U301" s="1135"/>
      <c r="V301" s="1135"/>
      <c r="W301" s="1135"/>
      <c r="X301" s="1135"/>
      <c r="Y301" s="1135"/>
      <c r="Z301" s="1135"/>
      <c r="AA301" s="1135"/>
      <c r="AB301" s="1137"/>
      <c r="AC301" s="1135"/>
      <c r="AE301" s="1146"/>
      <c r="AF301" s="1143"/>
      <c r="AG301" s="394"/>
      <c r="AH301" s="395"/>
      <c r="AI301" s="1135"/>
      <c r="AJ301" s="1135"/>
      <c r="AK301" s="1135"/>
      <c r="AL301" s="1135"/>
      <c r="AM301" s="1135"/>
      <c r="AN301" s="1135"/>
      <c r="AO301" s="1135"/>
      <c r="AP301" s="1135"/>
      <c r="AQ301" s="1137"/>
      <c r="AR301" s="1135"/>
    </row>
    <row r="302" spans="1:44" ht="15" thickBot="1">
      <c r="B302" s="400"/>
      <c r="C302" s="582"/>
      <c r="D302" s="583"/>
      <c r="E302" s="584"/>
      <c r="F302" s="585"/>
      <c r="G302" s="405"/>
      <c r="H302" s="405"/>
      <c r="I302" s="405"/>
      <c r="J302" s="405"/>
      <c r="K302" s="406"/>
      <c r="L302" s="586"/>
      <c r="M302" s="362"/>
      <c r="N302" s="362"/>
      <c r="P302" s="1146"/>
      <c r="Q302" s="1144"/>
      <c r="R302" s="408"/>
      <c r="S302" s="409"/>
      <c r="T302" s="1136"/>
      <c r="U302" s="1136"/>
      <c r="V302" s="1136"/>
      <c r="W302" s="1136"/>
      <c r="X302" s="1136"/>
      <c r="Y302" s="1136"/>
      <c r="Z302" s="1136"/>
      <c r="AA302" s="1136"/>
      <c r="AB302" s="1138"/>
      <c r="AC302" s="1136"/>
      <c r="AE302" s="1146"/>
      <c r="AF302" s="1144"/>
      <c r="AG302" s="408"/>
      <c r="AH302" s="409"/>
      <c r="AI302" s="1136"/>
      <c r="AJ302" s="1136"/>
      <c r="AK302" s="1136"/>
      <c r="AL302" s="1136"/>
      <c r="AM302" s="1136"/>
      <c r="AN302" s="1136"/>
      <c r="AO302" s="1136"/>
      <c r="AP302" s="1136"/>
      <c r="AQ302" s="1138"/>
      <c r="AR302" s="1136"/>
    </row>
    <row r="303" spans="1:44" ht="15" thickBot="1">
      <c r="B303" s="573"/>
      <c r="C303" s="587"/>
      <c r="D303" s="587"/>
      <c r="E303" s="587"/>
      <c r="F303" s="587"/>
      <c r="G303" s="588"/>
      <c r="H303" s="588"/>
      <c r="I303" s="589"/>
      <c r="J303" s="589"/>
      <c r="K303" s="578"/>
      <c r="L303" s="579"/>
      <c r="M303" s="362"/>
      <c r="N303" s="362"/>
      <c r="P303" s="1147"/>
      <c r="Q303" s="410"/>
      <c r="R303" s="411"/>
      <c r="S303" s="412"/>
      <c r="T303" s="590"/>
      <c r="U303" s="591"/>
      <c r="V303" s="592"/>
      <c r="W303" s="591"/>
      <c r="X303" s="592"/>
      <c r="Y303" s="591"/>
      <c r="Z303" s="592"/>
      <c r="AA303" s="591"/>
      <c r="AB303" s="592"/>
      <c r="AC303" s="593"/>
      <c r="AE303" s="1147"/>
      <c r="AF303" s="410"/>
      <c r="AG303" s="411"/>
      <c r="AH303" s="412"/>
      <c r="AI303" s="590"/>
      <c r="AJ303" s="591"/>
      <c r="AK303" s="592"/>
      <c r="AL303" s="591"/>
      <c r="AM303" s="592"/>
      <c r="AN303" s="591"/>
      <c r="AO303" s="592"/>
      <c r="AP303" s="591"/>
      <c r="AQ303" s="592"/>
      <c r="AR303" s="593"/>
    </row>
    <row r="304" spans="1:44">
      <c r="B304" s="573"/>
      <c r="C304" s="581"/>
      <c r="D304" s="581"/>
      <c r="E304" s="581"/>
      <c r="F304" s="581"/>
      <c r="G304" s="594"/>
      <c r="H304" s="594"/>
      <c r="I304" s="594"/>
      <c r="J304" s="594"/>
      <c r="K304" s="595"/>
      <c r="L304" s="579"/>
      <c r="M304" s="362"/>
      <c r="N304" s="362"/>
    </row>
    <row r="305" spans="1:30">
      <c r="B305" s="573"/>
      <c r="C305" s="581"/>
      <c r="D305" s="581"/>
      <c r="E305" s="581"/>
      <c r="F305" s="581"/>
      <c r="G305" s="594"/>
      <c r="H305" s="594"/>
      <c r="I305" s="594"/>
      <c r="J305" s="594"/>
      <c r="K305" s="595"/>
      <c r="L305" s="579"/>
      <c r="M305" s="419"/>
      <c r="N305" s="362"/>
    </row>
    <row r="306" spans="1:30">
      <c r="B306" s="420"/>
      <c r="C306" s="398"/>
      <c r="D306" s="398"/>
      <c r="E306" s="398"/>
      <c r="F306" s="398"/>
      <c r="G306" s="421"/>
      <c r="H306" s="421"/>
      <c r="I306" s="421"/>
      <c r="J306" s="421"/>
      <c r="K306" s="422"/>
      <c r="L306" s="596"/>
      <c r="M306" s="419"/>
      <c r="N306" s="419"/>
    </row>
    <row r="307" spans="1:30">
      <c r="B307" s="382"/>
      <c r="C307" s="396"/>
      <c r="D307" s="396"/>
      <c r="E307" s="396"/>
      <c r="F307" s="396"/>
      <c r="G307" s="421"/>
      <c r="H307" s="424"/>
      <c r="I307" s="424"/>
      <c r="J307" s="424"/>
      <c r="K307" s="425"/>
      <c r="L307" s="426"/>
      <c r="M307" s="427"/>
      <c r="N307" s="427"/>
    </row>
    <row r="308" spans="1:30">
      <c r="B308" s="382"/>
      <c r="C308" s="396"/>
      <c r="D308" s="396"/>
      <c r="E308" s="396"/>
      <c r="F308" s="396"/>
      <c r="G308" s="424"/>
      <c r="H308" s="424"/>
      <c r="I308" s="424"/>
      <c r="J308" s="424"/>
      <c r="K308" s="422"/>
      <c r="L308" s="426"/>
      <c r="M308" s="427"/>
      <c r="N308" s="427"/>
    </row>
    <row r="309" spans="1:30">
      <c r="B309" s="382"/>
      <c r="C309" s="396"/>
      <c r="D309" s="396"/>
      <c r="E309" s="396"/>
      <c r="F309" s="396"/>
      <c r="G309" s="424"/>
      <c r="H309" s="424"/>
      <c r="I309" s="424"/>
      <c r="J309" s="424"/>
      <c r="K309" s="422"/>
      <c r="L309" s="426"/>
      <c r="M309" s="427"/>
      <c r="N309" s="427"/>
    </row>
    <row r="310" spans="1:30">
      <c r="B310" s="382"/>
      <c r="C310" s="396"/>
      <c r="D310" s="396"/>
      <c r="E310" s="396"/>
      <c r="F310" s="396"/>
      <c r="G310" s="424"/>
      <c r="H310" s="424"/>
      <c r="I310" s="424"/>
      <c r="J310" s="424"/>
      <c r="K310" s="422"/>
      <c r="L310" s="426"/>
      <c r="M310" s="427"/>
      <c r="N310" s="427"/>
    </row>
    <row r="311" spans="1:30" ht="15" thickBot="1">
      <c r="B311" s="428"/>
      <c r="C311" s="396"/>
      <c r="D311" s="396"/>
      <c r="E311" s="396"/>
      <c r="F311" s="396"/>
      <c r="G311" s="424"/>
      <c r="H311" s="424"/>
      <c r="I311" s="424"/>
      <c r="J311" s="424"/>
      <c r="K311" s="422"/>
      <c r="L311" s="426"/>
      <c r="M311" s="427"/>
      <c r="N311" s="427"/>
    </row>
    <row r="312" spans="1:30" ht="15" thickBot="1">
      <c r="B312" s="430"/>
      <c r="C312" s="597"/>
      <c r="D312" s="583"/>
      <c r="E312" s="583"/>
      <c r="F312" s="598"/>
      <c r="G312" s="433"/>
      <c r="H312" s="405"/>
      <c r="I312" s="405"/>
      <c r="J312" s="405"/>
      <c r="K312" s="406"/>
      <c r="L312" s="586"/>
      <c r="M312" s="427"/>
      <c r="N312" s="427"/>
    </row>
    <row r="313" spans="1:30">
      <c r="A313" s="434"/>
      <c r="B313" s="435"/>
      <c r="C313" s="599"/>
      <c r="D313" s="599"/>
      <c r="E313" s="599"/>
      <c r="F313" s="599"/>
      <c r="G313" s="424"/>
      <c r="H313" s="424"/>
      <c r="I313" s="424"/>
      <c r="J313" s="424"/>
      <c r="K313" s="425"/>
      <c r="L313" s="439"/>
      <c r="M313" s="419"/>
      <c r="N313" s="419"/>
    </row>
    <row r="314" spans="1:30">
      <c r="B314" s="440"/>
      <c r="C314" s="600"/>
      <c r="D314" s="600"/>
      <c r="E314" s="600"/>
      <c r="F314" s="600"/>
      <c r="G314" s="424"/>
      <c r="H314" s="424"/>
      <c r="I314" s="424"/>
      <c r="J314" s="424"/>
      <c r="K314" s="443"/>
      <c r="L314" s="372"/>
      <c r="M314" s="71"/>
      <c r="N314" s="419"/>
    </row>
    <row r="315" spans="1:30">
      <c r="B315" s="440"/>
      <c r="C315" s="600"/>
      <c r="D315" s="600"/>
      <c r="E315" s="600"/>
      <c r="F315" s="600"/>
      <c r="G315" s="424"/>
      <c r="H315" s="424"/>
      <c r="I315" s="424"/>
      <c r="J315" s="424"/>
      <c r="K315" s="443"/>
      <c r="L315" s="372"/>
      <c r="M315" s="419"/>
      <c r="N315" s="419"/>
    </row>
    <row r="316" spans="1:30">
      <c r="B316" s="382"/>
      <c r="C316" s="601"/>
      <c r="D316" s="602"/>
      <c r="E316" s="602"/>
      <c r="F316" s="603"/>
      <c r="G316" s="424"/>
      <c r="H316" s="424"/>
      <c r="I316" s="424"/>
      <c r="J316" s="424"/>
      <c r="K316" s="443"/>
      <c r="L316" s="372"/>
      <c r="M316" s="419"/>
      <c r="N316" s="419"/>
    </row>
    <row r="317" spans="1:30">
      <c r="B317" s="382"/>
      <c r="C317" s="604"/>
      <c r="D317" s="604"/>
      <c r="E317" s="604"/>
      <c r="F317" s="604"/>
      <c r="G317" s="424"/>
      <c r="H317" s="424"/>
      <c r="I317" s="424"/>
      <c r="J317" s="424"/>
      <c r="K317" s="443"/>
      <c r="L317" s="372"/>
      <c r="M317" s="449"/>
      <c r="N317" s="360"/>
      <c r="P317" s="1139"/>
      <c r="Q317" s="1140"/>
      <c r="R317" s="1140"/>
      <c r="S317" s="1140"/>
      <c r="T317" s="1140"/>
      <c r="U317" s="1141"/>
    </row>
    <row r="318" spans="1:30" ht="15" thickBot="1">
      <c r="B318" s="540"/>
      <c r="C318" s="551"/>
      <c r="D318" s="551"/>
      <c r="E318" s="551"/>
      <c r="F318" s="551"/>
      <c r="G318" s="552"/>
      <c r="H318" s="552"/>
      <c r="I318" s="552"/>
      <c r="J318" s="552"/>
      <c r="K318" s="546"/>
      <c r="L318" s="547"/>
      <c r="M318" s="449"/>
      <c r="N318" s="360"/>
      <c r="P318" s="1131"/>
      <c r="Q318" s="1132"/>
      <c r="R318" s="1132"/>
      <c r="S318" s="1132"/>
      <c r="T318" s="1132"/>
      <c r="U318" s="1133"/>
    </row>
    <row r="319" spans="1:30">
      <c r="B319" s="540"/>
      <c r="C319" s="605"/>
      <c r="D319" s="605"/>
      <c r="E319" s="605"/>
      <c r="F319" s="605"/>
      <c r="G319" s="552"/>
      <c r="H319" s="552"/>
      <c r="I319" s="552"/>
      <c r="J319" s="552"/>
      <c r="K319" s="546"/>
      <c r="L319" s="547"/>
      <c r="M319" s="362"/>
      <c r="N319" s="362"/>
      <c r="P319" s="53"/>
    </row>
    <row r="320" spans="1:30">
      <c r="B320" s="540"/>
      <c r="C320" s="606"/>
      <c r="D320" s="546"/>
      <c r="E320" s="546"/>
      <c r="F320" s="562"/>
      <c r="G320" s="549"/>
      <c r="H320" s="549"/>
      <c r="I320" s="549"/>
      <c r="J320" s="549"/>
      <c r="K320" s="546"/>
      <c r="L320" s="607"/>
      <c r="M320" s="366"/>
      <c r="N320" s="366"/>
      <c r="P320" s="46"/>
      <c r="Q320" s="46"/>
      <c r="R320" s="47"/>
      <c r="S320" s="47"/>
      <c r="T320" s="47"/>
      <c r="U320" s="48"/>
      <c r="V320" s="49"/>
      <c r="W320" s="49"/>
      <c r="X320" s="49"/>
      <c r="Y320" s="49"/>
      <c r="Z320" s="49"/>
      <c r="AA320" s="49"/>
      <c r="AB320" s="49"/>
      <c r="AC320" s="49"/>
      <c r="AD320" s="49"/>
    </row>
    <row r="321" spans="1:30" ht="15" thickBot="1">
      <c r="B321" s="565"/>
      <c r="C321" s="606"/>
      <c r="D321" s="608"/>
      <c r="E321" s="608"/>
      <c r="F321" s="609"/>
      <c r="G321" s="549"/>
      <c r="H321" s="549"/>
      <c r="I321" s="549"/>
      <c r="J321" s="549"/>
      <c r="K321" s="546"/>
      <c r="L321" s="607"/>
      <c r="M321" s="362"/>
      <c r="N321" s="362"/>
      <c r="O321" s="71"/>
      <c r="P321" s="50"/>
      <c r="Q321" s="50"/>
      <c r="R321" s="51"/>
      <c r="S321" s="51"/>
      <c r="T321" s="51"/>
      <c r="U321" s="51"/>
      <c r="V321" s="50"/>
      <c r="W321" s="50"/>
      <c r="X321" s="50"/>
      <c r="Y321" s="50"/>
      <c r="Z321" s="50"/>
      <c r="AA321" s="50"/>
      <c r="AB321" s="50"/>
      <c r="AC321" s="50"/>
      <c r="AD321" s="50"/>
    </row>
    <row r="322" spans="1:30" ht="15" thickBot="1">
      <c r="B322" s="610"/>
      <c r="C322" s="611"/>
      <c r="D322" s="612"/>
      <c r="E322" s="613"/>
      <c r="F322" s="614"/>
      <c r="G322" s="539"/>
      <c r="H322" s="539"/>
      <c r="I322" s="539"/>
      <c r="J322" s="539"/>
      <c r="K322" s="615"/>
      <c r="L322" s="616"/>
      <c r="M322" s="362"/>
      <c r="N322" s="362"/>
      <c r="O322" s="460"/>
      <c r="P322" s="56"/>
      <c r="Q322" s="56"/>
      <c r="R322" s="57"/>
      <c r="S322" s="57"/>
      <c r="T322" s="57"/>
      <c r="U322" s="56"/>
      <c r="V322" s="56"/>
      <c r="W322" s="56"/>
      <c r="X322" s="56"/>
      <c r="Y322" s="56"/>
      <c r="Z322" s="56"/>
      <c r="AA322" s="56"/>
      <c r="AB322" s="56"/>
      <c r="AC322" s="56"/>
      <c r="AD322" s="56"/>
    </row>
    <row r="323" spans="1:30">
      <c r="B323" s="555"/>
      <c r="C323" s="617"/>
      <c r="D323" s="617"/>
      <c r="E323" s="617"/>
      <c r="F323" s="617"/>
      <c r="G323" s="617"/>
      <c r="H323" s="617"/>
      <c r="I323" s="617"/>
      <c r="J323" s="617"/>
      <c r="K323" s="617"/>
      <c r="L323" s="618"/>
      <c r="M323" s="362"/>
      <c r="N323" s="362"/>
      <c r="O323" s="619"/>
      <c r="P323" s="465"/>
      <c r="Q323" s="58"/>
      <c r="R323" s="465"/>
      <c r="S323" s="58"/>
      <c r="T323" s="465"/>
      <c r="U323" s="466"/>
      <c r="V323" s="466"/>
      <c r="W323" s="466"/>
      <c r="X323" s="58"/>
      <c r="Y323" s="58"/>
      <c r="Z323" s="465"/>
      <c r="AA323" s="467"/>
      <c r="AB323" s="467"/>
      <c r="AC323" s="467"/>
      <c r="AD323" s="467"/>
    </row>
    <row r="324" spans="1:30">
      <c r="B324" s="540"/>
      <c r="C324" s="557"/>
      <c r="D324" s="557"/>
      <c r="E324" s="557"/>
      <c r="F324" s="557"/>
      <c r="G324" s="562"/>
      <c r="H324" s="562"/>
      <c r="I324" s="562"/>
      <c r="J324" s="562"/>
      <c r="K324" s="562"/>
      <c r="L324" s="547"/>
      <c r="M324" s="362"/>
      <c r="N324" s="362"/>
      <c r="O324" s="619"/>
      <c r="P324" s="465"/>
      <c r="Q324" s="58"/>
      <c r="R324" s="465"/>
      <c r="S324" s="58"/>
      <c r="T324" s="465"/>
      <c r="U324" s="466"/>
      <c r="V324" s="466"/>
      <c r="W324" s="466"/>
      <c r="X324" s="58"/>
      <c r="Y324" s="58"/>
      <c r="Z324" s="465"/>
      <c r="AA324" s="467"/>
      <c r="AB324" s="467"/>
      <c r="AC324" s="467"/>
      <c r="AD324" s="467"/>
    </row>
    <row r="325" spans="1:30">
      <c r="B325" s="540"/>
      <c r="C325" s="557"/>
      <c r="D325" s="557"/>
      <c r="E325" s="557"/>
      <c r="F325" s="557"/>
      <c r="G325" s="562"/>
      <c r="H325" s="562"/>
      <c r="I325" s="562"/>
      <c r="J325" s="562"/>
      <c r="K325" s="562"/>
      <c r="L325" s="547"/>
      <c r="M325" s="362"/>
      <c r="N325" s="362"/>
      <c r="O325" s="619"/>
      <c r="P325" s="465"/>
      <c r="Q325" s="58"/>
      <c r="R325" s="465"/>
      <c r="S325" s="58"/>
      <c r="T325" s="465"/>
      <c r="U325" s="466"/>
      <c r="V325" s="466"/>
      <c r="W325" s="466"/>
      <c r="X325" s="58"/>
      <c r="Y325" s="58"/>
      <c r="Z325" s="465"/>
      <c r="AA325" s="467"/>
      <c r="AB325" s="467"/>
      <c r="AC325" s="467"/>
      <c r="AD325" s="467"/>
    </row>
    <row r="326" spans="1:30">
      <c r="B326" s="540"/>
      <c r="C326" s="563"/>
      <c r="D326" s="563"/>
      <c r="E326" s="563"/>
      <c r="F326" s="563"/>
      <c r="G326" s="620"/>
      <c r="H326" s="620"/>
      <c r="I326" s="620"/>
      <c r="J326" s="620"/>
      <c r="K326" s="620"/>
      <c r="L326" s="547"/>
      <c r="M326" s="362"/>
      <c r="N326" s="362"/>
      <c r="O326" s="619"/>
      <c r="P326" s="465"/>
      <c r="Q326" s="58"/>
      <c r="R326" s="465"/>
      <c r="S326" s="58"/>
      <c r="T326" s="465"/>
      <c r="U326" s="466"/>
      <c r="V326" s="466"/>
      <c r="W326" s="466"/>
      <c r="X326" s="58"/>
      <c r="Y326" s="58"/>
      <c r="Z326" s="465"/>
      <c r="AA326" s="467"/>
      <c r="AB326" s="467"/>
      <c r="AC326" s="467"/>
      <c r="AD326" s="467"/>
    </row>
    <row r="327" spans="1:30">
      <c r="B327" s="565"/>
      <c r="C327" s="557"/>
      <c r="D327" s="557"/>
      <c r="E327" s="557"/>
      <c r="F327" s="557"/>
      <c r="G327" s="562"/>
      <c r="H327" s="562"/>
      <c r="I327" s="562"/>
      <c r="J327" s="562"/>
      <c r="K327" s="562"/>
      <c r="L327" s="547"/>
      <c r="M327" s="366"/>
      <c r="N327" s="366"/>
    </row>
    <row r="328" spans="1:30">
      <c r="B328" s="565"/>
      <c r="C328" s="557"/>
      <c r="D328" s="557"/>
      <c r="E328" s="557"/>
      <c r="F328" s="557"/>
      <c r="G328" s="562"/>
      <c r="H328" s="562"/>
      <c r="I328" s="562"/>
      <c r="J328" s="562"/>
      <c r="K328" s="562"/>
      <c r="L328" s="547"/>
      <c r="M328" s="362"/>
      <c r="N328" s="362"/>
    </row>
    <row r="329" spans="1:30" ht="15" thickBot="1">
      <c r="B329" s="566"/>
      <c r="C329" s="621"/>
      <c r="D329" s="621"/>
      <c r="E329" s="621"/>
      <c r="F329" s="621"/>
      <c r="G329" s="622"/>
      <c r="H329" s="622"/>
      <c r="I329" s="622"/>
      <c r="J329" s="622"/>
      <c r="K329" s="622"/>
      <c r="L329" s="623"/>
      <c r="M329" s="362"/>
      <c r="N329" s="362"/>
    </row>
    <row r="330" spans="1:30">
      <c r="B330" s="460"/>
      <c r="C330" s="482"/>
      <c r="D330" s="482"/>
      <c r="E330" s="482"/>
      <c r="F330" s="482"/>
      <c r="G330" s="482"/>
      <c r="H330" s="483"/>
      <c r="I330" s="419"/>
      <c r="J330" s="419"/>
      <c r="K330" s="483"/>
      <c r="L330" s="483"/>
      <c r="N330" s="419"/>
    </row>
    <row r="331" spans="1:30">
      <c r="B331" s="484"/>
      <c r="C331" s="485"/>
      <c r="D331" s="485"/>
      <c r="E331" s="485"/>
      <c r="F331" s="485"/>
      <c r="G331" s="485"/>
      <c r="H331" s="483"/>
      <c r="I331" s="71"/>
      <c r="J331" s="419"/>
      <c r="K331" s="483"/>
      <c r="L331" s="483"/>
      <c r="N331" s="419"/>
    </row>
    <row r="332" spans="1:30">
      <c r="B332" s="460"/>
      <c r="C332" s="358"/>
      <c r="D332" s="358"/>
      <c r="E332" s="358"/>
      <c r="F332" s="358"/>
      <c r="G332" s="358"/>
      <c r="I332" s="419"/>
      <c r="J332" s="419"/>
      <c r="N332" s="419"/>
    </row>
    <row r="333" spans="1:30">
      <c r="B333" s="460"/>
      <c r="C333" s="486"/>
      <c r="D333" s="486"/>
      <c r="E333" s="486"/>
      <c r="F333" s="486"/>
      <c r="G333" s="358"/>
      <c r="M333" s="419"/>
      <c r="N333" s="419"/>
    </row>
    <row r="336" spans="1:30">
      <c r="A336" s="487"/>
      <c r="B336" s="488"/>
      <c r="D336" s="357"/>
      <c r="E336" s="357"/>
      <c r="F336" s="357"/>
      <c r="G336" s="357"/>
      <c r="H336" s="357"/>
      <c r="I336" s="357"/>
      <c r="J336" s="357"/>
      <c r="K336" s="357"/>
    </row>
    <row r="337" spans="1:11">
      <c r="A337" s="357"/>
      <c r="B337" s="489"/>
      <c r="E337" s="357"/>
      <c r="F337" s="357"/>
      <c r="G337" s="357"/>
      <c r="H337" s="357"/>
      <c r="I337" s="357"/>
      <c r="J337" s="357"/>
      <c r="K337" s="357"/>
    </row>
    <row r="338" spans="1:11">
      <c r="A338" s="357"/>
      <c r="B338" s="489"/>
      <c r="E338" s="357"/>
      <c r="F338" s="357"/>
      <c r="G338" s="357"/>
      <c r="H338" s="357"/>
      <c r="I338" s="357"/>
      <c r="J338" s="357"/>
      <c r="K338" s="357"/>
    </row>
    <row r="339" spans="1:11">
      <c r="A339" s="357"/>
      <c r="B339" s="489"/>
      <c r="E339" s="357"/>
      <c r="F339" s="357"/>
      <c r="G339" s="357"/>
      <c r="H339" s="357"/>
      <c r="I339" s="357"/>
      <c r="J339" s="357"/>
      <c r="K339" s="357"/>
    </row>
    <row r="340" spans="1:11">
      <c r="A340" s="357"/>
      <c r="B340" s="489"/>
      <c r="E340" s="357"/>
      <c r="F340" s="357"/>
      <c r="G340" s="357"/>
      <c r="H340" s="357"/>
      <c r="I340" s="357"/>
      <c r="J340" s="357"/>
      <c r="K340" s="357"/>
    </row>
    <row r="341" spans="1:11">
      <c r="A341" s="357"/>
      <c r="B341" s="489"/>
      <c r="E341" s="357"/>
      <c r="F341" s="357"/>
      <c r="G341" s="357"/>
      <c r="H341" s="357"/>
      <c r="I341" s="357"/>
      <c r="J341" s="357"/>
      <c r="K341" s="357"/>
    </row>
    <row r="342" spans="1:11">
      <c r="A342" s="357"/>
      <c r="B342" s="489"/>
      <c r="E342" s="357"/>
      <c r="F342" s="357"/>
      <c r="G342" s="357"/>
      <c r="H342" s="357"/>
      <c r="I342" s="357"/>
      <c r="J342" s="357"/>
      <c r="K342" s="357"/>
    </row>
    <row r="343" spans="1:11">
      <c r="A343" s="357"/>
      <c r="B343" s="489"/>
      <c r="E343" s="357"/>
      <c r="F343" s="357"/>
      <c r="G343" s="357"/>
      <c r="H343" s="357"/>
      <c r="I343" s="357"/>
      <c r="J343" s="357"/>
      <c r="K343" s="357"/>
    </row>
    <row r="344" spans="1:11">
      <c r="A344" s="357"/>
      <c r="B344" s="624"/>
      <c r="E344" s="357"/>
      <c r="F344" s="357"/>
      <c r="G344" s="357"/>
      <c r="H344" s="357"/>
      <c r="I344" s="357"/>
      <c r="J344" s="357"/>
      <c r="K344" s="357"/>
    </row>
    <row r="345" spans="1:11">
      <c r="A345" s="357"/>
      <c r="B345" s="489"/>
      <c r="E345" s="357"/>
      <c r="F345" s="357"/>
      <c r="G345" s="357"/>
      <c r="H345" s="357"/>
      <c r="I345" s="357"/>
      <c r="J345" s="357"/>
      <c r="K345" s="357"/>
    </row>
    <row r="346" spans="1:11">
      <c r="A346" s="487"/>
      <c r="B346" s="488"/>
      <c r="E346" s="357"/>
      <c r="F346" s="357"/>
      <c r="G346" s="357"/>
      <c r="H346" s="357"/>
      <c r="I346" s="357"/>
      <c r="J346" s="357"/>
      <c r="K346" s="357"/>
    </row>
    <row r="347" spans="1:11">
      <c r="A347" s="495"/>
      <c r="B347" s="489"/>
      <c r="C347" s="488"/>
      <c r="E347" s="357"/>
      <c r="F347" s="357"/>
      <c r="G347" s="357"/>
      <c r="H347" s="357"/>
      <c r="I347" s="357"/>
      <c r="J347" s="357"/>
      <c r="K347" s="357"/>
    </row>
    <row r="348" spans="1:11">
      <c r="A348" s="495"/>
      <c r="B348" s="489"/>
      <c r="C348" s="488"/>
      <c r="E348" s="357"/>
      <c r="F348" s="357"/>
      <c r="G348" s="357"/>
      <c r="H348" s="357"/>
      <c r="I348" s="357"/>
      <c r="J348" s="357"/>
      <c r="K348" s="357"/>
    </row>
    <row r="349" spans="1:11">
      <c r="A349" s="495"/>
      <c r="B349" s="489"/>
      <c r="C349" s="488"/>
      <c r="E349" s="357"/>
      <c r="F349" s="357"/>
      <c r="G349" s="357"/>
      <c r="H349" s="357"/>
      <c r="I349" s="357"/>
      <c r="J349" s="357"/>
      <c r="K349" s="357"/>
    </row>
    <row r="350" spans="1:11">
      <c r="A350" s="495"/>
      <c r="B350" s="489"/>
      <c r="C350" s="488"/>
      <c r="E350" s="357"/>
      <c r="F350" s="357"/>
      <c r="G350" s="357"/>
      <c r="H350" s="357"/>
      <c r="I350" s="357"/>
      <c r="J350" s="357"/>
      <c r="K350" s="357"/>
    </row>
    <row r="351" spans="1:11" ht="15.75" customHeight="1">
      <c r="A351" s="495"/>
      <c r="B351" s="489"/>
      <c r="C351" s="488"/>
      <c r="E351" s="357"/>
      <c r="F351" s="357"/>
      <c r="G351" s="357"/>
      <c r="H351" s="357"/>
      <c r="I351" s="357"/>
      <c r="J351" s="357"/>
      <c r="K351" s="357"/>
    </row>
    <row r="352" spans="1:11" ht="15.75" customHeight="1">
      <c r="A352" s="495"/>
      <c r="B352" s="489"/>
      <c r="C352" s="488"/>
      <c r="E352" s="357"/>
      <c r="F352" s="357"/>
      <c r="G352" s="357"/>
      <c r="H352" s="357"/>
      <c r="I352" s="357"/>
      <c r="J352" s="357"/>
      <c r="K352" s="357"/>
    </row>
  </sheetData>
  <mergeCells count="393">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A232:AA236"/>
    <mergeCell ref="AB232:AB236"/>
    <mergeCell ref="AC232:AC236"/>
    <mergeCell ref="P229:P237"/>
    <mergeCell ref="Q229:Q231"/>
    <mergeCell ref="T229:T231"/>
    <mergeCell ref="U229:U231"/>
    <mergeCell ref="V229:V231"/>
    <mergeCell ref="W229:W231"/>
    <mergeCell ref="X229:X231"/>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P184:U184"/>
    <mergeCell ref="P185:U185"/>
    <mergeCell ref="C225:L225"/>
    <mergeCell ref="S225:S228"/>
    <mergeCell ref="T225:U227"/>
    <mergeCell ref="V225:W227"/>
    <mergeCell ref="K226:K227"/>
    <mergeCell ref="L226:L227"/>
    <mergeCell ref="P226:P228"/>
    <mergeCell ref="Q227:Q228"/>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P162:P170"/>
    <mergeCell ref="Q162:Q164"/>
    <mergeCell ref="T162:T164"/>
    <mergeCell ref="U162:U164"/>
    <mergeCell ref="V162:V164"/>
    <mergeCell ref="W162:W164"/>
    <mergeCell ref="Q165:Q169"/>
    <mergeCell ref="T165:T169"/>
    <mergeCell ref="U165:U169"/>
    <mergeCell ref="V165:V169"/>
    <mergeCell ref="W165:W169"/>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Z158:AA160"/>
    <mergeCell ref="P159:P161"/>
    <mergeCell ref="Q160:Q161"/>
    <mergeCell ref="R160:R161"/>
    <mergeCell ref="P112:U112"/>
    <mergeCell ref="P113:U113"/>
    <mergeCell ref="B156:B157"/>
    <mergeCell ref="C156:M156"/>
    <mergeCell ref="P156:U156"/>
    <mergeCell ref="C157:M157"/>
    <mergeCell ref="P157:U15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P33:U33"/>
    <mergeCell ref="P34:U34"/>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86" location="INDEX" display="Hot water boiler, Oil" xr:uid="{D26382D3-0D40-4E40-9DC0-E5D60ECCEBED}"/>
    <hyperlink ref="C7" location="INDEX" display="Steam boiler, Oil" xr:uid="{09DB974D-A2E6-4242-946A-0A9DBB0EEA1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A0B0-6287-4C28-9ABD-44CA871A0883}">
  <sheetPr>
    <tabColor theme="3"/>
  </sheetPr>
  <dimension ref="A2:AR374"/>
  <sheetViews>
    <sheetView zoomScale="55" zoomScaleNormal="55" workbookViewId="0">
      <selection activeCell="U38" sqref="U38"/>
    </sheetView>
  </sheetViews>
  <sheetFormatPr defaultColWidth="8.77734375" defaultRowHeight="14.4" outlineLevelRow="1"/>
  <cols>
    <col min="1" max="1" width="20.5546875" style="224"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8" t="s">
        <v>308</v>
      </c>
    </row>
    <row r="4" spans="1:44" ht="25.05" customHeight="1">
      <c r="E4" s="224" t="s">
        <v>358</v>
      </c>
      <c r="F4" s="358">
        <v>7.45</v>
      </c>
      <c r="G4" s="358" t="s">
        <v>328</v>
      </c>
    </row>
    <row r="5" spans="1:44" ht="15" customHeight="1">
      <c r="A5" s="359" t="s">
        <v>758</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1.6" outlineLevel="1" thickBot="1">
      <c r="B7" s="361" t="s">
        <v>0</v>
      </c>
      <c r="C7" s="1183" t="s">
        <v>759</v>
      </c>
      <c r="D7" s="1202"/>
      <c r="E7" s="1202"/>
      <c r="F7" s="1202"/>
      <c r="G7" s="1202"/>
      <c r="H7" s="1202"/>
      <c r="I7" s="1202"/>
      <c r="J7" s="1202"/>
      <c r="K7" s="1202"/>
      <c r="L7" s="1203"/>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outlineLevel="1" thickBot="1">
      <c r="B8" s="1161" t="s">
        <v>4</v>
      </c>
      <c r="C8" s="1163">
        <v>2020</v>
      </c>
      <c r="D8" s="1163">
        <v>2030</v>
      </c>
      <c r="E8" s="1163">
        <v>2040</v>
      </c>
      <c r="F8" s="1163">
        <v>2050</v>
      </c>
      <c r="G8" s="1214" t="s">
        <v>684</v>
      </c>
      <c r="H8" s="1215"/>
      <c r="I8" s="1214" t="s">
        <v>628</v>
      </c>
      <c r="J8" s="1215"/>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162"/>
      <c r="C9" s="1164"/>
      <c r="D9" s="1164"/>
      <c r="E9" s="1164"/>
      <c r="F9" s="1164"/>
      <c r="G9" s="368" t="s">
        <v>629</v>
      </c>
      <c r="H9" s="368" t="s">
        <v>630</v>
      </c>
      <c r="I9" s="368" t="s">
        <v>629</v>
      </c>
      <c r="J9" s="368" t="s">
        <v>630</v>
      </c>
      <c r="K9" s="1217"/>
      <c r="L9" s="1217"/>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687</v>
      </c>
      <c r="C10" s="371">
        <f>20*1000</f>
        <v>20000</v>
      </c>
      <c r="D10" s="371">
        <f>20*1000</f>
        <v>20000</v>
      </c>
      <c r="E10" s="371">
        <f>20*1000</f>
        <v>20000</v>
      </c>
      <c r="F10" s="371">
        <f>20*1000</f>
        <v>20000</v>
      </c>
      <c r="G10" s="371">
        <f>1*1000</f>
        <v>1000</v>
      </c>
      <c r="H10" s="371">
        <f>50*1000</f>
        <v>50000</v>
      </c>
      <c r="I10" s="371">
        <f>1*1000</f>
        <v>1000</v>
      </c>
      <c r="J10" s="371">
        <f>50*1000</f>
        <v>50000</v>
      </c>
      <c r="K10" s="371" t="s">
        <v>6</v>
      </c>
      <c r="L10" s="372" t="s">
        <v>688</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93</v>
      </c>
      <c r="D11" s="376">
        <f>C11+1</f>
        <v>94</v>
      </c>
      <c r="E11" s="377">
        <f>D11</f>
        <v>94</v>
      </c>
      <c r="F11" s="376">
        <f>D11+1</f>
        <v>95</v>
      </c>
      <c r="G11" s="376">
        <v>90</v>
      </c>
      <c r="H11" s="376">
        <v>96</v>
      </c>
      <c r="I11" s="376">
        <v>90</v>
      </c>
      <c r="J11" s="376">
        <v>97</v>
      </c>
      <c r="K11" s="378" t="s">
        <v>59</v>
      </c>
      <c r="L11" s="379" t="s">
        <v>692</v>
      </c>
      <c r="M11" s="369"/>
      <c r="N11" s="369"/>
      <c r="P11" s="1196" t="str">
        <f>C7</f>
        <v>Steam boiler, Natural gas or biogas</v>
      </c>
      <c r="Q11" s="1151" t="s">
        <v>693</v>
      </c>
      <c r="R11" s="380" t="s">
        <v>694</v>
      </c>
      <c r="S11" s="381"/>
      <c r="T11" s="1134">
        <v>0</v>
      </c>
      <c r="U11" s="1148">
        <v>1</v>
      </c>
      <c r="V11" s="1134">
        <v>0</v>
      </c>
      <c r="W11" s="1148">
        <v>1</v>
      </c>
      <c r="X11" s="1134">
        <v>0</v>
      </c>
      <c r="Y11" s="1148">
        <v>1</v>
      </c>
      <c r="Z11" s="1134">
        <v>0</v>
      </c>
      <c r="AA11" s="1148">
        <v>1</v>
      </c>
      <c r="AB11" s="1134">
        <v>0</v>
      </c>
      <c r="AC11" s="1148">
        <v>1</v>
      </c>
      <c r="AE11" s="1145" t="str">
        <f>P11</f>
        <v>Steam boiler, Natural gas or biogas</v>
      </c>
      <c r="AF11" s="1151" t="s">
        <v>693</v>
      </c>
      <c r="AG11" s="380" t="s">
        <v>694</v>
      </c>
      <c r="AH11" s="381"/>
      <c r="AI11" s="1134">
        <v>0</v>
      </c>
      <c r="AJ11" s="1148">
        <v>1</v>
      </c>
      <c r="AK11" s="1134">
        <v>0</v>
      </c>
      <c r="AL11" s="1148">
        <v>1</v>
      </c>
      <c r="AM11" s="1134">
        <v>0</v>
      </c>
      <c r="AN11" s="1148">
        <v>1</v>
      </c>
      <c r="AO11" s="1134">
        <v>0</v>
      </c>
      <c r="AP11" s="1148">
        <v>1</v>
      </c>
      <c r="AQ11" s="1134">
        <v>0</v>
      </c>
      <c r="AR11" s="1148">
        <v>1</v>
      </c>
    </row>
    <row r="12" spans="1:44" ht="32.549999999999997" customHeight="1" outlineLevel="1">
      <c r="B12" s="382" t="s">
        <v>695</v>
      </c>
      <c r="C12" s="383">
        <f t="shared" ref="C12:J12" si="0">C11-1</f>
        <v>92</v>
      </c>
      <c r="D12" s="383">
        <f t="shared" si="0"/>
        <v>93</v>
      </c>
      <c r="E12" s="383">
        <f t="shared" si="0"/>
        <v>93</v>
      </c>
      <c r="F12" s="383">
        <f t="shared" si="0"/>
        <v>94</v>
      </c>
      <c r="G12" s="384">
        <f t="shared" si="0"/>
        <v>89</v>
      </c>
      <c r="H12" s="384">
        <f t="shared" si="0"/>
        <v>95</v>
      </c>
      <c r="I12" s="384">
        <f t="shared" si="0"/>
        <v>89</v>
      </c>
      <c r="J12" s="384">
        <f t="shared" si="0"/>
        <v>96</v>
      </c>
      <c r="K12" s="385"/>
      <c r="L12" s="386" t="s">
        <v>692</v>
      </c>
      <c r="M12" s="369"/>
      <c r="N12" s="369"/>
      <c r="O12" s="71"/>
      <c r="P12" s="1192"/>
      <c r="Q12" s="1152"/>
      <c r="R12" s="387" t="s">
        <v>696</v>
      </c>
      <c r="S12" s="388"/>
      <c r="T12" s="1137"/>
      <c r="U12" s="1149"/>
      <c r="V12" s="1137"/>
      <c r="W12" s="1149"/>
      <c r="X12" s="1137"/>
      <c r="Y12" s="1149"/>
      <c r="Z12" s="1137"/>
      <c r="AA12" s="1149"/>
      <c r="AB12" s="1137"/>
      <c r="AC12" s="1149"/>
      <c r="AE12" s="1192"/>
      <c r="AF12" s="1152"/>
      <c r="AG12" s="387" t="s">
        <v>696</v>
      </c>
      <c r="AH12" s="388"/>
      <c r="AI12" s="1137"/>
      <c r="AJ12" s="1149"/>
      <c r="AK12" s="1137"/>
      <c r="AL12" s="1149"/>
      <c r="AM12" s="1137"/>
      <c r="AN12" s="1149"/>
      <c r="AO12" s="1137"/>
      <c r="AP12" s="1149"/>
      <c r="AQ12" s="1137"/>
      <c r="AR12" s="1149"/>
    </row>
    <row r="13" spans="1:44" ht="15" outlineLevel="1" thickBot="1">
      <c r="B13" s="375" t="s">
        <v>697</v>
      </c>
      <c r="C13" s="389">
        <v>0.14000000000000001</v>
      </c>
      <c r="D13" s="390">
        <v>0.12</v>
      </c>
      <c r="E13" s="390">
        <v>0.11</v>
      </c>
      <c r="F13" s="391">
        <v>0.1</v>
      </c>
      <c r="G13" s="390">
        <v>0.1</v>
      </c>
      <c r="H13" s="390">
        <v>0.14000000000000001</v>
      </c>
      <c r="I13" s="390">
        <v>0.08</v>
      </c>
      <c r="J13" s="390">
        <v>0.12</v>
      </c>
      <c r="K13" s="378"/>
      <c r="L13" s="379">
        <v>3</v>
      </c>
      <c r="M13" s="369"/>
      <c r="N13" s="369"/>
      <c r="O13" s="71"/>
      <c r="P13" s="1192"/>
      <c r="Q13" s="1153"/>
      <c r="R13" s="392" t="s">
        <v>698</v>
      </c>
      <c r="S13" s="393"/>
      <c r="T13" s="1138"/>
      <c r="U13" s="1150"/>
      <c r="V13" s="1138"/>
      <c r="W13" s="1150"/>
      <c r="X13" s="1138"/>
      <c r="Y13" s="1150"/>
      <c r="Z13" s="1138"/>
      <c r="AA13" s="1150"/>
      <c r="AB13" s="1138"/>
      <c r="AC13" s="1150"/>
      <c r="AE13" s="1192"/>
      <c r="AF13" s="1153"/>
      <c r="AG13" s="392" t="s">
        <v>698</v>
      </c>
      <c r="AH13" s="393"/>
      <c r="AI13" s="1138"/>
      <c r="AJ13" s="1150"/>
      <c r="AK13" s="1138"/>
      <c r="AL13" s="1150"/>
      <c r="AM13" s="1138"/>
      <c r="AN13" s="1150"/>
      <c r="AO13" s="1138"/>
      <c r="AP13" s="1150"/>
      <c r="AQ13" s="1138"/>
      <c r="AR13" s="1150"/>
    </row>
    <row r="14" spans="1:44" outlineLevel="1">
      <c r="B14" s="375" t="s">
        <v>637</v>
      </c>
      <c r="C14" s="389">
        <v>1</v>
      </c>
      <c r="D14" s="389">
        <v>1</v>
      </c>
      <c r="E14" s="389">
        <v>1</v>
      </c>
      <c r="F14" s="389">
        <v>1</v>
      </c>
      <c r="G14" s="389">
        <v>0.08</v>
      </c>
      <c r="H14" s="389">
        <v>2</v>
      </c>
      <c r="I14" s="389">
        <v>0.08</v>
      </c>
      <c r="J14" s="389">
        <v>2</v>
      </c>
      <c r="K14" s="378"/>
      <c r="L14" s="379">
        <v>3</v>
      </c>
      <c r="M14" s="369"/>
      <c r="N14" s="369"/>
      <c r="O14" s="71"/>
      <c r="P14" s="1192"/>
      <c r="Q14" s="1151" t="s">
        <v>699</v>
      </c>
      <c r="R14" s="394" t="s">
        <v>700</v>
      </c>
      <c r="S14" s="395" t="s">
        <v>701</v>
      </c>
      <c r="T14" s="1134">
        <v>0</v>
      </c>
      <c r="U14" s="1134">
        <v>1</v>
      </c>
      <c r="V14" s="1134">
        <v>0</v>
      </c>
      <c r="W14" s="1134">
        <v>1</v>
      </c>
      <c r="X14" s="1134">
        <v>0</v>
      </c>
      <c r="Y14" s="1134">
        <v>0.97</v>
      </c>
      <c r="Z14" s="1134">
        <v>0</v>
      </c>
      <c r="AA14" s="1134">
        <v>1</v>
      </c>
      <c r="AB14" s="1134">
        <v>0</v>
      </c>
      <c r="AC14" s="1134">
        <v>1</v>
      </c>
      <c r="AE14" s="1192"/>
      <c r="AF14" s="1151" t="s">
        <v>699</v>
      </c>
      <c r="AG14" s="394" t="s">
        <v>700</v>
      </c>
      <c r="AH14" s="395" t="s">
        <v>701</v>
      </c>
      <c r="AI14" s="1134">
        <v>0</v>
      </c>
      <c r="AJ14" s="1134">
        <v>1</v>
      </c>
      <c r="AK14" s="1134">
        <v>0</v>
      </c>
      <c r="AL14" s="1134">
        <v>1</v>
      </c>
      <c r="AM14" s="1134">
        <v>0</v>
      </c>
      <c r="AN14" s="1134">
        <v>0.97</v>
      </c>
      <c r="AO14" s="1134">
        <v>0</v>
      </c>
      <c r="AP14" s="1134">
        <v>1</v>
      </c>
      <c r="AQ14" s="1134">
        <v>0</v>
      </c>
      <c r="AR14" s="1134">
        <v>1</v>
      </c>
    </row>
    <row r="15" spans="1:44" outlineLevel="1">
      <c r="B15" s="375" t="s">
        <v>638</v>
      </c>
      <c r="C15" s="389">
        <v>0.4</v>
      </c>
      <c r="D15" s="389">
        <v>0.4</v>
      </c>
      <c r="E15" s="389">
        <v>0.4</v>
      </c>
      <c r="F15" s="389">
        <v>0.4</v>
      </c>
      <c r="G15" s="389">
        <v>0.3</v>
      </c>
      <c r="H15" s="389">
        <v>0.6</v>
      </c>
      <c r="I15" s="389">
        <v>0.3</v>
      </c>
      <c r="J15" s="389">
        <v>0.6</v>
      </c>
      <c r="K15" s="378"/>
      <c r="L15" s="379">
        <v>3</v>
      </c>
      <c r="M15" s="366"/>
      <c r="N15" s="366"/>
      <c r="O15" s="71"/>
      <c r="P15" s="1192"/>
      <c r="Q15" s="1152"/>
      <c r="R15" s="394" t="s">
        <v>702</v>
      </c>
      <c r="S15" s="395" t="s">
        <v>701</v>
      </c>
      <c r="T15" s="1135"/>
      <c r="U15" s="1135"/>
      <c r="V15" s="1135"/>
      <c r="W15" s="1135"/>
      <c r="X15" s="1135"/>
      <c r="Y15" s="1135"/>
      <c r="Z15" s="1135"/>
      <c r="AA15" s="1135"/>
      <c r="AB15" s="1135"/>
      <c r="AC15" s="1135"/>
      <c r="AE15" s="1192"/>
      <c r="AF15" s="1152"/>
      <c r="AG15" s="394" t="s">
        <v>702</v>
      </c>
      <c r="AH15" s="395" t="s">
        <v>701</v>
      </c>
      <c r="AI15" s="1135"/>
      <c r="AJ15" s="1135"/>
      <c r="AK15" s="1135"/>
      <c r="AL15" s="1135"/>
      <c r="AM15" s="1135"/>
      <c r="AN15" s="1135"/>
      <c r="AO15" s="1135"/>
      <c r="AP15" s="1135"/>
      <c r="AQ15" s="1135"/>
      <c r="AR15" s="1135"/>
    </row>
    <row r="16" spans="1:44" outlineLevel="1">
      <c r="B16" s="382" t="s">
        <v>11</v>
      </c>
      <c r="C16" s="396">
        <v>25</v>
      </c>
      <c r="D16" s="396">
        <v>25</v>
      </c>
      <c r="E16" s="396">
        <v>25</v>
      </c>
      <c r="F16" s="396">
        <v>25</v>
      </c>
      <c r="G16" s="397">
        <v>25</v>
      </c>
      <c r="H16" s="397">
        <v>30</v>
      </c>
      <c r="I16" s="397">
        <v>25</v>
      </c>
      <c r="J16" s="397">
        <v>30</v>
      </c>
      <c r="K16" s="371"/>
      <c r="L16" s="372" t="s">
        <v>703</v>
      </c>
      <c r="M16" s="362"/>
      <c r="N16" s="362"/>
      <c r="P16" s="1192"/>
      <c r="Q16" s="1152"/>
      <c r="R16" s="394" t="s">
        <v>704</v>
      </c>
      <c r="S16" s="395" t="s">
        <v>701</v>
      </c>
      <c r="T16" s="1135"/>
      <c r="U16" s="1135"/>
      <c r="V16" s="1135"/>
      <c r="W16" s="1135"/>
      <c r="X16" s="1135"/>
      <c r="Y16" s="1135"/>
      <c r="Z16" s="1135"/>
      <c r="AA16" s="1135"/>
      <c r="AB16" s="1135"/>
      <c r="AC16" s="1135"/>
      <c r="AE16" s="1192"/>
      <c r="AF16" s="1152"/>
      <c r="AG16" s="394" t="s">
        <v>704</v>
      </c>
      <c r="AH16" s="395" t="s">
        <v>701</v>
      </c>
      <c r="AI16" s="1135"/>
      <c r="AJ16" s="1135"/>
      <c r="AK16" s="1135"/>
      <c r="AL16" s="1135"/>
      <c r="AM16" s="1135"/>
      <c r="AN16" s="1135"/>
      <c r="AO16" s="1135"/>
      <c r="AP16" s="1135"/>
      <c r="AQ16" s="1135"/>
      <c r="AR16" s="1135"/>
    </row>
    <row r="17" spans="1:44" ht="15" outlineLevel="1" thickBot="1">
      <c r="B17" s="375" t="s">
        <v>273</v>
      </c>
      <c r="C17" s="398">
        <v>0.5</v>
      </c>
      <c r="D17" s="398">
        <v>0.5</v>
      </c>
      <c r="E17" s="398">
        <v>0.5</v>
      </c>
      <c r="F17" s="398">
        <v>0.5</v>
      </c>
      <c r="G17" s="398">
        <v>0.2</v>
      </c>
      <c r="H17" s="398">
        <v>0.7</v>
      </c>
      <c r="I17" s="398">
        <v>0.2</v>
      </c>
      <c r="J17" s="398">
        <v>0.7</v>
      </c>
      <c r="K17" s="371"/>
      <c r="L17" s="399"/>
      <c r="M17" s="362"/>
      <c r="N17" s="362"/>
      <c r="P17" s="1192"/>
      <c r="Q17" s="1152"/>
      <c r="R17" s="394" t="s">
        <v>705</v>
      </c>
      <c r="S17" s="395" t="s">
        <v>701</v>
      </c>
      <c r="T17" s="1135"/>
      <c r="U17" s="1135"/>
      <c r="V17" s="1135"/>
      <c r="W17" s="1135"/>
      <c r="X17" s="1135"/>
      <c r="Y17" s="1135"/>
      <c r="Z17" s="1135"/>
      <c r="AA17" s="1135"/>
      <c r="AB17" s="1135"/>
      <c r="AC17" s="1135"/>
      <c r="AE17" s="1192"/>
      <c r="AF17" s="1152"/>
      <c r="AG17" s="394" t="s">
        <v>705</v>
      </c>
      <c r="AH17" s="395" t="s">
        <v>701</v>
      </c>
      <c r="AI17" s="1135"/>
      <c r="AJ17" s="1135"/>
      <c r="AK17" s="1135"/>
      <c r="AL17" s="1135"/>
      <c r="AM17" s="1135"/>
      <c r="AN17" s="1135"/>
      <c r="AO17" s="1135"/>
      <c r="AP17" s="1135"/>
      <c r="AQ17" s="1135"/>
      <c r="AR17" s="1135"/>
    </row>
    <row r="18" spans="1:44" ht="15" outlineLevel="1" thickBot="1">
      <c r="B18" s="400" t="s">
        <v>706</v>
      </c>
      <c r="C18" s="401"/>
      <c r="D18" s="402"/>
      <c r="E18" s="403"/>
      <c r="F18" s="404"/>
      <c r="G18" s="405"/>
      <c r="H18" s="405"/>
      <c r="I18" s="405"/>
      <c r="J18" s="405"/>
      <c r="K18" s="406"/>
      <c r="L18" s="407"/>
      <c r="M18" s="362"/>
      <c r="N18" s="362"/>
      <c r="P18" s="1192"/>
      <c r="Q18" s="1152"/>
      <c r="R18" s="408" t="s">
        <v>707</v>
      </c>
      <c r="S18" s="409" t="s">
        <v>701</v>
      </c>
      <c r="T18" s="1136"/>
      <c r="U18" s="1136"/>
      <c r="V18" s="1136"/>
      <c r="W18" s="1136"/>
      <c r="X18" s="1136"/>
      <c r="Y18" s="1136"/>
      <c r="Z18" s="1136"/>
      <c r="AA18" s="1136"/>
      <c r="AB18" s="1136"/>
      <c r="AC18" s="1136"/>
      <c r="AE18" s="1192"/>
      <c r="AF18" s="1152"/>
      <c r="AG18" s="408" t="s">
        <v>707</v>
      </c>
      <c r="AH18" s="409" t="s">
        <v>701</v>
      </c>
      <c r="AI18" s="1136"/>
      <c r="AJ18" s="1136"/>
      <c r="AK18" s="1136"/>
      <c r="AL18" s="1136"/>
      <c r="AM18" s="1136"/>
      <c r="AN18" s="1136"/>
      <c r="AO18" s="1136"/>
      <c r="AP18" s="1136"/>
      <c r="AQ18" s="1136"/>
      <c r="AR18" s="1136"/>
    </row>
    <row r="19" spans="1:44" ht="29.4" outlineLevel="1" thickBot="1">
      <c r="B19" s="375" t="s">
        <v>643</v>
      </c>
      <c r="C19" s="389">
        <v>15</v>
      </c>
      <c r="D19" s="389">
        <v>15</v>
      </c>
      <c r="E19" s="389">
        <v>15</v>
      </c>
      <c r="F19" s="389">
        <v>15</v>
      </c>
      <c r="G19" s="390"/>
      <c r="H19" s="390"/>
      <c r="I19" s="390"/>
      <c r="J19" s="390"/>
      <c r="K19" s="378"/>
      <c r="L19" s="379">
        <v>3</v>
      </c>
      <c r="M19" s="362"/>
      <c r="N19" s="362"/>
      <c r="P19" s="1193"/>
      <c r="Q19" s="410" t="s">
        <v>708</v>
      </c>
      <c r="R19" s="411" t="s">
        <v>709</v>
      </c>
      <c r="S19" s="412" t="s">
        <v>701</v>
      </c>
      <c r="T19" s="413">
        <v>1</v>
      </c>
      <c r="U19" s="414">
        <v>1</v>
      </c>
      <c r="V19" s="415">
        <v>1</v>
      </c>
      <c r="W19" s="414">
        <v>1</v>
      </c>
      <c r="X19" s="415">
        <v>1</v>
      </c>
      <c r="Y19" s="414">
        <v>1</v>
      </c>
      <c r="Z19" s="415">
        <v>1</v>
      </c>
      <c r="AA19" s="414">
        <v>1</v>
      </c>
      <c r="AB19" s="415">
        <v>1</v>
      </c>
      <c r="AC19" s="416">
        <v>1</v>
      </c>
      <c r="AE19" s="1193"/>
      <c r="AF19" s="410" t="s">
        <v>708</v>
      </c>
      <c r="AG19" s="411" t="s">
        <v>709</v>
      </c>
      <c r="AH19" s="412" t="s">
        <v>701</v>
      </c>
      <c r="AI19" s="413">
        <v>1</v>
      </c>
      <c r="AJ19" s="414">
        <v>1</v>
      </c>
      <c r="AK19" s="415">
        <v>1</v>
      </c>
      <c r="AL19" s="414">
        <v>1</v>
      </c>
      <c r="AM19" s="415">
        <v>1</v>
      </c>
      <c r="AN19" s="414">
        <v>1</v>
      </c>
      <c r="AO19" s="415">
        <v>1</v>
      </c>
      <c r="AP19" s="414">
        <v>1</v>
      </c>
      <c r="AQ19" s="415">
        <v>1</v>
      </c>
      <c r="AR19" s="416">
        <v>1</v>
      </c>
    </row>
    <row r="20" spans="1:44" outlineLevel="1">
      <c r="B20" s="375" t="s">
        <v>644</v>
      </c>
      <c r="C20" s="389">
        <v>0.1</v>
      </c>
      <c r="D20" s="389">
        <v>0.1</v>
      </c>
      <c r="E20" s="389">
        <v>0.1</v>
      </c>
      <c r="F20" s="389">
        <v>0.1</v>
      </c>
      <c r="G20" s="417"/>
      <c r="H20" s="417"/>
      <c r="I20" s="417"/>
      <c r="J20" s="417"/>
      <c r="K20" s="418"/>
      <c r="L20" s="379">
        <v>3</v>
      </c>
      <c r="M20" s="362"/>
      <c r="N20" s="362"/>
    </row>
    <row r="21" spans="1:44" outlineLevel="1">
      <c r="B21" s="375" t="s">
        <v>646</v>
      </c>
      <c r="C21" s="389">
        <v>0.4</v>
      </c>
      <c r="D21" s="389">
        <v>0.4</v>
      </c>
      <c r="E21" s="389">
        <v>0.4</v>
      </c>
      <c r="F21" s="389">
        <v>0.4</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15.6" outlineLevel="1">
      <c r="B23" s="382" t="s">
        <v>710</v>
      </c>
      <c r="C23" s="396">
        <v>0.3</v>
      </c>
      <c r="D23" s="396">
        <v>0.3</v>
      </c>
      <c r="E23" s="396">
        <v>0.3</v>
      </c>
      <c r="F23" s="396">
        <v>0.3</v>
      </c>
      <c r="G23" s="421"/>
      <c r="H23" s="424"/>
      <c r="I23" s="424"/>
      <c r="J23" s="424"/>
      <c r="K23" s="425" t="s">
        <v>16</v>
      </c>
      <c r="L23" s="426" t="s">
        <v>711</v>
      </c>
      <c r="M23" s="427"/>
      <c r="N23" s="427"/>
    </row>
    <row r="24" spans="1:44" outlineLevel="1">
      <c r="B24" s="382" t="s">
        <v>712</v>
      </c>
      <c r="C24" s="396">
        <v>0.1</v>
      </c>
      <c r="D24" s="396">
        <v>0.1</v>
      </c>
      <c r="E24" s="396">
        <v>0.1</v>
      </c>
      <c r="F24" s="396">
        <v>0.1</v>
      </c>
      <c r="G24" s="424"/>
      <c r="H24" s="424"/>
      <c r="I24" s="424"/>
      <c r="J24" s="424"/>
      <c r="K24" s="422"/>
      <c r="L24" s="426">
        <v>9</v>
      </c>
      <c r="M24" s="427"/>
      <c r="N24" s="427"/>
    </row>
    <row r="25" spans="1:44" ht="15.6" outlineLevel="1">
      <c r="B25" s="382" t="s">
        <v>713</v>
      </c>
      <c r="C25" s="396">
        <v>9</v>
      </c>
      <c r="D25" s="396">
        <v>7</v>
      </c>
      <c r="E25" s="396">
        <v>6</v>
      </c>
      <c r="F25" s="396">
        <v>6</v>
      </c>
      <c r="G25" s="424"/>
      <c r="H25" s="424"/>
      <c r="I25" s="424"/>
      <c r="J25" s="424"/>
      <c r="K25" s="422"/>
      <c r="L25" s="426" t="s">
        <v>711</v>
      </c>
      <c r="M25" s="427"/>
      <c r="N25" s="427"/>
      <c r="T25" s="224">
        <f>C$23</f>
        <v>0.3</v>
      </c>
      <c r="U25" s="224">
        <f t="shared" ref="U25:V25" si="1">D$23</f>
        <v>0.3</v>
      </c>
      <c r="V25" s="224">
        <f t="shared" si="1"/>
        <v>0.3</v>
      </c>
    </row>
    <row r="26" spans="1:44" outlineLevel="1">
      <c r="B26" s="382" t="s">
        <v>366</v>
      </c>
      <c r="C26" s="396">
        <v>3</v>
      </c>
      <c r="D26" s="396">
        <v>2</v>
      </c>
      <c r="E26" s="396">
        <v>2</v>
      </c>
      <c r="F26" s="396">
        <v>2</v>
      </c>
      <c r="G26" s="424"/>
      <c r="H26" s="424"/>
      <c r="I26" s="424"/>
      <c r="J26" s="424"/>
      <c r="K26" s="422"/>
      <c r="L26" s="426" t="s">
        <v>711</v>
      </c>
      <c r="M26" s="427"/>
      <c r="N26" s="427"/>
    </row>
    <row r="27" spans="1:44" ht="15" outlineLevel="1" thickBot="1">
      <c r="B27" s="428" t="s">
        <v>367</v>
      </c>
      <c r="C27" s="429">
        <v>1</v>
      </c>
      <c r="D27" s="429">
        <v>1</v>
      </c>
      <c r="E27" s="429">
        <v>1</v>
      </c>
      <c r="F27" s="429">
        <v>1</v>
      </c>
      <c r="G27" s="424"/>
      <c r="H27" s="424"/>
      <c r="I27" s="424"/>
      <c r="J27" s="424"/>
      <c r="K27" s="422"/>
      <c r="L27" s="426" t="s">
        <v>711</v>
      </c>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t="s">
        <v>760</v>
      </c>
      <c r="B29" s="435" t="s">
        <v>714</v>
      </c>
      <c r="C29" s="436">
        <f>0.06/1.1</f>
        <v>5.4545454545454536E-2</v>
      </c>
      <c r="D29" s="437">
        <f>0.05/1.1</f>
        <v>4.5454545454545456E-2</v>
      </c>
      <c r="E29" s="437">
        <f>0.05/1.1</f>
        <v>4.5454545454545456E-2</v>
      </c>
      <c r="F29" s="438">
        <f>0.05/1.1</f>
        <v>4.5454545454545456E-2</v>
      </c>
      <c r="G29" s="424"/>
      <c r="H29" s="424"/>
      <c r="I29" s="424"/>
      <c r="J29" s="424"/>
      <c r="K29" s="425" t="s">
        <v>20</v>
      </c>
      <c r="L29" s="439" t="s">
        <v>716</v>
      </c>
      <c r="M29" s="419"/>
      <c r="N29" s="419"/>
    </row>
    <row r="30" spans="1:44" outlineLevel="1">
      <c r="B30" s="440" t="s">
        <v>717</v>
      </c>
      <c r="C30" s="441">
        <v>60</v>
      </c>
      <c r="D30" s="442">
        <v>60</v>
      </c>
      <c r="E30" s="442">
        <v>60</v>
      </c>
      <c r="F30" s="442">
        <v>60</v>
      </c>
      <c r="G30" s="424"/>
      <c r="H30" s="424"/>
      <c r="I30" s="424"/>
      <c r="J30" s="424"/>
      <c r="K30" s="443"/>
      <c r="L30" s="372">
        <v>3</v>
      </c>
      <c r="M30" s="71"/>
      <c r="N30" s="419"/>
    </row>
    <row r="31" spans="1:44" outlineLevel="1">
      <c r="B31" s="440" t="s">
        <v>718</v>
      </c>
      <c r="C31" s="441">
        <f>100-C30</f>
        <v>40</v>
      </c>
      <c r="D31" s="441">
        <f>100-D30</f>
        <v>40</v>
      </c>
      <c r="E31" s="441">
        <f>100-E30</f>
        <v>40</v>
      </c>
      <c r="F31" s="441">
        <f>100-F30</f>
        <v>40</v>
      </c>
      <c r="G31" s="424"/>
      <c r="H31" s="424"/>
      <c r="I31" s="424"/>
      <c r="J31" s="424"/>
      <c r="K31" s="443"/>
      <c r="L31" s="372">
        <v>3</v>
      </c>
      <c r="M31" s="419"/>
      <c r="N31" s="419"/>
    </row>
    <row r="32" spans="1:44" ht="26.4" outlineLevel="1">
      <c r="B32" s="382" t="s">
        <v>719</v>
      </c>
      <c r="C32" s="444">
        <f>2000/1000</f>
        <v>2</v>
      </c>
      <c r="D32" s="445">
        <f>1900/1000</f>
        <v>1.9</v>
      </c>
      <c r="E32" s="445">
        <f>1800/1000</f>
        <v>1.8</v>
      </c>
      <c r="F32" s="446">
        <f>1700/1000</f>
        <v>1.7</v>
      </c>
      <c r="G32" s="424"/>
      <c r="H32" s="424"/>
      <c r="I32" s="424"/>
      <c r="J32" s="424"/>
      <c r="K32" s="447"/>
      <c r="L32" s="372">
        <v>3</v>
      </c>
      <c r="M32" s="419"/>
      <c r="N32" s="419"/>
    </row>
    <row r="33" spans="2:30" ht="37.049999999999997" customHeight="1" outlineLevel="1" thickBot="1">
      <c r="B33" s="382" t="s">
        <v>720</v>
      </c>
      <c r="C33" s="448">
        <f>1.1/3.6</f>
        <v>0.30555555555555558</v>
      </c>
      <c r="D33" s="448">
        <f>1/3.6</f>
        <v>0.27777777777777779</v>
      </c>
      <c r="E33" s="448">
        <f>1/3.6</f>
        <v>0.27777777777777779</v>
      </c>
      <c r="F33" s="448">
        <f>1/3.6</f>
        <v>0.27777777777777779</v>
      </c>
      <c r="G33" s="424"/>
      <c r="H33" s="424"/>
      <c r="I33" s="424"/>
      <c r="J33" s="424"/>
      <c r="K33" s="447"/>
      <c r="L33" s="372">
        <v>3</v>
      </c>
      <c r="M33" s="449"/>
      <c r="N33" s="360"/>
      <c r="P33" s="1139">
        <f>C33</f>
        <v>0.30555555555555558</v>
      </c>
      <c r="Q33" s="1140"/>
      <c r="R33" s="1140"/>
      <c r="S33" s="1140"/>
      <c r="T33" s="1140"/>
      <c r="U33" s="1141"/>
    </row>
    <row r="34" spans="2:30" ht="15.75" customHeight="1" outlineLevel="1" thickBot="1">
      <c r="B34" s="450" t="s">
        <v>721</v>
      </c>
      <c r="C34" s="451">
        <f>C13/100*73</f>
        <v>0.10220000000000001</v>
      </c>
      <c r="D34" s="451">
        <f>D13/100*75</f>
        <v>0.09</v>
      </c>
      <c r="E34" s="451">
        <f>E13/100*76</f>
        <v>8.3600000000000008E-2</v>
      </c>
      <c r="F34" s="451">
        <f>F13/100*76</f>
        <v>7.5999999999999998E-2</v>
      </c>
      <c r="G34" s="452"/>
      <c r="H34" s="452"/>
      <c r="I34" s="452"/>
      <c r="J34" s="452"/>
      <c r="K34" s="378" t="s">
        <v>76</v>
      </c>
      <c r="L34" s="379">
        <v>3</v>
      </c>
      <c r="M34" s="449"/>
      <c r="N34" s="360"/>
      <c r="P34" s="1131">
        <f>C34</f>
        <v>0.10220000000000001</v>
      </c>
      <c r="Q34" s="1132"/>
      <c r="R34" s="1132"/>
      <c r="S34" s="1132"/>
      <c r="T34" s="1132"/>
      <c r="U34" s="1133"/>
    </row>
    <row r="35" spans="2:30" outlineLevel="1">
      <c r="B35" s="450" t="s">
        <v>722</v>
      </c>
      <c r="C35" s="453">
        <f>C33-C34</f>
        <v>0.20335555555555557</v>
      </c>
      <c r="D35" s="453">
        <f>D33-D34</f>
        <v>0.18777777777777779</v>
      </c>
      <c r="E35" s="453">
        <f>E33-E34</f>
        <v>0.19417777777777778</v>
      </c>
      <c r="F35" s="453">
        <f>F33-F34</f>
        <v>0.20177777777777778</v>
      </c>
      <c r="G35" s="452"/>
      <c r="H35" s="452"/>
      <c r="I35" s="452"/>
      <c r="J35" s="452"/>
      <c r="K35" s="454"/>
      <c r="L35" s="379">
        <v>3</v>
      </c>
      <c r="M35" s="362"/>
      <c r="N35" s="362"/>
      <c r="P35" s="53" t="s">
        <v>357</v>
      </c>
    </row>
    <row r="36" spans="2:30" ht="27.6"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461" t="s">
        <v>36</v>
      </c>
      <c r="D39" s="461" t="s">
        <v>36</v>
      </c>
      <c r="E39" s="461" t="s">
        <v>36</v>
      </c>
      <c r="F39" s="461" t="s">
        <v>36</v>
      </c>
      <c r="G39" s="462"/>
      <c r="H39" s="462"/>
      <c r="I39" s="462"/>
      <c r="J39" s="462"/>
      <c r="K39" s="462" t="s">
        <v>25</v>
      </c>
      <c r="L39" s="463"/>
      <c r="M39" s="362"/>
      <c r="N39" s="362"/>
      <c r="O39" s="464">
        <f>C12</f>
        <v>92</v>
      </c>
      <c r="P39" s="465">
        <f>C8</f>
        <v>2020</v>
      </c>
      <c r="Q39" s="58">
        <f>P39</f>
        <v>2020</v>
      </c>
      <c r="R39" s="465">
        <f>O39/100</f>
        <v>0.92</v>
      </c>
      <c r="S39" s="58"/>
      <c r="T39" s="465">
        <f>C16</f>
        <v>25</v>
      </c>
      <c r="U39" s="466">
        <f>C46</f>
        <v>406.36363636363632</v>
      </c>
      <c r="V39" s="466">
        <f>C48</f>
        <v>14.9</v>
      </c>
      <c r="W39" s="466">
        <f>C49</f>
        <v>2.276388888888889</v>
      </c>
      <c r="X39" s="58"/>
      <c r="Y39" s="58"/>
      <c r="Z39" s="465">
        <f>C23</f>
        <v>0.3</v>
      </c>
      <c r="AA39" s="467">
        <f>C25</f>
        <v>9</v>
      </c>
      <c r="AB39" s="467">
        <f>C26</f>
        <v>3</v>
      </c>
      <c r="AC39" s="467">
        <f>C27</f>
        <v>1</v>
      </c>
      <c r="AD39" s="467">
        <f>C24</f>
        <v>0.1</v>
      </c>
    </row>
    <row r="40" spans="2:30" ht="14.55" customHeight="1" outlineLevel="1">
      <c r="B40" s="375" t="s">
        <v>726</v>
      </c>
      <c r="C40" s="468" t="s">
        <v>36</v>
      </c>
      <c r="D40" s="469" t="s">
        <v>36</v>
      </c>
      <c r="E40" s="469" t="s">
        <v>36</v>
      </c>
      <c r="F40" s="470" t="s">
        <v>36</v>
      </c>
      <c r="G40" s="470"/>
      <c r="H40" s="470"/>
      <c r="I40" s="470"/>
      <c r="J40" s="470"/>
      <c r="K40" s="471" t="s">
        <v>25</v>
      </c>
      <c r="L40" s="463"/>
      <c r="M40" s="362"/>
      <c r="N40" s="362"/>
      <c r="O40" s="464">
        <f>D12</f>
        <v>93</v>
      </c>
      <c r="P40" s="465">
        <f>D8</f>
        <v>2030</v>
      </c>
      <c r="Q40" s="58"/>
      <c r="R40" s="465">
        <f>O40/100</f>
        <v>0.93</v>
      </c>
      <c r="S40" s="58"/>
      <c r="T40" s="465">
        <f>D16</f>
        <v>25</v>
      </c>
      <c r="U40" s="466">
        <f>D46</f>
        <v>338.63636363636368</v>
      </c>
      <c r="V40" s="466">
        <f>D48</f>
        <v>14.154999999999999</v>
      </c>
      <c r="W40" s="466">
        <f>D49</f>
        <v>2.0694444444444446</v>
      </c>
      <c r="X40" s="58"/>
      <c r="Y40" s="58"/>
      <c r="Z40" s="465">
        <f>D23</f>
        <v>0.3</v>
      </c>
      <c r="AA40" s="467">
        <f>D25</f>
        <v>7</v>
      </c>
      <c r="AB40" s="467">
        <f>D26</f>
        <v>2</v>
      </c>
      <c r="AC40" s="467">
        <f>D27</f>
        <v>1</v>
      </c>
      <c r="AD40" s="467">
        <f>D24</f>
        <v>0.1</v>
      </c>
    </row>
    <row r="41" spans="2:30" outlineLevel="1">
      <c r="B41" s="375" t="s">
        <v>727</v>
      </c>
      <c r="C41" s="468" t="s">
        <v>36</v>
      </c>
      <c r="D41" s="469" t="s">
        <v>36</v>
      </c>
      <c r="E41" s="469" t="s">
        <v>36</v>
      </c>
      <c r="F41" s="470" t="s">
        <v>36</v>
      </c>
      <c r="G41" s="452"/>
      <c r="H41" s="452"/>
      <c r="I41" s="452"/>
      <c r="J41" s="452"/>
      <c r="K41" s="452"/>
      <c r="L41" s="379"/>
      <c r="M41" s="362"/>
      <c r="N41" s="362"/>
      <c r="O41" s="464">
        <f>E12</f>
        <v>93</v>
      </c>
      <c r="P41" s="465">
        <f>E8</f>
        <v>2040</v>
      </c>
      <c r="Q41" s="58"/>
      <c r="R41" s="465">
        <f>O41/100</f>
        <v>0.93</v>
      </c>
      <c r="S41" s="58"/>
      <c r="T41" s="465">
        <f>E16</f>
        <v>25</v>
      </c>
      <c r="U41" s="466">
        <f>E46</f>
        <v>338.63636363636368</v>
      </c>
      <c r="V41" s="466">
        <f>E48</f>
        <v>13.41</v>
      </c>
      <c r="W41" s="466">
        <f>E49</f>
        <v>2.0694444444444446</v>
      </c>
      <c r="X41" s="58"/>
      <c r="Y41" s="58"/>
      <c r="Z41" s="465">
        <f>E23</f>
        <v>0.3</v>
      </c>
      <c r="AA41" s="467">
        <f>E25</f>
        <v>6</v>
      </c>
      <c r="AB41" s="467">
        <f>E26</f>
        <v>2</v>
      </c>
      <c r="AC41" s="467">
        <f>E27</f>
        <v>1</v>
      </c>
      <c r="AD41" s="467">
        <f>E24</f>
        <v>0.1</v>
      </c>
    </row>
    <row r="42" spans="2:30" outlineLevel="1">
      <c r="B42" s="375" t="s">
        <v>728</v>
      </c>
      <c r="C42" s="472">
        <v>90</v>
      </c>
      <c r="D42" s="472">
        <v>90</v>
      </c>
      <c r="E42" s="472">
        <v>90</v>
      </c>
      <c r="F42" s="472">
        <v>90</v>
      </c>
      <c r="G42" s="473"/>
      <c r="H42" s="473"/>
      <c r="I42" s="473"/>
      <c r="J42" s="473"/>
      <c r="K42" s="473"/>
      <c r="L42" s="379">
        <v>3</v>
      </c>
      <c r="M42" s="362"/>
      <c r="N42" s="362"/>
      <c r="O42" s="464">
        <f>F12</f>
        <v>94</v>
      </c>
      <c r="P42" s="465">
        <f>F8</f>
        <v>2050</v>
      </c>
      <c r="Q42" s="58"/>
      <c r="R42" s="465">
        <f>O42/100</f>
        <v>0.94</v>
      </c>
      <c r="S42" s="58"/>
      <c r="T42" s="465">
        <f>F16</f>
        <v>25</v>
      </c>
      <c r="U42" s="466">
        <f>F46</f>
        <v>338.63636363636368</v>
      </c>
      <c r="V42" s="466">
        <f>F48</f>
        <v>12.664999999999999</v>
      </c>
      <c r="W42" s="466">
        <f>F49</f>
        <v>2.0694444444444446</v>
      </c>
      <c r="X42" s="58"/>
      <c r="Y42" s="58"/>
      <c r="Z42" s="465">
        <f>F23</f>
        <v>0.3</v>
      </c>
      <c r="AA42" s="467">
        <f>F25</f>
        <v>6</v>
      </c>
      <c r="AB42" s="467">
        <f>F26</f>
        <v>2</v>
      </c>
      <c r="AC42" s="467">
        <f>F27</f>
        <v>1</v>
      </c>
      <c r="AD42" s="467">
        <f>F24</f>
        <v>0.1</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477" t="s">
        <v>36</v>
      </c>
      <c r="D45" s="478" t="s">
        <v>36</v>
      </c>
      <c r="E45" s="478" t="s">
        <v>36</v>
      </c>
      <c r="F45" s="479" t="s">
        <v>36</v>
      </c>
      <c r="G45" s="480"/>
      <c r="H45" s="480"/>
      <c r="I45" s="480"/>
      <c r="J45" s="480"/>
      <c r="K45" s="480"/>
      <c r="L45" s="481"/>
      <c r="M45" s="362"/>
      <c r="N45" s="362"/>
    </row>
    <row r="46" spans="2:30" ht="57.6" outlineLevel="1">
      <c r="B46" s="460" t="s">
        <v>732</v>
      </c>
      <c r="C46" s="482">
        <f>C29*$F$4*1000</f>
        <v>406.36363636363632</v>
      </c>
      <c r="D46" s="482">
        <f t="shared" ref="D46:F46" si="2">D29*$F$4*1000</f>
        <v>338.63636363636368</v>
      </c>
      <c r="E46" s="482">
        <f t="shared" si="2"/>
        <v>338.63636363636368</v>
      </c>
      <c r="F46" s="482">
        <f t="shared" si="2"/>
        <v>338.63636363636368</v>
      </c>
      <c r="G46" s="482"/>
      <c r="H46" s="483"/>
      <c r="I46" s="419" t="s">
        <v>332</v>
      </c>
      <c r="J46" s="419"/>
      <c r="K46" s="483"/>
      <c r="L46" s="483"/>
      <c r="N46" s="419"/>
    </row>
    <row r="47" spans="2:30" outlineLevel="1">
      <c r="B47" s="484" t="s">
        <v>733</v>
      </c>
      <c r="C47" s="485">
        <f>C46*$I47</f>
        <v>203181.81818181815</v>
      </c>
      <c r="D47" s="485">
        <f>D46*$I47</f>
        <v>169318.18181818185</v>
      </c>
      <c r="E47" s="485">
        <f>E46*$I47</f>
        <v>169318.18181818185</v>
      </c>
      <c r="F47" s="485">
        <f>F46*$I47</f>
        <v>169318.18181818185</v>
      </c>
      <c r="G47" s="485"/>
      <c r="H47" s="483"/>
      <c r="I47" s="71">
        <v>500</v>
      </c>
      <c r="J47" s="419" t="s">
        <v>330</v>
      </c>
      <c r="K47" s="483"/>
      <c r="L47" s="483"/>
      <c r="N47" s="419"/>
    </row>
    <row r="48" spans="2:30" ht="43.2" outlineLevel="1">
      <c r="B48" s="460" t="s">
        <v>734</v>
      </c>
      <c r="C48" s="358">
        <f>C32*$F$4</f>
        <v>14.9</v>
      </c>
      <c r="D48" s="358">
        <f t="shared" ref="D48:F49" si="3">D32*$F$4</f>
        <v>14.154999999999999</v>
      </c>
      <c r="E48" s="358">
        <f t="shared" si="3"/>
        <v>13.41</v>
      </c>
      <c r="F48" s="358">
        <f t="shared" si="3"/>
        <v>12.664999999999999</v>
      </c>
      <c r="G48" s="358"/>
      <c r="I48" s="419" t="s">
        <v>333</v>
      </c>
      <c r="J48" s="419"/>
      <c r="N48" s="419"/>
    </row>
    <row r="49" spans="2:20" ht="43.2" outlineLevel="1">
      <c r="B49" s="460" t="s">
        <v>735</v>
      </c>
      <c r="C49" s="486">
        <f>C33*$F$4</f>
        <v>2.276388888888889</v>
      </c>
      <c r="D49" s="486">
        <f t="shared" si="3"/>
        <v>2.0694444444444446</v>
      </c>
      <c r="E49" s="486">
        <f t="shared" si="3"/>
        <v>2.0694444444444446</v>
      </c>
      <c r="F49" s="486">
        <f t="shared" si="3"/>
        <v>2.0694444444444446</v>
      </c>
      <c r="G49" s="358"/>
      <c r="M49" s="419"/>
      <c r="N49" s="419"/>
    </row>
    <row r="50" spans="2:20" outlineLevel="1"/>
    <row r="51" spans="2:20" outlineLevel="1"/>
    <row r="52" spans="2:20" outlineLevel="1"/>
    <row r="53" spans="2:20" outlineLevel="1"/>
    <row r="54" spans="2:20" outlineLevel="1">
      <c r="B54" s="487" t="s">
        <v>736</v>
      </c>
      <c r="C54" s="488"/>
      <c r="D54" s="489"/>
      <c r="E54" s="489"/>
      <c r="F54" s="489"/>
    </row>
    <row r="55" spans="2:20" outlineLevel="1">
      <c r="B55" s="490">
        <v>1</v>
      </c>
      <c r="C55" s="491" t="s">
        <v>737</v>
      </c>
      <c r="E55" s="489"/>
      <c r="F55" s="489"/>
    </row>
    <row r="56" spans="2:20" outlineLevel="1">
      <c r="B56" s="490">
        <v>2</v>
      </c>
      <c r="C56" s="492" t="s">
        <v>738</v>
      </c>
      <c r="E56" s="489"/>
      <c r="F56" s="489"/>
    </row>
    <row r="57" spans="2:20" outlineLevel="1">
      <c r="B57" s="490">
        <v>3</v>
      </c>
      <c r="C57" s="492" t="s">
        <v>739</v>
      </c>
      <c r="E57" s="489"/>
      <c r="F57" s="489"/>
    </row>
    <row r="58" spans="2:20" outlineLevel="1">
      <c r="B58" s="490">
        <v>4</v>
      </c>
      <c r="C58" s="492" t="s">
        <v>740</v>
      </c>
      <c r="E58" s="489"/>
      <c r="F58" s="489"/>
    </row>
    <row r="59" spans="2:20" outlineLevel="1">
      <c r="B59" s="357">
        <v>5</v>
      </c>
      <c r="C59" s="493" t="s">
        <v>741</v>
      </c>
      <c r="D59" s="489"/>
      <c r="E59" s="489"/>
      <c r="F59" s="489"/>
      <c r="T59" s="224" t="s">
        <v>761</v>
      </c>
    </row>
    <row r="60" spans="2:20" outlineLevel="1">
      <c r="B60" s="357">
        <v>6</v>
      </c>
      <c r="C60" s="491" t="s">
        <v>742</v>
      </c>
      <c r="D60" s="489"/>
      <c r="E60" s="489"/>
      <c r="F60" s="489"/>
    </row>
    <row r="61" spans="2:20" outlineLevel="1">
      <c r="B61" s="357">
        <v>7</v>
      </c>
      <c r="C61" s="494" t="s">
        <v>737</v>
      </c>
      <c r="D61" s="489"/>
      <c r="E61" s="489"/>
      <c r="F61" s="489"/>
    </row>
    <row r="62" spans="2:20" outlineLevel="1">
      <c r="B62" s="357">
        <v>8</v>
      </c>
      <c r="C62" s="494" t="s">
        <v>743</v>
      </c>
      <c r="D62" s="489"/>
      <c r="E62" s="489"/>
      <c r="F62" s="489"/>
    </row>
    <row r="63" spans="2:20" outlineLevel="1">
      <c r="B63" s="357">
        <v>9</v>
      </c>
      <c r="C63" s="488" t="s">
        <v>744</v>
      </c>
      <c r="D63" s="489"/>
      <c r="E63" s="489"/>
      <c r="F63" s="489"/>
    </row>
    <row r="64" spans="2:20" outlineLevel="1">
      <c r="B64" s="357">
        <v>10</v>
      </c>
      <c r="C64" s="489" t="s">
        <v>745</v>
      </c>
      <c r="D64" s="489"/>
      <c r="E64" s="489"/>
      <c r="F64" s="489"/>
    </row>
    <row r="65" spans="2:6" outlineLevel="1">
      <c r="B65" s="487" t="s">
        <v>746</v>
      </c>
      <c r="C65" s="488"/>
      <c r="D65" s="489"/>
      <c r="E65" s="489"/>
      <c r="F65" s="489"/>
    </row>
    <row r="66" spans="2:6" outlineLevel="1">
      <c r="B66" s="495" t="s">
        <v>6</v>
      </c>
      <c r="C66" s="496" t="s">
        <v>747</v>
      </c>
      <c r="E66" s="489"/>
      <c r="F66" s="489"/>
    </row>
    <row r="67" spans="2:6" outlineLevel="1">
      <c r="B67" s="495" t="s">
        <v>59</v>
      </c>
      <c r="C67" s="488" t="s">
        <v>748</v>
      </c>
      <c r="E67" s="489"/>
      <c r="F67" s="489"/>
    </row>
    <row r="68" spans="2:6" outlineLevel="1">
      <c r="B68" s="495" t="s">
        <v>16</v>
      </c>
      <c r="C68" s="488" t="s">
        <v>749</v>
      </c>
      <c r="E68" s="489"/>
      <c r="F68" s="489"/>
    </row>
    <row r="69" spans="2:6" outlineLevel="1">
      <c r="B69" s="495" t="s">
        <v>20</v>
      </c>
      <c r="C69" s="488" t="s">
        <v>750</v>
      </c>
      <c r="E69" s="489"/>
      <c r="F69" s="489"/>
    </row>
    <row r="70" spans="2:6" outlineLevel="1">
      <c r="B70" s="495" t="s">
        <v>76</v>
      </c>
      <c r="C70" s="497" t="s">
        <v>751</v>
      </c>
      <c r="E70" s="489"/>
      <c r="F70" s="489"/>
    </row>
    <row r="71" spans="2:6" outlineLevel="1">
      <c r="B71" s="495" t="s">
        <v>25</v>
      </c>
      <c r="C71" s="488" t="s">
        <v>752</v>
      </c>
      <c r="E71" s="489"/>
      <c r="F71" s="489"/>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59" t="s">
        <v>762</v>
      </c>
      <c r="B84" s="1204"/>
      <c r="C84" s="1140"/>
      <c r="D84" s="1140"/>
      <c r="E84" s="1140"/>
      <c r="F84" s="1140"/>
      <c r="G84" s="1140"/>
      <c r="H84" s="1140"/>
      <c r="I84" s="1140"/>
      <c r="J84" s="1140"/>
      <c r="K84" s="1140"/>
      <c r="L84" s="1140"/>
      <c r="M84" s="1140"/>
      <c r="N84" s="360"/>
      <c r="P84" s="1140"/>
      <c r="Q84" s="1140"/>
      <c r="R84" s="1140"/>
      <c r="S84" s="1140"/>
      <c r="T84" s="1140"/>
      <c r="U84" s="1140"/>
    </row>
    <row r="85" spans="1:44" ht="15" outlineLevel="1" thickBot="1">
      <c r="B85" s="1204"/>
      <c r="C85" s="1140"/>
      <c r="D85" s="1140"/>
      <c r="E85" s="1140"/>
      <c r="F85" s="1140"/>
      <c r="G85" s="1140"/>
      <c r="H85" s="1140"/>
      <c r="I85" s="1140"/>
      <c r="J85" s="1140"/>
      <c r="K85" s="1140"/>
      <c r="L85" s="1140"/>
      <c r="M85" s="1140"/>
      <c r="N85" s="360"/>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5" customHeight="1" outlineLevel="1" thickBot="1">
      <c r="B86" s="361" t="s">
        <v>0</v>
      </c>
      <c r="C86" s="1183" t="s">
        <v>763</v>
      </c>
      <c r="D86" s="1202"/>
      <c r="E86" s="1202"/>
      <c r="F86" s="1202"/>
      <c r="G86" s="1202"/>
      <c r="H86" s="1202"/>
      <c r="I86" s="1202"/>
      <c r="J86" s="1202"/>
      <c r="K86" s="1202"/>
      <c r="L86" s="1203"/>
      <c r="M86" s="362"/>
      <c r="N86" s="362"/>
      <c r="P86" s="363" t="s">
        <v>676</v>
      </c>
      <c r="Q86" s="364"/>
      <c r="R86" s="365"/>
      <c r="S86" s="1173" t="s">
        <v>677</v>
      </c>
      <c r="T86" s="1157" t="s">
        <v>678</v>
      </c>
      <c r="U86" s="1158"/>
      <c r="V86" s="1157" t="s">
        <v>679</v>
      </c>
      <c r="W86" s="1158"/>
      <c r="X86" s="1157" t="s">
        <v>680</v>
      </c>
      <c r="Y86" s="1158"/>
      <c r="Z86" s="1157" t="s">
        <v>681</v>
      </c>
      <c r="AA86" s="1158"/>
      <c r="AB86" s="1157" t="s">
        <v>682</v>
      </c>
      <c r="AC86" s="1158"/>
      <c r="AE86" s="363" t="s">
        <v>683</v>
      </c>
      <c r="AF86" s="364"/>
      <c r="AG86" s="365"/>
      <c r="AH86" s="1173" t="s">
        <v>677</v>
      </c>
      <c r="AI86" s="1157" t="s">
        <v>678</v>
      </c>
      <c r="AJ86" s="1158"/>
      <c r="AK86" s="1157" t="s">
        <v>679</v>
      </c>
      <c r="AL86" s="1158"/>
      <c r="AM86" s="1157" t="s">
        <v>680</v>
      </c>
      <c r="AN86" s="1158"/>
      <c r="AO86" s="1157" t="s">
        <v>681</v>
      </c>
      <c r="AP86" s="1158"/>
      <c r="AQ86" s="1157" t="s">
        <v>682</v>
      </c>
      <c r="AR86" s="1158"/>
    </row>
    <row r="87" spans="1:44" ht="15" customHeight="1" outlineLevel="1" thickBot="1">
      <c r="B87" s="1161" t="s">
        <v>4</v>
      </c>
      <c r="C87" s="1163">
        <v>2020</v>
      </c>
      <c r="D87" s="1163">
        <v>2030</v>
      </c>
      <c r="E87" s="1163">
        <v>2040</v>
      </c>
      <c r="F87" s="1163">
        <v>2050</v>
      </c>
      <c r="G87" s="1197" t="s">
        <v>684</v>
      </c>
      <c r="H87" s="1198"/>
      <c r="I87" s="1197" t="s">
        <v>628</v>
      </c>
      <c r="J87" s="1198"/>
      <c r="K87" s="1199" t="s">
        <v>2</v>
      </c>
      <c r="L87" s="1199" t="s">
        <v>3</v>
      </c>
      <c r="M87" s="366"/>
      <c r="N87" s="366"/>
      <c r="P87" s="1177" t="s">
        <v>0</v>
      </c>
      <c r="Q87" s="367"/>
      <c r="R87" s="367"/>
      <c r="S87" s="1174"/>
      <c r="T87" s="1159"/>
      <c r="U87" s="1160"/>
      <c r="V87" s="1159"/>
      <c r="W87" s="1160"/>
      <c r="X87" s="1159"/>
      <c r="Y87" s="1160"/>
      <c r="Z87" s="1159"/>
      <c r="AA87" s="1160"/>
      <c r="AB87" s="1159"/>
      <c r="AC87" s="1160"/>
      <c r="AE87" s="1177" t="s">
        <v>0</v>
      </c>
      <c r="AF87" s="367"/>
      <c r="AG87" s="367"/>
      <c r="AH87" s="1174"/>
      <c r="AI87" s="1159"/>
      <c r="AJ87" s="1160"/>
      <c r="AK87" s="1159"/>
      <c r="AL87" s="1160"/>
      <c r="AM87" s="1159"/>
      <c r="AN87" s="1160"/>
      <c r="AO87" s="1159"/>
      <c r="AP87" s="1160"/>
      <c r="AQ87" s="1159"/>
      <c r="AR87" s="1160"/>
    </row>
    <row r="88" spans="1:44" ht="15" outlineLevel="1" thickBot="1">
      <c r="B88" s="1162"/>
      <c r="C88" s="1164"/>
      <c r="D88" s="1164"/>
      <c r="E88" s="1164"/>
      <c r="F88" s="1164"/>
      <c r="G88" s="498" t="s">
        <v>629</v>
      </c>
      <c r="H88" s="498" t="s">
        <v>630</v>
      </c>
      <c r="I88" s="498" t="s">
        <v>629</v>
      </c>
      <c r="J88" s="498" t="s">
        <v>630</v>
      </c>
      <c r="K88" s="1200"/>
      <c r="L88" s="1200"/>
      <c r="M88" s="369"/>
      <c r="N88" s="369"/>
      <c r="P88" s="1178"/>
      <c r="Q88" s="1180" t="s">
        <v>685</v>
      </c>
      <c r="R88" s="1181" t="s">
        <v>686</v>
      </c>
      <c r="S88" s="1175"/>
      <c r="T88" s="1159"/>
      <c r="U88" s="1160"/>
      <c r="V88" s="1159"/>
      <c r="W88" s="1160"/>
      <c r="X88" s="1159"/>
      <c r="Y88" s="1160"/>
      <c r="Z88" s="1159"/>
      <c r="AA88" s="1160"/>
      <c r="AB88" s="1159"/>
      <c r="AC88" s="1160"/>
      <c r="AE88" s="1178"/>
      <c r="AF88" s="1194" t="s">
        <v>685</v>
      </c>
      <c r="AG88" s="1181" t="s">
        <v>686</v>
      </c>
      <c r="AH88" s="1175"/>
      <c r="AI88" s="1159"/>
      <c r="AJ88" s="1160"/>
      <c r="AK88" s="1159"/>
      <c r="AL88" s="1160"/>
      <c r="AM88" s="1159"/>
      <c r="AN88" s="1160"/>
      <c r="AO88" s="1159"/>
      <c r="AP88" s="1160"/>
      <c r="AQ88" s="1159"/>
      <c r="AR88" s="1160"/>
    </row>
    <row r="89" spans="1:44" ht="29.4" outlineLevel="1" thickBot="1">
      <c r="B89" s="370" t="s">
        <v>631</v>
      </c>
      <c r="C89" s="371">
        <v>20</v>
      </c>
      <c r="D89" s="371">
        <v>20</v>
      </c>
      <c r="E89" s="371">
        <v>20</v>
      </c>
      <c r="F89" s="371">
        <v>20</v>
      </c>
      <c r="G89" s="371">
        <v>1</v>
      </c>
      <c r="H89" s="371">
        <v>50</v>
      </c>
      <c r="I89" s="371">
        <v>1</v>
      </c>
      <c r="J89" s="371">
        <v>50</v>
      </c>
      <c r="K89" s="371" t="s">
        <v>6</v>
      </c>
      <c r="L89" s="372" t="s">
        <v>688</v>
      </c>
      <c r="M89" s="369"/>
      <c r="N89" s="369"/>
      <c r="O89" s="74"/>
      <c r="P89" s="1179"/>
      <c r="Q89" s="1176"/>
      <c r="R89" s="1182"/>
      <c r="S89" s="1176"/>
      <c r="T89" s="373" t="s">
        <v>689</v>
      </c>
      <c r="U89" s="374" t="s">
        <v>690</v>
      </c>
      <c r="V89" s="373" t="s">
        <v>689</v>
      </c>
      <c r="W89" s="374" t="s">
        <v>690</v>
      </c>
      <c r="X89" s="373" t="s">
        <v>689</v>
      </c>
      <c r="Y89" s="374" t="s">
        <v>690</v>
      </c>
      <c r="Z89" s="373" t="s">
        <v>689</v>
      </c>
      <c r="AA89" s="374" t="s">
        <v>690</v>
      </c>
      <c r="AB89" s="373" t="s">
        <v>689</v>
      </c>
      <c r="AC89" s="374" t="s">
        <v>690</v>
      </c>
      <c r="AE89" s="1179"/>
      <c r="AF89" s="1195"/>
      <c r="AG89" s="1182"/>
      <c r="AH89" s="1176"/>
      <c r="AI89" s="373" t="s">
        <v>689</v>
      </c>
      <c r="AJ89" s="374" t="s">
        <v>690</v>
      </c>
      <c r="AK89" s="373" t="s">
        <v>689</v>
      </c>
      <c r="AL89" s="374" t="s">
        <v>690</v>
      </c>
      <c r="AM89" s="373" t="s">
        <v>689</v>
      </c>
      <c r="AN89" s="374" t="s">
        <v>690</v>
      </c>
      <c r="AO89" s="373" t="s">
        <v>689</v>
      </c>
      <c r="AP89" s="374" t="s">
        <v>690</v>
      </c>
      <c r="AQ89" s="373" t="s">
        <v>689</v>
      </c>
      <c r="AR89" s="374" t="s">
        <v>690</v>
      </c>
    </row>
    <row r="90" spans="1:44" outlineLevel="1">
      <c r="B90" s="499" t="s">
        <v>691</v>
      </c>
      <c r="C90" s="500">
        <v>103</v>
      </c>
      <c r="D90" s="500">
        <v>104</v>
      </c>
      <c r="E90" s="501">
        <v>104</v>
      </c>
      <c r="F90" s="500">
        <v>104</v>
      </c>
      <c r="G90" s="500">
        <v>95</v>
      </c>
      <c r="H90" s="500">
        <v>106</v>
      </c>
      <c r="I90" s="500">
        <v>96</v>
      </c>
      <c r="J90" s="500">
        <v>107</v>
      </c>
      <c r="K90" s="502"/>
      <c r="L90" s="503" t="s">
        <v>764</v>
      </c>
      <c r="M90" s="369"/>
      <c r="N90" s="369"/>
      <c r="P90" s="1145" t="str">
        <f>C86</f>
        <v>Steam boiler, Natural gas or biogas (Condensing)</v>
      </c>
      <c r="Q90" s="1151" t="s">
        <v>693</v>
      </c>
      <c r="R90" s="380" t="s">
        <v>694</v>
      </c>
      <c r="S90" s="381"/>
      <c r="T90" s="1134">
        <v>0</v>
      </c>
      <c r="U90" s="1148">
        <v>0</v>
      </c>
      <c r="V90" s="1134">
        <v>0</v>
      </c>
      <c r="W90" s="1148">
        <v>0</v>
      </c>
      <c r="X90" s="1134">
        <v>0</v>
      </c>
      <c r="Y90" s="1148">
        <v>0</v>
      </c>
      <c r="Z90" s="1134">
        <v>0</v>
      </c>
      <c r="AA90" s="1148">
        <v>0</v>
      </c>
      <c r="AB90" s="1134">
        <v>0</v>
      </c>
      <c r="AC90" s="1148">
        <v>0</v>
      </c>
      <c r="AE90" s="1145" t="str">
        <f>P90</f>
        <v>Steam boiler, Natural gas or biogas (Condensing)</v>
      </c>
      <c r="AF90" s="1151" t="s">
        <v>693</v>
      </c>
      <c r="AG90" s="380" t="s">
        <v>694</v>
      </c>
      <c r="AH90" s="381"/>
      <c r="AI90" s="1134">
        <v>0</v>
      </c>
      <c r="AJ90" s="1148">
        <v>0</v>
      </c>
      <c r="AK90" s="1134">
        <v>0</v>
      </c>
      <c r="AL90" s="1148">
        <v>0</v>
      </c>
      <c r="AM90" s="1134">
        <v>0</v>
      </c>
      <c r="AN90" s="1148">
        <v>0</v>
      </c>
      <c r="AO90" s="1134">
        <v>0</v>
      </c>
      <c r="AP90" s="1148">
        <v>0</v>
      </c>
      <c r="AQ90" s="1134">
        <v>0</v>
      </c>
      <c r="AR90" s="1148">
        <v>0</v>
      </c>
    </row>
    <row r="91" spans="1:44" outlineLevel="1">
      <c r="B91" s="382" t="s">
        <v>695</v>
      </c>
      <c r="C91" s="383">
        <f>C90-2</f>
        <v>101</v>
      </c>
      <c r="D91" s="383">
        <f t="shared" ref="D91:J91" si="4">D90-1</f>
        <v>103</v>
      </c>
      <c r="E91" s="383">
        <f t="shared" si="4"/>
        <v>103</v>
      </c>
      <c r="F91" s="383">
        <f t="shared" si="4"/>
        <v>103</v>
      </c>
      <c r="G91" s="504">
        <f t="shared" si="4"/>
        <v>94</v>
      </c>
      <c r="H91" s="504">
        <f t="shared" si="4"/>
        <v>105</v>
      </c>
      <c r="I91" s="504">
        <f t="shared" si="4"/>
        <v>95</v>
      </c>
      <c r="J91" s="504">
        <f t="shared" si="4"/>
        <v>106</v>
      </c>
      <c r="K91" s="371"/>
      <c r="L91" s="372" t="s">
        <v>692</v>
      </c>
      <c r="M91" s="369"/>
      <c r="N91" s="369"/>
      <c r="O91" s="71"/>
      <c r="P91" s="1192"/>
      <c r="Q91" s="1152"/>
      <c r="R91" s="387" t="s">
        <v>696</v>
      </c>
      <c r="S91" s="388"/>
      <c r="T91" s="1137"/>
      <c r="U91" s="1149"/>
      <c r="V91" s="1137"/>
      <c r="W91" s="1149"/>
      <c r="X91" s="1137"/>
      <c r="Y91" s="1149"/>
      <c r="Z91" s="1137"/>
      <c r="AA91" s="1149"/>
      <c r="AB91" s="1137"/>
      <c r="AC91" s="1149"/>
      <c r="AE91" s="1192"/>
      <c r="AF91" s="1152"/>
      <c r="AG91" s="387" t="s">
        <v>696</v>
      </c>
      <c r="AH91" s="388"/>
      <c r="AI91" s="1137"/>
      <c r="AJ91" s="1149"/>
      <c r="AK91" s="1137"/>
      <c r="AL91" s="1149"/>
      <c r="AM91" s="1137"/>
      <c r="AN91" s="1149"/>
      <c r="AO91" s="1137"/>
      <c r="AP91" s="1149"/>
      <c r="AQ91" s="1137"/>
      <c r="AR91" s="1149"/>
    </row>
    <row r="92" spans="1:44" ht="15" outlineLevel="1" thickBot="1">
      <c r="B92" s="499" t="s">
        <v>697</v>
      </c>
      <c r="C92" s="505">
        <v>0.14000000000000001</v>
      </c>
      <c r="D92" s="506">
        <v>0.12</v>
      </c>
      <c r="E92" s="506">
        <v>0.11</v>
      </c>
      <c r="F92" s="507">
        <v>0.1</v>
      </c>
      <c r="G92" s="506">
        <v>0.1</v>
      </c>
      <c r="H92" s="506">
        <v>0.14000000000000001</v>
      </c>
      <c r="I92" s="506">
        <v>0.08</v>
      </c>
      <c r="J92" s="506">
        <v>0.12</v>
      </c>
      <c r="K92" s="502"/>
      <c r="L92" s="503">
        <v>3</v>
      </c>
      <c r="M92" s="369"/>
      <c r="N92" s="369"/>
      <c r="O92" s="71"/>
      <c r="P92" s="1192"/>
      <c r="Q92" s="1153"/>
      <c r="R92" s="392" t="s">
        <v>698</v>
      </c>
      <c r="S92" s="393"/>
      <c r="T92" s="1138"/>
      <c r="U92" s="1150"/>
      <c r="V92" s="1138"/>
      <c r="W92" s="1150"/>
      <c r="X92" s="1138"/>
      <c r="Y92" s="1150"/>
      <c r="Z92" s="1138"/>
      <c r="AA92" s="1150"/>
      <c r="AB92" s="1138"/>
      <c r="AC92" s="1150"/>
      <c r="AE92" s="1192"/>
      <c r="AF92" s="1153"/>
      <c r="AG92" s="392" t="s">
        <v>698</v>
      </c>
      <c r="AH92" s="393"/>
      <c r="AI92" s="1138"/>
      <c r="AJ92" s="1150"/>
      <c r="AK92" s="1138"/>
      <c r="AL92" s="1150"/>
      <c r="AM92" s="1138"/>
      <c r="AN92" s="1150"/>
      <c r="AO92" s="1138"/>
      <c r="AP92" s="1150"/>
      <c r="AQ92" s="1138"/>
      <c r="AR92" s="1150"/>
    </row>
    <row r="93" spans="1:44" outlineLevel="1">
      <c r="B93" s="499" t="s">
        <v>637</v>
      </c>
      <c r="C93" s="505">
        <v>1</v>
      </c>
      <c r="D93" s="505">
        <v>1</v>
      </c>
      <c r="E93" s="505">
        <v>1</v>
      </c>
      <c r="F93" s="505">
        <v>1</v>
      </c>
      <c r="G93" s="505">
        <v>0.08</v>
      </c>
      <c r="H93" s="505">
        <v>2</v>
      </c>
      <c r="I93" s="505">
        <v>0.08</v>
      </c>
      <c r="J93" s="505">
        <v>2</v>
      </c>
      <c r="K93" s="502"/>
      <c r="L93" s="503">
        <v>3</v>
      </c>
      <c r="M93" s="369"/>
      <c r="N93" s="369"/>
      <c r="O93" s="71"/>
      <c r="P93" s="1192"/>
      <c r="Q93" s="1151" t="s">
        <v>699</v>
      </c>
      <c r="R93" s="394" t="s">
        <v>700</v>
      </c>
      <c r="S93" s="395" t="s">
        <v>701</v>
      </c>
      <c r="T93" s="1134">
        <v>0</v>
      </c>
      <c r="U93" s="1134">
        <v>0.21</v>
      </c>
      <c r="V93" s="1134">
        <v>0</v>
      </c>
      <c r="W93" s="1134">
        <v>0</v>
      </c>
      <c r="X93" s="1134">
        <v>0</v>
      </c>
      <c r="Y93" s="1134">
        <v>0</v>
      </c>
      <c r="Z93" s="1134">
        <v>0</v>
      </c>
      <c r="AA93" s="1134">
        <v>0.09</v>
      </c>
      <c r="AB93" s="1134">
        <v>0</v>
      </c>
      <c r="AC93" s="1134">
        <v>0</v>
      </c>
      <c r="AE93" s="1192"/>
      <c r="AF93" s="1151" t="s">
        <v>699</v>
      </c>
      <c r="AG93" s="394" t="s">
        <v>700</v>
      </c>
      <c r="AH93" s="395" t="s">
        <v>701</v>
      </c>
      <c r="AI93" s="1134">
        <v>0</v>
      </c>
      <c r="AJ93" s="1134">
        <v>0.21</v>
      </c>
      <c r="AK93" s="1134">
        <v>0</v>
      </c>
      <c r="AL93" s="1134">
        <v>0</v>
      </c>
      <c r="AM93" s="1134">
        <v>0</v>
      </c>
      <c r="AN93" s="1134">
        <v>0</v>
      </c>
      <c r="AO93" s="1134">
        <v>0</v>
      </c>
      <c r="AP93" s="1134">
        <v>0.09</v>
      </c>
      <c r="AQ93" s="1134">
        <v>0</v>
      </c>
      <c r="AR93" s="1134">
        <v>0</v>
      </c>
    </row>
    <row r="94" spans="1:44" outlineLevel="1">
      <c r="B94" s="499" t="s">
        <v>638</v>
      </c>
      <c r="C94" s="505">
        <v>0.4</v>
      </c>
      <c r="D94" s="505">
        <v>0.4</v>
      </c>
      <c r="E94" s="505">
        <v>0.4</v>
      </c>
      <c r="F94" s="505">
        <v>0.4</v>
      </c>
      <c r="G94" s="505">
        <v>0.3</v>
      </c>
      <c r="H94" s="505">
        <v>0.6</v>
      </c>
      <c r="I94" s="505">
        <v>0.3</v>
      </c>
      <c r="J94" s="505">
        <v>0.6</v>
      </c>
      <c r="K94" s="502"/>
      <c r="L94" s="503">
        <v>3</v>
      </c>
      <c r="M94" s="366"/>
      <c r="N94" s="366"/>
      <c r="O94" s="71"/>
      <c r="P94" s="1192"/>
      <c r="Q94" s="1152"/>
      <c r="R94" s="394" t="s">
        <v>702</v>
      </c>
      <c r="S94" s="395" t="s">
        <v>701</v>
      </c>
      <c r="T94" s="1135"/>
      <c r="U94" s="1135"/>
      <c r="V94" s="1135"/>
      <c r="W94" s="1135"/>
      <c r="X94" s="1135"/>
      <c r="Y94" s="1135"/>
      <c r="Z94" s="1135"/>
      <c r="AA94" s="1135"/>
      <c r="AB94" s="1135"/>
      <c r="AC94" s="1135"/>
      <c r="AE94" s="1192"/>
      <c r="AF94" s="1152"/>
      <c r="AG94" s="394" t="s">
        <v>702</v>
      </c>
      <c r="AH94" s="395" t="s">
        <v>701</v>
      </c>
      <c r="AI94" s="1135"/>
      <c r="AJ94" s="1135"/>
      <c r="AK94" s="1135"/>
      <c r="AL94" s="1135"/>
      <c r="AM94" s="1135"/>
      <c r="AN94" s="1135"/>
      <c r="AO94" s="1135"/>
      <c r="AP94" s="1135"/>
      <c r="AQ94" s="1135"/>
      <c r="AR94" s="1135"/>
    </row>
    <row r="95" spans="1:44" outlineLevel="1">
      <c r="B95" s="382" t="s">
        <v>11</v>
      </c>
      <c r="C95" s="396">
        <v>25</v>
      </c>
      <c r="D95" s="396">
        <v>25</v>
      </c>
      <c r="E95" s="396">
        <v>25</v>
      </c>
      <c r="F95" s="396">
        <v>25</v>
      </c>
      <c r="G95" s="398">
        <v>20</v>
      </c>
      <c r="H95" s="398">
        <v>30</v>
      </c>
      <c r="I95" s="398">
        <v>20</v>
      </c>
      <c r="J95" s="398">
        <v>30</v>
      </c>
      <c r="K95" s="371"/>
      <c r="L95" s="372" t="s">
        <v>703</v>
      </c>
      <c r="M95" s="362"/>
      <c r="N95" s="362"/>
      <c r="P95" s="1192"/>
      <c r="Q95" s="1152"/>
      <c r="R95" s="394" t="s">
        <v>704</v>
      </c>
      <c r="S95" s="395" t="s">
        <v>701</v>
      </c>
      <c r="T95" s="1135"/>
      <c r="U95" s="1135"/>
      <c r="V95" s="1135"/>
      <c r="W95" s="1135"/>
      <c r="X95" s="1135"/>
      <c r="Y95" s="1135"/>
      <c r="Z95" s="1135"/>
      <c r="AA95" s="1135"/>
      <c r="AB95" s="1135"/>
      <c r="AC95" s="1135"/>
      <c r="AE95" s="1192"/>
      <c r="AF95" s="1152"/>
      <c r="AG95" s="394" t="s">
        <v>704</v>
      </c>
      <c r="AH95" s="395" t="s">
        <v>701</v>
      </c>
      <c r="AI95" s="1135"/>
      <c r="AJ95" s="1135"/>
      <c r="AK95" s="1135"/>
      <c r="AL95" s="1135"/>
      <c r="AM95" s="1135"/>
      <c r="AN95" s="1135"/>
      <c r="AO95" s="1135"/>
      <c r="AP95" s="1135"/>
      <c r="AQ95" s="1135"/>
      <c r="AR95" s="1135"/>
    </row>
    <row r="96" spans="1:44" ht="15" outlineLevel="1" thickBot="1">
      <c r="B96" s="499" t="s">
        <v>273</v>
      </c>
      <c r="C96" s="505">
        <v>0.5</v>
      </c>
      <c r="D96" s="505">
        <v>0.5</v>
      </c>
      <c r="E96" s="505">
        <v>0.5</v>
      </c>
      <c r="F96" s="505">
        <v>0.5</v>
      </c>
      <c r="G96" s="505">
        <v>0.2</v>
      </c>
      <c r="H96" s="505">
        <v>0.7</v>
      </c>
      <c r="I96" s="505">
        <v>0.2</v>
      </c>
      <c r="J96" s="505">
        <v>0.7</v>
      </c>
      <c r="K96" s="371"/>
      <c r="L96" s="399"/>
      <c r="M96" s="362"/>
      <c r="N96" s="362"/>
      <c r="P96" s="1192"/>
      <c r="Q96" s="1152"/>
      <c r="R96" s="394" t="s">
        <v>705</v>
      </c>
      <c r="S96" s="395" t="s">
        <v>701</v>
      </c>
      <c r="T96" s="1135"/>
      <c r="U96" s="1135"/>
      <c r="V96" s="1135"/>
      <c r="W96" s="1135"/>
      <c r="X96" s="1135"/>
      <c r="Y96" s="1135"/>
      <c r="Z96" s="1135"/>
      <c r="AA96" s="1135"/>
      <c r="AB96" s="1135"/>
      <c r="AC96" s="1135"/>
      <c r="AE96" s="1192"/>
      <c r="AF96" s="1152"/>
      <c r="AG96" s="394" t="s">
        <v>705</v>
      </c>
      <c r="AH96" s="395" t="s">
        <v>701</v>
      </c>
      <c r="AI96" s="1135"/>
      <c r="AJ96" s="1135"/>
      <c r="AK96" s="1135"/>
      <c r="AL96" s="1135"/>
      <c r="AM96" s="1135"/>
      <c r="AN96" s="1135"/>
      <c r="AO96" s="1135"/>
      <c r="AP96" s="1135"/>
      <c r="AQ96" s="1135"/>
      <c r="AR96" s="1135"/>
    </row>
    <row r="97" spans="1:44" ht="15" outlineLevel="1" thickBot="1">
      <c r="B97" s="400" t="s">
        <v>706</v>
      </c>
      <c r="C97" s="401"/>
      <c r="D97" s="402"/>
      <c r="E97" s="403"/>
      <c r="F97" s="404"/>
      <c r="G97" s="405"/>
      <c r="H97" s="405"/>
      <c r="I97" s="405"/>
      <c r="J97" s="405"/>
      <c r="K97" s="406"/>
      <c r="L97" s="407"/>
      <c r="M97" s="362"/>
      <c r="N97" s="362"/>
      <c r="P97" s="1192"/>
      <c r="Q97" s="1152"/>
      <c r="R97" s="408" t="s">
        <v>707</v>
      </c>
      <c r="S97" s="409" t="s">
        <v>701</v>
      </c>
      <c r="T97" s="1136"/>
      <c r="U97" s="1136"/>
      <c r="V97" s="1136"/>
      <c r="W97" s="1136"/>
      <c r="X97" s="1136"/>
      <c r="Y97" s="1136"/>
      <c r="Z97" s="1136"/>
      <c r="AA97" s="1136"/>
      <c r="AB97" s="1136"/>
      <c r="AC97" s="1136"/>
      <c r="AE97" s="1192"/>
      <c r="AF97" s="1152"/>
      <c r="AG97" s="408" t="s">
        <v>707</v>
      </c>
      <c r="AH97" s="409" t="s">
        <v>701</v>
      </c>
      <c r="AI97" s="1136"/>
      <c r="AJ97" s="1136"/>
      <c r="AK97" s="1136"/>
      <c r="AL97" s="1136"/>
      <c r="AM97" s="1136"/>
      <c r="AN97" s="1136"/>
      <c r="AO97" s="1136"/>
      <c r="AP97" s="1136"/>
      <c r="AQ97" s="1136"/>
      <c r="AR97" s="1136"/>
    </row>
    <row r="98" spans="1:44" ht="29.4" outlineLevel="1" thickBot="1">
      <c r="B98" s="499" t="s">
        <v>643</v>
      </c>
      <c r="C98" s="505">
        <v>15</v>
      </c>
      <c r="D98" s="505">
        <v>15</v>
      </c>
      <c r="E98" s="505">
        <v>15</v>
      </c>
      <c r="F98" s="505">
        <v>15</v>
      </c>
      <c r="G98" s="506"/>
      <c r="H98" s="506"/>
      <c r="I98" s="506"/>
      <c r="J98" s="506"/>
      <c r="K98" s="502"/>
      <c r="L98" s="503">
        <v>3</v>
      </c>
      <c r="M98" s="362"/>
      <c r="N98" s="362"/>
      <c r="P98" s="1193"/>
      <c r="Q98" s="410" t="s">
        <v>708</v>
      </c>
      <c r="R98" s="411" t="s">
        <v>709</v>
      </c>
      <c r="S98" s="412" t="s">
        <v>701</v>
      </c>
      <c r="T98" s="413">
        <v>1</v>
      </c>
      <c r="U98" s="414">
        <v>1</v>
      </c>
      <c r="V98" s="413">
        <v>0</v>
      </c>
      <c r="W98" s="414">
        <v>0</v>
      </c>
      <c r="X98" s="413">
        <v>0</v>
      </c>
      <c r="Y98" s="414">
        <v>0</v>
      </c>
      <c r="Z98" s="413">
        <v>1</v>
      </c>
      <c r="AA98" s="414">
        <v>1</v>
      </c>
      <c r="AB98" s="413">
        <v>0</v>
      </c>
      <c r="AC98" s="416">
        <v>0</v>
      </c>
      <c r="AE98" s="1193"/>
      <c r="AF98" s="410" t="s">
        <v>708</v>
      </c>
      <c r="AG98" s="411" t="s">
        <v>709</v>
      </c>
      <c r="AH98" s="412" t="s">
        <v>701</v>
      </c>
      <c r="AI98" s="413">
        <v>1</v>
      </c>
      <c r="AJ98" s="414">
        <v>1</v>
      </c>
      <c r="AK98" s="413">
        <v>0</v>
      </c>
      <c r="AL98" s="414">
        <v>0</v>
      </c>
      <c r="AM98" s="413">
        <v>0</v>
      </c>
      <c r="AN98" s="414">
        <v>0</v>
      </c>
      <c r="AO98" s="413">
        <v>1</v>
      </c>
      <c r="AP98" s="414">
        <v>1</v>
      </c>
      <c r="AQ98" s="413">
        <v>0</v>
      </c>
      <c r="AR98" s="416">
        <v>0</v>
      </c>
    </row>
    <row r="99" spans="1:44" outlineLevel="1">
      <c r="B99" s="499" t="s">
        <v>644</v>
      </c>
      <c r="C99" s="505">
        <v>0.1</v>
      </c>
      <c r="D99" s="505">
        <v>0.1</v>
      </c>
      <c r="E99" s="505">
        <v>0.1</v>
      </c>
      <c r="F99" s="505">
        <v>0.1</v>
      </c>
      <c r="G99" s="508"/>
      <c r="H99" s="508"/>
      <c r="I99" s="508"/>
      <c r="J99" s="508"/>
      <c r="K99" s="509"/>
      <c r="L99" s="503">
        <v>3</v>
      </c>
      <c r="M99" s="362"/>
      <c r="N99" s="362"/>
    </row>
    <row r="100" spans="1:44" outlineLevel="1">
      <c r="B100" s="499" t="s">
        <v>646</v>
      </c>
      <c r="C100" s="505">
        <v>0.4</v>
      </c>
      <c r="D100" s="505">
        <v>0.4</v>
      </c>
      <c r="E100" s="505">
        <v>0.4</v>
      </c>
      <c r="F100" s="505">
        <v>0.4</v>
      </c>
      <c r="G100" s="508"/>
      <c r="H100" s="508"/>
      <c r="I100" s="508"/>
      <c r="J100" s="508"/>
      <c r="K100" s="509"/>
      <c r="L100" s="503">
        <v>3</v>
      </c>
      <c r="M100" s="419"/>
      <c r="N100" s="362"/>
    </row>
    <row r="101" spans="1:44" outlineLevel="1">
      <c r="B101" s="420" t="s">
        <v>12</v>
      </c>
      <c r="C101" s="398"/>
      <c r="D101" s="398"/>
      <c r="E101" s="398"/>
      <c r="F101" s="398"/>
      <c r="G101" s="421"/>
      <c r="H101" s="421"/>
      <c r="I101" s="421"/>
      <c r="J101" s="421"/>
      <c r="K101" s="422"/>
      <c r="L101" s="423"/>
      <c r="M101" s="419"/>
      <c r="N101" s="419"/>
    </row>
    <row r="102" spans="1:44" ht="15.6" outlineLevel="1">
      <c r="B102" s="382" t="s">
        <v>710</v>
      </c>
      <c r="C102" s="396">
        <v>0.3</v>
      </c>
      <c r="D102" s="396">
        <v>0.3</v>
      </c>
      <c r="E102" s="396">
        <v>0.3</v>
      </c>
      <c r="F102" s="396">
        <v>0.3</v>
      </c>
      <c r="G102" s="421"/>
      <c r="H102" s="424"/>
      <c r="I102" s="424"/>
      <c r="J102" s="424"/>
      <c r="K102" s="425" t="s">
        <v>59</v>
      </c>
      <c r="L102" s="426" t="s">
        <v>711</v>
      </c>
      <c r="M102" s="427"/>
      <c r="N102" s="427"/>
    </row>
    <row r="103" spans="1:44" outlineLevel="1">
      <c r="B103" s="382" t="s">
        <v>712</v>
      </c>
      <c r="C103" s="396">
        <v>0.1</v>
      </c>
      <c r="D103" s="396">
        <v>0.1</v>
      </c>
      <c r="E103" s="396">
        <v>0.1</v>
      </c>
      <c r="F103" s="396">
        <v>0.1</v>
      </c>
      <c r="G103" s="424"/>
      <c r="H103" s="424"/>
      <c r="I103" s="424"/>
      <c r="J103" s="424"/>
      <c r="K103" s="422"/>
      <c r="L103" s="426">
        <v>9</v>
      </c>
      <c r="M103" s="427"/>
      <c r="N103" s="427"/>
    </row>
    <row r="104" spans="1:44" ht="15.6" outlineLevel="1">
      <c r="B104" s="382" t="s">
        <v>713</v>
      </c>
      <c r="C104" s="396">
        <v>9</v>
      </c>
      <c r="D104" s="396">
        <v>7</v>
      </c>
      <c r="E104" s="396">
        <v>6</v>
      </c>
      <c r="F104" s="396">
        <v>6</v>
      </c>
      <c r="G104" s="424"/>
      <c r="H104" s="424"/>
      <c r="I104" s="424"/>
      <c r="J104" s="424"/>
      <c r="K104" s="422"/>
      <c r="L104" s="426" t="s">
        <v>711</v>
      </c>
      <c r="M104" s="427"/>
      <c r="N104" s="427"/>
      <c r="T104" s="224">
        <f>C$23</f>
        <v>0.3</v>
      </c>
      <c r="U104" s="224">
        <f t="shared" ref="U104:V104" si="5">D$23</f>
        <v>0.3</v>
      </c>
      <c r="V104" s="224">
        <f t="shared" si="5"/>
        <v>0.3</v>
      </c>
    </row>
    <row r="105" spans="1:44" outlineLevel="1">
      <c r="B105" s="382" t="s">
        <v>366</v>
      </c>
      <c r="C105" s="396">
        <v>3</v>
      </c>
      <c r="D105" s="396">
        <v>2</v>
      </c>
      <c r="E105" s="396">
        <v>2</v>
      </c>
      <c r="F105" s="396">
        <v>2</v>
      </c>
      <c r="G105" s="424"/>
      <c r="H105" s="424"/>
      <c r="I105" s="424"/>
      <c r="J105" s="424"/>
      <c r="K105" s="422"/>
      <c r="L105" s="426" t="s">
        <v>711</v>
      </c>
      <c r="M105" s="427"/>
      <c r="N105" s="427"/>
    </row>
    <row r="106" spans="1:44" ht="15" outlineLevel="1" thickBot="1">
      <c r="B106" s="428" t="s">
        <v>367</v>
      </c>
      <c r="C106" s="429">
        <v>1</v>
      </c>
      <c r="D106" s="429">
        <v>1</v>
      </c>
      <c r="E106" s="429">
        <v>1</v>
      </c>
      <c r="F106" s="429">
        <v>1</v>
      </c>
      <c r="G106" s="424"/>
      <c r="H106" s="424"/>
      <c r="I106" s="424"/>
      <c r="J106" s="424"/>
      <c r="K106" s="422"/>
      <c r="L106" s="426" t="s">
        <v>711</v>
      </c>
      <c r="M106" s="427"/>
      <c r="N106" s="427"/>
    </row>
    <row r="107" spans="1:44" ht="15" outlineLevel="1" thickBot="1">
      <c r="B107" s="430" t="s">
        <v>654</v>
      </c>
      <c r="C107" s="431"/>
      <c r="D107" s="402"/>
      <c r="E107" s="402"/>
      <c r="F107" s="432"/>
      <c r="G107" s="433"/>
      <c r="H107" s="405"/>
      <c r="I107" s="405"/>
      <c r="J107" s="405"/>
      <c r="K107" s="406"/>
      <c r="L107" s="407"/>
      <c r="M107" s="427"/>
      <c r="N107" s="427"/>
    </row>
    <row r="108" spans="1:44" ht="43.2" outlineLevel="1">
      <c r="A108" s="434" t="s">
        <v>760</v>
      </c>
      <c r="B108" s="435" t="s">
        <v>755</v>
      </c>
      <c r="C108" s="510">
        <v>0.06</v>
      </c>
      <c r="D108" s="511">
        <v>0.05</v>
      </c>
      <c r="E108" s="511">
        <v>0.05</v>
      </c>
      <c r="F108" s="512">
        <v>0.05</v>
      </c>
      <c r="G108" s="424"/>
      <c r="H108" s="424"/>
      <c r="I108" s="424"/>
      <c r="J108" s="424"/>
      <c r="K108" s="425" t="s">
        <v>16</v>
      </c>
      <c r="L108" s="439" t="s">
        <v>716</v>
      </c>
      <c r="M108" s="419"/>
      <c r="N108" s="419"/>
    </row>
    <row r="109" spans="1:44" outlineLevel="1">
      <c r="B109" s="440" t="s">
        <v>717</v>
      </c>
      <c r="C109" s="441">
        <v>65</v>
      </c>
      <c r="D109" s="441">
        <v>65</v>
      </c>
      <c r="E109" s="441">
        <v>65</v>
      </c>
      <c r="F109" s="441">
        <v>65</v>
      </c>
      <c r="G109" s="424"/>
      <c r="H109" s="424"/>
      <c r="I109" s="424"/>
      <c r="J109" s="424"/>
      <c r="K109" s="443"/>
      <c r="L109" s="372">
        <v>3</v>
      </c>
      <c r="M109" s="71"/>
      <c r="N109" s="419"/>
    </row>
    <row r="110" spans="1:44" outlineLevel="1">
      <c r="B110" s="440" t="s">
        <v>718</v>
      </c>
      <c r="C110" s="441">
        <f>100-C109</f>
        <v>35</v>
      </c>
      <c r="D110" s="441">
        <f t="shared" ref="D110:F110" si="6">100-D109</f>
        <v>35</v>
      </c>
      <c r="E110" s="441">
        <f t="shared" si="6"/>
        <v>35</v>
      </c>
      <c r="F110" s="441">
        <f t="shared" si="6"/>
        <v>35</v>
      </c>
      <c r="G110" s="424"/>
      <c r="H110" s="424"/>
      <c r="I110" s="424"/>
      <c r="J110" s="424"/>
      <c r="K110" s="443"/>
      <c r="L110" s="372">
        <v>3</v>
      </c>
      <c r="M110" s="419"/>
      <c r="N110" s="419"/>
    </row>
    <row r="111" spans="1:44" outlineLevel="1">
      <c r="B111" s="382" t="s">
        <v>756</v>
      </c>
      <c r="C111" s="444">
        <f>2000/1000</f>
        <v>2</v>
      </c>
      <c r="D111" s="445">
        <f>1900/1000</f>
        <v>1.9</v>
      </c>
      <c r="E111" s="445">
        <f>1800/1000</f>
        <v>1.8</v>
      </c>
      <c r="F111" s="446">
        <f>1700/1000</f>
        <v>1.7</v>
      </c>
      <c r="G111" s="424"/>
      <c r="H111" s="424"/>
      <c r="I111" s="424"/>
      <c r="J111" s="424"/>
      <c r="K111" s="447"/>
      <c r="L111" s="372">
        <v>3</v>
      </c>
      <c r="M111" s="419"/>
      <c r="N111" s="419"/>
    </row>
    <row r="112" spans="1:44" outlineLevel="1">
      <c r="B112" s="382" t="s">
        <v>757</v>
      </c>
      <c r="C112" s="448">
        <f>1.1/3.6</f>
        <v>0.30555555555555558</v>
      </c>
      <c r="D112" s="448">
        <f>1/3.6</f>
        <v>0.27777777777777779</v>
      </c>
      <c r="E112" s="448">
        <f>1/3.6</f>
        <v>0.27777777777777779</v>
      </c>
      <c r="F112" s="448">
        <f>1/3.6</f>
        <v>0.27777777777777779</v>
      </c>
      <c r="G112" s="424"/>
      <c r="H112" s="424"/>
      <c r="I112" s="424"/>
      <c r="J112" s="424"/>
      <c r="K112" s="447"/>
      <c r="L112" s="372">
        <v>3</v>
      </c>
      <c r="M112" s="449"/>
      <c r="N112" s="360"/>
      <c r="P112" s="1139">
        <f>C112</f>
        <v>0.30555555555555558</v>
      </c>
      <c r="Q112" s="1140"/>
      <c r="R112" s="1140"/>
      <c r="S112" s="1140"/>
      <c r="T112" s="1140"/>
      <c r="U112" s="1141"/>
    </row>
    <row r="113" spans="2:30" ht="15" outlineLevel="1" thickBot="1">
      <c r="B113" s="499" t="s">
        <v>721</v>
      </c>
      <c r="C113" s="513">
        <f>C92/100*73</f>
        <v>0.10220000000000001</v>
      </c>
      <c r="D113" s="513">
        <f>D92/100*75</f>
        <v>0.09</v>
      </c>
      <c r="E113" s="513">
        <f>E92/100*76</f>
        <v>8.3600000000000008E-2</v>
      </c>
      <c r="F113" s="513">
        <f>F92/100*76</f>
        <v>7.5999999999999998E-2</v>
      </c>
      <c r="G113" s="514"/>
      <c r="H113" s="514"/>
      <c r="I113" s="514"/>
      <c r="J113" s="514"/>
      <c r="K113" s="502" t="s">
        <v>20</v>
      </c>
      <c r="L113" s="503">
        <v>3</v>
      </c>
      <c r="M113" s="449"/>
      <c r="N113" s="360"/>
      <c r="P113" s="1131">
        <f>C113</f>
        <v>0.10220000000000001</v>
      </c>
      <c r="Q113" s="1132"/>
      <c r="R113" s="1132"/>
      <c r="S113" s="1132"/>
      <c r="T113" s="1132"/>
      <c r="U113" s="1133"/>
    </row>
    <row r="114" spans="2:30" outlineLevel="1">
      <c r="B114" s="499" t="s">
        <v>722</v>
      </c>
      <c r="C114" s="515">
        <f>C112-C113</f>
        <v>0.20335555555555557</v>
      </c>
      <c r="D114" s="515">
        <f>D112-D113</f>
        <v>0.18777777777777779</v>
      </c>
      <c r="E114" s="515">
        <f>E112-E113</f>
        <v>0.19417777777777778</v>
      </c>
      <c r="F114" s="515">
        <f>F112-F113</f>
        <v>0.20177777777777778</v>
      </c>
      <c r="G114" s="514"/>
      <c r="H114" s="514"/>
      <c r="I114" s="514"/>
      <c r="J114" s="514"/>
      <c r="K114" s="516"/>
      <c r="L114" s="503">
        <v>3</v>
      </c>
      <c r="M114" s="362"/>
      <c r="N114" s="362"/>
      <c r="P114" s="53" t="s">
        <v>357</v>
      </c>
    </row>
    <row r="115" spans="2:30" ht="27.6" outlineLevel="1">
      <c r="B115" s="440"/>
      <c r="C115" s="517"/>
      <c r="D115" s="517"/>
      <c r="E115" s="517"/>
      <c r="F115" s="517"/>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8"/>
      <c r="C116" s="441"/>
      <c r="D116" s="519"/>
      <c r="E116" s="519"/>
      <c r="F116" s="520"/>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43.8"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522" t="s">
        <v>36</v>
      </c>
      <c r="D118" s="522" t="s">
        <v>36</v>
      </c>
      <c r="E118" s="522" t="s">
        <v>36</v>
      </c>
      <c r="F118" s="522" t="s">
        <v>36</v>
      </c>
      <c r="G118" s="523"/>
      <c r="H118" s="523"/>
      <c r="I118" s="523"/>
      <c r="J118" s="523"/>
      <c r="K118" s="523" t="s">
        <v>76</v>
      </c>
      <c r="L118" s="524"/>
      <c r="M118" s="362"/>
      <c r="N118" s="362"/>
      <c r="O118" s="464">
        <f>C91</f>
        <v>101</v>
      </c>
      <c r="P118" s="465">
        <f>C87</f>
        <v>2020</v>
      </c>
      <c r="Q118" s="58">
        <f>P118</f>
        <v>2020</v>
      </c>
      <c r="R118" s="465">
        <f>O118/100</f>
        <v>1.01</v>
      </c>
      <c r="S118" s="58"/>
      <c r="T118" s="465">
        <f>C95</f>
        <v>25</v>
      </c>
      <c r="U118" s="466">
        <f>C125</f>
        <v>447</v>
      </c>
      <c r="V118" s="466">
        <f>C127</f>
        <v>14.9</v>
      </c>
      <c r="W118" s="466">
        <f>C128</f>
        <v>2.276388888888889</v>
      </c>
      <c r="X118" s="58"/>
      <c r="Y118" s="58"/>
      <c r="Z118" s="465">
        <f>C102</f>
        <v>0.3</v>
      </c>
      <c r="AA118" s="467">
        <f>C104</f>
        <v>9</v>
      </c>
      <c r="AB118" s="467">
        <f>C105</f>
        <v>3</v>
      </c>
      <c r="AC118" s="467">
        <f>C106</f>
        <v>1</v>
      </c>
      <c r="AD118" s="467">
        <f>C103</f>
        <v>0.1</v>
      </c>
    </row>
    <row r="119" spans="2:30" outlineLevel="1">
      <c r="B119" s="499" t="s">
        <v>726</v>
      </c>
      <c r="C119" s="525" t="s">
        <v>36</v>
      </c>
      <c r="D119" s="526" t="s">
        <v>36</v>
      </c>
      <c r="E119" s="526" t="s">
        <v>36</v>
      </c>
      <c r="F119" s="527" t="s">
        <v>36</v>
      </c>
      <c r="G119" s="527"/>
      <c r="H119" s="527"/>
      <c r="I119" s="527"/>
      <c r="J119" s="527"/>
      <c r="K119" s="528" t="s">
        <v>76</v>
      </c>
      <c r="L119" s="524"/>
      <c r="M119" s="362"/>
      <c r="N119" s="362"/>
      <c r="O119" s="464">
        <f>D91</f>
        <v>103</v>
      </c>
      <c r="P119" s="465">
        <f>D87</f>
        <v>2030</v>
      </c>
      <c r="Q119" s="58"/>
      <c r="R119" s="465">
        <f>O119/100</f>
        <v>1.03</v>
      </c>
      <c r="S119" s="58"/>
      <c r="T119" s="465">
        <f>D95</f>
        <v>25</v>
      </c>
      <c r="U119" s="466">
        <f>D125</f>
        <v>372.50000000000006</v>
      </c>
      <c r="V119" s="466">
        <f>D127</f>
        <v>14.154999999999999</v>
      </c>
      <c r="W119" s="466">
        <f>D128</f>
        <v>2.0694444444444446</v>
      </c>
      <c r="X119" s="58"/>
      <c r="Y119" s="58"/>
      <c r="Z119" s="465">
        <f>D102</f>
        <v>0.3</v>
      </c>
      <c r="AA119" s="467">
        <f>D104</f>
        <v>7</v>
      </c>
      <c r="AB119" s="467">
        <f>D105</f>
        <v>2</v>
      </c>
      <c r="AC119" s="467">
        <f>D106</f>
        <v>1</v>
      </c>
      <c r="AD119" s="467">
        <f>D103</f>
        <v>0.1</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103</v>
      </c>
      <c r="P120" s="465">
        <f>E87</f>
        <v>2040</v>
      </c>
      <c r="Q120" s="58"/>
      <c r="R120" s="465">
        <f>O120/100</f>
        <v>1.03</v>
      </c>
      <c r="S120" s="58"/>
      <c r="T120" s="465">
        <f>E95</f>
        <v>25</v>
      </c>
      <c r="U120" s="466">
        <f>E125</f>
        <v>372.50000000000006</v>
      </c>
      <c r="V120" s="466">
        <f>E127</f>
        <v>13.41</v>
      </c>
      <c r="W120" s="466">
        <f>E128</f>
        <v>2.0694444444444446</v>
      </c>
      <c r="X120" s="58"/>
      <c r="Y120" s="58"/>
      <c r="Z120" s="465">
        <f>E102</f>
        <v>0.3</v>
      </c>
      <c r="AA120" s="467">
        <f>E104</f>
        <v>6</v>
      </c>
      <c r="AB120" s="467">
        <f>E105</f>
        <v>2</v>
      </c>
      <c r="AC120" s="467">
        <f>E106</f>
        <v>1</v>
      </c>
      <c r="AD120" s="467">
        <f>E103</f>
        <v>0.1</v>
      </c>
    </row>
    <row r="121" spans="2:30" outlineLevel="1">
      <c r="B121" s="499" t="s">
        <v>728</v>
      </c>
      <c r="C121" s="529">
        <v>90</v>
      </c>
      <c r="D121" s="529">
        <v>90</v>
      </c>
      <c r="E121" s="529">
        <v>90</v>
      </c>
      <c r="F121" s="529">
        <v>90</v>
      </c>
      <c r="G121" s="530"/>
      <c r="H121" s="530"/>
      <c r="I121" s="530"/>
      <c r="J121" s="530"/>
      <c r="K121" s="530"/>
      <c r="L121" s="503">
        <v>3</v>
      </c>
      <c r="M121" s="362"/>
      <c r="N121" s="362"/>
      <c r="O121" s="464">
        <f>F91</f>
        <v>103</v>
      </c>
      <c r="P121" s="465">
        <f>F87</f>
        <v>2050</v>
      </c>
      <c r="Q121" s="58"/>
      <c r="R121" s="465">
        <f>O121/100</f>
        <v>1.03</v>
      </c>
      <c r="S121" s="58"/>
      <c r="T121" s="465">
        <f>F95</f>
        <v>25</v>
      </c>
      <c r="U121" s="466">
        <f>F125</f>
        <v>372.50000000000006</v>
      </c>
      <c r="V121" s="466">
        <f>F127</f>
        <v>12.664999999999999</v>
      </c>
      <c r="W121" s="466">
        <f>F128</f>
        <v>2.0694444444444446</v>
      </c>
      <c r="X121" s="58"/>
      <c r="Y121" s="58"/>
      <c r="Z121" s="465">
        <f>F102</f>
        <v>0.3</v>
      </c>
      <c r="AA121" s="467">
        <f>F104</f>
        <v>6</v>
      </c>
      <c r="AB121" s="467">
        <f>F105</f>
        <v>2</v>
      </c>
      <c r="AC121" s="467">
        <f>F106</f>
        <v>1</v>
      </c>
      <c r="AD121" s="467">
        <f>F103</f>
        <v>0.1</v>
      </c>
    </row>
    <row r="122" spans="2:30" outlineLevel="1">
      <c r="B122" s="531" t="s">
        <v>729</v>
      </c>
      <c r="C122" s="525" t="s">
        <v>36</v>
      </c>
      <c r="D122" s="526" t="s">
        <v>36</v>
      </c>
      <c r="E122" s="526" t="s">
        <v>36</v>
      </c>
      <c r="F122" s="527" t="s">
        <v>36</v>
      </c>
      <c r="G122" s="530"/>
      <c r="H122" s="530"/>
      <c r="I122" s="530"/>
      <c r="J122" s="530"/>
      <c r="K122" s="530"/>
      <c r="L122" s="532"/>
      <c r="M122" s="366"/>
      <c r="N122" s="366"/>
    </row>
    <row r="123" spans="2:30" outlineLevel="1">
      <c r="B123" s="531" t="s">
        <v>730</v>
      </c>
      <c r="C123" s="525" t="s">
        <v>36</v>
      </c>
      <c r="D123" s="526" t="s">
        <v>36</v>
      </c>
      <c r="E123" s="526" t="s">
        <v>36</v>
      </c>
      <c r="F123" s="527" t="s">
        <v>36</v>
      </c>
      <c r="G123" s="530"/>
      <c r="H123" s="530"/>
      <c r="I123" s="530"/>
      <c r="J123" s="530"/>
      <c r="K123" s="530"/>
      <c r="L123" s="532"/>
      <c r="M123" s="362"/>
      <c r="N123" s="362"/>
    </row>
    <row r="124" spans="2:30" ht="15" outlineLevel="1" thickBot="1">
      <c r="B124" s="533" t="s">
        <v>731</v>
      </c>
      <c r="C124" s="534" t="s">
        <v>36</v>
      </c>
      <c r="D124" s="535" t="s">
        <v>36</v>
      </c>
      <c r="E124" s="535" t="s">
        <v>36</v>
      </c>
      <c r="F124" s="536" t="s">
        <v>36</v>
      </c>
      <c r="G124" s="537"/>
      <c r="H124" s="537"/>
      <c r="I124" s="537"/>
      <c r="J124" s="537"/>
      <c r="K124" s="537"/>
      <c r="L124" s="538"/>
      <c r="M124" s="362"/>
      <c r="N124" s="362"/>
    </row>
    <row r="125" spans="2:30" ht="57.6" outlineLevel="1">
      <c r="B125" s="460" t="s">
        <v>732</v>
      </c>
      <c r="C125" s="482">
        <f>C108*$F$4*1000</f>
        <v>447</v>
      </c>
      <c r="D125" s="482">
        <f t="shared" ref="D125:F125" si="7">D108*$F$4*1000</f>
        <v>372.50000000000006</v>
      </c>
      <c r="E125" s="482">
        <f t="shared" si="7"/>
        <v>372.50000000000006</v>
      </c>
      <c r="F125" s="482">
        <f t="shared" si="7"/>
        <v>372.50000000000006</v>
      </c>
      <c r="G125" s="482"/>
      <c r="H125" s="483"/>
      <c r="I125" s="419" t="s">
        <v>332</v>
      </c>
      <c r="J125" s="419"/>
      <c r="K125" s="483"/>
      <c r="L125" s="483"/>
      <c r="N125" s="419"/>
    </row>
    <row r="126" spans="2:30" outlineLevel="1">
      <c r="B126" s="484" t="s">
        <v>733</v>
      </c>
      <c r="C126" s="485">
        <f>C125*$I126</f>
        <v>223500</v>
      </c>
      <c r="D126" s="485">
        <f>D125*$I126</f>
        <v>186250.00000000003</v>
      </c>
      <c r="E126" s="485">
        <f>E125*$I126</f>
        <v>186250.00000000003</v>
      </c>
      <c r="F126" s="485">
        <f>F125*$I126</f>
        <v>186250.00000000003</v>
      </c>
      <c r="G126" s="485"/>
      <c r="H126" s="483"/>
      <c r="I126" s="71">
        <v>500</v>
      </c>
      <c r="J126" s="419" t="s">
        <v>330</v>
      </c>
      <c r="K126" s="483"/>
      <c r="L126" s="483"/>
      <c r="N126" s="419"/>
    </row>
    <row r="127" spans="2:30" ht="43.2" outlineLevel="1">
      <c r="B127" s="460" t="s">
        <v>734</v>
      </c>
      <c r="C127" s="358">
        <f>C111*$F$4</f>
        <v>14.9</v>
      </c>
      <c r="D127" s="358">
        <f t="shared" ref="D127:F128" si="8">D111*$F$4</f>
        <v>14.154999999999999</v>
      </c>
      <c r="E127" s="358">
        <f t="shared" si="8"/>
        <v>13.41</v>
      </c>
      <c r="F127" s="358">
        <f t="shared" si="8"/>
        <v>12.664999999999999</v>
      </c>
      <c r="G127" s="358"/>
      <c r="I127" s="419" t="s">
        <v>333</v>
      </c>
      <c r="J127" s="419"/>
      <c r="N127" s="419"/>
    </row>
    <row r="128" spans="2:30" ht="43.2" outlineLevel="1">
      <c r="B128" s="460" t="s">
        <v>735</v>
      </c>
      <c r="C128" s="486">
        <f>C112*$F$4</f>
        <v>2.276388888888889</v>
      </c>
      <c r="D128" s="486">
        <f t="shared" si="8"/>
        <v>2.0694444444444446</v>
      </c>
      <c r="E128" s="486">
        <f t="shared" si="8"/>
        <v>2.0694444444444446</v>
      </c>
      <c r="F128" s="486">
        <f t="shared" si="8"/>
        <v>2.0694444444444446</v>
      </c>
      <c r="G128" s="358"/>
      <c r="M128" s="419"/>
      <c r="N128" s="419"/>
    </row>
    <row r="129" spans="2:6" outlineLevel="1"/>
    <row r="130" spans="2:6" outlineLevel="1"/>
    <row r="131" spans="2:6" outlineLevel="1"/>
    <row r="132" spans="2:6" outlineLevel="1"/>
    <row r="133" spans="2:6" outlineLevel="1">
      <c r="B133" s="487" t="s">
        <v>736</v>
      </c>
      <c r="C133" s="488"/>
      <c r="D133" s="489"/>
      <c r="E133" s="489"/>
      <c r="F133" s="489"/>
    </row>
    <row r="134" spans="2:6" outlineLevel="1">
      <c r="B134" s="490">
        <v>1</v>
      </c>
      <c r="C134" s="491" t="s">
        <v>737</v>
      </c>
      <c r="E134" s="489"/>
      <c r="F134" s="489"/>
    </row>
    <row r="135" spans="2:6" outlineLevel="1">
      <c r="B135" s="490">
        <v>2</v>
      </c>
      <c r="C135" s="492" t="s">
        <v>738</v>
      </c>
      <c r="E135" s="489"/>
      <c r="F135" s="489"/>
    </row>
    <row r="136" spans="2:6" outlineLevel="1">
      <c r="B136" s="490">
        <v>3</v>
      </c>
      <c r="C136" s="492" t="s">
        <v>739</v>
      </c>
      <c r="E136" s="489"/>
      <c r="F136" s="489"/>
    </row>
    <row r="137" spans="2:6" outlineLevel="1">
      <c r="B137" s="490">
        <v>4</v>
      </c>
      <c r="C137" s="492" t="s">
        <v>740</v>
      </c>
      <c r="E137" s="489"/>
      <c r="F137" s="489"/>
    </row>
    <row r="138" spans="2:6" outlineLevel="1">
      <c r="B138" s="357">
        <v>5</v>
      </c>
      <c r="C138" s="493" t="s">
        <v>741</v>
      </c>
      <c r="D138" s="489"/>
      <c r="E138" s="489"/>
      <c r="F138" s="489"/>
    </row>
    <row r="139" spans="2:6" outlineLevel="1">
      <c r="B139" s="357">
        <v>6</v>
      </c>
      <c r="C139" s="491" t="s">
        <v>742</v>
      </c>
      <c r="D139" s="489"/>
      <c r="E139" s="489"/>
      <c r="F139" s="489"/>
    </row>
    <row r="140" spans="2:6" outlineLevel="1">
      <c r="B140" s="357">
        <v>7</v>
      </c>
      <c r="C140" s="494" t="s">
        <v>737</v>
      </c>
      <c r="D140" s="489"/>
      <c r="E140" s="489"/>
      <c r="F140" s="489"/>
    </row>
    <row r="141" spans="2:6" outlineLevel="1">
      <c r="B141" s="357">
        <v>8</v>
      </c>
      <c r="C141" s="494" t="s">
        <v>743</v>
      </c>
      <c r="D141" s="489"/>
      <c r="E141" s="489"/>
      <c r="F141" s="489"/>
    </row>
    <row r="142" spans="2:6" outlineLevel="1">
      <c r="B142" s="357">
        <v>9</v>
      </c>
      <c r="C142" s="488" t="s">
        <v>744</v>
      </c>
      <c r="D142" s="489"/>
      <c r="E142" s="489"/>
      <c r="F142" s="489"/>
    </row>
    <row r="143" spans="2:6" outlineLevel="1">
      <c r="B143" s="357">
        <v>10</v>
      </c>
      <c r="C143" s="489" t="s">
        <v>745</v>
      </c>
      <c r="D143" s="489"/>
      <c r="E143" s="489"/>
      <c r="F143" s="489"/>
    </row>
    <row r="144" spans="2:6" outlineLevel="1">
      <c r="B144" s="487" t="s">
        <v>746</v>
      </c>
      <c r="C144" s="488"/>
      <c r="D144" s="489"/>
      <c r="E144" s="489"/>
      <c r="F144" s="489"/>
    </row>
    <row r="145" spans="2:13" outlineLevel="1">
      <c r="B145" s="495" t="s">
        <v>6</v>
      </c>
      <c r="C145" s="496" t="s">
        <v>747</v>
      </c>
      <c r="E145" s="489"/>
      <c r="F145" s="489"/>
    </row>
    <row r="146" spans="2:13" outlineLevel="1">
      <c r="B146" s="495" t="s">
        <v>59</v>
      </c>
      <c r="C146" s="488" t="s">
        <v>748</v>
      </c>
      <c r="E146" s="489"/>
      <c r="F146" s="489"/>
    </row>
    <row r="147" spans="2:13" outlineLevel="1">
      <c r="B147" s="495" t="s">
        <v>16</v>
      </c>
      <c r="C147" s="488" t="s">
        <v>749</v>
      </c>
      <c r="E147" s="489"/>
      <c r="F147" s="489"/>
    </row>
    <row r="148" spans="2:13" outlineLevel="1">
      <c r="B148" s="495" t="s">
        <v>20</v>
      </c>
      <c r="C148" s="488" t="s">
        <v>750</v>
      </c>
      <c r="E148" s="489"/>
      <c r="F148" s="489"/>
    </row>
    <row r="149" spans="2:13" outlineLevel="1">
      <c r="B149" s="495" t="s">
        <v>76</v>
      </c>
      <c r="C149" s="497" t="s">
        <v>751</v>
      </c>
      <c r="E149" s="489"/>
      <c r="F149" s="489"/>
    </row>
    <row r="150" spans="2:13" outlineLevel="1">
      <c r="B150" s="495" t="s">
        <v>25</v>
      </c>
      <c r="C150" s="488" t="s">
        <v>752</v>
      </c>
      <c r="E150" s="489"/>
      <c r="F150" s="489"/>
    </row>
    <row r="151" spans="2:13" outlineLevel="1"/>
    <row r="152" spans="2:13" outlineLevel="1">
      <c r="M152" s="214"/>
    </row>
    <row r="153" spans="2:13" outlineLevel="1"/>
    <row r="154" spans="2:13" outlineLevel="1"/>
    <row r="155" spans="2:13" outlineLevel="1"/>
    <row r="156" spans="2:13" outlineLevel="1"/>
    <row r="157" spans="2:13" outlineLevel="1"/>
    <row r="158" spans="2:13" outlineLevel="1"/>
    <row r="159" spans="2:13" outlineLevel="1"/>
    <row r="160" spans="2:13" outlineLevel="1"/>
    <row r="161" spans="1:44" outlineLevel="1"/>
    <row r="162" spans="1:44" outlineLevel="1"/>
    <row r="163" spans="1:44" outlineLevel="1"/>
    <row r="166" spans="1:44">
      <c r="A166" s="359" t="s">
        <v>765</v>
      </c>
      <c r="B166" s="1204"/>
      <c r="C166" s="1140"/>
      <c r="D166" s="1140"/>
      <c r="E166" s="1140"/>
      <c r="F166" s="1140"/>
      <c r="G166" s="1140"/>
      <c r="H166" s="1140"/>
      <c r="I166" s="1140"/>
      <c r="J166" s="1140"/>
      <c r="K166" s="1140"/>
      <c r="L166" s="1140"/>
      <c r="M166" s="1140"/>
      <c r="N166" s="360"/>
      <c r="P166" s="1140"/>
      <c r="Q166" s="1140"/>
      <c r="R166" s="1140"/>
      <c r="S166" s="1140"/>
      <c r="T166" s="1140"/>
      <c r="U166" s="1140"/>
    </row>
    <row r="167" spans="1:44" ht="15" outlineLevel="1" thickBot="1">
      <c r="B167" s="1204"/>
      <c r="C167" s="1140"/>
      <c r="D167" s="1140"/>
      <c r="E167" s="1140"/>
      <c r="F167" s="1140"/>
      <c r="G167" s="1140"/>
      <c r="H167" s="1140"/>
      <c r="I167" s="1140"/>
      <c r="J167" s="1140"/>
      <c r="K167" s="1140"/>
      <c r="L167" s="1140"/>
      <c r="M167" s="1140"/>
      <c r="N167" s="360"/>
      <c r="P167" s="691">
        <v>1</v>
      </c>
      <c r="Q167" s="691">
        <v>2</v>
      </c>
      <c r="R167" s="691">
        <v>3</v>
      </c>
      <c r="S167" s="691">
        <v>4</v>
      </c>
      <c r="T167" s="691">
        <v>5</v>
      </c>
      <c r="U167" s="691">
        <v>6</v>
      </c>
      <c r="V167" s="691">
        <v>7</v>
      </c>
      <c r="W167" s="691">
        <v>8</v>
      </c>
      <c r="X167" s="691">
        <v>9</v>
      </c>
      <c r="Y167" s="691">
        <v>10</v>
      </c>
      <c r="Z167" s="691">
        <v>11</v>
      </c>
      <c r="AA167" s="691">
        <v>12</v>
      </c>
      <c r="AB167" s="691">
        <v>13</v>
      </c>
      <c r="AC167" s="691">
        <v>14</v>
      </c>
    </row>
    <row r="168" spans="1:44" ht="20.55" customHeight="1" outlineLevel="1" thickBot="1">
      <c r="B168" s="361" t="s">
        <v>0</v>
      </c>
      <c r="C168" s="1183" t="s">
        <v>766</v>
      </c>
      <c r="D168" s="1202"/>
      <c r="E168" s="1202"/>
      <c r="F168" s="1202"/>
      <c r="G168" s="1202"/>
      <c r="H168" s="1202"/>
      <c r="I168" s="1202"/>
      <c r="J168" s="1202"/>
      <c r="K168" s="1202"/>
      <c r="L168" s="1203"/>
      <c r="M168" s="362"/>
      <c r="N168" s="362"/>
      <c r="P168" s="363" t="s">
        <v>676</v>
      </c>
      <c r="Q168" s="364"/>
      <c r="R168" s="365"/>
      <c r="S168" s="1173" t="s">
        <v>677</v>
      </c>
      <c r="T168" s="1157" t="s">
        <v>678</v>
      </c>
      <c r="U168" s="1158"/>
      <c r="V168" s="1157" t="s">
        <v>679</v>
      </c>
      <c r="W168" s="1158"/>
      <c r="X168" s="1157" t="s">
        <v>680</v>
      </c>
      <c r="Y168" s="1158"/>
      <c r="Z168" s="1157" t="s">
        <v>681</v>
      </c>
      <c r="AA168" s="1158"/>
      <c r="AB168" s="1157" t="s">
        <v>682</v>
      </c>
      <c r="AC168" s="1158"/>
      <c r="AE168" s="363" t="s">
        <v>683</v>
      </c>
      <c r="AF168" s="364"/>
      <c r="AG168" s="365"/>
      <c r="AH168" s="1173" t="s">
        <v>677</v>
      </c>
      <c r="AI168" s="1157" t="s">
        <v>678</v>
      </c>
      <c r="AJ168" s="1158"/>
      <c r="AK168" s="1157" t="s">
        <v>679</v>
      </c>
      <c r="AL168" s="1158"/>
      <c r="AM168" s="1157" t="s">
        <v>680</v>
      </c>
      <c r="AN168" s="1158"/>
      <c r="AO168" s="1157" t="s">
        <v>681</v>
      </c>
      <c r="AP168" s="1158"/>
      <c r="AQ168" s="1157" t="s">
        <v>682</v>
      </c>
      <c r="AR168" s="1158"/>
    </row>
    <row r="169" spans="1:44" ht="15" customHeight="1" outlineLevel="1" thickBot="1">
      <c r="B169" s="1161" t="s">
        <v>4</v>
      </c>
      <c r="C169" s="1163">
        <v>2020</v>
      </c>
      <c r="D169" s="1163">
        <v>2030</v>
      </c>
      <c r="E169" s="1163">
        <v>2040</v>
      </c>
      <c r="F169" s="1163">
        <v>2050</v>
      </c>
      <c r="G169" s="1218" t="s">
        <v>684</v>
      </c>
      <c r="H169" s="1219"/>
      <c r="I169" s="1218" t="s">
        <v>628</v>
      </c>
      <c r="J169" s="1219"/>
      <c r="K169" s="1186" t="s">
        <v>2</v>
      </c>
      <c r="L169" s="1186" t="s">
        <v>3</v>
      </c>
      <c r="M169" s="366"/>
      <c r="N169" s="366"/>
      <c r="P169" s="1177" t="s">
        <v>0</v>
      </c>
      <c r="Q169" s="367"/>
      <c r="R169" s="367"/>
      <c r="S169" s="1174"/>
      <c r="T169" s="1159"/>
      <c r="U169" s="1160"/>
      <c r="V169" s="1159"/>
      <c r="W169" s="1160"/>
      <c r="X169" s="1159"/>
      <c r="Y169" s="1160"/>
      <c r="Z169" s="1159"/>
      <c r="AA169" s="1160"/>
      <c r="AB169" s="1159"/>
      <c r="AC169" s="1160"/>
      <c r="AE169" s="1177" t="s">
        <v>0</v>
      </c>
      <c r="AF169" s="367"/>
      <c r="AG169" s="367"/>
      <c r="AH169" s="1174"/>
      <c r="AI169" s="1159"/>
      <c r="AJ169" s="1160"/>
      <c r="AK169" s="1159"/>
      <c r="AL169" s="1160"/>
      <c r="AM169" s="1159"/>
      <c r="AN169" s="1160"/>
      <c r="AO169" s="1159"/>
      <c r="AP169" s="1160"/>
      <c r="AQ169" s="1159"/>
      <c r="AR169" s="1160"/>
    </row>
    <row r="170" spans="1:44" ht="15" customHeight="1" outlineLevel="1" thickBot="1">
      <c r="B170" s="1162"/>
      <c r="C170" s="1164"/>
      <c r="D170" s="1164"/>
      <c r="E170" s="1164"/>
      <c r="F170" s="1164"/>
      <c r="G170" s="539" t="s">
        <v>629</v>
      </c>
      <c r="H170" s="539" t="s">
        <v>630</v>
      </c>
      <c r="I170" s="539" t="s">
        <v>629</v>
      </c>
      <c r="J170" s="539" t="s">
        <v>630</v>
      </c>
      <c r="K170" s="1187"/>
      <c r="L170" s="1187"/>
      <c r="M170" s="369"/>
      <c r="N170" s="369"/>
      <c r="P170" s="1178"/>
      <c r="Q170" s="1180" t="s">
        <v>685</v>
      </c>
      <c r="R170" s="1181" t="s">
        <v>686</v>
      </c>
      <c r="S170" s="1175"/>
      <c r="T170" s="1159"/>
      <c r="U170" s="1160"/>
      <c r="V170" s="1159"/>
      <c r="W170" s="1160"/>
      <c r="X170" s="1159"/>
      <c r="Y170" s="1160"/>
      <c r="Z170" s="1159"/>
      <c r="AA170" s="1160"/>
      <c r="AB170" s="1159"/>
      <c r="AC170" s="1160"/>
      <c r="AE170" s="1178"/>
      <c r="AF170" s="1194" t="s">
        <v>685</v>
      </c>
      <c r="AG170" s="1181" t="s">
        <v>686</v>
      </c>
      <c r="AH170" s="1175"/>
      <c r="AI170" s="1159"/>
      <c r="AJ170" s="1160"/>
      <c r="AK170" s="1159"/>
      <c r="AL170" s="1160"/>
      <c r="AM170" s="1159"/>
      <c r="AN170" s="1160"/>
      <c r="AO170" s="1159"/>
      <c r="AP170" s="1160"/>
      <c r="AQ170" s="1159"/>
      <c r="AR170" s="1160"/>
    </row>
    <row r="171" spans="1:44" ht="29.4" outlineLevel="1" thickBot="1">
      <c r="B171" s="370" t="s">
        <v>631</v>
      </c>
      <c r="C171" s="371">
        <v>20</v>
      </c>
      <c r="D171" s="371">
        <v>20</v>
      </c>
      <c r="E171" s="371">
        <v>20</v>
      </c>
      <c r="F171" s="371">
        <v>20</v>
      </c>
      <c r="G171" s="371">
        <v>1</v>
      </c>
      <c r="H171" s="371">
        <v>50</v>
      </c>
      <c r="I171" s="371">
        <v>1</v>
      </c>
      <c r="J171" s="371">
        <v>50</v>
      </c>
      <c r="K171" s="371" t="s">
        <v>6</v>
      </c>
      <c r="L171" s="372" t="s">
        <v>688</v>
      </c>
      <c r="M171" s="369"/>
      <c r="N171" s="369"/>
      <c r="O171" s="74"/>
      <c r="P171" s="1179"/>
      <c r="Q171" s="1176"/>
      <c r="R171" s="1182"/>
      <c r="S171" s="1176"/>
      <c r="T171" s="373" t="s">
        <v>689</v>
      </c>
      <c r="U171" s="374" t="s">
        <v>690</v>
      </c>
      <c r="V171" s="373" t="s">
        <v>689</v>
      </c>
      <c r="W171" s="374" t="s">
        <v>690</v>
      </c>
      <c r="X171" s="373" t="s">
        <v>689</v>
      </c>
      <c r="Y171" s="374" t="s">
        <v>690</v>
      </c>
      <c r="Z171" s="373" t="s">
        <v>689</v>
      </c>
      <c r="AA171" s="374" t="s">
        <v>690</v>
      </c>
      <c r="AB171" s="373" t="s">
        <v>689</v>
      </c>
      <c r="AC171" s="374" t="s">
        <v>690</v>
      </c>
      <c r="AE171" s="1179"/>
      <c r="AF171" s="1195"/>
      <c r="AG171" s="1182"/>
      <c r="AH171" s="1176"/>
      <c r="AI171" s="373" t="s">
        <v>689</v>
      </c>
      <c r="AJ171" s="374" t="s">
        <v>690</v>
      </c>
      <c r="AK171" s="373" t="s">
        <v>689</v>
      </c>
      <c r="AL171" s="374" t="s">
        <v>690</v>
      </c>
      <c r="AM171" s="373" t="s">
        <v>689</v>
      </c>
      <c r="AN171" s="374" t="s">
        <v>690</v>
      </c>
      <c r="AO171" s="373" t="s">
        <v>689</v>
      </c>
      <c r="AP171" s="374" t="s">
        <v>690</v>
      </c>
      <c r="AQ171" s="373" t="s">
        <v>689</v>
      </c>
      <c r="AR171" s="374" t="s">
        <v>690</v>
      </c>
    </row>
    <row r="172" spans="1:44" ht="14.55" customHeight="1" outlineLevel="1">
      <c r="B172" s="540" t="s">
        <v>691</v>
      </c>
      <c r="C172" s="541">
        <v>94</v>
      </c>
      <c r="D172" s="541">
        <f>C172+1</f>
        <v>95</v>
      </c>
      <c r="E172" s="542">
        <f>D172</f>
        <v>95</v>
      </c>
      <c r="F172" s="541">
        <f>D172+1</f>
        <v>96</v>
      </c>
      <c r="G172" s="541">
        <v>90</v>
      </c>
      <c r="H172" s="541">
        <v>96</v>
      </c>
      <c r="I172" s="541">
        <v>90</v>
      </c>
      <c r="J172" s="541">
        <v>98</v>
      </c>
      <c r="K172" s="371" t="s">
        <v>59</v>
      </c>
      <c r="L172" s="372" t="s">
        <v>692</v>
      </c>
      <c r="M172" s="369"/>
      <c r="N172" s="369"/>
      <c r="P172" s="1196" t="str">
        <f>C168</f>
        <v>Hot water boiler, Natural gas or biogas</v>
      </c>
      <c r="Q172" s="1151" t="s">
        <v>693</v>
      </c>
      <c r="R172" s="380" t="s">
        <v>694</v>
      </c>
      <c r="S172" s="381"/>
      <c r="T172" s="1134">
        <v>0</v>
      </c>
      <c r="U172" s="1148">
        <v>0</v>
      </c>
      <c r="V172" s="1134">
        <v>0</v>
      </c>
      <c r="W172" s="1148">
        <v>0</v>
      </c>
      <c r="X172" s="1134">
        <v>0</v>
      </c>
      <c r="Y172" s="1148">
        <v>0</v>
      </c>
      <c r="Z172" s="1134">
        <v>0</v>
      </c>
      <c r="AA172" s="1148">
        <v>0</v>
      </c>
      <c r="AB172" s="1134">
        <v>0</v>
      </c>
      <c r="AC172" s="1148">
        <v>0</v>
      </c>
      <c r="AE172" s="1145" t="str">
        <f>P172</f>
        <v>Hot water boiler, Natural gas or biogas</v>
      </c>
      <c r="AF172" s="1151" t="s">
        <v>693</v>
      </c>
      <c r="AG172" s="380" t="s">
        <v>694</v>
      </c>
      <c r="AH172" s="381"/>
      <c r="AI172" s="1134">
        <v>0</v>
      </c>
      <c r="AJ172" s="1148">
        <v>0</v>
      </c>
      <c r="AK172" s="1134">
        <v>0</v>
      </c>
      <c r="AL172" s="1148">
        <v>0</v>
      </c>
      <c r="AM172" s="1134">
        <v>0</v>
      </c>
      <c r="AN172" s="1148">
        <v>0</v>
      </c>
      <c r="AO172" s="1134">
        <v>0</v>
      </c>
      <c r="AP172" s="1148">
        <v>0</v>
      </c>
      <c r="AQ172" s="1134">
        <v>0</v>
      </c>
      <c r="AR172" s="1148">
        <v>0</v>
      </c>
    </row>
    <row r="173" spans="1:44" outlineLevel="1">
      <c r="B173" s="382" t="s">
        <v>695</v>
      </c>
      <c r="C173" s="383">
        <f t="shared" ref="C173:J173" si="9">C172-1</f>
        <v>93</v>
      </c>
      <c r="D173" s="383">
        <f t="shared" si="9"/>
        <v>94</v>
      </c>
      <c r="E173" s="383">
        <f t="shared" si="9"/>
        <v>94</v>
      </c>
      <c r="F173" s="383">
        <f t="shared" si="9"/>
        <v>95</v>
      </c>
      <c r="G173" s="504">
        <f t="shared" si="9"/>
        <v>89</v>
      </c>
      <c r="H173" s="504">
        <f t="shared" si="9"/>
        <v>95</v>
      </c>
      <c r="I173" s="504">
        <f t="shared" si="9"/>
        <v>89</v>
      </c>
      <c r="J173" s="504">
        <f t="shared" si="9"/>
        <v>97</v>
      </c>
      <c r="K173" s="371"/>
      <c r="L173" s="372" t="s">
        <v>692</v>
      </c>
      <c r="M173" s="369"/>
      <c r="N173" s="369"/>
      <c r="O173" s="71"/>
      <c r="P173" s="1192"/>
      <c r="Q173" s="1152"/>
      <c r="R173" s="387" t="s">
        <v>696</v>
      </c>
      <c r="S173" s="388"/>
      <c r="T173" s="1137"/>
      <c r="U173" s="1149"/>
      <c r="V173" s="1137"/>
      <c r="W173" s="1149"/>
      <c r="X173" s="1137"/>
      <c r="Y173" s="1149"/>
      <c r="Z173" s="1137"/>
      <c r="AA173" s="1149"/>
      <c r="AB173" s="1137"/>
      <c r="AC173" s="1149"/>
      <c r="AE173" s="1192"/>
      <c r="AF173" s="1152"/>
      <c r="AG173" s="387" t="s">
        <v>696</v>
      </c>
      <c r="AH173" s="388"/>
      <c r="AI173" s="1137"/>
      <c r="AJ173" s="1149"/>
      <c r="AK173" s="1137"/>
      <c r="AL173" s="1149"/>
      <c r="AM173" s="1137"/>
      <c r="AN173" s="1149"/>
      <c r="AO173" s="1137"/>
      <c r="AP173" s="1149"/>
      <c r="AQ173" s="1137"/>
      <c r="AR173" s="1149"/>
    </row>
    <row r="174" spans="1:44" ht="15" outlineLevel="1" thickBot="1">
      <c r="B174" s="540" t="s">
        <v>697</v>
      </c>
      <c r="C174" s="543">
        <v>0.14000000000000001</v>
      </c>
      <c r="D174" s="544">
        <v>0.12</v>
      </c>
      <c r="E174" s="544">
        <v>0.11</v>
      </c>
      <c r="F174" s="545">
        <v>0.1</v>
      </c>
      <c r="G174" s="544">
        <v>0.1</v>
      </c>
      <c r="H174" s="544">
        <v>0.14000000000000001</v>
      </c>
      <c r="I174" s="544">
        <v>0.08</v>
      </c>
      <c r="J174" s="544">
        <v>0.12</v>
      </c>
      <c r="K174" s="546"/>
      <c r="L174" s="547">
        <v>3</v>
      </c>
      <c r="M174" s="369"/>
      <c r="N174" s="369"/>
      <c r="O174" s="71"/>
      <c r="P174" s="1192"/>
      <c r="Q174" s="1153"/>
      <c r="R174" s="392" t="s">
        <v>698</v>
      </c>
      <c r="S174" s="393"/>
      <c r="T174" s="1138"/>
      <c r="U174" s="1150"/>
      <c r="V174" s="1138"/>
      <c r="W174" s="1150"/>
      <c r="X174" s="1138"/>
      <c r="Y174" s="1150"/>
      <c r="Z174" s="1138"/>
      <c r="AA174" s="1150"/>
      <c r="AB174" s="1138"/>
      <c r="AC174" s="1150"/>
      <c r="AE174" s="1192"/>
      <c r="AF174" s="1153"/>
      <c r="AG174" s="392" t="s">
        <v>698</v>
      </c>
      <c r="AH174" s="393"/>
      <c r="AI174" s="1138"/>
      <c r="AJ174" s="1150"/>
      <c r="AK174" s="1138"/>
      <c r="AL174" s="1150"/>
      <c r="AM174" s="1138"/>
      <c r="AN174" s="1150"/>
      <c r="AO174" s="1138"/>
      <c r="AP174" s="1150"/>
      <c r="AQ174" s="1138"/>
      <c r="AR174" s="1150"/>
    </row>
    <row r="175" spans="1:44" ht="14.55" customHeight="1" outlineLevel="1">
      <c r="B175" s="540" t="s">
        <v>637</v>
      </c>
      <c r="C175" s="543">
        <v>1</v>
      </c>
      <c r="D175" s="543">
        <v>1</v>
      </c>
      <c r="E175" s="543">
        <v>1</v>
      </c>
      <c r="F175" s="543">
        <v>1</v>
      </c>
      <c r="G175" s="543">
        <v>0.08</v>
      </c>
      <c r="H175" s="543">
        <v>2</v>
      </c>
      <c r="I175" s="543">
        <v>0.08</v>
      </c>
      <c r="J175" s="543">
        <v>2</v>
      </c>
      <c r="K175" s="546"/>
      <c r="L175" s="547">
        <v>3</v>
      </c>
      <c r="M175" s="369"/>
      <c r="N175" s="369"/>
      <c r="O175" s="71"/>
      <c r="P175" s="1192"/>
      <c r="Q175" s="1151" t="s">
        <v>699</v>
      </c>
      <c r="R175" s="394" t="s">
        <v>700</v>
      </c>
      <c r="S175" s="395" t="s">
        <v>701</v>
      </c>
      <c r="T175" s="1134">
        <v>0</v>
      </c>
      <c r="U175" s="1134">
        <v>0.67</v>
      </c>
      <c r="V175" s="1134">
        <v>0</v>
      </c>
      <c r="W175" s="1134">
        <v>0.56999999999999995</v>
      </c>
      <c r="X175" s="1134">
        <v>0</v>
      </c>
      <c r="Y175" s="1134">
        <v>0.5</v>
      </c>
      <c r="Z175" s="1134">
        <v>0</v>
      </c>
      <c r="AA175" s="1134">
        <v>0.51</v>
      </c>
      <c r="AB175" s="1134">
        <v>0</v>
      </c>
      <c r="AC175" s="1134">
        <v>0.41</v>
      </c>
      <c r="AE175" s="1192"/>
      <c r="AF175" s="1151" t="s">
        <v>699</v>
      </c>
      <c r="AG175" s="394" t="s">
        <v>700</v>
      </c>
      <c r="AH175" s="395" t="s">
        <v>701</v>
      </c>
      <c r="AI175" s="1134">
        <v>0</v>
      </c>
      <c r="AJ175" s="1134">
        <f>U175/4</f>
        <v>0.16750000000000001</v>
      </c>
      <c r="AK175" s="1134">
        <v>0</v>
      </c>
      <c r="AL175" s="1134">
        <f>W175/4</f>
        <v>0.14249999999999999</v>
      </c>
      <c r="AM175" s="1134">
        <v>0</v>
      </c>
      <c r="AN175" s="1134">
        <f>Y175/4</f>
        <v>0.125</v>
      </c>
      <c r="AO175" s="1134">
        <v>0</v>
      </c>
      <c r="AP175" s="1134">
        <f>AA175/4</f>
        <v>0.1275</v>
      </c>
      <c r="AQ175" s="1134">
        <v>0</v>
      </c>
      <c r="AR175" s="1134">
        <f>AC175/4</f>
        <v>0.10249999999999999</v>
      </c>
    </row>
    <row r="176" spans="1:44" outlineLevel="1">
      <c r="B176" s="540" t="s">
        <v>638</v>
      </c>
      <c r="C176" s="543">
        <v>0.4</v>
      </c>
      <c r="D176" s="543">
        <v>0.4</v>
      </c>
      <c r="E176" s="543">
        <v>0.4</v>
      </c>
      <c r="F176" s="543">
        <v>0.4</v>
      </c>
      <c r="G176" s="543">
        <v>0.3</v>
      </c>
      <c r="H176" s="543">
        <v>0.6</v>
      </c>
      <c r="I176" s="543">
        <v>0.3</v>
      </c>
      <c r="J176" s="543">
        <v>0.6</v>
      </c>
      <c r="K176" s="546"/>
      <c r="L176" s="547">
        <v>3</v>
      </c>
      <c r="M176" s="366"/>
      <c r="N176" s="366"/>
      <c r="O176" s="71"/>
      <c r="P176" s="1192"/>
      <c r="Q176" s="1152"/>
      <c r="R176" s="394" t="s">
        <v>702</v>
      </c>
      <c r="S176" s="395" t="s">
        <v>701</v>
      </c>
      <c r="T176" s="1135"/>
      <c r="U176" s="1135"/>
      <c r="V176" s="1135"/>
      <c r="W176" s="1135"/>
      <c r="X176" s="1135"/>
      <c r="Y176" s="1135"/>
      <c r="Z176" s="1135"/>
      <c r="AA176" s="1135"/>
      <c r="AB176" s="1135"/>
      <c r="AC176" s="1135"/>
      <c r="AE176" s="1192"/>
      <c r="AF176" s="1152"/>
      <c r="AG176" s="394" t="s">
        <v>702</v>
      </c>
      <c r="AH176" s="395" t="s">
        <v>701</v>
      </c>
      <c r="AI176" s="1135"/>
      <c r="AJ176" s="1135"/>
      <c r="AK176" s="1135"/>
      <c r="AL176" s="1135"/>
      <c r="AM176" s="1135"/>
      <c r="AN176" s="1135"/>
      <c r="AO176" s="1135"/>
      <c r="AP176" s="1135"/>
      <c r="AQ176" s="1135"/>
      <c r="AR176" s="1135"/>
    </row>
    <row r="177" spans="1:44" outlineLevel="1">
      <c r="B177" s="382" t="s">
        <v>11</v>
      </c>
      <c r="C177" s="396">
        <v>25</v>
      </c>
      <c r="D177" s="396">
        <v>25</v>
      </c>
      <c r="E177" s="396">
        <v>25</v>
      </c>
      <c r="F177" s="398">
        <v>25</v>
      </c>
      <c r="G177" s="398">
        <v>25</v>
      </c>
      <c r="H177" s="398">
        <v>30</v>
      </c>
      <c r="I177" s="398">
        <v>25</v>
      </c>
      <c r="J177" s="398">
        <v>30</v>
      </c>
      <c r="K177" s="371"/>
      <c r="L177" s="372" t="s">
        <v>703</v>
      </c>
      <c r="M177" s="362"/>
      <c r="N177" s="362"/>
      <c r="P177" s="1192"/>
      <c r="Q177" s="1152"/>
      <c r="R177" s="394" t="s">
        <v>704</v>
      </c>
      <c r="S177" s="395"/>
      <c r="T177" s="1135"/>
      <c r="U177" s="1135"/>
      <c r="V177" s="1135"/>
      <c r="W177" s="1135"/>
      <c r="X177" s="1135"/>
      <c r="Y177" s="1135"/>
      <c r="Z177" s="1135"/>
      <c r="AA177" s="1135"/>
      <c r="AB177" s="1135"/>
      <c r="AC177" s="1135"/>
      <c r="AE177" s="1192"/>
      <c r="AF177" s="1152"/>
      <c r="AG177" s="394" t="s">
        <v>704</v>
      </c>
      <c r="AH177" s="395" t="s">
        <v>701</v>
      </c>
      <c r="AI177" s="1135"/>
      <c r="AJ177" s="1135"/>
      <c r="AK177" s="1135"/>
      <c r="AL177" s="1135"/>
      <c r="AM177" s="1135"/>
      <c r="AN177" s="1135"/>
      <c r="AO177" s="1135"/>
      <c r="AP177" s="1135"/>
      <c r="AQ177" s="1135"/>
      <c r="AR177" s="1135"/>
    </row>
    <row r="178" spans="1:44" ht="15" outlineLevel="1" thickBot="1">
      <c r="B178" s="540" t="s">
        <v>273</v>
      </c>
      <c r="C178" s="543">
        <v>0.5</v>
      </c>
      <c r="D178" s="543">
        <v>0.5</v>
      </c>
      <c r="E178" s="543">
        <v>0.5</v>
      </c>
      <c r="F178" s="543">
        <v>0.5</v>
      </c>
      <c r="G178" s="543">
        <v>0.2</v>
      </c>
      <c r="H178" s="543">
        <v>0.7</v>
      </c>
      <c r="I178" s="543">
        <v>0.2</v>
      </c>
      <c r="J178" s="543">
        <v>0.7</v>
      </c>
      <c r="K178" s="371"/>
      <c r="L178" s="399"/>
      <c r="M178" s="362"/>
      <c r="N178" s="362"/>
      <c r="P178" s="1192"/>
      <c r="Q178" s="1152"/>
      <c r="R178" s="394" t="s">
        <v>705</v>
      </c>
      <c r="S178" s="395" t="s">
        <v>701</v>
      </c>
      <c r="T178" s="1135"/>
      <c r="U178" s="1135"/>
      <c r="V178" s="1135"/>
      <c r="W178" s="1135"/>
      <c r="X178" s="1135"/>
      <c r="Y178" s="1135"/>
      <c r="Z178" s="1135"/>
      <c r="AA178" s="1135"/>
      <c r="AB178" s="1135"/>
      <c r="AC178" s="1135"/>
      <c r="AE178" s="1192"/>
      <c r="AF178" s="1152"/>
      <c r="AG178" s="394" t="s">
        <v>705</v>
      </c>
      <c r="AH178" s="395"/>
      <c r="AI178" s="1135"/>
      <c r="AJ178" s="1135"/>
      <c r="AK178" s="1135"/>
      <c r="AL178" s="1135"/>
      <c r="AM178" s="1135"/>
      <c r="AN178" s="1135"/>
      <c r="AO178" s="1135"/>
      <c r="AP178" s="1135"/>
      <c r="AQ178" s="1135"/>
      <c r="AR178" s="1135"/>
    </row>
    <row r="179" spans="1:44" ht="15" outlineLevel="1" thickBot="1">
      <c r="B179" s="400" t="s">
        <v>706</v>
      </c>
      <c r="C179" s="401"/>
      <c r="D179" s="402"/>
      <c r="E179" s="403"/>
      <c r="F179" s="404"/>
      <c r="G179" s="405"/>
      <c r="H179" s="405"/>
      <c r="I179" s="405"/>
      <c r="J179" s="405"/>
      <c r="K179" s="406"/>
      <c r="L179" s="407"/>
      <c r="M179" s="362"/>
      <c r="N179" s="362"/>
      <c r="P179" s="1192"/>
      <c r="Q179" s="1152"/>
      <c r="R179" s="408" t="s">
        <v>707</v>
      </c>
      <c r="S179" s="409" t="s">
        <v>701</v>
      </c>
      <c r="T179" s="1136"/>
      <c r="U179" s="1136"/>
      <c r="V179" s="1136"/>
      <c r="W179" s="1136"/>
      <c r="X179" s="1136"/>
      <c r="Y179" s="1136"/>
      <c r="Z179" s="1136"/>
      <c r="AA179" s="1136"/>
      <c r="AB179" s="1136"/>
      <c r="AC179" s="1136"/>
      <c r="AE179" s="1192"/>
      <c r="AF179" s="1152"/>
      <c r="AG179" s="408" t="s">
        <v>707</v>
      </c>
      <c r="AH179" s="409" t="s">
        <v>701</v>
      </c>
      <c r="AI179" s="1136"/>
      <c r="AJ179" s="1136"/>
      <c r="AK179" s="1136"/>
      <c r="AL179" s="1136"/>
      <c r="AM179" s="1136"/>
      <c r="AN179" s="1136"/>
      <c r="AO179" s="1136"/>
      <c r="AP179" s="1136"/>
      <c r="AQ179" s="1136"/>
      <c r="AR179" s="1136"/>
    </row>
    <row r="180" spans="1:44" ht="29.4" outlineLevel="1" thickBot="1">
      <c r="B180" s="540" t="s">
        <v>643</v>
      </c>
      <c r="C180" s="543">
        <v>15</v>
      </c>
      <c r="D180" s="543">
        <v>15</v>
      </c>
      <c r="E180" s="543">
        <v>15</v>
      </c>
      <c r="F180" s="543">
        <v>15</v>
      </c>
      <c r="G180" s="544"/>
      <c r="H180" s="544"/>
      <c r="I180" s="544"/>
      <c r="J180" s="544"/>
      <c r="K180" s="546"/>
      <c r="L180" s="547">
        <v>3</v>
      </c>
      <c r="M180" s="362"/>
      <c r="N180" s="362"/>
      <c r="P180" s="1193"/>
      <c r="Q180" s="410" t="s">
        <v>708</v>
      </c>
      <c r="R180" s="411" t="s">
        <v>709</v>
      </c>
      <c r="S180" s="412" t="s">
        <v>701</v>
      </c>
      <c r="T180" s="413">
        <v>1</v>
      </c>
      <c r="U180" s="414">
        <v>1</v>
      </c>
      <c r="V180" s="415">
        <v>1</v>
      </c>
      <c r="W180" s="414">
        <v>1</v>
      </c>
      <c r="X180" s="415">
        <v>1</v>
      </c>
      <c r="Y180" s="414">
        <v>1</v>
      </c>
      <c r="Z180" s="415">
        <v>1</v>
      </c>
      <c r="AA180" s="414">
        <v>1</v>
      </c>
      <c r="AB180" s="415">
        <v>1</v>
      </c>
      <c r="AC180" s="416">
        <v>1</v>
      </c>
      <c r="AE180" s="1193"/>
      <c r="AF180" s="410" t="s">
        <v>708</v>
      </c>
      <c r="AG180" s="411" t="s">
        <v>709</v>
      </c>
      <c r="AH180" s="412" t="s">
        <v>701</v>
      </c>
      <c r="AI180" s="413">
        <v>1</v>
      </c>
      <c r="AJ180" s="414">
        <v>1</v>
      </c>
      <c r="AK180" s="415">
        <v>1</v>
      </c>
      <c r="AL180" s="414">
        <v>1</v>
      </c>
      <c r="AM180" s="415">
        <v>1</v>
      </c>
      <c r="AN180" s="414">
        <v>1</v>
      </c>
      <c r="AO180" s="415">
        <v>1</v>
      </c>
      <c r="AP180" s="414">
        <v>1</v>
      </c>
      <c r="AQ180" s="415">
        <v>1</v>
      </c>
      <c r="AR180" s="416">
        <v>1</v>
      </c>
    </row>
    <row r="181" spans="1:44" outlineLevel="1">
      <c r="B181" s="540" t="s">
        <v>644</v>
      </c>
      <c r="C181" s="543">
        <v>0.1</v>
      </c>
      <c r="D181" s="543">
        <v>0.1</v>
      </c>
      <c r="E181" s="543">
        <v>0.1</v>
      </c>
      <c r="F181" s="543">
        <v>0.1</v>
      </c>
      <c r="G181" s="548"/>
      <c r="H181" s="548"/>
      <c r="I181" s="548"/>
      <c r="J181" s="548"/>
      <c r="K181" s="549"/>
      <c r="L181" s="547">
        <v>3</v>
      </c>
      <c r="M181" s="362"/>
      <c r="N181" s="362"/>
    </row>
    <row r="182" spans="1:44" outlineLevel="1">
      <c r="B182" s="540" t="s">
        <v>646</v>
      </c>
      <c r="C182" s="543">
        <v>0.4</v>
      </c>
      <c r="D182" s="543">
        <v>0.4</v>
      </c>
      <c r="E182" s="543">
        <v>0.4</v>
      </c>
      <c r="F182" s="543">
        <v>0.4</v>
      </c>
      <c r="G182" s="548"/>
      <c r="H182" s="548"/>
      <c r="I182" s="548"/>
      <c r="J182" s="548"/>
      <c r="K182" s="549"/>
      <c r="L182" s="547">
        <v>3</v>
      </c>
      <c r="M182" s="419"/>
      <c r="N182" s="362"/>
    </row>
    <row r="183" spans="1:44" outlineLevel="1">
      <c r="B183" s="420" t="s">
        <v>12</v>
      </c>
      <c r="C183" s="398"/>
      <c r="D183" s="398"/>
      <c r="E183" s="398"/>
      <c r="F183" s="398"/>
      <c r="G183" s="421"/>
      <c r="H183" s="421"/>
      <c r="I183" s="421"/>
      <c r="J183" s="421"/>
      <c r="K183" s="422"/>
      <c r="L183" s="423"/>
      <c r="M183" s="419"/>
      <c r="N183" s="419"/>
    </row>
    <row r="184" spans="1:44" ht="15.6" outlineLevel="1">
      <c r="B184" s="382" t="s">
        <v>710</v>
      </c>
      <c r="C184" s="396">
        <v>0.3</v>
      </c>
      <c r="D184" s="396">
        <v>0.3</v>
      </c>
      <c r="E184" s="396">
        <v>0.3</v>
      </c>
      <c r="F184" s="396">
        <v>0.3</v>
      </c>
      <c r="G184" s="421"/>
      <c r="H184" s="424"/>
      <c r="I184" s="424"/>
      <c r="J184" s="424"/>
      <c r="K184" s="425" t="s">
        <v>16</v>
      </c>
      <c r="L184" s="426" t="s">
        <v>711</v>
      </c>
      <c r="M184" s="427"/>
      <c r="N184" s="427"/>
    </row>
    <row r="185" spans="1:44" outlineLevel="1">
      <c r="B185" s="382" t="s">
        <v>712</v>
      </c>
      <c r="C185" s="396">
        <v>0.1</v>
      </c>
      <c r="D185" s="396">
        <v>0.1</v>
      </c>
      <c r="E185" s="396">
        <v>0.1</v>
      </c>
      <c r="F185" s="396">
        <v>0.1</v>
      </c>
      <c r="G185" s="424"/>
      <c r="H185" s="424"/>
      <c r="I185" s="424"/>
      <c r="J185" s="424"/>
      <c r="K185" s="422"/>
      <c r="L185" s="426">
        <v>9</v>
      </c>
      <c r="M185" s="427"/>
      <c r="N185" s="427"/>
    </row>
    <row r="186" spans="1:44" ht="15.6" outlineLevel="1">
      <c r="B186" s="382" t="s">
        <v>713</v>
      </c>
      <c r="C186" s="396">
        <v>9</v>
      </c>
      <c r="D186" s="396">
        <v>7</v>
      </c>
      <c r="E186" s="396">
        <v>6</v>
      </c>
      <c r="F186" s="396">
        <v>6</v>
      </c>
      <c r="G186" s="424"/>
      <c r="H186" s="424"/>
      <c r="I186" s="424"/>
      <c r="J186" s="424"/>
      <c r="K186" s="422"/>
      <c r="L186" s="426" t="s">
        <v>711</v>
      </c>
      <c r="M186" s="427"/>
      <c r="N186" s="427"/>
      <c r="T186" s="224">
        <f>C$23</f>
        <v>0.3</v>
      </c>
      <c r="U186" s="224">
        <f t="shared" ref="U186:V186" si="10">D$23</f>
        <v>0.3</v>
      </c>
      <c r="V186" s="224">
        <f t="shared" si="10"/>
        <v>0.3</v>
      </c>
    </row>
    <row r="187" spans="1:44" outlineLevel="1">
      <c r="B187" s="382" t="s">
        <v>366</v>
      </c>
      <c r="C187" s="396">
        <v>3</v>
      </c>
      <c r="D187" s="396">
        <v>2</v>
      </c>
      <c r="E187" s="396">
        <v>2</v>
      </c>
      <c r="F187" s="396">
        <v>2</v>
      </c>
      <c r="G187" s="424"/>
      <c r="H187" s="424"/>
      <c r="I187" s="424"/>
      <c r="J187" s="424"/>
      <c r="K187" s="422"/>
      <c r="L187" s="426" t="s">
        <v>711</v>
      </c>
      <c r="M187" s="427"/>
      <c r="N187" s="427"/>
    </row>
    <row r="188" spans="1:44" ht="15" outlineLevel="1" thickBot="1">
      <c r="B188" s="428" t="s">
        <v>367</v>
      </c>
      <c r="C188" s="429">
        <v>1</v>
      </c>
      <c r="D188" s="429">
        <v>1</v>
      </c>
      <c r="E188" s="429">
        <v>1</v>
      </c>
      <c r="F188" s="429">
        <v>1</v>
      </c>
      <c r="G188" s="424"/>
      <c r="H188" s="424"/>
      <c r="I188" s="424"/>
      <c r="J188" s="424"/>
      <c r="K188" s="422"/>
      <c r="L188" s="426" t="s">
        <v>711</v>
      </c>
      <c r="M188" s="427"/>
      <c r="N188" s="427"/>
    </row>
    <row r="189" spans="1:44" ht="15" outlineLevel="1" thickBot="1">
      <c r="B189" s="430" t="s">
        <v>654</v>
      </c>
      <c r="C189" s="431"/>
      <c r="D189" s="402"/>
      <c r="E189" s="402"/>
      <c r="F189" s="432"/>
      <c r="G189" s="433"/>
      <c r="H189" s="405"/>
      <c r="I189" s="405"/>
      <c r="J189" s="405"/>
      <c r="K189" s="406"/>
      <c r="L189" s="407"/>
      <c r="M189" s="427"/>
      <c r="N189" s="427"/>
    </row>
    <row r="190" spans="1:44" ht="43.2" outlineLevel="1">
      <c r="A190" s="434" t="s">
        <v>760</v>
      </c>
      <c r="B190" s="435" t="s">
        <v>755</v>
      </c>
      <c r="C190" s="550">
        <f>0.06/1.1*0.8</f>
        <v>4.3636363636363633E-2</v>
      </c>
      <c r="D190" s="437">
        <f>0.05/1.1*0.8</f>
        <v>3.6363636363636369E-2</v>
      </c>
      <c r="E190" s="437">
        <f>0.05/1.1*0.8</f>
        <v>3.6363636363636369E-2</v>
      </c>
      <c r="F190" s="438">
        <f>0.05/1.1*0.8</f>
        <v>3.6363636363636369E-2</v>
      </c>
      <c r="G190" s="424"/>
      <c r="H190" s="424"/>
      <c r="I190" s="424"/>
      <c r="J190" s="424"/>
      <c r="K190" s="425" t="s">
        <v>20</v>
      </c>
      <c r="L190" s="439" t="s">
        <v>716</v>
      </c>
      <c r="M190" s="419"/>
      <c r="N190" s="419"/>
    </row>
    <row r="191" spans="1:44" outlineLevel="1">
      <c r="B191" s="440" t="s">
        <v>717</v>
      </c>
      <c r="C191" s="441">
        <v>60</v>
      </c>
      <c r="D191" s="442">
        <v>60</v>
      </c>
      <c r="E191" s="442">
        <v>60</v>
      </c>
      <c r="F191" s="442">
        <v>60</v>
      </c>
      <c r="G191" s="424"/>
      <c r="H191" s="424"/>
      <c r="I191" s="424"/>
      <c r="J191" s="424"/>
      <c r="K191" s="443"/>
      <c r="L191" s="372">
        <v>3</v>
      </c>
      <c r="M191" s="71"/>
      <c r="N191" s="419"/>
    </row>
    <row r="192" spans="1:44" outlineLevel="1">
      <c r="B192" s="440" t="s">
        <v>718</v>
      </c>
      <c r="C192" s="441">
        <f>100-C191</f>
        <v>40</v>
      </c>
      <c r="D192" s="441">
        <f>100-D191</f>
        <v>40</v>
      </c>
      <c r="E192" s="441">
        <f>100-E191</f>
        <v>40</v>
      </c>
      <c r="F192" s="441">
        <f>100-F191</f>
        <v>40</v>
      </c>
      <c r="G192" s="424"/>
      <c r="H192" s="424"/>
      <c r="I192" s="424"/>
      <c r="J192" s="424"/>
      <c r="K192" s="443"/>
      <c r="L192" s="372">
        <v>3</v>
      </c>
      <c r="M192" s="419"/>
      <c r="N192" s="419"/>
    </row>
    <row r="193" spans="2:30" outlineLevel="1">
      <c r="B193" s="382" t="s">
        <v>756</v>
      </c>
      <c r="C193" s="444">
        <f>2000/1000</f>
        <v>2</v>
      </c>
      <c r="D193" s="445">
        <f>1900/1000</f>
        <v>1.9</v>
      </c>
      <c r="E193" s="445">
        <f>1800/1000</f>
        <v>1.8</v>
      </c>
      <c r="F193" s="446">
        <f>1700/1000</f>
        <v>1.7</v>
      </c>
      <c r="G193" s="424"/>
      <c r="H193" s="424"/>
      <c r="I193" s="424"/>
      <c r="J193" s="424"/>
      <c r="K193" s="447"/>
      <c r="L193" s="372">
        <v>3</v>
      </c>
      <c r="M193" s="419"/>
      <c r="N193" s="419"/>
    </row>
    <row r="194" spans="2:30" outlineLevel="1">
      <c r="B194" s="382" t="s">
        <v>757</v>
      </c>
      <c r="C194" s="448">
        <f>1.1/3.6</f>
        <v>0.30555555555555558</v>
      </c>
      <c r="D194" s="448">
        <f>1/3.6</f>
        <v>0.27777777777777779</v>
      </c>
      <c r="E194" s="448">
        <f>1/3.6</f>
        <v>0.27777777777777779</v>
      </c>
      <c r="F194" s="448">
        <f>1/3.6</f>
        <v>0.27777777777777779</v>
      </c>
      <c r="G194" s="424"/>
      <c r="H194" s="424"/>
      <c r="I194" s="424"/>
      <c r="J194" s="424"/>
      <c r="K194" s="447"/>
      <c r="L194" s="372">
        <v>3</v>
      </c>
      <c r="M194" s="449"/>
      <c r="N194" s="360"/>
      <c r="P194" s="1139">
        <f>C194</f>
        <v>0.30555555555555558</v>
      </c>
      <c r="Q194" s="1140"/>
      <c r="R194" s="1140"/>
      <c r="S194" s="1140"/>
      <c r="T194" s="1140"/>
      <c r="U194" s="1141"/>
    </row>
    <row r="195" spans="2:30" ht="15" outlineLevel="1" thickBot="1">
      <c r="B195" s="540" t="s">
        <v>721</v>
      </c>
      <c r="C195" s="551">
        <f>C174/100*73</f>
        <v>0.10220000000000001</v>
      </c>
      <c r="D195" s="551">
        <f>D174/100*75</f>
        <v>0.09</v>
      </c>
      <c r="E195" s="551">
        <f>E174/100*76</f>
        <v>8.3600000000000008E-2</v>
      </c>
      <c r="F195" s="551">
        <f>F174/100*76</f>
        <v>7.5999999999999998E-2</v>
      </c>
      <c r="G195" s="552"/>
      <c r="H195" s="552"/>
      <c r="I195" s="552"/>
      <c r="J195" s="552"/>
      <c r="K195" s="546" t="s">
        <v>76</v>
      </c>
      <c r="L195" s="547">
        <v>3</v>
      </c>
      <c r="M195" s="449"/>
      <c r="N195" s="360"/>
      <c r="P195" s="1131">
        <f>C195</f>
        <v>0.10220000000000001</v>
      </c>
      <c r="Q195" s="1132"/>
      <c r="R195" s="1132"/>
      <c r="S195" s="1132"/>
      <c r="T195" s="1132"/>
      <c r="U195" s="1133"/>
    </row>
    <row r="196" spans="2:30" outlineLevel="1">
      <c r="B196" s="540" t="s">
        <v>722</v>
      </c>
      <c r="C196" s="553">
        <f>C194-C195</f>
        <v>0.20335555555555557</v>
      </c>
      <c r="D196" s="553">
        <f>D194-D195</f>
        <v>0.18777777777777779</v>
      </c>
      <c r="E196" s="553">
        <f>E194-E195</f>
        <v>0.19417777777777778</v>
      </c>
      <c r="F196" s="553">
        <f>F194-F195</f>
        <v>0.20177777777777778</v>
      </c>
      <c r="G196" s="552"/>
      <c r="H196" s="552"/>
      <c r="I196" s="552"/>
      <c r="J196" s="552"/>
      <c r="K196" s="554"/>
      <c r="L196" s="547">
        <v>3</v>
      </c>
      <c r="M196" s="362"/>
      <c r="N196" s="362"/>
      <c r="P196" s="53" t="s">
        <v>357</v>
      </c>
    </row>
    <row r="197" spans="2:30" ht="27.6" outlineLevel="1">
      <c r="B197" s="440"/>
      <c r="C197" s="455"/>
      <c r="D197" s="455"/>
      <c r="E197" s="455"/>
      <c r="F197" s="455"/>
      <c r="G197" s="424"/>
      <c r="H197" s="424"/>
      <c r="I197" s="424"/>
      <c r="J197" s="424"/>
      <c r="K197" s="443"/>
      <c r="L197" s="423"/>
      <c r="M197" s="366"/>
      <c r="N197" s="366"/>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4.6" outlineLevel="1" thickBot="1">
      <c r="B198" s="440"/>
      <c r="C198" s="441"/>
      <c r="D198" s="456"/>
      <c r="E198" s="456"/>
      <c r="F198" s="457"/>
      <c r="G198" s="424"/>
      <c r="H198" s="424"/>
      <c r="I198" s="424"/>
      <c r="J198" s="424"/>
      <c r="K198" s="447"/>
      <c r="L198" s="423"/>
      <c r="M198" s="362"/>
      <c r="N198" s="362"/>
      <c r="P198" s="50"/>
      <c r="Q198" s="50"/>
      <c r="R198" s="51"/>
      <c r="S198" s="51"/>
      <c r="T198" s="51"/>
      <c r="U198" s="51" t="s">
        <v>723</v>
      </c>
      <c r="V198" s="50" t="s">
        <v>724</v>
      </c>
      <c r="W198" s="50"/>
      <c r="X198" s="50"/>
      <c r="Y198" s="50"/>
      <c r="Z198" s="50"/>
      <c r="AA198" s="50"/>
      <c r="AB198" s="50"/>
      <c r="AC198" s="50"/>
      <c r="AD198" s="50"/>
    </row>
    <row r="199" spans="2:30" ht="43.8" outlineLevel="1" thickBot="1">
      <c r="B199" s="400" t="s">
        <v>662</v>
      </c>
      <c r="C199" s="401"/>
      <c r="D199" s="402"/>
      <c r="E199" s="403"/>
      <c r="F199" s="404"/>
      <c r="G199" s="405"/>
      <c r="H199" s="405"/>
      <c r="I199" s="405"/>
      <c r="J199" s="405"/>
      <c r="K199" s="458"/>
      <c r="L199" s="459"/>
      <c r="M199" s="362"/>
      <c r="N199" s="362"/>
      <c r="O199" s="460" t="s">
        <v>695</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55" t="s">
        <v>725</v>
      </c>
      <c r="C200" s="556">
        <v>3.5000000000000003E-2</v>
      </c>
      <c r="D200" s="556">
        <v>0.03</v>
      </c>
      <c r="E200" s="556">
        <v>0.03</v>
      </c>
      <c r="F200" s="556">
        <v>0.03</v>
      </c>
      <c r="G200" s="557"/>
      <c r="H200" s="557"/>
      <c r="I200" s="557"/>
      <c r="J200" s="557"/>
      <c r="K200" s="557" t="s">
        <v>25</v>
      </c>
      <c r="L200" s="558"/>
      <c r="M200" s="362"/>
      <c r="N200" s="362"/>
      <c r="O200" s="464">
        <f>C173</f>
        <v>93</v>
      </c>
      <c r="P200" s="465">
        <f>C169</f>
        <v>2020</v>
      </c>
      <c r="Q200" s="58">
        <f>P200</f>
        <v>2020</v>
      </c>
      <c r="R200" s="465">
        <f>O200/100</f>
        <v>0.93</v>
      </c>
      <c r="S200" s="58"/>
      <c r="T200" s="465">
        <f>C177</f>
        <v>25</v>
      </c>
      <c r="U200" s="466">
        <f>C207</f>
        <v>325.09090909090912</v>
      </c>
      <c r="V200" s="466">
        <f>C209</f>
        <v>14.9</v>
      </c>
      <c r="W200" s="466">
        <f>C210</f>
        <v>2.276388888888889</v>
      </c>
      <c r="X200" s="58"/>
      <c r="Y200" s="58"/>
      <c r="Z200" s="465">
        <f>C184</f>
        <v>0.3</v>
      </c>
      <c r="AA200" s="467">
        <f>C186</f>
        <v>9</v>
      </c>
      <c r="AB200" s="467">
        <f>C187</f>
        <v>3</v>
      </c>
      <c r="AC200" s="467">
        <f>C188</f>
        <v>1</v>
      </c>
      <c r="AD200" s="467">
        <f>C185</f>
        <v>0.1</v>
      </c>
    </row>
    <row r="201" spans="2:30" outlineLevel="1">
      <c r="B201" s="540" t="s">
        <v>726</v>
      </c>
      <c r="C201" s="559" t="s">
        <v>36</v>
      </c>
      <c r="D201" s="560" t="s">
        <v>36</v>
      </c>
      <c r="E201" s="560" t="s">
        <v>36</v>
      </c>
      <c r="F201" s="561" t="s">
        <v>36</v>
      </c>
      <c r="G201" s="561"/>
      <c r="H201" s="561"/>
      <c r="I201" s="561"/>
      <c r="J201" s="561"/>
      <c r="K201" s="562" t="s">
        <v>33</v>
      </c>
      <c r="L201" s="558"/>
      <c r="M201" s="362"/>
      <c r="N201" s="362"/>
      <c r="O201" s="464">
        <f>D173</f>
        <v>94</v>
      </c>
      <c r="P201" s="465">
        <f>D169</f>
        <v>2030</v>
      </c>
      <c r="Q201" s="58"/>
      <c r="R201" s="465">
        <f>O201/100</f>
        <v>0.94</v>
      </c>
      <c r="S201" s="58"/>
      <c r="T201" s="465">
        <f>D177</f>
        <v>25</v>
      </c>
      <c r="U201" s="466">
        <f>D207</f>
        <v>270.90909090909093</v>
      </c>
      <c r="V201" s="466">
        <f>D209</f>
        <v>14.154999999999999</v>
      </c>
      <c r="W201" s="466">
        <f>D210</f>
        <v>2.0694444444444446</v>
      </c>
      <c r="X201" s="58"/>
      <c r="Y201" s="58"/>
      <c r="Z201" s="465">
        <f>D184</f>
        <v>0.3</v>
      </c>
      <c r="AA201" s="467">
        <f>D186</f>
        <v>7</v>
      </c>
      <c r="AB201" s="467">
        <f>D187</f>
        <v>2</v>
      </c>
      <c r="AC201" s="467">
        <f>D188</f>
        <v>1</v>
      </c>
      <c r="AD201" s="467">
        <f>D185</f>
        <v>0.1</v>
      </c>
    </row>
    <row r="202" spans="2:30" outlineLevel="1">
      <c r="B202" s="540" t="s">
        <v>727</v>
      </c>
      <c r="C202" s="559" t="s">
        <v>36</v>
      </c>
      <c r="D202" s="560" t="s">
        <v>36</v>
      </c>
      <c r="E202" s="560" t="s">
        <v>36</v>
      </c>
      <c r="F202" s="561" t="s">
        <v>36</v>
      </c>
      <c r="G202" s="561"/>
      <c r="H202" s="561"/>
      <c r="I202" s="561"/>
      <c r="J202" s="561"/>
      <c r="K202" s="562"/>
      <c r="L202" s="558"/>
      <c r="M202" s="362"/>
      <c r="N202" s="362"/>
      <c r="O202" s="464">
        <f>E173</f>
        <v>94</v>
      </c>
      <c r="P202" s="465">
        <f>E169</f>
        <v>2040</v>
      </c>
      <c r="Q202" s="58"/>
      <c r="R202" s="465">
        <f>O202/100</f>
        <v>0.94</v>
      </c>
      <c r="S202" s="58"/>
      <c r="T202" s="465">
        <f>E177</f>
        <v>25</v>
      </c>
      <c r="U202" s="466">
        <f>E207</f>
        <v>270.90909090909093</v>
      </c>
      <c r="V202" s="466">
        <f>E209</f>
        <v>13.41</v>
      </c>
      <c r="W202" s="466">
        <f>E210</f>
        <v>2.0694444444444446</v>
      </c>
      <c r="X202" s="58"/>
      <c r="Y202" s="58"/>
      <c r="Z202" s="465">
        <f>E184</f>
        <v>0.3</v>
      </c>
      <c r="AA202" s="467">
        <f>E186</f>
        <v>6</v>
      </c>
      <c r="AB202" s="467">
        <f>E187</f>
        <v>2</v>
      </c>
      <c r="AC202" s="467">
        <f>E188</f>
        <v>1</v>
      </c>
      <c r="AD202" s="467">
        <f>E185</f>
        <v>0.1</v>
      </c>
    </row>
    <row r="203" spans="2:30" outlineLevel="1">
      <c r="B203" s="540" t="s">
        <v>728</v>
      </c>
      <c r="C203" s="563">
        <v>90</v>
      </c>
      <c r="D203" s="563">
        <v>90</v>
      </c>
      <c r="E203" s="563">
        <v>90</v>
      </c>
      <c r="F203" s="563">
        <v>90</v>
      </c>
      <c r="G203" s="564"/>
      <c r="H203" s="564"/>
      <c r="I203" s="564"/>
      <c r="J203" s="564"/>
      <c r="K203" s="564"/>
      <c r="L203" s="547">
        <v>3</v>
      </c>
      <c r="M203" s="362"/>
      <c r="N203" s="362"/>
      <c r="O203" s="464">
        <f>F173</f>
        <v>95</v>
      </c>
      <c r="P203" s="465">
        <f>F169</f>
        <v>2050</v>
      </c>
      <c r="Q203" s="58"/>
      <c r="R203" s="465">
        <f>O203/100</f>
        <v>0.95</v>
      </c>
      <c r="S203" s="58"/>
      <c r="T203" s="465">
        <f>F177</f>
        <v>25</v>
      </c>
      <c r="U203" s="466">
        <f>F207</f>
        <v>270.90909090909093</v>
      </c>
      <c r="V203" s="466">
        <f>F209</f>
        <v>12.664999999999999</v>
      </c>
      <c r="W203" s="466">
        <f>F210</f>
        <v>2.0694444444444446</v>
      </c>
      <c r="X203" s="58"/>
      <c r="Y203" s="58"/>
      <c r="Z203" s="465">
        <f>F184</f>
        <v>0.3</v>
      </c>
      <c r="AA203" s="467">
        <f>F186</f>
        <v>6</v>
      </c>
      <c r="AB203" s="467">
        <f>F187</f>
        <v>2</v>
      </c>
      <c r="AC203" s="467">
        <f>F188</f>
        <v>1</v>
      </c>
      <c r="AD203" s="467">
        <f>F185</f>
        <v>0.1</v>
      </c>
    </row>
    <row r="204" spans="2:30" outlineLevel="1">
      <c r="B204" s="565" t="s">
        <v>729</v>
      </c>
      <c r="C204" s="559"/>
      <c r="D204" s="560"/>
      <c r="E204" s="560"/>
      <c r="F204" s="561"/>
      <c r="G204" s="561"/>
      <c r="H204" s="561"/>
      <c r="I204" s="561"/>
      <c r="J204" s="561"/>
      <c r="K204" s="562"/>
      <c r="L204" s="558"/>
      <c r="M204" s="366"/>
      <c r="N204" s="366"/>
    </row>
    <row r="205" spans="2:30" outlineLevel="1">
      <c r="B205" s="565" t="s">
        <v>730</v>
      </c>
      <c r="C205" s="559"/>
      <c r="D205" s="560"/>
      <c r="E205" s="560"/>
      <c r="F205" s="561"/>
      <c r="G205" s="561"/>
      <c r="H205" s="561"/>
      <c r="I205" s="561"/>
      <c r="J205" s="561"/>
      <c r="K205" s="562"/>
      <c r="L205" s="558"/>
      <c r="M205" s="362"/>
      <c r="N205" s="362"/>
    </row>
    <row r="206" spans="2:30" ht="15" outlineLevel="1" thickBot="1">
      <c r="B206" s="566" t="s">
        <v>731</v>
      </c>
      <c r="C206" s="567"/>
      <c r="D206" s="567"/>
      <c r="E206" s="567"/>
      <c r="F206" s="567"/>
      <c r="G206" s="567"/>
      <c r="H206" s="567"/>
      <c r="I206" s="567"/>
      <c r="J206" s="567"/>
      <c r="K206" s="567"/>
      <c r="L206" s="568"/>
      <c r="M206" s="362"/>
      <c r="N206" s="362"/>
    </row>
    <row r="207" spans="2:30" ht="57.6" outlineLevel="1">
      <c r="B207" s="460" t="s">
        <v>732</v>
      </c>
      <c r="C207" s="482">
        <f>C190*$F$4*1000</f>
        <v>325.09090909090912</v>
      </c>
      <c r="D207" s="482">
        <f t="shared" ref="D207:F207" si="11">D190*$F$4*1000</f>
        <v>270.90909090909093</v>
      </c>
      <c r="E207" s="482">
        <f t="shared" si="11"/>
        <v>270.90909090909093</v>
      </c>
      <c r="F207" s="482">
        <f t="shared" si="11"/>
        <v>270.90909090909093</v>
      </c>
      <c r="G207" s="482"/>
      <c r="H207" s="483"/>
      <c r="I207" s="419" t="s">
        <v>332</v>
      </c>
      <c r="J207" s="419"/>
      <c r="K207" s="483"/>
      <c r="L207" s="483"/>
      <c r="N207" s="419"/>
    </row>
    <row r="208" spans="2:30" outlineLevel="1">
      <c r="B208" s="484" t="s">
        <v>733</v>
      </c>
      <c r="C208" s="485">
        <f>C207*$I208</f>
        <v>162545.45454545456</v>
      </c>
      <c r="D208" s="485">
        <f>D207*$I208</f>
        <v>135454.54545454547</v>
      </c>
      <c r="E208" s="485">
        <f>E207*$I208</f>
        <v>135454.54545454547</v>
      </c>
      <c r="F208" s="485">
        <f>F207*$I208</f>
        <v>135454.54545454547</v>
      </c>
      <c r="G208" s="485"/>
      <c r="H208" s="483"/>
      <c r="I208" s="71">
        <v>500</v>
      </c>
      <c r="J208" s="419" t="s">
        <v>330</v>
      </c>
      <c r="K208" s="483"/>
      <c r="L208" s="483"/>
      <c r="N208" s="419"/>
    </row>
    <row r="209" spans="1:16" ht="43.2" outlineLevel="1">
      <c r="B209" s="460" t="s">
        <v>734</v>
      </c>
      <c r="C209" s="358">
        <f>C193*$F$4</f>
        <v>14.9</v>
      </c>
      <c r="D209" s="358">
        <f t="shared" ref="D209:F210" si="12">D193*$F$4</f>
        <v>14.154999999999999</v>
      </c>
      <c r="E209" s="358">
        <f t="shared" si="12"/>
        <v>13.41</v>
      </c>
      <c r="F209" s="358">
        <f t="shared" si="12"/>
        <v>12.664999999999999</v>
      </c>
      <c r="G209" s="358"/>
      <c r="I209" s="419" t="s">
        <v>333</v>
      </c>
      <c r="J209" s="419"/>
      <c r="N209" s="419"/>
    </row>
    <row r="210" spans="1:16" ht="43.2" outlineLevel="1">
      <c r="B210" s="460" t="s">
        <v>735</v>
      </c>
      <c r="C210" s="486">
        <f>C194*$F$4</f>
        <v>2.276388888888889</v>
      </c>
      <c r="D210" s="486">
        <f t="shared" si="12"/>
        <v>2.0694444444444446</v>
      </c>
      <c r="E210" s="486">
        <f t="shared" si="12"/>
        <v>2.0694444444444446</v>
      </c>
      <c r="F210" s="486">
        <f t="shared" si="12"/>
        <v>2.0694444444444446</v>
      </c>
      <c r="G210" s="358"/>
      <c r="M210" s="419"/>
      <c r="N210" s="419"/>
    </row>
    <row r="211" spans="1:16" outlineLevel="1"/>
    <row r="212" spans="1:16" outlineLevel="1">
      <c r="A212" s="487" t="s">
        <v>736</v>
      </c>
      <c r="B212" s="488"/>
      <c r="D212" s="489"/>
      <c r="E212" s="489"/>
      <c r="F212" s="489"/>
      <c r="G212" s="357"/>
      <c r="H212" s="357"/>
      <c r="I212" s="357"/>
      <c r="J212" s="357"/>
      <c r="K212" s="357"/>
      <c r="L212" s="357"/>
      <c r="N212" s="569"/>
      <c r="O212" s="488"/>
      <c r="P212" s="489"/>
    </row>
    <row r="213" spans="1:16" outlineLevel="1">
      <c r="A213" s="490">
        <v>1</v>
      </c>
      <c r="B213" s="491" t="s">
        <v>737</v>
      </c>
      <c r="D213" s="489"/>
      <c r="E213" s="489"/>
      <c r="F213" s="489"/>
      <c r="G213" s="357"/>
      <c r="H213" s="357"/>
      <c r="I213" s="357"/>
      <c r="J213" s="357"/>
      <c r="K213" s="357"/>
      <c r="L213" s="357"/>
      <c r="N213" s="569"/>
      <c r="O213" s="488"/>
      <c r="P213" s="489"/>
    </row>
    <row r="214" spans="1:16" outlineLevel="1">
      <c r="A214" s="490">
        <v>2</v>
      </c>
      <c r="B214" s="492" t="s">
        <v>738</v>
      </c>
      <c r="D214" s="489"/>
      <c r="E214" s="489"/>
      <c r="F214" s="489"/>
      <c r="G214" s="357"/>
      <c r="H214" s="357"/>
      <c r="I214" s="357"/>
      <c r="J214" s="357"/>
      <c r="K214" s="357"/>
      <c r="L214" s="357"/>
      <c r="N214" s="569"/>
      <c r="O214" s="488"/>
      <c r="P214" s="489"/>
    </row>
    <row r="215" spans="1:16" outlineLevel="1">
      <c r="A215" s="490">
        <v>3</v>
      </c>
      <c r="B215" s="492" t="s">
        <v>739</v>
      </c>
      <c r="D215" s="489"/>
      <c r="E215" s="489"/>
      <c r="F215" s="489"/>
      <c r="G215" s="357"/>
      <c r="H215" s="357"/>
      <c r="I215" s="357"/>
      <c r="J215" s="357"/>
      <c r="K215" s="357"/>
      <c r="L215" s="357"/>
      <c r="N215" s="569"/>
      <c r="O215" s="488"/>
      <c r="P215" s="489"/>
    </row>
    <row r="216" spans="1:16" outlineLevel="1">
      <c r="A216" s="490">
        <v>4</v>
      </c>
      <c r="B216" s="492" t="s">
        <v>740</v>
      </c>
      <c r="D216" s="489"/>
      <c r="E216" s="489"/>
      <c r="F216" s="489"/>
      <c r="G216" s="357"/>
      <c r="H216" s="357"/>
      <c r="I216" s="357"/>
      <c r="J216" s="357"/>
      <c r="K216" s="357"/>
      <c r="L216" s="357"/>
      <c r="N216" s="569"/>
      <c r="O216" s="488"/>
      <c r="P216" s="489"/>
    </row>
    <row r="217" spans="1:16" outlineLevel="1">
      <c r="A217" s="357">
        <v>5</v>
      </c>
      <c r="B217" s="493" t="s">
        <v>741</v>
      </c>
      <c r="D217" s="489"/>
      <c r="E217" s="489"/>
      <c r="F217" s="489"/>
      <c r="G217" s="357"/>
      <c r="H217" s="357"/>
      <c r="I217" s="357"/>
      <c r="J217" s="357"/>
      <c r="K217" s="357"/>
      <c r="L217" s="357"/>
    </row>
    <row r="218" spans="1:16" outlineLevel="1">
      <c r="A218" s="357">
        <v>6</v>
      </c>
      <c r="B218" s="491" t="s">
        <v>742</v>
      </c>
      <c r="D218" s="489"/>
      <c r="E218" s="489"/>
      <c r="F218" s="489"/>
      <c r="G218" s="357"/>
      <c r="H218" s="357"/>
      <c r="I218" s="357"/>
      <c r="J218" s="357"/>
      <c r="K218" s="357"/>
      <c r="L218" s="357"/>
    </row>
    <row r="219" spans="1:16" outlineLevel="1">
      <c r="A219" s="357">
        <v>7</v>
      </c>
      <c r="B219" s="494" t="s">
        <v>737</v>
      </c>
      <c r="D219" s="489"/>
      <c r="E219" s="489"/>
      <c r="F219" s="489"/>
      <c r="G219" s="357"/>
      <c r="H219" s="357"/>
      <c r="I219" s="357"/>
      <c r="J219" s="357"/>
      <c r="K219" s="357"/>
      <c r="L219" s="357"/>
    </row>
    <row r="220" spans="1:16" outlineLevel="1">
      <c r="A220" s="357">
        <v>8</v>
      </c>
      <c r="B220" s="494" t="s">
        <v>743</v>
      </c>
      <c r="D220" s="489"/>
      <c r="E220" s="489"/>
      <c r="F220" s="489"/>
      <c r="G220" s="357"/>
      <c r="H220" s="357"/>
      <c r="I220" s="357"/>
      <c r="J220" s="357"/>
      <c r="K220" s="357"/>
      <c r="L220" s="357"/>
    </row>
    <row r="221" spans="1:16" outlineLevel="1">
      <c r="A221" s="357">
        <v>9</v>
      </c>
      <c r="B221" s="488" t="s">
        <v>744</v>
      </c>
      <c r="D221" s="489"/>
      <c r="E221" s="489"/>
      <c r="F221" s="489"/>
      <c r="G221" s="357"/>
      <c r="H221" s="357"/>
      <c r="I221" s="357"/>
      <c r="J221" s="357"/>
      <c r="K221" s="357"/>
      <c r="L221" s="357"/>
    </row>
    <row r="222" spans="1:16" outlineLevel="1">
      <c r="A222" s="357">
        <v>10</v>
      </c>
      <c r="B222" s="489" t="s">
        <v>745</v>
      </c>
      <c r="D222" s="489"/>
      <c r="E222" s="489"/>
      <c r="F222" s="489"/>
      <c r="G222" s="357"/>
      <c r="H222" s="357"/>
      <c r="I222" s="357"/>
      <c r="J222" s="357"/>
      <c r="K222" s="357"/>
      <c r="L222" s="357"/>
    </row>
    <row r="223" spans="1:16" outlineLevel="1">
      <c r="A223" s="487" t="s">
        <v>746</v>
      </c>
      <c r="B223" s="488"/>
      <c r="D223" s="489"/>
      <c r="E223" s="489"/>
      <c r="F223" s="489"/>
      <c r="G223" s="357"/>
      <c r="H223" s="357"/>
      <c r="I223" s="357"/>
      <c r="J223" s="357"/>
      <c r="K223" s="357"/>
      <c r="L223" s="357"/>
    </row>
    <row r="224" spans="1:16" outlineLevel="1">
      <c r="A224" s="495" t="s">
        <v>6</v>
      </c>
      <c r="B224" s="496" t="s">
        <v>747</v>
      </c>
      <c r="C224" s="489"/>
      <c r="D224" s="489"/>
      <c r="E224" s="489"/>
      <c r="F224" s="489"/>
      <c r="G224" s="357"/>
      <c r="H224" s="357"/>
      <c r="I224" s="357"/>
      <c r="J224" s="357"/>
      <c r="K224" s="357"/>
      <c r="L224" s="357"/>
      <c r="N224" s="569"/>
      <c r="O224" s="488"/>
      <c r="P224" s="489"/>
    </row>
    <row r="225" spans="1:16" outlineLevel="1">
      <c r="A225" s="495" t="s">
        <v>59</v>
      </c>
      <c r="B225" s="488" t="s">
        <v>748</v>
      </c>
      <c r="C225" s="489"/>
      <c r="D225" s="489"/>
      <c r="E225" s="489"/>
      <c r="F225" s="489"/>
      <c r="G225" s="357"/>
      <c r="H225" s="357"/>
      <c r="I225" s="357"/>
      <c r="J225" s="357"/>
      <c r="K225" s="357"/>
      <c r="L225" s="357"/>
      <c r="N225" s="570"/>
      <c r="O225" s="488"/>
      <c r="P225" s="489"/>
    </row>
    <row r="226" spans="1:16" outlineLevel="1">
      <c r="A226" s="495" t="s">
        <v>16</v>
      </c>
      <c r="B226" s="488" t="s">
        <v>749</v>
      </c>
      <c r="C226" s="489"/>
      <c r="D226" s="489"/>
      <c r="E226" s="489"/>
      <c r="F226" s="489"/>
      <c r="G226" s="357"/>
      <c r="H226" s="357"/>
      <c r="I226" s="357"/>
      <c r="J226" s="357"/>
      <c r="K226" s="357"/>
      <c r="L226" s="357"/>
      <c r="N226" s="571"/>
      <c r="O226" s="488"/>
      <c r="P226" s="489"/>
    </row>
    <row r="227" spans="1:16" outlineLevel="1">
      <c r="A227" s="495" t="s">
        <v>20</v>
      </c>
      <c r="B227" s="488" t="s">
        <v>750</v>
      </c>
      <c r="C227" s="489"/>
      <c r="D227" s="489"/>
      <c r="E227" s="489"/>
      <c r="F227" s="489"/>
      <c r="G227" s="357"/>
      <c r="H227" s="357"/>
      <c r="I227" s="357"/>
      <c r="J227" s="357"/>
      <c r="K227" s="357"/>
      <c r="L227" s="357"/>
      <c r="N227" s="572"/>
      <c r="O227" s="488"/>
      <c r="P227" s="489"/>
    </row>
    <row r="228" spans="1:16" outlineLevel="1">
      <c r="A228" s="495" t="s">
        <v>76</v>
      </c>
      <c r="B228" s="497" t="s">
        <v>751</v>
      </c>
      <c r="C228" s="489"/>
      <c r="D228" s="489"/>
      <c r="E228" s="489"/>
      <c r="F228" s="489"/>
      <c r="G228" s="357"/>
      <c r="H228" s="357"/>
      <c r="I228" s="357"/>
      <c r="J228" s="357"/>
      <c r="K228" s="357"/>
      <c r="L228" s="357"/>
      <c r="N228" s="572"/>
      <c r="O228" s="489"/>
      <c r="P228" s="489"/>
    </row>
    <row r="229" spans="1:16" outlineLevel="1">
      <c r="A229" s="495" t="s">
        <v>25</v>
      </c>
      <c r="B229" s="488" t="s">
        <v>767</v>
      </c>
      <c r="C229" s="489"/>
      <c r="D229" s="489"/>
      <c r="E229" s="489"/>
      <c r="F229" s="489"/>
      <c r="G229" s="357"/>
      <c r="H229" s="357"/>
      <c r="I229" s="357"/>
      <c r="J229" s="357"/>
      <c r="K229" s="357"/>
      <c r="L229" s="357"/>
      <c r="N229" s="488"/>
      <c r="O229" s="489"/>
      <c r="P229" s="489"/>
    </row>
    <row r="230" spans="1:16" outlineLevel="1">
      <c r="A230" s="495" t="s">
        <v>33</v>
      </c>
      <c r="B230" s="488" t="s">
        <v>752</v>
      </c>
      <c r="C230" s="489"/>
      <c r="D230" s="489"/>
      <c r="E230" s="489"/>
      <c r="F230" s="489"/>
      <c r="G230" s="357"/>
      <c r="H230" s="357"/>
      <c r="I230" s="357"/>
      <c r="J230" s="357"/>
      <c r="K230" s="357"/>
      <c r="L230" s="357"/>
      <c r="N230" s="489"/>
      <c r="O230" s="489"/>
      <c r="P230" s="489"/>
    </row>
    <row r="231" spans="1:16" outlineLevel="1"/>
    <row r="232" spans="1:16" outlineLevel="1"/>
    <row r="233" spans="1:16" outlineLevel="1"/>
    <row r="234" spans="1:16" outlineLevel="1"/>
    <row r="235" spans="1:16" outlineLevel="1"/>
    <row r="236" spans="1:16" outlineLevel="1"/>
    <row r="237" spans="1:16" outlineLevel="1"/>
    <row r="238" spans="1:16" outlineLevel="1"/>
    <row r="239" spans="1:16" outlineLevel="1"/>
    <row r="240" spans="1:16" outlineLevel="1"/>
    <row r="241" spans="1:44" outlineLevel="1"/>
    <row r="242" spans="1:44" outlineLevel="1"/>
    <row r="243" spans="1:44" outlineLevel="1"/>
    <row r="244" spans="1:44" outlineLevel="1"/>
    <row r="246" spans="1:44" ht="15" thickBot="1">
      <c r="A246" s="359" t="s">
        <v>768</v>
      </c>
      <c r="P246" s="691">
        <v>1</v>
      </c>
      <c r="Q246" s="691">
        <v>2</v>
      </c>
      <c r="R246" s="691">
        <v>3</v>
      </c>
      <c r="S246" s="691">
        <v>4</v>
      </c>
      <c r="T246" s="691">
        <v>5</v>
      </c>
      <c r="U246" s="691">
        <v>6</v>
      </c>
      <c r="V246" s="691">
        <v>7</v>
      </c>
      <c r="W246" s="691">
        <v>8</v>
      </c>
      <c r="X246" s="691">
        <v>9</v>
      </c>
      <c r="Y246" s="691">
        <v>10</v>
      </c>
      <c r="Z246" s="691">
        <v>11</v>
      </c>
      <c r="AA246" s="691">
        <v>12</v>
      </c>
      <c r="AB246" s="691">
        <v>13</v>
      </c>
      <c r="AC246" s="691">
        <v>14</v>
      </c>
    </row>
    <row r="247" spans="1:44" ht="20.55" customHeight="1" outlineLevel="1" thickBot="1">
      <c r="B247" s="361" t="s">
        <v>0</v>
      </c>
      <c r="C247" s="1183" t="s">
        <v>769</v>
      </c>
      <c r="D247" s="1202"/>
      <c r="E247" s="1202"/>
      <c r="F247" s="1202"/>
      <c r="G247" s="1202"/>
      <c r="H247" s="1202"/>
      <c r="I247" s="1202"/>
      <c r="J247" s="1202"/>
      <c r="K247" s="1202"/>
      <c r="L247" s="1203"/>
      <c r="M247" s="362"/>
      <c r="N247" s="362"/>
      <c r="P247" s="363" t="s">
        <v>676</v>
      </c>
      <c r="Q247" s="364"/>
      <c r="R247" s="365"/>
      <c r="S247" s="1173" t="s">
        <v>677</v>
      </c>
      <c r="T247" s="1157" t="s">
        <v>678</v>
      </c>
      <c r="U247" s="1158"/>
      <c r="V247" s="1157" t="s">
        <v>679</v>
      </c>
      <c r="W247" s="1158"/>
      <c r="X247" s="1157" t="s">
        <v>680</v>
      </c>
      <c r="Y247" s="1158"/>
      <c r="Z247" s="1157" t="s">
        <v>681</v>
      </c>
      <c r="AA247" s="1158"/>
      <c r="AB247" s="1157" t="s">
        <v>682</v>
      </c>
      <c r="AC247" s="1158"/>
      <c r="AE247" s="363" t="s">
        <v>683</v>
      </c>
      <c r="AF247" s="364"/>
      <c r="AG247" s="365"/>
      <c r="AH247" s="1173" t="s">
        <v>677</v>
      </c>
      <c r="AI247" s="1157" t="s">
        <v>678</v>
      </c>
      <c r="AJ247" s="1158"/>
      <c r="AK247" s="1157" t="s">
        <v>679</v>
      </c>
      <c r="AL247" s="1158"/>
      <c r="AM247" s="1157" t="s">
        <v>680</v>
      </c>
      <c r="AN247" s="1158"/>
      <c r="AO247" s="1157" t="s">
        <v>681</v>
      </c>
      <c r="AP247" s="1158"/>
      <c r="AQ247" s="1157" t="s">
        <v>682</v>
      </c>
      <c r="AR247" s="1158"/>
    </row>
    <row r="248" spans="1:44" ht="15" customHeight="1" outlineLevel="1" thickBot="1">
      <c r="B248" s="1161" t="s">
        <v>4</v>
      </c>
      <c r="C248" s="1163">
        <v>2020</v>
      </c>
      <c r="D248" s="1163">
        <v>2030</v>
      </c>
      <c r="E248" s="1163">
        <v>2040</v>
      </c>
      <c r="F248" s="1163">
        <v>2050</v>
      </c>
      <c r="G248" s="1165" t="s">
        <v>684</v>
      </c>
      <c r="H248" s="1166"/>
      <c r="I248" s="1165" t="s">
        <v>628</v>
      </c>
      <c r="J248" s="1166"/>
      <c r="K248" s="1186" t="s">
        <v>2</v>
      </c>
      <c r="L248" s="1186" t="s">
        <v>3</v>
      </c>
      <c r="M248" s="366"/>
      <c r="N248" s="366"/>
      <c r="P248" s="1177" t="s">
        <v>0</v>
      </c>
      <c r="Q248" s="367"/>
      <c r="R248" s="367"/>
      <c r="S248" s="1174"/>
      <c r="T248" s="1159"/>
      <c r="U248" s="1160"/>
      <c r="V248" s="1159"/>
      <c r="W248" s="1160"/>
      <c r="X248" s="1159"/>
      <c r="Y248" s="1160"/>
      <c r="Z248" s="1159"/>
      <c r="AA248" s="1160"/>
      <c r="AB248" s="1159"/>
      <c r="AC248" s="1160"/>
      <c r="AE248" s="1177" t="s">
        <v>0</v>
      </c>
      <c r="AF248" s="367"/>
      <c r="AG248" s="367"/>
      <c r="AH248" s="1174"/>
      <c r="AI248" s="1159"/>
      <c r="AJ248" s="1160"/>
      <c r="AK248" s="1159"/>
      <c r="AL248" s="1160"/>
      <c r="AM248" s="1159"/>
      <c r="AN248" s="1160"/>
      <c r="AO248" s="1159"/>
      <c r="AP248" s="1160"/>
      <c r="AQ248" s="1159"/>
      <c r="AR248" s="1160"/>
    </row>
    <row r="249" spans="1:44" ht="15" customHeight="1" outlineLevel="1" thickBot="1">
      <c r="B249" s="1162"/>
      <c r="C249" s="1164"/>
      <c r="D249" s="1164"/>
      <c r="E249" s="1164"/>
      <c r="F249" s="1164"/>
      <c r="G249" s="405" t="s">
        <v>629</v>
      </c>
      <c r="H249" s="405" t="s">
        <v>630</v>
      </c>
      <c r="I249" s="405" t="s">
        <v>629</v>
      </c>
      <c r="J249" s="405" t="s">
        <v>630</v>
      </c>
      <c r="K249" s="1187"/>
      <c r="L249" s="1187"/>
      <c r="M249" s="369"/>
      <c r="N249" s="369"/>
      <c r="P249" s="1178"/>
      <c r="Q249" s="1180" t="s">
        <v>685</v>
      </c>
      <c r="R249" s="1181" t="s">
        <v>686</v>
      </c>
      <c r="S249" s="1175"/>
      <c r="T249" s="1159"/>
      <c r="U249" s="1160"/>
      <c r="V249" s="1159"/>
      <c r="W249" s="1160"/>
      <c r="X249" s="1159"/>
      <c r="Y249" s="1160"/>
      <c r="Z249" s="1159"/>
      <c r="AA249" s="1160"/>
      <c r="AB249" s="1159"/>
      <c r="AC249" s="1160"/>
      <c r="AE249" s="1178"/>
      <c r="AF249" s="1194" t="s">
        <v>685</v>
      </c>
      <c r="AG249" s="1181" t="s">
        <v>686</v>
      </c>
      <c r="AH249" s="1175"/>
      <c r="AI249" s="1159"/>
      <c r="AJ249" s="1160"/>
      <c r="AK249" s="1159"/>
      <c r="AL249" s="1160"/>
      <c r="AM249" s="1159"/>
      <c r="AN249" s="1160"/>
      <c r="AO249" s="1159"/>
      <c r="AP249" s="1160"/>
      <c r="AQ249" s="1159"/>
      <c r="AR249" s="1160"/>
    </row>
    <row r="250" spans="1:44" ht="29.4" outlineLevel="1" thickBot="1">
      <c r="B250" s="370" t="s">
        <v>631</v>
      </c>
      <c r="C250" s="371">
        <v>20</v>
      </c>
      <c r="D250" s="371">
        <v>20</v>
      </c>
      <c r="E250" s="371">
        <v>20</v>
      </c>
      <c r="F250" s="371">
        <v>20</v>
      </c>
      <c r="G250" s="371">
        <v>1</v>
      </c>
      <c r="H250" s="371">
        <v>50</v>
      </c>
      <c r="I250" s="371">
        <v>1</v>
      </c>
      <c r="J250" s="371">
        <v>50</v>
      </c>
      <c r="K250" s="371" t="s">
        <v>6</v>
      </c>
      <c r="L250" s="372" t="s">
        <v>688</v>
      </c>
      <c r="M250" s="369"/>
      <c r="N250" s="369"/>
      <c r="O250" s="74"/>
      <c r="P250" s="1179"/>
      <c r="Q250" s="1176"/>
      <c r="R250" s="1182"/>
      <c r="S250" s="1176"/>
      <c r="T250" s="373" t="s">
        <v>689</v>
      </c>
      <c r="U250" s="374" t="s">
        <v>690</v>
      </c>
      <c r="V250" s="373" t="s">
        <v>689</v>
      </c>
      <c r="W250" s="374" t="s">
        <v>690</v>
      </c>
      <c r="X250" s="373" t="s">
        <v>689</v>
      </c>
      <c r="Y250" s="374" t="s">
        <v>690</v>
      </c>
      <c r="Z250" s="373" t="s">
        <v>689</v>
      </c>
      <c r="AA250" s="374" t="s">
        <v>690</v>
      </c>
      <c r="AB250" s="373" t="s">
        <v>689</v>
      </c>
      <c r="AC250" s="374" t="s">
        <v>690</v>
      </c>
      <c r="AE250" s="1179"/>
      <c r="AF250" s="1195"/>
      <c r="AG250" s="1182"/>
      <c r="AH250" s="1176"/>
      <c r="AI250" s="373" t="s">
        <v>689</v>
      </c>
      <c r="AJ250" s="374" t="s">
        <v>690</v>
      </c>
      <c r="AK250" s="373" t="s">
        <v>689</v>
      </c>
      <c r="AL250" s="374" t="s">
        <v>690</v>
      </c>
      <c r="AM250" s="373" t="s">
        <v>689</v>
      </c>
      <c r="AN250" s="374" t="s">
        <v>690</v>
      </c>
      <c r="AO250" s="373" t="s">
        <v>689</v>
      </c>
      <c r="AP250" s="374" t="s">
        <v>690</v>
      </c>
      <c r="AQ250" s="373" t="s">
        <v>689</v>
      </c>
      <c r="AR250" s="374" t="s">
        <v>690</v>
      </c>
    </row>
    <row r="251" spans="1:44" ht="14.55" customHeight="1" outlineLevel="1">
      <c r="B251" s="540" t="s">
        <v>691</v>
      </c>
      <c r="C251" s="541">
        <v>103</v>
      </c>
      <c r="D251" s="541">
        <v>104</v>
      </c>
      <c r="E251" s="542">
        <v>104</v>
      </c>
      <c r="F251" s="541">
        <v>104</v>
      </c>
      <c r="G251" s="541">
        <v>95</v>
      </c>
      <c r="H251" s="541">
        <v>106</v>
      </c>
      <c r="I251" s="541">
        <v>96</v>
      </c>
      <c r="J251" s="541">
        <v>107</v>
      </c>
      <c r="K251" s="546"/>
      <c r="L251" s="547" t="s">
        <v>764</v>
      </c>
      <c r="M251" s="369"/>
      <c r="N251" s="369"/>
      <c r="P251" s="1196" t="str">
        <f>C247</f>
        <v>Hot water boiler, Natural gas or biogas (Condensing)</v>
      </c>
      <c r="Q251" s="1151" t="s">
        <v>693</v>
      </c>
      <c r="R251" s="380" t="s">
        <v>694</v>
      </c>
      <c r="S251" s="381"/>
      <c r="T251" s="1134">
        <v>0</v>
      </c>
      <c r="U251" s="1148">
        <v>0</v>
      </c>
      <c r="V251" s="1134">
        <v>0</v>
      </c>
      <c r="W251" s="1148">
        <v>0</v>
      </c>
      <c r="X251" s="1134">
        <v>0</v>
      </c>
      <c r="Y251" s="1148">
        <v>0</v>
      </c>
      <c r="Z251" s="1134">
        <v>0</v>
      </c>
      <c r="AA251" s="1148">
        <v>0</v>
      </c>
      <c r="AB251" s="1134">
        <v>0</v>
      </c>
      <c r="AC251" s="1148">
        <v>0</v>
      </c>
      <c r="AE251" s="1145" t="str">
        <f>P251</f>
        <v>Hot water boiler, Natural gas or biogas (Condensing)</v>
      </c>
      <c r="AF251" s="1151" t="s">
        <v>693</v>
      </c>
      <c r="AG251" s="380" t="s">
        <v>694</v>
      </c>
      <c r="AH251" s="381"/>
      <c r="AI251" s="1134">
        <v>0</v>
      </c>
      <c r="AJ251" s="1148">
        <v>0</v>
      </c>
      <c r="AK251" s="1134">
        <v>0</v>
      </c>
      <c r="AL251" s="1148">
        <v>0</v>
      </c>
      <c r="AM251" s="1134">
        <v>0</v>
      </c>
      <c r="AN251" s="1148">
        <v>0</v>
      </c>
      <c r="AO251" s="1134">
        <v>0</v>
      </c>
      <c r="AP251" s="1148">
        <v>0</v>
      </c>
      <c r="AQ251" s="1134">
        <v>0</v>
      </c>
      <c r="AR251" s="1148">
        <v>0</v>
      </c>
    </row>
    <row r="252" spans="1:44" outlineLevel="1">
      <c r="B252" s="382" t="s">
        <v>695</v>
      </c>
      <c r="C252" s="383">
        <f>C251-2</f>
        <v>101</v>
      </c>
      <c r="D252" s="383">
        <f t="shared" ref="D252:J252" si="13">D251-1</f>
        <v>103</v>
      </c>
      <c r="E252" s="383">
        <f t="shared" si="13"/>
        <v>103</v>
      </c>
      <c r="F252" s="383">
        <f t="shared" si="13"/>
        <v>103</v>
      </c>
      <c r="G252" s="504">
        <f t="shared" si="13"/>
        <v>94</v>
      </c>
      <c r="H252" s="504">
        <f t="shared" si="13"/>
        <v>105</v>
      </c>
      <c r="I252" s="504">
        <f t="shared" si="13"/>
        <v>95</v>
      </c>
      <c r="J252" s="504">
        <f t="shared" si="13"/>
        <v>106</v>
      </c>
      <c r="K252" s="371"/>
      <c r="L252" s="372" t="s">
        <v>692</v>
      </c>
      <c r="M252" s="369"/>
      <c r="N252" s="369"/>
      <c r="O252" s="71"/>
      <c r="P252" s="1192"/>
      <c r="Q252" s="1152"/>
      <c r="R252" s="387" t="s">
        <v>696</v>
      </c>
      <c r="S252" s="388"/>
      <c r="T252" s="1137"/>
      <c r="U252" s="1149"/>
      <c r="V252" s="1137"/>
      <c r="W252" s="1149"/>
      <c r="X252" s="1137"/>
      <c r="Y252" s="1149"/>
      <c r="Z252" s="1137"/>
      <c r="AA252" s="1149"/>
      <c r="AB252" s="1137"/>
      <c r="AC252" s="1149"/>
      <c r="AE252" s="1192"/>
      <c r="AF252" s="1152"/>
      <c r="AG252" s="387" t="s">
        <v>696</v>
      </c>
      <c r="AH252" s="388"/>
      <c r="AI252" s="1137"/>
      <c r="AJ252" s="1149"/>
      <c r="AK252" s="1137"/>
      <c r="AL252" s="1149"/>
      <c r="AM252" s="1137"/>
      <c r="AN252" s="1149"/>
      <c r="AO252" s="1137"/>
      <c r="AP252" s="1149"/>
      <c r="AQ252" s="1137"/>
      <c r="AR252" s="1149"/>
    </row>
    <row r="253" spans="1:44" ht="15" outlineLevel="1" thickBot="1">
      <c r="B253" s="540" t="s">
        <v>697</v>
      </c>
      <c r="C253" s="543">
        <v>0.14000000000000001</v>
      </c>
      <c r="D253" s="544">
        <v>0.12</v>
      </c>
      <c r="E253" s="544">
        <v>0.11</v>
      </c>
      <c r="F253" s="545">
        <v>0.1</v>
      </c>
      <c r="G253" s="544">
        <v>0.1</v>
      </c>
      <c r="H253" s="544">
        <v>0.14000000000000001</v>
      </c>
      <c r="I253" s="544">
        <v>0.08</v>
      </c>
      <c r="J253" s="544">
        <v>0.12</v>
      </c>
      <c r="K253" s="546"/>
      <c r="L253" s="547">
        <v>3</v>
      </c>
      <c r="M253" s="369"/>
      <c r="N253" s="369"/>
      <c r="O253" s="71"/>
      <c r="P253" s="1192"/>
      <c r="Q253" s="1153"/>
      <c r="R253" s="392" t="s">
        <v>698</v>
      </c>
      <c r="S253" s="393"/>
      <c r="T253" s="1138"/>
      <c r="U253" s="1150"/>
      <c r="V253" s="1138"/>
      <c r="W253" s="1150"/>
      <c r="X253" s="1138"/>
      <c r="Y253" s="1150"/>
      <c r="Z253" s="1138"/>
      <c r="AA253" s="1150"/>
      <c r="AB253" s="1138"/>
      <c r="AC253" s="1150"/>
      <c r="AE253" s="1192"/>
      <c r="AF253" s="1153"/>
      <c r="AG253" s="392" t="s">
        <v>698</v>
      </c>
      <c r="AH253" s="393"/>
      <c r="AI253" s="1138"/>
      <c r="AJ253" s="1150"/>
      <c r="AK253" s="1138"/>
      <c r="AL253" s="1150"/>
      <c r="AM253" s="1138"/>
      <c r="AN253" s="1150"/>
      <c r="AO253" s="1138"/>
      <c r="AP253" s="1150"/>
      <c r="AQ253" s="1138"/>
      <c r="AR253" s="1150"/>
    </row>
    <row r="254" spans="1:44" ht="14.55" customHeight="1" outlineLevel="1">
      <c r="B254" s="540" t="s">
        <v>637</v>
      </c>
      <c r="C254" s="543">
        <v>1</v>
      </c>
      <c r="D254" s="543">
        <v>1</v>
      </c>
      <c r="E254" s="543">
        <v>1</v>
      </c>
      <c r="F254" s="543">
        <v>1</v>
      </c>
      <c r="G254" s="543">
        <v>0.08</v>
      </c>
      <c r="H254" s="543">
        <v>2</v>
      </c>
      <c r="I254" s="543">
        <v>0.08</v>
      </c>
      <c r="J254" s="543">
        <v>2</v>
      </c>
      <c r="K254" s="546"/>
      <c r="L254" s="547">
        <v>3</v>
      </c>
      <c r="M254" s="369"/>
      <c r="N254" s="369"/>
      <c r="O254" s="71"/>
      <c r="P254" s="1192"/>
      <c r="Q254" s="1151" t="s">
        <v>699</v>
      </c>
      <c r="R254" s="394" t="s">
        <v>700</v>
      </c>
      <c r="S254" s="395" t="s">
        <v>701</v>
      </c>
      <c r="T254" s="1134">
        <v>0</v>
      </c>
      <c r="U254" s="1134">
        <v>0.17</v>
      </c>
      <c r="V254" s="1134">
        <v>0</v>
      </c>
      <c r="W254" s="1134">
        <v>0</v>
      </c>
      <c r="X254" s="1134">
        <v>0</v>
      </c>
      <c r="Y254" s="1134">
        <v>0</v>
      </c>
      <c r="Z254" s="1134">
        <v>0</v>
      </c>
      <c r="AA254" s="1134">
        <v>0.06</v>
      </c>
      <c r="AB254" s="1134">
        <v>0</v>
      </c>
      <c r="AC254" s="1134">
        <v>0</v>
      </c>
      <c r="AE254" s="1192"/>
      <c r="AF254" s="1151" t="s">
        <v>699</v>
      </c>
      <c r="AG254" s="394" t="s">
        <v>700</v>
      </c>
      <c r="AH254" s="395" t="s">
        <v>701</v>
      </c>
      <c r="AI254" s="1134">
        <v>0</v>
      </c>
      <c r="AJ254" s="1134">
        <f>U254/4</f>
        <v>4.2500000000000003E-2</v>
      </c>
      <c r="AK254" s="1134">
        <v>0</v>
      </c>
      <c r="AL254" s="1134">
        <f>W254/4</f>
        <v>0</v>
      </c>
      <c r="AM254" s="1134">
        <v>0</v>
      </c>
      <c r="AN254" s="1134">
        <f>Y254/4</f>
        <v>0</v>
      </c>
      <c r="AO254" s="1134">
        <v>0</v>
      </c>
      <c r="AP254" s="1134">
        <f>AA254/4</f>
        <v>1.4999999999999999E-2</v>
      </c>
      <c r="AQ254" s="1134">
        <v>0</v>
      </c>
      <c r="AR254" s="1134">
        <f>AC254/4</f>
        <v>0</v>
      </c>
    </row>
    <row r="255" spans="1:44" outlineLevel="1">
      <c r="B255" s="540" t="s">
        <v>638</v>
      </c>
      <c r="C255" s="543">
        <v>0.4</v>
      </c>
      <c r="D255" s="543">
        <v>0.4</v>
      </c>
      <c r="E255" s="543">
        <v>0.4</v>
      </c>
      <c r="F255" s="543">
        <v>0.4</v>
      </c>
      <c r="G255" s="543">
        <v>0.3</v>
      </c>
      <c r="H255" s="543">
        <v>0.6</v>
      </c>
      <c r="I255" s="543">
        <v>0.3</v>
      </c>
      <c r="J255" s="543">
        <v>0.6</v>
      </c>
      <c r="K255" s="546"/>
      <c r="L255" s="547">
        <v>3</v>
      </c>
      <c r="M255" s="366"/>
      <c r="N255" s="366"/>
      <c r="O255" s="71"/>
      <c r="P255" s="1192"/>
      <c r="Q255" s="1152"/>
      <c r="R255" s="394" t="s">
        <v>702</v>
      </c>
      <c r="S255" s="395" t="s">
        <v>701</v>
      </c>
      <c r="T255" s="1135"/>
      <c r="U255" s="1135"/>
      <c r="V255" s="1135"/>
      <c r="W255" s="1135"/>
      <c r="X255" s="1135"/>
      <c r="Y255" s="1135"/>
      <c r="Z255" s="1135"/>
      <c r="AA255" s="1135"/>
      <c r="AB255" s="1135"/>
      <c r="AC255" s="1135"/>
      <c r="AE255" s="1192"/>
      <c r="AF255" s="1152"/>
      <c r="AG255" s="394" t="s">
        <v>702</v>
      </c>
      <c r="AH255" s="395" t="s">
        <v>701</v>
      </c>
      <c r="AI255" s="1135"/>
      <c r="AJ255" s="1135"/>
      <c r="AK255" s="1135"/>
      <c r="AL255" s="1135"/>
      <c r="AM255" s="1135"/>
      <c r="AN255" s="1135"/>
      <c r="AO255" s="1135"/>
      <c r="AP255" s="1135"/>
      <c r="AQ255" s="1135"/>
      <c r="AR255" s="1135"/>
    </row>
    <row r="256" spans="1:44" outlineLevel="1">
      <c r="B256" s="382" t="s">
        <v>11</v>
      </c>
      <c r="C256" s="396">
        <v>25</v>
      </c>
      <c r="D256" s="396">
        <v>25</v>
      </c>
      <c r="E256" s="396">
        <v>25</v>
      </c>
      <c r="F256" s="396">
        <v>25</v>
      </c>
      <c r="G256" s="398">
        <v>20</v>
      </c>
      <c r="H256" s="398">
        <v>30</v>
      </c>
      <c r="I256" s="398">
        <v>20</v>
      </c>
      <c r="J256" s="398">
        <v>30</v>
      </c>
      <c r="K256" s="371"/>
      <c r="L256" s="372" t="s">
        <v>703</v>
      </c>
      <c r="M256" s="362"/>
      <c r="N256" s="362"/>
      <c r="P256" s="1192"/>
      <c r="Q256" s="1152"/>
      <c r="R256" s="394" t="s">
        <v>704</v>
      </c>
      <c r="S256" s="395"/>
      <c r="T256" s="1135"/>
      <c r="U256" s="1135"/>
      <c r="V256" s="1135"/>
      <c r="W256" s="1135"/>
      <c r="X256" s="1135"/>
      <c r="Y256" s="1135"/>
      <c r="Z256" s="1135"/>
      <c r="AA256" s="1135"/>
      <c r="AB256" s="1135"/>
      <c r="AC256" s="1135"/>
      <c r="AE256" s="1192"/>
      <c r="AF256" s="1152"/>
      <c r="AG256" s="394" t="s">
        <v>704</v>
      </c>
      <c r="AH256" s="395" t="s">
        <v>701</v>
      </c>
      <c r="AI256" s="1135"/>
      <c r="AJ256" s="1135"/>
      <c r="AK256" s="1135"/>
      <c r="AL256" s="1135"/>
      <c r="AM256" s="1135"/>
      <c r="AN256" s="1135"/>
      <c r="AO256" s="1135"/>
      <c r="AP256" s="1135"/>
      <c r="AQ256" s="1135"/>
      <c r="AR256" s="1135"/>
    </row>
    <row r="257" spans="1:44" ht="15" outlineLevel="1" thickBot="1">
      <c r="B257" s="540" t="s">
        <v>273</v>
      </c>
      <c r="C257" s="543">
        <v>0.5</v>
      </c>
      <c r="D257" s="543">
        <v>0.5</v>
      </c>
      <c r="E257" s="543">
        <v>0.5</v>
      </c>
      <c r="F257" s="543">
        <v>0.5</v>
      </c>
      <c r="G257" s="543">
        <v>0.2</v>
      </c>
      <c r="H257" s="543">
        <v>0.7</v>
      </c>
      <c r="I257" s="543">
        <v>0.2</v>
      </c>
      <c r="J257" s="543">
        <v>0.7</v>
      </c>
      <c r="K257" s="546"/>
      <c r="L257" s="558"/>
      <c r="M257" s="362"/>
      <c r="N257" s="362"/>
      <c r="P257" s="1192"/>
      <c r="Q257" s="1152"/>
      <c r="R257" s="394" t="s">
        <v>705</v>
      </c>
      <c r="S257" s="395" t="s">
        <v>701</v>
      </c>
      <c r="T257" s="1135"/>
      <c r="U257" s="1135"/>
      <c r="V257" s="1135"/>
      <c r="W257" s="1135"/>
      <c r="X257" s="1135"/>
      <c r="Y257" s="1135"/>
      <c r="Z257" s="1135"/>
      <c r="AA257" s="1135"/>
      <c r="AB257" s="1135"/>
      <c r="AC257" s="1135"/>
      <c r="AE257" s="1192"/>
      <c r="AF257" s="1152"/>
      <c r="AG257" s="394" t="s">
        <v>705</v>
      </c>
      <c r="AH257" s="395"/>
      <c r="AI257" s="1135"/>
      <c r="AJ257" s="1135"/>
      <c r="AK257" s="1135"/>
      <c r="AL257" s="1135"/>
      <c r="AM257" s="1135"/>
      <c r="AN257" s="1135"/>
      <c r="AO257" s="1135"/>
      <c r="AP257" s="1135"/>
      <c r="AQ257" s="1135"/>
      <c r="AR257" s="1135"/>
    </row>
    <row r="258" spans="1:44" ht="15" outlineLevel="1" thickBot="1">
      <c r="B258" s="400" t="s">
        <v>706</v>
      </c>
      <c r="C258" s="401"/>
      <c r="D258" s="402"/>
      <c r="E258" s="403"/>
      <c r="F258" s="404"/>
      <c r="G258" s="405"/>
      <c r="H258" s="405"/>
      <c r="I258" s="405"/>
      <c r="J258" s="405"/>
      <c r="K258" s="406"/>
      <c r="L258" s="407"/>
      <c r="M258" s="362"/>
      <c r="N258" s="362"/>
      <c r="P258" s="1192"/>
      <c r="Q258" s="1152"/>
      <c r="R258" s="408" t="s">
        <v>707</v>
      </c>
      <c r="S258" s="409" t="s">
        <v>701</v>
      </c>
      <c r="T258" s="1136"/>
      <c r="U258" s="1136"/>
      <c r="V258" s="1136"/>
      <c r="W258" s="1136"/>
      <c r="X258" s="1136"/>
      <c r="Y258" s="1136"/>
      <c r="Z258" s="1136"/>
      <c r="AA258" s="1136"/>
      <c r="AB258" s="1136"/>
      <c r="AC258" s="1136"/>
      <c r="AE258" s="1192"/>
      <c r="AF258" s="1152"/>
      <c r="AG258" s="408" t="s">
        <v>707</v>
      </c>
      <c r="AH258" s="409" t="s">
        <v>701</v>
      </c>
      <c r="AI258" s="1136"/>
      <c r="AJ258" s="1136"/>
      <c r="AK258" s="1136"/>
      <c r="AL258" s="1136"/>
      <c r="AM258" s="1136"/>
      <c r="AN258" s="1136"/>
      <c r="AO258" s="1136"/>
      <c r="AP258" s="1136"/>
      <c r="AQ258" s="1136"/>
      <c r="AR258" s="1136"/>
    </row>
    <row r="259" spans="1:44" ht="29.4" outlineLevel="1" thickBot="1">
      <c r="B259" s="540" t="s">
        <v>643</v>
      </c>
      <c r="C259" s="543">
        <v>15</v>
      </c>
      <c r="D259" s="543">
        <v>15</v>
      </c>
      <c r="E259" s="543">
        <v>15</v>
      </c>
      <c r="F259" s="543">
        <v>15</v>
      </c>
      <c r="G259" s="544"/>
      <c r="H259" s="544"/>
      <c r="I259" s="544"/>
      <c r="J259" s="544"/>
      <c r="K259" s="546"/>
      <c r="L259" s="547">
        <v>3</v>
      </c>
      <c r="M259" s="362"/>
      <c r="N259" s="362"/>
      <c r="P259" s="1193"/>
      <c r="Q259" s="410" t="s">
        <v>708</v>
      </c>
      <c r="R259" s="411" t="s">
        <v>709</v>
      </c>
      <c r="S259" s="412" t="s">
        <v>701</v>
      </c>
      <c r="T259" s="413">
        <v>1</v>
      </c>
      <c r="U259" s="414">
        <v>1</v>
      </c>
      <c r="V259" s="413">
        <v>0</v>
      </c>
      <c r="W259" s="414">
        <v>0</v>
      </c>
      <c r="X259" s="413">
        <v>0</v>
      </c>
      <c r="Y259" s="414">
        <v>0</v>
      </c>
      <c r="Z259" s="413">
        <v>1</v>
      </c>
      <c r="AA259" s="414">
        <v>1</v>
      </c>
      <c r="AB259" s="413">
        <v>0</v>
      </c>
      <c r="AC259" s="416">
        <v>0</v>
      </c>
      <c r="AE259" s="1193"/>
      <c r="AF259" s="410" t="s">
        <v>708</v>
      </c>
      <c r="AG259" s="411" t="s">
        <v>709</v>
      </c>
      <c r="AH259" s="412" t="s">
        <v>701</v>
      </c>
      <c r="AI259" s="413">
        <v>1</v>
      </c>
      <c r="AJ259" s="414">
        <v>1</v>
      </c>
      <c r="AK259" s="413">
        <v>0</v>
      </c>
      <c r="AL259" s="414">
        <v>0</v>
      </c>
      <c r="AM259" s="413">
        <v>0</v>
      </c>
      <c r="AN259" s="414">
        <v>0</v>
      </c>
      <c r="AO259" s="413">
        <v>1</v>
      </c>
      <c r="AP259" s="414">
        <v>1</v>
      </c>
      <c r="AQ259" s="413">
        <v>0</v>
      </c>
      <c r="AR259" s="416">
        <v>0</v>
      </c>
    </row>
    <row r="260" spans="1:44" outlineLevel="1">
      <c r="B260" s="540" t="s">
        <v>644</v>
      </c>
      <c r="C260" s="543">
        <v>0.1</v>
      </c>
      <c r="D260" s="543">
        <v>0.1</v>
      </c>
      <c r="E260" s="543">
        <v>0.1</v>
      </c>
      <c r="F260" s="543">
        <v>0.1</v>
      </c>
      <c r="G260" s="548"/>
      <c r="H260" s="548"/>
      <c r="I260" s="548"/>
      <c r="J260" s="548"/>
      <c r="K260" s="549"/>
      <c r="L260" s="547">
        <v>3</v>
      </c>
      <c r="M260" s="362"/>
      <c r="N260" s="362"/>
    </row>
    <row r="261" spans="1:44" outlineLevel="1">
      <c r="B261" s="540" t="s">
        <v>646</v>
      </c>
      <c r="C261" s="543">
        <v>0.4</v>
      </c>
      <c r="D261" s="543">
        <v>0.4</v>
      </c>
      <c r="E261" s="543">
        <v>0.4</v>
      </c>
      <c r="F261" s="543">
        <v>0.4</v>
      </c>
      <c r="G261" s="548"/>
      <c r="H261" s="548"/>
      <c r="I261" s="548"/>
      <c r="J261" s="548"/>
      <c r="K261" s="549"/>
      <c r="L261" s="547">
        <v>3</v>
      </c>
      <c r="M261" s="419"/>
      <c r="N261" s="362"/>
    </row>
    <row r="262" spans="1:44" outlineLevel="1">
      <c r="B262" s="420" t="s">
        <v>12</v>
      </c>
      <c r="C262" s="398"/>
      <c r="D262" s="398"/>
      <c r="E262" s="398"/>
      <c r="F262" s="398"/>
      <c r="G262" s="421"/>
      <c r="H262" s="421"/>
      <c r="I262" s="421"/>
      <c r="J262" s="421"/>
      <c r="K262" s="422"/>
      <c r="L262" s="423"/>
      <c r="M262" s="419"/>
      <c r="N262" s="419"/>
    </row>
    <row r="263" spans="1:44" ht="15.6" outlineLevel="1">
      <c r="B263" s="382" t="s">
        <v>710</v>
      </c>
      <c r="C263" s="396">
        <v>0.3</v>
      </c>
      <c r="D263" s="396">
        <v>0.3</v>
      </c>
      <c r="E263" s="396">
        <v>0.3</v>
      </c>
      <c r="F263" s="396">
        <v>0.3</v>
      </c>
      <c r="G263" s="421"/>
      <c r="H263" s="424"/>
      <c r="I263" s="424"/>
      <c r="J263" s="424"/>
      <c r="K263" s="425" t="s">
        <v>59</v>
      </c>
      <c r="L263" s="426" t="s">
        <v>711</v>
      </c>
      <c r="M263" s="427"/>
      <c r="N263" s="427"/>
    </row>
    <row r="264" spans="1:44" outlineLevel="1">
      <c r="B264" s="382" t="s">
        <v>712</v>
      </c>
      <c r="C264" s="396">
        <v>0.1</v>
      </c>
      <c r="D264" s="396">
        <v>0.1</v>
      </c>
      <c r="E264" s="396">
        <v>0.1</v>
      </c>
      <c r="F264" s="396">
        <v>0.1</v>
      </c>
      <c r="G264" s="424"/>
      <c r="H264" s="424"/>
      <c r="I264" s="424"/>
      <c r="J264" s="424"/>
      <c r="K264" s="422"/>
      <c r="L264" s="426">
        <v>9</v>
      </c>
      <c r="M264" s="427"/>
      <c r="N264" s="427"/>
    </row>
    <row r="265" spans="1:44" ht="15.6" outlineLevel="1">
      <c r="B265" s="382" t="s">
        <v>713</v>
      </c>
      <c r="C265" s="396">
        <v>9</v>
      </c>
      <c r="D265" s="396">
        <v>7</v>
      </c>
      <c r="E265" s="396">
        <v>6</v>
      </c>
      <c r="F265" s="396">
        <v>6</v>
      </c>
      <c r="G265" s="424"/>
      <c r="H265" s="424"/>
      <c r="I265" s="424"/>
      <c r="J265" s="424"/>
      <c r="K265" s="422"/>
      <c r="L265" s="426" t="s">
        <v>711</v>
      </c>
      <c r="M265" s="427"/>
      <c r="N265" s="427"/>
      <c r="T265" s="224">
        <f>C$23</f>
        <v>0.3</v>
      </c>
      <c r="U265" s="224">
        <f t="shared" ref="U265:V265" si="14">D$23</f>
        <v>0.3</v>
      </c>
      <c r="V265" s="224">
        <f t="shared" si="14"/>
        <v>0.3</v>
      </c>
    </row>
    <row r="266" spans="1:44" outlineLevel="1">
      <c r="B266" s="382" t="s">
        <v>366</v>
      </c>
      <c r="C266" s="396">
        <v>3</v>
      </c>
      <c r="D266" s="396">
        <v>2</v>
      </c>
      <c r="E266" s="396">
        <v>2</v>
      </c>
      <c r="F266" s="396">
        <v>2</v>
      </c>
      <c r="G266" s="424"/>
      <c r="H266" s="424"/>
      <c r="I266" s="424"/>
      <c r="J266" s="424"/>
      <c r="K266" s="422"/>
      <c r="L266" s="426" t="s">
        <v>711</v>
      </c>
      <c r="M266" s="427"/>
      <c r="N266" s="427"/>
    </row>
    <row r="267" spans="1:44" ht="15" outlineLevel="1" thickBot="1">
      <c r="B267" s="428" t="s">
        <v>367</v>
      </c>
      <c r="C267" s="429">
        <v>1</v>
      </c>
      <c r="D267" s="429">
        <v>1</v>
      </c>
      <c r="E267" s="429">
        <v>1</v>
      </c>
      <c r="F267" s="429">
        <v>1</v>
      </c>
      <c r="G267" s="424"/>
      <c r="H267" s="424"/>
      <c r="I267" s="424"/>
      <c r="J267" s="424"/>
      <c r="K267" s="422"/>
      <c r="L267" s="426" t="s">
        <v>711</v>
      </c>
      <c r="M267" s="427"/>
      <c r="N267" s="427"/>
    </row>
    <row r="268" spans="1:44" ht="15" outlineLevel="1" thickBot="1">
      <c r="B268" s="430" t="s">
        <v>654</v>
      </c>
      <c r="C268" s="431"/>
      <c r="D268" s="402"/>
      <c r="E268" s="402"/>
      <c r="F268" s="432"/>
      <c r="G268" s="433"/>
      <c r="H268" s="405"/>
      <c r="I268" s="405"/>
      <c r="J268" s="405"/>
      <c r="K268" s="406"/>
      <c r="L268" s="407"/>
      <c r="M268" s="427"/>
      <c r="N268" s="427"/>
    </row>
    <row r="269" spans="1:44" ht="43.2" outlineLevel="1">
      <c r="A269" s="434" t="s">
        <v>760</v>
      </c>
      <c r="B269" s="435" t="s">
        <v>755</v>
      </c>
      <c r="C269" s="550">
        <f>0.8*0.06</f>
        <v>4.8000000000000001E-2</v>
      </c>
      <c r="D269" s="511">
        <f>0.8*0.05</f>
        <v>4.0000000000000008E-2</v>
      </c>
      <c r="E269" s="511">
        <f>0.8*0.05</f>
        <v>4.0000000000000008E-2</v>
      </c>
      <c r="F269" s="512">
        <f>0.8*0.05</f>
        <v>4.0000000000000008E-2</v>
      </c>
      <c r="G269" s="424"/>
      <c r="H269" s="424"/>
      <c r="I269" s="424"/>
      <c r="J269" s="424"/>
      <c r="K269" s="425" t="s">
        <v>16</v>
      </c>
      <c r="L269" s="439" t="s">
        <v>716</v>
      </c>
      <c r="M269" s="419"/>
      <c r="N269" s="419"/>
    </row>
    <row r="270" spans="1:44" outlineLevel="1">
      <c r="B270" s="440" t="s">
        <v>717</v>
      </c>
      <c r="C270" s="442">
        <v>65</v>
      </c>
      <c r="D270" s="441">
        <v>65</v>
      </c>
      <c r="E270" s="441">
        <v>65</v>
      </c>
      <c r="F270" s="441">
        <v>65</v>
      </c>
      <c r="G270" s="424"/>
      <c r="H270" s="424"/>
      <c r="I270" s="424"/>
      <c r="J270" s="424"/>
      <c r="K270" s="443"/>
      <c r="L270" s="372">
        <v>3</v>
      </c>
      <c r="M270" s="71"/>
      <c r="N270" s="419"/>
    </row>
    <row r="271" spans="1:44" outlineLevel="1">
      <c r="B271" s="440" t="s">
        <v>718</v>
      </c>
      <c r="C271" s="442">
        <f>100-C270</f>
        <v>35</v>
      </c>
      <c r="D271" s="442">
        <f>100-D270</f>
        <v>35</v>
      </c>
      <c r="E271" s="442">
        <f>100-E270</f>
        <v>35</v>
      </c>
      <c r="F271" s="442">
        <f>100-F270</f>
        <v>35</v>
      </c>
      <c r="G271" s="424"/>
      <c r="H271" s="424"/>
      <c r="I271" s="424"/>
      <c r="J271" s="424"/>
      <c r="K271" s="443"/>
      <c r="L271" s="372">
        <v>3</v>
      </c>
      <c r="M271" s="419"/>
      <c r="N271" s="419"/>
    </row>
    <row r="272" spans="1:44" outlineLevel="1">
      <c r="B272" s="382" t="s">
        <v>756</v>
      </c>
      <c r="C272" s="444">
        <f>2000/1000</f>
        <v>2</v>
      </c>
      <c r="D272" s="445">
        <f>1900/1000</f>
        <v>1.9</v>
      </c>
      <c r="E272" s="445">
        <f>1800/1000</f>
        <v>1.8</v>
      </c>
      <c r="F272" s="446">
        <f>1700/1000</f>
        <v>1.7</v>
      </c>
      <c r="G272" s="424"/>
      <c r="H272" s="424"/>
      <c r="I272" s="424"/>
      <c r="J272" s="424"/>
      <c r="K272" s="447"/>
      <c r="L272" s="372">
        <v>3</v>
      </c>
      <c r="M272" s="419"/>
      <c r="N272" s="419"/>
    </row>
    <row r="273" spans="2:30" outlineLevel="1">
      <c r="B273" s="382" t="s">
        <v>757</v>
      </c>
      <c r="C273" s="448">
        <f>1.1/3.6</f>
        <v>0.30555555555555558</v>
      </c>
      <c r="D273" s="448">
        <f>1/3.6</f>
        <v>0.27777777777777779</v>
      </c>
      <c r="E273" s="448">
        <f>1/3.6</f>
        <v>0.27777777777777779</v>
      </c>
      <c r="F273" s="448">
        <f>1/3.6</f>
        <v>0.27777777777777779</v>
      </c>
      <c r="G273" s="424"/>
      <c r="H273" s="424"/>
      <c r="I273" s="424"/>
      <c r="J273" s="424"/>
      <c r="K273" s="447"/>
      <c r="L273" s="372">
        <v>3</v>
      </c>
      <c r="M273" s="449"/>
      <c r="N273" s="360"/>
      <c r="P273" s="1139">
        <f>C273</f>
        <v>0.30555555555555558</v>
      </c>
      <c r="Q273" s="1140"/>
      <c r="R273" s="1140"/>
      <c r="S273" s="1140"/>
      <c r="T273" s="1140"/>
      <c r="U273" s="1141"/>
    </row>
    <row r="274" spans="2:30" ht="15" outlineLevel="1" thickBot="1">
      <c r="B274" s="540" t="s">
        <v>721</v>
      </c>
      <c r="C274" s="551">
        <f>C253/100*73</f>
        <v>0.10220000000000001</v>
      </c>
      <c r="D274" s="551">
        <f>D253/100*75</f>
        <v>0.09</v>
      </c>
      <c r="E274" s="551">
        <f>E253/100*76</f>
        <v>8.3600000000000008E-2</v>
      </c>
      <c r="F274" s="551">
        <f>F253/100*76</f>
        <v>7.5999999999999998E-2</v>
      </c>
      <c r="G274" s="424"/>
      <c r="H274" s="424"/>
      <c r="I274" s="424"/>
      <c r="J274" s="424"/>
      <c r="K274" s="443" t="s">
        <v>20</v>
      </c>
      <c r="L274" s="372">
        <v>3</v>
      </c>
      <c r="M274" s="449"/>
      <c r="N274" s="360"/>
      <c r="P274" s="1131">
        <f>C274</f>
        <v>0.10220000000000001</v>
      </c>
      <c r="Q274" s="1132"/>
      <c r="R274" s="1132"/>
      <c r="S274" s="1132"/>
      <c r="T274" s="1132"/>
      <c r="U274" s="1133"/>
    </row>
    <row r="275" spans="2:30" outlineLevel="1">
      <c r="B275" s="540" t="s">
        <v>722</v>
      </c>
      <c r="C275" s="553">
        <f>C273-C274</f>
        <v>0.20335555555555557</v>
      </c>
      <c r="D275" s="553">
        <f>D273-D274</f>
        <v>0.18777777777777779</v>
      </c>
      <c r="E275" s="553">
        <f>E273-E274</f>
        <v>0.19417777777777778</v>
      </c>
      <c r="F275" s="553">
        <f>F273-F274</f>
        <v>0.20177777777777778</v>
      </c>
      <c r="G275" s="424"/>
      <c r="H275" s="424"/>
      <c r="I275" s="424"/>
      <c r="J275" s="424"/>
      <c r="K275" s="447"/>
      <c r="L275" s="372">
        <v>3</v>
      </c>
      <c r="M275" s="362"/>
      <c r="N275" s="362"/>
      <c r="P275" s="53" t="s">
        <v>357</v>
      </c>
    </row>
    <row r="276" spans="2:30" ht="27.6" outlineLevel="1">
      <c r="B276" s="440"/>
      <c r="C276" s="517"/>
      <c r="D276" s="517"/>
      <c r="E276" s="517"/>
      <c r="F276" s="517"/>
      <c r="G276" s="424"/>
      <c r="H276" s="424"/>
      <c r="I276" s="424"/>
      <c r="J276" s="424"/>
      <c r="K276" s="443"/>
      <c r="L276" s="423"/>
      <c r="M276" s="366"/>
      <c r="N276" s="366"/>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4.6" outlineLevel="1" thickBot="1">
      <c r="B277" s="518"/>
      <c r="C277" s="441"/>
      <c r="D277" s="519"/>
      <c r="E277" s="519"/>
      <c r="F277" s="520"/>
      <c r="G277" s="424"/>
      <c r="H277" s="424"/>
      <c r="I277" s="424"/>
      <c r="J277" s="424"/>
      <c r="K277" s="447"/>
      <c r="L277" s="423"/>
      <c r="M277" s="362"/>
      <c r="N277" s="362"/>
      <c r="P277" s="50"/>
      <c r="Q277" s="50"/>
      <c r="R277" s="51"/>
      <c r="S277" s="51"/>
      <c r="T277" s="51"/>
      <c r="U277" s="51" t="s">
        <v>723</v>
      </c>
      <c r="V277" s="50" t="s">
        <v>724</v>
      </c>
      <c r="W277" s="50"/>
      <c r="X277" s="50"/>
      <c r="Y277" s="50"/>
      <c r="Z277" s="50"/>
      <c r="AA277" s="50"/>
      <c r="AB277" s="50"/>
      <c r="AC277" s="50"/>
      <c r="AD277" s="50"/>
    </row>
    <row r="278" spans="2:30" ht="43.8" outlineLevel="1" thickBot="1">
      <c r="B278" s="400" t="s">
        <v>662</v>
      </c>
      <c r="C278" s="401"/>
      <c r="D278" s="402"/>
      <c r="E278" s="403"/>
      <c r="F278" s="404"/>
      <c r="G278" s="405"/>
      <c r="H278" s="405"/>
      <c r="I278" s="405"/>
      <c r="J278" s="405"/>
      <c r="K278" s="458"/>
      <c r="L278" s="459"/>
      <c r="M278" s="362"/>
      <c r="N278" s="362"/>
      <c r="O278" s="460" t="s">
        <v>695</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55" t="s">
        <v>725</v>
      </c>
      <c r="C279" s="556">
        <v>3.5000000000000003E-2</v>
      </c>
      <c r="D279" s="556">
        <v>0.03</v>
      </c>
      <c r="E279" s="556">
        <v>0.03</v>
      </c>
      <c r="F279" s="556">
        <v>0.03</v>
      </c>
      <c r="G279" s="557"/>
      <c r="H279" s="557"/>
      <c r="I279" s="557"/>
      <c r="J279" s="557"/>
      <c r="K279" s="557" t="s">
        <v>76</v>
      </c>
      <c r="L279" s="558"/>
      <c r="M279" s="362"/>
      <c r="N279" s="362"/>
      <c r="O279" s="464">
        <f>C252</f>
        <v>101</v>
      </c>
      <c r="P279" s="465">
        <f>C248</f>
        <v>2020</v>
      </c>
      <c r="Q279" s="58">
        <f>P279</f>
        <v>2020</v>
      </c>
      <c r="R279" s="465">
        <f>O279/100</f>
        <v>1.01</v>
      </c>
      <c r="S279" s="58"/>
      <c r="T279" s="465">
        <f>C256</f>
        <v>25</v>
      </c>
      <c r="U279" s="466">
        <f>C286</f>
        <v>357.6</v>
      </c>
      <c r="V279" s="466">
        <f>C288</f>
        <v>14.9</v>
      </c>
      <c r="W279" s="466">
        <f>C289</f>
        <v>2.276388888888889</v>
      </c>
      <c r="X279" s="58"/>
      <c r="Y279" s="58"/>
      <c r="Z279" s="465">
        <f>C263</f>
        <v>0.3</v>
      </c>
      <c r="AA279" s="467">
        <f>C265</f>
        <v>9</v>
      </c>
      <c r="AB279" s="467">
        <f>C266</f>
        <v>3</v>
      </c>
      <c r="AC279" s="467">
        <f>C267</f>
        <v>1</v>
      </c>
      <c r="AD279" s="467">
        <f>C264</f>
        <v>0.1</v>
      </c>
    </row>
    <row r="280" spans="2:30" outlineLevel="1">
      <c r="B280" s="540" t="s">
        <v>726</v>
      </c>
      <c r="C280" s="559" t="s">
        <v>36</v>
      </c>
      <c r="D280" s="560" t="s">
        <v>36</v>
      </c>
      <c r="E280" s="560" t="s">
        <v>36</v>
      </c>
      <c r="F280" s="561" t="s">
        <v>36</v>
      </c>
      <c r="G280" s="561"/>
      <c r="H280" s="561"/>
      <c r="I280" s="561"/>
      <c r="J280" s="561"/>
      <c r="K280" s="562" t="s">
        <v>25</v>
      </c>
      <c r="L280" s="558"/>
      <c r="M280" s="362"/>
      <c r="N280" s="362"/>
      <c r="O280" s="464">
        <f>D252</f>
        <v>103</v>
      </c>
      <c r="P280" s="465">
        <f>D248</f>
        <v>2030</v>
      </c>
      <c r="Q280" s="58"/>
      <c r="R280" s="465">
        <f>O280/100</f>
        <v>1.03</v>
      </c>
      <c r="S280" s="58"/>
      <c r="T280" s="465">
        <f>D256</f>
        <v>25</v>
      </c>
      <c r="U280" s="466">
        <f>D286</f>
        <v>298.00000000000006</v>
      </c>
      <c r="V280" s="466">
        <f>D288</f>
        <v>14.154999999999999</v>
      </c>
      <c r="W280" s="466">
        <f>D289</f>
        <v>2.0694444444444446</v>
      </c>
      <c r="X280" s="58"/>
      <c r="Y280" s="58"/>
      <c r="Z280" s="465">
        <f>D263</f>
        <v>0.3</v>
      </c>
      <c r="AA280" s="467">
        <f>D265</f>
        <v>7</v>
      </c>
      <c r="AB280" s="467">
        <f>D266</f>
        <v>2</v>
      </c>
      <c r="AC280" s="467">
        <f>D267</f>
        <v>1</v>
      </c>
      <c r="AD280" s="467">
        <f>D264</f>
        <v>0.1</v>
      </c>
    </row>
    <row r="281" spans="2:30" outlineLevel="1">
      <c r="B281" s="540" t="s">
        <v>727</v>
      </c>
      <c r="C281" s="559" t="s">
        <v>36</v>
      </c>
      <c r="D281" s="560" t="s">
        <v>36</v>
      </c>
      <c r="E281" s="560" t="s">
        <v>36</v>
      </c>
      <c r="F281" s="561" t="s">
        <v>36</v>
      </c>
      <c r="G281" s="561"/>
      <c r="H281" s="561"/>
      <c r="I281" s="561"/>
      <c r="J281" s="561"/>
      <c r="K281" s="562"/>
      <c r="L281" s="558"/>
      <c r="M281" s="362"/>
      <c r="N281" s="362"/>
      <c r="O281" s="464">
        <f>E252</f>
        <v>103</v>
      </c>
      <c r="P281" s="465">
        <f>E248</f>
        <v>2040</v>
      </c>
      <c r="Q281" s="58"/>
      <c r="R281" s="465">
        <f>O281/100</f>
        <v>1.03</v>
      </c>
      <c r="S281" s="58"/>
      <c r="T281" s="465">
        <f>E256</f>
        <v>25</v>
      </c>
      <c r="U281" s="466">
        <f>E286</f>
        <v>298.00000000000006</v>
      </c>
      <c r="V281" s="466">
        <f>E288</f>
        <v>13.41</v>
      </c>
      <c r="W281" s="466">
        <f>E289</f>
        <v>2.0694444444444446</v>
      </c>
      <c r="X281" s="58"/>
      <c r="Y281" s="58"/>
      <c r="Z281" s="465">
        <f>E263</f>
        <v>0.3</v>
      </c>
      <c r="AA281" s="467">
        <f>E265</f>
        <v>6</v>
      </c>
      <c r="AB281" s="467">
        <f>E266</f>
        <v>2</v>
      </c>
      <c r="AC281" s="467">
        <f>E267</f>
        <v>1</v>
      </c>
      <c r="AD281" s="467">
        <f>E264</f>
        <v>0.1</v>
      </c>
    </row>
    <row r="282" spans="2:30" outlineLevel="1">
      <c r="B282" s="540" t="s">
        <v>728</v>
      </c>
      <c r="C282" s="563">
        <v>90</v>
      </c>
      <c r="D282" s="563">
        <v>90</v>
      </c>
      <c r="E282" s="563">
        <v>90</v>
      </c>
      <c r="F282" s="563">
        <v>90</v>
      </c>
      <c r="G282" s="564"/>
      <c r="H282" s="564"/>
      <c r="I282" s="564"/>
      <c r="J282" s="564"/>
      <c r="K282" s="564"/>
      <c r="L282" s="547">
        <v>3</v>
      </c>
      <c r="M282" s="362"/>
      <c r="N282" s="362"/>
      <c r="O282" s="464">
        <f>F252</f>
        <v>103</v>
      </c>
      <c r="P282" s="465">
        <f>F248</f>
        <v>2050</v>
      </c>
      <c r="Q282" s="58"/>
      <c r="R282" s="465">
        <f>O282/100</f>
        <v>1.03</v>
      </c>
      <c r="S282" s="58"/>
      <c r="T282" s="465">
        <f>F256</f>
        <v>25</v>
      </c>
      <c r="U282" s="466">
        <f>F286</f>
        <v>298.00000000000006</v>
      </c>
      <c r="V282" s="466">
        <f>F288</f>
        <v>12.664999999999999</v>
      </c>
      <c r="W282" s="466">
        <f>F289</f>
        <v>2.0694444444444446</v>
      </c>
      <c r="X282" s="58"/>
      <c r="Y282" s="58"/>
      <c r="Z282" s="465">
        <f>F263</f>
        <v>0.3</v>
      </c>
      <c r="AA282" s="467">
        <f>F265</f>
        <v>6</v>
      </c>
      <c r="AB282" s="467">
        <f>F266</f>
        <v>2</v>
      </c>
      <c r="AC282" s="467">
        <f>F267</f>
        <v>1</v>
      </c>
      <c r="AD282" s="467">
        <f>F264</f>
        <v>0.1</v>
      </c>
    </row>
    <row r="283" spans="2:30" outlineLevel="1">
      <c r="B283" s="565" t="s">
        <v>729</v>
      </c>
      <c r="C283" s="559"/>
      <c r="D283" s="560"/>
      <c r="E283" s="560"/>
      <c r="F283" s="561"/>
      <c r="G283" s="561"/>
      <c r="H283" s="561"/>
      <c r="I283" s="561"/>
      <c r="J283" s="561"/>
      <c r="K283" s="562"/>
      <c r="L283" s="558"/>
      <c r="M283" s="366"/>
      <c r="N283" s="366"/>
    </row>
    <row r="284" spans="2:30" outlineLevel="1">
      <c r="B284" s="565" t="s">
        <v>730</v>
      </c>
      <c r="C284" s="559"/>
      <c r="D284" s="560"/>
      <c r="E284" s="560"/>
      <c r="F284" s="561"/>
      <c r="G284" s="561"/>
      <c r="H284" s="561"/>
      <c r="I284" s="561"/>
      <c r="J284" s="561"/>
      <c r="K284" s="562"/>
      <c r="L284" s="558"/>
      <c r="M284" s="362"/>
      <c r="N284" s="362"/>
    </row>
    <row r="285" spans="2:30" ht="15" outlineLevel="1" thickBot="1">
      <c r="B285" s="566" t="s">
        <v>731</v>
      </c>
      <c r="C285" s="567"/>
      <c r="D285" s="567"/>
      <c r="E285" s="567"/>
      <c r="F285" s="567"/>
      <c r="G285" s="567"/>
      <c r="H285" s="567"/>
      <c r="I285" s="567"/>
      <c r="J285" s="567"/>
      <c r="K285" s="567"/>
      <c r="L285" s="568"/>
      <c r="M285" s="362"/>
      <c r="N285" s="362"/>
    </row>
    <row r="286" spans="2:30" ht="57.6" outlineLevel="1">
      <c r="B286" s="460" t="s">
        <v>732</v>
      </c>
      <c r="C286" s="482">
        <f>C269*$F$4*1000</f>
        <v>357.6</v>
      </c>
      <c r="D286" s="482">
        <f t="shared" ref="D286:F286" si="15">D269*$F$4*1000</f>
        <v>298.00000000000006</v>
      </c>
      <c r="E286" s="482">
        <f t="shared" si="15"/>
        <v>298.00000000000006</v>
      </c>
      <c r="F286" s="482">
        <f t="shared" si="15"/>
        <v>298.00000000000006</v>
      </c>
      <c r="G286" s="482"/>
      <c r="H286" s="483"/>
      <c r="I286" s="419" t="s">
        <v>332</v>
      </c>
      <c r="J286" s="419"/>
      <c r="K286" s="483"/>
      <c r="L286" s="483"/>
      <c r="N286" s="419"/>
    </row>
    <row r="287" spans="2:30" outlineLevel="1">
      <c r="B287" s="484" t="s">
        <v>733</v>
      </c>
      <c r="C287" s="485">
        <f>C286*$I287</f>
        <v>178800</v>
      </c>
      <c r="D287" s="485">
        <f>D286*$I287</f>
        <v>149000.00000000003</v>
      </c>
      <c r="E287" s="485">
        <f>E286*$I287</f>
        <v>149000.00000000003</v>
      </c>
      <c r="F287" s="485">
        <f>F286*$I287</f>
        <v>149000.00000000003</v>
      </c>
      <c r="G287" s="485"/>
      <c r="H287" s="483"/>
      <c r="I287" s="71">
        <v>500</v>
      </c>
      <c r="J287" s="419" t="s">
        <v>330</v>
      </c>
      <c r="K287" s="483"/>
      <c r="L287" s="483"/>
      <c r="N287" s="419"/>
    </row>
    <row r="288" spans="2:30" ht="43.2" outlineLevel="1">
      <c r="B288" s="460" t="s">
        <v>734</v>
      </c>
      <c r="C288" s="358">
        <f>C272*$F$4</f>
        <v>14.9</v>
      </c>
      <c r="D288" s="358">
        <f t="shared" ref="D288:F289" si="16">D272*$F$4</f>
        <v>14.154999999999999</v>
      </c>
      <c r="E288" s="358">
        <f t="shared" si="16"/>
        <v>13.41</v>
      </c>
      <c r="F288" s="358">
        <f t="shared" si="16"/>
        <v>12.664999999999999</v>
      </c>
      <c r="G288" s="358"/>
      <c r="I288" s="419" t="s">
        <v>333</v>
      </c>
      <c r="J288" s="419"/>
      <c r="N288" s="419"/>
    </row>
    <row r="289" spans="1:15" ht="43.2" outlineLevel="1">
      <c r="B289" s="460" t="s">
        <v>735</v>
      </c>
      <c r="C289" s="486">
        <f>C273*$F$4</f>
        <v>2.276388888888889</v>
      </c>
      <c r="D289" s="486">
        <f t="shared" si="16"/>
        <v>2.0694444444444446</v>
      </c>
      <c r="E289" s="486">
        <f t="shared" si="16"/>
        <v>2.0694444444444446</v>
      </c>
      <c r="F289" s="486">
        <f t="shared" si="16"/>
        <v>2.0694444444444446</v>
      </c>
      <c r="G289" s="358"/>
      <c r="M289" s="419"/>
      <c r="N289" s="419"/>
    </row>
    <row r="290" spans="1:15" outlineLevel="1"/>
    <row r="291" spans="1:15" outlineLevel="1">
      <c r="A291" s="487" t="s">
        <v>736</v>
      </c>
      <c r="B291" s="488"/>
      <c r="D291" s="489"/>
      <c r="E291" s="489"/>
      <c r="F291" s="489"/>
      <c r="G291" s="357"/>
      <c r="H291" s="357"/>
      <c r="I291" s="357"/>
      <c r="J291" s="357"/>
      <c r="K291" s="357"/>
      <c r="L291" s="357"/>
    </row>
    <row r="292" spans="1:15" outlineLevel="1">
      <c r="A292" s="490">
        <v>1</v>
      </c>
      <c r="B292" s="491" t="s">
        <v>737</v>
      </c>
      <c r="D292" s="489"/>
      <c r="E292" s="489"/>
      <c r="F292" s="489"/>
      <c r="G292" s="357"/>
      <c r="H292" s="357"/>
      <c r="I292" s="357"/>
      <c r="J292" s="357"/>
      <c r="K292" s="357"/>
      <c r="L292" s="357"/>
    </row>
    <row r="293" spans="1:15" outlineLevel="1">
      <c r="A293" s="490">
        <v>2</v>
      </c>
      <c r="B293" s="492" t="s">
        <v>738</v>
      </c>
      <c r="D293" s="489"/>
      <c r="E293" s="489"/>
      <c r="F293" s="489"/>
      <c r="G293" s="357"/>
      <c r="H293" s="357"/>
      <c r="I293" s="357"/>
      <c r="J293" s="357"/>
      <c r="K293" s="357"/>
      <c r="L293" s="357"/>
    </row>
    <row r="294" spans="1:15" outlineLevel="1">
      <c r="A294" s="490">
        <v>3</v>
      </c>
      <c r="B294" s="492" t="s">
        <v>739</v>
      </c>
      <c r="D294" s="489"/>
      <c r="E294" s="489"/>
      <c r="F294" s="489"/>
      <c r="G294" s="357"/>
      <c r="H294" s="357"/>
      <c r="I294" s="357"/>
      <c r="J294" s="357"/>
      <c r="K294" s="357"/>
      <c r="L294" s="357"/>
    </row>
    <row r="295" spans="1:15" outlineLevel="1">
      <c r="A295" s="490">
        <v>4</v>
      </c>
      <c r="B295" s="492" t="s">
        <v>740</v>
      </c>
      <c r="D295" s="489"/>
      <c r="E295" s="489"/>
      <c r="F295" s="489"/>
      <c r="G295" s="357"/>
      <c r="H295" s="357"/>
      <c r="I295" s="357"/>
      <c r="J295" s="357"/>
      <c r="K295" s="357"/>
      <c r="L295" s="357"/>
    </row>
    <row r="296" spans="1:15" outlineLevel="1">
      <c r="A296" s="357">
        <v>5</v>
      </c>
      <c r="B296" s="493" t="s">
        <v>741</v>
      </c>
      <c r="D296" s="489"/>
      <c r="E296" s="489"/>
      <c r="F296" s="489"/>
      <c r="G296" s="357"/>
      <c r="H296" s="357"/>
      <c r="I296" s="357"/>
      <c r="J296" s="357"/>
      <c r="K296" s="357"/>
      <c r="L296" s="357"/>
      <c r="M296" s="569"/>
      <c r="N296" s="488"/>
      <c r="O296" s="489"/>
    </row>
    <row r="297" spans="1:15" outlineLevel="1">
      <c r="A297" s="357">
        <v>6</v>
      </c>
      <c r="B297" s="491" t="s">
        <v>742</v>
      </c>
      <c r="D297" s="489"/>
      <c r="E297" s="489"/>
      <c r="F297" s="489"/>
      <c r="G297" s="357"/>
      <c r="H297" s="357"/>
      <c r="I297" s="357"/>
      <c r="J297" s="357"/>
      <c r="K297" s="357"/>
      <c r="L297" s="357"/>
      <c r="O297" s="489"/>
    </row>
    <row r="298" spans="1:15" outlineLevel="1">
      <c r="A298" s="357">
        <v>7</v>
      </c>
      <c r="B298" s="494" t="s">
        <v>737</v>
      </c>
      <c r="D298" s="489"/>
      <c r="E298" s="489"/>
      <c r="F298" s="489"/>
      <c r="G298" s="357"/>
      <c r="H298" s="357"/>
      <c r="I298" s="357"/>
      <c r="J298" s="357"/>
      <c r="K298" s="357"/>
      <c r="L298" s="357"/>
      <c r="O298" s="489"/>
    </row>
    <row r="299" spans="1:15" outlineLevel="1">
      <c r="A299" s="357">
        <v>8</v>
      </c>
      <c r="B299" s="494" t="s">
        <v>743</v>
      </c>
      <c r="D299" s="489"/>
      <c r="E299" s="489"/>
      <c r="F299" s="489"/>
      <c r="G299" s="357"/>
      <c r="H299" s="357"/>
      <c r="I299" s="357"/>
      <c r="J299" s="357"/>
      <c r="K299" s="357"/>
      <c r="L299" s="357"/>
      <c r="O299" s="489"/>
    </row>
    <row r="300" spans="1:15" outlineLevel="1">
      <c r="A300" s="357">
        <v>9</v>
      </c>
      <c r="B300" s="488" t="s">
        <v>744</v>
      </c>
      <c r="D300" s="489"/>
      <c r="E300" s="489"/>
      <c r="F300" s="489"/>
      <c r="G300" s="357"/>
      <c r="H300" s="357"/>
      <c r="I300" s="357"/>
      <c r="J300" s="357"/>
      <c r="K300" s="357"/>
      <c r="L300" s="357"/>
      <c r="O300" s="489"/>
    </row>
    <row r="301" spans="1:15" outlineLevel="1">
      <c r="A301" s="357">
        <v>10</v>
      </c>
      <c r="B301" s="489" t="s">
        <v>745</v>
      </c>
      <c r="D301" s="489"/>
      <c r="E301" s="489"/>
      <c r="F301" s="489"/>
      <c r="G301" s="357"/>
      <c r="H301" s="357"/>
      <c r="I301" s="357"/>
      <c r="J301" s="357"/>
      <c r="K301" s="357"/>
      <c r="L301" s="357"/>
      <c r="O301" s="489"/>
    </row>
    <row r="302" spans="1:15" outlineLevel="1">
      <c r="A302" s="487" t="s">
        <v>746</v>
      </c>
      <c r="B302" s="488"/>
      <c r="D302" s="489"/>
      <c r="E302" s="489"/>
      <c r="F302" s="489"/>
      <c r="G302" s="357"/>
      <c r="H302" s="357"/>
      <c r="I302" s="357"/>
      <c r="J302" s="357"/>
      <c r="K302" s="357"/>
      <c r="L302" s="357"/>
      <c r="O302" s="489"/>
    </row>
    <row r="303" spans="1:15" outlineLevel="1">
      <c r="A303" s="495" t="s">
        <v>6</v>
      </c>
      <c r="B303" s="496" t="s">
        <v>747</v>
      </c>
      <c r="D303" s="489"/>
      <c r="E303" s="489"/>
      <c r="F303" s="489"/>
      <c r="G303" s="357"/>
      <c r="H303" s="357"/>
      <c r="I303" s="357"/>
      <c r="J303" s="357"/>
      <c r="K303" s="357"/>
      <c r="L303" s="357"/>
      <c r="M303" s="569"/>
      <c r="N303" s="488"/>
      <c r="O303" s="489"/>
    </row>
    <row r="304" spans="1:15" outlineLevel="1">
      <c r="A304" s="495" t="s">
        <v>59</v>
      </c>
      <c r="B304" s="488" t="s">
        <v>749</v>
      </c>
      <c r="D304" s="489"/>
      <c r="E304" s="489"/>
      <c r="F304" s="489"/>
      <c r="G304" s="357"/>
      <c r="H304" s="357"/>
      <c r="I304" s="357"/>
      <c r="J304" s="357"/>
      <c r="K304" s="357"/>
      <c r="L304" s="357"/>
      <c r="M304" s="570"/>
      <c r="N304" s="488"/>
      <c r="O304" s="489"/>
    </row>
    <row r="305" spans="1:44" outlineLevel="1">
      <c r="A305" s="495" t="s">
        <v>16</v>
      </c>
      <c r="B305" s="488" t="s">
        <v>750</v>
      </c>
      <c r="D305" s="489"/>
      <c r="E305" s="489"/>
      <c r="F305" s="489"/>
      <c r="G305" s="357"/>
      <c r="H305" s="357"/>
      <c r="I305" s="357"/>
      <c r="J305" s="357"/>
      <c r="K305" s="357"/>
      <c r="L305" s="357"/>
      <c r="M305" s="571"/>
      <c r="N305" s="488"/>
      <c r="O305" s="489"/>
    </row>
    <row r="306" spans="1:44" outlineLevel="1">
      <c r="A306" s="495" t="s">
        <v>20</v>
      </c>
      <c r="B306" s="497" t="s">
        <v>751</v>
      </c>
      <c r="D306" s="489"/>
      <c r="E306" s="489"/>
      <c r="F306" s="489"/>
      <c r="G306" s="357"/>
      <c r="H306" s="357"/>
      <c r="I306" s="357"/>
      <c r="J306" s="357"/>
      <c r="K306" s="357"/>
      <c r="L306" s="357"/>
      <c r="M306" s="572"/>
      <c r="N306" s="488"/>
      <c r="O306" s="489"/>
    </row>
    <row r="307" spans="1:44" outlineLevel="1">
      <c r="A307" s="495" t="s">
        <v>76</v>
      </c>
      <c r="B307" s="488" t="s">
        <v>767</v>
      </c>
      <c r="D307" s="489"/>
      <c r="E307" s="489"/>
      <c r="F307" s="489"/>
      <c r="G307" s="357"/>
      <c r="H307" s="357"/>
      <c r="I307" s="357"/>
      <c r="J307" s="357"/>
      <c r="K307" s="357"/>
      <c r="L307" s="357"/>
      <c r="M307" s="572"/>
      <c r="N307" s="489"/>
      <c r="O307" s="489"/>
    </row>
    <row r="308" spans="1:44" outlineLevel="1">
      <c r="A308" s="495" t="s">
        <v>25</v>
      </c>
      <c r="B308" s="488" t="s">
        <v>752</v>
      </c>
      <c r="D308" s="489"/>
      <c r="E308" s="489"/>
      <c r="F308" s="489"/>
      <c r="G308" s="357"/>
      <c r="H308" s="357"/>
      <c r="I308" s="357"/>
      <c r="J308" s="357"/>
      <c r="K308" s="357"/>
      <c r="L308" s="357"/>
      <c r="M308" s="488"/>
      <c r="N308" s="489"/>
      <c r="O308" s="489"/>
    </row>
    <row r="309" spans="1:44" outlineLevel="1"/>
    <row r="312" spans="1:44" ht="15" thickBot="1">
      <c r="A312" s="359" t="s">
        <v>770</v>
      </c>
      <c r="P312" s="691">
        <v>1</v>
      </c>
      <c r="Q312" s="691">
        <v>2</v>
      </c>
      <c r="R312" s="691">
        <v>3</v>
      </c>
      <c r="S312" s="691">
        <v>4</v>
      </c>
      <c r="T312" s="691">
        <v>5</v>
      </c>
      <c r="U312" s="691">
        <v>6</v>
      </c>
      <c r="V312" s="691">
        <v>7</v>
      </c>
      <c r="W312" s="691">
        <v>8</v>
      </c>
      <c r="X312" s="691">
        <v>9</v>
      </c>
      <c r="Y312" s="691">
        <v>10</v>
      </c>
      <c r="Z312" s="691">
        <v>11</v>
      </c>
      <c r="AA312" s="691">
        <v>12</v>
      </c>
      <c r="AB312" s="691">
        <v>13</v>
      </c>
      <c r="AC312" s="691">
        <v>14</v>
      </c>
    </row>
    <row r="313" spans="1:44" ht="20.55" customHeight="1" thickBot="1">
      <c r="B313" s="361" t="s">
        <v>0</v>
      </c>
      <c r="C313" s="1183" t="s">
        <v>771</v>
      </c>
      <c r="D313" s="1184"/>
      <c r="E313" s="1184"/>
      <c r="F313" s="1184"/>
      <c r="G313" s="1184"/>
      <c r="H313" s="1184"/>
      <c r="I313" s="1184"/>
      <c r="J313" s="1184"/>
      <c r="K313" s="1184"/>
      <c r="L313" s="1185"/>
      <c r="M313" s="362"/>
      <c r="N313" s="362"/>
      <c r="P313" s="363" t="s">
        <v>676</v>
      </c>
      <c r="Q313" s="364"/>
      <c r="R313" s="365"/>
      <c r="S313" s="1173" t="s">
        <v>677</v>
      </c>
      <c r="T313" s="1157" t="s">
        <v>678</v>
      </c>
      <c r="U313" s="1158"/>
      <c r="V313" s="1157" t="s">
        <v>679</v>
      </c>
      <c r="W313" s="1158"/>
      <c r="X313" s="1157" t="s">
        <v>680</v>
      </c>
      <c r="Y313" s="1158"/>
      <c r="Z313" s="1157" t="s">
        <v>681</v>
      </c>
      <c r="AA313" s="1158"/>
      <c r="AB313" s="1157" t="s">
        <v>682</v>
      </c>
      <c r="AC313" s="1158"/>
      <c r="AE313" s="363" t="s">
        <v>683</v>
      </c>
      <c r="AF313" s="364"/>
      <c r="AG313" s="365"/>
      <c r="AH313" s="1173" t="s">
        <v>677</v>
      </c>
      <c r="AI313" s="1157" t="s">
        <v>678</v>
      </c>
      <c r="AJ313" s="1158"/>
      <c r="AK313" s="1157" t="s">
        <v>679</v>
      </c>
      <c r="AL313" s="1158"/>
      <c r="AM313" s="1157" t="s">
        <v>680</v>
      </c>
      <c r="AN313" s="1158"/>
      <c r="AO313" s="1157" t="s">
        <v>681</v>
      </c>
      <c r="AP313" s="1158"/>
      <c r="AQ313" s="1157" t="s">
        <v>682</v>
      </c>
      <c r="AR313" s="1158"/>
    </row>
    <row r="314" spans="1:44" ht="15" customHeight="1" thickBot="1">
      <c r="B314" s="1161" t="s">
        <v>4</v>
      </c>
      <c r="C314" s="1163">
        <v>2020</v>
      </c>
      <c r="D314" s="1163">
        <v>2030</v>
      </c>
      <c r="E314" s="1163">
        <v>2040</v>
      </c>
      <c r="F314" s="1163">
        <v>2050</v>
      </c>
      <c r="G314" s="1165" t="s">
        <v>684</v>
      </c>
      <c r="H314" s="1166"/>
      <c r="I314" s="1165" t="s">
        <v>628</v>
      </c>
      <c r="J314" s="1166"/>
      <c r="K314" s="1186" t="s">
        <v>2</v>
      </c>
      <c r="L314" s="1186" t="s">
        <v>3</v>
      </c>
      <c r="M314" s="366"/>
      <c r="N314" s="366"/>
      <c r="P314" s="1177" t="s">
        <v>0</v>
      </c>
      <c r="Q314" s="367"/>
      <c r="R314" s="367"/>
      <c r="S314" s="1174"/>
      <c r="T314" s="1159"/>
      <c r="U314" s="1160"/>
      <c r="V314" s="1159"/>
      <c r="W314" s="1160"/>
      <c r="X314" s="1159"/>
      <c r="Y314" s="1160"/>
      <c r="Z314" s="1159"/>
      <c r="AA314" s="1160"/>
      <c r="AB314" s="1159"/>
      <c r="AC314" s="1160"/>
      <c r="AE314" s="1177" t="s">
        <v>0</v>
      </c>
      <c r="AF314" s="367"/>
      <c r="AG314" s="367"/>
      <c r="AH314" s="1174"/>
      <c r="AI314" s="1159"/>
      <c r="AJ314" s="1160"/>
      <c r="AK314" s="1159"/>
      <c r="AL314" s="1160"/>
      <c r="AM314" s="1159"/>
      <c r="AN314" s="1160"/>
      <c r="AO314" s="1159"/>
      <c r="AP314" s="1160"/>
      <c r="AQ314" s="1159"/>
      <c r="AR314" s="1160"/>
    </row>
    <row r="315" spans="1:44" ht="15" customHeight="1" thickBot="1">
      <c r="B315" s="1162"/>
      <c r="C315" s="1164"/>
      <c r="D315" s="1164"/>
      <c r="E315" s="1164"/>
      <c r="F315" s="1164"/>
      <c r="G315" s="405" t="s">
        <v>629</v>
      </c>
      <c r="H315" s="405" t="s">
        <v>630</v>
      </c>
      <c r="I315" s="405" t="s">
        <v>629</v>
      </c>
      <c r="J315" s="405" t="s">
        <v>630</v>
      </c>
      <c r="K315" s="1187"/>
      <c r="L315" s="1187"/>
      <c r="M315" s="369"/>
      <c r="N315" s="369"/>
      <c r="P315" s="1178"/>
      <c r="Q315" s="1180" t="s">
        <v>685</v>
      </c>
      <c r="R315" s="1181" t="s">
        <v>686</v>
      </c>
      <c r="S315" s="1175"/>
      <c r="T315" s="1159"/>
      <c r="U315" s="1160"/>
      <c r="V315" s="1159"/>
      <c r="W315" s="1160"/>
      <c r="X315" s="1159"/>
      <c r="Y315" s="1160"/>
      <c r="Z315" s="1159"/>
      <c r="AA315" s="1160"/>
      <c r="AB315" s="1159"/>
      <c r="AC315" s="1160"/>
      <c r="AE315" s="1178"/>
      <c r="AF315" s="1180" t="s">
        <v>685</v>
      </c>
      <c r="AG315" s="1181" t="s">
        <v>686</v>
      </c>
      <c r="AH315" s="1175"/>
      <c r="AI315" s="1159"/>
      <c r="AJ315" s="1160"/>
      <c r="AK315" s="1159"/>
      <c r="AL315" s="1160"/>
      <c r="AM315" s="1159"/>
      <c r="AN315" s="1160"/>
      <c r="AO315" s="1159"/>
      <c r="AP315" s="1160"/>
      <c r="AQ315" s="1159"/>
      <c r="AR315" s="1160"/>
    </row>
    <row r="316" spans="1:44" ht="29.4" thickBot="1">
      <c r="B316" s="370" t="s">
        <v>631</v>
      </c>
      <c r="C316" s="371">
        <v>2.5</v>
      </c>
      <c r="D316" s="371">
        <v>2.5</v>
      </c>
      <c r="E316" s="371">
        <v>2.5</v>
      </c>
      <c r="F316" s="371">
        <v>2.5</v>
      </c>
      <c r="G316" s="371">
        <v>1</v>
      </c>
      <c r="H316" s="371">
        <v>10</v>
      </c>
      <c r="I316" s="371">
        <v>1</v>
      </c>
      <c r="J316" s="371">
        <v>10</v>
      </c>
      <c r="K316" s="371"/>
      <c r="L316" s="372">
        <v>2</v>
      </c>
      <c r="M316" s="369"/>
      <c r="N316" s="369"/>
      <c r="O316" s="74"/>
      <c r="P316" s="1179"/>
      <c r="Q316" s="1176"/>
      <c r="R316" s="1182"/>
      <c r="S316" s="1176"/>
      <c r="T316" s="373" t="s">
        <v>689</v>
      </c>
      <c r="U316" s="374" t="s">
        <v>690</v>
      </c>
      <c r="V316" s="373" t="s">
        <v>689</v>
      </c>
      <c r="W316" s="374" t="s">
        <v>690</v>
      </c>
      <c r="X316" s="373" t="s">
        <v>689</v>
      </c>
      <c r="Y316" s="374" t="s">
        <v>690</v>
      </c>
      <c r="Z316" s="373" t="s">
        <v>689</v>
      </c>
      <c r="AA316" s="374" t="s">
        <v>690</v>
      </c>
      <c r="AB316" s="373" t="s">
        <v>689</v>
      </c>
      <c r="AC316" s="374" t="s">
        <v>690</v>
      </c>
      <c r="AE316" s="1179"/>
      <c r="AF316" s="1176"/>
      <c r="AG316" s="1182"/>
      <c r="AH316" s="1176"/>
      <c r="AI316" s="373" t="s">
        <v>689</v>
      </c>
      <c r="AJ316" s="374" t="s">
        <v>690</v>
      </c>
      <c r="AK316" s="373" t="s">
        <v>689</v>
      </c>
      <c r="AL316" s="374" t="s">
        <v>690</v>
      </c>
      <c r="AM316" s="373" t="s">
        <v>689</v>
      </c>
      <c r="AN316" s="374" t="s">
        <v>690</v>
      </c>
      <c r="AO316" s="373" t="s">
        <v>689</v>
      </c>
      <c r="AP316" s="374" t="s">
        <v>690</v>
      </c>
      <c r="AQ316" s="373" t="s">
        <v>689</v>
      </c>
      <c r="AR316" s="374" t="s">
        <v>690</v>
      </c>
    </row>
    <row r="317" spans="1:44" ht="14.55" customHeight="1">
      <c r="B317" s="573" t="s">
        <v>691</v>
      </c>
      <c r="C317" s="574">
        <v>100</v>
      </c>
      <c r="D317" s="574">
        <v>100</v>
      </c>
      <c r="E317" s="574">
        <v>100</v>
      </c>
      <c r="F317" s="574">
        <v>100</v>
      </c>
      <c r="G317" s="575">
        <v>100</v>
      </c>
      <c r="H317" s="575">
        <v>100</v>
      </c>
      <c r="I317" s="575">
        <v>100</v>
      </c>
      <c r="J317" s="575">
        <v>100</v>
      </c>
      <c r="K317" s="371" t="s">
        <v>6</v>
      </c>
      <c r="L317" s="372">
        <v>2</v>
      </c>
      <c r="M317" s="369"/>
      <c r="N317" s="369"/>
      <c r="P317" s="1145" t="str">
        <f>C313</f>
        <v>Direct Firing, Natural Gas</v>
      </c>
      <c r="Q317" s="1151" t="s">
        <v>693</v>
      </c>
      <c r="R317" s="380" t="s">
        <v>694</v>
      </c>
      <c r="S317" s="381" t="s">
        <v>701</v>
      </c>
      <c r="T317" s="1134">
        <v>1</v>
      </c>
      <c r="U317" s="1148">
        <v>0</v>
      </c>
      <c r="V317" s="1134">
        <v>1</v>
      </c>
      <c r="W317" s="1148">
        <v>0</v>
      </c>
      <c r="X317" s="1134">
        <v>1</v>
      </c>
      <c r="Y317" s="1148">
        <v>0</v>
      </c>
      <c r="Z317" s="1134">
        <v>0.2</v>
      </c>
      <c r="AA317" s="1148">
        <v>0</v>
      </c>
      <c r="AB317" s="1154">
        <v>1</v>
      </c>
      <c r="AC317" s="1148">
        <v>0</v>
      </c>
      <c r="AE317" s="1145" t="str">
        <f>P317</f>
        <v>Direct Firing, Natural Gas</v>
      </c>
      <c r="AF317" s="1151" t="s">
        <v>693</v>
      </c>
      <c r="AG317" s="380" t="s">
        <v>694</v>
      </c>
      <c r="AH317" s="381" t="str">
        <f>S317</f>
        <v>x</v>
      </c>
      <c r="AI317" s="1134">
        <v>0.75</v>
      </c>
      <c r="AJ317" s="1148">
        <v>0</v>
      </c>
      <c r="AK317" s="1134">
        <v>0.75</v>
      </c>
      <c r="AL317" s="1148">
        <v>0</v>
      </c>
      <c r="AM317" s="1134">
        <v>0.4</v>
      </c>
      <c r="AN317" s="1148">
        <v>0</v>
      </c>
      <c r="AO317" s="1134">
        <v>0.2</v>
      </c>
      <c r="AP317" s="1148">
        <v>0</v>
      </c>
      <c r="AQ317" s="1154">
        <v>0.1</v>
      </c>
      <c r="AR317" s="1148">
        <v>0</v>
      </c>
    </row>
    <row r="318" spans="1:44">
      <c r="B318" s="382" t="s">
        <v>695</v>
      </c>
      <c r="C318" s="576">
        <v>100</v>
      </c>
      <c r="D318" s="576">
        <v>100</v>
      </c>
      <c r="E318" s="576">
        <v>100</v>
      </c>
      <c r="F318" s="576">
        <v>100</v>
      </c>
      <c r="G318" s="575">
        <v>100</v>
      </c>
      <c r="H318" s="575">
        <v>100</v>
      </c>
      <c r="I318" s="575">
        <v>100</v>
      </c>
      <c r="J318" s="575">
        <v>100</v>
      </c>
      <c r="K318" s="371" t="s">
        <v>6</v>
      </c>
      <c r="L318" s="372">
        <v>2</v>
      </c>
      <c r="M318" s="369"/>
      <c r="N318" s="369"/>
      <c r="O318" s="71"/>
      <c r="P318" s="1146"/>
      <c r="Q318" s="1152"/>
      <c r="R318" s="387" t="s">
        <v>696</v>
      </c>
      <c r="S318" s="388" t="s">
        <v>701</v>
      </c>
      <c r="T318" s="1137"/>
      <c r="U318" s="1149"/>
      <c r="V318" s="1137"/>
      <c r="W318" s="1149"/>
      <c r="X318" s="1137"/>
      <c r="Y318" s="1149"/>
      <c r="Z318" s="1137"/>
      <c r="AA318" s="1149"/>
      <c r="AB318" s="1155"/>
      <c r="AC318" s="1149"/>
      <c r="AE318" s="1146"/>
      <c r="AF318" s="1152"/>
      <c r="AG318" s="387" t="s">
        <v>696</v>
      </c>
      <c r="AH318" s="388" t="s">
        <v>701</v>
      </c>
      <c r="AI318" s="1137"/>
      <c r="AJ318" s="1149"/>
      <c r="AK318" s="1137"/>
      <c r="AL318" s="1149"/>
      <c r="AM318" s="1137"/>
      <c r="AN318" s="1149"/>
      <c r="AO318" s="1137"/>
      <c r="AP318" s="1149"/>
      <c r="AQ318" s="1155"/>
      <c r="AR318" s="1149"/>
    </row>
    <row r="319" spans="1:44" ht="15" thickBot="1">
      <c r="B319" s="573" t="s">
        <v>697</v>
      </c>
      <c r="C319" s="577">
        <v>0.25</v>
      </c>
      <c r="D319" s="577">
        <v>0.25</v>
      </c>
      <c r="E319" s="577">
        <v>0.25</v>
      </c>
      <c r="F319" s="577">
        <v>0.25</v>
      </c>
      <c r="G319" s="577">
        <v>0.1</v>
      </c>
      <c r="H319" s="577">
        <v>1</v>
      </c>
      <c r="I319" s="577">
        <v>0.1</v>
      </c>
      <c r="J319" s="577">
        <v>1</v>
      </c>
      <c r="K319" s="578"/>
      <c r="L319" s="579" t="s">
        <v>772</v>
      </c>
      <c r="M319" s="369"/>
      <c r="N319" s="369"/>
      <c r="O319" s="71"/>
      <c r="P319" s="1146"/>
      <c r="Q319" s="1153"/>
      <c r="R319" s="392" t="s">
        <v>698</v>
      </c>
      <c r="S319" s="393" t="s">
        <v>701</v>
      </c>
      <c r="T319" s="1138"/>
      <c r="U319" s="1150"/>
      <c r="V319" s="1138"/>
      <c r="W319" s="1150"/>
      <c r="X319" s="1138"/>
      <c r="Y319" s="1150"/>
      <c r="Z319" s="1138"/>
      <c r="AA319" s="1150"/>
      <c r="AB319" s="1156"/>
      <c r="AC319" s="1150"/>
      <c r="AE319" s="1146"/>
      <c r="AF319" s="1153"/>
      <c r="AG319" s="392" t="s">
        <v>698</v>
      </c>
      <c r="AH319" s="393" t="s">
        <v>701</v>
      </c>
      <c r="AI319" s="1138"/>
      <c r="AJ319" s="1150"/>
      <c r="AK319" s="1138"/>
      <c r="AL319" s="1150"/>
      <c r="AM319" s="1138"/>
      <c r="AN319" s="1150"/>
      <c r="AO319" s="1138"/>
      <c r="AP319" s="1150"/>
      <c r="AQ319" s="1156"/>
      <c r="AR319" s="1150"/>
    </row>
    <row r="320" spans="1:44" ht="14.55" customHeight="1">
      <c r="B320" s="573" t="s">
        <v>637</v>
      </c>
      <c r="C320" s="580">
        <v>0.25</v>
      </c>
      <c r="D320" s="580">
        <v>0.25</v>
      </c>
      <c r="E320" s="580">
        <v>0.25</v>
      </c>
      <c r="F320" s="580">
        <v>0.25</v>
      </c>
      <c r="G320" s="580">
        <v>0</v>
      </c>
      <c r="H320" s="580">
        <v>0.5</v>
      </c>
      <c r="I320" s="580">
        <v>0</v>
      </c>
      <c r="J320" s="580">
        <v>0.5</v>
      </c>
      <c r="K320" s="578"/>
      <c r="L320" s="579">
        <v>2</v>
      </c>
      <c r="M320" s="369"/>
      <c r="N320" s="369"/>
      <c r="O320" s="71"/>
      <c r="P320" s="1146"/>
      <c r="Q320" s="1142" t="s">
        <v>699</v>
      </c>
      <c r="R320" s="394" t="s">
        <v>700</v>
      </c>
      <c r="S320" s="395" t="s">
        <v>701</v>
      </c>
      <c r="T320" s="1134">
        <v>1</v>
      </c>
      <c r="U320" s="1134">
        <v>0</v>
      </c>
      <c r="V320" s="1134">
        <v>1</v>
      </c>
      <c r="W320" s="1134">
        <v>0</v>
      </c>
      <c r="X320" s="1134">
        <v>1</v>
      </c>
      <c r="Y320" s="1134">
        <v>0</v>
      </c>
      <c r="Z320" s="1134">
        <v>1</v>
      </c>
      <c r="AA320" s="1134">
        <v>0</v>
      </c>
      <c r="AB320" s="1134">
        <v>0</v>
      </c>
      <c r="AC320" s="1134">
        <v>0</v>
      </c>
      <c r="AE320" s="1146"/>
      <c r="AF320" s="1142" t="s">
        <v>699</v>
      </c>
      <c r="AG320" s="394" t="s">
        <v>700</v>
      </c>
      <c r="AH320" s="395" t="s">
        <v>701</v>
      </c>
      <c r="AI320" s="1134">
        <v>0.75</v>
      </c>
      <c r="AJ320" s="1134">
        <v>0</v>
      </c>
      <c r="AK320" s="1134">
        <v>0.75</v>
      </c>
      <c r="AL320" s="1134">
        <v>0</v>
      </c>
      <c r="AM320" s="1134">
        <v>0.3</v>
      </c>
      <c r="AN320" s="1134">
        <v>0</v>
      </c>
      <c r="AO320" s="1134">
        <v>0.75</v>
      </c>
      <c r="AP320" s="1134">
        <v>0</v>
      </c>
      <c r="AQ320" s="1134">
        <v>0</v>
      </c>
      <c r="AR320" s="1134">
        <v>0</v>
      </c>
    </row>
    <row r="321" spans="1:44">
      <c r="B321" s="573" t="s">
        <v>638</v>
      </c>
      <c r="C321" s="581">
        <v>0.5</v>
      </c>
      <c r="D321" s="581">
        <v>0.5</v>
      </c>
      <c r="E321" s="581">
        <v>0.5</v>
      </c>
      <c r="F321" s="581">
        <v>0.5</v>
      </c>
      <c r="G321" s="581">
        <v>0</v>
      </c>
      <c r="H321" s="581">
        <v>1</v>
      </c>
      <c r="I321" s="581">
        <v>0</v>
      </c>
      <c r="J321" s="581">
        <v>1</v>
      </c>
      <c r="K321" s="578"/>
      <c r="L321" s="579">
        <v>2</v>
      </c>
      <c r="M321" s="366"/>
      <c r="N321" s="366"/>
      <c r="O321" s="71"/>
      <c r="P321" s="1146"/>
      <c r="Q321" s="1143"/>
      <c r="R321" s="394" t="s">
        <v>702</v>
      </c>
      <c r="S321" s="395" t="s">
        <v>701</v>
      </c>
      <c r="T321" s="1135"/>
      <c r="U321" s="1135"/>
      <c r="V321" s="1135"/>
      <c r="W321" s="1135"/>
      <c r="X321" s="1135"/>
      <c r="Y321" s="1135"/>
      <c r="Z321" s="1135"/>
      <c r="AA321" s="1135"/>
      <c r="AB321" s="1137"/>
      <c r="AC321" s="1135"/>
      <c r="AE321" s="1146"/>
      <c r="AF321" s="1143"/>
      <c r="AG321" s="394" t="s">
        <v>702</v>
      </c>
      <c r="AH321" s="395" t="s">
        <v>701</v>
      </c>
      <c r="AI321" s="1135"/>
      <c r="AJ321" s="1135"/>
      <c r="AK321" s="1135"/>
      <c r="AL321" s="1135"/>
      <c r="AM321" s="1135"/>
      <c r="AN321" s="1135"/>
      <c r="AO321" s="1135"/>
      <c r="AP321" s="1135"/>
      <c r="AQ321" s="1137"/>
      <c r="AR321" s="1135"/>
    </row>
    <row r="322" spans="1:44">
      <c r="B322" s="382" t="s">
        <v>11</v>
      </c>
      <c r="C322" s="396">
        <v>15</v>
      </c>
      <c r="D322" s="396">
        <v>15</v>
      </c>
      <c r="E322" s="396">
        <v>15</v>
      </c>
      <c r="F322" s="396">
        <v>15</v>
      </c>
      <c r="G322" s="397">
        <v>10</v>
      </c>
      <c r="H322" s="397">
        <v>20</v>
      </c>
      <c r="I322" s="397">
        <v>10</v>
      </c>
      <c r="J322" s="397">
        <v>20</v>
      </c>
      <c r="K322" s="371"/>
      <c r="L322" s="372">
        <v>4</v>
      </c>
      <c r="M322" s="362"/>
      <c r="N322" s="362"/>
      <c r="P322" s="1146"/>
      <c r="Q322" s="1143"/>
      <c r="R322" s="394" t="s">
        <v>704</v>
      </c>
      <c r="S322" s="395"/>
      <c r="T322" s="1135"/>
      <c r="U322" s="1135"/>
      <c r="V322" s="1135"/>
      <c r="W322" s="1135"/>
      <c r="X322" s="1135"/>
      <c r="Y322" s="1135"/>
      <c r="Z322" s="1135"/>
      <c r="AA322" s="1135"/>
      <c r="AB322" s="1137"/>
      <c r="AC322" s="1135"/>
      <c r="AE322" s="1146"/>
      <c r="AF322" s="1143"/>
      <c r="AG322" s="394" t="s">
        <v>704</v>
      </c>
      <c r="AH322" s="395"/>
      <c r="AI322" s="1135"/>
      <c r="AJ322" s="1135"/>
      <c r="AK322" s="1135"/>
      <c r="AL322" s="1135"/>
      <c r="AM322" s="1135"/>
      <c r="AN322" s="1135"/>
      <c r="AO322" s="1135"/>
      <c r="AP322" s="1135"/>
      <c r="AQ322" s="1137"/>
      <c r="AR322" s="1135"/>
    </row>
    <row r="323" spans="1:44" ht="15" thickBot="1">
      <c r="B323" s="573" t="s">
        <v>273</v>
      </c>
      <c r="C323" s="581">
        <v>0.01</v>
      </c>
      <c r="D323" s="581">
        <v>0.01</v>
      </c>
      <c r="E323" s="581">
        <v>0.01</v>
      </c>
      <c r="F323" s="581">
        <v>0.01</v>
      </c>
      <c r="G323" s="581">
        <v>0.01</v>
      </c>
      <c r="H323" s="581">
        <v>0.04</v>
      </c>
      <c r="I323" s="581">
        <v>0.01</v>
      </c>
      <c r="J323" s="581">
        <v>0.04</v>
      </c>
      <c r="K323" s="371"/>
      <c r="L323" s="372">
        <v>2</v>
      </c>
      <c r="M323" s="362"/>
      <c r="N323" s="362"/>
      <c r="P323" s="1146"/>
      <c r="Q323" s="1143"/>
      <c r="R323" s="394" t="s">
        <v>705</v>
      </c>
      <c r="S323" s="395"/>
      <c r="T323" s="1135"/>
      <c r="U323" s="1135"/>
      <c r="V323" s="1135"/>
      <c r="W323" s="1135"/>
      <c r="X323" s="1135"/>
      <c r="Y323" s="1135"/>
      <c r="Z323" s="1135"/>
      <c r="AA323" s="1135"/>
      <c r="AB323" s="1137"/>
      <c r="AC323" s="1135"/>
      <c r="AE323" s="1146"/>
      <c r="AF323" s="1143"/>
      <c r="AG323" s="394" t="s">
        <v>705</v>
      </c>
      <c r="AH323" s="395"/>
      <c r="AI323" s="1135"/>
      <c r="AJ323" s="1135"/>
      <c r="AK323" s="1135"/>
      <c r="AL323" s="1135"/>
      <c r="AM323" s="1135"/>
      <c r="AN323" s="1135"/>
      <c r="AO323" s="1135"/>
      <c r="AP323" s="1135"/>
      <c r="AQ323" s="1137"/>
      <c r="AR323" s="1135"/>
    </row>
    <row r="324" spans="1:44" ht="15" thickBot="1">
      <c r="B324" s="400" t="s">
        <v>706</v>
      </c>
      <c r="C324" s="582"/>
      <c r="D324" s="583"/>
      <c r="E324" s="584"/>
      <c r="F324" s="585"/>
      <c r="G324" s="405"/>
      <c r="H324" s="405"/>
      <c r="I324" s="405"/>
      <c r="J324" s="405"/>
      <c r="K324" s="406"/>
      <c r="L324" s="586"/>
      <c r="M324" s="362"/>
      <c r="N324" s="362"/>
      <c r="P324" s="1146"/>
      <c r="Q324" s="1144"/>
      <c r="R324" s="408" t="s">
        <v>707</v>
      </c>
      <c r="S324" s="409" t="s">
        <v>701</v>
      </c>
      <c r="T324" s="1136"/>
      <c r="U324" s="1136"/>
      <c r="V324" s="1136"/>
      <c r="W324" s="1136"/>
      <c r="X324" s="1136"/>
      <c r="Y324" s="1136"/>
      <c r="Z324" s="1136"/>
      <c r="AA324" s="1136"/>
      <c r="AB324" s="1138"/>
      <c r="AC324" s="1136"/>
      <c r="AE324" s="1146"/>
      <c r="AF324" s="1144"/>
      <c r="AG324" s="408" t="s">
        <v>707</v>
      </c>
      <c r="AH324" s="409" t="s">
        <v>701</v>
      </c>
      <c r="AI324" s="1136"/>
      <c r="AJ324" s="1136"/>
      <c r="AK324" s="1136"/>
      <c r="AL324" s="1136"/>
      <c r="AM324" s="1136"/>
      <c r="AN324" s="1136"/>
      <c r="AO324" s="1136"/>
      <c r="AP324" s="1136"/>
      <c r="AQ324" s="1138"/>
      <c r="AR324" s="1136"/>
    </row>
    <row r="325" spans="1:44" ht="29.4" thickBot="1">
      <c r="B325" s="573" t="s">
        <v>643</v>
      </c>
      <c r="C325" s="587">
        <v>10</v>
      </c>
      <c r="D325" s="587">
        <v>10</v>
      </c>
      <c r="E325" s="587">
        <v>10</v>
      </c>
      <c r="F325" s="587">
        <v>10</v>
      </c>
      <c r="G325" s="588"/>
      <c r="H325" s="588"/>
      <c r="I325" s="589"/>
      <c r="J325" s="589"/>
      <c r="K325" s="578"/>
      <c r="L325" s="579">
        <v>6</v>
      </c>
      <c r="M325" s="362"/>
      <c r="N325" s="362"/>
      <c r="P325" s="1147"/>
      <c r="Q325" s="410" t="s">
        <v>708</v>
      </c>
      <c r="R325" s="411" t="s">
        <v>709</v>
      </c>
      <c r="S325" s="412"/>
      <c r="T325" s="590">
        <v>0</v>
      </c>
      <c r="U325" s="591">
        <v>0</v>
      </c>
      <c r="V325" s="592">
        <v>0</v>
      </c>
      <c r="W325" s="591">
        <v>0</v>
      </c>
      <c r="X325" s="592">
        <v>0</v>
      </c>
      <c r="Y325" s="591">
        <v>0</v>
      </c>
      <c r="Z325" s="592">
        <v>0</v>
      </c>
      <c r="AA325" s="591">
        <v>0</v>
      </c>
      <c r="AB325" s="592">
        <v>0</v>
      </c>
      <c r="AC325" s="593">
        <v>0</v>
      </c>
      <c r="AE325" s="1147"/>
      <c r="AF325" s="410" t="s">
        <v>708</v>
      </c>
      <c r="AG325" s="411" t="s">
        <v>709</v>
      </c>
      <c r="AH325" s="412"/>
      <c r="AI325" s="590">
        <v>0</v>
      </c>
      <c r="AJ325" s="591">
        <v>0</v>
      </c>
      <c r="AK325" s="592">
        <v>0</v>
      </c>
      <c r="AL325" s="591">
        <v>0</v>
      </c>
      <c r="AM325" s="592">
        <v>0</v>
      </c>
      <c r="AN325" s="591">
        <v>0</v>
      </c>
      <c r="AO325" s="592">
        <v>0</v>
      </c>
      <c r="AP325" s="591">
        <v>0</v>
      </c>
      <c r="AQ325" s="592">
        <v>0</v>
      </c>
      <c r="AR325" s="593">
        <v>0</v>
      </c>
    </row>
    <row r="326" spans="1:44">
      <c r="B326" s="573" t="s">
        <v>644</v>
      </c>
      <c r="C326" s="581">
        <v>0.01</v>
      </c>
      <c r="D326" s="581">
        <v>0.01</v>
      </c>
      <c r="E326" s="581">
        <v>0.01</v>
      </c>
      <c r="F326" s="581">
        <v>0.01</v>
      </c>
      <c r="G326" s="594"/>
      <c r="H326" s="594"/>
      <c r="I326" s="594"/>
      <c r="J326" s="594"/>
      <c r="K326" s="595"/>
      <c r="L326" s="579">
        <v>2</v>
      </c>
      <c r="M326" s="362"/>
      <c r="N326" s="362"/>
    </row>
    <row r="327" spans="1:44">
      <c r="B327" s="573" t="s">
        <v>646</v>
      </c>
      <c r="C327" s="581">
        <v>0.01</v>
      </c>
      <c r="D327" s="581">
        <v>0.01</v>
      </c>
      <c r="E327" s="581">
        <v>0.01</v>
      </c>
      <c r="F327" s="581">
        <v>0.01</v>
      </c>
      <c r="G327" s="594"/>
      <c r="H327" s="594"/>
      <c r="I327" s="594"/>
      <c r="J327" s="594"/>
      <c r="K327" s="595"/>
      <c r="L327" s="579">
        <v>2</v>
      </c>
      <c r="M327" s="419"/>
      <c r="N327" s="362"/>
    </row>
    <row r="328" spans="1:44">
      <c r="B328" s="420" t="s">
        <v>12</v>
      </c>
      <c r="C328" s="398"/>
      <c r="D328" s="398"/>
      <c r="E328" s="398"/>
      <c r="F328" s="398"/>
      <c r="G328" s="421"/>
      <c r="H328" s="421"/>
      <c r="I328" s="421"/>
      <c r="J328" s="421"/>
      <c r="K328" s="422"/>
      <c r="L328" s="596"/>
      <c r="M328" s="419"/>
      <c r="N328" s="419"/>
    </row>
    <row r="329" spans="1:44" ht="15.6">
      <c r="B329" s="382" t="s">
        <v>710</v>
      </c>
      <c r="C329" s="396">
        <v>0.3</v>
      </c>
      <c r="D329" s="396">
        <v>0.3</v>
      </c>
      <c r="E329" s="396">
        <v>0.3</v>
      </c>
      <c r="F329" s="396">
        <v>0.3</v>
      </c>
      <c r="G329" s="421"/>
      <c r="H329" s="424"/>
      <c r="I329" s="424"/>
      <c r="J329" s="424"/>
      <c r="K329" s="425"/>
      <c r="L329" s="426">
        <v>1</v>
      </c>
      <c r="M329" s="427"/>
      <c r="N329" s="427"/>
    </row>
    <row r="330" spans="1:44">
      <c r="B330" s="382" t="s">
        <v>712</v>
      </c>
      <c r="C330" s="396">
        <v>0.1</v>
      </c>
      <c r="D330" s="396">
        <v>0.1</v>
      </c>
      <c r="E330" s="396">
        <v>0.1</v>
      </c>
      <c r="F330" s="396">
        <v>0.1</v>
      </c>
      <c r="G330" s="424"/>
      <c r="H330" s="424"/>
      <c r="I330" s="424"/>
      <c r="J330" s="424"/>
      <c r="K330" s="422"/>
      <c r="L330" s="426">
        <v>1</v>
      </c>
      <c r="M330" s="427"/>
      <c r="N330" s="427"/>
    </row>
    <row r="331" spans="1:44" ht="15.6">
      <c r="B331" s="382" t="s">
        <v>713</v>
      </c>
      <c r="C331" s="396">
        <v>9</v>
      </c>
      <c r="D331" s="396">
        <v>7</v>
      </c>
      <c r="E331" s="396">
        <v>6</v>
      </c>
      <c r="F331" s="396">
        <v>6</v>
      </c>
      <c r="G331" s="424"/>
      <c r="H331" s="424"/>
      <c r="I331" s="424"/>
      <c r="J331" s="424"/>
      <c r="K331" s="422"/>
      <c r="L331" s="426">
        <v>1</v>
      </c>
      <c r="M331" s="427"/>
      <c r="N331" s="427"/>
      <c r="T331" s="224">
        <f>C$23</f>
        <v>0.3</v>
      </c>
      <c r="U331" s="224">
        <f t="shared" ref="U331:V331" si="17">D$23</f>
        <v>0.3</v>
      </c>
      <c r="V331" s="224">
        <f t="shared" si="17"/>
        <v>0.3</v>
      </c>
    </row>
    <row r="332" spans="1:44">
      <c r="B332" s="382" t="s">
        <v>366</v>
      </c>
      <c r="C332" s="396">
        <v>3</v>
      </c>
      <c r="D332" s="396">
        <v>2</v>
      </c>
      <c r="E332" s="396">
        <v>2</v>
      </c>
      <c r="F332" s="396">
        <v>2</v>
      </c>
      <c r="G332" s="424"/>
      <c r="H332" s="424"/>
      <c r="I332" s="424"/>
      <c r="J332" s="424"/>
      <c r="K332" s="422"/>
      <c r="L332" s="426">
        <v>1</v>
      </c>
      <c r="M332" s="427"/>
      <c r="N332" s="427"/>
    </row>
    <row r="333" spans="1:44" ht="15" thickBot="1">
      <c r="B333" s="428" t="s">
        <v>367</v>
      </c>
      <c r="C333" s="396">
        <v>1</v>
      </c>
      <c r="D333" s="396">
        <v>1</v>
      </c>
      <c r="E333" s="396">
        <v>1</v>
      </c>
      <c r="F333" s="396">
        <v>1</v>
      </c>
      <c r="G333" s="424"/>
      <c r="H333" s="424"/>
      <c r="I333" s="424"/>
      <c r="J333" s="424"/>
      <c r="K333" s="422"/>
      <c r="L333" s="426">
        <v>1</v>
      </c>
      <c r="M333" s="427"/>
      <c r="N333" s="427"/>
    </row>
    <row r="334" spans="1:44" ht="15" thickBot="1">
      <c r="B334" s="430" t="s">
        <v>654</v>
      </c>
      <c r="C334" s="597"/>
      <c r="D334" s="583"/>
      <c r="E334" s="583"/>
      <c r="F334" s="598"/>
      <c r="G334" s="433"/>
      <c r="H334" s="405"/>
      <c r="I334" s="405"/>
      <c r="J334" s="405"/>
      <c r="K334" s="406"/>
      <c r="L334" s="586"/>
      <c r="M334" s="427"/>
      <c r="N334" s="427"/>
    </row>
    <row r="335" spans="1:44" ht="43.2">
      <c r="A335" s="434" t="s">
        <v>760</v>
      </c>
      <c r="B335" s="435" t="s">
        <v>755</v>
      </c>
      <c r="C335" s="599">
        <v>1.4999999999999999E-2</v>
      </c>
      <c r="D335" s="599">
        <v>1.4999999999999999E-2</v>
      </c>
      <c r="E335" s="599">
        <v>1.4999999999999999E-2</v>
      </c>
      <c r="F335" s="599">
        <v>1.4999999999999999E-2</v>
      </c>
      <c r="G335" s="424"/>
      <c r="H335" s="424"/>
      <c r="I335" s="424"/>
      <c r="J335" s="424"/>
      <c r="K335" s="425" t="s">
        <v>59</v>
      </c>
      <c r="L335" s="439" t="s">
        <v>773</v>
      </c>
      <c r="M335" s="419"/>
      <c r="N335" s="419"/>
    </row>
    <row r="336" spans="1:44">
      <c r="B336" s="440" t="s">
        <v>717</v>
      </c>
      <c r="C336" s="600">
        <v>66.666666666666657</v>
      </c>
      <c r="D336" s="600">
        <v>66.666666666666657</v>
      </c>
      <c r="E336" s="600">
        <v>66.666666666666657</v>
      </c>
      <c r="F336" s="600">
        <v>66.666666666666657</v>
      </c>
      <c r="G336" s="424"/>
      <c r="H336" s="424"/>
      <c r="I336" s="424"/>
      <c r="J336" s="424"/>
      <c r="K336" s="443"/>
      <c r="L336" s="372">
        <v>7</v>
      </c>
      <c r="M336" s="71"/>
      <c r="N336" s="419"/>
    </row>
    <row r="337" spans="2:30">
      <c r="B337" s="440" t="s">
        <v>718</v>
      </c>
      <c r="C337" s="600">
        <v>33.333333333333343</v>
      </c>
      <c r="D337" s="600">
        <v>33.333333333333343</v>
      </c>
      <c r="E337" s="600">
        <v>33.333333333333343</v>
      </c>
      <c r="F337" s="600">
        <v>33.333333333333343</v>
      </c>
      <c r="G337" s="424"/>
      <c r="H337" s="424"/>
      <c r="I337" s="424"/>
      <c r="J337" s="424"/>
      <c r="K337" s="443"/>
      <c r="L337" s="372">
        <v>7</v>
      </c>
      <c r="M337" s="419"/>
      <c r="N337" s="419"/>
    </row>
    <row r="338" spans="2:30">
      <c r="B338" s="382" t="s">
        <v>756</v>
      </c>
      <c r="C338" s="601">
        <f>181.818181818182/1000</f>
        <v>0.18181818181818202</v>
      </c>
      <c r="D338" s="602">
        <f>177.272727272727/1000</f>
        <v>0.177272727272727</v>
      </c>
      <c r="E338" s="602">
        <f>172.727272727273/1000</f>
        <v>0.17272727272727301</v>
      </c>
      <c r="F338" s="603">
        <f>154.545454545455/1000</f>
        <v>0.15454545454545499</v>
      </c>
      <c r="G338" s="424"/>
      <c r="H338" s="424"/>
      <c r="I338" s="424"/>
      <c r="J338" s="424"/>
      <c r="K338" s="443" t="s">
        <v>16</v>
      </c>
      <c r="L338" s="372" t="s">
        <v>774</v>
      </c>
      <c r="M338" s="419"/>
      <c r="N338" s="419"/>
    </row>
    <row r="339" spans="2:30">
      <c r="B339" s="382" t="s">
        <v>757</v>
      </c>
      <c r="C339" s="604">
        <f>(C340+C341)/3.6</f>
        <v>7.8472222222222207E-2</v>
      </c>
      <c r="D339" s="604">
        <f>(D340+D341)/3.6</f>
        <v>7.7083333333333337E-2</v>
      </c>
      <c r="E339" s="604">
        <f>(E340+E341)/3.6</f>
        <v>7.7777777777777779E-2</v>
      </c>
      <c r="F339" s="604">
        <f>(F340+F341)/3.6</f>
        <v>7.7777777777777779E-2</v>
      </c>
      <c r="G339" s="424"/>
      <c r="H339" s="424"/>
      <c r="I339" s="424"/>
      <c r="J339" s="424"/>
      <c r="K339" s="443"/>
      <c r="L339" s="372">
        <v>1</v>
      </c>
      <c r="M339" s="449"/>
      <c r="N339" s="360"/>
      <c r="P339" s="1139">
        <f>C339</f>
        <v>7.8472222222222207E-2</v>
      </c>
      <c r="Q339" s="1140"/>
      <c r="R339" s="1140"/>
      <c r="S339" s="1140"/>
      <c r="T339" s="1140"/>
      <c r="U339" s="1141"/>
    </row>
    <row r="340" spans="2:30" ht="15" thickBot="1">
      <c r="B340" s="540" t="s">
        <v>721</v>
      </c>
      <c r="C340" s="551">
        <f>C319/100*73</f>
        <v>0.1825</v>
      </c>
      <c r="D340" s="551">
        <f>D319/100*75</f>
        <v>0.1875</v>
      </c>
      <c r="E340" s="551">
        <f>E319/100*76</f>
        <v>0.19</v>
      </c>
      <c r="F340" s="551">
        <f>F319/100*76</f>
        <v>0.19</v>
      </c>
      <c r="G340" s="552"/>
      <c r="H340" s="552"/>
      <c r="I340" s="552"/>
      <c r="J340" s="552"/>
      <c r="K340" s="546" t="s">
        <v>20</v>
      </c>
      <c r="L340" s="547">
        <v>7</v>
      </c>
      <c r="M340" s="449"/>
      <c r="N340" s="360"/>
      <c r="P340" s="1131">
        <f>C340</f>
        <v>0.1825</v>
      </c>
      <c r="Q340" s="1132"/>
      <c r="R340" s="1132"/>
      <c r="S340" s="1132"/>
      <c r="T340" s="1132"/>
      <c r="U340" s="1133"/>
    </row>
    <row r="341" spans="2:30">
      <c r="B341" s="540" t="s">
        <v>722</v>
      </c>
      <c r="C341" s="605">
        <v>0.1</v>
      </c>
      <c r="D341" s="605">
        <v>9.0000000000000011E-2</v>
      </c>
      <c r="E341" s="605">
        <v>9.0000000000000011E-2</v>
      </c>
      <c r="F341" s="605">
        <v>9.0000000000000011E-2</v>
      </c>
      <c r="G341" s="552"/>
      <c r="H341" s="552"/>
      <c r="I341" s="552"/>
      <c r="J341" s="552"/>
      <c r="K341" s="546" t="s">
        <v>16</v>
      </c>
      <c r="L341" s="547">
        <v>1</v>
      </c>
      <c r="M341" s="362"/>
      <c r="N341" s="362"/>
      <c r="P341" s="53" t="s">
        <v>357</v>
      </c>
    </row>
    <row r="342" spans="2:30" ht="27.6">
      <c r="B342" s="540"/>
      <c r="C342" s="606"/>
      <c r="D342" s="546"/>
      <c r="E342" s="546"/>
      <c r="F342" s="562"/>
      <c r="G342" s="549"/>
      <c r="H342" s="549"/>
      <c r="I342" s="549"/>
      <c r="J342" s="549"/>
      <c r="K342" s="546"/>
      <c r="L342" s="607"/>
      <c r="M342" s="366"/>
      <c r="N342" s="366"/>
      <c r="P342" s="46" t="s">
        <v>335</v>
      </c>
      <c r="Q342" s="46" t="s">
        <v>336</v>
      </c>
      <c r="R342" s="47" t="s">
        <v>337</v>
      </c>
      <c r="S342" s="47" t="s">
        <v>338</v>
      </c>
      <c r="T342" s="47" t="s">
        <v>339</v>
      </c>
      <c r="U342" s="48" t="s">
        <v>340</v>
      </c>
      <c r="V342" s="49" t="s">
        <v>341</v>
      </c>
      <c r="W342" s="49" t="s">
        <v>342</v>
      </c>
      <c r="X342" s="49" t="s">
        <v>343</v>
      </c>
      <c r="Y342" s="49" t="s">
        <v>344</v>
      </c>
      <c r="Z342" s="49" t="s">
        <v>345</v>
      </c>
      <c r="AA342" s="49" t="s">
        <v>346</v>
      </c>
      <c r="AB342" s="49" t="s">
        <v>347</v>
      </c>
      <c r="AC342" s="49" t="s">
        <v>348</v>
      </c>
      <c r="AD342" s="49" t="s">
        <v>349</v>
      </c>
    </row>
    <row r="343" spans="2:30" ht="24.6" thickBot="1">
      <c r="B343" s="565"/>
      <c r="C343" s="606"/>
      <c r="D343" s="608"/>
      <c r="E343" s="608"/>
      <c r="F343" s="609"/>
      <c r="G343" s="549"/>
      <c r="H343" s="549"/>
      <c r="I343" s="549"/>
      <c r="J343" s="549"/>
      <c r="K343" s="546"/>
      <c r="L343" s="607"/>
      <c r="M343" s="362"/>
      <c r="N343" s="362"/>
      <c r="O343" s="71" t="s">
        <v>775</v>
      </c>
      <c r="P343" s="50"/>
      <c r="Q343" s="50"/>
      <c r="R343" s="51"/>
      <c r="S343" s="51"/>
      <c r="T343" s="51"/>
      <c r="U343" s="51" t="s">
        <v>723</v>
      </c>
      <c r="V343" s="50" t="s">
        <v>724</v>
      </c>
      <c r="W343" s="50"/>
      <c r="X343" s="50"/>
      <c r="Y343" s="50"/>
      <c r="Z343" s="50"/>
      <c r="AA343" s="50"/>
      <c r="AB343" s="50"/>
      <c r="AC343" s="50"/>
      <c r="AD343" s="50"/>
    </row>
    <row r="344" spans="2:30" ht="43.8" thickBot="1">
      <c r="B344" s="610" t="s">
        <v>662</v>
      </c>
      <c r="C344" s="611"/>
      <c r="D344" s="612"/>
      <c r="E344" s="613"/>
      <c r="F344" s="614"/>
      <c r="G344" s="539"/>
      <c r="H344" s="539"/>
      <c r="I344" s="539"/>
      <c r="J344" s="539"/>
      <c r="K344" s="615"/>
      <c r="L344" s="616"/>
      <c r="M344" s="362"/>
      <c r="N344" s="362"/>
      <c r="O344" s="460" t="s">
        <v>695</v>
      </c>
      <c r="P344" s="56"/>
      <c r="Q344" s="56"/>
      <c r="R344" s="57"/>
      <c r="S344" s="57"/>
      <c r="T344" s="57"/>
      <c r="U344" s="56" t="s">
        <v>350</v>
      </c>
      <c r="V344" s="56" t="s">
        <v>326</v>
      </c>
      <c r="W344" s="56" t="s">
        <v>327</v>
      </c>
      <c r="X344" s="56" t="s">
        <v>351</v>
      </c>
      <c r="Y344" s="56" t="s">
        <v>351</v>
      </c>
      <c r="Z344" s="56" t="s">
        <v>352</v>
      </c>
      <c r="AA344" s="56" t="s">
        <v>352</v>
      </c>
      <c r="AB344" s="56" t="s">
        <v>352</v>
      </c>
      <c r="AC344" s="56" t="s">
        <v>352</v>
      </c>
      <c r="AD344" s="56" t="s">
        <v>352</v>
      </c>
    </row>
    <row r="345" spans="2:30">
      <c r="B345" s="555" t="s">
        <v>725</v>
      </c>
      <c r="C345" s="617" t="s">
        <v>36</v>
      </c>
      <c r="D345" s="617" t="s">
        <v>36</v>
      </c>
      <c r="E345" s="617" t="s">
        <v>36</v>
      </c>
      <c r="F345" s="617" t="s">
        <v>36</v>
      </c>
      <c r="G345" s="617"/>
      <c r="H345" s="617"/>
      <c r="I345" s="617"/>
      <c r="J345" s="617"/>
      <c r="K345" s="617" t="s">
        <v>76</v>
      </c>
      <c r="L345" s="618" t="s">
        <v>36</v>
      </c>
      <c r="M345" s="362"/>
      <c r="N345" s="362"/>
      <c r="O345" s="464">
        <f>C318</f>
        <v>100</v>
      </c>
      <c r="P345" s="465">
        <f>C314</f>
        <v>2020</v>
      </c>
      <c r="Q345" s="58">
        <f>P345</f>
        <v>2020</v>
      </c>
      <c r="R345" s="465">
        <f>O345/100</f>
        <v>1</v>
      </c>
      <c r="S345" s="58"/>
      <c r="T345" s="465">
        <f>C322</f>
        <v>15</v>
      </c>
      <c r="U345" s="466">
        <f>C352</f>
        <v>111.75</v>
      </c>
      <c r="V345" s="689">
        <f>C354</f>
        <v>1.3545454545454561</v>
      </c>
      <c r="W345" s="689">
        <f>C355</f>
        <v>0.58461805555555546</v>
      </c>
      <c r="X345" s="58"/>
      <c r="Y345" s="58"/>
      <c r="Z345" s="465">
        <f>C329</f>
        <v>0.3</v>
      </c>
      <c r="AA345" s="467">
        <f>C331</f>
        <v>9</v>
      </c>
      <c r="AB345" s="467">
        <f>C332</f>
        <v>3</v>
      </c>
      <c r="AC345" s="467">
        <f>C333</f>
        <v>1</v>
      </c>
      <c r="AD345" s="467">
        <f>C330</f>
        <v>0.1</v>
      </c>
    </row>
    <row r="346" spans="2:30">
      <c r="B346" s="540" t="s">
        <v>726</v>
      </c>
      <c r="C346" s="557" t="s">
        <v>36</v>
      </c>
      <c r="D346" s="557" t="s">
        <v>36</v>
      </c>
      <c r="E346" s="557" t="s">
        <v>36</v>
      </c>
      <c r="F346" s="557" t="s">
        <v>36</v>
      </c>
      <c r="G346" s="562"/>
      <c r="H346" s="562"/>
      <c r="I346" s="562"/>
      <c r="J346" s="562"/>
      <c r="K346" s="562"/>
      <c r="L346" s="547" t="s">
        <v>36</v>
      </c>
      <c r="M346" s="362"/>
      <c r="N346" s="362"/>
      <c r="O346" s="464">
        <f>D318</f>
        <v>100</v>
      </c>
      <c r="P346" s="465">
        <f>D314</f>
        <v>2030</v>
      </c>
      <c r="Q346" s="58"/>
      <c r="R346" s="465">
        <f>O346/100</f>
        <v>1</v>
      </c>
      <c r="S346" s="58"/>
      <c r="T346" s="465">
        <f>D322</f>
        <v>15</v>
      </c>
      <c r="U346" s="466">
        <f>D352</f>
        <v>111.75</v>
      </c>
      <c r="V346" s="689">
        <f>D354</f>
        <v>1.3206818181818161</v>
      </c>
      <c r="W346" s="689">
        <f>D355</f>
        <v>0.5742708333333334</v>
      </c>
      <c r="X346" s="58"/>
      <c r="Y346" s="58"/>
      <c r="Z346" s="465">
        <f>D329</f>
        <v>0.3</v>
      </c>
      <c r="AA346" s="467">
        <f>D331</f>
        <v>7</v>
      </c>
      <c r="AB346" s="467">
        <f>D332</f>
        <v>2</v>
      </c>
      <c r="AC346" s="467">
        <f>D333</f>
        <v>1</v>
      </c>
      <c r="AD346" s="467">
        <f>D330</f>
        <v>0.1</v>
      </c>
    </row>
    <row r="347" spans="2:30">
      <c r="B347" s="540" t="s">
        <v>727</v>
      </c>
      <c r="C347" s="557" t="s">
        <v>36</v>
      </c>
      <c r="D347" s="557" t="s">
        <v>36</v>
      </c>
      <c r="E347" s="557" t="s">
        <v>36</v>
      </c>
      <c r="F347" s="557" t="s">
        <v>36</v>
      </c>
      <c r="G347" s="562"/>
      <c r="H347" s="562"/>
      <c r="I347" s="562"/>
      <c r="J347" s="562"/>
      <c r="K347" s="562"/>
      <c r="L347" s="547"/>
      <c r="M347" s="362"/>
      <c r="N347" s="362"/>
      <c r="O347" s="464">
        <f>E318</f>
        <v>100</v>
      </c>
      <c r="P347" s="465">
        <f>E314</f>
        <v>2040</v>
      </c>
      <c r="Q347" s="58"/>
      <c r="R347" s="465">
        <f>O347/100</f>
        <v>1</v>
      </c>
      <c r="S347" s="58"/>
      <c r="T347" s="465">
        <f>E322</f>
        <v>15</v>
      </c>
      <c r="U347" s="466">
        <f>E352</f>
        <v>111.75</v>
      </c>
      <c r="V347" s="689">
        <f>E354</f>
        <v>1.2868181818181839</v>
      </c>
      <c r="W347" s="689">
        <f>E355</f>
        <v>0.57944444444444443</v>
      </c>
      <c r="X347" s="58"/>
      <c r="Y347" s="58"/>
      <c r="Z347" s="465">
        <f>E329</f>
        <v>0.3</v>
      </c>
      <c r="AA347" s="467">
        <f>E331</f>
        <v>6</v>
      </c>
      <c r="AB347" s="467">
        <f>E332</f>
        <v>2</v>
      </c>
      <c r="AC347" s="467">
        <f>E333</f>
        <v>1</v>
      </c>
      <c r="AD347" s="467">
        <f>E330</f>
        <v>0.1</v>
      </c>
    </row>
    <row r="348" spans="2:30">
      <c r="B348" s="540" t="s">
        <v>728</v>
      </c>
      <c r="C348" s="563">
        <v>90</v>
      </c>
      <c r="D348" s="563">
        <v>90</v>
      </c>
      <c r="E348" s="563">
        <v>90</v>
      </c>
      <c r="F348" s="563">
        <v>90</v>
      </c>
      <c r="G348" s="620"/>
      <c r="H348" s="620"/>
      <c r="I348" s="620"/>
      <c r="J348" s="620"/>
      <c r="K348" s="620"/>
      <c r="L348" s="547">
        <v>5</v>
      </c>
      <c r="M348" s="362"/>
      <c r="N348" s="362"/>
      <c r="O348" s="464">
        <f>F318</f>
        <v>100</v>
      </c>
      <c r="P348" s="465">
        <f>F314</f>
        <v>2050</v>
      </c>
      <c r="Q348" s="58"/>
      <c r="R348" s="465">
        <f>O348/100</f>
        <v>1</v>
      </c>
      <c r="S348" s="58"/>
      <c r="T348" s="465">
        <f>F322</f>
        <v>15</v>
      </c>
      <c r="U348" s="466">
        <f>F352</f>
        <v>111.75</v>
      </c>
      <c r="V348" s="689">
        <f>F354</f>
        <v>1.1513636363636397</v>
      </c>
      <c r="W348" s="689">
        <f>F355</f>
        <v>0.57944444444444443</v>
      </c>
      <c r="X348" s="58"/>
      <c r="Y348" s="58"/>
      <c r="Z348" s="465">
        <f>F329</f>
        <v>0.3</v>
      </c>
      <c r="AA348" s="467">
        <f>F331</f>
        <v>6</v>
      </c>
      <c r="AB348" s="467">
        <f>F332</f>
        <v>2</v>
      </c>
      <c r="AC348" s="467">
        <f>F333</f>
        <v>1</v>
      </c>
      <c r="AD348" s="467">
        <f>F330</f>
        <v>0.1</v>
      </c>
    </row>
    <row r="349" spans="2:30">
      <c r="B349" s="565" t="s">
        <v>729</v>
      </c>
      <c r="C349" s="557" t="s">
        <v>36</v>
      </c>
      <c r="D349" s="557" t="s">
        <v>36</v>
      </c>
      <c r="E349" s="557" t="s">
        <v>36</v>
      </c>
      <c r="F349" s="557" t="s">
        <v>36</v>
      </c>
      <c r="G349" s="562"/>
      <c r="H349" s="562"/>
      <c r="I349" s="562"/>
      <c r="J349" s="562"/>
      <c r="K349" s="562"/>
      <c r="L349" s="547"/>
      <c r="M349" s="366"/>
      <c r="N349" s="366"/>
    </row>
    <row r="350" spans="2:30">
      <c r="B350" s="565" t="s">
        <v>730</v>
      </c>
      <c r="C350" s="557" t="s">
        <v>36</v>
      </c>
      <c r="D350" s="557" t="s">
        <v>36</v>
      </c>
      <c r="E350" s="557" t="s">
        <v>36</v>
      </c>
      <c r="F350" s="557" t="s">
        <v>36</v>
      </c>
      <c r="G350" s="562"/>
      <c r="H350" s="562"/>
      <c r="I350" s="562"/>
      <c r="J350" s="562"/>
      <c r="K350" s="562"/>
      <c r="L350" s="547"/>
      <c r="M350" s="362"/>
      <c r="N350" s="362"/>
    </row>
    <row r="351" spans="2:30" ht="15" thickBot="1">
      <c r="B351" s="566" t="s">
        <v>731</v>
      </c>
      <c r="C351" s="621" t="s">
        <v>36</v>
      </c>
      <c r="D351" s="621" t="s">
        <v>36</v>
      </c>
      <c r="E351" s="621" t="s">
        <v>36</v>
      </c>
      <c r="F351" s="621" t="s">
        <v>36</v>
      </c>
      <c r="G351" s="622"/>
      <c r="H351" s="622"/>
      <c r="I351" s="622"/>
      <c r="J351" s="622"/>
      <c r="K351" s="622"/>
      <c r="L351" s="623"/>
      <c r="M351" s="362"/>
      <c r="N351" s="362"/>
    </row>
    <row r="352" spans="2:30" ht="57.6">
      <c r="B352" s="460" t="s">
        <v>732</v>
      </c>
      <c r="C352" s="482">
        <f>C335*$F$4*1000</f>
        <v>111.75</v>
      </c>
      <c r="D352" s="482">
        <f t="shared" ref="D352:F352" si="18">D335*$F$4*1000</f>
        <v>111.75</v>
      </c>
      <c r="E352" s="482">
        <f t="shared" si="18"/>
        <v>111.75</v>
      </c>
      <c r="F352" s="482">
        <f t="shared" si="18"/>
        <v>111.75</v>
      </c>
      <c r="G352" s="482"/>
      <c r="H352" s="483"/>
      <c r="I352" s="419" t="s">
        <v>332</v>
      </c>
      <c r="J352" s="419"/>
      <c r="K352" s="483"/>
      <c r="L352" s="483"/>
      <c r="N352" s="419"/>
    </row>
    <row r="353" spans="1:14">
      <c r="B353" s="484" t="s">
        <v>733</v>
      </c>
      <c r="C353" s="485">
        <f>C352*$I353</f>
        <v>55875</v>
      </c>
      <c r="D353" s="485">
        <f>D352*$I353</f>
        <v>55875</v>
      </c>
      <c r="E353" s="485">
        <f>E352*$I353</f>
        <v>55875</v>
      </c>
      <c r="F353" s="485">
        <f>F352*$I353</f>
        <v>55875</v>
      </c>
      <c r="G353" s="485"/>
      <c r="H353" s="483"/>
      <c r="I353" s="71">
        <v>500</v>
      </c>
      <c r="J353" s="419" t="s">
        <v>330</v>
      </c>
      <c r="K353" s="483"/>
      <c r="L353" s="483"/>
      <c r="N353" s="419"/>
    </row>
    <row r="354" spans="1:14" ht="43.2">
      <c r="B354" s="460" t="s">
        <v>734</v>
      </c>
      <c r="C354" s="358">
        <f>C338*$F$4</f>
        <v>1.3545454545454561</v>
      </c>
      <c r="D354" s="358">
        <f t="shared" ref="D354:F355" si="19">D338*$F$4</f>
        <v>1.3206818181818161</v>
      </c>
      <c r="E354" s="358">
        <f t="shared" si="19"/>
        <v>1.2868181818181839</v>
      </c>
      <c r="F354" s="358">
        <f t="shared" si="19"/>
        <v>1.1513636363636397</v>
      </c>
      <c r="G354" s="358"/>
      <c r="I354" s="419" t="s">
        <v>333</v>
      </c>
      <c r="J354" s="419"/>
      <c r="N354" s="419"/>
    </row>
    <row r="355" spans="1:14" ht="43.2">
      <c r="B355" s="460" t="s">
        <v>735</v>
      </c>
      <c r="C355" s="486">
        <f>C339*$F$4</f>
        <v>0.58461805555555546</v>
      </c>
      <c r="D355" s="486">
        <f t="shared" si="19"/>
        <v>0.5742708333333334</v>
      </c>
      <c r="E355" s="486">
        <f t="shared" si="19"/>
        <v>0.57944444444444443</v>
      </c>
      <c r="F355" s="486">
        <f t="shared" si="19"/>
        <v>0.57944444444444443</v>
      </c>
      <c r="G355" s="358"/>
      <c r="M355" s="419"/>
      <c r="N355" s="419"/>
    </row>
    <row r="358" spans="1:14">
      <c r="A358" s="487" t="s">
        <v>736</v>
      </c>
      <c r="B358" s="488"/>
      <c r="D358" s="357"/>
      <c r="E358" s="357"/>
      <c r="F358" s="357"/>
      <c r="G358" s="357"/>
      <c r="H358" s="357"/>
      <c r="I358" s="357"/>
      <c r="J358" s="357"/>
      <c r="K358" s="357"/>
    </row>
    <row r="359" spans="1:14">
      <c r="A359" s="357">
        <v>1</v>
      </c>
      <c r="B359" s="489" t="s">
        <v>776</v>
      </c>
      <c r="E359" s="357"/>
      <c r="F359" s="357"/>
      <c r="G359" s="357"/>
      <c r="H359" s="357"/>
      <c r="I359" s="357"/>
      <c r="J359" s="357"/>
      <c r="K359" s="357"/>
    </row>
    <row r="360" spans="1:14">
      <c r="A360" s="357">
        <v>2</v>
      </c>
      <c r="B360" s="489" t="s">
        <v>777</v>
      </c>
      <c r="E360" s="357"/>
      <c r="F360" s="357"/>
      <c r="G360" s="357"/>
      <c r="H360" s="357"/>
      <c r="I360" s="357"/>
      <c r="J360" s="357"/>
      <c r="K360" s="357"/>
    </row>
    <row r="361" spans="1:14">
      <c r="A361" s="357">
        <v>3</v>
      </c>
      <c r="B361" s="489" t="s">
        <v>744</v>
      </c>
      <c r="E361" s="357"/>
      <c r="F361" s="357"/>
      <c r="G361" s="357"/>
      <c r="H361" s="357"/>
      <c r="I361" s="357"/>
      <c r="J361" s="357"/>
      <c r="K361" s="357"/>
    </row>
    <row r="362" spans="1:14">
      <c r="A362" s="357">
        <v>4</v>
      </c>
      <c r="B362" s="489" t="s">
        <v>778</v>
      </c>
      <c r="E362" s="357"/>
      <c r="F362" s="357"/>
      <c r="G362" s="357"/>
      <c r="H362" s="357"/>
      <c r="I362" s="357"/>
      <c r="J362" s="357"/>
      <c r="K362" s="357"/>
    </row>
    <row r="363" spans="1:14">
      <c r="A363" s="357">
        <v>5</v>
      </c>
      <c r="B363" s="489" t="s">
        <v>779</v>
      </c>
      <c r="E363" s="357"/>
      <c r="F363" s="357"/>
      <c r="G363" s="357"/>
      <c r="H363" s="357"/>
      <c r="I363" s="357"/>
      <c r="J363" s="357"/>
      <c r="K363" s="357"/>
    </row>
    <row r="364" spans="1:14">
      <c r="A364" s="357">
        <v>6</v>
      </c>
      <c r="B364" s="489" t="s">
        <v>780</v>
      </c>
      <c r="E364" s="357"/>
      <c r="F364" s="357"/>
      <c r="G364" s="357"/>
      <c r="H364" s="357"/>
      <c r="I364" s="357"/>
      <c r="J364" s="357"/>
      <c r="K364" s="357"/>
    </row>
    <row r="365" spans="1:14">
      <c r="A365" s="357">
        <v>7</v>
      </c>
      <c r="B365" s="489" t="s">
        <v>781</v>
      </c>
      <c r="E365" s="357"/>
      <c r="F365" s="357"/>
      <c r="G365" s="357"/>
      <c r="H365" s="357"/>
      <c r="I365" s="357"/>
      <c r="J365" s="357"/>
      <c r="K365" s="357"/>
    </row>
    <row r="366" spans="1:14">
      <c r="A366" s="357">
        <v>8</v>
      </c>
      <c r="B366" s="624" t="s">
        <v>782</v>
      </c>
      <c r="E366" s="357"/>
      <c r="F366" s="357"/>
      <c r="G366" s="357"/>
      <c r="H366" s="357"/>
      <c r="I366" s="357"/>
      <c r="J366" s="357"/>
      <c r="K366" s="357"/>
    </row>
    <row r="367" spans="1:14">
      <c r="A367" s="357">
        <v>9</v>
      </c>
      <c r="B367" s="489" t="s">
        <v>783</v>
      </c>
      <c r="E367" s="357"/>
      <c r="F367" s="357"/>
      <c r="G367" s="357"/>
      <c r="H367" s="357"/>
      <c r="I367" s="357"/>
      <c r="J367" s="357"/>
      <c r="K367" s="357"/>
    </row>
    <row r="368" spans="1:14">
      <c r="A368" s="487" t="s">
        <v>746</v>
      </c>
      <c r="B368" s="488"/>
      <c r="E368" s="357"/>
      <c r="F368" s="357"/>
      <c r="G368" s="357"/>
      <c r="H368" s="357"/>
      <c r="I368" s="357"/>
      <c r="J368" s="357"/>
      <c r="K368" s="357"/>
    </row>
    <row r="369" spans="1:11">
      <c r="A369" s="495" t="s">
        <v>6</v>
      </c>
      <c r="B369" s="489" t="s">
        <v>784</v>
      </c>
      <c r="C369" s="488"/>
      <c r="E369" s="357"/>
      <c r="F369" s="357"/>
      <c r="G369" s="357"/>
      <c r="H369" s="357"/>
      <c r="I369" s="357"/>
      <c r="J369" s="357"/>
      <c r="K369" s="357"/>
    </row>
    <row r="370" spans="1:11">
      <c r="A370" s="495" t="s">
        <v>59</v>
      </c>
      <c r="B370" s="489" t="s">
        <v>785</v>
      </c>
      <c r="C370" s="488"/>
      <c r="E370" s="357"/>
      <c r="F370" s="357"/>
      <c r="G370" s="357"/>
      <c r="H370" s="357"/>
      <c r="I370" s="357"/>
      <c r="J370" s="357"/>
      <c r="K370" s="357"/>
    </row>
    <row r="371" spans="1:11">
      <c r="A371" s="495" t="s">
        <v>16</v>
      </c>
      <c r="B371" s="489" t="s">
        <v>786</v>
      </c>
      <c r="C371" s="488"/>
      <c r="E371" s="357"/>
      <c r="F371" s="357"/>
      <c r="G371" s="357"/>
      <c r="H371" s="357"/>
      <c r="I371" s="357"/>
      <c r="J371" s="357"/>
      <c r="K371" s="357"/>
    </row>
    <row r="372" spans="1:11">
      <c r="A372" s="495" t="s">
        <v>20</v>
      </c>
      <c r="B372" s="489" t="s">
        <v>787</v>
      </c>
      <c r="C372" s="488"/>
      <c r="E372" s="357"/>
      <c r="F372" s="357"/>
      <c r="G372" s="357"/>
      <c r="H372" s="357"/>
      <c r="I372" s="357"/>
      <c r="J372" s="357"/>
      <c r="K372" s="357"/>
    </row>
    <row r="373" spans="1:11" ht="15.75" customHeight="1">
      <c r="A373" s="495" t="s">
        <v>76</v>
      </c>
      <c r="B373" s="489" t="s">
        <v>788</v>
      </c>
      <c r="C373" s="488"/>
      <c r="E373" s="357"/>
      <c r="F373" s="357"/>
      <c r="G373" s="357"/>
      <c r="H373" s="357"/>
      <c r="I373" s="357"/>
      <c r="J373" s="357"/>
      <c r="K373" s="357"/>
    </row>
    <row r="374" spans="1:11" ht="15.75" customHeight="1">
      <c r="A374" s="495"/>
      <c r="B374" s="489"/>
      <c r="C374" s="488"/>
      <c r="E374" s="357"/>
      <c r="F374" s="357"/>
      <c r="G374" s="357"/>
      <c r="H374" s="357"/>
      <c r="I374" s="357"/>
      <c r="J374" s="357"/>
      <c r="K374" s="357"/>
    </row>
  </sheetData>
  <mergeCells count="392">
    <mergeCell ref="P339:U339"/>
    <mergeCell ref="P340:U340"/>
    <mergeCell ref="AM320:AM324"/>
    <mergeCell ref="AN320:AN324"/>
    <mergeCell ref="AO320:AO324"/>
    <mergeCell ref="AP320:AP324"/>
    <mergeCell ref="AQ320:AQ324"/>
    <mergeCell ref="AR320:AR324"/>
    <mergeCell ref="AC320:AC324"/>
    <mergeCell ref="AF320:AF324"/>
    <mergeCell ref="AI320:AI324"/>
    <mergeCell ref="AJ320:AJ324"/>
    <mergeCell ref="AK320:AK324"/>
    <mergeCell ref="AL320:AL324"/>
    <mergeCell ref="W320:W324"/>
    <mergeCell ref="X320:X324"/>
    <mergeCell ref="Y320:Y324"/>
    <mergeCell ref="Z320:Z324"/>
    <mergeCell ref="AA320:AA324"/>
    <mergeCell ref="AB320:AB324"/>
    <mergeCell ref="AM317:AM319"/>
    <mergeCell ref="AN317:AN319"/>
    <mergeCell ref="AO317:AO319"/>
    <mergeCell ref="AP317:AP319"/>
    <mergeCell ref="AQ317:AQ319"/>
    <mergeCell ref="AR317:AR319"/>
    <mergeCell ref="AE317:AE325"/>
    <mergeCell ref="AF317:AF319"/>
    <mergeCell ref="AI317:AI319"/>
    <mergeCell ref="AJ317:AJ319"/>
    <mergeCell ref="AK317:AK319"/>
    <mergeCell ref="AL317:AL319"/>
    <mergeCell ref="X317:X319"/>
    <mergeCell ref="Y317:Y319"/>
    <mergeCell ref="Z317:Z319"/>
    <mergeCell ref="AA317:AA319"/>
    <mergeCell ref="AB317:AB319"/>
    <mergeCell ref="AC317:AC319"/>
    <mergeCell ref="P317:P325"/>
    <mergeCell ref="Q317:Q319"/>
    <mergeCell ref="T317:T319"/>
    <mergeCell ref="U317:U319"/>
    <mergeCell ref="V317:V319"/>
    <mergeCell ref="W317:W319"/>
    <mergeCell ref="Q320:Q324"/>
    <mergeCell ref="T320:T324"/>
    <mergeCell ref="U320:U324"/>
    <mergeCell ref="V320:V324"/>
    <mergeCell ref="AQ313:AR315"/>
    <mergeCell ref="B314:B315"/>
    <mergeCell ref="C314:C315"/>
    <mergeCell ref="D314:D315"/>
    <mergeCell ref="E314:E315"/>
    <mergeCell ref="F314:F315"/>
    <mergeCell ref="G314:H314"/>
    <mergeCell ref="I314:J314"/>
    <mergeCell ref="K314:K315"/>
    <mergeCell ref="Z313:AA315"/>
    <mergeCell ref="AB313:AC315"/>
    <mergeCell ref="AH313:AH316"/>
    <mergeCell ref="AI313:AJ315"/>
    <mergeCell ref="AK313:AL315"/>
    <mergeCell ref="AM313:AN315"/>
    <mergeCell ref="AE314:AE316"/>
    <mergeCell ref="AF315:AF316"/>
    <mergeCell ref="AG315:AG316"/>
    <mergeCell ref="AN251:AN253"/>
    <mergeCell ref="AO251:AO253"/>
    <mergeCell ref="AP251:AP253"/>
    <mergeCell ref="P274:U274"/>
    <mergeCell ref="C313:L313"/>
    <mergeCell ref="S313:S316"/>
    <mergeCell ref="T313:U315"/>
    <mergeCell ref="V313:W315"/>
    <mergeCell ref="X313:Y315"/>
    <mergeCell ref="L314:L315"/>
    <mergeCell ref="P314:P316"/>
    <mergeCell ref="Q315:Q316"/>
    <mergeCell ref="R315:R316"/>
    <mergeCell ref="AO313:AP315"/>
    <mergeCell ref="P273:U273"/>
    <mergeCell ref="AF254:AF258"/>
    <mergeCell ref="AI254:AI258"/>
    <mergeCell ref="AJ254:AJ258"/>
    <mergeCell ref="AK254:AK258"/>
    <mergeCell ref="AL254:AL258"/>
    <mergeCell ref="AM254:AM258"/>
    <mergeCell ref="X254:X258"/>
    <mergeCell ref="Y254:Y258"/>
    <mergeCell ref="Z254:Z258"/>
    <mergeCell ref="AA254:AA258"/>
    <mergeCell ref="AB254:AB258"/>
    <mergeCell ref="AC254:AC258"/>
    <mergeCell ref="P251:P259"/>
    <mergeCell ref="Q251:Q253"/>
    <mergeCell ref="T251:T253"/>
    <mergeCell ref="U251:U253"/>
    <mergeCell ref="V251:V253"/>
    <mergeCell ref="W251:W253"/>
    <mergeCell ref="X251:X253"/>
    <mergeCell ref="AQ251:AQ253"/>
    <mergeCell ref="AR251:AR253"/>
    <mergeCell ref="Q254:Q258"/>
    <mergeCell ref="T254:T258"/>
    <mergeCell ref="U254:U258"/>
    <mergeCell ref="V254:V258"/>
    <mergeCell ref="W254:W258"/>
    <mergeCell ref="AF251:AF253"/>
    <mergeCell ref="AI251:AI253"/>
    <mergeCell ref="AJ251:AJ253"/>
    <mergeCell ref="AK251:AK253"/>
    <mergeCell ref="AL251:AL253"/>
    <mergeCell ref="AM251:AM253"/>
    <mergeCell ref="Y251:Y253"/>
    <mergeCell ref="Z251:Z253"/>
    <mergeCell ref="AA251:AA253"/>
    <mergeCell ref="AB251:AB253"/>
    <mergeCell ref="AC251:AC253"/>
    <mergeCell ref="AE251:AE259"/>
    <mergeCell ref="AN254:AN258"/>
    <mergeCell ref="AO254:AO258"/>
    <mergeCell ref="AP254:AP258"/>
    <mergeCell ref="AQ254:AQ258"/>
    <mergeCell ref="AR254:AR258"/>
    <mergeCell ref="AM247:AN249"/>
    <mergeCell ref="AO247:AP249"/>
    <mergeCell ref="AQ247:AR249"/>
    <mergeCell ref="B248:B249"/>
    <mergeCell ref="C248:C249"/>
    <mergeCell ref="D248:D249"/>
    <mergeCell ref="E248:E249"/>
    <mergeCell ref="F248:F249"/>
    <mergeCell ref="G248:H248"/>
    <mergeCell ref="I248:J248"/>
    <mergeCell ref="X247:Y249"/>
    <mergeCell ref="Z247:AA249"/>
    <mergeCell ref="AB247:AC249"/>
    <mergeCell ref="AH247:AH250"/>
    <mergeCell ref="AI247:AJ249"/>
    <mergeCell ref="AK247:AL249"/>
    <mergeCell ref="AE248:AE250"/>
    <mergeCell ref="R249:R250"/>
    <mergeCell ref="AF249:AF250"/>
    <mergeCell ref="AG249:AG250"/>
    <mergeCell ref="P194:U194"/>
    <mergeCell ref="P195:U195"/>
    <mergeCell ref="C247:L247"/>
    <mergeCell ref="S247:S250"/>
    <mergeCell ref="T247:U249"/>
    <mergeCell ref="V247:W249"/>
    <mergeCell ref="K248:K249"/>
    <mergeCell ref="L248:L249"/>
    <mergeCell ref="P248:P250"/>
    <mergeCell ref="Q249:Q250"/>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P172:P180"/>
    <mergeCell ref="Q172:Q174"/>
    <mergeCell ref="T172:T174"/>
    <mergeCell ref="U172:U174"/>
    <mergeCell ref="V172:V174"/>
    <mergeCell ref="W172:W174"/>
    <mergeCell ref="Q175:Q179"/>
    <mergeCell ref="T175:T179"/>
    <mergeCell ref="U175:U179"/>
    <mergeCell ref="V175:V179"/>
    <mergeCell ref="W175:W179"/>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Z168:AA170"/>
    <mergeCell ref="P169:P171"/>
    <mergeCell ref="Q170:Q171"/>
    <mergeCell ref="R170:R171"/>
    <mergeCell ref="P112:U112"/>
    <mergeCell ref="P113:U113"/>
    <mergeCell ref="B166:B167"/>
    <mergeCell ref="C166:M166"/>
    <mergeCell ref="P166:U166"/>
    <mergeCell ref="C167:M16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P33:U33"/>
    <mergeCell ref="P34:U34"/>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7" location="INDEX" display="Steam boiler, Natural gas or biogas" xr:uid="{13B7478B-8904-4493-ABEB-B7A85DA57BD7}"/>
    <hyperlink ref="C86" location="INDEX" display="Steam boiler, Natural gas or biogas (Condensing)" xr:uid="{9C1F7C85-BDF2-4903-A3B2-CB36E1E23AAC}"/>
    <hyperlink ref="C168" location="INDEX" display="Hot water boiler, Natural gas or biogas" xr:uid="{AC0F03E9-1775-488B-8DB9-3805EE297790}"/>
    <hyperlink ref="C247" location="INDEX" display="Hot water boiler, Natural gas or biogas (Condensing)" xr:uid="{16384D52-15D9-422A-B6D0-0927C488C849}"/>
    <hyperlink ref="C313" location="INDEX" display="Direct Firing, Natural Gas" xr:uid="{08F9F1E3-AB4E-42F1-940A-6D5BA6184B10}"/>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1B1D7-0C67-4F3F-9B6D-553C9385AEDD}">
  <sheetPr>
    <tabColor theme="3"/>
  </sheetPr>
  <dimension ref="A2:AR386"/>
  <sheetViews>
    <sheetView topLeftCell="M1" zoomScaleNormal="100" workbookViewId="0">
      <selection activeCell="Y11" sqref="Y11:Y13"/>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Steam boiler, Wood Chips</v>
      </c>
    </row>
    <row r="4" spans="1:44" ht="25.05" customHeight="1">
      <c r="E4" s="224" t="s">
        <v>358</v>
      </c>
      <c r="F4" s="358">
        <v>7.45</v>
      </c>
      <c r="G4" s="358" t="s">
        <v>328</v>
      </c>
    </row>
    <row r="5" spans="1:44" ht="15" customHeight="1">
      <c r="A5" s="359" t="s">
        <v>956</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936</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20</v>
      </c>
      <c r="D10" s="371">
        <v>20</v>
      </c>
      <c r="E10" s="371">
        <v>20</v>
      </c>
      <c r="F10" s="371">
        <v>20</v>
      </c>
      <c r="G10" s="371">
        <v>1</v>
      </c>
      <c r="H10" s="371">
        <v>50</v>
      </c>
      <c r="I10" s="371">
        <v>1</v>
      </c>
      <c r="J10" s="371">
        <v>50</v>
      </c>
      <c r="K10" s="371" t="s">
        <v>6</v>
      </c>
      <c r="L10" s="372" t="s">
        <v>688</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90</v>
      </c>
      <c r="D11" s="376">
        <v>90</v>
      </c>
      <c r="E11" s="377">
        <v>90</v>
      </c>
      <c r="F11" s="376">
        <v>91</v>
      </c>
      <c r="G11" s="376">
        <f>D11-1</f>
        <v>89</v>
      </c>
      <c r="H11" s="376">
        <f>D11+2</f>
        <v>92</v>
      </c>
      <c r="I11" s="376">
        <f>F11-1</f>
        <v>90</v>
      </c>
      <c r="J11" s="376">
        <f>F11+2</f>
        <v>93</v>
      </c>
      <c r="K11" s="378" t="s">
        <v>59</v>
      </c>
      <c r="L11" s="379" t="s">
        <v>692</v>
      </c>
      <c r="M11" s="369"/>
      <c r="N11" s="369"/>
      <c r="P11" s="1196" t="str">
        <f>C7</f>
        <v>Steam boiler, Wood Chips</v>
      </c>
      <c r="Q11" s="1151" t="s">
        <v>693</v>
      </c>
      <c r="R11" s="380" t="s">
        <v>694</v>
      </c>
      <c r="S11" s="381"/>
      <c r="T11" s="1134">
        <v>0</v>
      </c>
      <c r="U11" s="1148">
        <v>1</v>
      </c>
      <c r="V11" s="1154">
        <v>0</v>
      </c>
      <c r="W11" s="1148">
        <v>1</v>
      </c>
      <c r="X11" s="1154">
        <v>0</v>
      </c>
      <c r="Y11" s="1148">
        <v>1</v>
      </c>
      <c r="Z11" s="1154">
        <v>0</v>
      </c>
      <c r="AA11" s="1148">
        <v>1</v>
      </c>
      <c r="AB11" s="1154">
        <v>0</v>
      </c>
      <c r="AC11" s="1148">
        <v>1</v>
      </c>
      <c r="AE11" s="1145" t="str">
        <f>P11</f>
        <v>Steam boiler, Wood Chips</v>
      </c>
      <c r="AF11" s="1151" t="s">
        <v>693</v>
      </c>
      <c r="AG11" s="380" t="s">
        <v>694</v>
      </c>
      <c r="AH11" s="381"/>
      <c r="AI11" s="1134">
        <v>0</v>
      </c>
      <c r="AJ11" s="1148">
        <v>1</v>
      </c>
      <c r="AK11" s="1154">
        <v>0</v>
      </c>
      <c r="AL11" s="1148">
        <v>1</v>
      </c>
      <c r="AM11" s="1154">
        <v>0</v>
      </c>
      <c r="AN11" s="1148">
        <v>1</v>
      </c>
      <c r="AO11" s="1154">
        <v>0</v>
      </c>
      <c r="AP11" s="1148">
        <v>1</v>
      </c>
      <c r="AQ11" s="1154">
        <v>0</v>
      </c>
      <c r="AR11" s="1148">
        <v>1</v>
      </c>
    </row>
    <row r="12" spans="1:44" ht="32.549999999999997" customHeight="1" outlineLevel="1">
      <c r="B12" s="382" t="s">
        <v>695</v>
      </c>
      <c r="C12" s="383">
        <f t="shared" ref="C12:J12" si="0">C11-1</f>
        <v>89</v>
      </c>
      <c r="D12" s="383">
        <f t="shared" si="0"/>
        <v>89</v>
      </c>
      <c r="E12" s="383">
        <f t="shared" si="0"/>
        <v>89</v>
      </c>
      <c r="F12" s="383">
        <f t="shared" si="0"/>
        <v>90</v>
      </c>
      <c r="G12" s="384">
        <f t="shared" si="0"/>
        <v>88</v>
      </c>
      <c r="H12" s="384">
        <f t="shared" si="0"/>
        <v>91</v>
      </c>
      <c r="I12" s="384">
        <f t="shared" si="0"/>
        <v>89</v>
      </c>
      <c r="J12" s="384">
        <f t="shared" si="0"/>
        <v>92</v>
      </c>
      <c r="K12" s="385"/>
      <c r="L12" s="386" t="s">
        <v>692</v>
      </c>
      <c r="M12" s="369"/>
      <c r="N12" s="369"/>
      <c r="O12" s="71"/>
      <c r="P12" s="1192"/>
      <c r="Q12" s="1152"/>
      <c r="R12" s="387" t="s">
        <v>696</v>
      </c>
      <c r="S12" s="388"/>
      <c r="T12" s="1137"/>
      <c r="U12" s="1149"/>
      <c r="V12" s="1155"/>
      <c r="W12" s="1149"/>
      <c r="X12" s="1155"/>
      <c r="Y12" s="1149"/>
      <c r="Z12" s="1155"/>
      <c r="AA12" s="1149"/>
      <c r="AB12" s="1155"/>
      <c r="AC12" s="1149"/>
      <c r="AE12" s="1192"/>
      <c r="AF12" s="1152"/>
      <c r="AG12" s="387" t="s">
        <v>696</v>
      </c>
      <c r="AH12" s="388"/>
      <c r="AI12" s="1137"/>
      <c r="AJ12" s="1149"/>
      <c r="AK12" s="1155"/>
      <c r="AL12" s="1149"/>
      <c r="AM12" s="1155"/>
      <c r="AN12" s="1149"/>
      <c r="AO12" s="1155"/>
      <c r="AP12" s="1149"/>
      <c r="AQ12" s="1155"/>
      <c r="AR12" s="1149"/>
    </row>
    <row r="13" spans="1:44" ht="15" outlineLevel="1" thickBot="1">
      <c r="B13" s="375" t="s">
        <v>697</v>
      </c>
      <c r="C13" s="389">
        <v>2.2999999999999998</v>
      </c>
      <c r="D13" s="390">
        <v>2.2999999999999998</v>
      </c>
      <c r="E13" s="390">
        <v>2.2999999999999998</v>
      </c>
      <c r="F13" s="391">
        <v>2.2999999999999998</v>
      </c>
      <c r="G13" s="390">
        <v>2.2000000000000002</v>
      </c>
      <c r="H13" s="390">
        <v>2.5</v>
      </c>
      <c r="I13" s="390">
        <v>1.8</v>
      </c>
      <c r="J13" s="390">
        <v>2.5</v>
      </c>
      <c r="K13" s="378" t="s">
        <v>16</v>
      </c>
      <c r="L13" s="379">
        <v>3</v>
      </c>
      <c r="M13" s="369"/>
      <c r="N13" s="369"/>
      <c r="O13" s="71"/>
      <c r="P13" s="1192"/>
      <c r="Q13" s="1153"/>
      <c r="R13" s="392" t="s">
        <v>698</v>
      </c>
      <c r="S13" s="393"/>
      <c r="T13" s="1138"/>
      <c r="U13" s="1150"/>
      <c r="V13" s="1156"/>
      <c r="W13" s="1150"/>
      <c r="X13" s="1156"/>
      <c r="Y13" s="1150"/>
      <c r="Z13" s="1156"/>
      <c r="AA13" s="1150"/>
      <c r="AB13" s="1156"/>
      <c r="AC13" s="1150"/>
      <c r="AE13" s="1192"/>
      <c r="AF13" s="1153"/>
      <c r="AG13" s="392" t="s">
        <v>698</v>
      </c>
      <c r="AH13" s="393"/>
      <c r="AI13" s="1138"/>
      <c r="AJ13" s="1150"/>
      <c r="AK13" s="1156"/>
      <c r="AL13" s="1150"/>
      <c r="AM13" s="1156"/>
      <c r="AN13" s="1150"/>
      <c r="AO13" s="1156"/>
      <c r="AP13" s="1150"/>
      <c r="AQ13" s="1156"/>
      <c r="AR13" s="1150"/>
    </row>
    <row r="14" spans="1:44" ht="15" customHeight="1" outlineLevel="1">
      <c r="B14" s="375" t="s">
        <v>637</v>
      </c>
      <c r="C14" s="685">
        <v>3</v>
      </c>
      <c r="D14" s="685">
        <v>3</v>
      </c>
      <c r="E14" s="685">
        <v>3</v>
      </c>
      <c r="F14" s="685">
        <v>3</v>
      </c>
      <c r="G14" s="685">
        <v>3</v>
      </c>
      <c r="H14" s="685">
        <v>3</v>
      </c>
      <c r="I14" s="685">
        <v>3</v>
      </c>
      <c r="J14" s="685">
        <v>3</v>
      </c>
      <c r="K14" s="378" t="s">
        <v>20</v>
      </c>
      <c r="L14" s="379">
        <v>3</v>
      </c>
      <c r="M14" s="369"/>
      <c r="N14" s="369"/>
      <c r="O14" s="71"/>
      <c r="P14" s="1192"/>
      <c r="Q14" s="1151" t="s">
        <v>699</v>
      </c>
      <c r="R14" s="394" t="s">
        <v>700</v>
      </c>
      <c r="S14" s="395" t="s">
        <v>701</v>
      </c>
      <c r="T14" s="1134">
        <v>0</v>
      </c>
      <c r="U14" s="1134">
        <v>1</v>
      </c>
      <c r="V14" s="1134">
        <v>0</v>
      </c>
      <c r="W14" s="1134">
        <v>1</v>
      </c>
      <c r="X14" s="1134">
        <v>0</v>
      </c>
      <c r="Y14" s="1134">
        <v>0.97</v>
      </c>
      <c r="Z14" s="1134">
        <v>0</v>
      </c>
      <c r="AA14" s="1134">
        <v>1</v>
      </c>
      <c r="AB14" s="1134">
        <v>0</v>
      </c>
      <c r="AC14" s="1148">
        <v>1</v>
      </c>
      <c r="AE14" s="1192"/>
      <c r="AF14" s="1151" t="s">
        <v>699</v>
      </c>
      <c r="AG14" s="394" t="s">
        <v>700</v>
      </c>
      <c r="AH14" s="395" t="s">
        <v>701</v>
      </c>
      <c r="AI14" s="1134">
        <v>0</v>
      </c>
      <c r="AJ14" s="1134">
        <v>1</v>
      </c>
      <c r="AK14" s="1134">
        <v>0</v>
      </c>
      <c r="AL14" s="1134">
        <v>1</v>
      </c>
      <c r="AM14" s="1134">
        <v>0</v>
      </c>
      <c r="AN14" s="1134">
        <v>0.97</v>
      </c>
      <c r="AO14" s="1134">
        <v>0</v>
      </c>
      <c r="AP14" s="1134">
        <v>1</v>
      </c>
      <c r="AQ14" s="1134">
        <v>0</v>
      </c>
      <c r="AR14" s="1148">
        <v>1</v>
      </c>
    </row>
    <row r="15" spans="1:44" outlineLevel="1">
      <c r="B15" s="375" t="s">
        <v>638</v>
      </c>
      <c r="C15" s="389">
        <v>3</v>
      </c>
      <c r="D15" s="389">
        <v>3</v>
      </c>
      <c r="E15" s="389">
        <v>3</v>
      </c>
      <c r="F15" s="389">
        <v>3</v>
      </c>
      <c r="G15" s="389">
        <v>2.6</v>
      </c>
      <c r="H15" s="389">
        <v>3.5</v>
      </c>
      <c r="I15" s="389">
        <v>2.2999999999999998</v>
      </c>
      <c r="J15" s="389">
        <v>3.8</v>
      </c>
      <c r="K15" s="378" t="s">
        <v>20</v>
      </c>
      <c r="L15" s="379">
        <v>3</v>
      </c>
      <c r="M15" s="366"/>
      <c r="N15" s="366"/>
      <c r="O15" s="71"/>
      <c r="P15" s="1192"/>
      <c r="Q15" s="1152"/>
      <c r="R15" s="394" t="s">
        <v>702</v>
      </c>
      <c r="S15" s="395" t="s">
        <v>701</v>
      </c>
      <c r="T15" s="1188"/>
      <c r="U15" s="1188"/>
      <c r="V15" s="1188"/>
      <c r="W15" s="1188"/>
      <c r="X15" s="1188"/>
      <c r="Y15" s="1188"/>
      <c r="Z15" s="1188"/>
      <c r="AA15" s="1188"/>
      <c r="AB15" s="1188"/>
      <c r="AC15" s="1190"/>
      <c r="AE15" s="1192"/>
      <c r="AF15" s="1152"/>
      <c r="AG15" s="394" t="s">
        <v>702</v>
      </c>
      <c r="AH15" s="395" t="s">
        <v>701</v>
      </c>
      <c r="AI15" s="1188"/>
      <c r="AJ15" s="1188"/>
      <c r="AK15" s="1188"/>
      <c r="AL15" s="1188"/>
      <c r="AM15" s="1188"/>
      <c r="AN15" s="1188"/>
      <c r="AO15" s="1188"/>
      <c r="AP15" s="1188"/>
      <c r="AQ15" s="1188"/>
      <c r="AR15" s="1190"/>
    </row>
    <row r="16" spans="1:44" outlineLevel="1">
      <c r="B16" s="382" t="s">
        <v>11</v>
      </c>
      <c r="C16" s="396">
        <v>25</v>
      </c>
      <c r="D16" s="396">
        <v>25</v>
      </c>
      <c r="E16" s="396">
        <v>25</v>
      </c>
      <c r="F16" s="396">
        <v>25</v>
      </c>
      <c r="G16" s="397">
        <v>20</v>
      </c>
      <c r="H16" s="397">
        <v>35</v>
      </c>
      <c r="I16" s="397">
        <v>20</v>
      </c>
      <c r="J16" s="397">
        <v>35</v>
      </c>
      <c r="K16" s="371"/>
      <c r="L16" s="372" t="s">
        <v>703</v>
      </c>
      <c r="M16" s="362"/>
      <c r="N16" s="362"/>
      <c r="P16" s="1192"/>
      <c r="Q16" s="1152"/>
      <c r="R16" s="394" t="s">
        <v>704</v>
      </c>
      <c r="S16" s="395" t="s">
        <v>701</v>
      </c>
      <c r="T16" s="1188"/>
      <c r="U16" s="1188"/>
      <c r="V16" s="1188"/>
      <c r="W16" s="1188"/>
      <c r="X16" s="1188"/>
      <c r="Y16" s="1188"/>
      <c r="Z16" s="1188"/>
      <c r="AA16" s="1188"/>
      <c r="AB16" s="1188"/>
      <c r="AC16" s="1190"/>
      <c r="AE16" s="1192"/>
      <c r="AF16" s="1152"/>
      <c r="AG16" s="394" t="s">
        <v>704</v>
      </c>
      <c r="AH16" s="628" t="s">
        <v>701</v>
      </c>
      <c r="AI16" s="1188"/>
      <c r="AJ16" s="1188"/>
      <c r="AK16" s="1188"/>
      <c r="AL16" s="1188"/>
      <c r="AM16" s="1188"/>
      <c r="AN16" s="1188"/>
      <c r="AO16" s="1188"/>
      <c r="AP16" s="1188"/>
      <c r="AQ16" s="1188"/>
      <c r="AR16" s="1190"/>
    </row>
    <row r="17" spans="1:44" ht="15" outlineLevel="1" thickBot="1">
      <c r="B17" s="375" t="s">
        <v>273</v>
      </c>
      <c r="C17" s="398">
        <v>1</v>
      </c>
      <c r="D17" s="398">
        <v>1</v>
      </c>
      <c r="E17" s="398">
        <v>1</v>
      </c>
      <c r="F17" s="398">
        <v>1</v>
      </c>
      <c r="G17" s="398">
        <v>0.5</v>
      </c>
      <c r="H17" s="398">
        <v>1.5</v>
      </c>
      <c r="I17" s="398">
        <v>0.5</v>
      </c>
      <c r="J17" s="398">
        <v>1.5</v>
      </c>
      <c r="K17" s="371"/>
      <c r="L17" s="399"/>
      <c r="M17" s="362"/>
      <c r="N17" s="362"/>
      <c r="P17" s="1192"/>
      <c r="Q17" s="1152"/>
      <c r="R17" s="394" t="s">
        <v>705</v>
      </c>
      <c r="S17" s="395" t="s">
        <v>701</v>
      </c>
      <c r="T17" s="1188"/>
      <c r="U17" s="1188"/>
      <c r="V17" s="1188"/>
      <c r="W17" s="1188"/>
      <c r="X17" s="1188"/>
      <c r="Y17" s="1188"/>
      <c r="Z17" s="1188"/>
      <c r="AA17" s="1188"/>
      <c r="AB17" s="1188"/>
      <c r="AC17" s="1190"/>
      <c r="AE17" s="1192"/>
      <c r="AF17" s="1152"/>
      <c r="AG17" s="394" t="s">
        <v>705</v>
      </c>
      <c r="AH17" s="395" t="s">
        <v>701</v>
      </c>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t="s">
        <v>701</v>
      </c>
      <c r="T18" s="1189"/>
      <c r="U18" s="1189"/>
      <c r="V18" s="1189"/>
      <c r="W18" s="1189"/>
      <c r="X18" s="1189"/>
      <c r="Y18" s="1189"/>
      <c r="Z18" s="1189"/>
      <c r="AA18" s="1189"/>
      <c r="AB18" s="1189"/>
      <c r="AC18" s="1191"/>
      <c r="AE18" s="1192"/>
      <c r="AF18" s="1153"/>
      <c r="AG18" s="408" t="s">
        <v>826</v>
      </c>
      <c r="AH18" s="409" t="s">
        <v>701</v>
      </c>
      <c r="AI18" s="1189"/>
      <c r="AJ18" s="1189"/>
      <c r="AK18" s="1189"/>
      <c r="AL18" s="1189"/>
      <c r="AM18" s="1189"/>
      <c r="AN18" s="1189"/>
      <c r="AO18" s="1189"/>
      <c r="AP18" s="1189"/>
      <c r="AQ18" s="1189"/>
      <c r="AR18" s="1191"/>
    </row>
    <row r="19" spans="1:44" ht="29.4" outlineLevel="1" thickBot="1">
      <c r="B19" s="375" t="s">
        <v>643</v>
      </c>
      <c r="C19" s="389">
        <v>20</v>
      </c>
      <c r="D19" s="389">
        <v>20</v>
      </c>
      <c r="E19" s="389">
        <v>20</v>
      </c>
      <c r="F19" s="389">
        <v>20</v>
      </c>
      <c r="G19" s="390"/>
      <c r="H19" s="390"/>
      <c r="I19" s="390"/>
      <c r="J19" s="390"/>
      <c r="K19" s="378"/>
      <c r="L19" s="379">
        <v>3</v>
      </c>
      <c r="M19" s="362"/>
      <c r="N19" s="362"/>
      <c r="P19" s="1193"/>
      <c r="Q19" s="410" t="s">
        <v>708</v>
      </c>
      <c r="R19" s="411" t="s">
        <v>709</v>
      </c>
      <c r="S19" s="629" t="s">
        <v>701</v>
      </c>
      <c r="T19" s="415">
        <v>1</v>
      </c>
      <c r="U19" s="414">
        <v>1</v>
      </c>
      <c r="V19" s="415">
        <v>1</v>
      </c>
      <c r="W19" s="414">
        <v>1</v>
      </c>
      <c r="X19" s="415">
        <v>1</v>
      </c>
      <c r="Y19" s="414">
        <v>1</v>
      </c>
      <c r="Z19" s="415">
        <v>1</v>
      </c>
      <c r="AA19" s="414">
        <v>1</v>
      </c>
      <c r="AB19" s="415">
        <v>1</v>
      </c>
      <c r="AC19" s="416">
        <v>1</v>
      </c>
      <c r="AE19" s="1193"/>
      <c r="AF19" s="410" t="s">
        <v>708</v>
      </c>
      <c r="AG19" s="630" t="s">
        <v>709</v>
      </c>
      <c r="AH19" s="631" t="s">
        <v>701</v>
      </c>
      <c r="AI19" s="415">
        <v>1</v>
      </c>
      <c r="AJ19" s="414">
        <v>1</v>
      </c>
      <c r="AK19" s="415">
        <v>1</v>
      </c>
      <c r="AL19" s="414">
        <v>1</v>
      </c>
      <c r="AM19" s="415">
        <v>1</v>
      </c>
      <c r="AN19" s="414">
        <v>1</v>
      </c>
      <c r="AO19" s="415">
        <v>1</v>
      </c>
      <c r="AP19" s="414">
        <v>1</v>
      </c>
      <c r="AQ19" s="415">
        <v>1</v>
      </c>
      <c r="AR19" s="416">
        <v>1</v>
      </c>
    </row>
    <row r="20" spans="1:44" outlineLevel="1">
      <c r="B20" s="375" t="s">
        <v>644</v>
      </c>
      <c r="C20" s="389">
        <v>0.3</v>
      </c>
      <c r="D20" s="389">
        <v>0.3</v>
      </c>
      <c r="E20" s="389">
        <v>0.3</v>
      </c>
      <c r="F20" s="389">
        <v>0.3</v>
      </c>
      <c r="G20" s="417"/>
      <c r="H20" s="417"/>
      <c r="I20" s="417"/>
      <c r="J20" s="417"/>
      <c r="K20" s="418"/>
      <c r="L20" s="379">
        <v>3</v>
      </c>
      <c r="M20" s="362"/>
      <c r="N20" s="362"/>
    </row>
    <row r="21" spans="1:44" outlineLevel="1">
      <c r="B21" s="375" t="s">
        <v>646</v>
      </c>
      <c r="C21" s="389">
        <v>0.5</v>
      </c>
      <c r="D21" s="389">
        <v>0.5</v>
      </c>
      <c r="E21" s="389">
        <v>0.5</v>
      </c>
      <c r="F21" s="389">
        <v>0.5</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v>11</v>
      </c>
      <c r="D23" s="1229">
        <v>11</v>
      </c>
      <c r="E23" s="1229">
        <v>11</v>
      </c>
      <c r="F23" s="1230">
        <v>11</v>
      </c>
      <c r="G23" s="421"/>
      <c r="H23" s="424"/>
      <c r="I23" s="424"/>
      <c r="J23" s="424"/>
      <c r="K23" s="425" t="s">
        <v>76</v>
      </c>
      <c r="L23" s="426" t="s">
        <v>711</v>
      </c>
      <c r="M23" s="427"/>
      <c r="N23" s="427"/>
    </row>
    <row r="24" spans="1:44" outlineLevel="1">
      <c r="B24" s="382" t="s">
        <v>712</v>
      </c>
      <c r="C24" s="1231">
        <v>10</v>
      </c>
      <c r="D24" s="1232">
        <v>10</v>
      </c>
      <c r="E24" s="1232">
        <v>10</v>
      </c>
      <c r="F24" s="1233">
        <v>10</v>
      </c>
      <c r="G24" s="424"/>
      <c r="H24" s="424"/>
      <c r="I24" s="424"/>
      <c r="J24" s="424"/>
      <c r="K24" s="422"/>
      <c r="L24" s="426">
        <v>9</v>
      </c>
      <c r="M24" s="427"/>
      <c r="N24" s="427"/>
    </row>
    <row r="25" spans="1:44" outlineLevel="1">
      <c r="B25" s="382" t="s">
        <v>807</v>
      </c>
      <c r="C25" s="1231">
        <v>63</v>
      </c>
      <c r="D25" s="1232">
        <v>49</v>
      </c>
      <c r="E25" s="1232">
        <v>46</v>
      </c>
      <c r="F25" s="1233">
        <v>41</v>
      </c>
      <c r="G25" s="424"/>
      <c r="H25" s="424"/>
      <c r="I25" s="424"/>
      <c r="J25" s="424"/>
      <c r="K25" s="422"/>
      <c r="L25" s="426" t="s">
        <v>711</v>
      </c>
      <c r="M25" s="427"/>
      <c r="N25" s="427"/>
    </row>
    <row r="26" spans="1:44" outlineLevel="1">
      <c r="B26" s="382" t="s">
        <v>366</v>
      </c>
      <c r="C26" s="1231">
        <v>11</v>
      </c>
      <c r="D26" s="1232">
        <v>8</v>
      </c>
      <c r="E26" s="1232">
        <v>6</v>
      </c>
      <c r="F26" s="1233">
        <v>4</v>
      </c>
      <c r="G26" s="424"/>
      <c r="H26" s="424"/>
      <c r="I26" s="424"/>
      <c r="J26" s="424"/>
      <c r="K26" s="422"/>
      <c r="L26" s="426" t="s">
        <v>711</v>
      </c>
      <c r="M26" s="427"/>
      <c r="N26" s="427"/>
    </row>
    <row r="27" spans="1:44" ht="15" outlineLevel="1" thickBot="1">
      <c r="B27" s="428" t="s">
        <v>367</v>
      </c>
      <c r="C27" s="1234">
        <v>3</v>
      </c>
      <c r="D27" s="1235">
        <v>3</v>
      </c>
      <c r="E27" s="1235">
        <v>1</v>
      </c>
      <c r="F27" s="1236">
        <v>1</v>
      </c>
      <c r="G27" s="424"/>
      <c r="H27" s="424"/>
      <c r="I27" s="424"/>
      <c r="J27" s="424"/>
      <c r="K27" s="422"/>
      <c r="L27" s="426" t="s">
        <v>711</v>
      </c>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550">
        <v>0.61818181818181817</v>
      </c>
      <c r="D29" s="646">
        <v>0.59090909090909083</v>
      </c>
      <c r="E29" s="646">
        <f>(F29+D29)/2</f>
        <v>0.56363636363636349</v>
      </c>
      <c r="F29" s="647">
        <v>0.53636363636363626</v>
      </c>
      <c r="G29" s="424"/>
      <c r="H29" s="424"/>
      <c r="I29" s="424"/>
      <c r="J29" s="424"/>
      <c r="K29" s="425" t="s">
        <v>937</v>
      </c>
      <c r="L29" s="439" t="s">
        <v>716</v>
      </c>
      <c r="M29" s="419"/>
      <c r="N29" s="419"/>
    </row>
    <row r="30" spans="1:44" outlineLevel="1">
      <c r="B30" s="440" t="s">
        <v>802</v>
      </c>
      <c r="C30" s="441">
        <v>60</v>
      </c>
      <c r="D30" s="441">
        <v>60</v>
      </c>
      <c r="E30" s="441">
        <v>60</v>
      </c>
      <c r="F30" s="441">
        <v>60</v>
      </c>
      <c r="G30" s="424"/>
      <c r="H30" s="424"/>
      <c r="I30" s="424"/>
      <c r="J30" s="424"/>
      <c r="K30" s="443"/>
      <c r="L30" s="372">
        <v>3</v>
      </c>
      <c r="M30" s="71"/>
      <c r="N30" s="419"/>
    </row>
    <row r="31" spans="1:44" outlineLevel="1">
      <c r="B31" s="440" t="s">
        <v>803</v>
      </c>
      <c r="C31" s="441">
        <f>100-C30</f>
        <v>40</v>
      </c>
      <c r="D31" s="441">
        <f>100-D30</f>
        <v>40</v>
      </c>
      <c r="E31" s="441">
        <f>100-E30</f>
        <v>40</v>
      </c>
      <c r="F31" s="441">
        <f>100-F30</f>
        <v>40</v>
      </c>
      <c r="G31" s="424"/>
      <c r="H31" s="424"/>
      <c r="I31" s="424"/>
      <c r="J31" s="424"/>
      <c r="K31" s="443"/>
      <c r="L31" s="372">
        <v>3</v>
      </c>
      <c r="M31" s="419"/>
      <c r="N31" s="419"/>
    </row>
    <row r="32" spans="1:44" outlineLevel="1">
      <c r="B32" s="382" t="s">
        <v>804</v>
      </c>
      <c r="C32" s="601">
        <v>33700</v>
      </c>
      <c r="D32" s="602">
        <v>35900</v>
      </c>
      <c r="E32" s="602">
        <f>(F32+D32)/2</f>
        <v>34800</v>
      </c>
      <c r="F32" s="603">
        <v>33700</v>
      </c>
      <c r="G32" s="424"/>
      <c r="H32" s="424"/>
      <c r="I32" s="424"/>
      <c r="J32" s="424"/>
      <c r="K32" s="447" t="s">
        <v>52</v>
      </c>
      <c r="L32" s="372">
        <v>3</v>
      </c>
      <c r="M32" s="419"/>
      <c r="N32" s="419"/>
    </row>
    <row r="33" spans="2:30" ht="37.049999999999997" customHeight="1" outlineLevel="1" thickBot="1">
      <c r="B33" s="382" t="s">
        <v>659</v>
      </c>
      <c r="C33" s="604">
        <f>C34+C35</f>
        <v>2.7789999999999999</v>
      </c>
      <c r="D33" s="604">
        <f t="shared" ref="D33:F33" si="1">D34+D35</f>
        <v>2.8250000000000002</v>
      </c>
      <c r="E33" s="604">
        <f t="shared" si="1"/>
        <v>2.8479999999999999</v>
      </c>
      <c r="F33" s="604">
        <f t="shared" si="1"/>
        <v>2.8479999999999999</v>
      </c>
      <c r="G33" s="424"/>
      <c r="H33" s="424"/>
      <c r="I33" s="424"/>
      <c r="J33" s="424"/>
      <c r="K33" s="447"/>
      <c r="L33" s="372">
        <v>3</v>
      </c>
      <c r="M33" s="449"/>
      <c r="N33" s="360"/>
      <c r="P33" s="1139">
        <f>C33</f>
        <v>2.7789999999999999</v>
      </c>
      <c r="Q33" s="1140"/>
      <c r="R33" s="1140"/>
      <c r="S33" s="1140"/>
      <c r="T33" s="1140"/>
      <c r="U33" s="1141"/>
    </row>
    <row r="34" spans="2:30" ht="15.75" customHeight="1" outlineLevel="1" thickBot="1">
      <c r="B34" s="450" t="s">
        <v>721</v>
      </c>
      <c r="C34" s="451">
        <f>C13/100*73</f>
        <v>1.679</v>
      </c>
      <c r="D34" s="451">
        <f>D13/100*75</f>
        <v>1.7249999999999999</v>
      </c>
      <c r="E34" s="451">
        <f>E13/100*76</f>
        <v>1.748</v>
      </c>
      <c r="F34" s="451">
        <f>F13/100*76</f>
        <v>1.748</v>
      </c>
      <c r="G34" s="452"/>
      <c r="H34" s="452"/>
      <c r="I34" s="452"/>
      <c r="J34" s="452"/>
      <c r="K34" s="378" t="s">
        <v>55</v>
      </c>
      <c r="L34" s="379">
        <v>3</v>
      </c>
      <c r="M34" s="449"/>
      <c r="N34" s="360"/>
      <c r="P34" s="1131">
        <f>C34</f>
        <v>1.679</v>
      </c>
      <c r="Q34" s="1132"/>
      <c r="R34" s="1132"/>
      <c r="S34" s="1132"/>
      <c r="T34" s="1132"/>
      <c r="U34" s="1133"/>
    </row>
    <row r="35" spans="2:30" outlineLevel="1">
      <c r="B35" s="450" t="s">
        <v>722</v>
      </c>
      <c r="C35" s="453">
        <v>1.1000000000000001</v>
      </c>
      <c r="D35" s="453">
        <v>1.1000000000000001</v>
      </c>
      <c r="E35" s="453">
        <v>1.1000000000000001</v>
      </c>
      <c r="F35" s="453">
        <v>1.1000000000000001</v>
      </c>
      <c r="G35" s="452"/>
      <c r="H35" s="452"/>
      <c r="I35" s="452"/>
      <c r="J35" s="452"/>
      <c r="K35" s="454"/>
      <c r="L35" s="379">
        <v>3</v>
      </c>
      <c r="M35" s="362"/>
      <c r="N35" s="362"/>
      <c r="P35" s="53" t="s">
        <v>357</v>
      </c>
    </row>
    <row r="36" spans="2:30" ht="27.6"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461" t="s">
        <v>36</v>
      </c>
      <c r="D39" s="461" t="s">
        <v>36</v>
      </c>
      <c r="E39" s="461" t="s">
        <v>36</v>
      </c>
      <c r="F39" s="461" t="s">
        <v>36</v>
      </c>
      <c r="G39" s="462"/>
      <c r="H39" s="462"/>
      <c r="I39" s="462"/>
      <c r="J39" s="462"/>
      <c r="K39" s="462" t="s">
        <v>49</v>
      </c>
      <c r="L39" s="463"/>
      <c r="M39" s="362"/>
      <c r="N39" s="362"/>
      <c r="O39" s="464">
        <f>C12</f>
        <v>89</v>
      </c>
      <c r="P39" s="465">
        <f>C8</f>
        <v>2020</v>
      </c>
      <c r="Q39" s="58">
        <f>P39</f>
        <v>2020</v>
      </c>
      <c r="R39" s="465">
        <f>O39/100</f>
        <v>0.89</v>
      </c>
      <c r="S39" s="58"/>
      <c r="T39" s="465">
        <f>C16</f>
        <v>25</v>
      </c>
      <c r="U39" s="466">
        <f>C46</f>
        <v>4605.454545454545</v>
      </c>
      <c r="V39" s="466">
        <f>C48</f>
        <v>251.065</v>
      </c>
      <c r="W39" s="466">
        <f>C49</f>
        <v>5.7509861111111107</v>
      </c>
      <c r="X39" s="58"/>
      <c r="Y39" s="58"/>
      <c r="Z39" s="465">
        <f>C23</f>
        <v>11</v>
      </c>
      <c r="AA39" s="467">
        <f>C25</f>
        <v>63</v>
      </c>
      <c r="AB39" s="467">
        <f>C26</f>
        <v>11</v>
      </c>
      <c r="AC39" s="467">
        <f>C27</f>
        <v>3</v>
      </c>
      <c r="AD39" s="467">
        <f>C24</f>
        <v>10</v>
      </c>
    </row>
    <row r="40" spans="2:30" ht="14.55" customHeight="1" outlineLevel="1">
      <c r="B40" s="375" t="s">
        <v>726</v>
      </c>
      <c r="C40" s="468" t="s">
        <v>36</v>
      </c>
      <c r="D40" s="469" t="s">
        <v>36</v>
      </c>
      <c r="E40" s="469" t="s">
        <v>36</v>
      </c>
      <c r="F40" s="470" t="s">
        <v>36</v>
      </c>
      <c r="G40" s="470"/>
      <c r="H40" s="470"/>
      <c r="I40" s="470"/>
      <c r="J40" s="470"/>
      <c r="K40" s="471" t="s">
        <v>49</v>
      </c>
      <c r="L40" s="463"/>
      <c r="M40" s="362"/>
      <c r="N40" s="362"/>
      <c r="O40" s="464">
        <f>D12</f>
        <v>89</v>
      </c>
      <c r="P40" s="465">
        <f>D8</f>
        <v>2030</v>
      </c>
      <c r="Q40" s="58"/>
      <c r="R40" s="465">
        <f>O40/100</f>
        <v>0.89</v>
      </c>
      <c r="S40" s="58"/>
      <c r="T40" s="465">
        <f>D16</f>
        <v>25</v>
      </c>
      <c r="U40" s="466">
        <f>D46</f>
        <v>4402.2727272727261</v>
      </c>
      <c r="V40" s="466">
        <f>D48</f>
        <v>267.45499999999998</v>
      </c>
      <c r="W40" s="466">
        <f>D49</f>
        <v>5.8461805555555557</v>
      </c>
      <c r="X40" s="58"/>
      <c r="Y40" s="58"/>
      <c r="Z40" s="465">
        <f>D23</f>
        <v>11</v>
      </c>
      <c r="AA40" s="467">
        <f>D25</f>
        <v>49</v>
      </c>
      <c r="AB40" s="467">
        <f>D26</f>
        <v>8</v>
      </c>
      <c r="AC40" s="467">
        <f>D27</f>
        <v>3</v>
      </c>
      <c r="AD40" s="467">
        <f>D24</f>
        <v>10</v>
      </c>
    </row>
    <row r="41" spans="2:30" outlineLevel="1">
      <c r="B41" s="375" t="s">
        <v>727</v>
      </c>
      <c r="C41" s="468" t="s">
        <v>36</v>
      </c>
      <c r="D41" s="469" t="s">
        <v>36</v>
      </c>
      <c r="E41" s="469" t="s">
        <v>36</v>
      </c>
      <c r="F41" s="470" t="s">
        <v>36</v>
      </c>
      <c r="G41" s="452"/>
      <c r="H41" s="452"/>
      <c r="I41" s="452"/>
      <c r="J41" s="452"/>
      <c r="K41" s="452"/>
      <c r="L41" s="379"/>
      <c r="M41" s="362"/>
      <c r="N41" s="362"/>
      <c r="O41" s="464">
        <f>E12</f>
        <v>89</v>
      </c>
      <c r="P41" s="465">
        <f>E8</f>
        <v>2040</v>
      </c>
      <c r="Q41" s="58"/>
      <c r="R41" s="465">
        <f>O41/100</f>
        <v>0.89</v>
      </c>
      <c r="S41" s="58"/>
      <c r="T41" s="465">
        <f>E16</f>
        <v>25</v>
      </c>
      <c r="U41" s="466">
        <f>E46</f>
        <v>4199.0909090909081</v>
      </c>
      <c r="V41" s="466">
        <f>E48</f>
        <v>259.26</v>
      </c>
      <c r="W41" s="466">
        <f>E49</f>
        <v>5.8937777777777782</v>
      </c>
      <c r="X41" s="58"/>
      <c r="Y41" s="58"/>
      <c r="Z41" s="465">
        <f>E23</f>
        <v>11</v>
      </c>
      <c r="AA41" s="467">
        <f>E25</f>
        <v>46</v>
      </c>
      <c r="AB41" s="467">
        <f>E26</f>
        <v>6</v>
      </c>
      <c r="AC41" s="467">
        <f>E27</f>
        <v>1</v>
      </c>
      <c r="AD41" s="467">
        <f>E24</f>
        <v>10</v>
      </c>
    </row>
    <row r="42" spans="2:30" ht="14.55" customHeight="1" outlineLevel="1">
      <c r="B42" s="375" t="s">
        <v>728</v>
      </c>
      <c r="C42" s="1237">
        <v>90</v>
      </c>
      <c r="D42" s="1238">
        <v>90</v>
      </c>
      <c r="E42" s="1238">
        <v>90</v>
      </c>
      <c r="F42" s="1239">
        <v>90</v>
      </c>
      <c r="G42" s="473"/>
      <c r="H42" s="473"/>
      <c r="I42" s="473"/>
      <c r="J42" s="473"/>
      <c r="K42" s="473"/>
      <c r="L42" s="379">
        <v>3</v>
      </c>
      <c r="M42" s="362"/>
      <c r="N42" s="362"/>
      <c r="O42" s="464">
        <f>F12</f>
        <v>90</v>
      </c>
      <c r="P42" s="465">
        <f>F8</f>
        <v>2050</v>
      </c>
      <c r="Q42" s="58"/>
      <c r="R42" s="465">
        <f>O42/100</f>
        <v>0.9</v>
      </c>
      <c r="S42" s="58"/>
      <c r="T42" s="465">
        <f>F16</f>
        <v>25</v>
      </c>
      <c r="U42" s="466">
        <f>F46</f>
        <v>3995.9090909090901</v>
      </c>
      <c r="V42" s="466">
        <f>F48</f>
        <v>251.065</v>
      </c>
      <c r="W42" s="466">
        <f>F49</f>
        <v>5.8937777777777782</v>
      </c>
      <c r="X42" s="58"/>
      <c r="Y42" s="58"/>
      <c r="Z42" s="465">
        <f>F23</f>
        <v>11</v>
      </c>
      <c r="AA42" s="467">
        <f>F25</f>
        <v>41</v>
      </c>
      <c r="AB42" s="467">
        <f>F26</f>
        <v>4</v>
      </c>
      <c r="AC42" s="467">
        <f>F27</f>
        <v>1</v>
      </c>
      <c r="AD42" s="467">
        <f>F24</f>
        <v>10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477" t="s">
        <v>36</v>
      </c>
      <c r="D45" s="478" t="s">
        <v>36</v>
      </c>
      <c r="E45" s="478" t="s">
        <v>36</v>
      </c>
      <c r="F45" s="479" t="s">
        <v>36</v>
      </c>
      <c r="G45" s="480"/>
      <c r="H45" s="480"/>
      <c r="I45" s="480"/>
      <c r="J45" s="480"/>
      <c r="K45" s="480"/>
      <c r="L45" s="481"/>
      <c r="M45" s="362"/>
      <c r="N45" s="362"/>
    </row>
    <row r="46" spans="2:30" ht="57.6" outlineLevel="1">
      <c r="B46" s="460" t="s">
        <v>732</v>
      </c>
      <c r="C46" s="482">
        <f>C29*$F$4*1000</f>
        <v>4605.454545454545</v>
      </c>
      <c r="D46" s="482">
        <f t="shared" ref="D46:F46" si="2">D29*$F$4*1000</f>
        <v>4402.2727272727261</v>
      </c>
      <c r="E46" s="482">
        <f t="shared" si="2"/>
        <v>4199.0909090909081</v>
      </c>
      <c r="F46" s="482">
        <f t="shared" si="2"/>
        <v>3995.9090909090901</v>
      </c>
      <c r="G46" s="482"/>
      <c r="H46" s="483"/>
      <c r="I46" s="419" t="s">
        <v>332</v>
      </c>
      <c r="J46" s="419"/>
      <c r="K46" s="483"/>
      <c r="L46" s="483"/>
      <c r="N46" s="419"/>
    </row>
    <row r="47" spans="2:30" outlineLevel="1">
      <c r="B47" s="484" t="s">
        <v>733</v>
      </c>
      <c r="C47" s="485">
        <f>C46*$I47</f>
        <v>2302727.2727272725</v>
      </c>
      <c r="D47" s="485">
        <f>D46*$I47</f>
        <v>2201136.3636363628</v>
      </c>
      <c r="E47" s="485">
        <f>E46*$I47</f>
        <v>2099545.4545454541</v>
      </c>
      <c r="F47" s="485">
        <f>F46*$I47</f>
        <v>1997954.5454545449</v>
      </c>
      <c r="G47" s="485"/>
      <c r="H47" s="483"/>
      <c r="I47" s="71">
        <v>500</v>
      </c>
      <c r="J47" s="419" t="s">
        <v>330</v>
      </c>
      <c r="K47" s="483"/>
      <c r="L47" s="483"/>
      <c r="N47" s="419"/>
    </row>
    <row r="48" spans="2:30" ht="43.2" outlineLevel="1">
      <c r="B48" s="460" t="s">
        <v>808</v>
      </c>
      <c r="C48" s="358">
        <f>C32*$F$4/1000</f>
        <v>251.065</v>
      </c>
      <c r="D48" s="358">
        <f t="shared" ref="D48:F48" si="3">D32*$F$4/1000</f>
        <v>267.45499999999998</v>
      </c>
      <c r="E48" s="358">
        <f t="shared" si="3"/>
        <v>259.26</v>
      </c>
      <c r="F48" s="358">
        <f t="shared" si="3"/>
        <v>251.065</v>
      </c>
      <c r="G48" s="358"/>
      <c r="I48" s="419" t="s">
        <v>333</v>
      </c>
      <c r="J48" s="419"/>
      <c r="N48" s="419"/>
    </row>
    <row r="49" spans="2:14" ht="43.2" outlineLevel="1">
      <c r="B49" s="460" t="s">
        <v>809</v>
      </c>
      <c r="C49" s="486">
        <f>C33*$F$4/3.6</f>
        <v>5.7509861111111107</v>
      </c>
      <c r="D49" s="486">
        <f t="shared" ref="D49:F49" si="4">D33*$F$4/3.6</f>
        <v>5.8461805555555557</v>
      </c>
      <c r="E49" s="486">
        <f t="shared" si="4"/>
        <v>5.8937777777777782</v>
      </c>
      <c r="F49" s="486">
        <f t="shared" si="4"/>
        <v>5.8937777777777782</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D55" s="357"/>
      <c r="E55" s="357"/>
      <c r="F55" s="357"/>
      <c r="G55" s="357"/>
      <c r="H55" s="357"/>
      <c r="I55" s="357"/>
      <c r="J55" s="357"/>
      <c r="K55" s="357"/>
      <c r="L55" s="357"/>
    </row>
    <row r="56" spans="2:14" outlineLevel="1">
      <c r="B56" s="490">
        <v>1</v>
      </c>
      <c r="C56" s="491" t="s">
        <v>737</v>
      </c>
      <c r="D56" s="489"/>
      <c r="F56" s="357"/>
      <c r="G56" s="357"/>
      <c r="H56" s="357"/>
      <c r="I56" s="357"/>
      <c r="J56" s="357"/>
      <c r="K56" s="357"/>
      <c r="L56" s="357"/>
    </row>
    <row r="57" spans="2:14" outlineLevel="1">
      <c r="B57" s="490">
        <v>2</v>
      </c>
      <c r="C57" s="492" t="s">
        <v>738</v>
      </c>
      <c r="D57" s="489"/>
      <c r="F57" s="357"/>
      <c r="G57" s="357"/>
      <c r="H57" s="357"/>
      <c r="I57" s="357"/>
      <c r="J57" s="357"/>
      <c r="K57" s="357"/>
      <c r="L57" s="357"/>
    </row>
    <row r="58" spans="2:14" outlineLevel="1">
      <c r="B58" s="490">
        <v>3</v>
      </c>
      <c r="C58" s="492" t="s">
        <v>739</v>
      </c>
      <c r="D58" s="489"/>
      <c r="F58" s="357"/>
      <c r="G58" s="357"/>
      <c r="H58" s="357"/>
      <c r="I58" s="357"/>
      <c r="J58" s="357"/>
      <c r="K58" s="357"/>
      <c r="L58" s="357"/>
    </row>
    <row r="59" spans="2:14" outlineLevel="1">
      <c r="B59" s="490">
        <v>4</v>
      </c>
      <c r="C59" s="492" t="s">
        <v>740</v>
      </c>
      <c r="D59" s="489"/>
      <c r="F59" s="357"/>
      <c r="G59" s="357"/>
      <c r="H59" s="357"/>
      <c r="I59" s="357"/>
      <c r="J59" s="357"/>
      <c r="K59" s="357"/>
      <c r="L59" s="357"/>
    </row>
    <row r="60" spans="2:14" outlineLevel="1">
      <c r="B60" s="357">
        <v>5</v>
      </c>
      <c r="C60" s="493" t="s">
        <v>741</v>
      </c>
      <c r="D60" s="489"/>
      <c r="F60" s="357"/>
      <c r="G60" s="357"/>
      <c r="H60" s="357"/>
      <c r="I60" s="357"/>
      <c r="J60" s="357"/>
      <c r="K60" s="357"/>
      <c r="L60" s="357"/>
    </row>
    <row r="61" spans="2:14" outlineLevel="1">
      <c r="B61" s="357">
        <v>6</v>
      </c>
      <c r="C61" s="491" t="s">
        <v>742</v>
      </c>
      <c r="D61" s="489"/>
      <c r="F61" s="357"/>
      <c r="G61" s="357"/>
      <c r="H61" s="357"/>
      <c r="I61" s="357"/>
      <c r="J61" s="357"/>
      <c r="K61" s="357"/>
      <c r="L61" s="357"/>
    </row>
    <row r="62" spans="2:14" outlineLevel="1">
      <c r="B62" s="357">
        <v>7</v>
      </c>
      <c r="C62" s="494" t="s">
        <v>737</v>
      </c>
      <c r="D62" s="489"/>
      <c r="F62" s="357"/>
      <c r="G62" s="357"/>
      <c r="H62" s="357"/>
      <c r="I62" s="357"/>
      <c r="J62" s="357"/>
      <c r="K62" s="357"/>
      <c r="L62" s="357"/>
    </row>
    <row r="63" spans="2:14" outlineLevel="1">
      <c r="B63" s="357">
        <v>8</v>
      </c>
      <c r="C63" s="494" t="s">
        <v>743</v>
      </c>
      <c r="D63" s="489"/>
      <c r="F63" s="357"/>
      <c r="G63" s="357"/>
      <c r="H63" s="357"/>
      <c r="I63" s="357"/>
      <c r="J63" s="357"/>
      <c r="K63" s="357"/>
      <c r="L63" s="357"/>
    </row>
    <row r="64" spans="2:14" outlineLevel="1">
      <c r="B64" s="357">
        <v>9</v>
      </c>
      <c r="C64" s="488" t="s">
        <v>744</v>
      </c>
      <c r="D64" s="489"/>
      <c r="F64" s="357"/>
      <c r="G64" s="357"/>
      <c r="H64" s="357"/>
      <c r="I64" s="357"/>
      <c r="J64" s="357"/>
      <c r="K64" s="357"/>
      <c r="L64" s="357"/>
    </row>
    <row r="65" spans="2:12" outlineLevel="1">
      <c r="B65" s="357">
        <v>10</v>
      </c>
      <c r="C65" s="489" t="s">
        <v>745</v>
      </c>
      <c r="D65" s="357"/>
      <c r="F65" s="357"/>
      <c r="G65" s="357"/>
      <c r="H65" s="357"/>
      <c r="I65" s="357"/>
      <c r="J65" s="357"/>
      <c r="K65" s="357"/>
      <c r="L65" s="357"/>
    </row>
    <row r="66" spans="2:12" outlineLevel="1">
      <c r="B66" s="487" t="s">
        <v>746</v>
      </c>
      <c r="C66" s="488"/>
      <c r="F66" s="357"/>
      <c r="G66" s="357"/>
      <c r="H66" s="357"/>
      <c r="I66" s="357"/>
      <c r="J66" s="357"/>
      <c r="K66" s="357"/>
      <c r="L66" s="357"/>
    </row>
    <row r="67" spans="2:12" outlineLevel="1">
      <c r="B67" s="495" t="s">
        <v>6</v>
      </c>
      <c r="C67" s="496" t="s">
        <v>938</v>
      </c>
      <c r="D67" s="357"/>
      <c r="F67" s="357"/>
      <c r="G67" s="357"/>
      <c r="H67" s="357"/>
      <c r="I67" s="357"/>
      <c r="J67" s="357"/>
      <c r="K67" s="357"/>
      <c r="L67" s="357"/>
    </row>
    <row r="68" spans="2:12" outlineLevel="1">
      <c r="B68" s="495" t="s">
        <v>59</v>
      </c>
      <c r="C68" s="488" t="s">
        <v>748</v>
      </c>
      <c r="D68" s="357"/>
      <c r="F68" s="357"/>
      <c r="G68" s="357"/>
      <c r="H68" s="357"/>
      <c r="I68" s="357"/>
      <c r="J68" s="357"/>
      <c r="K68" s="357"/>
      <c r="L68" s="357"/>
    </row>
    <row r="69" spans="2:12" outlineLevel="1">
      <c r="B69" s="495" t="s">
        <v>16</v>
      </c>
      <c r="C69" s="488" t="s">
        <v>939</v>
      </c>
      <c r="F69" s="357"/>
      <c r="G69" s="357"/>
      <c r="H69" s="357"/>
      <c r="I69" s="357"/>
      <c r="J69" s="357"/>
      <c r="K69" s="357"/>
      <c r="L69" s="357"/>
    </row>
    <row r="70" spans="2:12" outlineLevel="1">
      <c r="B70" s="495" t="s">
        <v>20</v>
      </c>
      <c r="C70" s="488" t="s">
        <v>940</v>
      </c>
      <c r="G70" s="357"/>
      <c r="H70" s="357"/>
      <c r="I70" s="357"/>
      <c r="J70" s="357"/>
      <c r="K70" s="357"/>
      <c r="L70" s="357"/>
    </row>
    <row r="71" spans="2:12" outlineLevel="1">
      <c r="B71" s="495" t="s">
        <v>76</v>
      </c>
      <c r="C71" s="488" t="s">
        <v>749</v>
      </c>
      <c r="G71" s="357"/>
      <c r="H71" s="357"/>
      <c r="I71" s="357"/>
      <c r="J71" s="357"/>
      <c r="K71" s="357"/>
      <c r="L71" s="357"/>
    </row>
    <row r="72" spans="2:12" outlineLevel="1">
      <c r="B72" s="495" t="s">
        <v>25</v>
      </c>
      <c r="C72" s="488" t="s">
        <v>941</v>
      </c>
      <c r="G72" s="357"/>
      <c r="H72" s="357"/>
      <c r="I72" s="357"/>
      <c r="J72" s="357"/>
      <c r="K72" s="357"/>
      <c r="L72" s="357"/>
    </row>
    <row r="73" spans="2:12" outlineLevel="1">
      <c r="B73" s="495" t="s">
        <v>33</v>
      </c>
      <c r="C73" s="488" t="s">
        <v>942</v>
      </c>
      <c r="G73" s="357"/>
      <c r="H73" s="357"/>
      <c r="I73" s="357"/>
      <c r="J73" s="357"/>
      <c r="K73" s="357"/>
      <c r="L73" s="357"/>
    </row>
    <row r="74" spans="2:12" outlineLevel="1">
      <c r="B74" s="495" t="s">
        <v>51</v>
      </c>
      <c r="C74" s="488" t="s">
        <v>750</v>
      </c>
      <c r="G74" s="357"/>
      <c r="H74" s="357"/>
      <c r="I74" s="357"/>
      <c r="J74" s="357"/>
      <c r="K74" s="357"/>
      <c r="L74" s="357"/>
    </row>
    <row r="75" spans="2:12" outlineLevel="1">
      <c r="B75" s="495" t="s">
        <v>52</v>
      </c>
      <c r="C75" s="488" t="s">
        <v>943</v>
      </c>
      <c r="G75" s="357"/>
      <c r="H75" s="357"/>
      <c r="I75" s="357"/>
      <c r="J75" s="357"/>
      <c r="K75" s="357"/>
      <c r="L75" s="357"/>
    </row>
    <row r="76" spans="2:12" outlineLevel="1">
      <c r="B76" s="495" t="s">
        <v>55</v>
      </c>
      <c r="C76" s="497" t="s">
        <v>751</v>
      </c>
      <c r="G76" s="357"/>
      <c r="H76" s="357"/>
      <c r="I76" s="357"/>
      <c r="J76" s="357"/>
      <c r="K76" s="357"/>
      <c r="L76" s="357"/>
    </row>
    <row r="77" spans="2:12" outlineLevel="1">
      <c r="B77" s="495" t="s">
        <v>49</v>
      </c>
      <c r="C77" s="488" t="s">
        <v>752</v>
      </c>
      <c r="G77" s="357"/>
      <c r="H77" s="357"/>
      <c r="I77" s="357"/>
      <c r="J77" s="357"/>
      <c r="K77" s="357"/>
      <c r="L77" s="357"/>
    </row>
    <row r="78" spans="2:12" outlineLevel="1">
      <c r="E78" s="489"/>
      <c r="F78" s="489"/>
    </row>
    <row r="79" spans="2:12" outlineLevel="1"/>
    <row r="80" spans="2:12" outlineLevel="1">
      <c r="B80" s="495"/>
      <c r="C80" s="488"/>
      <c r="D80" s="488"/>
    </row>
    <row r="81" spans="1:44" outlineLevel="1">
      <c r="B81" s="637" t="str">
        <f>C86</f>
        <v>Steam boiler, Wood chips (Condensing)</v>
      </c>
    </row>
    <row r="84" spans="1:44">
      <c r="A84" s="359" t="s">
        <v>957</v>
      </c>
      <c r="B84" s="1204"/>
      <c r="C84" s="1140"/>
      <c r="D84" s="1140"/>
      <c r="E84" s="1140"/>
      <c r="F84" s="1140"/>
      <c r="G84" s="1140"/>
      <c r="H84" s="1140"/>
      <c r="I84" s="1140"/>
      <c r="J84" s="1140"/>
      <c r="K84" s="1140"/>
      <c r="L84" s="1140"/>
      <c r="M84" s="1140"/>
      <c r="N84" s="360"/>
      <c r="P84" s="1140"/>
      <c r="Q84" s="1140"/>
      <c r="R84" s="1140"/>
      <c r="S84" s="1140"/>
      <c r="T84" s="1140"/>
      <c r="U84" s="1140"/>
    </row>
    <row r="85" spans="1:44" ht="15" outlineLevel="1" thickBot="1">
      <c r="B85" s="1204"/>
      <c r="C85" s="1140"/>
      <c r="D85" s="1140"/>
      <c r="E85" s="1140"/>
      <c r="F85" s="1140"/>
      <c r="G85" s="1140"/>
      <c r="H85" s="1140"/>
      <c r="I85" s="1140"/>
      <c r="J85" s="1140"/>
      <c r="K85" s="1140"/>
      <c r="L85" s="1140"/>
      <c r="M85" s="1140"/>
      <c r="N85" s="360"/>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5" customHeight="1" outlineLevel="1" thickBot="1">
      <c r="B86" s="361" t="s">
        <v>0</v>
      </c>
      <c r="C86" s="1201" t="s">
        <v>944</v>
      </c>
      <c r="D86" s="1202"/>
      <c r="E86" s="1202"/>
      <c r="F86" s="1202"/>
      <c r="G86" s="1202"/>
      <c r="H86" s="1202"/>
      <c r="I86" s="1202"/>
      <c r="J86" s="1202"/>
      <c r="K86" s="1202"/>
      <c r="L86" s="1203"/>
      <c r="M86" s="362"/>
      <c r="N86" s="362"/>
      <c r="P86" s="363" t="s">
        <v>676</v>
      </c>
      <c r="Q86" s="364"/>
      <c r="R86" s="365"/>
      <c r="S86" s="1173" t="s">
        <v>677</v>
      </c>
      <c r="T86" s="1157" t="s">
        <v>678</v>
      </c>
      <c r="U86" s="1158"/>
      <c r="V86" s="1157" t="s">
        <v>679</v>
      </c>
      <c r="W86" s="1158"/>
      <c r="X86" s="1157" t="s">
        <v>680</v>
      </c>
      <c r="Y86" s="1158"/>
      <c r="Z86" s="1157" t="s">
        <v>681</v>
      </c>
      <c r="AA86" s="1158"/>
      <c r="AB86" s="1157" t="s">
        <v>682</v>
      </c>
      <c r="AC86" s="1158"/>
      <c r="AE86" s="363" t="s">
        <v>683</v>
      </c>
      <c r="AF86" s="364"/>
      <c r="AG86" s="365"/>
      <c r="AH86" s="1173" t="s">
        <v>677</v>
      </c>
      <c r="AI86" s="1157" t="s">
        <v>678</v>
      </c>
      <c r="AJ86" s="1158"/>
      <c r="AK86" s="1157" t="s">
        <v>679</v>
      </c>
      <c r="AL86" s="1158"/>
      <c r="AM86" s="1157" t="s">
        <v>680</v>
      </c>
      <c r="AN86" s="1158"/>
      <c r="AO86" s="1157" t="s">
        <v>681</v>
      </c>
      <c r="AP86" s="1158"/>
      <c r="AQ86" s="1157" t="s">
        <v>682</v>
      </c>
      <c r="AR86" s="1158"/>
    </row>
    <row r="87" spans="1:44" ht="15" customHeight="1" outlineLevel="1" thickBot="1">
      <c r="B87" s="1161" t="s">
        <v>4</v>
      </c>
      <c r="C87" s="1163">
        <v>2020</v>
      </c>
      <c r="D87" s="1163">
        <v>2030</v>
      </c>
      <c r="E87" s="1163">
        <v>2040</v>
      </c>
      <c r="F87" s="1163">
        <v>2050</v>
      </c>
      <c r="G87" s="1197" t="s">
        <v>684</v>
      </c>
      <c r="H87" s="1198"/>
      <c r="I87" s="1197" t="s">
        <v>628</v>
      </c>
      <c r="J87" s="1198"/>
      <c r="K87" s="1199" t="s">
        <v>2</v>
      </c>
      <c r="L87" s="1199" t="s">
        <v>3</v>
      </c>
      <c r="M87" s="366"/>
      <c r="N87" s="366"/>
      <c r="P87" s="1177" t="s">
        <v>0</v>
      </c>
      <c r="Q87" s="367"/>
      <c r="R87" s="367"/>
      <c r="S87" s="1174"/>
      <c r="T87" s="1159"/>
      <c r="U87" s="1160"/>
      <c r="V87" s="1159"/>
      <c r="W87" s="1160"/>
      <c r="X87" s="1159"/>
      <c r="Y87" s="1160"/>
      <c r="Z87" s="1159"/>
      <c r="AA87" s="1160"/>
      <c r="AB87" s="1159"/>
      <c r="AC87" s="1160"/>
      <c r="AE87" s="1177" t="s">
        <v>0</v>
      </c>
      <c r="AF87" s="367"/>
      <c r="AG87" s="367"/>
      <c r="AH87" s="1174"/>
      <c r="AI87" s="1159"/>
      <c r="AJ87" s="1160"/>
      <c r="AK87" s="1159"/>
      <c r="AL87" s="1160"/>
      <c r="AM87" s="1159"/>
      <c r="AN87" s="1160"/>
      <c r="AO87" s="1159"/>
      <c r="AP87" s="1160"/>
      <c r="AQ87" s="1159"/>
      <c r="AR87" s="1160"/>
    </row>
    <row r="88" spans="1:44" ht="15" customHeight="1" outlineLevel="1" thickBot="1">
      <c r="B88" s="1162"/>
      <c r="C88" s="1164"/>
      <c r="D88" s="1164"/>
      <c r="E88" s="1164"/>
      <c r="F88" s="1164"/>
      <c r="G88" s="498" t="s">
        <v>629</v>
      </c>
      <c r="H88" s="498" t="s">
        <v>630</v>
      </c>
      <c r="I88" s="498" t="s">
        <v>629</v>
      </c>
      <c r="J88" s="498" t="s">
        <v>630</v>
      </c>
      <c r="K88" s="1200"/>
      <c r="L88" s="1200"/>
      <c r="M88" s="369"/>
      <c r="N88" s="369"/>
      <c r="P88" s="1178"/>
      <c r="Q88" s="1180" t="s">
        <v>685</v>
      </c>
      <c r="R88" s="1181" t="s">
        <v>686</v>
      </c>
      <c r="S88" s="1175"/>
      <c r="T88" s="1159"/>
      <c r="U88" s="1160"/>
      <c r="V88" s="1159"/>
      <c r="W88" s="1160"/>
      <c r="X88" s="1159"/>
      <c r="Y88" s="1160"/>
      <c r="Z88" s="1159"/>
      <c r="AA88" s="1160"/>
      <c r="AB88" s="1159"/>
      <c r="AC88" s="1160"/>
      <c r="AE88" s="1178"/>
      <c r="AF88" s="1194" t="s">
        <v>685</v>
      </c>
      <c r="AG88" s="1181" t="s">
        <v>686</v>
      </c>
      <c r="AH88" s="1175"/>
      <c r="AI88" s="1159"/>
      <c r="AJ88" s="1160"/>
      <c r="AK88" s="1159"/>
      <c r="AL88" s="1160"/>
      <c r="AM88" s="1159"/>
      <c r="AN88" s="1160"/>
      <c r="AO88" s="1159"/>
      <c r="AP88" s="1160"/>
      <c r="AQ88" s="1159"/>
      <c r="AR88" s="1160"/>
    </row>
    <row r="89" spans="1:44" ht="29.4" outlineLevel="1" thickBot="1">
      <c r="B89" s="370" t="s">
        <v>631</v>
      </c>
      <c r="C89" s="371">
        <v>20</v>
      </c>
      <c r="D89" s="371">
        <v>20</v>
      </c>
      <c r="E89" s="371">
        <v>20</v>
      </c>
      <c r="F89" s="371">
        <v>20</v>
      </c>
      <c r="G89" s="371">
        <v>1</v>
      </c>
      <c r="H89" s="371">
        <v>50</v>
      </c>
      <c r="I89" s="371">
        <v>1</v>
      </c>
      <c r="J89" s="371">
        <v>50</v>
      </c>
      <c r="K89" s="371" t="s">
        <v>6</v>
      </c>
      <c r="L89" s="372" t="s">
        <v>688</v>
      </c>
      <c r="M89" s="369"/>
      <c r="N89" s="369"/>
      <c r="O89" s="74"/>
      <c r="P89" s="1179"/>
      <c r="Q89" s="1176"/>
      <c r="R89" s="1182"/>
      <c r="S89" s="1176"/>
      <c r="T89" s="373" t="s">
        <v>689</v>
      </c>
      <c r="U89" s="374" t="s">
        <v>690</v>
      </c>
      <c r="V89" s="373" t="s">
        <v>689</v>
      </c>
      <c r="W89" s="374" t="s">
        <v>690</v>
      </c>
      <c r="X89" s="373" t="s">
        <v>689</v>
      </c>
      <c r="Y89" s="374" t="s">
        <v>690</v>
      </c>
      <c r="Z89" s="373" t="s">
        <v>689</v>
      </c>
      <c r="AA89" s="374" t="s">
        <v>690</v>
      </c>
      <c r="AB89" s="373" t="s">
        <v>689</v>
      </c>
      <c r="AC89" s="374" t="s">
        <v>690</v>
      </c>
      <c r="AE89" s="1179"/>
      <c r="AF89" s="1195"/>
      <c r="AG89" s="1182"/>
      <c r="AH89" s="1176"/>
      <c r="AI89" s="373" t="s">
        <v>689</v>
      </c>
      <c r="AJ89" s="374" t="s">
        <v>690</v>
      </c>
      <c r="AK89" s="373" t="s">
        <v>689</v>
      </c>
      <c r="AL89" s="374" t="s">
        <v>690</v>
      </c>
      <c r="AM89" s="373" t="s">
        <v>689</v>
      </c>
      <c r="AN89" s="374" t="s">
        <v>690</v>
      </c>
      <c r="AO89" s="373" t="s">
        <v>689</v>
      </c>
      <c r="AP89" s="374" t="s">
        <v>690</v>
      </c>
      <c r="AQ89" s="373" t="s">
        <v>689</v>
      </c>
      <c r="AR89" s="374" t="s">
        <v>690</v>
      </c>
    </row>
    <row r="90" spans="1:44" ht="15" customHeight="1" outlineLevel="1">
      <c r="B90" s="499" t="s">
        <v>691</v>
      </c>
      <c r="C90" s="667">
        <v>116.18960947726835</v>
      </c>
      <c r="D90" s="667">
        <v>116.18960947726835</v>
      </c>
      <c r="E90" s="668">
        <v>116.18960947726835</v>
      </c>
      <c r="F90" s="667">
        <v>116.18960947726835</v>
      </c>
      <c r="G90" s="500">
        <v>88</v>
      </c>
      <c r="H90" s="500">
        <v>117</v>
      </c>
      <c r="I90" s="500">
        <v>88</v>
      </c>
      <c r="J90" s="500">
        <v>117</v>
      </c>
      <c r="K90" s="502" t="s">
        <v>945</v>
      </c>
      <c r="L90" s="503">
        <v>11</v>
      </c>
      <c r="M90" s="369"/>
      <c r="N90" s="369"/>
      <c r="P90" s="1196" t="str">
        <f>C86</f>
        <v>Steam boiler, Wood chips (Condensing)</v>
      </c>
      <c r="Q90" s="1151" t="s">
        <v>693</v>
      </c>
      <c r="R90" s="380" t="s">
        <v>694</v>
      </c>
      <c r="S90" s="381"/>
      <c r="T90" s="1134">
        <v>0</v>
      </c>
      <c r="U90" s="1148">
        <v>0</v>
      </c>
      <c r="V90" s="1154">
        <v>0</v>
      </c>
      <c r="W90" s="1148">
        <v>0</v>
      </c>
      <c r="X90" s="1154">
        <v>0</v>
      </c>
      <c r="Y90" s="1148">
        <v>0</v>
      </c>
      <c r="Z90" s="1154">
        <v>0</v>
      </c>
      <c r="AA90" s="1148">
        <v>0</v>
      </c>
      <c r="AB90" s="1154">
        <v>0</v>
      </c>
      <c r="AC90" s="1148">
        <v>0</v>
      </c>
      <c r="AE90" s="1145" t="str">
        <f>P90</f>
        <v>Steam boiler, Wood chips (Condensing)</v>
      </c>
      <c r="AF90" s="1151" t="s">
        <v>693</v>
      </c>
      <c r="AG90" s="380" t="s">
        <v>694</v>
      </c>
      <c r="AH90" s="381"/>
      <c r="AI90" s="1134">
        <v>0</v>
      </c>
      <c r="AJ90" s="1148">
        <v>0</v>
      </c>
      <c r="AK90" s="1154">
        <v>0</v>
      </c>
      <c r="AL90" s="1148">
        <v>0</v>
      </c>
      <c r="AM90" s="1154">
        <v>0</v>
      </c>
      <c r="AN90" s="1148">
        <v>0</v>
      </c>
      <c r="AO90" s="1154">
        <v>0</v>
      </c>
      <c r="AP90" s="1148">
        <v>0</v>
      </c>
      <c r="AQ90" s="1154">
        <v>0</v>
      </c>
      <c r="AR90" s="1148">
        <v>0</v>
      </c>
    </row>
    <row r="91" spans="1:44" outlineLevel="1">
      <c r="B91" s="382" t="s">
        <v>695</v>
      </c>
      <c r="C91" s="576">
        <v>116.18960947726835</v>
      </c>
      <c r="D91" s="576">
        <v>116.18960947726835</v>
      </c>
      <c r="E91" s="576">
        <v>116.18960947726835</v>
      </c>
      <c r="F91" s="576">
        <v>116.18960947726835</v>
      </c>
      <c r="G91" s="504">
        <v>88</v>
      </c>
      <c r="H91" s="504">
        <v>117</v>
      </c>
      <c r="I91" s="504">
        <v>88</v>
      </c>
      <c r="J91" s="504">
        <v>117</v>
      </c>
      <c r="K91" s="371" t="s">
        <v>945</v>
      </c>
      <c r="L91" s="372">
        <v>11</v>
      </c>
      <c r="M91" s="369"/>
      <c r="N91" s="369"/>
      <c r="O91" s="71"/>
      <c r="P91" s="1192"/>
      <c r="Q91" s="1152"/>
      <c r="R91" s="387" t="s">
        <v>696</v>
      </c>
      <c r="S91" s="388"/>
      <c r="T91" s="1137"/>
      <c r="U91" s="1149"/>
      <c r="V91" s="1155"/>
      <c r="W91" s="1149"/>
      <c r="X91" s="1155"/>
      <c r="Y91" s="1149"/>
      <c r="Z91" s="1155"/>
      <c r="AA91" s="1149"/>
      <c r="AB91" s="1155"/>
      <c r="AC91" s="1149"/>
      <c r="AE91" s="1192"/>
      <c r="AF91" s="1152"/>
      <c r="AG91" s="387" t="s">
        <v>696</v>
      </c>
      <c r="AH91" s="388"/>
      <c r="AI91" s="1137"/>
      <c r="AJ91" s="1149"/>
      <c r="AK91" s="1155"/>
      <c r="AL91" s="1149"/>
      <c r="AM91" s="1155"/>
      <c r="AN91" s="1149"/>
      <c r="AO91" s="1155"/>
      <c r="AP91" s="1149"/>
      <c r="AQ91" s="1155"/>
      <c r="AR91" s="1149"/>
    </row>
    <row r="92" spans="1:44" ht="15" outlineLevel="1" thickBot="1">
      <c r="B92" s="499" t="s">
        <v>697</v>
      </c>
      <c r="C92" s="505">
        <v>2.2999999999999998</v>
      </c>
      <c r="D92" s="506">
        <v>2.2999999999999998</v>
      </c>
      <c r="E92" s="506">
        <v>2.2999999999999998</v>
      </c>
      <c r="F92" s="507">
        <v>2.2999999999999998</v>
      </c>
      <c r="G92" s="506">
        <v>2.2000000000000002</v>
      </c>
      <c r="H92" s="506">
        <v>2.5</v>
      </c>
      <c r="I92" s="506">
        <v>1.8</v>
      </c>
      <c r="J92" s="506">
        <v>2.5</v>
      </c>
      <c r="K92" s="502" t="s">
        <v>59</v>
      </c>
      <c r="L92" s="503">
        <v>3</v>
      </c>
      <c r="M92" s="369"/>
      <c r="N92" s="369"/>
      <c r="O92" s="71"/>
      <c r="P92" s="1192"/>
      <c r="Q92" s="1153"/>
      <c r="R92" s="392" t="s">
        <v>698</v>
      </c>
      <c r="S92" s="393"/>
      <c r="T92" s="1138"/>
      <c r="U92" s="1150"/>
      <c r="V92" s="1156"/>
      <c r="W92" s="1150"/>
      <c r="X92" s="1156"/>
      <c r="Y92" s="1150"/>
      <c r="Z92" s="1156"/>
      <c r="AA92" s="1150"/>
      <c r="AB92" s="1156"/>
      <c r="AC92" s="1150"/>
      <c r="AE92" s="1192"/>
      <c r="AF92" s="1153"/>
      <c r="AG92" s="392" t="s">
        <v>698</v>
      </c>
      <c r="AH92" s="393"/>
      <c r="AI92" s="1138"/>
      <c r="AJ92" s="1150"/>
      <c r="AK92" s="1156"/>
      <c r="AL92" s="1150"/>
      <c r="AM92" s="1156"/>
      <c r="AN92" s="1150"/>
      <c r="AO92" s="1156"/>
      <c r="AP92" s="1150"/>
      <c r="AQ92" s="1156"/>
      <c r="AR92" s="1150"/>
    </row>
    <row r="93" spans="1:44" ht="15" customHeight="1" outlineLevel="1">
      <c r="B93" s="499" t="s">
        <v>637</v>
      </c>
      <c r="C93" s="686">
        <v>3</v>
      </c>
      <c r="D93" s="686">
        <v>3</v>
      </c>
      <c r="E93" s="686">
        <v>3</v>
      </c>
      <c r="F93" s="686">
        <v>3</v>
      </c>
      <c r="G93" s="686">
        <v>3</v>
      </c>
      <c r="H93" s="686">
        <v>3</v>
      </c>
      <c r="I93" s="686">
        <v>3</v>
      </c>
      <c r="J93" s="686">
        <v>3</v>
      </c>
      <c r="K93" s="502" t="s">
        <v>16</v>
      </c>
      <c r="L93" s="503">
        <v>3</v>
      </c>
      <c r="M93" s="369"/>
      <c r="N93" s="369"/>
      <c r="O93" s="71"/>
      <c r="P93" s="1192"/>
      <c r="Q93" s="1151" t="s">
        <v>699</v>
      </c>
      <c r="R93" s="394" t="s">
        <v>700</v>
      </c>
      <c r="S93" s="395" t="s">
        <v>701</v>
      </c>
      <c r="T93" s="1134">
        <v>0</v>
      </c>
      <c r="U93" s="1134">
        <v>0.21</v>
      </c>
      <c r="V93" s="1134">
        <v>0</v>
      </c>
      <c r="W93" s="1134">
        <v>0</v>
      </c>
      <c r="X93" s="1134">
        <v>0</v>
      </c>
      <c r="Y93" s="1134">
        <v>0</v>
      </c>
      <c r="Z93" s="1134">
        <v>0</v>
      </c>
      <c r="AA93" s="1134">
        <v>0.09</v>
      </c>
      <c r="AB93" s="1134">
        <v>0</v>
      </c>
      <c r="AC93" s="1148">
        <v>0</v>
      </c>
      <c r="AE93" s="1192"/>
      <c r="AF93" s="1151" t="s">
        <v>699</v>
      </c>
      <c r="AG93" s="394" t="s">
        <v>700</v>
      </c>
      <c r="AH93" s="395" t="s">
        <v>701</v>
      </c>
      <c r="AI93" s="1134">
        <v>0</v>
      </c>
      <c r="AJ93" s="1134">
        <v>0.21</v>
      </c>
      <c r="AK93" s="1134">
        <v>0</v>
      </c>
      <c r="AL93" s="1134">
        <v>0</v>
      </c>
      <c r="AM93" s="1134">
        <v>0</v>
      </c>
      <c r="AN93" s="1134">
        <v>0</v>
      </c>
      <c r="AO93" s="1134">
        <v>0</v>
      </c>
      <c r="AP93" s="1134">
        <v>0.09</v>
      </c>
      <c r="AQ93" s="1134">
        <v>0</v>
      </c>
      <c r="AR93" s="1148">
        <v>0</v>
      </c>
    </row>
    <row r="94" spans="1:44" outlineLevel="1">
      <c r="B94" s="499" t="s">
        <v>638</v>
      </c>
      <c r="C94" s="505">
        <v>3</v>
      </c>
      <c r="D94" s="505">
        <v>3</v>
      </c>
      <c r="E94" s="505">
        <v>3</v>
      </c>
      <c r="F94" s="505">
        <v>3</v>
      </c>
      <c r="G94" s="505">
        <v>2.6</v>
      </c>
      <c r="H94" s="505">
        <v>3.5</v>
      </c>
      <c r="I94" s="505">
        <v>2.2999999999999998</v>
      </c>
      <c r="J94" s="505">
        <v>3.8</v>
      </c>
      <c r="K94" s="502" t="s">
        <v>16</v>
      </c>
      <c r="L94" s="503">
        <v>3</v>
      </c>
      <c r="M94" s="366"/>
      <c r="N94" s="366"/>
      <c r="O94" s="71"/>
      <c r="P94" s="1192"/>
      <c r="Q94" s="1152"/>
      <c r="R94" s="394" t="s">
        <v>702</v>
      </c>
      <c r="S94" s="395" t="s">
        <v>701</v>
      </c>
      <c r="T94" s="1188"/>
      <c r="U94" s="1188"/>
      <c r="V94" s="1188"/>
      <c r="W94" s="1188"/>
      <c r="X94" s="1188"/>
      <c r="Y94" s="1188"/>
      <c r="Z94" s="1188"/>
      <c r="AA94" s="1188"/>
      <c r="AB94" s="1188"/>
      <c r="AC94" s="1190"/>
      <c r="AE94" s="1192"/>
      <c r="AF94" s="1152"/>
      <c r="AG94" s="394" t="s">
        <v>702</v>
      </c>
      <c r="AH94" s="395" t="s">
        <v>701</v>
      </c>
      <c r="AI94" s="1188"/>
      <c r="AJ94" s="1188"/>
      <c r="AK94" s="1188"/>
      <c r="AL94" s="1188"/>
      <c r="AM94" s="1188"/>
      <c r="AN94" s="1188"/>
      <c r="AO94" s="1188"/>
      <c r="AP94" s="1188"/>
      <c r="AQ94" s="1188"/>
      <c r="AR94" s="1190"/>
    </row>
    <row r="95" spans="1:44" outlineLevel="1">
      <c r="B95" s="382" t="s">
        <v>11</v>
      </c>
      <c r="C95" s="396">
        <v>25</v>
      </c>
      <c r="D95" s="396">
        <v>25</v>
      </c>
      <c r="E95" s="396">
        <v>25</v>
      </c>
      <c r="F95" s="396">
        <v>25</v>
      </c>
      <c r="G95" s="398">
        <v>20</v>
      </c>
      <c r="H95" s="398">
        <v>35</v>
      </c>
      <c r="I95" s="398">
        <v>20</v>
      </c>
      <c r="J95" s="398">
        <v>35</v>
      </c>
      <c r="K95" s="371"/>
      <c r="L95" s="372" t="s">
        <v>703</v>
      </c>
      <c r="M95" s="362"/>
      <c r="N95" s="362"/>
      <c r="P95" s="1192"/>
      <c r="Q95" s="1152"/>
      <c r="R95" s="394" t="s">
        <v>704</v>
      </c>
      <c r="S95" s="395" t="s">
        <v>701</v>
      </c>
      <c r="T95" s="1188"/>
      <c r="U95" s="1188"/>
      <c r="V95" s="1188"/>
      <c r="W95" s="1188"/>
      <c r="X95" s="1188"/>
      <c r="Y95" s="1188"/>
      <c r="Z95" s="1188"/>
      <c r="AA95" s="1188"/>
      <c r="AB95" s="1188"/>
      <c r="AC95" s="1190"/>
      <c r="AE95" s="1192"/>
      <c r="AF95" s="1152"/>
      <c r="AG95" s="394" t="s">
        <v>704</v>
      </c>
      <c r="AH95" s="628" t="s">
        <v>701</v>
      </c>
      <c r="AI95" s="1188"/>
      <c r="AJ95" s="1188"/>
      <c r="AK95" s="1188"/>
      <c r="AL95" s="1188"/>
      <c r="AM95" s="1188"/>
      <c r="AN95" s="1188"/>
      <c r="AO95" s="1188"/>
      <c r="AP95" s="1188"/>
      <c r="AQ95" s="1188"/>
      <c r="AR95" s="1190"/>
    </row>
    <row r="96" spans="1:44" ht="15" outlineLevel="1" thickBot="1">
      <c r="B96" s="499" t="s">
        <v>273</v>
      </c>
      <c r="C96" s="505">
        <v>1</v>
      </c>
      <c r="D96" s="505">
        <v>1</v>
      </c>
      <c r="E96" s="505">
        <v>1</v>
      </c>
      <c r="F96" s="505">
        <v>1</v>
      </c>
      <c r="G96" s="505">
        <v>0.5</v>
      </c>
      <c r="H96" s="505">
        <v>1.5</v>
      </c>
      <c r="I96" s="505">
        <v>0.5</v>
      </c>
      <c r="J96" s="505">
        <v>1.5</v>
      </c>
      <c r="K96" s="371"/>
      <c r="L96" s="399"/>
      <c r="M96" s="362"/>
      <c r="N96" s="362"/>
      <c r="P96" s="1192"/>
      <c r="Q96" s="1152"/>
      <c r="R96" s="394" t="s">
        <v>705</v>
      </c>
      <c r="S96" s="395" t="s">
        <v>701</v>
      </c>
      <c r="T96" s="1188"/>
      <c r="U96" s="1188"/>
      <c r="V96" s="1188"/>
      <c r="W96" s="1188"/>
      <c r="X96" s="1188"/>
      <c r="Y96" s="1188"/>
      <c r="Z96" s="1188"/>
      <c r="AA96" s="1188"/>
      <c r="AB96" s="1188"/>
      <c r="AC96" s="1190"/>
      <c r="AE96" s="1192"/>
      <c r="AF96" s="1152"/>
      <c r="AG96" s="394" t="s">
        <v>705</v>
      </c>
      <c r="AH96" s="395" t="s">
        <v>701</v>
      </c>
      <c r="AI96" s="1188"/>
      <c r="AJ96" s="1188"/>
      <c r="AK96" s="1188"/>
      <c r="AL96" s="1188"/>
      <c r="AM96" s="1188"/>
      <c r="AN96" s="1188"/>
      <c r="AO96" s="1188"/>
      <c r="AP96" s="1188"/>
      <c r="AQ96" s="1188"/>
      <c r="AR96" s="1190"/>
    </row>
    <row r="97" spans="1:44" ht="15" outlineLevel="1" thickBot="1">
      <c r="B97" s="400" t="s">
        <v>706</v>
      </c>
      <c r="C97" s="401"/>
      <c r="D97" s="402"/>
      <c r="E97" s="403"/>
      <c r="F97" s="404"/>
      <c r="G97" s="405"/>
      <c r="H97" s="405"/>
      <c r="I97" s="405"/>
      <c r="J97" s="405"/>
      <c r="K97" s="406"/>
      <c r="L97" s="407"/>
      <c r="M97" s="362"/>
      <c r="N97" s="362"/>
      <c r="P97" s="1192"/>
      <c r="Q97" s="1153"/>
      <c r="R97" s="408" t="s">
        <v>826</v>
      </c>
      <c r="S97" s="409" t="s">
        <v>701</v>
      </c>
      <c r="T97" s="1189"/>
      <c r="U97" s="1189"/>
      <c r="V97" s="1189"/>
      <c r="W97" s="1189"/>
      <c r="X97" s="1189"/>
      <c r="Y97" s="1189"/>
      <c r="Z97" s="1189"/>
      <c r="AA97" s="1189"/>
      <c r="AB97" s="1189"/>
      <c r="AC97" s="1191"/>
      <c r="AE97" s="1192"/>
      <c r="AF97" s="1153"/>
      <c r="AG97" s="408" t="s">
        <v>826</v>
      </c>
      <c r="AH97" s="409" t="s">
        <v>701</v>
      </c>
      <c r="AI97" s="1189"/>
      <c r="AJ97" s="1189"/>
      <c r="AK97" s="1189"/>
      <c r="AL97" s="1189"/>
      <c r="AM97" s="1189"/>
      <c r="AN97" s="1189"/>
      <c r="AO97" s="1189"/>
      <c r="AP97" s="1189"/>
      <c r="AQ97" s="1189"/>
      <c r="AR97" s="1191"/>
    </row>
    <row r="98" spans="1:44" ht="29.4" outlineLevel="1" thickBot="1">
      <c r="B98" s="499" t="s">
        <v>643</v>
      </c>
      <c r="C98" s="505">
        <v>20</v>
      </c>
      <c r="D98" s="505">
        <v>20</v>
      </c>
      <c r="E98" s="505">
        <v>20</v>
      </c>
      <c r="F98" s="505">
        <v>20</v>
      </c>
      <c r="G98" s="506"/>
      <c r="H98" s="506"/>
      <c r="I98" s="506"/>
      <c r="J98" s="506"/>
      <c r="K98" s="502"/>
      <c r="L98" s="503">
        <v>3</v>
      </c>
      <c r="M98" s="362"/>
      <c r="N98" s="362"/>
      <c r="P98" s="1193"/>
      <c r="Q98" s="410" t="s">
        <v>708</v>
      </c>
      <c r="R98" s="411" t="s">
        <v>709</v>
      </c>
      <c r="S98" s="629" t="s">
        <v>701</v>
      </c>
      <c r="T98" s="415">
        <v>1</v>
      </c>
      <c r="U98" s="414">
        <v>1</v>
      </c>
      <c r="V98" s="415">
        <v>0</v>
      </c>
      <c r="W98" s="414">
        <v>0</v>
      </c>
      <c r="X98" s="415">
        <v>0</v>
      </c>
      <c r="Y98" s="414">
        <v>0</v>
      </c>
      <c r="Z98" s="415">
        <v>1</v>
      </c>
      <c r="AA98" s="414">
        <v>1</v>
      </c>
      <c r="AB98" s="415">
        <v>0</v>
      </c>
      <c r="AC98" s="416">
        <v>0</v>
      </c>
      <c r="AE98" s="1193"/>
      <c r="AF98" s="410" t="s">
        <v>708</v>
      </c>
      <c r="AG98" s="630" t="s">
        <v>709</v>
      </c>
      <c r="AH98" s="631" t="s">
        <v>701</v>
      </c>
      <c r="AI98" s="415">
        <v>1</v>
      </c>
      <c r="AJ98" s="414">
        <v>1</v>
      </c>
      <c r="AK98" s="415">
        <v>0</v>
      </c>
      <c r="AL98" s="414">
        <v>0</v>
      </c>
      <c r="AM98" s="415">
        <v>0</v>
      </c>
      <c r="AN98" s="414">
        <v>0</v>
      </c>
      <c r="AO98" s="415">
        <v>1</v>
      </c>
      <c r="AP98" s="414">
        <v>1</v>
      </c>
      <c r="AQ98" s="415">
        <v>0</v>
      </c>
      <c r="AR98" s="416">
        <v>0</v>
      </c>
    </row>
    <row r="99" spans="1:44" outlineLevel="1">
      <c r="B99" s="499" t="s">
        <v>644</v>
      </c>
      <c r="C99" s="505">
        <v>0.3</v>
      </c>
      <c r="D99" s="505">
        <v>0.3</v>
      </c>
      <c r="E99" s="505">
        <v>0.3</v>
      </c>
      <c r="F99" s="505">
        <v>0.3</v>
      </c>
      <c r="G99" s="508"/>
      <c r="H99" s="508"/>
      <c r="I99" s="508"/>
      <c r="J99" s="508"/>
      <c r="K99" s="509"/>
      <c r="L99" s="503">
        <v>3</v>
      </c>
      <c r="M99" s="362"/>
      <c r="N99" s="362"/>
    </row>
    <row r="100" spans="1:44" outlineLevel="1">
      <c r="B100" s="499" t="s">
        <v>646</v>
      </c>
      <c r="C100" s="505">
        <v>0.5</v>
      </c>
      <c r="D100" s="505">
        <v>0.5</v>
      </c>
      <c r="E100" s="505">
        <v>0.5</v>
      </c>
      <c r="F100" s="505">
        <v>0.5</v>
      </c>
      <c r="G100" s="508"/>
      <c r="H100" s="508"/>
      <c r="I100" s="508"/>
      <c r="J100" s="508"/>
      <c r="K100" s="509"/>
      <c r="L100" s="503">
        <v>3</v>
      </c>
      <c r="M100" s="419"/>
      <c r="N100" s="362"/>
    </row>
    <row r="101" spans="1:44" outlineLevel="1">
      <c r="B101" s="420" t="s">
        <v>12</v>
      </c>
      <c r="C101" s="398"/>
      <c r="D101" s="398"/>
      <c r="E101" s="398"/>
      <c r="F101" s="398"/>
      <c r="G101" s="421"/>
      <c r="H101" s="421"/>
      <c r="I101" s="421"/>
      <c r="J101" s="421"/>
      <c r="K101" s="422"/>
      <c r="L101" s="423"/>
      <c r="M101" s="419"/>
      <c r="N101" s="419"/>
    </row>
    <row r="102" spans="1:44" outlineLevel="1">
      <c r="B102" s="382" t="s">
        <v>806</v>
      </c>
      <c r="C102" s="396">
        <v>11</v>
      </c>
      <c r="D102" s="396">
        <v>11</v>
      </c>
      <c r="E102" s="396">
        <v>11</v>
      </c>
      <c r="F102" s="396">
        <v>11</v>
      </c>
      <c r="G102" s="421"/>
      <c r="H102" s="424"/>
      <c r="I102" s="424"/>
      <c r="J102" s="424"/>
      <c r="K102" s="425" t="s">
        <v>20</v>
      </c>
      <c r="L102" s="426" t="s">
        <v>711</v>
      </c>
      <c r="M102" s="427"/>
      <c r="N102" s="427"/>
    </row>
    <row r="103" spans="1:44" outlineLevel="1">
      <c r="B103" s="382" t="s">
        <v>712</v>
      </c>
      <c r="C103" s="396">
        <v>10</v>
      </c>
      <c r="D103" s="396">
        <v>10</v>
      </c>
      <c r="E103" s="396">
        <v>10</v>
      </c>
      <c r="F103" s="396">
        <v>10</v>
      </c>
      <c r="G103" s="424"/>
      <c r="H103" s="424"/>
      <c r="I103" s="424"/>
      <c r="J103" s="424"/>
      <c r="K103" s="422"/>
      <c r="L103" s="426">
        <v>9</v>
      </c>
      <c r="M103" s="427"/>
      <c r="N103" s="427"/>
    </row>
    <row r="104" spans="1:44" outlineLevel="1">
      <c r="B104" s="382" t="s">
        <v>807</v>
      </c>
      <c r="C104" s="396">
        <v>63</v>
      </c>
      <c r="D104" s="396">
        <v>49</v>
      </c>
      <c r="E104" s="396">
        <v>46</v>
      </c>
      <c r="F104" s="396">
        <v>41</v>
      </c>
      <c r="G104" s="424"/>
      <c r="H104" s="424"/>
      <c r="I104" s="424"/>
      <c r="J104" s="424"/>
      <c r="K104" s="422"/>
      <c r="L104" s="426" t="s">
        <v>711</v>
      </c>
      <c r="M104" s="427"/>
      <c r="N104" s="427"/>
    </row>
    <row r="105" spans="1:44" outlineLevel="1">
      <c r="B105" s="382" t="s">
        <v>366</v>
      </c>
      <c r="C105" s="396">
        <v>11</v>
      </c>
      <c r="D105" s="396">
        <v>8</v>
      </c>
      <c r="E105" s="396">
        <v>6</v>
      </c>
      <c r="F105" s="396">
        <v>4</v>
      </c>
      <c r="G105" s="424"/>
      <c r="H105" s="424"/>
      <c r="I105" s="424"/>
      <c r="J105" s="424"/>
      <c r="K105" s="422"/>
      <c r="L105" s="426" t="s">
        <v>711</v>
      </c>
      <c r="M105" s="427"/>
      <c r="N105" s="427"/>
    </row>
    <row r="106" spans="1:44" ht="15" outlineLevel="1" thickBot="1">
      <c r="B106" s="428" t="s">
        <v>367</v>
      </c>
      <c r="C106" s="429">
        <v>3</v>
      </c>
      <c r="D106" s="429">
        <v>3</v>
      </c>
      <c r="E106" s="429">
        <v>1</v>
      </c>
      <c r="F106" s="429">
        <v>1</v>
      </c>
      <c r="G106" s="424"/>
      <c r="H106" s="424"/>
      <c r="I106" s="424"/>
      <c r="J106" s="424"/>
      <c r="K106" s="422"/>
      <c r="L106" s="426" t="s">
        <v>711</v>
      </c>
      <c r="M106" s="427"/>
      <c r="N106" s="427"/>
    </row>
    <row r="107" spans="1:44" ht="15" outlineLevel="1" thickBot="1">
      <c r="B107" s="430" t="s">
        <v>654</v>
      </c>
      <c r="C107" s="431"/>
      <c r="D107" s="402"/>
      <c r="E107" s="402"/>
      <c r="F107" s="432"/>
      <c r="G107" s="433"/>
      <c r="H107" s="405"/>
      <c r="I107" s="405"/>
      <c r="J107" s="405"/>
      <c r="K107" s="406"/>
      <c r="L107" s="407"/>
      <c r="M107" s="427"/>
      <c r="N107" s="427"/>
    </row>
    <row r="108" spans="1:44" ht="14.55" customHeight="1" outlineLevel="1">
      <c r="A108" s="434"/>
      <c r="B108" s="435" t="s">
        <v>873</v>
      </c>
      <c r="C108" s="550">
        <v>0.68</v>
      </c>
      <c r="D108" s="646">
        <v>0.65</v>
      </c>
      <c r="E108" s="646">
        <v>0.62</v>
      </c>
      <c r="F108" s="647">
        <v>0.59</v>
      </c>
      <c r="G108" s="424"/>
      <c r="H108" s="424"/>
      <c r="I108" s="424"/>
      <c r="J108" s="424"/>
      <c r="K108" s="425" t="s">
        <v>946</v>
      </c>
      <c r="L108" s="439" t="s">
        <v>716</v>
      </c>
      <c r="M108" s="419"/>
      <c r="N108" s="419"/>
    </row>
    <row r="109" spans="1:44" outlineLevel="1">
      <c r="B109" s="440" t="s">
        <v>802</v>
      </c>
      <c r="C109" s="441">
        <v>65</v>
      </c>
      <c r="D109" s="441">
        <v>65</v>
      </c>
      <c r="E109" s="441">
        <v>65</v>
      </c>
      <c r="F109" s="441">
        <v>65</v>
      </c>
      <c r="G109" s="424"/>
      <c r="H109" s="424"/>
      <c r="I109" s="424"/>
      <c r="J109" s="424"/>
      <c r="K109" s="443"/>
      <c r="L109" s="372">
        <v>3</v>
      </c>
      <c r="M109" s="71"/>
      <c r="N109" s="419"/>
    </row>
    <row r="110" spans="1:44" outlineLevel="1">
      <c r="B110" s="440" t="s">
        <v>803</v>
      </c>
      <c r="C110" s="441">
        <f>100-C109</f>
        <v>35</v>
      </c>
      <c r="D110" s="441">
        <f>100-D109</f>
        <v>35</v>
      </c>
      <c r="E110" s="441">
        <f>100-E109</f>
        <v>35</v>
      </c>
      <c r="F110" s="441">
        <f>100-F109</f>
        <v>35</v>
      </c>
      <c r="G110" s="424"/>
      <c r="H110" s="424"/>
      <c r="I110" s="424"/>
      <c r="J110" s="424"/>
      <c r="K110" s="443"/>
      <c r="L110" s="372">
        <v>3</v>
      </c>
      <c r="M110" s="419"/>
      <c r="N110" s="419"/>
    </row>
    <row r="111" spans="1:44" outlineLevel="1">
      <c r="B111" s="382" t="s">
        <v>804</v>
      </c>
      <c r="C111" s="444">
        <v>37000</v>
      </c>
      <c r="D111" s="445">
        <v>35900</v>
      </c>
      <c r="E111" s="445">
        <f>(F111+D111)/2</f>
        <v>34800</v>
      </c>
      <c r="F111" s="446">
        <v>33700</v>
      </c>
      <c r="G111" s="424"/>
      <c r="H111" s="424"/>
      <c r="I111" s="424"/>
      <c r="J111" s="424"/>
      <c r="K111" s="447" t="s">
        <v>51</v>
      </c>
      <c r="L111" s="372">
        <v>3</v>
      </c>
      <c r="M111" s="419"/>
      <c r="N111" s="419"/>
    </row>
    <row r="112" spans="1:44" outlineLevel="1">
      <c r="B112" s="382" t="s">
        <v>659</v>
      </c>
      <c r="C112" s="604">
        <f>C113+C114</f>
        <v>2.7789999999999999</v>
      </c>
      <c r="D112" s="604">
        <f t="shared" ref="D112:F112" si="5">D113+D114</f>
        <v>2.8250000000000002</v>
      </c>
      <c r="E112" s="604">
        <f t="shared" si="5"/>
        <v>2.8479999999999999</v>
      </c>
      <c r="F112" s="604">
        <f t="shared" si="5"/>
        <v>2.8479999999999999</v>
      </c>
      <c r="G112" s="424"/>
      <c r="H112" s="424"/>
      <c r="I112" s="424"/>
      <c r="J112" s="424"/>
      <c r="K112" s="447"/>
      <c r="L112" s="372">
        <v>3</v>
      </c>
      <c r="M112" s="449"/>
      <c r="N112" s="360"/>
      <c r="P112" s="1139">
        <f>C112</f>
        <v>2.7789999999999999</v>
      </c>
      <c r="Q112" s="1140"/>
      <c r="R112" s="1140"/>
      <c r="S112" s="1140"/>
      <c r="T112" s="1140"/>
      <c r="U112" s="1141"/>
    </row>
    <row r="113" spans="2:30" ht="15" outlineLevel="1" thickBot="1">
      <c r="B113" s="499" t="s">
        <v>721</v>
      </c>
      <c r="C113" s="513">
        <f>C92/100*73</f>
        <v>1.679</v>
      </c>
      <c r="D113" s="513">
        <f>D92/100*75</f>
        <v>1.7249999999999999</v>
      </c>
      <c r="E113" s="513">
        <f>E92/100*76</f>
        <v>1.748</v>
      </c>
      <c r="F113" s="513">
        <f>F92/100*76</f>
        <v>1.748</v>
      </c>
      <c r="G113" s="514"/>
      <c r="H113" s="514"/>
      <c r="I113" s="514"/>
      <c r="J113" s="514"/>
      <c r="K113" s="502" t="s">
        <v>52</v>
      </c>
      <c r="L113" s="503">
        <v>3</v>
      </c>
      <c r="M113" s="449"/>
      <c r="N113" s="360"/>
      <c r="P113" s="1131">
        <f>C113</f>
        <v>1.679</v>
      </c>
      <c r="Q113" s="1132"/>
      <c r="R113" s="1132"/>
      <c r="S113" s="1132"/>
      <c r="T113" s="1132"/>
      <c r="U113" s="1133"/>
    </row>
    <row r="114" spans="2:30" outlineLevel="1">
      <c r="B114" s="499" t="s">
        <v>722</v>
      </c>
      <c r="C114" s="515">
        <v>1.1000000000000001</v>
      </c>
      <c r="D114" s="515">
        <v>1.1000000000000001</v>
      </c>
      <c r="E114" s="515">
        <v>1.1000000000000001</v>
      </c>
      <c r="F114" s="515">
        <v>1.1000000000000001</v>
      </c>
      <c r="G114" s="514"/>
      <c r="H114" s="514"/>
      <c r="I114" s="514"/>
      <c r="J114" s="514"/>
      <c r="K114" s="516"/>
      <c r="L114" s="503">
        <v>3</v>
      </c>
      <c r="M114" s="362"/>
      <c r="N114" s="362"/>
      <c r="P114" s="53" t="s">
        <v>357</v>
      </c>
    </row>
    <row r="115" spans="2:30" ht="27.6" outlineLevel="1">
      <c r="B115" s="440"/>
      <c r="C115" s="680"/>
      <c r="D115" s="680"/>
      <c r="E115" s="680"/>
      <c r="F115" s="680"/>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8"/>
      <c r="C116" s="441"/>
      <c r="D116" s="519"/>
      <c r="E116" s="519"/>
      <c r="F116" s="520"/>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43.8"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522" t="s">
        <v>36</v>
      </c>
      <c r="D118" s="522" t="s">
        <v>36</v>
      </c>
      <c r="E118" s="522" t="s">
        <v>36</v>
      </c>
      <c r="F118" s="522" t="s">
        <v>36</v>
      </c>
      <c r="G118" s="523"/>
      <c r="H118" s="523"/>
      <c r="I118" s="523"/>
      <c r="J118" s="523"/>
      <c r="K118" s="523" t="s">
        <v>55</v>
      </c>
      <c r="L118" s="524"/>
      <c r="M118" s="362"/>
      <c r="N118" s="362"/>
      <c r="O118" s="464">
        <f>C91</f>
        <v>116.18960947726835</v>
      </c>
      <c r="P118" s="465">
        <f>C87</f>
        <v>2020</v>
      </c>
      <c r="Q118" s="58">
        <f>P118</f>
        <v>2020</v>
      </c>
      <c r="R118" s="465">
        <f>O118/100</f>
        <v>1.1618960947726835</v>
      </c>
      <c r="S118" s="58"/>
      <c r="T118" s="465">
        <f>C95</f>
        <v>25</v>
      </c>
      <c r="U118" s="466">
        <f>C125</f>
        <v>5066.0000000000009</v>
      </c>
      <c r="V118" s="466">
        <f>C127</f>
        <v>275.64999999999998</v>
      </c>
      <c r="W118" s="466">
        <f>C128</f>
        <v>5.7509861111111107</v>
      </c>
      <c r="X118" s="58"/>
      <c r="Y118" s="58"/>
      <c r="Z118" s="465">
        <f>C102</f>
        <v>11</v>
      </c>
      <c r="AA118" s="467">
        <f>C104</f>
        <v>63</v>
      </c>
      <c r="AB118" s="467">
        <f>C105</f>
        <v>11</v>
      </c>
      <c r="AC118" s="467">
        <f>C106</f>
        <v>3</v>
      </c>
      <c r="AD118" s="467">
        <f>C103</f>
        <v>10</v>
      </c>
    </row>
    <row r="119" spans="2:30" outlineLevel="1">
      <c r="B119" s="499" t="s">
        <v>726</v>
      </c>
      <c r="C119" s="525" t="s">
        <v>36</v>
      </c>
      <c r="D119" s="526" t="s">
        <v>36</v>
      </c>
      <c r="E119" s="526" t="s">
        <v>36</v>
      </c>
      <c r="F119" s="527" t="s">
        <v>36</v>
      </c>
      <c r="G119" s="527"/>
      <c r="H119" s="527"/>
      <c r="I119" s="527"/>
      <c r="J119" s="527"/>
      <c r="K119" s="528" t="s">
        <v>55</v>
      </c>
      <c r="L119" s="524"/>
      <c r="M119" s="362"/>
      <c r="N119" s="362"/>
      <c r="O119" s="464">
        <f>D91</f>
        <v>116.18960947726835</v>
      </c>
      <c r="P119" s="465">
        <f>D87</f>
        <v>2030</v>
      </c>
      <c r="Q119" s="58"/>
      <c r="R119" s="465">
        <f>O119/100</f>
        <v>1.1618960947726835</v>
      </c>
      <c r="S119" s="58"/>
      <c r="T119" s="465">
        <f>D95</f>
        <v>25</v>
      </c>
      <c r="U119" s="466">
        <f>D125</f>
        <v>4842.5</v>
      </c>
      <c r="V119" s="466">
        <f>D127</f>
        <v>267.45499999999998</v>
      </c>
      <c r="W119" s="466">
        <f>D128</f>
        <v>5.8461805555555557</v>
      </c>
      <c r="X119" s="58"/>
      <c r="Y119" s="58"/>
      <c r="Z119" s="465">
        <f>D102</f>
        <v>11</v>
      </c>
      <c r="AA119" s="467">
        <f>D104</f>
        <v>49</v>
      </c>
      <c r="AB119" s="467">
        <f>D105</f>
        <v>8</v>
      </c>
      <c r="AC119" s="467">
        <f>D106</f>
        <v>3</v>
      </c>
      <c r="AD119" s="467">
        <f>D103</f>
        <v>10</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116.18960947726835</v>
      </c>
      <c r="P120" s="465">
        <f>E87</f>
        <v>2040</v>
      </c>
      <c r="Q120" s="58"/>
      <c r="R120" s="465">
        <f>O120/100</f>
        <v>1.1618960947726835</v>
      </c>
      <c r="S120" s="58"/>
      <c r="T120" s="465">
        <f>E95</f>
        <v>25</v>
      </c>
      <c r="U120" s="466">
        <f>E125</f>
        <v>4619</v>
      </c>
      <c r="V120" s="466">
        <f>E127</f>
        <v>259.26</v>
      </c>
      <c r="W120" s="466">
        <f>E128</f>
        <v>5.8937777777777782</v>
      </c>
      <c r="X120" s="58"/>
      <c r="Y120" s="58"/>
      <c r="Z120" s="465">
        <f>E102</f>
        <v>11</v>
      </c>
      <c r="AA120" s="467">
        <f>E104</f>
        <v>46</v>
      </c>
      <c r="AB120" s="467">
        <f>E105</f>
        <v>6</v>
      </c>
      <c r="AC120" s="467">
        <f>E106</f>
        <v>1</v>
      </c>
      <c r="AD120" s="467">
        <f>E103</f>
        <v>10</v>
      </c>
    </row>
    <row r="121" spans="2:30" outlineLevel="1">
      <c r="B121" s="499" t="s">
        <v>728</v>
      </c>
      <c r="C121" s="684">
        <v>90</v>
      </c>
      <c r="D121" s="529">
        <v>90</v>
      </c>
      <c r="E121" s="529">
        <v>90</v>
      </c>
      <c r="F121" s="529">
        <v>90</v>
      </c>
      <c r="G121" s="530"/>
      <c r="H121" s="530"/>
      <c r="I121" s="530"/>
      <c r="J121" s="530"/>
      <c r="K121" s="530"/>
      <c r="L121" s="503">
        <v>3</v>
      </c>
      <c r="M121" s="362"/>
      <c r="N121" s="362"/>
      <c r="O121" s="464">
        <f>F91</f>
        <v>116.18960947726835</v>
      </c>
      <c r="P121" s="465">
        <f>F87</f>
        <v>2050</v>
      </c>
      <c r="Q121" s="58"/>
      <c r="R121" s="465">
        <f>O121/100</f>
        <v>1.1618960947726835</v>
      </c>
      <c r="S121" s="58"/>
      <c r="T121" s="465">
        <f>F95</f>
        <v>25</v>
      </c>
      <c r="U121" s="466">
        <f>F125</f>
        <v>4395.5</v>
      </c>
      <c r="V121" s="466">
        <f>F127</f>
        <v>251.065</v>
      </c>
      <c r="W121" s="466">
        <f>F128</f>
        <v>5.8937777777777782</v>
      </c>
      <c r="X121" s="58"/>
      <c r="Y121" s="58"/>
      <c r="Z121" s="465">
        <f>F102</f>
        <v>11</v>
      </c>
      <c r="AA121" s="467">
        <f>F104</f>
        <v>41</v>
      </c>
      <c r="AB121" s="467">
        <f>F105</f>
        <v>4</v>
      </c>
      <c r="AC121" s="467">
        <f>F106</f>
        <v>1</v>
      </c>
      <c r="AD121" s="467">
        <f>F103</f>
        <v>10</v>
      </c>
    </row>
    <row r="122" spans="2:30" outlineLevel="1">
      <c r="B122" s="531" t="s">
        <v>729</v>
      </c>
      <c r="C122" s="525" t="s">
        <v>36</v>
      </c>
      <c r="D122" s="526" t="s">
        <v>36</v>
      </c>
      <c r="E122" s="526" t="s">
        <v>36</v>
      </c>
      <c r="F122" s="527" t="s">
        <v>36</v>
      </c>
      <c r="G122" s="530"/>
      <c r="H122" s="530"/>
      <c r="I122" s="530"/>
      <c r="J122" s="530"/>
      <c r="K122" s="530"/>
      <c r="L122" s="532"/>
      <c r="M122" s="366"/>
      <c r="N122" s="366"/>
    </row>
    <row r="123" spans="2:30" outlineLevel="1">
      <c r="B123" s="531" t="s">
        <v>730</v>
      </c>
      <c r="C123" s="525" t="s">
        <v>36</v>
      </c>
      <c r="D123" s="526" t="s">
        <v>36</v>
      </c>
      <c r="E123" s="526" t="s">
        <v>36</v>
      </c>
      <c r="F123" s="527" t="s">
        <v>36</v>
      </c>
      <c r="G123" s="530"/>
      <c r="H123" s="530"/>
      <c r="I123" s="530"/>
      <c r="J123" s="530"/>
      <c r="K123" s="530"/>
      <c r="L123" s="532"/>
      <c r="M123" s="362"/>
      <c r="N123" s="362"/>
    </row>
    <row r="124" spans="2:30" ht="15" outlineLevel="1" thickBot="1">
      <c r="B124" s="533" t="s">
        <v>731</v>
      </c>
      <c r="C124" s="534" t="s">
        <v>36</v>
      </c>
      <c r="D124" s="535" t="s">
        <v>36</v>
      </c>
      <c r="E124" s="535" t="s">
        <v>36</v>
      </c>
      <c r="F124" s="536" t="s">
        <v>36</v>
      </c>
      <c r="G124" s="537"/>
      <c r="H124" s="537"/>
      <c r="I124" s="537"/>
      <c r="J124" s="537"/>
      <c r="K124" s="537"/>
      <c r="L124" s="538"/>
      <c r="M124" s="362"/>
      <c r="N124" s="362"/>
    </row>
    <row r="125" spans="2:30" ht="57.6" outlineLevel="1">
      <c r="B125" s="460" t="s">
        <v>732</v>
      </c>
      <c r="C125" s="482">
        <f>C108*$F$4*1000</f>
        <v>5066.0000000000009</v>
      </c>
      <c r="D125" s="482">
        <f t="shared" ref="D125:F125" si="6">D108*$F$4*1000</f>
        <v>4842.5</v>
      </c>
      <c r="E125" s="482">
        <f t="shared" si="6"/>
        <v>4619</v>
      </c>
      <c r="F125" s="482">
        <f t="shared" si="6"/>
        <v>4395.5</v>
      </c>
      <c r="G125" s="482"/>
      <c r="H125" s="483"/>
      <c r="I125" s="419" t="s">
        <v>332</v>
      </c>
      <c r="J125" s="419"/>
      <c r="K125" s="483"/>
      <c r="L125" s="483"/>
      <c r="N125" s="419"/>
    </row>
    <row r="126" spans="2:30" outlineLevel="1">
      <c r="B126" s="484" t="s">
        <v>733</v>
      </c>
      <c r="C126" s="485">
        <f>C125*$I126</f>
        <v>2533000.0000000005</v>
      </c>
      <c r="D126" s="485">
        <f>D125*$I126</f>
        <v>2421250</v>
      </c>
      <c r="E126" s="485">
        <f>E125*$I126</f>
        <v>2309500</v>
      </c>
      <c r="F126" s="485">
        <f>F125*$I126</f>
        <v>2197750</v>
      </c>
      <c r="G126" s="485"/>
      <c r="H126" s="483"/>
      <c r="I126" s="71">
        <v>500</v>
      </c>
      <c r="J126" s="419" t="s">
        <v>330</v>
      </c>
      <c r="K126" s="483"/>
      <c r="L126" s="483"/>
      <c r="N126" s="419"/>
    </row>
    <row r="127" spans="2:30" ht="43.2" outlineLevel="1">
      <c r="B127" s="460" t="s">
        <v>808</v>
      </c>
      <c r="C127" s="358">
        <f>C111*$F$4/1000</f>
        <v>275.64999999999998</v>
      </c>
      <c r="D127" s="358">
        <f t="shared" ref="D127:F127" si="7">D111*$F$4/1000</f>
        <v>267.45499999999998</v>
      </c>
      <c r="E127" s="358">
        <f t="shared" si="7"/>
        <v>259.26</v>
      </c>
      <c r="F127" s="358">
        <f t="shared" si="7"/>
        <v>251.065</v>
      </c>
      <c r="G127" s="358"/>
      <c r="I127" s="419" t="s">
        <v>333</v>
      </c>
      <c r="J127" s="419"/>
      <c r="N127" s="419"/>
    </row>
    <row r="128" spans="2:30" ht="43.2" outlineLevel="1">
      <c r="B128" s="460" t="s">
        <v>809</v>
      </c>
      <c r="C128" s="486">
        <f>C112*$F$4/3.6</f>
        <v>5.7509861111111107</v>
      </c>
      <c r="D128" s="486">
        <f t="shared" ref="D128:F128" si="8">D112*$F$4/3.6</f>
        <v>5.8461805555555557</v>
      </c>
      <c r="E128" s="486">
        <f t="shared" si="8"/>
        <v>5.8937777777777782</v>
      </c>
      <c r="F128" s="486">
        <f t="shared" si="8"/>
        <v>5.8937777777777782</v>
      </c>
      <c r="G128" s="358"/>
      <c r="M128" s="419"/>
      <c r="N128" s="419"/>
    </row>
    <row r="129" spans="2:6" outlineLevel="1"/>
    <row r="130" spans="2:6" outlineLevel="1"/>
    <row r="131" spans="2:6" outlineLevel="1"/>
    <row r="132" spans="2:6" outlineLevel="1">
      <c r="B132" s="487" t="s">
        <v>736</v>
      </c>
      <c r="C132" s="488"/>
    </row>
    <row r="133" spans="2:6" outlineLevel="1">
      <c r="B133" s="490">
        <v>1</v>
      </c>
      <c r="C133" s="491" t="s">
        <v>737</v>
      </c>
      <c r="D133" s="489"/>
      <c r="E133" s="489"/>
      <c r="F133" s="489"/>
    </row>
    <row r="134" spans="2:6" outlineLevel="1">
      <c r="B134" s="490">
        <v>2</v>
      </c>
      <c r="C134" s="492" t="s">
        <v>738</v>
      </c>
      <c r="E134" s="489"/>
      <c r="F134" s="489"/>
    </row>
    <row r="135" spans="2:6" outlineLevel="1">
      <c r="B135" s="490">
        <v>3</v>
      </c>
      <c r="C135" s="492" t="s">
        <v>739</v>
      </c>
      <c r="E135" s="489"/>
      <c r="F135" s="489"/>
    </row>
    <row r="136" spans="2:6" outlineLevel="1">
      <c r="B136" s="490">
        <v>4</v>
      </c>
      <c r="C136" s="492" t="s">
        <v>740</v>
      </c>
      <c r="E136" s="489"/>
      <c r="F136" s="489"/>
    </row>
    <row r="137" spans="2:6" outlineLevel="1">
      <c r="B137" s="357">
        <v>5</v>
      </c>
      <c r="C137" s="493" t="s">
        <v>741</v>
      </c>
      <c r="E137" s="489"/>
      <c r="F137" s="489"/>
    </row>
    <row r="138" spans="2:6" outlineLevel="1">
      <c r="B138" s="357">
        <v>6</v>
      </c>
      <c r="C138" s="491" t="s">
        <v>742</v>
      </c>
      <c r="D138" s="489"/>
      <c r="E138" s="489"/>
      <c r="F138" s="489"/>
    </row>
    <row r="139" spans="2:6" outlineLevel="1">
      <c r="B139" s="357">
        <v>7</v>
      </c>
      <c r="C139" s="494" t="s">
        <v>737</v>
      </c>
      <c r="D139" s="489"/>
      <c r="E139" s="489"/>
      <c r="F139" s="489"/>
    </row>
    <row r="140" spans="2:6" outlineLevel="1">
      <c r="B140" s="357">
        <v>8</v>
      </c>
      <c r="C140" s="494" t="s">
        <v>743</v>
      </c>
      <c r="D140" s="489"/>
      <c r="E140" s="489"/>
      <c r="F140" s="489"/>
    </row>
    <row r="141" spans="2:6" outlineLevel="1">
      <c r="B141" s="357">
        <v>9</v>
      </c>
      <c r="C141" s="488" t="s">
        <v>744</v>
      </c>
      <c r="D141" s="489"/>
      <c r="E141" s="489"/>
      <c r="F141" s="489"/>
    </row>
    <row r="142" spans="2:6" outlineLevel="1">
      <c r="B142" s="357">
        <v>10</v>
      </c>
      <c r="C142" s="489" t="s">
        <v>745</v>
      </c>
      <c r="D142" s="489"/>
      <c r="E142" s="489"/>
      <c r="F142" s="489"/>
    </row>
    <row r="143" spans="2:6" outlineLevel="1">
      <c r="B143" s="357">
        <v>11</v>
      </c>
      <c r="C143" s="489" t="s">
        <v>947</v>
      </c>
      <c r="D143" s="489"/>
      <c r="E143" s="489"/>
      <c r="F143" s="489"/>
    </row>
    <row r="144" spans="2:6" outlineLevel="1">
      <c r="B144" s="487" t="s">
        <v>746</v>
      </c>
      <c r="C144" s="488"/>
      <c r="D144" s="489"/>
      <c r="E144" s="489"/>
      <c r="F144" s="489"/>
    </row>
    <row r="145" spans="2:6" outlineLevel="1">
      <c r="B145" s="495" t="s">
        <v>6</v>
      </c>
      <c r="C145" s="496" t="s">
        <v>938</v>
      </c>
      <c r="E145" s="489"/>
      <c r="F145" s="489"/>
    </row>
    <row r="146" spans="2:6" outlineLevel="1">
      <c r="B146" s="495" t="s">
        <v>59</v>
      </c>
      <c r="C146" s="488" t="s">
        <v>939</v>
      </c>
      <c r="E146" s="489"/>
      <c r="F146" s="489"/>
    </row>
    <row r="147" spans="2:6" outlineLevel="1">
      <c r="B147" s="495" t="s">
        <v>16</v>
      </c>
      <c r="C147" s="488" t="s">
        <v>940</v>
      </c>
      <c r="E147" s="489"/>
      <c r="F147" s="489"/>
    </row>
    <row r="148" spans="2:6" outlineLevel="1">
      <c r="B148" s="495" t="s">
        <v>20</v>
      </c>
      <c r="C148" s="488" t="s">
        <v>749</v>
      </c>
      <c r="E148" s="489"/>
      <c r="F148" s="489"/>
    </row>
    <row r="149" spans="2:6" outlineLevel="1">
      <c r="B149" s="495" t="s">
        <v>76</v>
      </c>
      <c r="C149" s="488" t="s">
        <v>941</v>
      </c>
      <c r="E149" s="489"/>
      <c r="F149" s="489"/>
    </row>
    <row r="150" spans="2:6" outlineLevel="1">
      <c r="B150" s="495" t="s">
        <v>25</v>
      </c>
      <c r="C150" s="488" t="s">
        <v>942</v>
      </c>
      <c r="E150" s="489"/>
      <c r="F150" s="489"/>
    </row>
    <row r="151" spans="2:6" outlineLevel="1">
      <c r="B151" s="495" t="s">
        <v>33</v>
      </c>
      <c r="C151" s="488" t="s">
        <v>750</v>
      </c>
      <c r="E151" s="489"/>
      <c r="F151" s="489"/>
    </row>
    <row r="152" spans="2:6" outlineLevel="1">
      <c r="B152" s="495" t="s">
        <v>51</v>
      </c>
      <c r="C152" s="488" t="s">
        <v>943</v>
      </c>
      <c r="E152" s="489"/>
      <c r="F152" s="489"/>
    </row>
    <row r="153" spans="2:6" outlineLevel="1">
      <c r="B153" s="495" t="s">
        <v>52</v>
      </c>
      <c r="C153" s="497" t="s">
        <v>751</v>
      </c>
      <c r="E153" s="489"/>
      <c r="F153" s="489"/>
    </row>
    <row r="154" spans="2:6" outlineLevel="1">
      <c r="B154" s="495" t="s">
        <v>55</v>
      </c>
      <c r="C154" s="488" t="s">
        <v>752</v>
      </c>
      <c r="E154" s="489"/>
      <c r="F154" s="489"/>
    </row>
    <row r="155" spans="2:6" outlineLevel="1">
      <c r="E155" s="489"/>
      <c r="F155" s="489"/>
    </row>
    <row r="156" spans="2:6" outlineLevel="1">
      <c r="B156" s="495" t="s">
        <v>948</v>
      </c>
      <c r="C156" s="224" t="s">
        <v>949</v>
      </c>
      <c r="E156" s="489"/>
      <c r="F156" s="489"/>
    </row>
    <row r="157" spans="2:6" outlineLevel="1">
      <c r="B157" s="495" t="s">
        <v>950</v>
      </c>
      <c r="C157" s="224" t="s">
        <v>951</v>
      </c>
      <c r="E157" s="489"/>
      <c r="F157" s="489"/>
    </row>
    <row r="158" spans="2:6" outlineLevel="1">
      <c r="B158" s="495"/>
      <c r="C158" s="488"/>
      <c r="E158" s="489"/>
      <c r="F158" s="489"/>
    </row>
    <row r="159" spans="2:6" outlineLevel="1">
      <c r="B159" s="495"/>
      <c r="C159" s="488"/>
      <c r="E159" s="489"/>
      <c r="F159" s="489"/>
    </row>
    <row r="160" spans="2:6" outlineLevel="1">
      <c r="B160" s="495"/>
      <c r="C160" s="488"/>
      <c r="E160" s="489"/>
      <c r="F160" s="489"/>
    </row>
    <row r="161" spans="1:44" outlineLevel="1"/>
    <row r="162" spans="1:44" outlineLevel="1">
      <c r="M162" s="214"/>
    </row>
    <row r="163" spans="1:44" outlineLevel="1"/>
    <row r="166" spans="1:44">
      <c r="A166" s="359" t="s">
        <v>952</v>
      </c>
      <c r="B166" s="1204"/>
      <c r="C166" s="1140"/>
      <c r="D166" s="1140"/>
      <c r="E166" s="1140"/>
      <c r="F166" s="1140"/>
      <c r="G166" s="1140"/>
      <c r="H166" s="1140"/>
      <c r="I166" s="1140"/>
      <c r="J166" s="1140"/>
      <c r="K166" s="1140"/>
      <c r="L166" s="1140"/>
      <c r="M166" s="1140"/>
      <c r="N166" s="360"/>
      <c r="P166" s="1140"/>
      <c r="Q166" s="1140"/>
      <c r="R166" s="1140"/>
      <c r="S166" s="1140"/>
      <c r="T166" s="1140"/>
      <c r="U166" s="1140"/>
    </row>
    <row r="167" spans="1:44" ht="15" outlineLevel="1" thickBot="1">
      <c r="B167" s="1204"/>
      <c r="C167" s="1140"/>
      <c r="D167" s="1140"/>
      <c r="E167" s="1140"/>
      <c r="F167" s="1140"/>
      <c r="G167" s="1140"/>
      <c r="H167" s="1140"/>
      <c r="I167" s="1140"/>
      <c r="J167" s="1140"/>
      <c r="K167" s="1140"/>
      <c r="L167" s="1140"/>
      <c r="M167" s="1140"/>
      <c r="N167" s="360"/>
      <c r="P167" s="691">
        <v>1</v>
      </c>
      <c r="Q167" s="691">
        <v>2</v>
      </c>
      <c r="R167" s="691">
        <v>3</v>
      </c>
      <c r="S167" s="691">
        <v>4</v>
      </c>
      <c r="T167" s="691">
        <v>5</v>
      </c>
      <c r="U167" s="691">
        <v>6</v>
      </c>
      <c r="V167" s="691">
        <v>7</v>
      </c>
      <c r="W167" s="691">
        <v>8</v>
      </c>
      <c r="X167" s="691">
        <v>9</v>
      </c>
      <c r="Y167" s="691">
        <v>10</v>
      </c>
      <c r="Z167" s="691">
        <v>11</v>
      </c>
      <c r="AA167" s="691">
        <v>12</v>
      </c>
      <c r="AB167" s="691">
        <v>13</v>
      </c>
      <c r="AC167" s="691">
        <v>14</v>
      </c>
    </row>
    <row r="168" spans="1:44" ht="20.55" customHeight="1" outlineLevel="1" thickBot="1">
      <c r="B168" s="361" t="s">
        <v>0</v>
      </c>
      <c r="C168" s="1201" t="s">
        <v>953</v>
      </c>
      <c r="D168" s="1202"/>
      <c r="E168" s="1202"/>
      <c r="F168" s="1202"/>
      <c r="G168" s="1202"/>
      <c r="H168" s="1202"/>
      <c r="I168" s="1202"/>
      <c r="J168" s="1202"/>
      <c r="K168" s="1202"/>
      <c r="L168" s="1203"/>
      <c r="M168" s="362"/>
      <c r="N168" s="362"/>
      <c r="P168" s="363" t="s">
        <v>676</v>
      </c>
      <c r="Q168" s="364"/>
      <c r="R168" s="365"/>
      <c r="S168" s="1173" t="s">
        <v>677</v>
      </c>
      <c r="T168" s="1157" t="s">
        <v>678</v>
      </c>
      <c r="U168" s="1158"/>
      <c r="V168" s="1157" t="s">
        <v>679</v>
      </c>
      <c r="W168" s="1158"/>
      <c r="X168" s="1157" t="s">
        <v>680</v>
      </c>
      <c r="Y168" s="1158"/>
      <c r="Z168" s="1157" t="s">
        <v>681</v>
      </c>
      <c r="AA168" s="1158"/>
      <c r="AB168" s="1157" t="s">
        <v>682</v>
      </c>
      <c r="AC168" s="1158"/>
      <c r="AE168" s="363" t="s">
        <v>683</v>
      </c>
      <c r="AF168" s="364"/>
      <c r="AG168" s="365"/>
      <c r="AH168" s="1173" t="s">
        <v>677</v>
      </c>
      <c r="AI168" s="1157" t="s">
        <v>678</v>
      </c>
      <c r="AJ168" s="1158"/>
      <c r="AK168" s="1157" t="s">
        <v>679</v>
      </c>
      <c r="AL168" s="1158"/>
      <c r="AM168" s="1157" t="s">
        <v>680</v>
      </c>
      <c r="AN168" s="1158"/>
      <c r="AO168" s="1157" t="s">
        <v>681</v>
      </c>
      <c r="AP168" s="1158"/>
      <c r="AQ168" s="1157" t="s">
        <v>682</v>
      </c>
      <c r="AR168" s="1158"/>
    </row>
    <row r="169" spans="1:44" ht="15" customHeight="1" outlineLevel="1" thickBot="1">
      <c r="B169" s="1161" t="s">
        <v>4</v>
      </c>
      <c r="C169" s="1163">
        <v>2020</v>
      </c>
      <c r="D169" s="1163">
        <v>2030</v>
      </c>
      <c r="E169" s="1163">
        <v>2040</v>
      </c>
      <c r="F169" s="1163">
        <v>2050</v>
      </c>
      <c r="G169" s="1197" t="s">
        <v>684</v>
      </c>
      <c r="H169" s="1198"/>
      <c r="I169" s="1197" t="s">
        <v>628</v>
      </c>
      <c r="J169" s="1198"/>
      <c r="K169" s="1199" t="s">
        <v>2</v>
      </c>
      <c r="L169" s="1199" t="s">
        <v>3</v>
      </c>
      <c r="M169" s="366"/>
      <c r="N169" s="366"/>
      <c r="P169" s="1177" t="s">
        <v>0</v>
      </c>
      <c r="Q169" s="367"/>
      <c r="R169" s="367"/>
      <c r="S169" s="1174"/>
      <c r="T169" s="1159"/>
      <c r="U169" s="1160"/>
      <c r="V169" s="1159"/>
      <c r="W169" s="1160"/>
      <c r="X169" s="1159"/>
      <c r="Y169" s="1160"/>
      <c r="Z169" s="1159"/>
      <c r="AA169" s="1160"/>
      <c r="AB169" s="1159"/>
      <c r="AC169" s="1160"/>
      <c r="AE169" s="1177" t="s">
        <v>0</v>
      </c>
      <c r="AF169" s="367"/>
      <c r="AG169" s="367"/>
      <c r="AH169" s="1174"/>
      <c r="AI169" s="1159"/>
      <c r="AJ169" s="1160"/>
      <c r="AK169" s="1159"/>
      <c r="AL169" s="1160"/>
      <c r="AM169" s="1159"/>
      <c r="AN169" s="1160"/>
      <c r="AO169" s="1159"/>
      <c r="AP169" s="1160"/>
      <c r="AQ169" s="1159"/>
      <c r="AR169" s="1160"/>
    </row>
    <row r="170" spans="1:44" ht="15" customHeight="1" outlineLevel="1" thickBot="1">
      <c r="B170" s="1162"/>
      <c r="C170" s="1164"/>
      <c r="D170" s="1164"/>
      <c r="E170" s="1164"/>
      <c r="F170" s="1164"/>
      <c r="G170" s="498" t="s">
        <v>629</v>
      </c>
      <c r="H170" s="498" t="s">
        <v>630</v>
      </c>
      <c r="I170" s="498" t="s">
        <v>629</v>
      </c>
      <c r="J170" s="498" t="s">
        <v>630</v>
      </c>
      <c r="K170" s="1200"/>
      <c r="L170" s="1200"/>
      <c r="M170" s="369"/>
      <c r="N170" s="369"/>
      <c r="P170" s="1178"/>
      <c r="Q170" s="1180" t="s">
        <v>685</v>
      </c>
      <c r="R170" s="1181" t="s">
        <v>686</v>
      </c>
      <c r="S170" s="1175"/>
      <c r="T170" s="1159"/>
      <c r="U170" s="1160"/>
      <c r="V170" s="1159"/>
      <c r="W170" s="1160"/>
      <c r="X170" s="1159"/>
      <c r="Y170" s="1160"/>
      <c r="Z170" s="1159"/>
      <c r="AA170" s="1160"/>
      <c r="AB170" s="1159"/>
      <c r="AC170" s="1160"/>
      <c r="AE170" s="1178"/>
      <c r="AF170" s="1194" t="s">
        <v>685</v>
      </c>
      <c r="AG170" s="1181" t="s">
        <v>686</v>
      </c>
      <c r="AH170" s="1175"/>
      <c r="AI170" s="1159"/>
      <c r="AJ170" s="1160"/>
      <c r="AK170" s="1159"/>
      <c r="AL170" s="1160"/>
      <c r="AM170" s="1159"/>
      <c r="AN170" s="1160"/>
      <c r="AO170" s="1159"/>
      <c r="AP170" s="1160"/>
      <c r="AQ170" s="1159"/>
      <c r="AR170" s="1160"/>
    </row>
    <row r="171" spans="1:44" ht="29.4" outlineLevel="1" thickBot="1">
      <c r="B171" s="370" t="s">
        <v>631</v>
      </c>
      <c r="C171" s="371">
        <v>20</v>
      </c>
      <c r="D171" s="371">
        <v>20</v>
      </c>
      <c r="E171" s="371">
        <v>20</v>
      </c>
      <c r="F171" s="371">
        <v>20</v>
      </c>
      <c r="G171" s="371">
        <v>1</v>
      </c>
      <c r="H171" s="371">
        <v>50</v>
      </c>
      <c r="I171" s="371">
        <v>1</v>
      </c>
      <c r="J171" s="371">
        <v>50</v>
      </c>
      <c r="K171" s="371" t="s">
        <v>6</v>
      </c>
      <c r="L171" s="372" t="s">
        <v>688</v>
      </c>
      <c r="M171" s="369"/>
      <c r="N171" s="369"/>
      <c r="O171" s="74"/>
      <c r="P171" s="1179"/>
      <c r="Q171" s="1176"/>
      <c r="R171" s="1182"/>
      <c r="S171" s="1176"/>
      <c r="T171" s="373" t="s">
        <v>689</v>
      </c>
      <c r="U171" s="374" t="s">
        <v>690</v>
      </c>
      <c r="V171" s="373" t="s">
        <v>689</v>
      </c>
      <c r="W171" s="374" t="s">
        <v>690</v>
      </c>
      <c r="X171" s="373" t="s">
        <v>689</v>
      </c>
      <c r="Y171" s="374" t="s">
        <v>690</v>
      </c>
      <c r="Z171" s="373" t="s">
        <v>689</v>
      </c>
      <c r="AA171" s="374" t="s">
        <v>690</v>
      </c>
      <c r="AB171" s="373" t="s">
        <v>689</v>
      </c>
      <c r="AC171" s="374" t="s">
        <v>690</v>
      </c>
      <c r="AE171" s="1179"/>
      <c r="AF171" s="1195"/>
      <c r="AG171" s="1182"/>
      <c r="AH171" s="1176"/>
      <c r="AI171" s="373" t="s">
        <v>689</v>
      </c>
      <c r="AJ171" s="374" t="s">
        <v>690</v>
      </c>
      <c r="AK171" s="373" t="s">
        <v>689</v>
      </c>
      <c r="AL171" s="374" t="s">
        <v>690</v>
      </c>
      <c r="AM171" s="373" t="s">
        <v>689</v>
      </c>
      <c r="AN171" s="374" t="s">
        <v>690</v>
      </c>
      <c r="AO171" s="373" t="s">
        <v>689</v>
      </c>
      <c r="AP171" s="374" t="s">
        <v>690</v>
      </c>
      <c r="AQ171" s="373" t="s">
        <v>689</v>
      </c>
      <c r="AR171" s="374" t="s">
        <v>690</v>
      </c>
    </row>
    <row r="172" spans="1:44" ht="14.55" customHeight="1" outlineLevel="1">
      <c r="B172" s="499" t="s">
        <v>691</v>
      </c>
      <c r="C172" s="500">
        <v>91</v>
      </c>
      <c r="D172" s="500">
        <v>91</v>
      </c>
      <c r="E172" s="501">
        <v>91</v>
      </c>
      <c r="F172" s="500">
        <v>92</v>
      </c>
      <c r="G172" s="500">
        <f>D172-1</f>
        <v>90</v>
      </c>
      <c r="H172" s="500">
        <f>D172+2</f>
        <v>93</v>
      </c>
      <c r="I172" s="500">
        <f>F172-1</f>
        <v>91</v>
      </c>
      <c r="J172" s="500">
        <f>F172+2</f>
        <v>94</v>
      </c>
      <c r="K172" s="502" t="s">
        <v>59</v>
      </c>
      <c r="L172" s="503" t="s">
        <v>692</v>
      </c>
      <c r="M172" s="369"/>
      <c r="N172" s="369"/>
      <c r="P172" s="1196" t="str">
        <f>C168</f>
        <v>Hot water boiler, Wood Chips</v>
      </c>
      <c r="Q172" s="1151" t="s">
        <v>693</v>
      </c>
      <c r="R172" s="380" t="s">
        <v>694</v>
      </c>
      <c r="S172" s="381"/>
      <c r="T172" s="1134">
        <v>0</v>
      </c>
      <c r="U172" s="1148">
        <v>0</v>
      </c>
      <c r="V172" s="1154">
        <v>0</v>
      </c>
      <c r="W172" s="1148">
        <v>0</v>
      </c>
      <c r="X172" s="1154">
        <v>0</v>
      </c>
      <c r="Y172" s="1148">
        <v>0</v>
      </c>
      <c r="Z172" s="1154">
        <v>0</v>
      </c>
      <c r="AA172" s="1148">
        <v>0</v>
      </c>
      <c r="AB172" s="1154">
        <v>0</v>
      </c>
      <c r="AC172" s="1148">
        <v>0</v>
      </c>
      <c r="AE172" s="1145" t="str">
        <f>P172</f>
        <v>Hot water boiler, Wood Chips</v>
      </c>
      <c r="AF172" s="1151" t="s">
        <v>693</v>
      </c>
      <c r="AG172" s="380" t="s">
        <v>694</v>
      </c>
      <c r="AH172" s="381"/>
      <c r="AI172" s="1134">
        <v>0</v>
      </c>
      <c r="AJ172" s="1148">
        <v>0</v>
      </c>
      <c r="AK172" s="1154">
        <v>0</v>
      </c>
      <c r="AL172" s="1148">
        <v>0</v>
      </c>
      <c r="AM172" s="1154">
        <v>0</v>
      </c>
      <c r="AN172" s="1148">
        <v>0</v>
      </c>
      <c r="AO172" s="1154">
        <v>0</v>
      </c>
      <c r="AP172" s="1148">
        <v>0</v>
      </c>
      <c r="AQ172" s="1154">
        <v>0</v>
      </c>
      <c r="AR172" s="1148">
        <v>0</v>
      </c>
    </row>
    <row r="173" spans="1:44" outlineLevel="1">
      <c r="B173" s="382" t="s">
        <v>695</v>
      </c>
      <c r="C173" s="383">
        <f t="shared" ref="C173:J173" si="9">C172-1</f>
        <v>90</v>
      </c>
      <c r="D173" s="383">
        <f t="shared" si="9"/>
        <v>90</v>
      </c>
      <c r="E173" s="383">
        <f t="shared" si="9"/>
        <v>90</v>
      </c>
      <c r="F173" s="383">
        <f t="shared" si="9"/>
        <v>91</v>
      </c>
      <c r="G173" s="504">
        <f t="shared" si="9"/>
        <v>89</v>
      </c>
      <c r="H173" s="504">
        <f t="shared" si="9"/>
        <v>92</v>
      </c>
      <c r="I173" s="504">
        <f t="shared" si="9"/>
        <v>90</v>
      </c>
      <c r="J173" s="504">
        <f t="shared" si="9"/>
        <v>93</v>
      </c>
      <c r="K173" s="371"/>
      <c r="L173" s="372" t="s">
        <v>692</v>
      </c>
      <c r="M173" s="369"/>
      <c r="N173" s="369"/>
      <c r="O173" s="71"/>
      <c r="P173" s="1192"/>
      <c r="Q173" s="1152"/>
      <c r="R173" s="387" t="s">
        <v>696</v>
      </c>
      <c r="S173" s="388"/>
      <c r="T173" s="1137"/>
      <c r="U173" s="1149"/>
      <c r="V173" s="1155"/>
      <c r="W173" s="1149"/>
      <c r="X173" s="1155"/>
      <c r="Y173" s="1149"/>
      <c r="Z173" s="1155"/>
      <c r="AA173" s="1149"/>
      <c r="AB173" s="1155"/>
      <c r="AC173" s="1149"/>
      <c r="AE173" s="1192"/>
      <c r="AF173" s="1152"/>
      <c r="AG173" s="387" t="s">
        <v>696</v>
      </c>
      <c r="AH173" s="388"/>
      <c r="AI173" s="1137"/>
      <c r="AJ173" s="1149"/>
      <c r="AK173" s="1155"/>
      <c r="AL173" s="1149"/>
      <c r="AM173" s="1155"/>
      <c r="AN173" s="1149"/>
      <c r="AO173" s="1155"/>
      <c r="AP173" s="1149"/>
      <c r="AQ173" s="1155"/>
      <c r="AR173" s="1149"/>
    </row>
    <row r="174" spans="1:44" ht="15" outlineLevel="1" thickBot="1">
      <c r="B174" s="499" t="s">
        <v>697</v>
      </c>
      <c r="C174" s="505">
        <v>2.2999999999999998</v>
      </c>
      <c r="D174" s="506">
        <v>2.2999999999999998</v>
      </c>
      <c r="E174" s="506">
        <v>2.2999999999999998</v>
      </c>
      <c r="F174" s="507">
        <v>2.2999999999999998</v>
      </c>
      <c r="G174" s="506">
        <v>2.2000000000000002</v>
      </c>
      <c r="H174" s="506">
        <v>2.5</v>
      </c>
      <c r="I174" s="506">
        <v>1.8</v>
      </c>
      <c r="J174" s="506">
        <v>2.5</v>
      </c>
      <c r="K174" s="502" t="s">
        <v>16</v>
      </c>
      <c r="L174" s="503">
        <v>3</v>
      </c>
      <c r="M174" s="369"/>
      <c r="N174" s="369"/>
      <c r="O174" s="71"/>
      <c r="P174" s="1192"/>
      <c r="Q174" s="1153"/>
      <c r="R174" s="392" t="s">
        <v>698</v>
      </c>
      <c r="S174" s="393"/>
      <c r="T174" s="1138"/>
      <c r="U174" s="1150"/>
      <c r="V174" s="1156"/>
      <c r="W174" s="1150"/>
      <c r="X174" s="1156"/>
      <c r="Y174" s="1150"/>
      <c r="Z174" s="1156"/>
      <c r="AA174" s="1150"/>
      <c r="AB174" s="1156"/>
      <c r="AC174" s="1150"/>
      <c r="AE174" s="1192"/>
      <c r="AF174" s="1153"/>
      <c r="AG174" s="392" t="s">
        <v>698</v>
      </c>
      <c r="AH174" s="393"/>
      <c r="AI174" s="1138"/>
      <c r="AJ174" s="1150"/>
      <c r="AK174" s="1156"/>
      <c r="AL174" s="1150"/>
      <c r="AM174" s="1156"/>
      <c r="AN174" s="1150"/>
      <c r="AO174" s="1156"/>
      <c r="AP174" s="1150"/>
      <c r="AQ174" s="1156"/>
      <c r="AR174" s="1150"/>
    </row>
    <row r="175" spans="1:44" ht="14.55" customHeight="1" outlineLevel="1">
      <c r="B175" s="499" t="s">
        <v>637</v>
      </c>
      <c r="C175" s="686">
        <v>3</v>
      </c>
      <c r="D175" s="686">
        <v>3</v>
      </c>
      <c r="E175" s="686">
        <v>3</v>
      </c>
      <c r="F175" s="686">
        <v>3</v>
      </c>
      <c r="G175" s="686">
        <v>3</v>
      </c>
      <c r="H175" s="686">
        <v>3</v>
      </c>
      <c r="I175" s="686">
        <v>3</v>
      </c>
      <c r="J175" s="686">
        <v>3</v>
      </c>
      <c r="K175" s="502" t="s">
        <v>20</v>
      </c>
      <c r="L175" s="503">
        <v>3</v>
      </c>
      <c r="M175" s="369"/>
      <c r="N175" s="369"/>
      <c r="O175" s="71"/>
      <c r="P175" s="1192"/>
      <c r="Q175" s="1151" t="s">
        <v>699</v>
      </c>
      <c r="R175" s="394" t="s">
        <v>700</v>
      </c>
      <c r="S175" s="395" t="s">
        <v>701</v>
      </c>
      <c r="T175" s="1134">
        <v>0</v>
      </c>
      <c r="U175" s="1134">
        <v>0.67</v>
      </c>
      <c r="V175" s="1134">
        <v>0</v>
      </c>
      <c r="W175" s="1134">
        <v>0.56999999999999995</v>
      </c>
      <c r="X175" s="1134">
        <v>0</v>
      </c>
      <c r="Y175" s="1134">
        <v>0.5</v>
      </c>
      <c r="Z175" s="1134">
        <v>0</v>
      </c>
      <c r="AA175" s="1134">
        <v>0.51</v>
      </c>
      <c r="AB175" s="1134">
        <v>0</v>
      </c>
      <c r="AC175" s="1148">
        <v>0.41</v>
      </c>
      <c r="AE175" s="1192"/>
      <c r="AF175" s="1151" t="s">
        <v>699</v>
      </c>
      <c r="AG175" s="394" t="s">
        <v>700</v>
      </c>
      <c r="AH175" s="395" t="s">
        <v>701</v>
      </c>
      <c r="AI175" s="1134">
        <v>0</v>
      </c>
      <c r="AJ175" s="1134">
        <f>U175/4</f>
        <v>0.16750000000000001</v>
      </c>
      <c r="AK175" s="1134">
        <v>0</v>
      </c>
      <c r="AL175" s="1134">
        <f>W175/4</f>
        <v>0.14249999999999999</v>
      </c>
      <c r="AM175" s="1134">
        <v>0</v>
      </c>
      <c r="AN175" s="1134">
        <f>Y175/4</f>
        <v>0.125</v>
      </c>
      <c r="AO175" s="1134">
        <v>0</v>
      </c>
      <c r="AP175" s="1134">
        <f>AA175/4</f>
        <v>0.1275</v>
      </c>
      <c r="AQ175" s="1134">
        <v>0</v>
      </c>
      <c r="AR175" s="1148">
        <f>AC175/4</f>
        <v>0.10249999999999999</v>
      </c>
    </row>
    <row r="176" spans="1:44" outlineLevel="1">
      <c r="B176" s="499" t="s">
        <v>638</v>
      </c>
      <c r="C176" s="505">
        <v>3</v>
      </c>
      <c r="D176" s="505">
        <v>3</v>
      </c>
      <c r="E176" s="505">
        <v>3</v>
      </c>
      <c r="F176" s="505">
        <v>3</v>
      </c>
      <c r="G176" s="505">
        <v>2.6</v>
      </c>
      <c r="H176" s="505">
        <v>3.5</v>
      </c>
      <c r="I176" s="505">
        <v>2.2999999999999998</v>
      </c>
      <c r="J176" s="505">
        <v>3.8</v>
      </c>
      <c r="K176" s="502" t="s">
        <v>20</v>
      </c>
      <c r="L176" s="503">
        <v>3</v>
      </c>
      <c r="M176" s="366"/>
      <c r="N176" s="366"/>
      <c r="O176" s="71"/>
      <c r="P176" s="1192"/>
      <c r="Q176" s="1152"/>
      <c r="R176" s="394" t="s">
        <v>702</v>
      </c>
      <c r="S176" s="395" t="s">
        <v>701</v>
      </c>
      <c r="T176" s="1188"/>
      <c r="U176" s="1188"/>
      <c r="V176" s="1188"/>
      <c r="W176" s="1188"/>
      <c r="X176" s="1188"/>
      <c r="Y176" s="1188"/>
      <c r="Z176" s="1188"/>
      <c r="AA176" s="1188"/>
      <c r="AB176" s="1188"/>
      <c r="AC176" s="1190"/>
      <c r="AE176" s="1192"/>
      <c r="AF176" s="1152"/>
      <c r="AG176" s="394" t="s">
        <v>702</v>
      </c>
      <c r="AH176" s="395" t="s">
        <v>701</v>
      </c>
      <c r="AI176" s="1188"/>
      <c r="AJ176" s="1188"/>
      <c r="AK176" s="1188"/>
      <c r="AL176" s="1188"/>
      <c r="AM176" s="1188"/>
      <c r="AN176" s="1188"/>
      <c r="AO176" s="1188"/>
      <c r="AP176" s="1188"/>
      <c r="AQ176" s="1188"/>
      <c r="AR176" s="1190"/>
    </row>
    <row r="177" spans="1:44" outlineLevel="1">
      <c r="B177" s="382" t="s">
        <v>11</v>
      </c>
      <c r="C177" s="396">
        <v>25</v>
      </c>
      <c r="D177" s="396">
        <v>25</v>
      </c>
      <c r="E177" s="396">
        <v>25</v>
      </c>
      <c r="F177" s="396">
        <v>25</v>
      </c>
      <c r="G177" s="398">
        <v>20</v>
      </c>
      <c r="H177" s="398">
        <v>35</v>
      </c>
      <c r="I177" s="398">
        <v>20</v>
      </c>
      <c r="J177" s="398">
        <v>35</v>
      </c>
      <c r="K177" s="371"/>
      <c r="L177" s="372" t="s">
        <v>703</v>
      </c>
      <c r="M177" s="362"/>
      <c r="N177" s="362"/>
      <c r="P177" s="1192"/>
      <c r="Q177" s="1152"/>
      <c r="R177" s="394" t="s">
        <v>704</v>
      </c>
      <c r="S177" s="395"/>
      <c r="T177" s="1188"/>
      <c r="U177" s="1188"/>
      <c r="V177" s="1188"/>
      <c r="W177" s="1188"/>
      <c r="X177" s="1188"/>
      <c r="Y177" s="1188"/>
      <c r="Z177" s="1188"/>
      <c r="AA177" s="1188"/>
      <c r="AB177" s="1188"/>
      <c r="AC177" s="1190"/>
      <c r="AE177" s="1192"/>
      <c r="AF177" s="1152"/>
      <c r="AG177" s="394" t="s">
        <v>704</v>
      </c>
      <c r="AH177" s="628" t="s">
        <v>701</v>
      </c>
      <c r="AI177" s="1188"/>
      <c r="AJ177" s="1188"/>
      <c r="AK177" s="1188"/>
      <c r="AL177" s="1188"/>
      <c r="AM177" s="1188"/>
      <c r="AN177" s="1188"/>
      <c r="AO177" s="1188"/>
      <c r="AP177" s="1188"/>
      <c r="AQ177" s="1188"/>
      <c r="AR177" s="1190"/>
    </row>
    <row r="178" spans="1:44" ht="15" outlineLevel="1" thickBot="1">
      <c r="B178" s="499" t="s">
        <v>273</v>
      </c>
      <c r="C178" s="505">
        <v>1</v>
      </c>
      <c r="D178" s="505">
        <v>1</v>
      </c>
      <c r="E178" s="505">
        <v>1</v>
      </c>
      <c r="F178" s="505">
        <v>1</v>
      </c>
      <c r="G178" s="505">
        <v>0.5</v>
      </c>
      <c r="H178" s="505">
        <v>1.5</v>
      </c>
      <c r="I178" s="505">
        <v>0.5</v>
      </c>
      <c r="J178" s="505">
        <v>1.5</v>
      </c>
      <c r="K178" s="371"/>
      <c r="L178" s="399"/>
      <c r="M178" s="362"/>
      <c r="N178" s="362"/>
      <c r="P178" s="1192"/>
      <c r="Q178" s="1152"/>
      <c r="R178" s="394" t="s">
        <v>705</v>
      </c>
      <c r="S178" s="395" t="s">
        <v>701</v>
      </c>
      <c r="T178" s="1188"/>
      <c r="U178" s="1188"/>
      <c r="V178" s="1188"/>
      <c r="W178" s="1188"/>
      <c r="X178" s="1188"/>
      <c r="Y178" s="1188"/>
      <c r="Z178" s="1188"/>
      <c r="AA178" s="1188"/>
      <c r="AB178" s="1188"/>
      <c r="AC178" s="1190"/>
      <c r="AE178" s="1192"/>
      <c r="AF178" s="1152"/>
      <c r="AG178" s="394" t="s">
        <v>705</v>
      </c>
      <c r="AH178" s="395"/>
      <c r="AI178" s="1188"/>
      <c r="AJ178" s="1188"/>
      <c r="AK178" s="1188"/>
      <c r="AL178" s="1188"/>
      <c r="AM178" s="1188"/>
      <c r="AN178" s="1188"/>
      <c r="AO178" s="1188"/>
      <c r="AP178" s="1188"/>
      <c r="AQ178" s="1188"/>
      <c r="AR178" s="1190"/>
    </row>
    <row r="179" spans="1:44" ht="15" outlineLevel="1" thickBot="1">
      <c r="B179" s="400" t="s">
        <v>706</v>
      </c>
      <c r="C179" s="401"/>
      <c r="D179" s="402"/>
      <c r="E179" s="403"/>
      <c r="F179" s="404"/>
      <c r="G179" s="405"/>
      <c r="H179" s="405"/>
      <c r="I179" s="405"/>
      <c r="J179" s="405"/>
      <c r="K179" s="406"/>
      <c r="L179" s="407"/>
      <c r="M179" s="362"/>
      <c r="N179" s="362"/>
      <c r="P179" s="1192"/>
      <c r="Q179" s="1153"/>
      <c r="R179" s="408" t="s">
        <v>826</v>
      </c>
      <c r="S179" s="409" t="s">
        <v>701</v>
      </c>
      <c r="T179" s="1189"/>
      <c r="U179" s="1189"/>
      <c r="V179" s="1189"/>
      <c r="W179" s="1189"/>
      <c r="X179" s="1189"/>
      <c r="Y179" s="1189"/>
      <c r="Z179" s="1189"/>
      <c r="AA179" s="1189"/>
      <c r="AB179" s="1189"/>
      <c r="AC179" s="1191"/>
      <c r="AE179" s="1192"/>
      <c r="AF179" s="1153"/>
      <c r="AG179" s="408" t="s">
        <v>826</v>
      </c>
      <c r="AH179" s="409" t="s">
        <v>701</v>
      </c>
      <c r="AI179" s="1189"/>
      <c r="AJ179" s="1189"/>
      <c r="AK179" s="1189"/>
      <c r="AL179" s="1189"/>
      <c r="AM179" s="1189"/>
      <c r="AN179" s="1189"/>
      <c r="AO179" s="1189"/>
      <c r="AP179" s="1189"/>
      <c r="AQ179" s="1189"/>
      <c r="AR179" s="1191"/>
    </row>
    <row r="180" spans="1:44" ht="29.4" outlineLevel="1" thickBot="1">
      <c r="B180" s="499" t="s">
        <v>643</v>
      </c>
      <c r="C180" s="505">
        <v>20</v>
      </c>
      <c r="D180" s="505">
        <v>20</v>
      </c>
      <c r="E180" s="505">
        <v>20</v>
      </c>
      <c r="F180" s="505">
        <v>20</v>
      </c>
      <c r="G180" s="506"/>
      <c r="H180" s="506"/>
      <c r="I180" s="506"/>
      <c r="J180" s="506"/>
      <c r="K180" s="502"/>
      <c r="L180" s="503">
        <v>3</v>
      </c>
      <c r="M180" s="362"/>
      <c r="N180" s="362"/>
      <c r="P180" s="1193"/>
      <c r="Q180" s="410" t="s">
        <v>708</v>
      </c>
      <c r="R180" s="411" t="s">
        <v>709</v>
      </c>
      <c r="S180" s="629" t="s">
        <v>701</v>
      </c>
      <c r="T180" s="415">
        <v>1</v>
      </c>
      <c r="U180" s="414">
        <v>1</v>
      </c>
      <c r="V180" s="415">
        <v>1</v>
      </c>
      <c r="W180" s="414">
        <v>1</v>
      </c>
      <c r="X180" s="415">
        <v>1</v>
      </c>
      <c r="Y180" s="414">
        <v>1</v>
      </c>
      <c r="Z180" s="415">
        <v>1</v>
      </c>
      <c r="AA180" s="414">
        <v>1</v>
      </c>
      <c r="AB180" s="415">
        <v>1</v>
      </c>
      <c r="AC180" s="416">
        <v>1</v>
      </c>
      <c r="AE180" s="1193"/>
      <c r="AF180" s="410" t="s">
        <v>708</v>
      </c>
      <c r="AG180" s="630" t="s">
        <v>709</v>
      </c>
      <c r="AH180" s="631" t="s">
        <v>701</v>
      </c>
      <c r="AI180" s="415">
        <v>1</v>
      </c>
      <c r="AJ180" s="414">
        <v>1</v>
      </c>
      <c r="AK180" s="415">
        <v>1</v>
      </c>
      <c r="AL180" s="414">
        <v>1</v>
      </c>
      <c r="AM180" s="415">
        <v>1</v>
      </c>
      <c r="AN180" s="414">
        <v>1</v>
      </c>
      <c r="AO180" s="415">
        <v>1</v>
      </c>
      <c r="AP180" s="414">
        <v>1</v>
      </c>
      <c r="AQ180" s="415">
        <v>1</v>
      </c>
      <c r="AR180" s="416">
        <v>1</v>
      </c>
    </row>
    <row r="181" spans="1:44" outlineLevel="1">
      <c r="B181" s="499" t="s">
        <v>644</v>
      </c>
      <c r="C181" s="505">
        <v>0.3</v>
      </c>
      <c r="D181" s="505">
        <v>0.3</v>
      </c>
      <c r="E181" s="505">
        <v>0.3</v>
      </c>
      <c r="F181" s="505">
        <v>0.3</v>
      </c>
      <c r="G181" s="508"/>
      <c r="H181" s="508"/>
      <c r="I181" s="508"/>
      <c r="J181" s="508"/>
      <c r="K181" s="509"/>
      <c r="L181" s="503">
        <v>3</v>
      </c>
      <c r="M181" s="362"/>
      <c r="N181" s="362"/>
    </row>
    <row r="182" spans="1:44" outlineLevel="1">
      <c r="B182" s="499" t="s">
        <v>646</v>
      </c>
      <c r="C182" s="505">
        <v>0.5</v>
      </c>
      <c r="D182" s="505">
        <v>0.5</v>
      </c>
      <c r="E182" s="505">
        <v>0.5</v>
      </c>
      <c r="F182" s="505">
        <v>0.5</v>
      </c>
      <c r="G182" s="508"/>
      <c r="H182" s="508"/>
      <c r="I182" s="508"/>
      <c r="J182" s="508"/>
      <c r="K182" s="509"/>
      <c r="L182" s="503">
        <v>3</v>
      </c>
      <c r="M182" s="419"/>
      <c r="N182" s="362"/>
    </row>
    <row r="183" spans="1:44" outlineLevel="1">
      <c r="B183" s="420" t="s">
        <v>12</v>
      </c>
      <c r="C183" s="398"/>
      <c r="D183" s="398"/>
      <c r="E183" s="398"/>
      <c r="F183" s="398"/>
      <c r="G183" s="421"/>
      <c r="H183" s="421"/>
      <c r="I183" s="421"/>
      <c r="J183" s="421"/>
      <c r="K183" s="422"/>
      <c r="L183" s="423"/>
      <c r="M183" s="419"/>
      <c r="N183" s="419"/>
    </row>
    <row r="184" spans="1:44" outlineLevel="1">
      <c r="B184" s="382" t="s">
        <v>806</v>
      </c>
      <c r="C184" s="396">
        <v>11</v>
      </c>
      <c r="D184" s="396">
        <v>11</v>
      </c>
      <c r="E184" s="396">
        <v>11</v>
      </c>
      <c r="F184" s="396">
        <v>11</v>
      </c>
      <c r="G184" s="421"/>
      <c r="H184" s="424"/>
      <c r="I184" s="424"/>
      <c r="J184" s="424"/>
      <c r="K184" s="425" t="s">
        <v>76</v>
      </c>
      <c r="L184" s="426" t="s">
        <v>711</v>
      </c>
      <c r="M184" s="427"/>
      <c r="N184" s="427"/>
    </row>
    <row r="185" spans="1:44" outlineLevel="1">
      <c r="B185" s="382" t="s">
        <v>712</v>
      </c>
      <c r="C185" s="396">
        <v>10</v>
      </c>
      <c r="D185" s="396">
        <v>10</v>
      </c>
      <c r="E185" s="396">
        <v>10</v>
      </c>
      <c r="F185" s="396">
        <v>10</v>
      </c>
      <c r="G185" s="424"/>
      <c r="H185" s="424"/>
      <c r="I185" s="424"/>
      <c r="J185" s="424"/>
      <c r="K185" s="422"/>
      <c r="L185" s="426">
        <v>9</v>
      </c>
      <c r="M185" s="427"/>
      <c r="N185" s="427"/>
    </row>
    <row r="186" spans="1:44" outlineLevel="1">
      <c r="B186" s="382" t="s">
        <v>807</v>
      </c>
      <c r="C186" s="396">
        <v>63</v>
      </c>
      <c r="D186" s="396">
        <v>49</v>
      </c>
      <c r="E186" s="396">
        <v>46</v>
      </c>
      <c r="F186" s="396">
        <v>41</v>
      </c>
      <c r="G186" s="424"/>
      <c r="H186" s="424"/>
      <c r="I186" s="424"/>
      <c r="J186" s="424"/>
      <c r="K186" s="422"/>
      <c r="L186" s="426" t="s">
        <v>711</v>
      </c>
      <c r="M186" s="427"/>
      <c r="N186" s="427"/>
    </row>
    <row r="187" spans="1:44" outlineLevel="1">
      <c r="B187" s="382" t="s">
        <v>366</v>
      </c>
      <c r="C187" s="396">
        <v>11</v>
      </c>
      <c r="D187" s="396">
        <v>8</v>
      </c>
      <c r="E187" s="396">
        <v>6</v>
      </c>
      <c r="F187" s="396">
        <v>4</v>
      </c>
      <c r="G187" s="424"/>
      <c r="H187" s="424"/>
      <c r="I187" s="424"/>
      <c r="J187" s="424"/>
      <c r="K187" s="422"/>
      <c r="L187" s="426" t="s">
        <v>711</v>
      </c>
      <c r="M187" s="427"/>
      <c r="N187" s="427"/>
    </row>
    <row r="188" spans="1:44" ht="15" outlineLevel="1" thickBot="1">
      <c r="B188" s="428" t="s">
        <v>367</v>
      </c>
      <c r="C188" s="429">
        <v>3</v>
      </c>
      <c r="D188" s="429">
        <v>3</v>
      </c>
      <c r="E188" s="429">
        <v>1</v>
      </c>
      <c r="F188" s="429">
        <v>1</v>
      </c>
      <c r="G188" s="424"/>
      <c r="H188" s="424"/>
      <c r="I188" s="424"/>
      <c r="J188" s="424"/>
      <c r="K188" s="422"/>
      <c r="L188" s="426" t="s">
        <v>711</v>
      </c>
      <c r="M188" s="427"/>
      <c r="N188" s="427"/>
    </row>
    <row r="189" spans="1:44" ht="15" outlineLevel="1" thickBot="1">
      <c r="B189" s="430" t="s">
        <v>654</v>
      </c>
      <c r="C189" s="431"/>
      <c r="D189" s="402"/>
      <c r="E189" s="402"/>
      <c r="F189" s="432"/>
      <c r="G189" s="433"/>
      <c r="H189" s="405"/>
      <c r="I189" s="405"/>
      <c r="J189" s="405"/>
      <c r="K189" s="406"/>
      <c r="L189" s="407"/>
      <c r="M189" s="427"/>
      <c r="N189" s="427"/>
    </row>
    <row r="190" spans="1:44" ht="26.4" outlineLevel="1">
      <c r="A190" s="434"/>
      <c r="B190" s="435" t="s">
        <v>873</v>
      </c>
      <c r="C190" s="550">
        <f>0.618181818181818</f>
        <v>0.61818181818181805</v>
      </c>
      <c r="D190" s="646">
        <f>0.590909090909091</f>
        <v>0.59090909090909105</v>
      </c>
      <c r="E190" s="646">
        <f>(F190+D190)/2</f>
        <v>0.56363636363636349</v>
      </c>
      <c r="F190" s="647">
        <f>0.536363636363636</f>
        <v>0.53636363636363604</v>
      </c>
      <c r="G190" s="424"/>
      <c r="H190" s="424"/>
      <c r="I190" s="424"/>
      <c r="J190" s="424"/>
      <c r="K190" s="425" t="s">
        <v>715</v>
      </c>
      <c r="L190" s="439" t="s">
        <v>716</v>
      </c>
      <c r="M190" s="419"/>
      <c r="N190" s="419"/>
    </row>
    <row r="191" spans="1:44" outlineLevel="1">
      <c r="B191" s="440" t="s">
        <v>802</v>
      </c>
      <c r="C191" s="441">
        <v>60</v>
      </c>
      <c r="D191" s="441">
        <v>60</v>
      </c>
      <c r="E191" s="441">
        <v>60</v>
      </c>
      <c r="F191" s="441">
        <v>60</v>
      </c>
      <c r="G191" s="424"/>
      <c r="H191" s="424"/>
      <c r="I191" s="424"/>
      <c r="J191" s="424"/>
      <c r="K191" s="443"/>
      <c r="L191" s="372">
        <v>3</v>
      </c>
      <c r="M191" s="71"/>
      <c r="N191" s="419"/>
    </row>
    <row r="192" spans="1:44" outlineLevel="1">
      <c r="B192" s="440" t="s">
        <v>803</v>
      </c>
      <c r="C192" s="441">
        <f>100-C191</f>
        <v>40</v>
      </c>
      <c r="D192" s="441">
        <f>100-D191</f>
        <v>40</v>
      </c>
      <c r="E192" s="441">
        <f>100-E191</f>
        <v>40</v>
      </c>
      <c r="F192" s="441">
        <f>100-F191</f>
        <v>40</v>
      </c>
      <c r="G192" s="424"/>
      <c r="H192" s="424"/>
      <c r="I192" s="424"/>
      <c r="J192" s="424"/>
      <c r="K192" s="443"/>
      <c r="L192" s="372">
        <v>3</v>
      </c>
      <c r="M192" s="419"/>
      <c r="N192" s="419"/>
    </row>
    <row r="193" spans="2:30" outlineLevel="1">
      <c r="B193" s="382" t="s">
        <v>804</v>
      </c>
      <c r="C193" s="601">
        <v>33700</v>
      </c>
      <c r="D193" s="602">
        <v>35900</v>
      </c>
      <c r="E193" s="602">
        <f>(F193+D193)/2</f>
        <v>34800</v>
      </c>
      <c r="F193" s="603">
        <v>33700</v>
      </c>
      <c r="G193" s="424"/>
      <c r="H193" s="424"/>
      <c r="I193" s="424"/>
      <c r="J193" s="424"/>
      <c r="K193" s="447" t="s">
        <v>51</v>
      </c>
      <c r="L193" s="372">
        <v>3</v>
      </c>
      <c r="M193" s="419"/>
      <c r="N193" s="419"/>
    </row>
    <row r="194" spans="2:30" outlineLevel="1">
      <c r="B194" s="382" t="s">
        <v>659</v>
      </c>
      <c r="C194" s="448">
        <f>C195+C196</f>
        <v>2.7789999999999999</v>
      </c>
      <c r="D194" s="448">
        <f t="shared" ref="D194:F194" si="10">D195+D196</f>
        <v>2.8250000000000002</v>
      </c>
      <c r="E194" s="448">
        <f t="shared" si="10"/>
        <v>2.8479999999999999</v>
      </c>
      <c r="F194" s="448">
        <f t="shared" si="10"/>
        <v>2.8479999999999999</v>
      </c>
      <c r="G194" s="424"/>
      <c r="H194" s="424"/>
      <c r="I194" s="424"/>
      <c r="J194" s="424"/>
      <c r="K194" s="447"/>
      <c r="L194" s="372">
        <v>3</v>
      </c>
      <c r="M194" s="449"/>
      <c r="N194" s="360"/>
      <c r="P194" s="1139">
        <f>C194</f>
        <v>2.7789999999999999</v>
      </c>
      <c r="Q194" s="1140"/>
      <c r="R194" s="1140"/>
      <c r="S194" s="1140"/>
      <c r="T194" s="1140"/>
      <c r="U194" s="1141"/>
    </row>
    <row r="195" spans="2:30" ht="15" outlineLevel="1" thickBot="1">
      <c r="B195" s="499" t="s">
        <v>721</v>
      </c>
      <c r="C195" s="513">
        <f>C174/100*73</f>
        <v>1.679</v>
      </c>
      <c r="D195" s="513">
        <f>D174/100*75</f>
        <v>1.7249999999999999</v>
      </c>
      <c r="E195" s="513">
        <f>E174/100*76</f>
        <v>1.748</v>
      </c>
      <c r="F195" s="513">
        <f>F174/100*76</f>
        <v>1.748</v>
      </c>
      <c r="G195" s="514"/>
      <c r="H195" s="514"/>
      <c r="I195" s="514"/>
      <c r="J195" s="514"/>
      <c r="K195" s="502" t="s">
        <v>52</v>
      </c>
      <c r="L195" s="503">
        <v>3</v>
      </c>
      <c r="M195" s="449"/>
      <c r="N195" s="360"/>
      <c r="P195" s="1131">
        <f>C195</f>
        <v>1.679</v>
      </c>
      <c r="Q195" s="1132"/>
      <c r="R195" s="1132"/>
      <c r="S195" s="1132"/>
      <c r="T195" s="1132"/>
      <c r="U195" s="1133"/>
    </row>
    <row r="196" spans="2:30" outlineLevel="1">
      <c r="B196" s="499" t="s">
        <v>722</v>
      </c>
      <c r="C196" s="515">
        <v>1.1000000000000001</v>
      </c>
      <c r="D196" s="515">
        <v>1.1000000000000001</v>
      </c>
      <c r="E196" s="515">
        <v>1.1000000000000001</v>
      </c>
      <c r="F196" s="515">
        <v>1.1000000000000001</v>
      </c>
      <c r="G196" s="514"/>
      <c r="H196" s="514"/>
      <c r="I196" s="514"/>
      <c r="J196" s="514"/>
      <c r="K196" s="516"/>
      <c r="L196" s="503">
        <v>3</v>
      </c>
      <c r="M196" s="362"/>
      <c r="N196" s="362"/>
      <c r="P196" s="53" t="s">
        <v>357</v>
      </c>
    </row>
    <row r="197" spans="2:30" ht="27.6" outlineLevel="1">
      <c r="B197" s="440"/>
      <c r="C197" s="680"/>
      <c r="D197" s="680"/>
      <c r="E197" s="680"/>
      <c r="F197" s="680"/>
      <c r="G197" s="424"/>
      <c r="H197" s="424"/>
      <c r="I197" s="424"/>
      <c r="J197" s="424"/>
      <c r="K197" s="443"/>
      <c r="L197" s="423"/>
      <c r="M197" s="366"/>
      <c r="N197" s="366"/>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4.6" outlineLevel="1" thickBot="1">
      <c r="B198" s="518"/>
      <c r="C198" s="441"/>
      <c r="D198" s="519"/>
      <c r="E198" s="519"/>
      <c r="F198" s="520"/>
      <c r="G198" s="424"/>
      <c r="H198" s="424"/>
      <c r="I198" s="424"/>
      <c r="J198" s="424"/>
      <c r="K198" s="447"/>
      <c r="L198" s="423"/>
      <c r="M198" s="362"/>
      <c r="N198" s="362"/>
      <c r="P198" s="50"/>
      <c r="Q198" s="50"/>
      <c r="R198" s="51"/>
      <c r="S198" s="51"/>
      <c r="T198" s="51"/>
      <c r="U198" s="51" t="s">
        <v>723</v>
      </c>
      <c r="V198" s="50" t="s">
        <v>724</v>
      </c>
      <c r="W198" s="50"/>
      <c r="X198" s="50"/>
      <c r="Y198" s="50"/>
      <c r="Z198" s="50"/>
      <c r="AA198" s="50"/>
      <c r="AB198" s="50"/>
      <c r="AC198" s="50"/>
      <c r="AD198" s="50"/>
    </row>
    <row r="199" spans="2:30" ht="43.8" outlineLevel="1" thickBot="1">
      <c r="B199" s="400" t="s">
        <v>662</v>
      </c>
      <c r="C199" s="401"/>
      <c r="D199" s="402"/>
      <c r="E199" s="403"/>
      <c r="F199" s="404"/>
      <c r="G199" s="405"/>
      <c r="H199" s="405"/>
      <c r="I199" s="405"/>
      <c r="J199" s="405"/>
      <c r="K199" s="458"/>
      <c r="L199" s="459"/>
      <c r="M199" s="362"/>
      <c r="N199" s="362"/>
      <c r="O199" s="460" t="s">
        <v>695</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21" t="s">
        <v>725</v>
      </c>
      <c r="C200" s="669">
        <v>3.5000000000000003E-2</v>
      </c>
      <c r="D200" s="669">
        <v>0.03</v>
      </c>
      <c r="E200" s="669">
        <v>0.03</v>
      </c>
      <c r="F200" s="669">
        <v>0.03</v>
      </c>
      <c r="G200" s="523"/>
      <c r="H200" s="523"/>
      <c r="I200" s="523"/>
      <c r="J200" s="523"/>
      <c r="K200" s="523" t="s">
        <v>55</v>
      </c>
      <c r="L200" s="524"/>
      <c r="M200" s="362"/>
      <c r="N200" s="362"/>
      <c r="O200" s="464">
        <f>C173</f>
        <v>90</v>
      </c>
      <c r="P200" s="465">
        <f>C169</f>
        <v>2020</v>
      </c>
      <c r="Q200" s="58">
        <f>P200</f>
        <v>2020</v>
      </c>
      <c r="R200" s="465">
        <f>O200/100</f>
        <v>0.9</v>
      </c>
      <c r="S200" s="58"/>
      <c r="T200" s="465">
        <f>C177</f>
        <v>25</v>
      </c>
      <c r="U200" s="466">
        <f>C207</f>
        <v>4605.4545454545441</v>
      </c>
      <c r="V200" s="466">
        <f>C209</f>
        <v>251.065</v>
      </c>
      <c r="W200" s="466">
        <f>C210</f>
        <v>5.7509861111111107</v>
      </c>
      <c r="X200" s="58"/>
      <c r="Y200" s="58"/>
      <c r="Z200" s="465">
        <f>C184</f>
        <v>11</v>
      </c>
      <c r="AA200" s="467">
        <f>C186</f>
        <v>63</v>
      </c>
      <c r="AB200" s="467">
        <f>C187</f>
        <v>11</v>
      </c>
      <c r="AC200" s="467">
        <f>C188</f>
        <v>3</v>
      </c>
      <c r="AD200" s="467">
        <f>C185</f>
        <v>10</v>
      </c>
    </row>
    <row r="201" spans="2:30" outlineLevel="1">
      <c r="B201" s="499" t="s">
        <v>726</v>
      </c>
      <c r="C201" s="525" t="s">
        <v>36</v>
      </c>
      <c r="D201" s="526" t="s">
        <v>36</v>
      </c>
      <c r="E201" s="526" t="s">
        <v>36</v>
      </c>
      <c r="F201" s="527" t="s">
        <v>36</v>
      </c>
      <c r="G201" s="527"/>
      <c r="H201" s="527"/>
      <c r="I201" s="527"/>
      <c r="J201" s="527"/>
      <c r="K201" s="528" t="s">
        <v>49</v>
      </c>
      <c r="L201" s="524"/>
      <c r="M201" s="362"/>
      <c r="N201" s="362"/>
      <c r="O201" s="464">
        <f>D173</f>
        <v>90</v>
      </c>
      <c r="P201" s="465">
        <f>D169</f>
        <v>2030</v>
      </c>
      <c r="Q201" s="58"/>
      <c r="R201" s="465">
        <f>O201/100</f>
        <v>0.9</v>
      </c>
      <c r="S201" s="58"/>
      <c r="T201" s="465">
        <f>D177</f>
        <v>25</v>
      </c>
      <c r="U201" s="466">
        <f>D207</f>
        <v>4402.2727272727279</v>
      </c>
      <c r="V201" s="466">
        <f>D209</f>
        <v>267.45499999999998</v>
      </c>
      <c r="W201" s="466">
        <f>D210</f>
        <v>5.8461805555555557</v>
      </c>
      <c r="X201" s="58"/>
      <c r="Y201" s="58"/>
      <c r="Z201" s="465">
        <f>D184</f>
        <v>11</v>
      </c>
      <c r="AA201" s="467">
        <f>D186</f>
        <v>49</v>
      </c>
      <c r="AB201" s="467">
        <f>D187</f>
        <v>8</v>
      </c>
      <c r="AC201" s="467">
        <f>D188</f>
        <v>3</v>
      </c>
      <c r="AD201" s="467">
        <f>D185</f>
        <v>10</v>
      </c>
    </row>
    <row r="202" spans="2:30" outlineLevel="1">
      <c r="B202" s="499" t="s">
        <v>727</v>
      </c>
      <c r="C202" s="525" t="s">
        <v>36</v>
      </c>
      <c r="D202" s="526" t="s">
        <v>36</v>
      </c>
      <c r="E202" s="526" t="s">
        <v>36</v>
      </c>
      <c r="F202" s="527" t="s">
        <v>36</v>
      </c>
      <c r="G202" s="514"/>
      <c r="H202" s="514"/>
      <c r="I202" s="514"/>
      <c r="J202" s="514"/>
      <c r="K202" s="514"/>
      <c r="L202" s="503"/>
      <c r="M202" s="362"/>
      <c r="N202" s="362"/>
      <c r="O202" s="464">
        <f>E173</f>
        <v>90</v>
      </c>
      <c r="P202" s="465">
        <f>E169</f>
        <v>2040</v>
      </c>
      <c r="Q202" s="58"/>
      <c r="R202" s="465">
        <f>O202/100</f>
        <v>0.9</v>
      </c>
      <c r="S202" s="58"/>
      <c r="T202" s="465">
        <f>E177</f>
        <v>25</v>
      </c>
      <c r="U202" s="466">
        <f>E207</f>
        <v>4199.0909090909081</v>
      </c>
      <c r="V202" s="466">
        <f>E209</f>
        <v>259.26</v>
      </c>
      <c r="W202" s="466">
        <f>E210</f>
        <v>5.8937777777777782</v>
      </c>
      <c r="X202" s="58"/>
      <c r="Y202" s="58"/>
      <c r="Z202" s="465">
        <f>E184</f>
        <v>11</v>
      </c>
      <c r="AA202" s="467">
        <f>E186</f>
        <v>46</v>
      </c>
      <c r="AB202" s="467">
        <f>E187</f>
        <v>6</v>
      </c>
      <c r="AC202" s="467">
        <f>E188</f>
        <v>1</v>
      </c>
      <c r="AD202" s="467">
        <f>E185</f>
        <v>10</v>
      </c>
    </row>
    <row r="203" spans="2:30" outlineLevel="1">
      <c r="B203" s="499" t="s">
        <v>728</v>
      </c>
      <c r="C203" s="684">
        <v>90</v>
      </c>
      <c r="D203" s="529">
        <v>90</v>
      </c>
      <c r="E203" s="529">
        <v>90</v>
      </c>
      <c r="F203" s="529">
        <v>90</v>
      </c>
      <c r="G203" s="530"/>
      <c r="H203" s="530"/>
      <c r="I203" s="530"/>
      <c r="J203" s="530"/>
      <c r="K203" s="530"/>
      <c r="L203" s="503">
        <v>3</v>
      </c>
      <c r="M203" s="362"/>
      <c r="N203" s="362"/>
      <c r="O203" s="464">
        <f>F173</f>
        <v>91</v>
      </c>
      <c r="P203" s="465">
        <f>F169</f>
        <v>2050</v>
      </c>
      <c r="Q203" s="58"/>
      <c r="R203" s="465">
        <f>O203/100</f>
        <v>0.91</v>
      </c>
      <c r="S203" s="58"/>
      <c r="T203" s="465">
        <f>F177</f>
        <v>25</v>
      </c>
      <c r="U203" s="466">
        <f>F207</f>
        <v>3995.9090909090883</v>
      </c>
      <c r="V203" s="466">
        <f>F209</f>
        <v>251.065</v>
      </c>
      <c r="W203" s="466">
        <f>F210</f>
        <v>5.8937777777777782</v>
      </c>
      <c r="X203" s="58"/>
      <c r="Y203" s="58"/>
      <c r="Z203" s="465">
        <f>F184</f>
        <v>11</v>
      </c>
      <c r="AA203" s="467">
        <f>F186</f>
        <v>41</v>
      </c>
      <c r="AB203" s="467">
        <f>F187</f>
        <v>4</v>
      </c>
      <c r="AC203" s="467">
        <f>F188</f>
        <v>1</v>
      </c>
      <c r="AD203" s="467">
        <f>F185</f>
        <v>10</v>
      </c>
    </row>
    <row r="204" spans="2:30" outlineLevel="1">
      <c r="B204" s="531" t="s">
        <v>729</v>
      </c>
      <c r="C204" s="525"/>
      <c r="D204" s="526"/>
      <c r="E204" s="526"/>
      <c r="F204" s="527"/>
      <c r="G204" s="530"/>
      <c r="H204" s="530"/>
      <c r="I204" s="530"/>
      <c r="J204" s="530"/>
      <c r="K204" s="530"/>
      <c r="L204" s="532"/>
      <c r="M204" s="366"/>
      <c r="N204" s="366"/>
    </row>
    <row r="205" spans="2:30" outlineLevel="1">
      <c r="B205" s="531" t="s">
        <v>730</v>
      </c>
      <c r="C205" s="525"/>
      <c r="D205" s="526"/>
      <c r="E205" s="526"/>
      <c r="F205" s="527"/>
      <c r="G205" s="530"/>
      <c r="H205" s="530"/>
      <c r="I205" s="530"/>
      <c r="J205" s="530"/>
      <c r="K205" s="530"/>
      <c r="L205" s="532"/>
      <c r="M205" s="362"/>
      <c r="N205" s="362"/>
    </row>
    <row r="206" spans="2:30" ht="15" outlineLevel="1" thickBot="1">
      <c r="B206" s="533" t="s">
        <v>731</v>
      </c>
      <c r="C206" s="534"/>
      <c r="D206" s="535"/>
      <c r="E206" s="535"/>
      <c r="F206" s="536"/>
      <c r="G206" s="537"/>
      <c r="H206" s="537"/>
      <c r="I206" s="537"/>
      <c r="J206" s="537"/>
      <c r="K206" s="537"/>
      <c r="L206" s="538"/>
      <c r="M206" s="362"/>
      <c r="N206" s="362"/>
    </row>
    <row r="207" spans="2:30" ht="57.6" outlineLevel="1">
      <c r="B207" s="460" t="s">
        <v>732</v>
      </c>
      <c r="C207" s="482">
        <f>C190*$F$4*1000</f>
        <v>4605.4545454545441</v>
      </c>
      <c r="D207" s="482">
        <f t="shared" ref="D207:F207" si="11">D190*$F$4*1000</f>
        <v>4402.2727272727279</v>
      </c>
      <c r="E207" s="482">
        <f t="shared" si="11"/>
        <v>4199.0909090909081</v>
      </c>
      <c r="F207" s="482">
        <f t="shared" si="11"/>
        <v>3995.9090909090883</v>
      </c>
      <c r="G207" s="482"/>
      <c r="H207" s="483"/>
      <c r="I207" s="419" t="s">
        <v>332</v>
      </c>
      <c r="J207" s="419"/>
      <c r="K207" s="483"/>
      <c r="L207" s="483"/>
      <c r="N207" s="419"/>
    </row>
    <row r="208" spans="2:30" outlineLevel="1">
      <c r="B208" s="484" t="s">
        <v>733</v>
      </c>
      <c r="C208" s="485">
        <f>C207*$I208</f>
        <v>2302727.272727272</v>
      </c>
      <c r="D208" s="485">
        <f>D207*$I208</f>
        <v>2201136.3636363638</v>
      </c>
      <c r="E208" s="485">
        <f>E207*$I208</f>
        <v>2099545.4545454541</v>
      </c>
      <c r="F208" s="485">
        <f>F207*$I208</f>
        <v>1997954.545454544</v>
      </c>
      <c r="G208" s="485"/>
      <c r="H208" s="483"/>
      <c r="I208" s="71">
        <v>500</v>
      </c>
      <c r="J208" s="419" t="s">
        <v>330</v>
      </c>
      <c r="K208" s="483"/>
      <c r="L208" s="483"/>
      <c r="N208" s="419"/>
    </row>
    <row r="209" spans="1:16" ht="43.2" outlineLevel="1">
      <c r="B209" s="460" t="s">
        <v>808</v>
      </c>
      <c r="C209" s="358">
        <f>C193*$F$4/1000</f>
        <v>251.065</v>
      </c>
      <c r="D209" s="358">
        <f t="shared" ref="D209:F209" si="12">D193*$F$4/1000</f>
        <v>267.45499999999998</v>
      </c>
      <c r="E209" s="358">
        <f t="shared" si="12"/>
        <v>259.26</v>
      </c>
      <c r="F209" s="358">
        <f t="shared" si="12"/>
        <v>251.065</v>
      </c>
      <c r="G209" s="358"/>
      <c r="I209" s="419" t="s">
        <v>333</v>
      </c>
      <c r="J209" s="419"/>
      <c r="N209" s="419"/>
    </row>
    <row r="210" spans="1:16" ht="43.2" outlineLevel="1">
      <c r="B210" s="460" t="s">
        <v>809</v>
      </c>
      <c r="C210" s="486">
        <f>C194*$F$4/3.6</f>
        <v>5.7509861111111107</v>
      </c>
      <c r="D210" s="486">
        <f t="shared" ref="D210:F210" si="13">D194*$F$4/3.6</f>
        <v>5.8461805555555557</v>
      </c>
      <c r="E210" s="486">
        <f t="shared" si="13"/>
        <v>5.8937777777777782</v>
      </c>
      <c r="F210" s="486">
        <f t="shared" si="13"/>
        <v>5.8937777777777782</v>
      </c>
      <c r="G210" s="358"/>
      <c r="M210" s="419"/>
      <c r="N210" s="419"/>
    </row>
    <row r="211" spans="1:16" outlineLevel="1"/>
    <row r="212" spans="1:16" outlineLevel="1">
      <c r="A212" s="487"/>
      <c r="B212" s="488"/>
      <c r="D212" s="489"/>
      <c r="E212" s="489"/>
      <c r="F212" s="489"/>
      <c r="G212" s="357"/>
      <c r="H212" s="357"/>
      <c r="I212" s="357"/>
      <c r="J212" s="357"/>
      <c r="K212" s="357"/>
      <c r="L212" s="357"/>
      <c r="N212" s="569"/>
      <c r="O212" s="488"/>
      <c r="P212" s="489"/>
    </row>
    <row r="213" spans="1:16" outlineLevel="1">
      <c r="A213" s="490"/>
      <c r="B213" s="491"/>
      <c r="D213" s="489"/>
      <c r="E213" s="489"/>
      <c r="F213" s="489"/>
      <c r="G213" s="357"/>
      <c r="H213" s="357"/>
      <c r="I213" s="357"/>
      <c r="J213" s="357"/>
      <c r="K213" s="357"/>
      <c r="L213" s="357"/>
      <c r="N213" s="569"/>
      <c r="O213" s="488"/>
      <c r="P213" s="489"/>
    </row>
    <row r="214" spans="1:16" outlineLevel="1">
      <c r="A214" s="490"/>
      <c r="B214" s="492"/>
      <c r="D214" s="489"/>
      <c r="E214" s="489"/>
      <c r="F214" s="489"/>
      <c r="G214" s="357"/>
      <c r="H214" s="357"/>
      <c r="I214" s="357"/>
      <c r="J214" s="357"/>
      <c r="K214" s="357"/>
      <c r="L214" s="357"/>
      <c r="N214" s="569"/>
      <c r="O214" s="488"/>
      <c r="P214" s="489"/>
    </row>
    <row r="215" spans="1:16" outlineLevel="1">
      <c r="A215" s="490"/>
      <c r="B215" s="487" t="s">
        <v>736</v>
      </c>
      <c r="C215" s="488"/>
      <c r="E215" s="357"/>
      <c r="F215" s="489"/>
      <c r="G215" s="357"/>
      <c r="H215" s="357"/>
      <c r="I215" s="357"/>
      <c r="J215" s="357"/>
      <c r="K215" s="357"/>
      <c r="L215" s="357"/>
      <c r="N215" s="569"/>
      <c r="O215" s="488"/>
      <c r="P215" s="489"/>
    </row>
    <row r="216" spans="1:16" outlineLevel="1">
      <c r="A216" s="490"/>
      <c r="B216" s="490">
        <v>1</v>
      </c>
      <c r="C216" s="491" t="s">
        <v>737</v>
      </c>
      <c r="E216" s="357"/>
      <c r="F216" s="489"/>
      <c r="G216" s="357"/>
      <c r="H216" s="357"/>
      <c r="I216" s="357"/>
      <c r="J216" s="357"/>
      <c r="K216" s="357"/>
      <c r="L216" s="357"/>
      <c r="N216" s="569"/>
      <c r="O216" s="488"/>
      <c r="P216" s="489"/>
    </row>
    <row r="217" spans="1:16" outlineLevel="1">
      <c r="A217" s="357"/>
      <c r="B217" s="490">
        <v>2</v>
      </c>
      <c r="C217" s="492" t="s">
        <v>738</v>
      </c>
      <c r="E217" s="357"/>
      <c r="F217" s="489"/>
      <c r="G217" s="357"/>
      <c r="H217" s="357"/>
      <c r="I217" s="357"/>
      <c r="J217" s="357"/>
      <c r="K217" s="357"/>
      <c r="L217" s="357"/>
    </row>
    <row r="218" spans="1:16" outlineLevel="1">
      <c r="A218" s="357"/>
      <c r="B218" s="490">
        <v>3</v>
      </c>
      <c r="C218" s="492" t="s">
        <v>739</v>
      </c>
      <c r="E218" s="357"/>
      <c r="F218" s="489"/>
      <c r="G218" s="357"/>
      <c r="H218" s="357"/>
      <c r="I218" s="357"/>
      <c r="J218" s="357"/>
      <c r="K218" s="357"/>
      <c r="L218" s="357"/>
    </row>
    <row r="219" spans="1:16" outlineLevel="1">
      <c r="A219" s="357"/>
      <c r="B219" s="490">
        <v>4</v>
      </c>
      <c r="C219" s="492" t="s">
        <v>740</v>
      </c>
      <c r="E219" s="357"/>
      <c r="F219" s="489"/>
      <c r="G219" s="357"/>
      <c r="H219" s="357"/>
      <c r="I219" s="357"/>
      <c r="J219" s="357"/>
      <c r="K219" s="357"/>
      <c r="L219" s="357"/>
    </row>
    <row r="220" spans="1:16" outlineLevel="1">
      <c r="A220" s="357"/>
      <c r="B220" s="357">
        <v>5</v>
      </c>
      <c r="C220" s="493" t="s">
        <v>741</v>
      </c>
      <c r="F220" s="489"/>
      <c r="G220" s="357"/>
      <c r="H220" s="357"/>
      <c r="I220" s="357"/>
      <c r="J220" s="357"/>
      <c r="K220" s="357"/>
      <c r="L220" s="357"/>
    </row>
    <row r="221" spans="1:16" outlineLevel="1">
      <c r="A221" s="357"/>
      <c r="B221" s="357">
        <v>6</v>
      </c>
      <c r="C221" s="491" t="s">
        <v>742</v>
      </c>
      <c r="F221" s="489"/>
      <c r="G221" s="357"/>
      <c r="H221" s="357"/>
      <c r="I221" s="357"/>
      <c r="J221" s="357"/>
      <c r="K221" s="357"/>
      <c r="L221" s="357"/>
    </row>
    <row r="222" spans="1:16" outlineLevel="1">
      <c r="A222" s="357"/>
      <c r="B222" s="357">
        <v>7</v>
      </c>
      <c r="C222" s="494" t="s">
        <v>737</v>
      </c>
      <c r="F222" s="489"/>
      <c r="G222" s="357"/>
      <c r="H222" s="357"/>
      <c r="I222" s="357"/>
      <c r="J222" s="357"/>
      <c r="K222" s="357"/>
      <c r="L222" s="357"/>
    </row>
    <row r="223" spans="1:16" outlineLevel="1">
      <c r="A223" s="487"/>
      <c r="B223" s="357">
        <v>8</v>
      </c>
      <c r="C223" s="494" t="s">
        <v>743</v>
      </c>
      <c r="F223" s="489"/>
      <c r="G223" s="357"/>
      <c r="H223" s="357"/>
      <c r="I223" s="357"/>
      <c r="J223" s="357"/>
      <c r="K223" s="357"/>
      <c r="L223" s="357"/>
    </row>
    <row r="224" spans="1:16" outlineLevel="1">
      <c r="A224" s="495"/>
      <c r="B224" s="357">
        <v>9</v>
      </c>
      <c r="C224" s="488" t="s">
        <v>744</v>
      </c>
      <c r="F224" s="489"/>
      <c r="G224" s="357"/>
      <c r="H224" s="357"/>
      <c r="I224" s="357"/>
      <c r="J224" s="357"/>
      <c r="K224" s="357"/>
      <c r="L224" s="357"/>
      <c r="N224" s="569"/>
      <c r="O224" s="488"/>
      <c r="P224" s="489"/>
    </row>
    <row r="225" spans="1:16" outlineLevel="1">
      <c r="A225" s="495"/>
      <c r="B225" s="357">
        <v>10</v>
      </c>
      <c r="C225" s="489" t="s">
        <v>745</v>
      </c>
      <c r="F225" s="489"/>
      <c r="G225" s="357"/>
      <c r="H225" s="357"/>
      <c r="I225" s="357"/>
      <c r="J225" s="357"/>
      <c r="K225" s="357"/>
      <c r="L225" s="357"/>
      <c r="N225" s="569"/>
      <c r="O225" s="488"/>
      <c r="P225" s="489"/>
    </row>
    <row r="226" spans="1:16" outlineLevel="1">
      <c r="A226" s="495"/>
      <c r="B226" s="487" t="s">
        <v>746</v>
      </c>
      <c r="C226" s="488"/>
      <c r="F226" s="489"/>
      <c r="G226" s="357"/>
      <c r="H226" s="357"/>
      <c r="I226" s="357"/>
      <c r="J226" s="357"/>
      <c r="K226" s="357"/>
      <c r="L226" s="357"/>
      <c r="N226" s="569"/>
      <c r="O226" s="488"/>
      <c r="P226" s="489"/>
    </row>
    <row r="227" spans="1:16" outlineLevel="1">
      <c r="A227" s="495"/>
      <c r="B227" s="495" t="s">
        <v>6</v>
      </c>
      <c r="C227" s="496" t="s">
        <v>938</v>
      </c>
      <c r="D227" s="488"/>
      <c r="F227" s="489"/>
      <c r="G227" s="357"/>
      <c r="H227" s="357"/>
      <c r="I227" s="357"/>
      <c r="J227" s="357"/>
      <c r="K227" s="357"/>
      <c r="L227" s="357"/>
      <c r="N227" s="569"/>
      <c r="O227" s="488"/>
      <c r="P227" s="489"/>
    </row>
    <row r="228" spans="1:16" outlineLevel="1">
      <c r="A228" s="495"/>
      <c r="B228" s="495" t="s">
        <v>59</v>
      </c>
      <c r="C228" s="488" t="s">
        <v>748</v>
      </c>
      <c r="D228" s="488"/>
      <c r="F228" s="489"/>
      <c r="G228" s="357"/>
      <c r="H228" s="357"/>
      <c r="I228" s="357"/>
      <c r="J228" s="357"/>
      <c r="K228" s="357"/>
      <c r="L228" s="357"/>
      <c r="N228" s="569"/>
      <c r="O228" s="488"/>
      <c r="P228" s="489"/>
    </row>
    <row r="229" spans="1:16" outlineLevel="1">
      <c r="A229" s="495"/>
      <c r="B229" s="495" t="s">
        <v>16</v>
      </c>
      <c r="C229" s="488" t="s">
        <v>939</v>
      </c>
      <c r="D229" s="488"/>
      <c r="F229" s="489"/>
      <c r="G229" s="357"/>
      <c r="H229" s="357"/>
      <c r="I229" s="357"/>
      <c r="J229" s="357"/>
      <c r="K229" s="357"/>
      <c r="L229" s="357"/>
      <c r="N229" s="569"/>
      <c r="O229" s="488"/>
      <c r="P229" s="489"/>
    </row>
    <row r="230" spans="1:16" outlineLevel="1">
      <c r="A230" s="495"/>
      <c r="B230" s="495" t="s">
        <v>20</v>
      </c>
      <c r="C230" s="488" t="s">
        <v>940</v>
      </c>
      <c r="D230" s="488"/>
      <c r="F230" s="489"/>
      <c r="G230" s="357"/>
      <c r="H230" s="357"/>
      <c r="I230" s="357"/>
      <c r="J230" s="357"/>
      <c r="K230" s="357"/>
      <c r="L230" s="357"/>
      <c r="N230" s="569"/>
      <c r="O230" s="488"/>
      <c r="P230" s="489"/>
    </row>
    <row r="231" spans="1:16" outlineLevel="1">
      <c r="A231" s="495"/>
      <c r="B231" s="495" t="s">
        <v>76</v>
      </c>
      <c r="C231" s="488" t="s">
        <v>749</v>
      </c>
      <c r="D231" s="488"/>
      <c r="F231" s="489"/>
      <c r="G231" s="357"/>
      <c r="H231" s="357"/>
      <c r="I231" s="357"/>
      <c r="J231" s="357"/>
      <c r="K231" s="357"/>
      <c r="L231" s="357"/>
      <c r="N231" s="569"/>
      <c r="O231" s="488"/>
      <c r="P231" s="489"/>
    </row>
    <row r="232" spans="1:16" outlineLevel="1">
      <c r="A232" s="495"/>
      <c r="B232" s="495" t="s">
        <v>25</v>
      </c>
      <c r="C232" s="488" t="s">
        <v>941</v>
      </c>
      <c r="D232" s="488"/>
      <c r="F232" s="489"/>
      <c r="G232" s="357"/>
      <c r="H232" s="357"/>
      <c r="I232" s="357"/>
      <c r="J232" s="357"/>
      <c r="K232" s="357"/>
      <c r="L232" s="357"/>
      <c r="N232" s="569"/>
      <c r="O232" s="488"/>
      <c r="P232" s="489"/>
    </row>
    <row r="233" spans="1:16" outlineLevel="1">
      <c r="A233" s="495"/>
      <c r="B233" s="495" t="s">
        <v>33</v>
      </c>
      <c r="C233" s="488" t="s">
        <v>942</v>
      </c>
      <c r="D233" s="488"/>
      <c r="F233" s="489"/>
      <c r="G233" s="357"/>
      <c r="H233" s="357"/>
      <c r="I233" s="357"/>
      <c r="J233" s="357"/>
      <c r="K233" s="357"/>
      <c r="L233" s="357"/>
      <c r="N233" s="569"/>
      <c r="O233" s="488"/>
      <c r="P233" s="489"/>
    </row>
    <row r="234" spans="1:16" outlineLevel="1">
      <c r="A234" s="495"/>
      <c r="B234" s="495" t="s">
        <v>51</v>
      </c>
      <c r="C234" s="488" t="s">
        <v>943</v>
      </c>
      <c r="D234" s="488"/>
      <c r="F234" s="489"/>
      <c r="G234" s="357"/>
      <c r="H234" s="357"/>
      <c r="I234" s="357"/>
      <c r="J234" s="357"/>
      <c r="K234" s="357"/>
      <c r="L234" s="357"/>
      <c r="N234" s="569"/>
      <c r="O234" s="488"/>
      <c r="P234" s="489"/>
    </row>
    <row r="235" spans="1:16" outlineLevel="1">
      <c r="A235" s="495"/>
      <c r="B235" s="495" t="s">
        <v>52</v>
      </c>
      <c r="C235" s="497" t="s">
        <v>751</v>
      </c>
      <c r="D235" s="488"/>
      <c r="F235" s="489"/>
      <c r="G235" s="357"/>
      <c r="H235" s="357"/>
      <c r="I235" s="357"/>
      <c r="J235" s="357"/>
      <c r="K235" s="357"/>
      <c r="L235" s="357"/>
      <c r="N235" s="569"/>
      <c r="O235" s="488"/>
      <c r="P235" s="489"/>
    </row>
    <row r="236" spans="1:16" outlineLevel="1">
      <c r="A236" s="495"/>
      <c r="B236" s="495" t="s">
        <v>55</v>
      </c>
      <c r="C236" s="488" t="s">
        <v>767</v>
      </c>
      <c r="D236" s="488"/>
      <c r="F236" s="489"/>
      <c r="G236" s="357"/>
      <c r="H236" s="357"/>
      <c r="I236" s="357"/>
      <c r="J236" s="357"/>
      <c r="K236" s="357"/>
      <c r="L236" s="357"/>
      <c r="N236" s="570"/>
      <c r="O236" s="488"/>
      <c r="P236" s="489"/>
    </row>
    <row r="237" spans="1:16" outlineLevel="1">
      <c r="A237" s="495"/>
      <c r="B237" s="495" t="s">
        <v>49</v>
      </c>
      <c r="C237" s="488" t="s">
        <v>752</v>
      </c>
      <c r="D237" s="488"/>
      <c r="F237" s="489"/>
      <c r="G237" s="357"/>
      <c r="H237" s="357"/>
      <c r="I237" s="357"/>
      <c r="J237" s="357"/>
      <c r="K237" s="357"/>
      <c r="L237" s="357"/>
      <c r="N237" s="571"/>
      <c r="O237" s="488"/>
      <c r="P237" s="489"/>
    </row>
    <row r="238" spans="1:16" outlineLevel="1">
      <c r="A238" s="495"/>
      <c r="F238" s="489"/>
      <c r="G238" s="357"/>
      <c r="H238" s="357"/>
      <c r="I238" s="357"/>
      <c r="J238" s="357"/>
      <c r="K238" s="357"/>
      <c r="L238" s="357"/>
      <c r="N238" s="572"/>
      <c r="O238" s="488"/>
      <c r="P238" s="489"/>
    </row>
    <row r="239" spans="1:16" outlineLevel="1">
      <c r="A239" s="495"/>
      <c r="B239" s="497"/>
      <c r="C239" s="489"/>
      <c r="D239" s="489"/>
      <c r="E239" s="489"/>
      <c r="F239" s="489"/>
      <c r="G239" s="357"/>
      <c r="H239" s="357"/>
      <c r="I239" s="357"/>
      <c r="J239" s="357"/>
      <c r="K239" s="357"/>
      <c r="L239" s="357"/>
      <c r="N239" s="572"/>
      <c r="O239" s="489"/>
      <c r="P239" s="489"/>
    </row>
    <row r="240" spans="1:16" outlineLevel="1">
      <c r="A240" s="495"/>
      <c r="B240" s="488"/>
      <c r="C240" s="489"/>
      <c r="D240" s="489"/>
      <c r="E240" s="489"/>
      <c r="F240" s="489"/>
      <c r="G240" s="357"/>
      <c r="H240" s="357"/>
      <c r="I240" s="357"/>
      <c r="J240" s="357"/>
      <c r="K240" s="357"/>
      <c r="L240" s="357"/>
      <c r="N240" s="488"/>
      <c r="O240" s="489"/>
      <c r="P240" s="489"/>
    </row>
    <row r="241" spans="1:44" outlineLevel="1">
      <c r="A241" s="495"/>
      <c r="B241" s="488"/>
      <c r="C241" s="489"/>
      <c r="D241" s="489"/>
      <c r="E241" s="489"/>
      <c r="F241" s="489"/>
      <c r="G241" s="357"/>
      <c r="H241" s="357"/>
      <c r="I241" s="357"/>
      <c r="J241" s="357"/>
      <c r="K241" s="357"/>
      <c r="L241" s="357"/>
      <c r="N241" s="489"/>
      <c r="O241" s="489"/>
      <c r="P241" s="489"/>
    </row>
    <row r="242" spans="1:44" outlineLevel="1"/>
    <row r="243" spans="1:44" outlineLevel="1"/>
    <row r="245" spans="1:44">
      <c r="A245" s="359" t="s">
        <v>958</v>
      </c>
      <c r="B245" s="1204"/>
      <c r="C245" s="1140"/>
      <c r="D245" s="1140"/>
      <c r="E245" s="1140"/>
      <c r="F245" s="1140"/>
      <c r="G245" s="1140"/>
      <c r="H245" s="1140"/>
      <c r="I245" s="1140"/>
      <c r="J245" s="1140"/>
      <c r="K245" s="1140"/>
      <c r="L245" s="1140"/>
      <c r="M245" s="1140"/>
      <c r="N245" s="360"/>
      <c r="P245" s="1140"/>
      <c r="Q245" s="1140"/>
      <c r="R245" s="1140"/>
      <c r="S245" s="1140"/>
      <c r="T245" s="1140"/>
      <c r="U245" s="1140"/>
    </row>
    <row r="246" spans="1:44" ht="20.55" customHeight="1" outlineLevel="1" thickBot="1">
      <c r="B246" s="1204"/>
      <c r="C246" s="1140"/>
      <c r="D246" s="1140"/>
      <c r="E246" s="1140"/>
      <c r="F246" s="1140"/>
      <c r="G246" s="1140"/>
      <c r="H246" s="1140"/>
      <c r="I246" s="1140"/>
      <c r="J246" s="1140"/>
      <c r="K246" s="1140"/>
      <c r="L246" s="1140"/>
      <c r="M246" s="1140"/>
      <c r="N246" s="360"/>
      <c r="P246" s="691">
        <v>1</v>
      </c>
      <c r="Q246" s="691">
        <v>2</v>
      </c>
      <c r="R246" s="691">
        <v>3</v>
      </c>
      <c r="S246" s="691">
        <v>4</v>
      </c>
      <c r="T246" s="691">
        <v>5</v>
      </c>
      <c r="U246" s="691">
        <v>6</v>
      </c>
      <c r="V246" s="691">
        <v>7</v>
      </c>
      <c r="W246" s="691">
        <v>8</v>
      </c>
      <c r="X246" s="691">
        <v>9</v>
      </c>
      <c r="Y246" s="691">
        <v>10</v>
      </c>
      <c r="Z246" s="691">
        <v>11</v>
      </c>
      <c r="AA246" s="691">
        <v>12</v>
      </c>
      <c r="AB246" s="691">
        <v>13</v>
      </c>
      <c r="AC246" s="691">
        <v>14</v>
      </c>
    </row>
    <row r="247" spans="1:44" ht="15" customHeight="1" outlineLevel="1" thickBot="1">
      <c r="B247" s="361" t="s">
        <v>0</v>
      </c>
      <c r="C247" s="1201" t="s">
        <v>954</v>
      </c>
      <c r="D247" s="1202"/>
      <c r="E247" s="1202"/>
      <c r="F247" s="1202"/>
      <c r="G247" s="1202"/>
      <c r="H247" s="1202"/>
      <c r="I247" s="1202"/>
      <c r="J247" s="1202"/>
      <c r="K247" s="1202"/>
      <c r="L247" s="1203"/>
      <c r="M247" s="362"/>
      <c r="N247" s="362"/>
      <c r="P247" s="363" t="s">
        <v>676</v>
      </c>
      <c r="Q247" s="364"/>
      <c r="R247" s="365"/>
      <c r="S247" s="1173" t="s">
        <v>677</v>
      </c>
      <c r="T247" s="1157" t="s">
        <v>678</v>
      </c>
      <c r="U247" s="1158"/>
      <c r="V247" s="1157" t="s">
        <v>679</v>
      </c>
      <c r="W247" s="1158"/>
      <c r="X247" s="1157" t="s">
        <v>680</v>
      </c>
      <c r="Y247" s="1158"/>
      <c r="Z247" s="1157" t="s">
        <v>681</v>
      </c>
      <c r="AA247" s="1158"/>
      <c r="AB247" s="1157" t="s">
        <v>682</v>
      </c>
      <c r="AC247" s="1158"/>
      <c r="AE247" s="363" t="s">
        <v>683</v>
      </c>
      <c r="AF247" s="364"/>
      <c r="AG247" s="365"/>
      <c r="AH247" s="1173" t="s">
        <v>677</v>
      </c>
      <c r="AI247" s="1157" t="s">
        <v>678</v>
      </c>
      <c r="AJ247" s="1158"/>
      <c r="AK247" s="1157" t="s">
        <v>679</v>
      </c>
      <c r="AL247" s="1158"/>
      <c r="AM247" s="1157" t="s">
        <v>680</v>
      </c>
      <c r="AN247" s="1158"/>
      <c r="AO247" s="1157" t="s">
        <v>681</v>
      </c>
      <c r="AP247" s="1158"/>
      <c r="AQ247" s="1157" t="s">
        <v>682</v>
      </c>
      <c r="AR247" s="1158"/>
    </row>
    <row r="248" spans="1:44" ht="15" customHeight="1" outlineLevel="1" thickBot="1">
      <c r="B248" s="1161" t="s">
        <v>4</v>
      </c>
      <c r="C248" s="1163">
        <v>2020</v>
      </c>
      <c r="D248" s="1163">
        <v>2030</v>
      </c>
      <c r="E248" s="1163">
        <v>2040</v>
      </c>
      <c r="F248" s="1163">
        <v>2050</v>
      </c>
      <c r="G248" s="1197" t="s">
        <v>684</v>
      </c>
      <c r="H248" s="1198"/>
      <c r="I248" s="1197" t="s">
        <v>628</v>
      </c>
      <c r="J248" s="1198"/>
      <c r="K248" s="1199" t="s">
        <v>2</v>
      </c>
      <c r="L248" s="1199" t="s">
        <v>3</v>
      </c>
      <c r="M248" s="366"/>
      <c r="N248" s="366"/>
      <c r="P248" s="1177" t="s">
        <v>0</v>
      </c>
      <c r="Q248" s="367"/>
      <c r="R248" s="367"/>
      <c r="S248" s="1174"/>
      <c r="T248" s="1159"/>
      <c r="U248" s="1160"/>
      <c r="V248" s="1159"/>
      <c r="W248" s="1160"/>
      <c r="X248" s="1159"/>
      <c r="Y248" s="1160"/>
      <c r="Z248" s="1159"/>
      <c r="AA248" s="1160"/>
      <c r="AB248" s="1159"/>
      <c r="AC248" s="1160"/>
      <c r="AE248" s="1177" t="s">
        <v>0</v>
      </c>
      <c r="AF248" s="367"/>
      <c r="AG248" s="367"/>
      <c r="AH248" s="1174"/>
      <c r="AI248" s="1159"/>
      <c r="AJ248" s="1160"/>
      <c r="AK248" s="1159"/>
      <c r="AL248" s="1160"/>
      <c r="AM248" s="1159"/>
      <c r="AN248" s="1160"/>
      <c r="AO248" s="1159"/>
      <c r="AP248" s="1160"/>
      <c r="AQ248" s="1159"/>
      <c r="AR248" s="1160"/>
    </row>
    <row r="249" spans="1:44" ht="15" outlineLevel="1" thickBot="1">
      <c r="B249" s="1162"/>
      <c r="C249" s="1164"/>
      <c r="D249" s="1164"/>
      <c r="E249" s="1164"/>
      <c r="F249" s="1164"/>
      <c r="G249" s="498" t="s">
        <v>629</v>
      </c>
      <c r="H249" s="498" t="s">
        <v>630</v>
      </c>
      <c r="I249" s="498" t="s">
        <v>629</v>
      </c>
      <c r="J249" s="498" t="s">
        <v>630</v>
      </c>
      <c r="K249" s="1200"/>
      <c r="L249" s="1200"/>
      <c r="M249" s="369"/>
      <c r="N249" s="369"/>
      <c r="P249" s="1178"/>
      <c r="Q249" s="1180" t="s">
        <v>685</v>
      </c>
      <c r="R249" s="1181" t="s">
        <v>686</v>
      </c>
      <c r="S249" s="1175"/>
      <c r="T249" s="1159"/>
      <c r="U249" s="1160"/>
      <c r="V249" s="1159"/>
      <c r="W249" s="1160"/>
      <c r="X249" s="1159"/>
      <c r="Y249" s="1160"/>
      <c r="Z249" s="1159"/>
      <c r="AA249" s="1160"/>
      <c r="AB249" s="1159"/>
      <c r="AC249" s="1160"/>
      <c r="AE249" s="1178"/>
      <c r="AF249" s="1194" t="s">
        <v>685</v>
      </c>
      <c r="AG249" s="1181" t="s">
        <v>686</v>
      </c>
      <c r="AH249" s="1175"/>
      <c r="AI249" s="1159"/>
      <c r="AJ249" s="1160"/>
      <c r="AK249" s="1159"/>
      <c r="AL249" s="1160"/>
      <c r="AM249" s="1159"/>
      <c r="AN249" s="1160"/>
      <c r="AO249" s="1159"/>
      <c r="AP249" s="1160"/>
      <c r="AQ249" s="1159"/>
      <c r="AR249" s="1160"/>
    </row>
    <row r="250" spans="1:44" ht="14.55" customHeight="1" outlineLevel="1" thickBot="1">
      <c r="B250" s="370" t="s">
        <v>631</v>
      </c>
      <c r="C250" s="371">
        <v>20</v>
      </c>
      <c r="D250" s="371">
        <v>20</v>
      </c>
      <c r="E250" s="371">
        <v>20</v>
      </c>
      <c r="F250" s="371">
        <v>20</v>
      </c>
      <c r="G250" s="371">
        <v>1</v>
      </c>
      <c r="H250" s="371">
        <v>50</v>
      </c>
      <c r="I250" s="371">
        <v>1</v>
      </c>
      <c r="J250" s="371">
        <v>50</v>
      </c>
      <c r="K250" s="371" t="s">
        <v>6</v>
      </c>
      <c r="L250" s="372" t="s">
        <v>688</v>
      </c>
      <c r="M250" s="369"/>
      <c r="N250" s="369"/>
      <c r="O250" s="74"/>
      <c r="P250" s="1179"/>
      <c r="Q250" s="1176"/>
      <c r="R250" s="1182"/>
      <c r="S250" s="1176"/>
      <c r="T250" s="373" t="s">
        <v>689</v>
      </c>
      <c r="U250" s="374" t="s">
        <v>690</v>
      </c>
      <c r="V250" s="373" t="s">
        <v>689</v>
      </c>
      <c r="W250" s="374" t="s">
        <v>690</v>
      </c>
      <c r="X250" s="373" t="s">
        <v>689</v>
      </c>
      <c r="Y250" s="374" t="s">
        <v>690</v>
      </c>
      <c r="Z250" s="373" t="s">
        <v>689</v>
      </c>
      <c r="AA250" s="374" t="s">
        <v>690</v>
      </c>
      <c r="AB250" s="373" t="s">
        <v>689</v>
      </c>
      <c r="AC250" s="374" t="s">
        <v>690</v>
      </c>
      <c r="AE250" s="1179"/>
      <c r="AF250" s="1195"/>
      <c r="AG250" s="1182"/>
      <c r="AH250" s="1176"/>
      <c r="AI250" s="373" t="s">
        <v>689</v>
      </c>
      <c r="AJ250" s="374" t="s">
        <v>690</v>
      </c>
      <c r="AK250" s="373" t="s">
        <v>689</v>
      </c>
      <c r="AL250" s="374" t="s">
        <v>690</v>
      </c>
      <c r="AM250" s="373" t="s">
        <v>689</v>
      </c>
      <c r="AN250" s="374" t="s">
        <v>690</v>
      </c>
      <c r="AO250" s="373" t="s">
        <v>689</v>
      </c>
      <c r="AP250" s="374" t="s">
        <v>690</v>
      </c>
      <c r="AQ250" s="373" t="s">
        <v>689</v>
      </c>
      <c r="AR250" s="374" t="s">
        <v>690</v>
      </c>
    </row>
    <row r="251" spans="1:44" outlineLevel="1">
      <c r="B251" s="499" t="s">
        <v>691</v>
      </c>
      <c r="C251" s="667">
        <v>116.18960947726835</v>
      </c>
      <c r="D251" s="667">
        <v>116.18960947726835</v>
      </c>
      <c r="E251" s="668">
        <v>116.18960947726835</v>
      </c>
      <c r="F251" s="667">
        <v>116.18960947726835</v>
      </c>
      <c r="G251" s="500">
        <v>88</v>
      </c>
      <c r="H251" s="500">
        <v>117</v>
      </c>
      <c r="I251" s="500">
        <v>88</v>
      </c>
      <c r="J251" s="500">
        <v>117</v>
      </c>
      <c r="K251" s="502" t="s">
        <v>945</v>
      </c>
      <c r="L251" s="503">
        <v>11</v>
      </c>
      <c r="M251" s="369"/>
      <c r="N251" s="369"/>
      <c r="P251" s="1196" t="str">
        <f>C247</f>
        <v>Hot water boiler, Wood chips (Condensing)</v>
      </c>
      <c r="Q251" s="1151" t="s">
        <v>693</v>
      </c>
      <c r="R251" s="380" t="s">
        <v>694</v>
      </c>
      <c r="S251" s="381"/>
      <c r="T251" s="1134">
        <v>0</v>
      </c>
      <c r="U251" s="1148">
        <v>0</v>
      </c>
      <c r="V251" s="1154">
        <v>0</v>
      </c>
      <c r="W251" s="1148">
        <v>0</v>
      </c>
      <c r="X251" s="1154">
        <v>0</v>
      </c>
      <c r="Y251" s="1148">
        <v>0</v>
      </c>
      <c r="Z251" s="1154">
        <v>0</v>
      </c>
      <c r="AA251" s="1148">
        <v>0</v>
      </c>
      <c r="AB251" s="1154">
        <v>0</v>
      </c>
      <c r="AC251" s="1148">
        <v>0</v>
      </c>
      <c r="AE251" s="1145" t="str">
        <f>P251</f>
        <v>Hot water boiler, Wood chips (Condensing)</v>
      </c>
      <c r="AF251" s="1151" t="s">
        <v>693</v>
      </c>
      <c r="AG251" s="380" t="s">
        <v>694</v>
      </c>
      <c r="AH251" s="381"/>
      <c r="AI251" s="1134">
        <v>0</v>
      </c>
      <c r="AJ251" s="1148">
        <v>0</v>
      </c>
      <c r="AK251" s="1154">
        <v>0</v>
      </c>
      <c r="AL251" s="1148">
        <v>0</v>
      </c>
      <c r="AM251" s="1154">
        <v>0</v>
      </c>
      <c r="AN251" s="1148">
        <v>0</v>
      </c>
      <c r="AO251" s="1154">
        <v>0</v>
      </c>
      <c r="AP251" s="1148">
        <v>0</v>
      </c>
      <c r="AQ251" s="1154">
        <v>0</v>
      </c>
      <c r="AR251" s="1148">
        <v>0</v>
      </c>
    </row>
    <row r="252" spans="1:44" outlineLevel="1">
      <c r="B252" s="382" t="s">
        <v>695</v>
      </c>
      <c r="C252" s="576">
        <v>116.18960947726835</v>
      </c>
      <c r="D252" s="576">
        <v>116.18960947726835</v>
      </c>
      <c r="E252" s="576">
        <v>116.18960947726835</v>
      </c>
      <c r="F252" s="576">
        <v>116.18960947726835</v>
      </c>
      <c r="G252" s="504">
        <v>88</v>
      </c>
      <c r="H252" s="504">
        <v>117</v>
      </c>
      <c r="I252" s="504">
        <v>88</v>
      </c>
      <c r="J252" s="504">
        <v>117</v>
      </c>
      <c r="K252" s="371" t="s">
        <v>945</v>
      </c>
      <c r="L252" s="372">
        <v>11</v>
      </c>
      <c r="M252" s="369"/>
      <c r="N252" s="369"/>
      <c r="O252" s="71"/>
      <c r="P252" s="1192"/>
      <c r="Q252" s="1152"/>
      <c r="R252" s="387" t="s">
        <v>696</v>
      </c>
      <c r="S252" s="388"/>
      <c r="T252" s="1137"/>
      <c r="U252" s="1149"/>
      <c r="V252" s="1155"/>
      <c r="W252" s="1149"/>
      <c r="X252" s="1155"/>
      <c r="Y252" s="1149"/>
      <c r="Z252" s="1155"/>
      <c r="AA252" s="1149"/>
      <c r="AB252" s="1155"/>
      <c r="AC252" s="1149"/>
      <c r="AE252" s="1192"/>
      <c r="AF252" s="1152"/>
      <c r="AG252" s="387" t="s">
        <v>696</v>
      </c>
      <c r="AH252" s="388"/>
      <c r="AI252" s="1137"/>
      <c r="AJ252" s="1149"/>
      <c r="AK252" s="1155"/>
      <c r="AL252" s="1149"/>
      <c r="AM252" s="1155"/>
      <c r="AN252" s="1149"/>
      <c r="AO252" s="1155"/>
      <c r="AP252" s="1149"/>
      <c r="AQ252" s="1155"/>
      <c r="AR252" s="1149"/>
    </row>
    <row r="253" spans="1:44" ht="14.55" customHeight="1" outlineLevel="1" thickBot="1">
      <c r="B253" s="499" t="s">
        <v>697</v>
      </c>
      <c r="C253" s="505">
        <v>2.2999999999999998</v>
      </c>
      <c r="D253" s="506">
        <v>2.2999999999999998</v>
      </c>
      <c r="E253" s="506">
        <v>2.2999999999999998</v>
      </c>
      <c r="F253" s="507">
        <v>2.2999999999999998</v>
      </c>
      <c r="G253" s="506">
        <v>2.2000000000000002</v>
      </c>
      <c r="H253" s="506">
        <v>2.5</v>
      </c>
      <c r="I253" s="506">
        <v>1.8</v>
      </c>
      <c r="J253" s="506">
        <v>2.5</v>
      </c>
      <c r="K253" s="502" t="s">
        <v>59</v>
      </c>
      <c r="L253" s="503">
        <v>3</v>
      </c>
      <c r="M253" s="369"/>
      <c r="N253" s="369"/>
      <c r="O253" s="71"/>
      <c r="P253" s="1192"/>
      <c r="Q253" s="1153"/>
      <c r="R253" s="392" t="s">
        <v>698</v>
      </c>
      <c r="S253" s="393"/>
      <c r="T253" s="1138"/>
      <c r="U253" s="1150"/>
      <c r="V253" s="1156"/>
      <c r="W253" s="1150"/>
      <c r="X253" s="1156"/>
      <c r="Y253" s="1150"/>
      <c r="Z253" s="1156"/>
      <c r="AA253" s="1150"/>
      <c r="AB253" s="1156"/>
      <c r="AC253" s="1150"/>
      <c r="AE253" s="1192"/>
      <c r="AF253" s="1153"/>
      <c r="AG253" s="392" t="s">
        <v>698</v>
      </c>
      <c r="AH253" s="393"/>
      <c r="AI253" s="1138"/>
      <c r="AJ253" s="1150"/>
      <c r="AK253" s="1156"/>
      <c r="AL253" s="1150"/>
      <c r="AM253" s="1156"/>
      <c r="AN253" s="1150"/>
      <c r="AO253" s="1156"/>
      <c r="AP253" s="1150"/>
      <c r="AQ253" s="1156"/>
      <c r="AR253" s="1150"/>
    </row>
    <row r="254" spans="1:44" outlineLevel="1">
      <c r="B254" s="499" t="s">
        <v>637</v>
      </c>
      <c r="C254" s="686">
        <v>3</v>
      </c>
      <c r="D254" s="686">
        <v>3</v>
      </c>
      <c r="E254" s="686">
        <v>3</v>
      </c>
      <c r="F254" s="686">
        <v>3</v>
      </c>
      <c r="G254" s="686">
        <v>3</v>
      </c>
      <c r="H254" s="686">
        <v>3</v>
      </c>
      <c r="I254" s="686">
        <v>3</v>
      </c>
      <c r="J254" s="686">
        <v>3</v>
      </c>
      <c r="K254" s="502" t="s">
        <v>16</v>
      </c>
      <c r="L254" s="503">
        <v>3</v>
      </c>
      <c r="M254" s="369"/>
      <c r="N254" s="369"/>
      <c r="O254" s="71"/>
      <c r="P254" s="1192"/>
      <c r="Q254" s="1151" t="s">
        <v>699</v>
      </c>
      <c r="R254" s="394" t="s">
        <v>700</v>
      </c>
      <c r="S254" s="395" t="s">
        <v>701</v>
      </c>
      <c r="T254" s="1134">
        <v>0</v>
      </c>
      <c r="U254" s="1134">
        <v>0.17</v>
      </c>
      <c r="V254" s="1134">
        <v>0</v>
      </c>
      <c r="W254" s="1134">
        <v>0</v>
      </c>
      <c r="X254" s="1134">
        <v>0</v>
      </c>
      <c r="Y254" s="1134">
        <v>0</v>
      </c>
      <c r="Z254" s="1134">
        <v>0</v>
      </c>
      <c r="AA254" s="1134">
        <v>0.06</v>
      </c>
      <c r="AB254" s="1134">
        <v>0</v>
      </c>
      <c r="AC254" s="1148">
        <v>0</v>
      </c>
      <c r="AE254" s="1192"/>
      <c r="AF254" s="1151" t="s">
        <v>699</v>
      </c>
      <c r="AG254" s="394" t="s">
        <v>700</v>
      </c>
      <c r="AH254" s="395" t="s">
        <v>701</v>
      </c>
      <c r="AI254" s="1134">
        <v>0</v>
      </c>
      <c r="AJ254" s="1134">
        <f>U254/4</f>
        <v>4.2500000000000003E-2</v>
      </c>
      <c r="AK254" s="1134">
        <v>0</v>
      </c>
      <c r="AL254" s="1134">
        <f>W254/4</f>
        <v>0</v>
      </c>
      <c r="AM254" s="1134">
        <v>0</v>
      </c>
      <c r="AN254" s="1134">
        <f>Y254/4</f>
        <v>0</v>
      </c>
      <c r="AO254" s="1134">
        <v>0</v>
      </c>
      <c r="AP254" s="1134">
        <f>AA254/4</f>
        <v>1.4999999999999999E-2</v>
      </c>
      <c r="AQ254" s="1134">
        <v>0</v>
      </c>
      <c r="AR254" s="1148">
        <f>AC254/4</f>
        <v>0</v>
      </c>
    </row>
    <row r="255" spans="1:44" outlineLevel="1">
      <c r="B255" s="499" t="s">
        <v>638</v>
      </c>
      <c r="C255" s="505">
        <v>3</v>
      </c>
      <c r="D255" s="505">
        <v>3</v>
      </c>
      <c r="E255" s="505">
        <v>3</v>
      </c>
      <c r="F255" s="505">
        <v>3</v>
      </c>
      <c r="G255" s="505">
        <v>2.6</v>
      </c>
      <c r="H255" s="505">
        <v>3.5</v>
      </c>
      <c r="I255" s="505">
        <v>2.2999999999999998</v>
      </c>
      <c r="J255" s="505">
        <v>3.8</v>
      </c>
      <c r="K255" s="502" t="s">
        <v>16</v>
      </c>
      <c r="L255" s="503">
        <v>3</v>
      </c>
      <c r="M255" s="366"/>
      <c r="N255" s="366"/>
      <c r="O255" s="71"/>
      <c r="P255" s="1192"/>
      <c r="Q255" s="1152"/>
      <c r="R255" s="394" t="s">
        <v>702</v>
      </c>
      <c r="S255" s="395" t="s">
        <v>701</v>
      </c>
      <c r="T255" s="1188"/>
      <c r="U255" s="1188"/>
      <c r="V255" s="1188"/>
      <c r="W255" s="1188"/>
      <c r="X255" s="1188"/>
      <c r="Y255" s="1188"/>
      <c r="Z255" s="1188"/>
      <c r="AA255" s="1188"/>
      <c r="AB255" s="1188"/>
      <c r="AC255" s="1190"/>
      <c r="AE255" s="1192"/>
      <c r="AF255" s="1152"/>
      <c r="AG255" s="394" t="s">
        <v>702</v>
      </c>
      <c r="AH255" s="395" t="s">
        <v>701</v>
      </c>
      <c r="AI255" s="1188"/>
      <c r="AJ255" s="1188"/>
      <c r="AK255" s="1188"/>
      <c r="AL255" s="1188"/>
      <c r="AM255" s="1188"/>
      <c r="AN255" s="1188"/>
      <c r="AO255" s="1188"/>
      <c r="AP255" s="1188"/>
      <c r="AQ255" s="1188"/>
      <c r="AR255" s="1190"/>
    </row>
    <row r="256" spans="1:44" outlineLevel="1">
      <c r="B256" s="382" t="s">
        <v>11</v>
      </c>
      <c r="C256" s="396">
        <v>25</v>
      </c>
      <c r="D256" s="396">
        <v>25</v>
      </c>
      <c r="E256" s="396">
        <v>25</v>
      </c>
      <c r="F256" s="396">
        <v>25</v>
      </c>
      <c r="G256" s="398">
        <v>20</v>
      </c>
      <c r="H256" s="398">
        <v>35</v>
      </c>
      <c r="I256" s="398">
        <v>20</v>
      </c>
      <c r="J256" s="398">
        <v>35</v>
      </c>
      <c r="K256" s="371"/>
      <c r="L256" s="372" t="s">
        <v>703</v>
      </c>
      <c r="M256" s="362"/>
      <c r="N256" s="362"/>
      <c r="P256" s="1192"/>
      <c r="Q256" s="1152"/>
      <c r="R256" s="394" t="s">
        <v>704</v>
      </c>
      <c r="S256" s="395"/>
      <c r="T256" s="1188"/>
      <c r="U256" s="1188"/>
      <c r="V256" s="1188"/>
      <c r="W256" s="1188"/>
      <c r="X256" s="1188"/>
      <c r="Y256" s="1188"/>
      <c r="Z256" s="1188"/>
      <c r="AA256" s="1188"/>
      <c r="AB256" s="1188"/>
      <c r="AC256" s="1190"/>
      <c r="AE256" s="1192"/>
      <c r="AF256" s="1152"/>
      <c r="AG256" s="394" t="s">
        <v>704</v>
      </c>
      <c r="AH256" s="628" t="s">
        <v>701</v>
      </c>
      <c r="AI256" s="1188"/>
      <c r="AJ256" s="1188"/>
      <c r="AK256" s="1188"/>
      <c r="AL256" s="1188"/>
      <c r="AM256" s="1188"/>
      <c r="AN256" s="1188"/>
      <c r="AO256" s="1188"/>
      <c r="AP256" s="1188"/>
      <c r="AQ256" s="1188"/>
      <c r="AR256" s="1190"/>
    </row>
    <row r="257" spans="1:44" ht="15" outlineLevel="1" thickBot="1">
      <c r="B257" s="499" t="s">
        <v>273</v>
      </c>
      <c r="C257" s="505">
        <v>1</v>
      </c>
      <c r="D257" s="505">
        <v>1</v>
      </c>
      <c r="E257" s="505">
        <v>1</v>
      </c>
      <c r="F257" s="505">
        <v>1</v>
      </c>
      <c r="G257" s="505">
        <v>0.5</v>
      </c>
      <c r="H257" s="505">
        <v>1.5</v>
      </c>
      <c r="I257" s="505">
        <v>0.5</v>
      </c>
      <c r="J257" s="505">
        <v>1.5</v>
      </c>
      <c r="K257" s="371"/>
      <c r="L257" s="399"/>
      <c r="M257" s="362"/>
      <c r="N257" s="362"/>
      <c r="P257" s="1192"/>
      <c r="Q257" s="1152"/>
      <c r="R257" s="394" t="s">
        <v>705</v>
      </c>
      <c r="S257" s="395" t="s">
        <v>701</v>
      </c>
      <c r="T257" s="1188"/>
      <c r="U257" s="1188"/>
      <c r="V257" s="1188"/>
      <c r="W257" s="1188"/>
      <c r="X257" s="1188"/>
      <c r="Y257" s="1188"/>
      <c r="Z257" s="1188"/>
      <c r="AA257" s="1188"/>
      <c r="AB257" s="1188"/>
      <c r="AC257" s="1190"/>
      <c r="AE257" s="1192"/>
      <c r="AF257" s="1152"/>
      <c r="AG257" s="394" t="s">
        <v>705</v>
      </c>
      <c r="AH257" s="395"/>
      <c r="AI257" s="1188"/>
      <c r="AJ257" s="1188"/>
      <c r="AK257" s="1188"/>
      <c r="AL257" s="1188"/>
      <c r="AM257" s="1188"/>
      <c r="AN257" s="1188"/>
      <c r="AO257" s="1188"/>
      <c r="AP257" s="1188"/>
      <c r="AQ257" s="1188"/>
      <c r="AR257" s="1190"/>
    </row>
    <row r="258" spans="1:44" ht="15" outlineLevel="1" thickBot="1">
      <c r="B258" s="400" t="s">
        <v>706</v>
      </c>
      <c r="C258" s="401"/>
      <c r="D258" s="402"/>
      <c r="E258" s="403"/>
      <c r="F258" s="404"/>
      <c r="G258" s="405"/>
      <c r="H258" s="405"/>
      <c r="I258" s="405"/>
      <c r="J258" s="405"/>
      <c r="K258" s="406"/>
      <c r="L258" s="407"/>
      <c r="M258" s="362"/>
      <c r="N258" s="362"/>
      <c r="P258" s="1192"/>
      <c r="Q258" s="1153"/>
      <c r="R258" s="408" t="s">
        <v>826</v>
      </c>
      <c r="S258" s="409" t="s">
        <v>701</v>
      </c>
      <c r="T258" s="1189"/>
      <c r="U258" s="1189"/>
      <c r="V258" s="1189"/>
      <c r="W258" s="1189"/>
      <c r="X258" s="1189"/>
      <c r="Y258" s="1189"/>
      <c r="Z258" s="1189"/>
      <c r="AA258" s="1189"/>
      <c r="AB258" s="1189"/>
      <c r="AC258" s="1191"/>
      <c r="AE258" s="1192"/>
      <c r="AF258" s="1153"/>
      <c r="AG258" s="408" t="s">
        <v>826</v>
      </c>
      <c r="AH258" s="409" t="s">
        <v>701</v>
      </c>
      <c r="AI258" s="1189"/>
      <c r="AJ258" s="1189"/>
      <c r="AK258" s="1189"/>
      <c r="AL258" s="1189"/>
      <c r="AM258" s="1189"/>
      <c r="AN258" s="1189"/>
      <c r="AO258" s="1189"/>
      <c r="AP258" s="1189"/>
      <c r="AQ258" s="1189"/>
      <c r="AR258" s="1191"/>
    </row>
    <row r="259" spans="1:44" ht="29.4" outlineLevel="1" thickBot="1">
      <c r="B259" s="499" t="s">
        <v>643</v>
      </c>
      <c r="C259" s="505">
        <v>20</v>
      </c>
      <c r="D259" s="505">
        <v>20</v>
      </c>
      <c r="E259" s="505">
        <v>20</v>
      </c>
      <c r="F259" s="505">
        <v>20</v>
      </c>
      <c r="G259" s="506"/>
      <c r="H259" s="506"/>
      <c r="I259" s="506"/>
      <c r="J259" s="506"/>
      <c r="K259" s="502"/>
      <c r="L259" s="503">
        <v>3</v>
      </c>
      <c r="M259" s="362"/>
      <c r="N259" s="362"/>
      <c r="P259" s="1193"/>
      <c r="Q259" s="410" t="s">
        <v>708</v>
      </c>
      <c r="R259" s="411" t="s">
        <v>709</v>
      </c>
      <c r="S259" s="629" t="s">
        <v>701</v>
      </c>
      <c r="T259" s="415">
        <v>1</v>
      </c>
      <c r="U259" s="414">
        <v>1</v>
      </c>
      <c r="V259" s="415">
        <v>0</v>
      </c>
      <c r="W259" s="414">
        <v>0</v>
      </c>
      <c r="X259" s="415">
        <v>0</v>
      </c>
      <c r="Y259" s="414">
        <v>0</v>
      </c>
      <c r="Z259" s="415">
        <v>1</v>
      </c>
      <c r="AA259" s="414">
        <v>1</v>
      </c>
      <c r="AB259" s="415">
        <v>0</v>
      </c>
      <c r="AC259" s="416">
        <v>0</v>
      </c>
      <c r="AE259" s="1193"/>
      <c r="AF259" s="410" t="s">
        <v>708</v>
      </c>
      <c r="AG259" s="630" t="s">
        <v>709</v>
      </c>
      <c r="AH259" s="631" t="s">
        <v>701</v>
      </c>
      <c r="AI259" s="415">
        <v>1</v>
      </c>
      <c r="AJ259" s="414">
        <v>1</v>
      </c>
      <c r="AK259" s="415">
        <v>0</v>
      </c>
      <c r="AL259" s="414">
        <v>0</v>
      </c>
      <c r="AM259" s="415">
        <v>0</v>
      </c>
      <c r="AN259" s="414">
        <v>0</v>
      </c>
      <c r="AO259" s="415">
        <v>1</v>
      </c>
      <c r="AP259" s="414">
        <v>1</v>
      </c>
      <c r="AQ259" s="415">
        <v>0</v>
      </c>
      <c r="AR259" s="416">
        <v>0</v>
      </c>
    </row>
    <row r="260" spans="1:44" outlineLevel="1">
      <c r="B260" s="499" t="s">
        <v>644</v>
      </c>
      <c r="C260" s="505">
        <v>0.3</v>
      </c>
      <c r="D260" s="505">
        <v>0.3</v>
      </c>
      <c r="E260" s="505">
        <v>0.3</v>
      </c>
      <c r="F260" s="505">
        <v>0.3</v>
      </c>
      <c r="G260" s="508"/>
      <c r="H260" s="508"/>
      <c r="I260" s="508"/>
      <c r="J260" s="508"/>
      <c r="K260" s="509"/>
      <c r="L260" s="503">
        <v>3</v>
      </c>
      <c r="M260" s="362"/>
      <c r="N260" s="362"/>
    </row>
    <row r="261" spans="1:44" outlineLevel="1">
      <c r="B261" s="499" t="s">
        <v>646</v>
      </c>
      <c r="C261" s="505">
        <v>0.5</v>
      </c>
      <c r="D261" s="505">
        <v>0.5</v>
      </c>
      <c r="E261" s="505">
        <v>0.5</v>
      </c>
      <c r="F261" s="505">
        <v>0.5</v>
      </c>
      <c r="G261" s="508"/>
      <c r="H261" s="508"/>
      <c r="I261" s="508"/>
      <c r="J261" s="508"/>
      <c r="K261" s="509"/>
      <c r="L261" s="503">
        <v>3</v>
      </c>
      <c r="M261" s="419"/>
      <c r="N261" s="362"/>
    </row>
    <row r="262" spans="1:44" outlineLevel="1">
      <c r="B262" s="420" t="s">
        <v>12</v>
      </c>
      <c r="C262" s="398"/>
      <c r="D262" s="398"/>
      <c r="E262" s="398"/>
      <c r="F262" s="398"/>
      <c r="G262" s="421"/>
      <c r="H262" s="421"/>
      <c r="I262" s="421"/>
      <c r="J262" s="421"/>
      <c r="K262" s="422"/>
      <c r="L262" s="423"/>
      <c r="M262" s="419"/>
      <c r="N262" s="419"/>
    </row>
    <row r="263" spans="1:44" outlineLevel="1">
      <c r="B263" s="382" t="s">
        <v>806</v>
      </c>
      <c r="C263" s="396">
        <v>11</v>
      </c>
      <c r="D263" s="396">
        <v>11</v>
      </c>
      <c r="E263" s="396">
        <v>11</v>
      </c>
      <c r="F263" s="396">
        <v>11</v>
      </c>
      <c r="G263" s="421"/>
      <c r="H263" s="424"/>
      <c r="I263" s="424"/>
      <c r="J263" s="424"/>
      <c r="K263" s="425" t="s">
        <v>20</v>
      </c>
      <c r="L263" s="426" t="s">
        <v>711</v>
      </c>
      <c r="M263" s="427"/>
      <c r="N263" s="427"/>
    </row>
    <row r="264" spans="1:44" outlineLevel="1">
      <c r="B264" s="382" t="s">
        <v>712</v>
      </c>
      <c r="C264" s="396">
        <v>10</v>
      </c>
      <c r="D264" s="396">
        <v>10</v>
      </c>
      <c r="E264" s="396">
        <v>10</v>
      </c>
      <c r="F264" s="396">
        <v>10</v>
      </c>
      <c r="G264" s="424"/>
      <c r="H264" s="424"/>
      <c r="I264" s="424"/>
      <c r="J264" s="424"/>
      <c r="K264" s="422"/>
      <c r="L264" s="426">
        <v>9</v>
      </c>
      <c r="M264" s="427"/>
      <c r="N264" s="427"/>
    </row>
    <row r="265" spans="1:44" outlineLevel="1">
      <c r="B265" s="382" t="s">
        <v>807</v>
      </c>
      <c r="C265" s="396">
        <v>63</v>
      </c>
      <c r="D265" s="396">
        <v>49</v>
      </c>
      <c r="E265" s="396">
        <v>46</v>
      </c>
      <c r="F265" s="396">
        <v>41</v>
      </c>
      <c r="G265" s="424"/>
      <c r="H265" s="424"/>
      <c r="I265" s="424"/>
      <c r="J265" s="424"/>
      <c r="K265" s="422"/>
      <c r="L265" s="426" t="s">
        <v>711</v>
      </c>
      <c r="M265" s="427"/>
      <c r="N265" s="427"/>
    </row>
    <row r="266" spans="1:44" outlineLevel="1">
      <c r="B266" s="382" t="s">
        <v>366</v>
      </c>
      <c r="C266" s="396">
        <v>11</v>
      </c>
      <c r="D266" s="396">
        <v>8</v>
      </c>
      <c r="E266" s="396">
        <v>6</v>
      </c>
      <c r="F266" s="396">
        <v>4</v>
      </c>
      <c r="G266" s="424"/>
      <c r="H266" s="424"/>
      <c r="I266" s="424"/>
      <c r="J266" s="424"/>
      <c r="K266" s="422"/>
      <c r="L266" s="426" t="s">
        <v>711</v>
      </c>
      <c r="M266" s="427"/>
      <c r="N266" s="427"/>
    </row>
    <row r="267" spans="1:44" ht="15" outlineLevel="1" thickBot="1">
      <c r="B267" s="428" t="s">
        <v>367</v>
      </c>
      <c r="C267" s="429">
        <v>3</v>
      </c>
      <c r="D267" s="429">
        <v>3</v>
      </c>
      <c r="E267" s="429">
        <v>1</v>
      </c>
      <c r="F267" s="429">
        <v>1</v>
      </c>
      <c r="G267" s="424"/>
      <c r="H267" s="424"/>
      <c r="I267" s="424"/>
      <c r="J267" s="424"/>
      <c r="K267" s="422"/>
      <c r="L267" s="426" t="s">
        <v>711</v>
      </c>
      <c r="M267" s="427"/>
      <c r="N267" s="427"/>
    </row>
    <row r="268" spans="1:44" ht="15" outlineLevel="1" thickBot="1">
      <c r="B268" s="430" t="s">
        <v>654</v>
      </c>
      <c r="C268" s="431"/>
      <c r="D268" s="402"/>
      <c r="E268" s="402"/>
      <c r="F268" s="432"/>
      <c r="G268" s="433"/>
      <c r="H268" s="405"/>
      <c r="I268" s="405"/>
      <c r="J268" s="405"/>
      <c r="K268" s="406"/>
      <c r="L268" s="407"/>
      <c r="M268" s="427"/>
      <c r="N268" s="427"/>
    </row>
    <row r="269" spans="1:44" ht="26.4" outlineLevel="1">
      <c r="A269" s="434"/>
      <c r="B269" s="435" t="s">
        <v>873</v>
      </c>
      <c r="C269" s="550">
        <f>0.68</f>
        <v>0.68</v>
      </c>
      <c r="D269" s="646">
        <f>0.65</f>
        <v>0.65</v>
      </c>
      <c r="E269" s="646">
        <f>0.62</f>
        <v>0.62</v>
      </c>
      <c r="F269" s="647">
        <f>0.59</f>
        <v>0.59</v>
      </c>
      <c r="G269" s="424"/>
      <c r="H269" s="424"/>
      <c r="I269" s="424"/>
      <c r="J269" s="424"/>
      <c r="K269" s="425" t="s">
        <v>955</v>
      </c>
      <c r="L269" s="439" t="s">
        <v>716</v>
      </c>
      <c r="M269" s="419"/>
      <c r="N269" s="419"/>
    </row>
    <row r="270" spans="1:44" outlineLevel="1">
      <c r="B270" s="440" t="s">
        <v>802</v>
      </c>
      <c r="C270" s="441">
        <v>65</v>
      </c>
      <c r="D270" s="441">
        <v>65</v>
      </c>
      <c r="E270" s="441">
        <v>65</v>
      </c>
      <c r="F270" s="441">
        <v>65</v>
      </c>
      <c r="G270" s="424"/>
      <c r="H270" s="424"/>
      <c r="I270" s="424"/>
      <c r="J270" s="424"/>
      <c r="K270" s="443"/>
      <c r="L270" s="372">
        <v>3</v>
      </c>
      <c r="M270" s="71"/>
      <c r="N270" s="419"/>
    </row>
    <row r="271" spans="1:44" outlineLevel="1">
      <c r="B271" s="440" t="s">
        <v>803</v>
      </c>
      <c r="C271" s="441">
        <f>100-C270</f>
        <v>35</v>
      </c>
      <c r="D271" s="441">
        <f>100-D270</f>
        <v>35</v>
      </c>
      <c r="E271" s="441">
        <f>100-E270</f>
        <v>35</v>
      </c>
      <c r="F271" s="441">
        <f>100-F270</f>
        <v>35</v>
      </c>
      <c r="G271" s="424"/>
      <c r="H271" s="424"/>
      <c r="I271" s="424"/>
      <c r="J271" s="424"/>
      <c r="K271" s="443"/>
      <c r="L271" s="372">
        <v>3</v>
      </c>
      <c r="M271" s="419"/>
      <c r="N271" s="419"/>
    </row>
    <row r="272" spans="1:44" outlineLevel="1">
      <c r="B272" s="382" t="s">
        <v>804</v>
      </c>
      <c r="C272" s="444">
        <v>37000</v>
      </c>
      <c r="D272" s="445">
        <v>35900</v>
      </c>
      <c r="E272" s="445">
        <f>(F272+D272)/2</f>
        <v>34800</v>
      </c>
      <c r="F272" s="446">
        <v>33700</v>
      </c>
      <c r="G272" s="424"/>
      <c r="H272" s="424"/>
      <c r="I272" s="424"/>
      <c r="J272" s="424"/>
      <c r="K272" s="447" t="s">
        <v>33</v>
      </c>
      <c r="L272" s="372">
        <v>3</v>
      </c>
      <c r="M272" s="419"/>
      <c r="N272" s="419"/>
    </row>
    <row r="273" spans="2:30" outlineLevel="1">
      <c r="B273" s="382" t="s">
        <v>659</v>
      </c>
      <c r="C273" s="448">
        <f>C274+C275</f>
        <v>2.7789999999999999</v>
      </c>
      <c r="D273" s="448">
        <f t="shared" ref="D273:F273" si="14">D274+D275</f>
        <v>2.8250000000000002</v>
      </c>
      <c r="E273" s="448">
        <f t="shared" si="14"/>
        <v>2.8479999999999999</v>
      </c>
      <c r="F273" s="448">
        <f t="shared" si="14"/>
        <v>2.8479999999999999</v>
      </c>
      <c r="G273" s="424"/>
      <c r="H273" s="424"/>
      <c r="I273" s="424"/>
      <c r="J273" s="424"/>
      <c r="K273" s="447"/>
      <c r="L273" s="372">
        <v>3</v>
      </c>
      <c r="M273" s="449"/>
      <c r="N273" s="360"/>
      <c r="P273" s="1139">
        <f>C273</f>
        <v>2.7789999999999999</v>
      </c>
      <c r="Q273" s="1140"/>
      <c r="R273" s="1140"/>
      <c r="S273" s="1140"/>
      <c r="T273" s="1140"/>
      <c r="U273" s="1141"/>
    </row>
    <row r="274" spans="2:30" ht="15" outlineLevel="1" thickBot="1">
      <c r="B274" s="499" t="s">
        <v>721</v>
      </c>
      <c r="C274" s="513">
        <f>C253/100*73</f>
        <v>1.679</v>
      </c>
      <c r="D274" s="513">
        <f>D253/100*75</f>
        <v>1.7249999999999999</v>
      </c>
      <c r="E274" s="513">
        <f>E253/100*76</f>
        <v>1.748</v>
      </c>
      <c r="F274" s="513">
        <f>F253/100*76</f>
        <v>1.748</v>
      </c>
      <c r="G274" s="514"/>
      <c r="H274" s="514"/>
      <c r="I274" s="514"/>
      <c r="J274" s="514"/>
      <c r="K274" s="502" t="s">
        <v>51</v>
      </c>
      <c r="L274" s="503">
        <v>3</v>
      </c>
      <c r="M274" s="449"/>
      <c r="N274" s="360"/>
      <c r="P274" s="1131">
        <f>C274</f>
        <v>1.679</v>
      </c>
      <c r="Q274" s="1132"/>
      <c r="R274" s="1132"/>
      <c r="S274" s="1132"/>
      <c r="T274" s="1132"/>
      <c r="U274" s="1133"/>
    </row>
    <row r="275" spans="2:30" outlineLevel="1">
      <c r="B275" s="499" t="s">
        <v>722</v>
      </c>
      <c r="C275" s="515">
        <v>1.1000000000000001</v>
      </c>
      <c r="D275" s="515">
        <v>1.1000000000000001</v>
      </c>
      <c r="E275" s="515">
        <v>1.1000000000000001</v>
      </c>
      <c r="F275" s="515">
        <v>1.1000000000000001</v>
      </c>
      <c r="G275" s="514"/>
      <c r="H275" s="514"/>
      <c r="I275" s="514"/>
      <c r="J275" s="514"/>
      <c r="K275" s="516"/>
      <c r="L275" s="503">
        <v>3</v>
      </c>
      <c r="M275" s="362"/>
      <c r="N275" s="362"/>
      <c r="P275" s="53" t="s">
        <v>357</v>
      </c>
    </row>
    <row r="276" spans="2:30" ht="27.6" outlineLevel="1">
      <c r="B276" s="440"/>
      <c r="C276" s="680"/>
      <c r="D276" s="680"/>
      <c r="E276" s="680"/>
      <c r="F276" s="680"/>
      <c r="G276" s="424"/>
      <c r="H276" s="424"/>
      <c r="I276" s="424"/>
      <c r="J276" s="424"/>
      <c r="K276" s="443"/>
      <c r="L276" s="423"/>
      <c r="M276" s="366"/>
      <c r="N276" s="366"/>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4.6" outlineLevel="1" thickBot="1">
      <c r="B277" s="518"/>
      <c r="C277" s="441"/>
      <c r="D277" s="519"/>
      <c r="E277" s="519"/>
      <c r="F277" s="520"/>
      <c r="G277" s="424"/>
      <c r="H277" s="424"/>
      <c r="I277" s="424"/>
      <c r="J277" s="424"/>
      <c r="K277" s="447"/>
      <c r="L277" s="423"/>
      <c r="M277" s="362"/>
      <c r="N277" s="362"/>
      <c r="P277" s="50"/>
      <c r="Q277" s="50"/>
      <c r="R277" s="51"/>
      <c r="S277" s="51"/>
      <c r="T277" s="51"/>
      <c r="U277" s="51" t="s">
        <v>723</v>
      </c>
      <c r="V277" s="50" t="s">
        <v>724</v>
      </c>
      <c r="W277" s="50"/>
      <c r="X277" s="50"/>
      <c r="Y277" s="50"/>
      <c r="Z277" s="50"/>
      <c r="AA277" s="50"/>
      <c r="AB277" s="50"/>
      <c r="AC277" s="50"/>
      <c r="AD277" s="50"/>
    </row>
    <row r="278" spans="2:30" ht="43.8" outlineLevel="1" thickBot="1">
      <c r="B278" s="400" t="s">
        <v>662</v>
      </c>
      <c r="C278" s="401"/>
      <c r="D278" s="402"/>
      <c r="E278" s="403"/>
      <c r="F278" s="404"/>
      <c r="G278" s="405"/>
      <c r="H278" s="405"/>
      <c r="I278" s="405"/>
      <c r="J278" s="405"/>
      <c r="K278" s="458"/>
      <c r="L278" s="459"/>
      <c r="M278" s="362"/>
      <c r="N278" s="362"/>
      <c r="O278" s="460" t="s">
        <v>695</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21" t="s">
        <v>725</v>
      </c>
      <c r="C279" s="669">
        <v>3.5000000000000003E-2</v>
      </c>
      <c r="D279" s="669">
        <v>0.03</v>
      </c>
      <c r="E279" s="669">
        <v>0.03</v>
      </c>
      <c r="F279" s="669">
        <v>0.03</v>
      </c>
      <c r="G279" s="523"/>
      <c r="H279" s="523"/>
      <c r="I279" s="523"/>
      <c r="J279" s="523"/>
      <c r="K279" s="523" t="s">
        <v>52</v>
      </c>
      <c r="L279" s="524"/>
      <c r="M279" s="362"/>
      <c r="N279" s="362"/>
      <c r="O279" s="464">
        <f>C252</f>
        <v>116.18960947726835</v>
      </c>
      <c r="P279" s="465">
        <f>C248</f>
        <v>2020</v>
      </c>
      <c r="Q279" s="58">
        <f>P279</f>
        <v>2020</v>
      </c>
      <c r="R279" s="465">
        <f>O279/100</f>
        <v>1.1618960947726835</v>
      </c>
      <c r="S279" s="58"/>
      <c r="T279" s="465">
        <f>C256</f>
        <v>25</v>
      </c>
      <c r="U279" s="466">
        <f>C286</f>
        <v>5066.0000000000009</v>
      </c>
      <c r="V279" s="466">
        <f>C288</f>
        <v>275.64999999999998</v>
      </c>
      <c r="W279" s="466">
        <f>C289</f>
        <v>5.7509861111111107</v>
      </c>
      <c r="X279" s="58"/>
      <c r="Y279" s="58"/>
      <c r="Z279" s="465">
        <f>C263</f>
        <v>11</v>
      </c>
      <c r="AA279" s="467">
        <f>C265</f>
        <v>63</v>
      </c>
      <c r="AB279" s="467">
        <f>C266</f>
        <v>11</v>
      </c>
      <c r="AC279" s="467">
        <f>C267</f>
        <v>3</v>
      </c>
      <c r="AD279" s="467">
        <f>C264</f>
        <v>10</v>
      </c>
    </row>
    <row r="280" spans="2:30" outlineLevel="1">
      <c r="B280" s="499" t="s">
        <v>726</v>
      </c>
      <c r="C280" s="525" t="s">
        <v>36</v>
      </c>
      <c r="D280" s="526" t="s">
        <v>36</v>
      </c>
      <c r="E280" s="526" t="s">
        <v>36</v>
      </c>
      <c r="F280" s="527" t="s">
        <v>36</v>
      </c>
      <c r="G280" s="527"/>
      <c r="H280" s="527"/>
      <c r="I280" s="527"/>
      <c r="J280" s="527"/>
      <c r="K280" s="528" t="s">
        <v>55</v>
      </c>
      <c r="L280" s="524"/>
      <c r="M280" s="362"/>
      <c r="N280" s="362"/>
      <c r="O280" s="464">
        <f>D252</f>
        <v>116.18960947726835</v>
      </c>
      <c r="P280" s="465">
        <f>D248</f>
        <v>2030</v>
      </c>
      <c r="Q280" s="58"/>
      <c r="R280" s="465">
        <f>O280/100</f>
        <v>1.1618960947726835</v>
      </c>
      <c r="S280" s="58"/>
      <c r="T280" s="465">
        <f>D256</f>
        <v>25</v>
      </c>
      <c r="U280" s="466">
        <f>D286</f>
        <v>4842.5</v>
      </c>
      <c r="V280" s="466">
        <f>D288</f>
        <v>267.45499999999998</v>
      </c>
      <c r="W280" s="466">
        <f>D289</f>
        <v>5.8461805555555557</v>
      </c>
      <c r="X280" s="58"/>
      <c r="Y280" s="58"/>
      <c r="Z280" s="465">
        <f>D263</f>
        <v>11</v>
      </c>
      <c r="AA280" s="467">
        <f>D265</f>
        <v>49</v>
      </c>
      <c r="AB280" s="467">
        <f>D266</f>
        <v>8</v>
      </c>
      <c r="AC280" s="467">
        <f>D267</f>
        <v>3</v>
      </c>
      <c r="AD280" s="467">
        <f>D264</f>
        <v>10</v>
      </c>
    </row>
    <row r="281" spans="2:30" outlineLevel="1">
      <c r="B281" s="499" t="s">
        <v>727</v>
      </c>
      <c r="C281" s="525" t="s">
        <v>36</v>
      </c>
      <c r="D281" s="526" t="s">
        <v>36</v>
      </c>
      <c r="E281" s="526" t="s">
        <v>36</v>
      </c>
      <c r="F281" s="527" t="s">
        <v>36</v>
      </c>
      <c r="G281" s="514"/>
      <c r="H281" s="514"/>
      <c r="I281" s="514"/>
      <c r="J281" s="514"/>
      <c r="K281" s="514"/>
      <c r="L281" s="503"/>
      <c r="M281" s="362"/>
      <c r="N281" s="362"/>
      <c r="O281" s="464">
        <f>E252</f>
        <v>116.18960947726835</v>
      </c>
      <c r="P281" s="465">
        <f>E248</f>
        <v>2040</v>
      </c>
      <c r="Q281" s="58"/>
      <c r="R281" s="465">
        <f>O281/100</f>
        <v>1.1618960947726835</v>
      </c>
      <c r="S281" s="58"/>
      <c r="T281" s="465">
        <f>E256</f>
        <v>25</v>
      </c>
      <c r="U281" s="466">
        <f>E286</f>
        <v>4619</v>
      </c>
      <c r="V281" s="466">
        <f>E288</f>
        <v>259.26</v>
      </c>
      <c r="W281" s="466">
        <f>E289</f>
        <v>5.8937777777777782</v>
      </c>
      <c r="X281" s="58"/>
      <c r="Y281" s="58"/>
      <c r="Z281" s="465">
        <f>E263</f>
        <v>11</v>
      </c>
      <c r="AA281" s="467">
        <f>E265</f>
        <v>46</v>
      </c>
      <c r="AB281" s="467">
        <f>E266</f>
        <v>6</v>
      </c>
      <c r="AC281" s="467">
        <f>E267</f>
        <v>1</v>
      </c>
      <c r="AD281" s="467">
        <f>E264</f>
        <v>10</v>
      </c>
    </row>
    <row r="282" spans="2:30" outlineLevel="1">
      <c r="B282" s="499" t="s">
        <v>728</v>
      </c>
      <c r="C282" s="684">
        <v>90</v>
      </c>
      <c r="D282" s="529">
        <v>90</v>
      </c>
      <c r="E282" s="529">
        <v>90</v>
      </c>
      <c r="F282" s="529">
        <v>90</v>
      </c>
      <c r="G282" s="530"/>
      <c r="H282" s="530"/>
      <c r="I282" s="530"/>
      <c r="J282" s="530"/>
      <c r="K282" s="530"/>
      <c r="L282" s="503">
        <v>3</v>
      </c>
      <c r="M282" s="362"/>
      <c r="N282" s="362"/>
      <c r="O282" s="464">
        <f>F252</f>
        <v>116.18960947726835</v>
      </c>
      <c r="P282" s="465">
        <f>F248</f>
        <v>2050</v>
      </c>
      <c r="Q282" s="58"/>
      <c r="R282" s="465">
        <f>O282/100</f>
        <v>1.1618960947726835</v>
      </c>
      <c r="S282" s="58"/>
      <c r="T282" s="465">
        <f>F256</f>
        <v>25</v>
      </c>
      <c r="U282" s="466">
        <f>F286</f>
        <v>4395.5</v>
      </c>
      <c r="V282" s="466">
        <f>F288</f>
        <v>251.065</v>
      </c>
      <c r="W282" s="466">
        <f>F289</f>
        <v>5.8937777777777782</v>
      </c>
      <c r="X282" s="58"/>
      <c r="Y282" s="58"/>
      <c r="Z282" s="465">
        <f>F263</f>
        <v>11</v>
      </c>
      <c r="AA282" s="467">
        <f>F265</f>
        <v>41</v>
      </c>
      <c r="AB282" s="467">
        <f>F266</f>
        <v>4</v>
      </c>
      <c r="AC282" s="467">
        <f>F267</f>
        <v>1</v>
      </c>
      <c r="AD282" s="467">
        <f>F264</f>
        <v>10</v>
      </c>
    </row>
    <row r="283" spans="2:30" outlineLevel="1">
      <c r="B283" s="531" t="s">
        <v>729</v>
      </c>
      <c r="C283" s="525"/>
      <c r="D283" s="526"/>
      <c r="E283" s="526"/>
      <c r="F283" s="527"/>
      <c r="G283" s="530"/>
      <c r="H283" s="530"/>
      <c r="I283" s="530"/>
      <c r="J283" s="530"/>
      <c r="K283" s="530"/>
      <c r="L283" s="532"/>
      <c r="M283" s="366"/>
      <c r="N283" s="366"/>
    </row>
    <row r="284" spans="2:30" outlineLevel="1">
      <c r="B284" s="531" t="s">
        <v>730</v>
      </c>
      <c r="C284" s="525"/>
      <c r="D284" s="526"/>
      <c r="E284" s="526"/>
      <c r="F284" s="527"/>
      <c r="G284" s="530"/>
      <c r="H284" s="530"/>
      <c r="I284" s="530"/>
      <c r="J284" s="530"/>
      <c r="K284" s="530"/>
      <c r="L284" s="532"/>
      <c r="M284" s="362"/>
      <c r="N284" s="362"/>
    </row>
    <row r="285" spans="2:30" ht="15" outlineLevel="1" thickBot="1">
      <c r="B285" s="533" t="s">
        <v>731</v>
      </c>
      <c r="C285" s="534"/>
      <c r="D285" s="535"/>
      <c r="E285" s="535"/>
      <c r="F285" s="536"/>
      <c r="G285" s="537"/>
      <c r="H285" s="537"/>
      <c r="I285" s="537"/>
      <c r="J285" s="537"/>
      <c r="K285" s="537"/>
      <c r="L285" s="538"/>
      <c r="M285" s="362"/>
      <c r="N285" s="362"/>
    </row>
    <row r="286" spans="2:30" ht="57.6" outlineLevel="1">
      <c r="B286" s="460" t="s">
        <v>732</v>
      </c>
      <c r="C286" s="482">
        <f>C269*$F$4*1000</f>
        <v>5066.0000000000009</v>
      </c>
      <c r="D286" s="482">
        <f t="shared" ref="D286:F286" si="15">D269*$F$4*1000</f>
        <v>4842.5</v>
      </c>
      <c r="E286" s="482">
        <f t="shared" si="15"/>
        <v>4619</v>
      </c>
      <c r="F286" s="482">
        <f t="shared" si="15"/>
        <v>4395.5</v>
      </c>
      <c r="G286" s="482"/>
      <c r="H286" s="483"/>
      <c r="I286" s="419" t="s">
        <v>332</v>
      </c>
      <c r="J286" s="419"/>
      <c r="K286" s="483"/>
      <c r="L286" s="483"/>
      <c r="N286" s="419"/>
    </row>
    <row r="287" spans="2:30" outlineLevel="1">
      <c r="B287" s="484" t="s">
        <v>733</v>
      </c>
      <c r="C287" s="485">
        <f>C286*$I287</f>
        <v>2533000.0000000005</v>
      </c>
      <c r="D287" s="485">
        <f>D286*$I287</f>
        <v>2421250</v>
      </c>
      <c r="E287" s="485">
        <f>E286*$I287</f>
        <v>2309500</v>
      </c>
      <c r="F287" s="485">
        <f>F286*$I287</f>
        <v>2197750</v>
      </c>
      <c r="G287" s="485"/>
      <c r="H287" s="483"/>
      <c r="I287" s="71">
        <v>500</v>
      </c>
      <c r="J287" s="419" t="s">
        <v>330</v>
      </c>
      <c r="K287" s="483"/>
      <c r="L287" s="483"/>
      <c r="N287" s="419"/>
    </row>
    <row r="288" spans="2:30" ht="43.2" outlineLevel="1">
      <c r="B288" s="460" t="s">
        <v>808</v>
      </c>
      <c r="C288" s="358">
        <f>C272*$F$4/1000</f>
        <v>275.64999999999998</v>
      </c>
      <c r="D288" s="358">
        <f t="shared" ref="D288:F288" si="16">D272*$F$4/1000</f>
        <v>267.45499999999998</v>
      </c>
      <c r="E288" s="358">
        <f t="shared" si="16"/>
        <v>259.26</v>
      </c>
      <c r="F288" s="358">
        <f t="shared" si="16"/>
        <v>251.065</v>
      </c>
      <c r="G288" s="358"/>
      <c r="I288" s="419" t="s">
        <v>333</v>
      </c>
      <c r="J288" s="419"/>
      <c r="N288" s="419"/>
    </row>
    <row r="289" spans="1:15" ht="43.2" outlineLevel="1">
      <c r="B289" s="460" t="s">
        <v>809</v>
      </c>
      <c r="C289" s="486">
        <f>C273*$F$4/3.6</f>
        <v>5.7509861111111107</v>
      </c>
      <c r="D289" s="486">
        <f t="shared" ref="D289:F289" si="17">D273*$F$4/3.6</f>
        <v>5.8461805555555557</v>
      </c>
      <c r="E289" s="486">
        <f t="shared" si="17"/>
        <v>5.8937777777777782</v>
      </c>
      <c r="F289" s="486">
        <f t="shared" si="17"/>
        <v>5.8937777777777782</v>
      </c>
      <c r="G289" s="358"/>
      <c r="M289" s="419"/>
      <c r="N289" s="419"/>
    </row>
    <row r="290" spans="1:15" outlineLevel="1">
      <c r="A290" s="487"/>
      <c r="B290" s="488"/>
      <c r="D290" s="489"/>
      <c r="E290" s="489"/>
      <c r="F290" s="489"/>
      <c r="G290" s="357"/>
      <c r="H290" s="357"/>
      <c r="I290" s="357"/>
      <c r="J290" s="357"/>
      <c r="K290" s="357"/>
      <c r="L290" s="357"/>
    </row>
    <row r="291" spans="1:15" outlineLevel="1">
      <c r="A291" s="490"/>
      <c r="B291" s="491"/>
      <c r="D291" s="489"/>
      <c r="E291" s="489"/>
      <c r="F291" s="489"/>
      <c r="G291" s="357"/>
      <c r="H291" s="357"/>
      <c r="I291" s="357"/>
      <c r="J291" s="357"/>
      <c r="K291" s="357"/>
      <c r="L291" s="357"/>
    </row>
    <row r="292" spans="1:15" outlineLevel="1">
      <c r="A292" s="490"/>
      <c r="B292" s="492"/>
      <c r="D292" s="489"/>
      <c r="E292" s="489"/>
      <c r="F292" s="489"/>
      <c r="G292" s="357"/>
      <c r="H292" s="357"/>
      <c r="I292" s="357"/>
      <c r="J292" s="357"/>
      <c r="K292" s="357"/>
      <c r="L292" s="357"/>
    </row>
    <row r="293" spans="1:15" outlineLevel="1">
      <c r="A293" s="490"/>
      <c r="B293" s="487" t="s">
        <v>736</v>
      </c>
      <c r="C293" s="488"/>
      <c r="E293" s="357"/>
      <c r="F293" s="489"/>
      <c r="G293" s="357"/>
      <c r="H293" s="357"/>
      <c r="I293" s="357"/>
      <c r="J293" s="357"/>
      <c r="K293" s="357"/>
      <c r="L293" s="357"/>
    </row>
    <row r="294" spans="1:15" outlineLevel="1">
      <c r="A294" s="490"/>
      <c r="B294" s="490">
        <v>1</v>
      </c>
      <c r="C294" s="491" t="s">
        <v>737</v>
      </c>
      <c r="E294" s="357"/>
      <c r="F294" s="489"/>
      <c r="G294" s="357"/>
      <c r="H294" s="357"/>
      <c r="I294" s="357"/>
      <c r="J294" s="357"/>
      <c r="K294" s="357"/>
      <c r="L294" s="357"/>
    </row>
    <row r="295" spans="1:15" outlineLevel="1">
      <c r="A295" s="357"/>
      <c r="B295" s="490">
        <v>2</v>
      </c>
      <c r="C295" s="492" t="s">
        <v>738</v>
      </c>
      <c r="E295" s="357"/>
      <c r="F295" s="489"/>
      <c r="G295" s="357"/>
      <c r="H295" s="357"/>
      <c r="I295" s="357"/>
      <c r="J295" s="357"/>
      <c r="K295" s="357"/>
      <c r="L295" s="357"/>
      <c r="M295" s="569"/>
      <c r="N295" s="488"/>
      <c r="O295" s="489"/>
    </row>
    <row r="296" spans="1:15" outlineLevel="1">
      <c r="A296" s="357"/>
      <c r="B296" s="490">
        <v>3</v>
      </c>
      <c r="C296" s="492" t="s">
        <v>739</v>
      </c>
      <c r="E296" s="357"/>
      <c r="F296" s="489"/>
      <c r="G296" s="357"/>
      <c r="H296" s="357"/>
      <c r="I296" s="357"/>
      <c r="J296" s="357"/>
      <c r="K296" s="357"/>
      <c r="L296" s="357"/>
      <c r="O296" s="489"/>
    </row>
    <row r="297" spans="1:15" outlineLevel="1">
      <c r="A297" s="357"/>
      <c r="B297" s="490">
        <v>4</v>
      </c>
      <c r="C297" s="492" t="s">
        <v>740</v>
      </c>
      <c r="E297" s="357"/>
      <c r="F297" s="489"/>
      <c r="G297" s="357"/>
      <c r="H297" s="357"/>
      <c r="I297" s="357"/>
      <c r="J297" s="357"/>
      <c r="K297" s="357"/>
      <c r="L297" s="357"/>
      <c r="O297" s="489"/>
    </row>
    <row r="298" spans="1:15" outlineLevel="1">
      <c r="A298" s="357"/>
      <c r="B298" s="357">
        <v>5</v>
      </c>
      <c r="C298" s="493" t="s">
        <v>741</v>
      </c>
      <c r="F298" s="489"/>
      <c r="G298" s="357"/>
      <c r="H298" s="357"/>
      <c r="I298" s="357"/>
      <c r="J298" s="357"/>
      <c r="K298" s="357"/>
      <c r="L298" s="357"/>
      <c r="O298" s="489"/>
    </row>
    <row r="299" spans="1:15" outlineLevel="1">
      <c r="A299" s="357"/>
      <c r="B299" s="357">
        <v>6</v>
      </c>
      <c r="C299" s="491" t="s">
        <v>742</v>
      </c>
      <c r="F299" s="489"/>
      <c r="G299" s="357"/>
      <c r="H299" s="357"/>
      <c r="I299" s="357"/>
      <c r="J299" s="357"/>
      <c r="K299" s="357"/>
      <c r="L299" s="357"/>
      <c r="O299" s="489"/>
    </row>
    <row r="300" spans="1:15" outlineLevel="1">
      <c r="A300" s="357"/>
      <c r="B300" s="357">
        <v>7</v>
      </c>
      <c r="C300" s="494" t="s">
        <v>737</v>
      </c>
      <c r="F300" s="489"/>
      <c r="G300" s="357"/>
      <c r="H300" s="357"/>
      <c r="I300" s="357"/>
      <c r="J300" s="357"/>
      <c r="K300" s="357"/>
      <c r="L300" s="357"/>
      <c r="O300" s="489"/>
    </row>
    <row r="301" spans="1:15" outlineLevel="1">
      <c r="A301" s="487"/>
      <c r="B301" s="357">
        <v>8</v>
      </c>
      <c r="C301" s="494" t="s">
        <v>743</v>
      </c>
      <c r="F301" s="489"/>
      <c r="G301" s="357"/>
      <c r="H301" s="357"/>
      <c r="I301" s="357"/>
      <c r="J301" s="357"/>
      <c r="K301" s="357"/>
      <c r="L301" s="357"/>
      <c r="O301" s="489"/>
    </row>
    <row r="302" spans="1:15" outlineLevel="1">
      <c r="A302" s="487"/>
      <c r="B302" s="357">
        <v>9</v>
      </c>
      <c r="C302" s="488" t="s">
        <v>744</v>
      </c>
      <c r="F302" s="489"/>
      <c r="G302" s="357"/>
      <c r="H302" s="357"/>
      <c r="I302" s="357"/>
      <c r="J302" s="357"/>
      <c r="K302" s="357"/>
      <c r="L302" s="357"/>
      <c r="O302" s="489"/>
    </row>
    <row r="303" spans="1:15" outlineLevel="1">
      <c r="A303" s="487"/>
      <c r="B303" s="357">
        <v>10</v>
      </c>
      <c r="C303" s="489" t="s">
        <v>745</v>
      </c>
      <c r="F303" s="489"/>
      <c r="G303" s="357"/>
      <c r="H303" s="357"/>
      <c r="I303" s="357"/>
      <c r="J303" s="357"/>
      <c r="K303" s="357"/>
      <c r="L303" s="357"/>
      <c r="O303" s="489"/>
    </row>
    <row r="304" spans="1:15" outlineLevel="1">
      <c r="A304" s="487"/>
      <c r="B304" s="487" t="s">
        <v>746</v>
      </c>
      <c r="C304" s="488"/>
      <c r="F304" s="489"/>
      <c r="G304" s="357"/>
      <c r="H304" s="357"/>
      <c r="I304" s="357"/>
      <c r="J304" s="357"/>
      <c r="K304" s="357"/>
      <c r="L304" s="357"/>
      <c r="O304" s="489"/>
    </row>
    <row r="305" spans="1:15" outlineLevel="1">
      <c r="A305" s="487"/>
      <c r="B305" s="495" t="s">
        <v>6</v>
      </c>
      <c r="C305" s="496" t="s">
        <v>938</v>
      </c>
      <c r="D305" s="488"/>
      <c r="F305" s="489"/>
      <c r="G305" s="357"/>
      <c r="H305" s="357"/>
      <c r="I305" s="357"/>
      <c r="J305" s="357"/>
      <c r="K305" s="357"/>
      <c r="L305" s="357"/>
      <c r="O305" s="489"/>
    </row>
    <row r="306" spans="1:15" outlineLevel="1">
      <c r="A306" s="487"/>
      <c r="B306" s="495" t="s">
        <v>59</v>
      </c>
      <c r="C306" s="488" t="s">
        <v>748</v>
      </c>
      <c r="D306" s="488"/>
      <c r="F306" s="489"/>
      <c r="G306" s="357"/>
      <c r="H306" s="357"/>
      <c r="I306" s="357"/>
      <c r="J306" s="357"/>
      <c r="K306" s="357"/>
      <c r="L306" s="357"/>
      <c r="O306" s="489"/>
    </row>
    <row r="307" spans="1:15" outlineLevel="1">
      <c r="A307" s="487"/>
      <c r="B307" s="495" t="s">
        <v>16</v>
      </c>
      <c r="C307" s="488" t="s">
        <v>939</v>
      </c>
      <c r="D307" s="488"/>
      <c r="F307" s="489"/>
      <c r="G307" s="357"/>
      <c r="H307" s="357"/>
      <c r="I307" s="357"/>
      <c r="J307" s="357"/>
      <c r="K307" s="357"/>
      <c r="L307" s="357"/>
      <c r="O307" s="489"/>
    </row>
    <row r="308" spans="1:15" outlineLevel="1">
      <c r="A308" s="487"/>
      <c r="B308" s="495" t="s">
        <v>20</v>
      </c>
      <c r="C308" s="488" t="s">
        <v>940</v>
      </c>
      <c r="D308" s="488"/>
      <c r="F308" s="489"/>
      <c r="G308" s="357"/>
      <c r="H308" s="357"/>
      <c r="I308" s="357"/>
      <c r="J308" s="357"/>
      <c r="K308" s="357"/>
      <c r="L308" s="357"/>
      <c r="O308" s="489"/>
    </row>
    <row r="309" spans="1:15" outlineLevel="1">
      <c r="A309" s="487"/>
      <c r="B309" s="495" t="s">
        <v>76</v>
      </c>
      <c r="C309" s="488" t="s">
        <v>749</v>
      </c>
      <c r="D309" s="488"/>
      <c r="F309" s="489"/>
      <c r="G309" s="357"/>
      <c r="H309" s="357"/>
      <c r="I309" s="357"/>
      <c r="J309" s="357"/>
      <c r="K309" s="357"/>
      <c r="L309" s="357"/>
      <c r="O309" s="489"/>
    </row>
    <row r="310" spans="1:15" outlineLevel="1">
      <c r="A310" s="487"/>
      <c r="B310" s="495" t="s">
        <v>25</v>
      </c>
      <c r="C310" s="488" t="s">
        <v>941</v>
      </c>
      <c r="D310" s="488"/>
      <c r="F310" s="489"/>
      <c r="G310" s="357"/>
      <c r="H310" s="357"/>
      <c r="I310" s="357"/>
      <c r="J310" s="357"/>
      <c r="K310" s="357"/>
      <c r="L310" s="357"/>
      <c r="O310" s="489"/>
    </row>
    <row r="311" spans="1:15" outlineLevel="1">
      <c r="A311" s="487"/>
      <c r="B311" s="495" t="s">
        <v>33</v>
      </c>
      <c r="C311" s="488" t="s">
        <v>942</v>
      </c>
      <c r="D311" s="488"/>
      <c r="F311" s="489"/>
      <c r="G311" s="357"/>
      <c r="H311" s="357"/>
      <c r="I311" s="357"/>
      <c r="J311" s="357"/>
      <c r="K311" s="357"/>
      <c r="L311" s="357"/>
      <c r="O311" s="489"/>
    </row>
    <row r="312" spans="1:15" outlineLevel="1">
      <c r="A312" s="487"/>
      <c r="B312" s="495" t="s">
        <v>51</v>
      </c>
      <c r="C312" s="488" t="s">
        <v>943</v>
      </c>
      <c r="D312" s="488"/>
      <c r="F312" s="489"/>
      <c r="G312" s="357"/>
      <c r="H312" s="357"/>
      <c r="I312" s="357"/>
      <c r="J312" s="357"/>
      <c r="K312" s="357"/>
      <c r="L312" s="357"/>
      <c r="O312" s="489"/>
    </row>
    <row r="313" spans="1:15" outlineLevel="1">
      <c r="A313" s="487"/>
      <c r="B313" s="495" t="s">
        <v>52</v>
      </c>
      <c r="C313" s="497" t="s">
        <v>751</v>
      </c>
      <c r="D313" s="488"/>
      <c r="F313" s="489"/>
      <c r="G313" s="357"/>
      <c r="H313" s="357"/>
      <c r="I313" s="357"/>
      <c r="J313" s="357"/>
      <c r="K313" s="357"/>
      <c r="L313" s="357"/>
      <c r="O313" s="489"/>
    </row>
    <row r="314" spans="1:15" outlineLevel="1">
      <c r="A314" s="487"/>
      <c r="B314" s="495" t="s">
        <v>55</v>
      </c>
      <c r="C314" s="488" t="s">
        <v>767</v>
      </c>
      <c r="D314" s="488"/>
      <c r="F314" s="489"/>
      <c r="G314" s="357"/>
      <c r="H314" s="357"/>
      <c r="I314" s="357"/>
      <c r="J314" s="357"/>
      <c r="K314" s="357"/>
      <c r="L314" s="357"/>
      <c r="O314" s="489"/>
    </row>
    <row r="315" spans="1:15" outlineLevel="1">
      <c r="A315" s="495"/>
      <c r="B315" s="495" t="s">
        <v>49</v>
      </c>
      <c r="C315" s="488" t="s">
        <v>752</v>
      </c>
      <c r="D315" s="488"/>
      <c r="F315" s="489"/>
      <c r="G315" s="357"/>
      <c r="H315" s="357"/>
      <c r="I315" s="357"/>
      <c r="J315" s="357"/>
      <c r="K315" s="357"/>
      <c r="L315" s="357"/>
      <c r="M315" s="569"/>
      <c r="N315" s="488"/>
      <c r="O315" s="489"/>
    </row>
    <row r="316" spans="1:15" outlineLevel="1">
      <c r="A316" s="495"/>
      <c r="F316" s="489"/>
      <c r="G316" s="357"/>
      <c r="H316" s="357"/>
      <c r="I316" s="357"/>
      <c r="J316" s="357"/>
      <c r="K316" s="357"/>
      <c r="L316" s="357"/>
      <c r="M316" s="570"/>
      <c r="N316" s="488"/>
      <c r="O316" s="489"/>
    </row>
    <row r="317" spans="1:15" outlineLevel="1">
      <c r="A317" s="495"/>
      <c r="B317" s="488"/>
      <c r="D317" s="489"/>
      <c r="E317" s="489"/>
      <c r="F317" s="489"/>
      <c r="G317" s="357"/>
      <c r="H317" s="357"/>
      <c r="I317" s="357"/>
      <c r="J317" s="357"/>
      <c r="K317" s="357"/>
      <c r="L317" s="357"/>
      <c r="M317" s="571"/>
      <c r="N317" s="488"/>
      <c r="O317" s="489"/>
    </row>
    <row r="318" spans="1:15" outlineLevel="1">
      <c r="A318" s="495"/>
      <c r="B318" s="497"/>
      <c r="D318" s="489"/>
      <c r="E318" s="489"/>
      <c r="F318" s="489"/>
      <c r="G318" s="357"/>
      <c r="H318" s="357"/>
      <c r="I318" s="357"/>
      <c r="J318" s="357"/>
      <c r="K318" s="357"/>
      <c r="L318" s="357"/>
      <c r="M318" s="572"/>
      <c r="N318" s="488"/>
      <c r="O318" s="489"/>
    </row>
    <row r="319" spans="1:15" outlineLevel="1">
      <c r="A319" s="495"/>
      <c r="B319" s="488"/>
      <c r="D319" s="489"/>
      <c r="E319" s="489"/>
      <c r="F319" s="489"/>
      <c r="G319" s="357"/>
      <c r="H319" s="357"/>
      <c r="I319" s="357"/>
      <c r="J319" s="357"/>
      <c r="K319" s="357"/>
      <c r="L319" s="357"/>
      <c r="M319" s="572"/>
      <c r="N319" s="489"/>
      <c r="O319" s="489"/>
    </row>
    <row r="320" spans="1:15" outlineLevel="1">
      <c r="A320" s="495"/>
      <c r="B320" s="488"/>
      <c r="D320" s="489"/>
      <c r="E320" s="489"/>
      <c r="F320" s="489"/>
      <c r="G320" s="357"/>
      <c r="H320" s="357"/>
      <c r="I320" s="357"/>
      <c r="J320" s="357"/>
      <c r="K320" s="357"/>
      <c r="L320" s="357"/>
      <c r="M320" s="488"/>
      <c r="N320" s="489"/>
      <c r="O320" s="489"/>
    </row>
    <row r="321" spans="1:44" outlineLevel="1"/>
    <row r="324" spans="1:44" ht="15" thickBot="1">
      <c r="A324" s="359"/>
    </row>
    <row r="325" spans="1:44" ht="20.55" customHeight="1" thickBot="1">
      <c r="B325" s="361"/>
      <c r="C325" s="1183"/>
      <c r="D325" s="1184"/>
      <c r="E325" s="1184"/>
      <c r="F325" s="1184"/>
      <c r="G325" s="1184"/>
      <c r="H325" s="1184"/>
      <c r="I325" s="1184"/>
      <c r="J325" s="1184"/>
      <c r="K325" s="1184"/>
      <c r="L325" s="1185"/>
      <c r="M325" s="362"/>
      <c r="N325" s="362"/>
      <c r="P325" s="363"/>
      <c r="Q325" s="364"/>
      <c r="R325" s="365"/>
      <c r="S325" s="1173"/>
      <c r="T325" s="1157"/>
      <c r="U325" s="1158"/>
      <c r="V325" s="1157"/>
      <c r="W325" s="1158"/>
      <c r="X325" s="1157"/>
      <c r="Y325" s="1158"/>
      <c r="Z325" s="1157"/>
      <c r="AA325" s="1158"/>
      <c r="AB325" s="1157"/>
      <c r="AC325" s="1158"/>
      <c r="AE325" s="363"/>
      <c r="AF325" s="364"/>
      <c r="AG325" s="365"/>
      <c r="AH325" s="1173"/>
      <c r="AI325" s="1157"/>
      <c r="AJ325" s="1158"/>
      <c r="AK325" s="1157"/>
      <c r="AL325" s="1158"/>
      <c r="AM325" s="1157"/>
      <c r="AN325" s="1158"/>
      <c r="AO325" s="1157"/>
      <c r="AP325" s="1158"/>
      <c r="AQ325" s="1157"/>
      <c r="AR325" s="1158"/>
    </row>
    <row r="326" spans="1:44" ht="15" customHeight="1" thickBot="1">
      <c r="B326" s="1161"/>
      <c r="C326" s="1163"/>
      <c r="D326" s="1163"/>
      <c r="E326" s="1163"/>
      <c r="F326" s="1163"/>
      <c r="G326" s="1165"/>
      <c r="H326" s="1166"/>
      <c r="I326" s="1165"/>
      <c r="J326" s="1166"/>
      <c r="K326" s="1186"/>
      <c r="L326" s="1186"/>
      <c r="M326" s="366"/>
      <c r="N326" s="366"/>
      <c r="P326" s="1177"/>
      <c r="Q326" s="367"/>
      <c r="R326" s="367"/>
      <c r="S326" s="1174"/>
      <c r="T326" s="1159"/>
      <c r="U326" s="1160"/>
      <c r="V326" s="1159"/>
      <c r="W326" s="1160"/>
      <c r="X326" s="1159"/>
      <c r="Y326" s="1160"/>
      <c r="Z326" s="1159"/>
      <c r="AA326" s="1160"/>
      <c r="AB326" s="1159"/>
      <c r="AC326" s="1160"/>
      <c r="AE326" s="1177"/>
      <c r="AF326" s="367"/>
      <c r="AG326" s="367"/>
      <c r="AH326" s="1174"/>
      <c r="AI326" s="1159"/>
      <c r="AJ326" s="1160"/>
      <c r="AK326" s="1159"/>
      <c r="AL326" s="1160"/>
      <c r="AM326" s="1159"/>
      <c r="AN326" s="1160"/>
      <c r="AO326" s="1159"/>
      <c r="AP326" s="1160"/>
      <c r="AQ326" s="1159"/>
      <c r="AR326" s="1160"/>
    </row>
    <row r="327" spans="1:44" ht="15" customHeight="1" thickBot="1">
      <c r="B327" s="1162"/>
      <c r="C327" s="1164"/>
      <c r="D327" s="1164"/>
      <c r="E327" s="1164"/>
      <c r="F327" s="1164"/>
      <c r="G327" s="405"/>
      <c r="H327" s="405"/>
      <c r="I327" s="405"/>
      <c r="J327" s="405"/>
      <c r="K327" s="1187"/>
      <c r="L327" s="1187"/>
      <c r="M327" s="369"/>
      <c r="N327" s="369"/>
      <c r="P327" s="1178"/>
      <c r="Q327" s="1180"/>
      <c r="R327" s="1181"/>
      <c r="S327" s="1175"/>
      <c r="T327" s="1159"/>
      <c r="U327" s="1160"/>
      <c r="V327" s="1159"/>
      <c r="W327" s="1160"/>
      <c r="X327" s="1159"/>
      <c r="Y327" s="1160"/>
      <c r="Z327" s="1159"/>
      <c r="AA327" s="1160"/>
      <c r="AB327" s="1159"/>
      <c r="AC327" s="1160"/>
      <c r="AE327" s="1178"/>
      <c r="AF327" s="1180"/>
      <c r="AG327" s="1181"/>
      <c r="AH327" s="1175"/>
      <c r="AI327" s="1159"/>
      <c r="AJ327" s="1160"/>
      <c r="AK327" s="1159"/>
      <c r="AL327" s="1160"/>
      <c r="AM327" s="1159"/>
      <c r="AN327" s="1160"/>
      <c r="AO327" s="1159"/>
      <c r="AP327" s="1160"/>
      <c r="AQ327" s="1159"/>
      <c r="AR327" s="1160"/>
    </row>
    <row r="328" spans="1:44" ht="15" thickBot="1">
      <c r="B328" s="370"/>
      <c r="C328" s="371"/>
      <c r="D328" s="371"/>
      <c r="E328" s="371"/>
      <c r="F328" s="371"/>
      <c r="G328" s="371"/>
      <c r="H328" s="371"/>
      <c r="I328" s="371"/>
      <c r="J328" s="371"/>
      <c r="K328" s="371"/>
      <c r="L328" s="372"/>
      <c r="M328" s="369"/>
      <c r="N328" s="369"/>
      <c r="O328" s="74"/>
      <c r="P328" s="1179"/>
      <c r="Q328" s="1176"/>
      <c r="R328" s="1182"/>
      <c r="S328" s="1176"/>
      <c r="T328" s="373"/>
      <c r="U328" s="374"/>
      <c r="V328" s="373"/>
      <c r="W328" s="374"/>
      <c r="X328" s="373"/>
      <c r="Y328" s="374"/>
      <c r="Z328" s="373"/>
      <c r="AA328" s="374"/>
      <c r="AB328" s="373"/>
      <c r="AC328" s="374"/>
      <c r="AE328" s="1179"/>
      <c r="AF328" s="1176"/>
      <c r="AG328" s="1182"/>
      <c r="AH328" s="1176"/>
      <c r="AI328" s="373"/>
      <c r="AJ328" s="374"/>
      <c r="AK328" s="373"/>
      <c r="AL328" s="374"/>
      <c r="AM328" s="373"/>
      <c r="AN328" s="374"/>
      <c r="AO328" s="373"/>
      <c r="AP328" s="374"/>
      <c r="AQ328" s="373"/>
      <c r="AR328" s="374"/>
    </row>
    <row r="329" spans="1:44" ht="14.55" customHeight="1">
      <c r="B329" s="573"/>
      <c r="C329" s="574"/>
      <c r="D329" s="574"/>
      <c r="E329" s="574"/>
      <c r="F329" s="574"/>
      <c r="G329" s="575"/>
      <c r="H329" s="575"/>
      <c r="I329" s="575"/>
      <c r="J329" s="575"/>
      <c r="K329" s="371"/>
      <c r="L329" s="372"/>
      <c r="M329" s="369"/>
      <c r="N329" s="369"/>
      <c r="P329" s="1145"/>
      <c r="Q329" s="1151"/>
      <c r="R329" s="380"/>
      <c r="S329" s="381"/>
      <c r="T329" s="1134"/>
      <c r="U329" s="1148"/>
      <c r="V329" s="1134"/>
      <c r="W329" s="1148"/>
      <c r="X329" s="1134"/>
      <c r="Y329" s="1148"/>
      <c r="Z329" s="1134"/>
      <c r="AA329" s="1148"/>
      <c r="AB329" s="1154"/>
      <c r="AC329" s="1148"/>
      <c r="AE329" s="1145"/>
      <c r="AF329" s="1151"/>
      <c r="AG329" s="380"/>
      <c r="AH329" s="381"/>
      <c r="AI329" s="1134"/>
      <c r="AJ329" s="1148"/>
      <c r="AK329" s="1134"/>
      <c r="AL329" s="1148"/>
      <c r="AM329" s="1134"/>
      <c r="AN329" s="1148"/>
      <c r="AO329" s="1134"/>
      <c r="AP329" s="1148"/>
      <c r="AQ329" s="1154"/>
      <c r="AR329" s="1148"/>
    </row>
    <row r="330" spans="1:44">
      <c r="B330" s="382"/>
      <c r="C330" s="576"/>
      <c r="D330" s="576"/>
      <c r="E330" s="576"/>
      <c r="F330" s="576"/>
      <c r="G330" s="575"/>
      <c r="H330" s="575"/>
      <c r="I330" s="575"/>
      <c r="J330" s="575"/>
      <c r="K330" s="371"/>
      <c r="L330" s="372"/>
      <c r="M330" s="369"/>
      <c r="N330" s="369"/>
      <c r="O330" s="71"/>
      <c r="P330" s="1146"/>
      <c r="Q330" s="1152"/>
      <c r="R330" s="387"/>
      <c r="S330" s="388"/>
      <c r="T330" s="1137"/>
      <c r="U330" s="1149"/>
      <c r="V330" s="1137"/>
      <c r="W330" s="1149"/>
      <c r="X330" s="1137"/>
      <c r="Y330" s="1149"/>
      <c r="Z330" s="1137"/>
      <c r="AA330" s="1149"/>
      <c r="AB330" s="1155"/>
      <c r="AC330" s="1149"/>
      <c r="AE330" s="1146"/>
      <c r="AF330" s="1152"/>
      <c r="AG330" s="387"/>
      <c r="AH330" s="388"/>
      <c r="AI330" s="1137"/>
      <c r="AJ330" s="1149"/>
      <c r="AK330" s="1137"/>
      <c r="AL330" s="1149"/>
      <c r="AM330" s="1137"/>
      <c r="AN330" s="1149"/>
      <c r="AO330" s="1137"/>
      <c r="AP330" s="1149"/>
      <c r="AQ330" s="1155"/>
      <c r="AR330" s="1149"/>
    </row>
    <row r="331" spans="1:44" ht="15" thickBot="1">
      <c r="B331" s="573"/>
      <c r="C331" s="577"/>
      <c r="D331" s="577"/>
      <c r="E331" s="577"/>
      <c r="F331" s="577"/>
      <c r="G331" s="577"/>
      <c r="H331" s="577"/>
      <c r="I331" s="577"/>
      <c r="J331" s="577"/>
      <c r="K331" s="578"/>
      <c r="L331" s="579"/>
      <c r="M331" s="369"/>
      <c r="N331" s="369"/>
      <c r="O331" s="71"/>
      <c r="P331" s="1146"/>
      <c r="Q331" s="1153"/>
      <c r="R331" s="392"/>
      <c r="S331" s="393"/>
      <c r="T331" s="1138"/>
      <c r="U331" s="1150"/>
      <c r="V331" s="1138"/>
      <c r="W331" s="1150"/>
      <c r="X331" s="1138"/>
      <c r="Y331" s="1150"/>
      <c r="Z331" s="1138"/>
      <c r="AA331" s="1150"/>
      <c r="AB331" s="1156"/>
      <c r="AC331" s="1150"/>
      <c r="AE331" s="1146"/>
      <c r="AF331" s="1153"/>
      <c r="AG331" s="392"/>
      <c r="AH331" s="393"/>
      <c r="AI331" s="1138"/>
      <c r="AJ331" s="1150"/>
      <c r="AK331" s="1138"/>
      <c r="AL331" s="1150"/>
      <c r="AM331" s="1138"/>
      <c r="AN331" s="1150"/>
      <c r="AO331" s="1138"/>
      <c r="AP331" s="1150"/>
      <c r="AQ331" s="1156"/>
      <c r="AR331" s="1150"/>
    </row>
    <row r="332" spans="1:44" ht="14.55" customHeight="1">
      <c r="B332" s="573"/>
      <c r="C332" s="580"/>
      <c r="D332" s="580"/>
      <c r="E332" s="580"/>
      <c r="F332" s="580"/>
      <c r="G332" s="580"/>
      <c r="H332" s="580"/>
      <c r="I332" s="580"/>
      <c r="J332" s="580"/>
      <c r="K332" s="578"/>
      <c r="L332" s="579"/>
      <c r="M332" s="369"/>
      <c r="N332" s="369"/>
      <c r="O332" s="71"/>
      <c r="P332" s="1146"/>
      <c r="Q332" s="1142"/>
      <c r="R332" s="394"/>
      <c r="S332" s="395"/>
      <c r="T332" s="1134"/>
      <c r="U332" s="1134"/>
      <c r="V332" s="1134"/>
      <c r="W332" s="1134"/>
      <c r="X332" s="1134"/>
      <c r="Y332" s="1134"/>
      <c r="Z332" s="1134"/>
      <c r="AA332" s="1134"/>
      <c r="AB332" s="1134"/>
      <c r="AC332" s="1134"/>
      <c r="AE332" s="1146"/>
      <c r="AF332" s="1142"/>
      <c r="AG332" s="394"/>
      <c r="AH332" s="395"/>
      <c r="AI332" s="1134"/>
      <c r="AJ332" s="1134"/>
      <c r="AK332" s="1134"/>
      <c r="AL332" s="1134"/>
      <c r="AM332" s="1134"/>
      <c r="AN332" s="1134"/>
      <c r="AO332" s="1134"/>
      <c r="AP332" s="1134"/>
      <c r="AQ332" s="1134"/>
      <c r="AR332" s="1134"/>
    </row>
    <row r="333" spans="1:44">
      <c r="B333" s="573"/>
      <c r="C333" s="581"/>
      <c r="D333" s="581"/>
      <c r="E333" s="581"/>
      <c r="F333" s="581"/>
      <c r="G333" s="581"/>
      <c r="H333" s="581"/>
      <c r="I333" s="581"/>
      <c r="J333" s="581"/>
      <c r="K333" s="578"/>
      <c r="L333" s="579"/>
      <c r="M333" s="366"/>
      <c r="N333" s="366"/>
      <c r="O333" s="71"/>
      <c r="P333" s="1146"/>
      <c r="Q333" s="1143"/>
      <c r="R333" s="394"/>
      <c r="S333" s="395"/>
      <c r="T333" s="1135"/>
      <c r="U333" s="1135"/>
      <c r="V333" s="1135"/>
      <c r="W333" s="1135"/>
      <c r="X333" s="1135"/>
      <c r="Y333" s="1135"/>
      <c r="Z333" s="1135"/>
      <c r="AA333" s="1135"/>
      <c r="AB333" s="1137"/>
      <c r="AC333" s="1135"/>
      <c r="AE333" s="1146"/>
      <c r="AF333" s="1143"/>
      <c r="AG333" s="394"/>
      <c r="AH333" s="395"/>
      <c r="AI333" s="1135"/>
      <c r="AJ333" s="1135"/>
      <c r="AK333" s="1135"/>
      <c r="AL333" s="1135"/>
      <c r="AM333" s="1135"/>
      <c r="AN333" s="1135"/>
      <c r="AO333" s="1135"/>
      <c r="AP333" s="1135"/>
      <c r="AQ333" s="1137"/>
      <c r="AR333" s="1135"/>
    </row>
    <row r="334" spans="1:44">
      <c r="B334" s="382"/>
      <c r="C334" s="396"/>
      <c r="D334" s="396"/>
      <c r="E334" s="396"/>
      <c r="F334" s="396"/>
      <c r="G334" s="397"/>
      <c r="H334" s="397"/>
      <c r="I334" s="397"/>
      <c r="J334" s="397"/>
      <c r="K334" s="371"/>
      <c r="L334" s="372"/>
      <c r="M334" s="362"/>
      <c r="N334" s="362"/>
      <c r="P334" s="1146"/>
      <c r="Q334" s="1143"/>
      <c r="R334" s="394"/>
      <c r="S334" s="395"/>
      <c r="T334" s="1135"/>
      <c r="U334" s="1135"/>
      <c r="V334" s="1135"/>
      <c r="W334" s="1135"/>
      <c r="X334" s="1135"/>
      <c r="Y334" s="1135"/>
      <c r="Z334" s="1135"/>
      <c r="AA334" s="1135"/>
      <c r="AB334" s="1137"/>
      <c r="AC334" s="1135"/>
      <c r="AE334" s="1146"/>
      <c r="AF334" s="1143"/>
      <c r="AG334" s="394"/>
      <c r="AH334" s="395"/>
      <c r="AI334" s="1135"/>
      <c r="AJ334" s="1135"/>
      <c r="AK334" s="1135"/>
      <c r="AL334" s="1135"/>
      <c r="AM334" s="1135"/>
      <c r="AN334" s="1135"/>
      <c r="AO334" s="1135"/>
      <c r="AP334" s="1135"/>
      <c r="AQ334" s="1137"/>
      <c r="AR334" s="1135"/>
    </row>
    <row r="335" spans="1:44" ht="15" thickBot="1">
      <c r="B335" s="573"/>
      <c r="C335" s="581"/>
      <c r="D335" s="581"/>
      <c r="E335" s="581"/>
      <c r="F335" s="581"/>
      <c r="G335" s="581"/>
      <c r="H335" s="581"/>
      <c r="I335" s="581"/>
      <c r="J335" s="581"/>
      <c r="K335" s="371"/>
      <c r="L335" s="372"/>
      <c r="M335" s="362"/>
      <c r="N335" s="362"/>
      <c r="P335" s="1146"/>
      <c r="Q335" s="1143"/>
      <c r="R335" s="394"/>
      <c r="S335" s="395"/>
      <c r="T335" s="1135"/>
      <c r="U335" s="1135"/>
      <c r="V335" s="1135"/>
      <c r="W335" s="1135"/>
      <c r="X335" s="1135"/>
      <c r="Y335" s="1135"/>
      <c r="Z335" s="1135"/>
      <c r="AA335" s="1135"/>
      <c r="AB335" s="1137"/>
      <c r="AC335" s="1135"/>
      <c r="AE335" s="1146"/>
      <c r="AF335" s="1143"/>
      <c r="AG335" s="394"/>
      <c r="AH335" s="395"/>
      <c r="AI335" s="1135"/>
      <c r="AJ335" s="1135"/>
      <c r="AK335" s="1135"/>
      <c r="AL335" s="1135"/>
      <c r="AM335" s="1135"/>
      <c r="AN335" s="1135"/>
      <c r="AO335" s="1135"/>
      <c r="AP335" s="1135"/>
      <c r="AQ335" s="1137"/>
      <c r="AR335" s="1135"/>
    </row>
    <row r="336" spans="1:44" ht="15" thickBot="1">
      <c r="B336" s="400"/>
      <c r="C336" s="582"/>
      <c r="D336" s="583"/>
      <c r="E336" s="584"/>
      <c r="F336" s="585"/>
      <c r="G336" s="405"/>
      <c r="H336" s="405"/>
      <c r="I336" s="405"/>
      <c r="J336" s="405"/>
      <c r="K336" s="406"/>
      <c r="L336" s="586"/>
      <c r="M336" s="362"/>
      <c r="N336" s="362"/>
      <c r="P336" s="1146"/>
      <c r="Q336" s="1144"/>
      <c r="R336" s="408"/>
      <c r="S336" s="409"/>
      <c r="T336" s="1136"/>
      <c r="U336" s="1136"/>
      <c r="V336" s="1136"/>
      <c r="W336" s="1136"/>
      <c r="X336" s="1136"/>
      <c r="Y336" s="1136"/>
      <c r="Z336" s="1136"/>
      <c r="AA336" s="1136"/>
      <c r="AB336" s="1138"/>
      <c r="AC336" s="1136"/>
      <c r="AE336" s="1146"/>
      <c r="AF336" s="1144"/>
      <c r="AG336" s="408"/>
      <c r="AH336" s="409"/>
      <c r="AI336" s="1136"/>
      <c r="AJ336" s="1136"/>
      <c r="AK336" s="1136"/>
      <c r="AL336" s="1136"/>
      <c r="AM336" s="1136"/>
      <c r="AN336" s="1136"/>
      <c r="AO336" s="1136"/>
      <c r="AP336" s="1136"/>
      <c r="AQ336" s="1138"/>
      <c r="AR336" s="1136"/>
    </row>
    <row r="337" spans="1:44" ht="15" thickBot="1">
      <c r="B337" s="573"/>
      <c r="C337" s="587"/>
      <c r="D337" s="587"/>
      <c r="E337" s="587"/>
      <c r="F337" s="587"/>
      <c r="G337" s="588"/>
      <c r="H337" s="588"/>
      <c r="I337" s="589"/>
      <c r="J337" s="589"/>
      <c r="K337" s="578"/>
      <c r="L337" s="579"/>
      <c r="M337" s="362"/>
      <c r="N337" s="362"/>
      <c r="P337" s="1147"/>
      <c r="Q337" s="410"/>
      <c r="R337" s="411"/>
      <c r="S337" s="412"/>
      <c r="T337" s="590"/>
      <c r="U337" s="591"/>
      <c r="V337" s="592"/>
      <c r="W337" s="591"/>
      <c r="X337" s="592"/>
      <c r="Y337" s="591"/>
      <c r="Z337" s="592"/>
      <c r="AA337" s="591"/>
      <c r="AB337" s="592"/>
      <c r="AC337" s="593"/>
      <c r="AE337" s="1147"/>
      <c r="AF337" s="410"/>
      <c r="AG337" s="411"/>
      <c r="AH337" s="412"/>
      <c r="AI337" s="590"/>
      <c r="AJ337" s="591"/>
      <c r="AK337" s="592"/>
      <c r="AL337" s="591"/>
      <c r="AM337" s="592"/>
      <c r="AN337" s="591"/>
      <c r="AO337" s="592"/>
      <c r="AP337" s="591"/>
      <c r="AQ337" s="592"/>
      <c r="AR337" s="593"/>
    </row>
    <row r="338" spans="1:44">
      <c r="B338" s="573"/>
      <c r="C338" s="581"/>
      <c r="D338" s="581"/>
      <c r="E338" s="581"/>
      <c r="F338" s="581"/>
      <c r="G338" s="594"/>
      <c r="H338" s="594"/>
      <c r="I338" s="594"/>
      <c r="J338" s="594"/>
      <c r="K338" s="595"/>
      <c r="L338" s="579"/>
      <c r="M338" s="362"/>
      <c r="N338" s="362"/>
    </row>
    <row r="339" spans="1:44">
      <c r="B339" s="573"/>
      <c r="C339" s="581"/>
      <c r="D339" s="581"/>
      <c r="E339" s="581"/>
      <c r="F339" s="581"/>
      <c r="G339" s="594"/>
      <c r="H339" s="594"/>
      <c r="I339" s="594"/>
      <c r="J339" s="594"/>
      <c r="K339" s="595"/>
      <c r="L339" s="579"/>
      <c r="M339" s="419"/>
      <c r="N339" s="362"/>
    </row>
    <row r="340" spans="1:44">
      <c r="B340" s="420"/>
      <c r="C340" s="398"/>
      <c r="D340" s="398"/>
      <c r="E340" s="398"/>
      <c r="F340" s="398"/>
      <c r="G340" s="421"/>
      <c r="H340" s="421"/>
      <c r="I340" s="421"/>
      <c r="J340" s="421"/>
      <c r="K340" s="422"/>
      <c r="L340" s="596"/>
      <c r="M340" s="419"/>
      <c r="N340" s="419"/>
    </row>
    <row r="341" spans="1:44">
      <c r="B341" s="382"/>
      <c r="C341" s="396"/>
      <c r="D341" s="396"/>
      <c r="E341" s="396"/>
      <c r="F341" s="396"/>
      <c r="G341" s="421"/>
      <c r="H341" s="424"/>
      <c r="I341" s="424"/>
      <c r="J341" s="424"/>
      <c r="K341" s="425"/>
      <c r="L341" s="426"/>
      <c r="M341" s="427"/>
      <c r="N341" s="427"/>
    </row>
    <row r="342" spans="1:44">
      <c r="B342" s="382"/>
      <c r="C342" s="396"/>
      <c r="D342" s="396"/>
      <c r="E342" s="396"/>
      <c r="F342" s="396"/>
      <c r="G342" s="424"/>
      <c r="H342" s="424"/>
      <c r="I342" s="424"/>
      <c r="J342" s="424"/>
      <c r="K342" s="422"/>
      <c r="L342" s="426"/>
      <c r="M342" s="427"/>
      <c r="N342" s="427"/>
    </row>
    <row r="343" spans="1:44">
      <c r="B343" s="382"/>
      <c r="C343" s="396"/>
      <c r="D343" s="396"/>
      <c r="E343" s="396"/>
      <c r="F343" s="396"/>
      <c r="G343" s="424"/>
      <c r="H343" s="424"/>
      <c r="I343" s="424"/>
      <c r="J343" s="424"/>
      <c r="K343" s="422"/>
      <c r="L343" s="426"/>
      <c r="M343" s="427"/>
      <c r="N343" s="427"/>
    </row>
    <row r="344" spans="1:44">
      <c r="B344" s="382"/>
      <c r="C344" s="396"/>
      <c r="D344" s="396"/>
      <c r="E344" s="396"/>
      <c r="F344" s="396"/>
      <c r="G344" s="424"/>
      <c r="H344" s="424"/>
      <c r="I344" s="424"/>
      <c r="J344" s="424"/>
      <c r="K344" s="422"/>
      <c r="L344" s="426"/>
      <c r="M344" s="427"/>
      <c r="N344" s="427"/>
    </row>
    <row r="345" spans="1:44" ht="15" thickBot="1">
      <c r="B345" s="428"/>
      <c r="C345" s="396"/>
      <c r="D345" s="396"/>
      <c r="E345" s="396"/>
      <c r="F345" s="396"/>
      <c r="G345" s="424"/>
      <c r="H345" s="424"/>
      <c r="I345" s="424"/>
      <c r="J345" s="424"/>
      <c r="K345" s="422"/>
      <c r="L345" s="426"/>
      <c r="M345" s="427"/>
      <c r="N345" s="427"/>
    </row>
    <row r="346" spans="1:44" ht="15" thickBot="1">
      <c r="B346" s="430"/>
      <c r="C346" s="597"/>
      <c r="D346" s="583"/>
      <c r="E346" s="583"/>
      <c r="F346" s="598"/>
      <c r="G346" s="433"/>
      <c r="H346" s="405"/>
      <c r="I346" s="405"/>
      <c r="J346" s="405"/>
      <c r="K346" s="406"/>
      <c r="L346" s="586"/>
      <c r="M346" s="427"/>
      <c r="N346" s="427"/>
    </row>
    <row r="347" spans="1:44">
      <c r="A347" s="434"/>
      <c r="B347" s="435"/>
      <c r="C347" s="599"/>
      <c r="D347" s="599"/>
      <c r="E347" s="599"/>
      <c r="F347" s="599"/>
      <c r="G347" s="424"/>
      <c r="H347" s="424"/>
      <c r="I347" s="424"/>
      <c r="J347" s="424"/>
      <c r="K347" s="425"/>
      <c r="L347" s="439"/>
      <c r="M347" s="419"/>
      <c r="N347" s="419"/>
    </row>
    <row r="348" spans="1:44">
      <c r="B348" s="440"/>
      <c r="C348" s="600"/>
      <c r="D348" s="600"/>
      <c r="E348" s="600"/>
      <c r="F348" s="600"/>
      <c r="G348" s="424"/>
      <c r="H348" s="424"/>
      <c r="I348" s="424"/>
      <c r="J348" s="424"/>
      <c r="K348" s="443"/>
      <c r="L348" s="372"/>
      <c r="M348" s="71"/>
      <c r="N348" s="419"/>
    </row>
    <row r="349" spans="1:44">
      <c r="B349" s="440"/>
      <c r="C349" s="600"/>
      <c r="D349" s="600"/>
      <c r="E349" s="600"/>
      <c r="F349" s="600"/>
      <c r="G349" s="424"/>
      <c r="H349" s="424"/>
      <c r="I349" s="424"/>
      <c r="J349" s="424"/>
      <c r="K349" s="443"/>
      <c r="L349" s="372"/>
      <c r="M349" s="419"/>
      <c r="N349" s="419"/>
    </row>
    <row r="350" spans="1:44">
      <c r="B350" s="382"/>
      <c r="C350" s="601"/>
      <c r="D350" s="602"/>
      <c r="E350" s="602"/>
      <c r="F350" s="603"/>
      <c r="G350" s="424"/>
      <c r="H350" s="424"/>
      <c r="I350" s="424"/>
      <c r="J350" s="424"/>
      <c r="K350" s="443"/>
      <c r="L350" s="372"/>
      <c r="M350" s="419"/>
      <c r="N350" s="419"/>
    </row>
    <row r="351" spans="1:44">
      <c r="B351" s="382"/>
      <c r="C351" s="604"/>
      <c r="D351" s="604"/>
      <c r="E351" s="604"/>
      <c r="F351" s="604"/>
      <c r="G351" s="424"/>
      <c r="H351" s="424"/>
      <c r="I351" s="424"/>
      <c r="J351" s="424"/>
      <c r="K351" s="443"/>
      <c r="L351" s="372"/>
      <c r="M351" s="449"/>
      <c r="N351" s="360"/>
      <c r="P351" s="1139"/>
      <c r="Q351" s="1140"/>
      <c r="R351" s="1140"/>
      <c r="S351" s="1140"/>
      <c r="T351" s="1140"/>
      <c r="U351" s="1141"/>
    </row>
    <row r="352" spans="1:44" ht="15" thickBot="1">
      <c r="B352" s="540"/>
      <c r="C352" s="551"/>
      <c r="D352" s="551"/>
      <c r="E352" s="551"/>
      <c r="F352" s="551"/>
      <c r="G352" s="552"/>
      <c r="H352" s="552"/>
      <c r="I352" s="552"/>
      <c r="J352" s="552"/>
      <c r="K352" s="546"/>
      <c r="L352" s="547"/>
      <c r="M352" s="449"/>
      <c r="N352" s="360"/>
      <c r="P352" s="1131"/>
      <c r="Q352" s="1132"/>
      <c r="R352" s="1132"/>
      <c r="S352" s="1132"/>
      <c r="T352" s="1132"/>
      <c r="U352" s="1133"/>
    </row>
    <row r="353" spans="2:30">
      <c r="B353" s="540"/>
      <c r="C353" s="605"/>
      <c r="D353" s="605"/>
      <c r="E353" s="605"/>
      <c r="F353" s="605"/>
      <c r="G353" s="552"/>
      <c r="H353" s="552"/>
      <c r="I353" s="552"/>
      <c r="J353" s="552"/>
      <c r="K353" s="546"/>
      <c r="L353" s="547"/>
      <c r="M353" s="362"/>
      <c r="N353" s="362"/>
      <c r="P353" s="53"/>
    </row>
    <row r="354" spans="2:30">
      <c r="B354" s="540"/>
      <c r="C354" s="606"/>
      <c r="D354" s="546"/>
      <c r="E354" s="546"/>
      <c r="F354" s="562"/>
      <c r="G354" s="549"/>
      <c r="H354" s="549"/>
      <c r="I354" s="549"/>
      <c r="J354" s="549"/>
      <c r="K354" s="546"/>
      <c r="L354" s="607"/>
      <c r="M354" s="366"/>
      <c r="N354" s="366"/>
      <c r="P354" s="46"/>
      <c r="Q354" s="46"/>
      <c r="R354" s="47"/>
      <c r="S354" s="47"/>
      <c r="T354" s="47"/>
      <c r="U354" s="48"/>
      <c r="V354" s="49"/>
      <c r="W354" s="49"/>
      <c r="X354" s="49"/>
      <c r="Y354" s="49"/>
      <c r="Z354" s="49"/>
      <c r="AA354" s="49"/>
      <c r="AB354" s="49"/>
      <c r="AC354" s="49"/>
      <c r="AD354" s="49"/>
    </row>
    <row r="355" spans="2:30" ht="15" thickBot="1">
      <c r="B355" s="565"/>
      <c r="C355" s="606"/>
      <c r="D355" s="608"/>
      <c r="E355" s="608"/>
      <c r="F355" s="609"/>
      <c r="G355" s="549"/>
      <c r="H355" s="549"/>
      <c r="I355" s="549"/>
      <c r="J355" s="549"/>
      <c r="K355" s="546"/>
      <c r="L355" s="607"/>
      <c r="M355" s="362"/>
      <c r="N355" s="362"/>
      <c r="O355" s="71"/>
      <c r="P355" s="50"/>
      <c r="Q355" s="50"/>
      <c r="R355" s="51"/>
      <c r="S355" s="51"/>
      <c r="T355" s="51"/>
      <c r="U355" s="51"/>
      <c r="V355" s="50"/>
      <c r="W355" s="50"/>
      <c r="X355" s="50"/>
      <c r="Y355" s="50"/>
      <c r="Z355" s="50"/>
      <c r="AA355" s="50"/>
      <c r="AB355" s="50"/>
      <c r="AC355" s="50"/>
      <c r="AD355" s="50"/>
    </row>
    <row r="356" spans="2:30" ht="15" thickBot="1">
      <c r="B356" s="610"/>
      <c r="C356" s="611"/>
      <c r="D356" s="612"/>
      <c r="E356" s="613"/>
      <c r="F356" s="614"/>
      <c r="G356" s="539"/>
      <c r="H356" s="539"/>
      <c r="I356" s="539"/>
      <c r="J356" s="539"/>
      <c r="K356" s="615"/>
      <c r="L356" s="616"/>
      <c r="M356" s="362"/>
      <c r="N356" s="362"/>
      <c r="O356" s="460"/>
      <c r="P356" s="56"/>
      <c r="Q356" s="56"/>
      <c r="R356" s="57"/>
      <c r="S356" s="57"/>
      <c r="T356" s="57"/>
      <c r="U356" s="56"/>
      <c r="V356" s="56"/>
      <c r="W356" s="56"/>
      <c r="X356" s="56"/>
      <c r="Y356" s="56"/>
      <c r="Z356" s="56"/>
      <c r="AA356" s="56"/>
      <c r="AB356" s="56"/>
      <c r="AC356" s="56"/>
      <c r="AD356" s="56"/>
    </row>
    <row r="357" spans="2:30">
      <c r="B357" s="555"/>
      <c r="C357" s="617"/>
      <c r="D357" s="617"/>
      <c r="E357" s="617"/>
      <c r="F357" s="617"/>
      <c r="G357" s="617"/>
      <c r="H357" s="617"/>
      <c r="I357" s="617"/>
      <c r="J357" s="617"/>
      <c r="K357" s="617"/>
      <c r="L357" s="618"/>
      <c r="M357" s="362"/>
      <c r="N357" s="362"/>
      <c r="O357" s="619"/>
      <c r="P357" s="465"/>
      <c r="Q357" s="58"/>
      <c r="R357" s="465"/>
      <c r="S357" s="58"/>
      <c r="T357" s="465"/>
      <c r="U357" s="466"/>
      <c r="V357" s="466"/>
      <c r="W357" s="466"/>
      <c r="X357" s="58"/>
      <c r="Y357" s="58"/>
      <c r="Z357" s="465"/>
      <c r="AA357" s="467"/>
      <c r="AB357" s="467"/>
      <c r="AC357" s="467"/>
      <c r="AD357" s="467"/>
    </row>
    <row r="358" spans="2:30">
      <c r="B358" s="540"/>
      <c r="C358" s="557"/>
      <c r="D358" s="557"/>
      <c r="E358" s="557"/>
      <c r="F358" s="557"/>
      <c r="G358" s="562"/>
      <c r="H358" s="562"/>
      <c r="I358" s="562"/>
      <c r="J358" s="562"/>
      <c r="K358" s="562"/>
      <c r="L358" s="547"/>
      <c r="M358" s="362"/>
      <c r="N358" s="362"/>
      <c r="O358" s="619"/>
      <c r="P358" s="465"/>
      <c r="Q358" s="58"/>
      <c r="R358" s="465"/>
      <c r="S358" s="58"/>
      <c r="T358" s="465"/>
      <c r="U358" s="466"/>
      <c r="V358" s="466"/>
      <c r="W358" s="466"/>
      <c r="X358" s="58"/>
      <c r="Y358" s="58"/>
      <c r="Z358" s="465"/>
      <c r="AA358" s="467"/>
      <c r="AB358" s="467"/>
      <c r="AC358" s="467"/>
      <c r="AD358" s="467"/>
    </row>
    <row r="359" spans="2:30">
      <c r="B359" s="540"/>
      <c r="C359" s="557"/>
      <c r="D359" s="557"/>
      <c r="E359" s="557"/>
      <c r="F359" s="557"/>
      <c r="G359" s="562"/>
      <c r="H359" s="562"/>
      <c r="I359" s="562"/>
      <c r="J359" s="562"/>
      <c r="K359" s="562"/>
      <c r="L359" s="547"/>
      <c r="M359" s="362"/>
      <c r="N359" s="362"/>
      <c r="O359" s="619"/>
      <c r="P359" s="465"/>
      <c r="Q359" s="58"/>
      <c r="R359" s="465"/>
      <c r="S359" s="58"/>
      <c r="T359" s="465"/>
      <c r="U359" s="466"/>
      <c r="V359" s="466"/>
      <c r="W359" s="466"/>
      <c r="X359" s="58"/>
      <c r="Y359" s="58"/>
      <c r="Z359" s="465"/>
      <c r="AA359" s="467"/>
      <c r="AB359" s="467"/>
      <c r="AC359" s="467"/>
      <c r="AD359" s="467"/>
    </row>
    <row r="360" spans="2:30">
      <c r="B360" s="540"/>
      <c r="C360" s="563"/>
      <c r="D360" s="563"/>
      <c r="E360" s="563"/>
      <c r="F360" s="563"/>
      <c r="G360" s="620"/>
      <c r="H360" s="620"/>
      <c r="I360" s="620"/>
      <c r="J360" s="620"/>
      <c r="K360" s="620"/>
      <c r="L360" s="547"/>
      <c r="M360" s="362"/>
      <c r="N360" s="362"/>
      <c r="O360" s="619"/>
      <c r="P360" s="465"/>
      <c r="Q360" s="58"/>
      <c r="R360" s="465"/>
      <c r="S360" s="58"/>
      <c r="T360" s="465"/>
      <c r="U360" s="466"/>
      <c r="V360" s="466"/>
      <c r="W360" s="466"/>
      <c r="X360" s="58"/>
      <c r="Y360" s="58"/>
      <c r="Z360" s="465"/>
      <c r="AA360" s="467"/>
      <c r="AB360" s="467"/>
      <c r="AC360" s="467"/>
      <c r="AD360" s="467"/>
    </row>
    <row r="361" spans="2:30">
      <c r="B361" s="565"/>
      <c r="C361" s="557"/>
      <c r="D361" s="557"/>
      <c r="E361" s="557"/>
      <c r="F361" s="557"/>
      <c r="G361" s="562"/>
      <c r="H361" s="562"/>
      <c r="I361" s="562"/>
      <c r="J361" s="562"/>
      <c r="K361" s="562"/>
      <c r="L361" s="547"/>
      <c r="M361" s="366"/>
      <c r="N361" s="366"/>
    </row>
    <row r="362" spans="2:30">
      <c r="B362" s="565"/>
      <c r="C362" s="557"/>
      <c r="D362" s="557"/>
      <c r="E362" s="557"/>
      <c r="F362" s="557"/>
      <c r="G362" s="562"/>
      <c r="H362" s="562"/>
      <c r="I362" s="562"/>
      <c r="J362" s="562"/>
      <c r="K362" s="562"/>
      <c r="L362" s="547"/>
      <c r="M362" s="362"/>
      <c r="N362" s="362"/>
    </row>
    <row r="363" spans="2:30" ht="15" thickBot="1">
      <c r="B363" s="566"/>
      <c r="C363" s="621"/>
      <c r="D363" s="621"/>
      <c r="E363" s="621"/>
      <c r="F363" s="621"/>
      <c r="G363" s="622"/>
      <c r="H363" s="622"/>
      <c r="I363" s="622"/>
      <c r="J363" s="622"/>
      <c r="K363" s="622"/>
      <c r="L363" s="623"/>
      <c r="M363" s="362"/>
      <c r="N363" s="362"/>
    </row>
    <row r="364" spans="2:30">
      <c r="B364" s="460"/>
      <c r="C364" s="482"/>
      <c r="D364" s="482"/>
      <c r="E364" s="482"/>
      <c r="F364" s="482"/>
      <c r="G364" s="482"/>
      <c r="H364" s="483"/>
      <c r="I364" s="419"/>
      <c r="J364" s="419"/>
      <c r="K364" s="483"/>
      <c r="L364" s="483"/>
      <c r="N364" s="419"/>
    </row>
    <row r="365" spans="2:30">
      <c r="B365" s="484"/>
      <c r="C365" s="485"/>
      <c r="D365" s="485"/>
      <c r="E365" s="485"/>
      <c r="F365" s="485"/>
      <c r="G365" s="485"/>
      <c r="H365" s="483"/>
      <c r="I365" s="71"/>
      <c r="J365" s="419"/>
      <c r="K365" s="483"/>
      <c r="L365" s="483"/>
      <c r="N365" s="419"/>
    </row>
    <row r="366" spans="2:30">
      <c r="B366" s="460"/>
      <c r="C366" s="358"/>
      <c r="D366" s="358"/>
      <c r="E366" s="358"/>
      <c r="F366" s="358"/>
      <c r="G366" s="358"/>
      <c r="I366" s="419"/>
      <c r="J366" s="419"/>
      <c r="N366" s="419"/>
    </row>
    <row r="367" spans="2:30">
      <c r="B367" s="460"/>
      <c r="C367" s="486"/>
      <c r="D367" s="486"/>
      <c r="E367" s="486"/>
      <c r="F367" s="486"/>
      <c r="G367" s="358"/>
      <c r="M367" s="419"/>
      <c r="N367" s="419"/>
    </row>
    <row r="370" spans="1:11">
      <c r="A370" s="487"/>
      <c r="B370" s="488"/>
      <c r="D370" s="357"/>
      <c r="E370" s="357"/>
      <c r="F370" s="357"/>
      <c r="G370" s="357"/>
      <c r="H370" s="357"/>
      <c r="I370" s="357"/>
      <c r="J370" s="357"/>
      <c r="K370" s="357"/>
    </row>
    <row r="371" spans="1:11">
      <c r="A371" s="357"/>
      <c r="B371" s="489"/>
      <c r="E371" s="357"/>
      <c r="F371" s="357"/>
      <c r="G371" s="357"/>
      <c r="H371" s="357"/>
      <c r="I371" s="357"/>
      <c r="J371" s="357"/>
      <c r="K371" s="357"/>
    </row>
    <row r="372" spans="1:11">
      <c r="A372" s="357"/>
      <c r="B372" s="489"/>
      <c r="E372" s="357"/>
      <c r="F372" s="357"/>
      <c r="G372" s="357"/>
      <c r="H372" s="357"/>
      <c r="I372" s="357"/>
      <c r="J372" s="357"/>
      <c r="K372" s="357"/>
    </row>
    <row r="373" spans="1:11">
      <c r="A373" s="357"/>
      <c r="B373" s="489"/>
      <c r="E373" s="357"/>
      <c r="F373" s="357"/>
      <c r="G373" s="357"/>
      <c r="H373" s="357"/>
      <c r="I373" s="357"/>
      <c r="J373" s="357"/>
      <c r="K373" s="357"/>
    </row>
    <row r="374" spans="1:11">
      <c r="A374" s="357"/>
      <c r="B374" s="489"/>
      <c r="E374" s="357"/>
      <c r="F374" s="357"/>
      <c r="G374" s="357"/>
      <c r="H374" s="357"/>
      <c r="I374" s="357"/>
      <c r="J374" s="357"/>
      <c r="K374" s="357"/>
    </row>
    <row r="375" spans="1:11">
      <c r="A375" s="357"/>
      <c r="B375" s="489"/>
      <c r="E375" s="357"/>
      <c r="F375" s="357"/>
      <c r="G375" s="357"/>
      <c r="H375" s="357"/>
      <c r="I375" s="357"/>
      <c r="J375" s="357"/>
      <c r="K375" s="357"/>
    </row>
    <row r="376" spans="1:11">
      <c r="A376" s="357"/>
      <c r="B376" s="489"/>
      <c r="E376" s="357"/>
      <c r="F376" s="357"/>
      <c r="G376" s="357"/>
      <c r="H376" s="357"/>
      <c r="I376" s="357"/>
      <c r="J376" s="357"/>
      <c r="K376" s="357"/>
    </row>
    <row r="377" spans="1:11">
      <c r="A377" s="357"/>
      <c r="B377" s="489"/>
      <c r="E377" s="357"/>
      <c r="F377" s="357"/>
      <c r="G377" s="357"/>
      <c r="H377" s="357"/>
      <c r="I377" s="357"/>
      <c r="J377" s="357"/>
      <c r="K377" s="357"/>
    </row>
    <row r="378" spans="1:11">
      <c r="A378" s="357"/>
      <c r="B378" s="624"/>
      <c r="E378" s="357"/>
      <c r="F378" s="357"/>
      <c r="G378" s="357"/>
      <c r="H378" s="357"/>
      <c r="I378" s="357"/>
      <c r="J378" s="357"/>
      <c r="K378" s="357"/>
    </row>
    <row r="379" spans="1:11">
      <c r="A379" s="357"/>
      <c r="B379" s="489"/>
      <c r="E379" s="357"/>
      <c r="F379" s="357"/>
      <c r="G379" s="357"/>
      <c r="H379" s="357"/>
      <c r="I379" s="357"/>
      <c r="J379" s="357"/>
      <c r="K379" s="357"/>
    </row>
    <row r="380" spans="1:11">
      <c r="A380" s="487"/>
      <c r="B380" s="488"/>
      <c r="E380" s="357"/>
      <c r="F380" s="357"/>
      <c r="G380" s="357"/>
      <c r="H380" s="357"/>
      <c r="I380" s="357"/>
      <c r="J380" s="357"/>
      <c r="K380" s="357"/>
    </row>
    <row r="381" spans="1:11">
      <c r="A381" s="495"/>
      <c r="B381" s="489"/>
      <c r="C381" s="488"/>
      <c r="E381" s="357"/>
      <c r="F381" s="357"/>
      <c r="G381" s="357"/>
      <c r="H381" s="357"/>
      <c r="I381" s="357"/>
      <c r="J381" s="357"/>
      <c r="K381" s="357"/>
    </row>
    <row r="382" spans="1:11">
      <c r="A382" s="495"/>
      <c r="B382" s="489"/>
      <c r="C382" s="488"/>
      <c r="E382" s="357"/>
      <c r="F382" s="357"/>
      <c r="G382" s="357"/>
      <c r="H382" s="357"/>
      <c r="I382" s="357"/>
      <c r="J382" s="357"/>
      <c r="K382" s="357"/>
    </row>
    <row r="383" spans="1:11">
      <c r="A383" s="495"/>
      <c r="B383" s="489"/>
      <c r="C383" s="488"/>
      <c r="E383" s="357"/>
      <c r="F383" s="357"/>
      <c r="G383" s="357"/>
      <c r="H383" s="357"/>
      <c r="I383" s="357"/>
      <c r="J383" s="357"/>
      <c r="K383" s="357"/>
    </row>
    <row r="384" spans="1:11">
      <c r="A384" s="495"/>
      <c r="B384" s="489"/>
      <c r="C384" s="488"/>
      <c r="E384" s="357"/>
      <c r="F384" s="357"/>
      <c r="G384" s="357"/>
      <c r="H384" s="357"/>
      <c r="I384" s="357"/>
      <c r="J384" s="357"/>
      <c r="K384" s="357"/>
    </row>
    <row r="385" spans="1:11" ht="15.75" customHeight="1">
      <c r="A385" s="495"/>
      <c r="B385" s="489"/>
      <c r="C385" s="488"/>
      <c r="E385" s="357"/>
      <c r="F385" s="357"/>
      <c r="G385" s="357"/>
      <c r="H385" s="357"/>
      <c r="I385" s="357"/>
      <c r="J385" s="357"/>
      <c r="K385" s="357"/>
    </row>
    <row r="386" spans="1:11" ht="15.75" customHeight="1">
      <c r="A386" s="495"/>
      <c r="B386" s="489"/>
      <c r="C386" s="488"/>
      <c r="E386" s="357"/>
      <c r="F386" s="357"/>
      <c r="G386" s="357"/>
      <c r="H386" s="357"/>
      <c r="I386" s="357"/>
      <c r="J386" s="357"/>
      <c r="K386" s="357"/>
    </row>
  </sheetData>
  <mergeCells count="398">
    <mergeCell ref="AO251:AO253"/>
    <mergeCell ref="AP251:AP253"/>
    <mergeCell ref="AQ251:AQ253"/>
    <mergeCell ref="AR251:AR253"/>
    <mergeCell ref="Z251:Z253"/>
    <mergeCell ref="AA251:AA253"/>
    <mergeCell ref="AF251:AF253"/>
    <mergeCell ref="AI251:AI253"/>
    <mergeCell ref="AJ251:AJ253"/>
    <mergeCell ref="AK251:AK253"/>
    <mergeCell ref="AB251:AB253"/>
    <mergeCell ref="AC251:AC253"/>
    <mergeCell ref="AL251:AL253"/>
    <mergeCell ref="AM251:AM253"/>
    <mergeCell ref="AE251:AE259"/>
    <mergeCell ref="AO254:AO258"/>
    <mergeCell ref="AP254:AP258"/>
    <mergeCell ref="AQ254:AQ258"/>
    <mergeCell ref="AR254:AR258"/>
    <mergeCell ref="AC254:AC258"/>
    <mergeCell ref="AF254:AF258"/>
    <mergeCell ref="AI254:AI258"/>
    <mergeCell ref="AJ254:AJ258"/>
    <mergeCell ref="AK254:AK258"/>
    <mergeCell ref="K248:K249"/>
    <mergeCell ref="L248:L249"/>
    <mergeCell ref="P248:P250"/>
    <mergeCell ref="AE248:AE250"/>
    <mergeCell ref="Q249:Q250"/>
    <mergeCell ref="R249:R250"/>
    <mergeCell ref="AO247:AP249"/>
    <mergeCell ref="AQ247:AR249"/>
    <mergeCell ref="Z247:AA249"/>
    <mergeCell ref="AB247:AC249"/>
    <mergeCell ref="AH247:AH250"/>
    <mergeCell ref="AI247:AJ249"/>
    <mergeCell ref="AF249:AF250"/>
    <mergeCell ref="AG249:AG250"/>
    <mergeCell ref="P351:U351"/>
    <mergeCell ref="P352:U352"/>
    <mergeCell ref="B245:B246"/>
    <mergeCell ref="C245:M245"/>
    <mergeCell ref="P245:U245"/>
    <mergeCell ref="C246:M246"/>
    <mergeCell ref="C247:L247"/>
    <mergeCell ref="S247:S250"/>
    <mergeCell ref="T247:U249"/>
    <mergeCell ref="P329:P337"/>
    <mergeCell ref="Q329:Q331"/>
    <mergeCell ref="T329:T331"/>
    <mergeCell ref="U329:U331"/>
    <mergeCell ref="P251:P259"/>
    <mergeCell ref="Q251:Q253"/>
    <mergeCell ref="T251:T253"/>
    <mergeCell ref="U251:U253"/>
    <mergeCell ref="B248:B249"/>
    <mergeCell ref="C248:C249"/>
    <mergeCell ref="D248:D249"/>
    <mergeCell ref="E248:E249"/>
    <mergeCell ref="F248:F249"/>
    <mergeCell ref="G248:H248"/>
    <mergeCell ref="I248:J248"/>
    <mergeCell ref="W332:W336"/>
    <mergeCell ref="X332:X336"/>
    <mergeCell ref="Y332:Y336"/>
    <mergeCell ref="Z332:Z336"/>
    <mergeCell ref="AA332:AA336"/>
    <mergeCell ref="AB332:AB336"/>
    <mergeCell ref="AM329:AM331"/>
    <mergeCell ref="AN329:AN331"/>
    <mergeCell ref="AO329:AO331"/>
    <mergeCell ref="X329:X331"/>
    <mergeCell ref="Y329:Y331"/>
    <mergeCell ref="Z329:Z331"/>
    <mergeCell ref="AA329:AA331"/>
    <mergeCell ref="AB329:AB331"/>
    <mergeCell ref="AC329:AC331"/>
    <mergeCell ref="AM332:AM336"/>
    <mergeCell ref="AN332:AN336"/>
    <mergeCell ref="AO332:AO336"/>
    <mergeCell ref="AC332:AC336"/>
    <mergeCell ref="AF332:AF336"/>
    <mergeCell ref="AI332:AI336"/>
    <mergeCell ref="AJ332:AJ336"/>
    <mergeCell ref="AK332:AK336"/>
    <mergeCell ref="AL332:AL336"/>
    <mergeCell ref="AP329:AP331"/>
    <mergeCell ref="AQ329:AQ331"/>
    <mergeCell ref="AR329:AR331"/>
    <mergeCell ref="AE329:AE337"/>
    <mergeCell ref="AF329:AF331"/>
    <mergeCell ref="AI329:AI331"/>
    <mergeCell ref="AJ329:AJ331"/>
    <mergeCell ref="AK329:AK331"/>
    <mergeCell ref="AL329:AL331"/>
    <mergeCell ref="AP332:AP336"/>
    <mergeCell ref="AQ332:AQ336"/>
    <mergeCell ref="AR332:AR336"/>
    <mergeCell ref="V329:V331"/>
    <mergeCell ref="W329:W331"/>
    <mergeCell ref="Q332:Q336"/>
    <mergeCell ref="T332:T336"/>
    <mergeCell ref="U332:U336"/>
    <mergeCell ref="V332:V336"/>
    <mergeCell ref="AO325:AP327"/>
    <mergeCell ref="AQ325:AR327"/>
    <mergeCell ref="B326:B327"/>
    <mergeCell ref="C326:C327"/>
    <mergeCell ref="D326:D327"/>
    <mergeCell ref="E326:E327"/>
    <mergeCell ref="F326:F327"/>
    <mergeCell ref="G326:H326"/>
    <mergeCell ref="I326:J326"/>
    <mergeCell ref="K326:K327"/>
    <mergeCell ref="Z325:AA327"/>
    <mergeCell ref="AB325:AC327"/>
    <mergeCell ref="AH325:AH328"/>
    <mergeCell ref="AI325:AJ327"/>
    <mergeCell ref="AK325:AL327"/>
    <mergeCell ref="AM325:AN327"/>
    <mergeCell ref="AE326:AE328"/>
    <mergeCell ref="AF327:AF328"/>
    <mergeCell ref="AG327:AG328"/>
    <mergeCell ref="P273:U273"/>
    <mergeCell ref="C325:L325"/>
    <mergeCell ref="S325:S328"/>
    <mergeCell ref="T325:U327"/>
    <mergeCell ref="V325:W327"/>
    <mergeCell ref="X325:Y327"/>
    <mergeCell ref="L326:L327"/>
    <mergeCell ref="P326:P328"/>
    <mergeCell ref="Q327:Q328"/>
    <mergeCell ref="R327:R328"/>
    <mergeCell ref="P274:U274"/>
    <mergeCell ref="Z254:Z258"/>
    <mergeCell ref="AA254:AA258"/>
    <mergeCell ref="AB254:AB258"/>
    <mergeCell ref="AK247:AL249"/>
    <mergeCell ref="P194:U194"/>
    <mergeCell ref="P195:U195"/>
    <mergeCell ref="AM247:AN249"/>
    <mergeCell ref="Q254:Q258"/>
    <mergeCell ref="T254:T258"/>
    <mergeCell ref="U254:U258"/>
    <mergeCell ref="V254:V258"/>
    <mergeCell ref="W254:W258"/>
    <mergeCell ref="V251:V253"/>
    <mergeCell ref="W251:W253"/>
    <mergeCell ref="X251:X253"/>
    <mergeCell ref="Y251:Y253"/>
    <mergeCell ref="X254:X258"/>
    <mergeCell ref="Y254:Y258"/>
    <mergeCell ref="AM254:AM258"/>
    <mergeCell ref="AN254:AN258"/>
    <mergeCell ref="V247:W249"/>
    <mergeCell ref="X247:Y249"/>
    <mergeCell ref="AN251:AN253"/>
    <mergeCell ref="AL254:AL258"/>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P172:P180"/>
    <mergeCell ref="Q172:Q174"/>
    <mergeCell ref="T172:T174"/>
    <mergeCell ref="U172:U174"/>
    <mergeCell ref="V172:V174"/>
    <mergeCell ref="W172:W174"/>
    <mergeCell ref="Q175:Q179"/>
    <mergeCell ref="T175:T179"/>
    <mergeCell ref="U175:U179"/>
    <mergeCell ref="V175:V179"/>
    <mergeCell ref="W175:W179"/>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Z168:AA170"/>
    <mergeCell ref="P169:P171"/>
    <mergeCell ref="Q170:Q171"/>
    <mergeCell ref="R170:R171"/>
    <mergeCell ref="P112:U112"/>
    <mergeCell ref="P113:U113"/>
    <mergeCell ref="B166:B167"/>
    <mergeCell ref="C166:M166"/>
    <mergeCell ref="P166:U166"/>
    <mergeCell ref="C167:M16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C23:F27"/>
    <mergeCell ref="P33:U33"/>
    <mergeCell ref="P34:U34"/>
    <mergeCell ref="C42:F42"/>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5A8F4-4B49-41CE-96AA-26D664121508}">
  <sheetPr>
    <tabColor theme="3"/>
  </sheetPr>
  <dimension ref="A2:AR386"/>
  <sheetViews>
    <sheetView topLeftCell="N82" zoomScale="115" zoomScaleNormal="115" workbookViewId="0">
      <selection activeCell="P99" sqref="P99"/>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Steam boiler, Coal</v>
      </c>
    </row>
    <row r="4" spans="1:44" ht="25.05" customHeight="1">
      <c r="E4" s="224" t="s">
        <v>358</v>
      </c>
      <c r="F4" s="358">
        <v>7.45</v>
      </c>
      <c r="G4" s="358" t="s">
        <v>328</v>
      </c>
    </row>
    <row r="5" spans="1:44" ht="15" customHeight="1">
      <c r="A5" s="359" t="s">
        <v>1057</v>
      </c>
      <c r="B5" s="1204"/>
      <c r="C5" s="1140"/>
      <c r="D5" s="1140"/>
      <c r="E5" s="1140"/>
      <c r="F5" s="1140"/>
      <c r="G5" s="1140"/>
      <c r="H5" s="1140"/>
      <c r="I5" s="1140"/>
      <c r="J5" s="1140"/>
      <c r="K5" s="1140"/>
      <c r="L5" s="1140"/>
      <c r="M5" s="1140"/>
      <c r="N5" s="692"/>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692"/>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1053</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20</v>
      </c>
      <c r="D10" s="371">
        <v>20</v>
      </c>
      <c r="E10" s="371">
        <v>20</v>
      </c>
      <c r="F10" s="371">
        <v>20</v>
      </c>
      <c r="G10" s="371">
        <v>1</v>
      </c>
      <c r="H10" s="371">
        <v>50</v>
      </c>
      <c r="I10" s="371">
        <v>1</v>
      </c>
      <c r="J10" s="371">
        <v>50</v>
      </c>
      <c r="K10" s="371" t="s">
        <v>6</v>
      </c>
      <c r="L10" s="372">
        <v>3</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638">
        <v>90</v>
      </c>
      <c r="D11" s="638">
        <v>90</v>
      </c>
      <c r="E11" s="639">
        <v>91</v>
      </c>
      <c r="F11" s="638">
        <v>92</v>
      </c>
      <c r="G11" s="638">
        <v>88</v>
      </c>
      <c r="H11" s="638">
        <f>(D11*1.02)</f>
        <v>91.8</v>
      </c>
      <c r="I11" s="638">
        <v>88</v>
      </c>
      <c r="J11" s="638">
        <f>(F11*1.02)</f>
        <v>93.84</v>
      </c>
      <c r="K11" s="378" t="s">
        <v>59</v>
      </c>
      <c r="L11" s="379" t="s">
        <v>692</v>
      </c>
      <c r="M11" s="369"/>
      <c r="N11" s="369"/>
      <c r="P11" s="1145" t="str">
        <f>C7</f>
        <v>Steam boiler, Coal</v>
      </c>
      <c r="Q11" s="1151" t="s">
        <v>693</v>
      </c>
      <c r="R11" s="380" t="s">
        <v>694</v>
      </c>
      <c r="S11" s="381"/>
      <c r="T11" s="1134">
        <v>0</v>
      </c>
      <c r="U11" s="1148">
        <v>1</v>
      </c>
      <c r="V11" s="1154">
        <v>0</v>
      </c>
      <c r="W11" s="1148">
        <v>1</v>
      </c>
      <c r="X11" s="1154">
        <v>0</v>
      </c>
      <c r="Y11" s="1148">
        <v>1</v>
      </c>
      <c r="Z11" s="1154">
        <v>0</v>
      </c>
      <c r="AA11" s="1148">
        <v>1</v>
      </c>
      <c r="AB11" s="1154">
        <v>0</v>
      </c>
      <c r="AC11" s="1148">
        <v>1</v>
      </c>
      <c r="AE11" s="1145" t="str">
        <f>P11</f>
        <v>Steam boiler, Coal</v>
      </c>
      <c r="AF11" s="1151" t="s">
        <v>693</v>
      </c>
      <c r="AG11" s="380" t="s">
        <v>694</v>
      </c>
      <c r="AH11" s="381"/>
      <c r="AI11" s="1134">
        <v>0</v>
      </c>
      <c r="AJ11" s="1148">
        <v>1</v>
      </c>
      <c r="AK11" s="1154">
        <v>0</v>
      </c>
      <c r="AL11" s="1148">
        <v>1</v>
      </c>
      <c r="AM11" s="1154">
        <v>0</v>
      </c>
      <c r="AN11" s="1148">
        <v>1</v>
      </c>
      <c r="AO11" s="1154">
        <v>0</v>
      </c>
      <c r="AP11" s="1148">
        <v>1</v>
      </c>
      <c r="AQ11" s="1154">
        <v>0</v>
      </c>
      <c r="AR11" s="1148">
        <v>1</v>
      </c>
    </row>
    <row r="12" spans="1:44" ht="32.549999999999997" customHeight="1" outlineLevel="1">
      <c r="B12" s="382" t="s">
        <v>695</v>
      </c>
      <c r="C12" s="576">
        <f t="shared" ref="C12:J12" si="0">(C11-1)</f>
        <v>89</v>
      </c>
      <c r="D12" s="576">
        <f t="shared" si="0"/>
        <v>89</v>
      </c>
      <c r="E12" s="576">
        <f t="shared" si="0"/>
        <v>90</v>
      </c>
      <c r="F12" s="576">
        <f t="shared" si="0"/>
        <v>91</v>
      </c>
      <c r="G12" s="640">
        <f t="shared" si="0"/>
        <v>87</v>
      </c>
      <c r="H12" s="640">
        <f t="shared" si="0"/>
        <v>90.8</v>
      </c>
      <c r="I12" s="640">
        <f t="shared" si="0"/>
        <v>87</v>
      </c>
      <c r="J12" s="640">
        <f t="shared" si="0"/>
        <v>92.84</v>
      </c>
      <c r="K12" s="385"/>
      <c r="L12" s="386" t="s">
        <v>692</v>
      </c>
      <c r="M12" s="369"/>
      <c r="N12" s="369"/>
      <c r="O12" s="71"/>
      <c r="P12" s="1192"/>
      <c r="Q12" s="1152"/>
      <c r="R12" s="387" t="s">
        <v>696</v>
      </c>
      <c r="S12" s="388"/>
      <c r="T12" s="1137"/>
      <c r="U12" s="1149"/>
      <c r="V12" s="1155"/>
      <c r="W12" s="1149"/>
      <c r="X12" s="1155"/>
      <c r="Y12" s="1149"/>
      <c r="Z12" s="1155"/>
      <c r="AA12" s="1149"/>
      <c r="AB12" s="1155"/>
      <c r="AC12" s="1149"/>
      <c r="AE12" s="1192"/>
      <c r="AF12" s="1152"/>
      <c r="AG12" s="387" t="s">
        <v>696</v>
      </c>
      <c r="AH12" s="388"/>
      <c r="AI12" s="1137"/>
      <c r="AJ12" s="1149"/>
      <c r="AK12" s="1155"/>
      <c r="AL12" s="1149"/>
      <c r="AM12" s="1155"/>
      <c r="AN12" s="1149"/>
      <c r="AO12" s="1155"/>
      <c r="AP12" s="1149"/>
      <c r="AQ12" s="1155"/>
      <c r="AR12" s="1149"/>
    </row>
    <row r="13" spans="1:44" ht="15" outlineLevel="1" thickBot="1">
      <c r="B13" s="375" t="s">
        <v>697</v>
      </c>
      <c r="C13" s="389">
        <v>1.1000000000000001</v>
      </c>
      <c r="D13" s="390">
        <v>1.1000000000000001</v>
      </c>
      <c r="E13" s="390">
        <v>1.1000000000000001</v>
      </c>
      <c r="F13" s="391">
        <v>1.1000000000000001</v>
      </c>
      <c r="G13" s="390">
        <v>1</v>
      </c>
      <c r="H13" s="390">
        <v>1.5</v>
      </c>
      <c r="I13" s="390">
        <v>1</v>
      </c>
      <c r="J13" s="390">
        <v>1.5</v>
      </c>
      <c r="K13" s="378" t="s">
        <v>16</v>
      </c>
      <c r="L13" s="379">
        <v>3</v>
      </c>
      <c r="M13" s="369"/>
      <c r="N13" s="369"/>
      <c r="O13" s="71"/>
      <c r="P13" s="1192"/>
      <c r="Q13" s="1153"/>
      <c r="R13" s="392" t="s">
        <v>698</v>
      </c>
      <c r="S13" s="393"/>
      <c r="T13" s="1138"/>
      <c r="U13" s="1150"/>
      <c r="V13" s="1156"/>
      <c r="W13" s="1150"/>
      <c r="X13" s="1156"/>
      <c r="Y13" s="1150"/>
      <c r="Z13" s="1156"/>
      <c r="AA13" s="1150"/>
      <c r="AB13" s="1156"/>
      <c r="AC13" s="1150"/>
      <c r="AE13" s="1192"/>
      <c r="AF13" s="1153"/>
      <c r="AG13" s="392" t="s">
        <v>698</v>
      </c>
      <c r="AH13" s="393"/>
      <c r="AI13" s="1138"/>
      <c r="AJ13" s="1150"/>
      <c r="AK13" s="1156"/>
      <c r="AL13" s="1150"/>
      <c r="AM13" s="1156"/>
      <c r="AN13" s="1150"/>
      <c r="AO13" s="1156"/>
      <c r="AP13" s="1150"/>
      <c r="AQ13" s="1156"/>
      <c r="AR13" s="1150"/>
    </row>
    <row r="14" spans="1:44" ht="15" customHeight="1" outlineLevel="1">
      <c r="B14" s="375" t="s">
        <v>637</v>
      </c>
      <c r="C14" s="674">
        <f>0.2+1</f>
        <v>1.2</v>
      </c>
      <c r="D14" s="674">
        <f>0.2+1</f>
        <v>1.2</v>
      </c>
      <c r="E14" s="674">
        <f>0.2+1</f>
        <v>1.2</v>
      </c>
      <c r="F14" s="674">
        <f>0.2+1</f>
        <v>1.2</v>
      </c>
      <c r="G14" s="673">
        <v>0.1</v>
      </c>
      <c r="H14" s="674">
        <f>0.2+2</f>
        <v>2.2000000000000002</v>
      </c>
      <c r="I14" s="673">
        <v>0.1</v>
      </c>
      <c r="J14" s="674">
        <f>0.2+2</f>
        <v>2.2000000000000002</v>
      </c>
      <c r="K14" s="378" t="s">
        <v>20</v>
      </c>
      <c r="L14" s="379">
        <v>3</v>
      </c>
      <c r="M14" s="369"/>
      <c r="N14" s="369"/>
      <c r="O14" s="71"/>
      <c r="P14" s="1192"/>
      <c r="Q14" s="1151" t="s">
        <v>699</v>
      </c>
      <c r="R14" s="394" t="s">
        <v>700</v>
      </c>
      <c r="S14" s="395" t="s">
        <v>701</v>
      </c>
      <c r="T14" s="1134">
        <v>0</v>
      </c>
      <c r="U14" s="1134">
        <v>1</v>
      </c>
      <c r="V14" s="1134">
        <v>0</v>
      </c>
      <c r="W14" s="1134">
        <v>1</v>
      </c>
      <c r="X14" s="1134">
        <v>0</v>
      </c>
      <c r="Y14" s="1134">
        <v>0.97</v>
      </c>
      <c r="Z14" s="1134">
        <v>0</v>
      </c>
      <c r="AA14" s="1134">
        <v>1</v>
      </c>
      <c r="AB14" s="1134">
        <v>0</v>
      </c>
      <c r="AC14" s="1148">
        <v>1</v>
      </c>
      <c r="AE14" s="1192"/>
      <c r="AF14" s="1151" t="s">
        <v>699</v>
      </c>
      <c r="AG14" s="394" t="s">
        <v>700</v>
      </c>
      <c r="AH14" s="395" t="s">
        <v>701</v>
      </c>
      <c r="AI14" s="1134">
        <v>0</v>
      </c>
      <c r="AJ14" s="1134">
        <v>1</v>
      </c>
      <c r="AK14" s="1134">
        <v>0</v>
      </c>
      <c r="AL14" s="1134">
        <v>1</v>
      </c>
      <c r="AM14" s="1134">
        <v>0</v>
      </c>
      <c r="AN14" s="1134">
        <v>0.97</v>
      </c>
      <c r="AO14" s="1134">
        <v>0</v>
      </c>
      <c r="AP14" s="1134">
        <v>1</v>
      </c>
      <c r="AQ14" s="1134">
        <v>0</v>
      </c>
      <c r="AR14" s="1148">
        <v>1</v>
      </c>
    </row>
    <row r="15" spans="1:44" outlineLevel="1">
      <c r="B15" s="375" t="s">
        <v>638</v>
      </c>
      <c r="C15" s="389">
        <f>0.5+0.4</f>
        <v>0.9</v>
      </c>
      <c r="D15" s="389">
        <f>0.5+0.4</f>
        <v>0.9</v>
      </c>
      <c r="E15" s="389">
        <f>0.5+0.4</f>
        <v>0.9</v>
      </c>
      <c r="F15" s="389">
        <f>0.5+0.4</f>
        <v>0.9</v>
      </c>
      <c r="G15" s="389">
        <f>0.5+0.3</f>
        <v>0.8</v>
      </c>
      <c r="H15" s="389">
        <f>0.5+0.6</f>
        <v>1.1000000000000001</v>
      </c>
      <c r="I15" s="389">
        <f>0.5+0.3</f>
        <v>0.8</v>
      </c>
      <c r="J15" s="389">
        <f>0.5+0.6</f>
        <v>1.1000000000000001</v>
      </c>
      <c r="K15" s="378" t="s">
        <v>20</v>
      </c>
      <c r="L15" s="379">
        <v>3</v>
      </c>
      <c r="M15" s="366"/>
      <c r="N15" s="366"/>
      <c r="O15" s="71"/>
      <c r="P15" s="1192"/>
      <c r="Q15" s="1152"/>
      <c r="R15" s="394" t="s">
        <v>702</v>
      </c>
      <c r="S15" s="395" t="s">
        <v>701</v>
      </c>
      <c r="T15" s="1188"/>
      <c r="U15" s="1188"/>
      <c r="V15" s="1188"/>
      <c r="W15" s="1188"/>
      <c r="X15" s="1188"/>
      <c r="Y15" s="1188"/>
      <c r="Z15" s="1188"/>
      <c r="AA15" s="1188"/>
      <c r="AB15" s="1188"/>
      <c r="AC15" s="1190"/>
      <c r="AE15" s="1192"/>
      <c r="AF15" s="1152"/>
      <c r="AG15" s="394" t="s">
        <v>702</v>
      </c>
      <c r="AH15" s="395" t="s">
        <v>701</v>
      </c>
      <c r="AI15" s="1188"/>
      <c r="AJ15" s="1188"/>
      <c r="AK15" s="1188"/>
      <c r="AL15" s="1188"/>
      <c r="AM15" s="1188"/>
      <c r="AN15" s="1188"/>
      <c r="AO15" s="1188"/>
      <c r="AP15" s="1188"/>
      <c r="AQ15" s="1188"/>
      <c r="AR15" s="1190"/>
    </row>
    <row r="16" spans="1:44" outlineLevel="1">
      <c r="B16" s="382" t="s">
        <v>11</v>
      </c>
      <c r="C16" s="396">
        <v>25</v>
      </c>
      <c r="D16" s="396">
        <v>25</v>
      </c>
      <c r="E16" s="396">
        <v>25</v>
      </c>
      <c r="F16" s="396">
        <v>25</v>
      </c>
      <c r="G16" s="397">
        <v>20</v>
      </c>
      <c r="H16" s="397">
        <v>30</v>
      </c>
      <c r="I16" s="397">
        <v>20</v>
      </c>
      <c r="J16" s="397">
        <v>30</v>
      </c>
      <c r="K16" s="371"/>
      <c r="L16" s="372" t="s">
        <v>703</v>
      </c>
      <c r="M16" s="362"/>
      <c r="N16" s="362"/>
      <c r="P16" s="1192"/>
      <c r="Q16" s="1152"/>
      <c r="R16" s="394" t="s">
        <v>704</v>
      </c>
      <c r="S16" s="395" t="s">
        <v>701</v>
      </c>
      <c r="T16" s="1188"/>
      <c r="U16" s="1188"/>
      <c r="V16" s="1188"/>
      <c r="W16" s="1188"/>
      <c r="X16" s="1188"/>
      <c r="Y16" s="1188"/>
      <c r="Z16" s="1188"/>
      <c r="AA16" s="1188"/>
      <c r="AB16" s="1188"/>
      <c r="AC16" s="1190"/>
      <c r="AE16" s="1192"/>
      <c r="AF16" s="1152"/>
      <c r="AG16" s="394" t="s">
        <v>704</v>
      </c>
      <c r="AH16" s="628" t="s">
        <v>701</v>
      </c>
      <c r="AI16" s="1188"/>
      <c r="AJ16" s="1188"/>
      <c r="AK16" s="1188"/>
      <c r="AL16" s="1188"/>
      <c r="AM16" s="1188"/>
      <c r="AN16" s="1188"/>
      <c r="AO16" s="1188"/>
      <c r="AP16" s="1188"/>
      <c r="AQ16" s="1188"/>
      <c r="AR16" s="1190"/>
    </row>
    <row r="17" spans="1:44" ht="15" outlineLevel="1" thickBot="1">
      <c r="B17" s="375" t="s">
        <v>273</v>
      </c>
      <c r="C17" s="398">
        <v>0.5</v>
      </c>
      <c r="D17" s="398">
        <v>0.5</v>
      </c>
      <c r="E17" s="398">
        <v>0.5</v>
      </c>
      <c r="F17" s="398">
        <v>0.5</v>
      </c>
      <c r="G17" s="398">
        <v>0.2</v>
      </c>
      <c r="H17" s="398">
        <v>0.7</v>
      </c>
      <c r="I17" s="398">
        <v>0.2</v>
      </c>
      <c r="J17" s="398">
        <v>0.7</v>
      </c>
      <c r="K17" s="371"/>
      <c r="L17" s="399"/>
      <c r="M17" s="362"/>
      <c r="N17" s="362"/>
      <c r="P17" s="1192"/>
      <c r="Q17" s="1152"/>
      <c r="R17" s="394" t="s">
        <v>705</v>
      </c>
      <c r="S17" s="395" t="s">
        <v>701</v>
      </c>
      <c r="T17" s="1188"/>
      <c r="U17" s="1188"/>
      <c r="V17" s="1188"/>
      <c r="W17" s="1188"/>
      <c r="X17" s="1188"/>
      <c r="Y17" s="1188"/>
      <c r="Z17" s="1188"/>
      <c r="AA17" s="1188"/>
      <c r="AB17" s="1188"/>
      <c r="AC17" s="1190"/>
      <c r="AE17" s="1192"/>
      <c r="AF17" s="1152"/>
      <c r="AG17" s="394" t="s">
        <v>705</v>
      </c>
      <c r="AH17" s="395" t="s">
        <v>701</v>
      </c>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t="s">
        <v>701</v>
      </c>
      <c r="T18" s="1189"/>
      <c r="U18" s="1189"/>
      <c r="V18" s="1189"/>
      <c r="W18" s="1189"/>
      <c r="X18" s="1189"/>
      <c r="Y18" s="1189"/>
      <c r="Z18" s="1189"/>
      <c r="AA18" s="1189"/>
      <c r="AB18" s="1189"/>
      <c r="AC18" s="1191"/>
      <c r="AE18" s="1192"/>
      <c r="AF18" s="1153"/>
      <c r="AG18" s="408" t="s">
        <v>826</v>
      </c>
      <c r="AH18" s="409" t="s">
        <v>701</v>
      </c>
      <c r="AI18" s="1189"/>
      <c r="AJ18" s="1189"/>
      <c r="AK18" s="1189"/>
      <c r="AL18" s="1189"/>
      <c r="AM18" s="1189"/>
      <c r="AN18" s="1189"/>
      <c r="AO18" s="1189"/>
      <c r="AP18" s="1189"/>
      <c r="AQ18" s="1189"/>
      <c r="AR18" s="1191"/>
    </row>
    <row r="19" spans="1:44" ht="29.4" outlineLevel="1" thickBot="1">
      <c r="B19" s="375" t="s">
        <v>643</v>
      </c>
      <c r="C19" s="389">
        <v>15</v>
      </c>
      <c r="D19" s="389">
        <v>15</v>
      </c>
      <c r="E19" s="389">
        <v>15</v>
      </c>
      <c r="F19" s="389">
        <v>15</v>
      </c>
      <c r="G19" s="390"/>
      <c r="H19" s="390"/>
      <c r="I19" s="390"/>
      <c r="J19" s="390"/>
      <c r="K19" s="378"/>
      <c r="L19" s="379">
        <v>3</v>
      </c>
      <c r="M19" s="362"/>
      <c r="N19" s="362"/>
      <c r="P19" s="1193"/>
      <c r="Q19" s="410" t="s">
        <v>708</v>
      </c>
      <c r="R19" s="411" t="s">
        <v>709</v>
      </c>
      <c r="S19" s="629" t="s">
        <v>701</v>
      </c>
      <c r="T19" s="415">
        <v>1</v>
      </c>
      <c r="U19" s="414">
        <v>1</v>
      </c>
      <c r="V19" s="415">
        <v>1</v>
      </c>
      <c r="W19" s="414">
        <v>1</v>
      </c>
      <c r="X19" s="415">
        <v>1</v>
      </c>
      <c r="Y19" s="414">
        <v>1</v>
      </c>
      <c r="Z19" s="415">
        <v>1</v>
      </c>
      <c r="AA19" s="414">
        <v>1</v>
      </c>
      <c r="AB19" s="415">
        <v>1</v>
      </c>
      <c r="AC19" s="416">
        <v>1</v>
      </c>
      <c r="AE19" s="1193"/>
      <c r="AF19" s="410" t="s">
        <v>708</v>
      </c>
      <c r="AG19" s="810" t="s">
        <v>709</v>
      </c>
      <c r="AH19" s="811" t="s">
        <v>701</v>
      </c>
      <c r="AI19" s="415">
        <v>1</v>
      </c>
      <c r="AJ19" s="414">
        <v>1</v>
      </c>
      <c r="AK19" s="415">
        <v>1</v>
      </c>
      <c r="AL19" s="414">
        <v>1</v>
      </c>
      <c r="AM19" s="415">
        <v>1</v>
      </c>
      <c r="AN19" s="414">
        <v>1</v>
      </c>
      <c r="AO19" s="415">
        <v>1</v>
      </c>
      <c r="AP19" s="414">
        <v>1</v>
      </c>
      <c r="AQ19" s="415">
        <v>1</v>
      </c>
      <c r="AR19" s="416">
        <v>1</v>
      </c>
    </row>
    <row r="20" spans="1:44" outlineLevel="1">
      <c r="B20" s="375" t="s">
        <v>644</v>
      </c>
      <c r="C20" s="389">
        <v>0.1</v>
      </c>
      <c r="D20" s="389">
        <v>0.1</v>
      </c>
      <c r="E20" s="389">
        <v>0.1</v>
      </c>
      <c r="F20" s="389">
        <v>0.1</v>
      </c>
      <c r="G20" s="417"/>
      <c r="H20" s="417"/>
      <c r="I20" s="417"/>
      <c r="J20" s="417"/>
      <c r="K20" s="418"/>
      <c r="L20" s="379">
        <v>3</v>
      </c>
      <c r="M20" s="362"/>
      <c r="N20" s="362"/>
    </row>
    <row r="21" spans="1:44" outlineLevel="1">
      <c r="B21" s="375" t="s">
        <v>646</v>
      </c>
      <c r="C21" s="389">
        <v>0.4</v>
      </c>
      <c r="D21" s="389">
        <v>0.4</v>
      </c>
      <c r="E21" s="389">
        <v>0.4</v>
      </c>
      <c r="F21" s="389">
        <v>0.4</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40">
        <v>8</v>
      </c>
      <c r="D23" s="1241">
        <v>8</v>
      </c>
      <c r="E23" s="1241">
        <v>8</v>
      </c>
      <c r="F23" s="1242">
        <v>8</v>
      </c>
      <c r="G23" s="421"/>
      <c r="H23" s="424"/>
      <c r="I23" s="424"/>
      <c r="J23" s="424"/>
      <c r="K23" s="425" t="s">
        <v>76</v>
      </c>
      <c r="L23" s="426" t="s">
        <v>711</v>
      </c>
      <c r="M23" s="427"/>
      <c r="N23" s="427"/>
    </row>
    <row r="24" spans="1:44" outlineLevel="1">
      <c r="B24" s="382" t="s">
        <v>712</v>
      </c>
      <c r="C24" s="1243">
        <v>2.1</v>
      </c>
      <c r="D24" s="1244">
        <v>2.1</v>
      </c>
      <c r="E24" s="1244">
        <v>2.1</v>
      </c>
      <c r="F24" s="1245">
        <v>2.1</v>
      </c>
      <c r="G24" s="424"/>
      <c r="H24" s="424"/>
      <c r="I24" s="424"/>
      <c r="J24" s="424"/>
      <c r="K24" s="422"/>
      <c r="L24" s="426">
        <v>9</v>
      </c>
      <c r="M24" s="427"/>
      <c r="N24" s="427"/>
    </row>
    <row r="25" spans="1:44" outlineLevel="1">
      <c r="B25" s="382" t="s">
        <v>807</v>
      </c>
      <c r="C25" s="1231">
        <v>35</v>
      </c>
      <c r="D25" s="1232">
        <v>35</v>
      </c>
      <c r="E25" s="1232">
        <v>35</v>
      </c>
      <c r="F25" s="1233">
        <v>35</v>
      </c>
      <c r="G25" s="424"/>
      <c r="H25" s="424"/>
      <c r="I25" s="424"/>
      <c r="J25" s="424"/>
      <c r="K25" s="422"/>
      <c r="L25" s="426" t="s">
        <v>711</v>
      </c>
      <c r="M25" s="427"/>
      <c r="N25" s="427"/>
    </row>
    <row r="26" spans="1:44" outlineLevel="1">
      <c r="B26" s="382" t="s">
        <v>366</v>
      </c>
      <c r="C26" s="1243">
        <v>1.5</v>
      </c>
      <c r="D26" s="1244">
        <v>1.5</v>
      </c>
      <c r="E26" s="1244">
        <v>1.5</v>
      </c>
      <c r="F26" s="1245">
        <v>1.5</v>
      </c>
      <c r="G26" s="424"/>
      <c r="H26" s="424"/>
      <c r="I26" s="424"/>
      <c r="J26" s="424"/>
      <c r="K26" s="422"/>
      <c r="L26" s="426" t="s">
        <v>711</v>
      </c>
      <c r="M26" s="427"/>
      <c r="N26" s="427"/>
    </row>
    <row r="27" spans="1:44" ht="15" outlineLevel="1" thickBot="1">
      <c r="B27" s="428" t="s">
        <v>367</v>
      </c>
      <c r="C27" s="1234">
        <v>0.8</v>
      </c>
      <c r="D27" s="1235">
        <v>0.8</v>
      </c>
      <c r="E27" s="1235">
        <v>0.8</v>
      </c>
      <c r="F27" s="1236">
        <v>0.8</v>
      </c>
      <c r="G27" s="424"/>
      <c r="H27" s="424"/>
      <c r="I27" s="424"/>
      <c r="J27" s="424"/>
      <c r="K27" s="422"/>
      <c r="L27" s="426" t="s">
        <v>711</v>
      </c>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1054</v>
      </c>
      <c r="C29" s="550">
        <v>0.5</v>
      </c>
      <c r="D29" s="646">
        <v>0.46576380486506985</v>
      </c>
      <c r="E29" s="646">
        <v>0.44600000000000001</v>
      </c>
      <c r="F29" s="647">
        <v>0.44045618468049191</v>
      </c>
      <c r="G29" s="424"/>
      <c r="H29" s="424"/>
      <c r="I29" s="424"/>
      <c r="J29" s="424"/>
      <c r="K29" s="425" t="s">
        <v>715</v>
      </c>
      <c r="L29" s="439" t="s">
        <v>716</v>
      </c>
      <c r="M29" s="419"/>
      <c r="N29" s="419"/>
    </row>
    <row r="30" spans="1:44" outlineLevel="1">
      <c r="B30" s="440" t="s">
        <v>717</v>
      </c>
      <c r="C30" s="441">
        <v>60</v>
      </c>
      <c r="D30" s="442">
        <v>60</v>
      </c>
      <c r="E30" s="442">
        <v>60</v>
      </c>
      <c r="F30" s="442">
        <v>60</v>
      </c>
      <c r="G30" s="424"/>
      <c r="H30" s="424"/>
      <c r="I30" s="424"/>
      <c r="J30" s="424"/>
      <c r="K30" s="443"/>
      <c r="L30" s="372">
        <v>3</v>
      </c>
      <c r="M30" s="71"/>
      <c r="N30" s="419"/>
    </row>
    <row r="31" spans="1:44" outlineLevel="1">
      <c r="B31" s="440" t="s">
        <v>718</v>
      </c>
      <c r="C31" s="441">
        <f>100-C30</f>
        <v>40</v>
      </c>
      <c r="D31" s="441">
        <f>100-D30</f>
        <v>40</v>
      </c>
      <c r="E31" s="441">
        <f>100-E30</f>
        <v>40</v>
      </c>
      <c r="F31" s="441">
        <f>100-F30</f>
        <v>40</v>
      </c>
      <c r="G31" s="424"/>
      <c r="H31" s="424"/>
      <c r="I31" s="424"/>
      <c r="J31" s="424"/>
      <c r="K31" s="443"/>
      <c r="L31" s="372">
        <v>3</v>
      </c>
      <c r="M31" s="419"/>
      <c r="N31" s="419"/>
    </row>
    <row r="32" spans="1:44" outlineLevel="1">
      <c r="B32" s="382" t="s">
        <v>804</v>
      </c>
      <c r="C32" s="601">
        <v>33700</v>
      </c>
      <c r="D32" s="602">
        <v>32600</v>
      </c>
      <c r="E32" s="602">
        <f>(D32+F32)/2</f>
        <v>31600</v>
      </c>
      <c r="F32" s="603">
        <v>30600</v>
      </c>
      <c r="G32" s="424"/>
      <c r="H32" s="424"/>
      <c r="I32" s="424"/>
      <c r="J32" s="424"/>
      <c r="K32" s="447"/>
      <c r="L32" s="372">
        <v>3</v>
      </c>
      <c r="M32" s="419"/>
      <c r="N32" s="419"/>
    </row>
    <row r="33" spans="2:30" ht="37.049999999999997" customHeight="1" outlineLevel="1" thickBot="1">
      <c r="B33" s="382" t="s">
        <v>659</v>
      </c>
      <c r="C33" s="448">
        <f>C34+C35</f>
        <v>1.903</v>
      </c>
      <c r="D33" s="448">
        <f t="shared" ref="D33:F33" si="1">D34+D35</f>
        <v>1.9250000000000003</v>
      </c>
      <c r="E33" s="448">
        <f t="shared" si="1"/>
        <v>1.9360000000000002</v>
      </c>
      <c r="F33" s="448">
        <f t="shared" si="1"/>
        <v>1.9360000000000002</v>
      </c>
      <c r="G33" s="424"/>
      <c r="H33" s="424"/>
      <c r="I33" s="424"/>
      <c r="J33" s="424"/>
      <c r="K33" s="447"/>
      <c r="L33" s="372">
        <v>3</v>
      </c>
      <c r="M33" s="693"/>
      <c r="N33" s="692"/>
      <c r="P33" s="1139">
        <f>C33</f>
        <v>1.903</v>
      </c>
      <c r="Q33" s="1140"/>
      <c r="R33" s="1140"/>
      <c r="S33" s="1140"/>
      <c r="T33" s="1140"/>
      <c r="U33" s="1141"/>
    </row>
    <row r="34" spans="2:30" ht="15.75" customHeight="1" outlineLevel="1" thickBot="1">
      <c r="B34" s="450" t="s">
        <v>721</v>
      </c>
      <c r="C34" s="451">
        <f>C13/100*73</f>
        <v>0.80300000000000005</v>
      </c>
      <c r="D34" s="451">
        <f>D13/100*75</f>
        <v>0.82500000000000007</v>
      </c>
      <c r="E34" s="451">
        <f>E13/100*76</f>
        <v>0.83600000000000008</v>
      </c>
      <c r="F34" s="451">
        <f>F13/100*76</f>
        <v>0.83600000000000008</v>
      </c>
      <c r="G34" s="452"/>
      <c r="H34" s="452"/>
      <c r="I34" s="452"/>
      <c r="J34" s="452"/>
      <c r="K34" s="378" t="s">
        <v>52</v>
      </c>
      <c r="L34" s="379">
        <v>3</v>
      </c>
      <c r="M34" s="693"/>
      <c r="N34" s="692"/>
      <c r="P34" s="1131">
        <f>C34</f>
        <v>0.80300000000000005</v>
      </c>
      <c r="Q34" s="1132"/>
      <c r="R34" s="1132"/>
      <c r="S34" s="1132"/>
      <c r="T34" s="1132"/>
      <c r="U34" s="1133"/>
    </row>
    <row r="35" spans="2:30" outlineLevel="1">
      <c r="B35" s="450" t="s">
        <v>722</v>
      </c>
      <c r="C35" s="453">
        <v>1.1000000000000001</v>
      </c>
      <c r="D35" s="453">
        <v>1.1000000000000001</v>
      </c>
      <c r="E35" s="453">
        <v>1.1000000000000001</v>
      </c>
      <c r="F35" s="453">
        <v>1.1000000000000001</v>
      </c>
      <c r="G35" s="452"/>
      <c r="H35" s="452"/>
      <c r="I35" s="452"/>
      <c r="J35" s="452"/>
      <c r="K35" s="454"/>
      <c r="L35" s="379">
        <v>3</v>
      </c>
      <c r="M35" s="362"/>
      <c r="N35" s="362"/>
      <c r="P35" s="53" t="s">
        <v>357</v>
      </c>
    </row>
    <row r="36" spans="2:30" ht="27.6"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626"/>
      <c r="D37" s="813"/>
      <c r="E37" s="813"/>
      <c r="F37" s="814"/>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461" t="s">
        <v>36</v>
      </c>
      <c r="D39" s="461" t="s">
        <v>36</v>
      </c>
      <c r="E39" s="461" t="s">
        <v>36</v>
      </c>
      <c r="F39" s="461" t="s">
        <v>36</v>
      </c>
      <c r="G39" s="462"/>
      <c r="H39" s="462"/>
      <c r="I39" s="462"/>
      <c r="J39" s="462"/>
      <c r="K39" s="462" t="s">
        <v>55</v>
      </c>
      <c r="L39" s="463"/>
      <c r="M39" s="362"/>
      <c r="N39" s="362"/>
      <c r="O39" s="464">
        <f>C12</f>
        <v>89</v>
      </c>
      <c r="P39" s="465">
        <f>C8</f>
        <v>2020</v>
      </c>
      <c r="Q39" s="58">
        <f>P39</f>
        <v>2020</v>
      </c>
      <c r="R39" s="465">
        <f>O39/100</f>
        <v>0.89</v>
      </c>
      <c r="S39" s="58"/>
      <c r="T39" s="465">
        <f>C16</f>
        <v>25</v>
      </c>
      <c r="U39" s="466">
        <f>C46</f>
        <v>3725</v>
      </c>
      <c r="V39" s="466">
        <f>C48</f>
        <v>251.065</v>
      </c>
      <c r="W39" s="466">
        <f>C49</f>
        <v>3.9381527777777778</v>
      </c>
      <c r="X39" s="58"/>
      <c r="Y39" s="58"/>
      <c r="Z39" s="465">
        <f>C23</f>
        <v>8</v>
      </c>
      <c r="AA39" s="467">
        <f>C25</f>
        <v>35</v>
      </c>
      <c r="AB39" s="467">
        <f>C26</f>
        <v>1.5</v>
      </c>
      <c r="AC39" s="467">
        <f>C27</f>
        <v>0.8</v>
      </c>
      <c r="AD39" s="467">
        <f>C24</f>
        <v>2.1</v>
      </c>
    </row>
    <row r="40" spans="2:30" ht="14.55" customHeight="1" outlineLevel="1">
      <c r="B40" s="375" t="s">
        <v>726</v>
      </c>
      <c r="C40" s="468" t="s">
        <v>36</v>
      </c>
      <c r="D40" s="469" t="s">
        <v>36</v>
      </c>
      <c r="E40" s="469" t="s">
        <v>36</v>
      </c>
      <c r="F40" s="470" t="s">
        <v>36</v>
      </c>
      <c r="G40" s="470"/>
      <c r="H40" s="470"/>
      <c r="I40" s="470"/>
      <c r="J40" s="470"/>
      <c r="K40" s="471" t="s">
        <v>55</v>
      </c>
      <c r="L40" s="463"/>
      <c r="M40" s="362"/>
      <c r="N40" s="362"/>
      <c r="O40" s="464">
        <f>D12</f>
        <v>89</v>
      </c>
      <c r="P40" s="465">
        <f>D8</f>
        <v>2030</v>
      </c>
      <c r="Q40" s="58"/>
      <c r="R40" s="465">
        <f>O40/100</f>
        <v>0.89</v>
      </c>
      <c r="S40" s="58"/>
      <c r="T40" s="465">
        <f>D16</f>
        <v>25</v>
      </c>
      <c r="U40" s="466">
        <f>D46</f>
        <v>3469.9403462447704</v>
      </c>
      <c r="V40" s="466">
        <f>D48</f>
        <v>242.87</v>
      </c>
      <c r="W40" s="466">
        <f>D49</f>
        <v>3.9836805555555559</v>
      </c>
      <c r="X40" s="58"/>
      <c r="Y40" s="58"/>
      <c r="Z40" s="465">
        <f>D23</f>
        <v>8</v>
      </c>
      <c r="AA40" s="467">
        <f>D25</f>
        <v>35</v>
      </c>
      <c r="AB40" s="467">
        <f>D26</f>
        <v>1.5</v>
      </c>
      <c r="AC40" s="467">
        <f>D27</f>
        <v>0.8</v>
      </c>
      <c r="AD40" s="467">
        <f>D24</f>
        <v>2.1</v>
      </c>
    </row>
    <row r="41" spans="2:30" outlineLevel="1">
      <c r="B41" s="375" t="s">
        <v>727</v>
      </c>
      <c r="C41" s="468" t="s">
        <v>36</v>
      </c>
      <c r="D41" s="469" t="s">
        <v>36</v>
      </c>
      <c r="E41" s="469" t="s">
        <v>36</v>
      </c>
      <c r="F41" s="470" t="s">
        <v>36</v>
      </c>
      <c r="G41" s="452"/>
      <c r="H41" s="452"/>
      <c r="I41" s="452"/>
      <c r="J41" s="452"/>
      <c r="K41" s="452"/>
      <c r="L41" s="379"/>
      <c r="M41" s="362"/>
      <c r="N41" s="362"/>
      <c r="O41" s="464">
        <f>E12</f>
        <v>90</v>
      </c>
      <c r="P41" s="465">
        <f>E8</f>
        <v>2040</v>
      </c>
      <c r="Q41" s="58"/>
      <c r="R41" s="465">
        <f>O41/100</f>
        <v>0.9</v>
      </c>
      <c r="S41" s="58"/>
      <c r="T41" s="465">
        <f>E16</f>
        <v>25</v>
      </c>
      <c r="U41" s="466">
        <f>E46</f>
        <v>3322.7000000000003</v>
      </c>
      <c r="V41" s="466">
        <f>E48</f>
        <v>235.42</v>
      </c>
      <c r="W41" s="466">
        <f>E49</f>
        <v>4.0064444444444449</v>
      </c>
      <c r="X41" s="58"/>
      <c r="Y41" s="58"/>
      <c r="Z41" s="465">
        <f>E23</f>
        <v>8</v>
      </c>
      <c r="AA41" s="467">
        <f>E25</f>
        <v>35</v>
      </c>
      <c r="AB41" s="467">
        <f>E26</f>
        <v>1.5</v>
      </c>
      <c r="AC41" s="467">
        <f>E27</f>
        <v>0.8</v>
      </c>
      <c r="AD41" s="467">
        <f>E24</f>
        <v>2.1</v>
      </c>
    </row>
    <row r="42" spans="2:30" ht="14.55" customHeight="1" outlineLevel="1">
      <c r="B42" s="375" t="s">
        <v>728</v>
      </c>
      <c r="C42" s="1237">
        <v>90</v>
      </c>
      <c r="D42" s="1238">
        <v>90</v>
      </c>
      <c r="E42" s="1238">
        <v>90</v>
      </c>
      <c r="F42" s="1239">
        <v>90</v>
      </c>
      <c r="G42" s="473"/>
      <c r="H42" s="473"/>
      <c r="I42" s="473"/>
      <c r="J42" s="473"/>
      <c r="K42" s="473"/>
      <c r="L42" s="379">
        <v>3</v>
      </c>
      <c r="M42" s="362"/>
      <c r="N42" s="362"/>
      <c r="O42" s="464">
        <f>F12</f>
        <v>91</v>
      </c>
      <c r="P42" s="465">
        <f>F8</f>
        <v>2050</v>
      </c>
      <c r="Q42" s="58"/>
      <c r="R42" s="465">
        <f>O42/100</f>
        <v>0.91</v>
      </c>
      <c r="S42" s="58"/>
      <c r="T42" s="465">
        <f>F16</f>
        <v>25</v>
      </c>
      <c r="U42" s="466">
        <f>F46</f>
        <v>3281.3985758696645</v>
      </c>
      <c r="V42" s="466">
        <f>F48</f>
        <v>227.97</v>
      </c>
      <c r="W42" s="466">
        <f>F49</f>
        <v>4.0064444444444449</v>
      </c>
      <c r="X42" s="58"/>
      <c r="Y42" s="58"/>
      <c r="Z42" s="465">
        <f>F23</f>
        <v>8</v>
      </c>
      <c r="AA42" s="467">
        <f>F25</f>
        <v>35</v>
      </c>
      <c r="AB42" s="467">
        <f>F26</f>
        <v>1.5</v>
      </c>
      <c r="AC42" s="467">
        <f>F27</f>
        <v>0.8</v>
      </c>
      <c r="AD42" s="467">
        <f>F24</f>
        <v>2.1</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477" t="s">
        <v>36</v>
      </c>
      <c r="D45" s="478" t="s">
        <v>36</v>
      </c>
      <c r="E45" s="478" t="s">
        <v>36</v>
      </c>
      <c r="F45" s="479" t="s">
        <v>36</v>
      </c>
      <c r="G45" s="480"/>
      <c r="H45" s="480"/>
      <c r="I45" s="480"/>
      <c r="J45" s="480"/>
      <c r="K45" s="480"/>
      <c r="L45" s="481"/>
      <c r="M45" s="362"/>
      <c r="N45" s="362"/>
    </row>
    <row r="46" spans="2:30" ht="57.6" outlineLevel="1">
      <c r="B46" s="460" t="s">
        <v>732</v>
      </c>
      <c r="C46" s="482">
        <f>C29*$F$4*1000</f>
        <v>3725</v>
      </c>
      <c r="D46" s="482">
        <f t="shared" ref="D46:F46" si="2">D29*$F$4*1000</f>
        <v>3469.9403462447704</v>
      </c>
      <c r="E46" s="482">
        <f t="shared" si="2"/>
        <v>3322.7000000000003</v>
      </c>
      <c r="F46" s="482">
        <f t="shared" si="2"/>
        <v>3281.3985758696645</v>
      </c>
      <c r="G46" s="482"/>
      <c r="H46" s="483"/>
      <c r="I46" s="419" t="s">
        <v>332</v>
      </c>
      <c r="J46" s="419"/>
      <c r="K46" s="483"/>
      <c r="L46" s="483"/>
      <c r="N46" s="419"/>
    </row>
    <row r="47" spans="2:30" outlineLevel="1">
      <c r="B47" s="484" t="s">
        <v>733</v>
      </c>
      <c r="C47" s="485">
        <f>C46*$I47</f>
        <v>1862500</v>
      </c>
      <c r="D47" s="485">
        <f>D46*$I47</f>
        <v>1734970.1731223853</v>
      </c>
      <c r="E47" s="485">
        <f>E46*$I47</f>
        <v>1661350.0000000002</v>
      </c>
      <c r="F47" s="485">
        <f>F46*$I47</f>
        <v>1640699.2879348323</v>
      </c>
      <c r="G47" s="485"/>
      <c r="H47" s="483"/>
      <c r="I47" s="71">
        <v>500</v>
      </c>
      <c r="J47" s="419" t="s">
        <v>330</v>
      </c>
      <c r="K47" s="483"/>
      <c r="L47" s="483"/>
      <c r="N47" s="419"/>
    </row>
    <row r="48" spans="2:30" ht="43.2" outlineLevel="1">
      <c r="B48" s="460" t="s">
        <v>808</v>
      </c>
      <c r="C48" s="358">
        <f>C32*$F$4/1000</f>
        <v>251.065</v>
      </c>
      <c r="D48" s="358">
        <f t="shared" ref="D48:F48" si="3">D32*$F$4/1000</f>
        <v>242.87</v>
      </c>
      <c r="E48" s="358">
        <f t="shared" si="3"/>
        <v>235.42</v>
      </c>
      <c r="F48" s="358">
        <f t="shared" si="3"/>
        <v>227.97</v>
      </c>
      <c r="G48" s="358"/>
      <c r="I48" s="419" t="s">
        <v>333</v>
      </c>
      <c r="J48" s="419"/>
      <c r="N48" s="419"/>
    </row>
    <row r="49" spans="2:14" ht="43.2" outlineLevel="1">
      <c r="B49" s="460" t="s">
        <v>809</v>
      </c>
      <c r="C49" s="486">
        <f>C33*$F$4/3.6</f>
        <v>3.9381527777777778</v>
      </c>
      <c r="D49" s="486">
        <f t="shared" ref="D49:F49" si="4">D33*$F$4/3.6</f>
        <v>3.9836805555555559</v>
      </c>
      <c r="E49" s="486">
        <f t="shared" si="4"/>
        <v>4.0064444444444449</v>
      </c>
      <c r="F49" s="486">
        <f t="shared" si="4"/>
        <v>4.0064444444444449</v>
      </c>
      <c r="G49" s="358"/>
      <c r="M49" s="419"/>
      <c r="N49" s="419"/>
    </row>
    <row r="50" spans="2:14" outlineLevel="1"/>
    <row r="51" spans="2:14" outlineLevel="1"/>
    <row r="52" spans="2:14" outlineLevel="1"/>
    <row r="53" spans="2:14" outlineLevel="1"/>
    <row r="54" spans="2:14" outlineLevel="1">
      <c r="B54" s="487" t="s">
        <v>736</v>
      </c>
      <c r="C54" s="488"/>
      <c r="D54" s="488"/>
      <c r="E54" s="488"/>
      <c r="F54" s="357"/>
      <c r="G54" s="357"/>
      <c r="H54" s="357"/>
      <c r="I54" s="357"/>
      <c r="J54" s="357"/>
      <c r="K54" s="357"/>
      <c r="L54" s="357"/>
    </row>
    <row r="55" spans="2:14" outlineLevel="1">
      <c r="B55" s="490">
        <v>1</v>
      </c>
      <c r="C55" s="491" t="s">
        <v>737</v>
      </c>
      <c r="D55" s="488"/>
      <c r="E55" s="488"/>
      <c r="F55" s="357"/>
      <c r="G55" s="357"/>
      <c r="H55" s="357"/>
      <c r="I55" s="357"/>
      <c r="J55" s="357"/>
      <c r="K55" s="357"/>
      <c r="L55" s="357"/>
    </row>
    <row r="56" spans="2:14" outlineLevel="1">
      <c r="B56" s="490">
        <v>2</v>
      </c>
      <c r="C56" s="492" t="s">
        <v>738</v>
      </c>
      <c r="D56" s="488"/>
      <c r="E56" s="488"/>
      <c r="F56" s="357"/>
      <c r="G56" s="357"/>
      <c r="H56" s="357"/>
      <c r="I56" s="357"/>
      <c r="J56" s="357"/>
      <c r="K56" s="357"/>
      <c r="L56" s="357"/>
    </row>
    <row r="57" spans="2:14" outlineLevel="1">
      <c r="B57" s="490">
        <v>3</v>
      </c>
      <c r="C57" s="492" t="s">
        <v>739</v>
      </c>
      <c r="D57" s="488"/>
      <c r="E57" s="488"/>
      <c r="F57" s="357"/>
      <c r="G57" s="357"/>
      <c r="H57" s="357"/>
      <c r="I57" s="357"/>
      <c r="J57" s="357"/>
      <c r="K57" s="357"/>
      <c r="L57" s="357"/>
    </row>
    <row r="58" spans="2:14" outlineLevel="1">
      <c r="B58" s="490">
        <v>4</v>
      </c>
      <c r="C58" s="492" t="s">
        <v>740</v>
      </c>
      <c r="D58" s="488"/>
      <c r="E58" s="488"/>
      <c r="F58" s="357"/>
      <c r="G58" s="357"/>
      <c r="H58" s="357"/>
      <c r="I58" s="357"/>
      <c r="J58" s="357"/>
      <c r="K58" s="357"/>
      <c r="L58" s="357"/>
    </row>
    <row r="59" spans="2:14" outlineLevel="1">
      <c r="B59" s="488">
        <v>5</v>
      </c>
      <c r="C59" s="493" t="s">
        <v>741</v>
      </c>
      <c r="D59" s="488"/>
      <c r="E59" s="488"/>
      <c r="F59" s="357"/>
      <c r="G59" s="357"/>
      <c r="H59" s="357"/>
      <c r="I59" s="357"/>
      <c r="J59" s="357"/>
      <c r="K59" s="357"/>
      <c r="L59" s="357"/>
    </row>
    <row r="60" spans="2:14" outlineLevel="1">
      <c r="B60" s="488">
        <v>6</v>
      </c>
      <c r="C60" s="491" t="s">
        <v>742</v>
      </c>
      <c r="D60" s="488"/>
      <c r="E60" s="488"/>
      <c r="F60" s="357"/>
      <c r="G60" s="357"/>
      <c r="H60" s="357"/>
      <c r="I60" s="357"/>
      <c r="J60" s="357"/>
      <c r="K60" s="357"/>
      <c r="L60" s="357"/>
    </row>
    <row r="61" spans="2:14" outlineLevel="1">
      <c r="B61" s="488">
        <v>7</v>
      </c>
      <c r="C61" s="494" t="s">
        <v>737</v>
      </c>
      <c r="D61" s="488"/>
      <c r="E61" s="488"/>
      <c r="F61" s="357"/>
      <c r="G61" s="357"/>
      <c r="H61" s="357"/>
      <c r="I61" s="357"/>
      <c r="J61" s="357"/>
      <c r="K61" s="357"/>
      <c r="L61" s="357"/>
    </row>
    <row r="62" spans="2:14" outlineLevel="1">
      <c r="B62" s="488">
        <v>8</v>
      </c>
      <c r="C62" s="494" t="s">
        <v>743</v>
      </c>
      <c r="D62" s="489"/>
      <c r="E62" s="488"/>
      <c r="F62" s="357"/>
      <c r="G62" s="357"/>
      <c r="H62" s="357"/>
      <c r="I62" s="357"/>
      <c r="J62" s="357"/>
      <c r="K62" s="357"/>
      <c r="L62" s="357"/>
    </row>
    <row r="63" spans="2:14" outlineLevel="1">
      <c r="B63" s="488">
        <v>9</v>
      </c>
      <c r="C63" s="488" t="s">
        <v>744</v>
      </c>
      <c r="D63" s="489"/>
      <c r="E63" s="488"/>
      <c r="F63" s="357"/>
      <c r="G63" s="357"/>
      <c r="H63" s="357"/>
      <c r="I63" s="357"/>
      <c r="J63" s="357"/>
      <c r="K63" s="357"/>
      <c r="L63" s="357"/>
    </row>
    <row r="64" spans="2:14" outlineLevel="1">
      <c r="B64" s="488">
        <v>10</v>
      </c>
      <c r="C64" s="489" t="s">
        <v>745</v>
      </c>
      <c r="D64" s="489"/>
      <c r="E64" s="488"/>
      <c r="F64" s="357"/>
      <c r="G64" s="357"/>
      <c r="H64" s="357"/>
      <c r="I64" s="357"/>
      <c r="J64" s="357"/>
      <c r="K64" s="357"/>
      <c r="L64" s="357"/>
    </row>
    <row r="65" spans="2:12" outlineLevel="1">
      <c r="B65" s="487" t="s">
        <v>746</v>
      </c>
      <c r="C65" s="488"/>
      <c r="D65" s="357"/>
      <c r="E65" s="488"/>
      <c r="F65" s="357"/>
      <c r="G65" s="357"/>
      <c r="H65" s="357"/>
      <c r="I65" s="357"/>
      <c r="J65" s="357"/>
      <c r="K65" s="357"/>
      <c r="L65" s="357"/>
    </row>
    <row r="66" spans="2:12" outlineLevel="1">
      <c r="B66" s="495" t="s">
        <v>6</v>
      </c>
      <c r="C66" s="488" t="s">
        <v>1055</v>
      </c>
      <c r="D66" s="357"/>
      <c r="E66" s="488"/>
      <c r="F66" s="357"/>
      <c r="G66" s="357"/>
      <c r="H66" s="357"/>
      <c r="I66" s="357"/>
      <c r="J66" s="357"/>
      <c r="K66" s="357"/>
      <c r="L66" s="357"/>
    </row>
    <row r="67" spans="2:12" outlineLevel="1">
      <c r="B67" s="495" t="s">
        <v>59</v>
      </c>
      <c r="C67" s="488" t="s">
        <v>748</v>
      </c>
      <c r="D67" s="357"/>
      <c r="E67" s="488"/>
      <c r="F67" s="357"/>
      <c r="G67" s="357"/>
      <c r="H67" s="357"/>
      <c r="I67" s="357"/>
      <c r="J67" s="357"/>
      <c r="K67" s="357"/>
      <c r="L67" s="357"/>
    </row>
    <row r="68" spans="2:12" outlineLevel="1">
      <c r="B68" s="495" t="s">
        <v>16</v>
      </c>
      <c r="C68" s="488" t="s">
        <v>939</v>
      </c>
      <c r="D68" s="357"/>
      <c r="E68" s="488"/>
      <c r="F68" s="357"/>
      <c r="G68" s="357"/>
      <c r="H68" s="357"/>
      <c r="I68" s="357"/>
      <c r="J68" s="357"/>
      <c r="K68" s="357"/>
      <c r="L68" s="357"/>
    </row>
    <row r="69" spans="2:12" outlineLevel="1">
      <c r="B69" s="495" t="s">
        <v>20</v>
      </c>
      <c r="C69" s="488" t="s">
        <v>1056</v>
      </c>
      <c r="D69" s="357"/>
      <c r="E69" s="488"/>
      <c r="F69" s="357"/>
      <c r="G69" s="357"/>
      <c r="H69" s="357"/>
      <c r="I69" s="357"/>
      <c r="J69" s="357"/>
      <c r="K69" s="357"/>
      <c r="L69" s="357"/>
    </row>
    <row r="70" spans="2:12" outlineLevel="1">
      <c r="B70" s="495" t="s">
        <v>76</v>
      </c>
      <c r="C70" s="488" t="s">
        <v>749</v>
      </c>
      <c r="D70" s="357"/>
      <c r="E70" s="488"/>
      <c r="G70" s="357"/>
      <c r="H70" s="357"/>
      <c r="I70" s="357"/>
      <c r="J70" s="357"/>
      <c r="K70" s="357"/>
      <c r="L70" s="357"/>
    </row>
    <row r="71" spans="2:12" outlineLevel="1">
      <c r="B71" s="495" t="s">
        <v>25</v>
      </c>
      <c r="C71" s="488" t="s">
        <v>941</v>
      </c>
      <c r="D71" s="357"/>
      <c r="E71" s="488"/>
      <c r="G71" s="357"/>
      <c r="H71" s="357"/>
      <c r="I71" s="357"/>
      <c r="J71" s="357"/>
      <c r="K71" s="357"/>
      <c r="L71" s="357"/>
    </row>
    <row r="72" spans="2:12" outlineLevel="1">
      <c r="B72" s="495" t="s">
        <v>33</v>
      </c>
      <c r="C72" s="488" t="s">
        <v>942</v>
      </c>
      <c r="D72" s="357"/>
      <c r="E72" s="488"/>
      <c r="G72" s="357"/>
      <c r="H72" s="357"/>
      <c r="I72" s="357"/>
      <c r="J72" s="357"/>
      <c r="K72" s="357"/>
      <c r="L72" s="357"/>
    </row>
    <row r="73" spans="2:12" outlineLevel="1">
      <c r="B73" s="495" t="s">
        <v>51</v>
      </c>
      <c r="C73" s="488" t="s">
        <v>750</v>
      </c>
      <c r="D73" s="357"/>
      <c r="E73" s="488"/>
      <c r="G73" s="357"/>
      <c r="H73" s="357"/>
      <c r="I73" s="357"/>
      <c r="J73" s="357"/>
      <c r="K73" s="357"/>
      <c r="L73" s="357"/>
    </row>
    <row r="74" spans="2:12" outlineLevel="1">
      <c r="B74" s="495" t="s">
        <v>52</v>
      </c>
      <c r="C74" s="488" t="s">
        <v>751</v>
      </c>
      <c r="D74" s="357"/>
      <c r="E74" s="489"/>
      <c r="G74" s="357"/>
      <c r="H74" s="357"/>
      <c r="I74" s="357"/>
      <c r="J74" s="357"/>
      <c r="K74" s="357"/>
      <c r="L74" s="357"/>
    </row>
    <row r="75" spans="2:12" outlineLevel="1">
      <c r="B75" s="495" t="s">
        <v>55</v>
      </c>
      <c r="C75" s="488" t="s">
        <v>752</v>
      </c>
      <c r="D75" s="357"/>
      <c r="E75" s="489"/>
      <c r="G75" s="357"/>
      <c r="H75" s="357"/>
      <c r="I75" s="357"/>
      <c r="J75" s="357"/>
      <c r="K75" s="357"/>
      <c r="L75" s="357"/>
    </row>
    <row r="76" spans="2:12" outlineLevel="1">
      <c r="E76" s="489"/>
      <c r="G76" s="357"/>
      <c r="H76" s="357"/>
      <c r="I76" s="357"/>
      <c r="J76" s="357"/>
      <c r="K76" s="357"/>
      <c r="L76" s="357"/>
    </row>
    <row r="77" spans="2:12" outlineLevel="1">
      <c r="B77" s="495"/>
      <c r="C77" s="488"/>
      <c r="G77" s="357"/>
      <c r="H77" s="357"/>
      <c r="I77" s="357"/>
      <c r="J77" s="357"/>
      <c r="K77" s="357"/>
      <c r="L77" s="357"/>
    </row>
    <row r="78" spans="2:12" outlineLevel="1">
      <c r="E78" s="489"/>
      <c r="F78" s="489"/>
    </row>
    <row r="79" spans="2:12" outlineLevel="1"/>
    <row r="80" spans="2:12" outlineLevel="1">
      <c r="B80" s="495"/>
      <c r="C80" s="488"/>
      <c r="D80" s="488"/>
    </row>
    <row r="81" spans="1:44" outlineLevel="1">
      <c r="B81" s="637" t="str">
        <f>C86</f>
        <v>Hot water boiler, Coal</v>
      </c>
    </row>
    <row r="84" spans="1:44">
      <c r="A84" s="359" t="s">
        <v>1060</v>
      </c>
      <c r="B84" s="1204"/>
      <c r="C84" s="1140"/>
      <c r="D84" s="1140"/>
      <c r="E84" s="1140"/>
      <c r="F84" s="1140"/>
      <c r="G84" s="1140"/>
      <c r="H84" s="1140"/>
      <c r="I84" s="1140"/>
      <c r="J84" s="1140"/>
      <c r="K84" s="1140"/>
      <c r="L84" s="1140"/>
      <c r="M84" s="1140"/>
      <c r="N84" s="692"/>
      <c r="P84" s="1140"/>
      <c r="Q84" s="1140"/>
      <c r="R84" s="1140"/>
      <c r="S84" s="1140"/>
      <c r="T84" s="1140"/>
      <c r="U84" s="1140"/>
    </row>
    <row r="85" spans="1:44" ht="15" outlineLevel="1" thickBot="1">
      <c r="B85" s="1204"/>
      <c r="C85" s="1140"/>
      <c r="D85" s="1140"/>
      <c r="E85" s="1140"/>
      <c r="F85" s="1140"/>
      <c r="G85" s="1140"/>
      <c r="H85" s="1140"/>
      <c r="I85" s="1140"/>
      <c r="J85" s="1140"/>
      <c r="K85" s="1140"/>
      <c r="L85" s="1140"/>
      <c r="M85" s="1140"/>
      <c r="N85" s="692"/>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5" customHeight="1" outlineLevel="1" thickBot="1">
      <c r="B86" s="361" t="s">
        <v>0</v>
      </c>
      <c r="C86" s="1201" t="s">
        <v>1058</v>
      </c>
      <c r="D86" s="1202"/>
      <c r="E86" s="1202"/>
      <c r="F86" s="1202"/>
      <c r="G86" s="1202"/>
      <c r="H86" s="1202"/>
      <c r="I86" s="1202"/>
      <c r="J86" s="1202"/>
      <c r="K86" s="1202"/>
      <c r="L86" s="1203"/>
      <c r="M86" s="362"/>
      <c r="N86" s="362"/>
      <c r="P86" s="363" t="s">
        <v>676</v>
      </c>
      <c r="Q86" s="364"/>
      <c r="R86" s="365"/>
      <c r="S86" s="1173" t="s">
        <v>677</v>
      </c>
      <c r="T86" s="1157" t="s">
        <v>678</v>
      </c>
      <c r="U86" s="1158"/>
      <c r="V86" s="1157" t="s">
        <v>679</v>
      </c>
      <c r="W86" s="1158"/>
      <c r="X86" s="1157" t="s">
        <v>680</v>
      </c>
      <c r="Y86" s="1158"/>
      <c r="Z86" s="1157" t="s">
        <v>681</v>
      </c>
      <c r="AA86" s="1158"/>
      <c r="AB86" s="1157" t="s">
        <v>682</v>
      </c>
      <c r="AC86" s="1158"/>
      <c r="AE86" s="363" t="s">
        <v>683</v>
      </c>
      <c r="AF86" s="364"/>
      <c r="AG86" s="365"/>
      <c r="AH86" s="1173" t="s">
        <v>677</v>
      </c>
      <c r="AI86" s="1157" t="s">
        <v>678</v>
      </c>
      <c r="AJ86" s="1158"/>
      <c r="AK86" s="1157" t="s">
        <v>679</v>
      </c>
      <c r="AL86" s="1158"/>
      <c r="AM86" s="1157" t="s">
        <v>680</v>
      </c>
      <c r="AN86" s="1158"/>
      <c r="AO86" s="1157" t="s">
        <v>681</v>
      </c>
      <c r="AP86" s="1158"/>
      <c r="AQ86" s="1157" t="s">
        <v>682</v>
      </c>
      <c r="AR86" s="1158"/>
    </row>
    <row r="87" spans="1:44" ht="15" customHeight="1" outlineLevel="1" thickBot="1">
      <c r="B87" s="1161" t="s">
        <v>4</v>
      </c>
      <c r="C87" s="1163">
        <v>2020</v>
      </c>
      <c r="D87" s="1163">
        <v>2030</v>
      </c>
      <c r="E87" s="1163">
        <v>2040</v>
      </c>
      <c r="F87" s="1163">
        <v>2050</v>
      </c>
      <c r="G87" s="1197" t="s">
        <v>684</v>
      </c>
      <c r="H87" s="1198"/>
      <c r="I87" s="1197" t="s">
        <v>628</v>
      </c>
      <c r="J87" s="1198"/>
      <c r="K87" s="1199" t="s">
        <v>2</v>
      </c>
      <c r="L87" s="1199" t="s">
        <v>3</v>
      </c>
      <c r="M87" s="366"/>
      <c r="N87" s="366"/>
      <c r="P87" s="1177" t="s">
        <v>0</v>
      </c>
      <c r="Q87" s="367"/>
      <c r="R87" s="367"/>
      <c r="S87" s="1174"/>
      <c r="T87" s="1159"/>
      <c r="U87" s="1160"/>
      <c r="V87" s="1159"/>
      <c r="W87" s="1160"/>
      <c r="X87" s="1159"/>
      <c r="Y87" s="1160"/>
      <c r="Z87" s="1159"/>
      <c r="AA87" s="1160"/>
      <c r="AB87" s="1159"/>
      <c r="AC87" s="1160"/>
      <c r="AE87" s="1177" t="s">
        <v>0</v>
      </c>
      <c r="AF87" s="367"/>
      <c r="AG87" s="367"/>
      <c r="AH87" s="1174"/>
      <c r="AI87" s="1159"/>
      <c r="AJ87" s="1160"/>
      <c r="AK87" s="1159"/>
      <c r="AL87" s="1160"/>
      <c r="AM87" s="1159"/>
      <c r="AN87" s="1160"/>
      <c r="AO87" s="1159"/>
      <c r="AP87" s="1160"/>
      <c r="AQ87" s="1159"/>
      <c r="AR87" s="1160"/>
    </row>
    <row r="88" spans="1:44" ht="15" customHeight="1" outlineLevel="1" thickBot="1">
      <c r="B88" s="1162"/>
      <c r="C88" s="1164"/>
      <c r="D88" s="1164"/>
      <c r="E88" s="1164"/>
      <c r="F88" s="1164"/>
      <c r="G88" s="498" t="s">
        <v>629</v>
      </c>
      <c r="H88" s="498" t="s">
        <v>630</v>
      </c>
      <c r="I88" s="498" t="s">
        <v>629</v>
      </c>
      <c r="J88" s="498" t="s">
        <v>630</v>
      </c>
      <c r="K88" s="1200"/>
      <c r="L88" s="1200"/>
      <c r="M88" s="369"/>
      <c r="N88" s="369"/>
      <c r="P88" s="1178"/>
      <c r="Q88" s="1180" t="s">
        <v>685</v>
      </c>
      <c r="R88" s="1181" t="s">
        <v>686</v>
      </c>
      <c r="S88" s="1175"/>
      <c r="T88" s="1159"/>
      <c r="U88" s="1160"/>
      <c r="V88" s="1159"/>
      <c r="W88" s="1160"/>
      <c r="X88" s="1159"/>
      <c r="Y88" s="1160"/>
      <c r="Z88" s="1159"/>
      <c r="AA88" s="1160"/>
      <c r="AB88" s="1159"/>
      <c r="AC88" s="1160"/>
      <c r="AE88" s="1178"/>
      <c r="AF88" s="1194" t="s">
        <v>685</v>
      </c>
      <c r="AG88" s="1181" t="s">
        <v>686</v>
      </c>
      <c r="AH88" s="1175"/>
      <c r="AI88" s="1159"/>
      <c r="AJ88" s="1160"/>
      <c r="AK88" s="1159"/>
      <c r="AL88" s="1160"/>
      <c r="AM88" s="1159"/>
      <c r="AN88" s="1160"/>
      <c r="AO88" s="1159"/>
      <c r="AP88" s="1160"/>
      <c r="AQ88" s="1159"/>
      <c r="AR88" s="1160"/>
    </row>
    <row r="89" spans="1:44" ht="29.4" outlineLevel="1" thickBot="1">
      <c r="B89" s="370" t="s">
        <v>631</v>
      </c>
      <c r="C89" s="371">
        <v>20</v>
      </c>
      <c r="D89" s="371">
        <v>20</v>
      </c>
      <c r="E89" s="371">
        <v>20</v>
      </c>
      <c r="F89" s="371">
        <v>20</v>
      </c>
      <c r="G89" s="371">
        <v>1</v>
      </c>
      <c r="H89" s="371">
        <v>50</v>
      </c>
      <c r="I89" s="371">
        <v>1</v>
      </c>
      <c r="J89" s="371">
        <v>50</v>
      </c>
      <c r="K89" s="371" t="s">
        <v>6</v>
      </c>
      <c r="L89" s="372">
        <v>3</v>
      </c>
      <c r="M89" s="369"/>
      <c r="N89" s="369"/>
      <c r="O89" s="74"/>
      <c r="P89" s="1179"/>
      <c r="Q89" s="1176"/>
      <c r="R89" s="1182"/>
      <c r="S89" s="1176"/>
      <c r="T89" s="373" t="s">
        <v>689</v>
      </c>
      <c r="U89" s="374" t="s">
        <v>690</v>
      </c>
      <c r="V89" s="373" t="s">
        <v>689</v>
      </c>
      <c r="W89" s="374" t="s">
        <v>690</v>
      </c>
      <c r="X89" s="373" t="s">
        <v>689</v>
      </c>
      <c r="Y89" s="374" t="s">
        <v>690</v>
      </c>
      <c r="Z89" s="373" t="s">
        <v>689</v>
      </c>
      <c r="AA89" s="374" t="s">
        <v>690</v>
      </c>
      <c r="AB89" s="373" t="s">
        <v>689</v>
      </c>
      <c r="AC89" s="374" t="s">
        <v>690</v>
      </c>
      <c r="AE89" s="1179"/>
      <c r="AF89" s="1195"/>
      <c r="AG89" s="1182"/>
      <c r="AH89" s="1176"/>
      <c r="AI89" s="373" t="s">
        <v>689</v>
      </c>
      <c r="AJ89" s="374" t="s">
        <v>690</v>
      </c>
      <c r="AK89" s="373" t="s">
        <v>689</v>
      </c>
      <c r="AL89" s="374" t="s">
        <v>690</v>
      </c>
      <c r="AM89" s="373" t="s">
        <v>689</v>
      </c>
      <c r="AN89" s="374" t="s">
        <v>690</v>
      </c>
      <c r="AO89" s="373" t="s">
        <v>689</v>
      </c>
      <c r="AP89" s="374" t="s">
        <v>690</v>
      </c>
      <c r="AQ89" s="373" t="s">
        <v>689</v>
      </c>
      <c r="AR89" s="374" t="s">
        <v>690</v>
      </c>
    </row>
    <row r="90" spans="1:44" ht="15" customHeight="1" outlineLevel="1">
      <c r="B90" s="499" t="s">
        <v>691</v>
      </c>
      <c r="C90" s="667">
        <v>90</v>
      </c>
      <c r="D90" s="667">
        <v>90</v>
      </c>
      <c r="E90" s="668">
        <v>91</v>
      </c>
      <c r="F90" s="667">
        <v>92</v>
      </c>
      <c r="G90" s="667">
        <v>88</v>
      </c>
      <c r="H90" s="667">
        <f>(D90*1.02)</f>
        <v>91.8</v>
      </c>
      <c r="I90" s="667">
        <v>88</v>
      </c>
      <c r="J90" s="667">
        <f>(F90*1.01)</f>
        <v>92.92</v>
      </c>
      <c r="K90" s="502"/>
      <c r="L90" s="503" t="s">
        <v>692</v>
      </c>
      <c r="M90" s="369"/>
      <c r="N90" s="369"/>
      <c r="P90" s="1145" t="str">
        <f>C86</f>
        <v>Hot water boiler, Coal</v>
      </c>
      <c r="Q90" s="1151" t="s">
        <v>693</v>
      </c>
      <c r="R90" s="380" t="s">
        <v>694</v>
      </c>
      <c r="S90" s="381"/>
      <c r="T90" s="1134">
        <v>0</v>
      </c>
      <c r="U90" s="1148">
        <v>0</v>
      </c>
      <c r="V90" s="1154">
        <v>0</v>
      </c>
      <c r="W90" s="1148">
        <v>0</v>
      </c>
      <c r="X90" s="1154">
        <v>0</v>
      </c>
      <c r="Y90" s="1148">
        <v>0</v>
      </c>
      <c r="Z90" s="1154">
        <v>0</v>
      </c>
      <c r="AA90" s="1148">
        <v>0</v>
      </c>
      <c r="AB90" s="1154">
        <v>0</v>
      </c>
      <c r="AC90" s="1148">
        <v>0</v>
      </c>
      <c r="AE90" s="1145" t="str">
        <f>P90</f>
        <v>Hot water boiler, Coal</v>
      </c>
      <c r="AF90" s="1151" t="s">
        <v>693</v>
      </c>
      <c r="AG90" s="380" t="s">
        <v>694</v>
      </c>
      <c r="AH90" s="381"/>
      <c r="AI90" s="1134">
        <v>0</v>
      </c>
      <c r="AJ90" s="1148">
        <v>0</v>
      </c>
      <c r="AK90" s="1154">
        <v>0</v>
      </c>
      <c r="AL90" s="1148">
        <v>0</v>
      </c>
      <c r="AM90" s="1154">
        <v>0</v>
      </c>
      <c r="AN90" s="1148">
        <v>0</v>
      </c>
      <c r="AO90" s="1154">
        <v>0</v>
      </c>
      <c r="AP90" s="1148">
        <v>0</v>
      </c>
      <c r="AQ90" s="1154">
        <v>0</v>
      </c>
      <c r="AR90" s="1148">
        <v>0</v>
      </c>
    </row>
    <row r="91" spans="1:44" outlineLevel="1">
      <c r="B91" s="382" t="s">
        <v>695</v>
      </c>
      <c r="C91" s="576">
        <f t="shared" ref="C91:J91" si="5">(C90-1)</f>
        <v>89</v>
      </c>
      <c r="D91" s="576">
        <f t="shared" si="5"/>
        <v>89</v>
      </c>
      <c r="E91" s="576">
        <f t="shared" si="5"/>
        <v>90</v>
      </c>
      <c r="F91" s="576">
        <f t="shared" si="5"/>
        <v>91</v>
      </c>
      <c r="G91" s="575">
        <f t="shared" si="5"/>
        <v>87</v>
      </c>
      <c r="H91" s="575">
        <f t="shared" si="5"/>
        <v>90.8</v>
      </c>
      <c r="I91" s="575">
        <f t="shared" si="5"/>
        <v>87</v>
      </c>
      <c r="J91" s="575">
        <f t="shared" si="5"/>
        <v>91.92</v>
      </c>
      <c r="K91" s="371"/>
      <c r="L91" s="372" t="s">
        <v>692</v>
      </c>
      <c r="M91" s="369"/>
      <c r="N91" s="369"/>
      <c r="O91" s="71"/>
      <c r="P91" s="1192"/>
      <c r="Q91" s="1152"/>
      <c r="R91" s="387" t="s">
        <v>696</v>
      </c>
      <c r="S91" s="388"/>
      <c r="T91" s="1137"/>
      <c r="U91" s="1149"/>
      <c r="V91" s="1155"/>
      <c r="W91" s="1149"/>
      <c r="X91" s="1155"/>
      <c r="Y91" s="1149"/>
      <c r="Z91" s="1155"/>
      <c r="AA91" s="1149"/>
      <c r="AB91" s="1155"/>
      <c r="AC91" s="1149"/>
      <c r="AE91" s="1192"/>
      <c r="AF91" s="1152"/>
      <c r="AG91" s="387" t="s">
        <v>696</v>
      </c>
      <c r="AH91" s="388"/>
      <c r="AI91" s="1137"/>
      <c r="AJ91" s="1149"/>
      <c r="AK91" s="1155"/>
      <c r="AL91" s="1149"/>
      <c r="AM91" s="1155"/>
      <c r="AN91" s="1149"/>
      <c r="AO91" s="1155"/>
      <c r="AP91" s="1149"/>
      <c r="AQ91" s="1155"/>
      <c r="AR91" s="1149"/>
    </row>
    <row r="92" spans="1:44" ht="15" outlineLevel="1" thickBot="1">
      <c r="B92" s="499" t="s">
        <v>697</v>
      </c>
      <c r="C92" s="505">
        <v>1.1000000000000001</v>
      </c>
      <c r="D92" s="506">
        <v>1.1000000000000001</v>
      </c>
      <c r="E92" s="506">
        <v>1.1000000000000001</v>
      </c>
      <c r="F92" s="507">
        <v>1.1000000000000001</v>
      </c>
      <c r="G92" s="506">
        <v>1</v>
      </c>
      <c r="H92" s="506">
        <v>1.5</v>
      </c>
      <c r="I92" s="506">
        <v>1</v>
      </c>
      <c r="J92" s="506">
        <v>1.5</v>
      </c>
      <c r="K92" s="502" t="s">
        <v>59</v>
      </c>
      <c r="L92" s="503">
        <v>3</v>
      </c>
      <c r="M92" s="369"/>
      <c r="N92" s="369"/>
      <c r="O92" s="71"/>
      <c r="P92" s="1192"/>
      <c r="Q92" s="1153"/>
      <c r="R92" s="392" t="s">
        <v>698</v>
      </c>
      <c r="S92" s="393"/>
      <c r="T92" s="1138"/>
      <c r="U92" s="1150"/>
      <c r="V92" s="1156"/>
      <c r="W92" s="1150"/>
      <c r="X92" s="1156"/>
      <c r="Y92" s="1150"/>
      <c r="Z92" s="1156"/>
      <c r="AA92" s="1150"/>
      <c r="AB92" s="1156"/>
      <c r="AC92" s="1150"/>
      <c r="AE92" s="1192"/>
      <c r="AF92" s="1153"/>
      <c r="AG92" s="392" t="s">
        <v>698</v>
      </c>
      <c r="AH92" s="393"/>
      <c r="AI92" s="1138"/>
      <c r="AJ92" s="1150"/>
      <c r="AK92" s="1156"/>
      <c r="AL92" s="1150"/>
      <c r="AM92" s="1156"/>
      <c r="AN92" s="1150"/>
      <c r="AO92" s="1156"/>
      <c r="AP92" s="1150"/>
      <c r="AQ92" s="1156"/>
      <c r="AR92" s="1150"/>
    </row>
    <row r="93" spans="1:44" ht="15" customHeight="1" outlineLevel="1">
      <c r="B93" s="499" t="s">
        <v>637</v>
      </c>
      <c r="C93" s="815">
        <f>0.2+1</f>
        <v>1.2</v>
      </c>
      <c r="D93" s="815">
        <f>0.2+1</f>
        <v>1.2</v>
      </c>
      <c r="E93" s="815">
        <f>0.2+1</f>
        <v>1.2</v>
      </c>
      <c r="F93" s="815">
        <f>0.2+1</f>
        <v>1.2</v>
      </c>
      <c r="G93" s="816">
        <v>0.1</v>
      </c>
      <c r="H93" s="815">
        <f>0.2+2</f>
        <v>2.2000000000000002</v>
      </c>
      <c r="I93" s="816">
        <v>0.1</v>
      </c>
      <c r="J93" s="815">
        <f>0.2+2</f>
        <v>2.2000000000000002</v>
      </c>
      <c r="K93" s="502" t="s">
        <v>16</v>
      </c>
      <c r="L93" s="503">
        <v>3</v>
      </c>
      <c r="M93" s="369"/>
      <c r="N93" s="369"/>
      <c r="O93" s="71"/>
      <c r="P93" s="1192"/>
      <c r="Q93" s="1151" t="s">
        <v>699</v>
      </c>
      <c r="R93" s="394" t="s">
        <v>700</v>
      </c>
      <c r="S93" s="395" t="s">
        <v>701</v>
      </c>
      <c r="T93" s="1134">
        <v>0</v>
      </c>
      <c r="U93" s="1134">
        <v>0.67</v>
      </c>
      <c r="V93" s="1134">
        <v>0</v>
      </c>
      <c r="W93" s="1134">
        <v>0.56999999999999995</v>
      </c>
      <c r="X93" s="1134">
        <v>0</v>
      </c>
      <c r="Y93" s="1134">
        <v>0.5</v>
      </c>
      <c r="Z93" s="1134">
        <v>0</v>
      </c>
      <c r="AA93" s="1134">
        <v>0.51</v>
      </c>
      <c r="AB93" s="1134">
        <v>0</v>
      </c>
      <c r="AC93" s="1148">
        <v>0.41</v>
      </c>
      <c r="AE93" s="1192"/>
      <c r="AF93" s="1151" t="s">
        <v>699</v>
      </c>
      <c r="AG93" s="394" t="s">
        <v>700</v>
      </c>
      <c r="AH93" s="395" t="s">
        <v>701</v>
      </c>
      <c r="AI93" s="1134">
        <v>0</v>
      </c>
      <c r="AJ93" s="1134">
        <f>U93/4</f>
        <v>0.16750000000000001</v>
      </c>
      <c r="AK93" s="1134">
        <v>0</v>
      </c>
      <c r="AL93" s="1134">
        <f>W93/4</f>
        <v>0.14249999999999999</v>
      </c>
      <c r="AM93" s="1134">
        <v>0</v>
      </c>
      <c r="AN93" s="1134">
        <f>Y93/4</f>
        <v>0.125</v>
      </c>
      <c r="AO93" s="1134">
        <v>0</v>
      </c>
      <c r="AP93" s="1134">
        <f>AA93/4</f>
        <v>0.1275</v>
      </c>
      <c r="AQ93" s="1134">
        <v>0</v>
      </c>
      <c r="AR93" s="1148">
        <f>AC93/4</f>
        <v>0.10249999999999999</v>
      </c>
    </row>
    <row r="94" spans="1:44" outlineLevel="1">
      <c r="B94" s="499" t="s">
        <v>638</v>
      </c>
      <c r="C94" s="505">
        <f>0.5+0.4</f>
        <v>0.9</v>
      </c>
      <c r="D94" s="505">
        <f>0.5+0.4</f>
        <v>0.9</v>
      </c>
      <c r="E94" s="505">
        <f>0.5+0.4</f>
        <v>0.9</v>
      </c>
      <c r="F94" s="505">
        <f>0.5+0.4</f>
        <v>0.9</v>
      </c>
      <c r="G94" s="505">
        <f>0.5+0.3</f>
        <v>0.8</v>
      </c>
      <c r="H94" s="505">
        <f>0.5+0.6</f>
        <v>1.1000000000000001</v>
      </c>
      <c r="I94" s="505">
        <f>0.5+0.3</f>
        <v>0.8</v>
      </c>
      <c r="J94" s="505">
        <f>0.5+0.6</f>
        <v>1.1000000000000001</v>
      </c>
      <c r="K94" s="502" t="s">
        <v>16</v>
      </c>
      <c r="L94" s="503">
        <v>3</v>
      </c>
      <c r="M94" s="366"/>
      <c r="N94" s="366"/>
      <c r="O94" s="71"/>
      <c r="P94" s="1192"/>
      <c r="Q94" s="1152"/>
      <c r="R94" s="394" t="s">
        <v>702</v>
      </c>
      <c r="S94" s="395" t="s">
        <v>701</v>
      </c>
      <c r="T94" s="1188"/>
      <c r="U94" s="1188"/>
      <c r="V94" s="1188"/>
      <c r="W94" s="1188"/>
      <c r="X94" s="1188"/>
      <c r="Y94" s="1188"/>
      <c r="Z94" s="1188"/>
      <c r="AA94" s="1188"/>
      <c r="AB94" s="1188"/>
      <c r="AC94" s="1190"/>
      <c r="AE94" s="1192"/>
      <c r="AF94" s="1152"/>
      <c r="AG94" s="394" t="s">
        <v>702</v>
      </c>
      <c r="AH94" s="395" t="s">
        <v>701</v>
      </c>
      <c r="AI94" s="1188"/>
      <c r="AJ94" s="1188"/>
      <c r="AK94" s="1188"/>
      <c r="AL94" s="1188"/>
      <c r="AM94" s="1188"/>
      <c r="AN94" s="1188"/>
      <c r="AO94" s="1188"/>
      <c r="AP94" s="1188"/>
      <c r="AQ94" s="1188"/>
      <c r="AR94" s="1190"/>
    </row>
    <row r="95" spans="1:44" outlineLevel="1">
      <c r="B95" s="382" t="s">
        <v>11</v>
      </c>
      <c r="C95" s="396">
        <v>25</v>
      </c>
      <c r="D95" s="396">
        <v>25</v>
      </c>
      <c r="E95" s="396">
        <v>25</v>
      </c>
      <c r="F95" s="396">
        <v>25</v>
      </c>
      <c r="G95" s="398">
        <v>20</v>
      </c>
      <c r="H95" s="398">
        <v>30</v>
      </c>
      <c r="I95" s="398">
        <v>20</v>
      </c>
      <c r="J95" s="398">
        <v>30</v>
      </c>
      <c r="K95" s="371"/>
      <c r="L95" s="372" t="s">
        <v>703</v>
      </c>
      <c r="M95" s="362"/>
      <c r="N95" s="362"/>
      <c r="P95" s="1192"/>
      <c r="Q95" s="1152"/>
      <c r="R95" s="394" t="s">
        <v>704</v>
      </c>
      <c r="S95" s="395"/>
      <c r="T95" s="1188"/>
      <c r="U95" s="1188"/>
      <c r="V95" s="1188"/>
      <c r="W95" s="1188"/>
      <c r="X95" s="1188"/>
      <c r="Y95" s="1188"/>
      <c r="Z95" s="1188"/>
      <c r="AA95" s="1188"/>
      <c r="AB95" s="1188"/>
      <c r="AC95" s="1190"/>
      <c r="AE95" s="1192"/>
      <c r="AF95" s="1152"/>
      <c r="AG95" s="394" t="s">
        <v>704</v>
      </c>
      <c r="AH95" s="628" t="s">
        <v>701</v>
      </c>
      <c r="AI95" s="1188"/>
      <c r="AJ95" s="1188"/>
      <c r="AK95" s="1188"/>
      <c r="AL95" s="1188"/>
      <c r="AM95" s="1188"/>
      <c r="AN95" s="1188"/>
      <c r="AO95" s="1188"/>
      <c r="AP95" s="1188"/>
      <c r="AQ95" s="1188"/>
      <c r="AR95" s="1190"/>
    </row>
    <row r="96" spans="1:44" ht="15" outlineLevel="1" thickBot="1">
      <c r="B96" s="499" t="s">
        <v>273</v>
      </c>
      <c r="C96" s="505">
        <v>0.5</v>
      </c>
      <c r="D96" s="505">
        <v>0.5</v>
      </c>
      <c r="E96" s="505">
        <v>0.5</v>
      </c>
      <c r="F96" s="505">
        <v>0.5</v>
      </c>
      <c r="G96" s="505">
        <v>0.2</v>
      </c>
      <c r="H96" s="505">
        <v>0.7</v>
      </c>
      <c r="I96" s="505">
        <v>0.2</v>
      </c>
      <c r="J96" s="505">
        <v>0.7</v>
      </c>
      <c r="K96" s="371"/>
      <c r="L96" s="399"/>
      <c r="M96" s="362"/>
      <c r="N96" s="362"/>
      <c r="P96" s="1192"/>
      <c r="Q96" s="1152"/>
      <c r="R96" s="394" t="s">
        <v>705</v>
      </c>
      <c r="S96" s="395" t="s">
        <v>701</v>
      </c>
      <c r="T96" s="1188"/>
      <c r="U96" s="1188"/>
      <c r="V96" s="1188"/>
      <c r="W96" s="1188"/>
      <c r="X96" s="1188"/>
      <c r="Y96" s="1188"/>
      <c r="Z96" s="1188"/>
      <c r="AA96" s="1188"/>
      <c r="AB96" s="1188"/>
      <c r="AC96" s="1190"/>
      <c r="AE96" s="1192"/>
      <c r="AF96" s="1152"/>
      <c r="AG96" s="394" t="s">
        <v>705</v>
      </c>
      <c r="AH96" s="395"/>
      <c r="AI96" s="1188"/>
      <c r="AJ96" s="1188"/>
      <c r="AK96" s="1188"/>
      <c r="AL96" s="1188"/>
      <c r="AM96" s="1188"/>
      <c r="AN96" s="1188"/>
      <c r="AO96" s="1188"/>
      <c r="AP96" s="1188"/>
      <c r="AQ96" s="1188"/>
      <c r="AR96" s="1190"/>
    </row>
    <row r="97" spans="1:44" ht="15" outlineLevel="1" thickBot="1">
      <c r="B97" s="400" t="s">
        <v>706</v>
      </c>
      <c r="C97" s="401"/>
      <c r="D97" s="402"/>
      <c r="E97" s="403"/>
      <c r="F97" s="404"/>
      <c r="G97" s="405"/>
      <c r="H97" s="405"/>
      <c r="I97" s="405"/>
      <c r="J97" s="405"/>
      <c r="K97" s="406"/>
      <c r="L97" s="407"/>
      <c r="M97" s="362"/>
      <c r="N97" s="362"/>
      <c r="P97" s="1192"/>
      <c r="Q97" s="1153"/>
      <c r="R97" s="408" t="s">
        <v>826</v>
      </c>
      <c r="S97" s="409" t="s">
        <v>701</v>
      </c>
      <c r="T97" s="1189"/>
      <c r="U97" s="1189"/>
      <c r="V97" s="1189"/>
      <c r="W97" s="1189"/>
      <c r="X97" s="1189"/>
      <c r="Y97" s="1189"/>
      <c r="Z97" s="1189"/>
      <c r="AA97" s="1189"/>
      <c r="AB97" s="1189"/>
      <c r="AC97" s="1191"/>
      <c r="AE97" s="1192"/>
      <c r="AF97" s="1153"/>
      <c r="AG97" s="408" t="s">
        <v>826</v>
      </c>
      <c r="AH97" s="409" t="s">
        <v>701</v>
      </c>
      <c r="AI97" s="1189"/>
      <c r="AJ97" s="1189"/>
      <c r="AK97" s="1189"/>
      <c r="AL97" s="1189"/>
      <c r="AM97" s="1189"/>
      <c r="AN97" s="1189"/>
      <c r="AO97" s="1189"/>
      <c r="AP97" s="1189"/>
      <c r="AQ97" s="1189"/>
      <c r="AR97" s="1191"/>
    </row>
    <row r="98" spans="1:44" ht="29.4" outlineLevel="1" thickBot="1">
      <c r="B98" s="499" t="s">
        <v>643</v>
      </c>
      <c r="C98" s="505">
        <v>15</v>
      </c>
      <c r="D98" s="505">
        <v>15</v>
      </c>
      <c r="E98" s="505">
        <v>15</v>
      </c>
      <c r="F98" s="505">
        <v>15</v>
      </c>
      <c r="G98" s="506"/>
      <c r="H98" s="506"/>
      <c r="I98" s="506"/>
      <c r="J98" s="506"/>
      <c r="K98" s="502"/>
      <c r="L98" s="503">
        <v>3</v>
      </c>
      <c r="M98" s="362"/>
      <c r="N98" s="362"/>
      <c r="P98" s="1193"/>
      <c r="Q98" s="410" t="s">
        <v>708</v>
      </c>
      <c r="R98" s="411" t="s">
        <v>709</v>
      </c>
      <c r="S98" s="629" t="s">
        <v>701</v>
      </c>
      <c r="T98" s="415">
        <v>1</v>
      </c>
      <c r="U98" s="414">
        <v>1</v>
      </c>
      <c r="V98" s="415">
        <v>1</v>
      </c>
      <c r="W98" s="414">
        <v>1</v>
      </c>
      <c r="X98" s="415">
        <v>1</v>
      </c>
      <c r="Y98" s="414">
        <v>1</v>
      </c>
      <c r="Z98" s="415">
        <v>1</v>
      </c>
      <c r="AA98" s="414">
        <v>1</v>
      </c>
      <c r="AB98" s="415">
        <v>1</v>
      </c>
      <c r="AC98" s="416">
        <v>1</v>
      </c>
      <c r="AE98" s="1193"/>
      <c r="AF98" s="410" t="s">
        <v>708</v>
      </c>
      <c r="AG98" s="810" t="s">
        <v>709</v>
      </c>
      <c r="AH98" s="811" t="s">
        <v>701</v>
      </c>
      <c r="AI98" s="415">
        <v>1</v>
      </c>
      <c r="AJ98" s="414">
        <v>1</v>
      </c>
      <c r="AK98" s="415">
        <v>1</v>
      </c>
      <c r="AL98" s="414">
        <v>1</v>
      </c>
      <c r="AM98" s="415">
        <v>1</v>
      </c>
      <c r="AN98" s="414">
        <v>1</v>
      </c>
      <c r="AO98" s="415">
        <v>1</v>
      </c>
      <c r="AP98" s="414">
        <v>1</v>
      </c>
      <c r="AQ98" s="415">
        <v>1</v>
      </c>
      <c r="AR98" s="416">
        <v>1</v>
      </c>
    </row>
    <row r="99" spans="1:44" outlineLevel="1">
      <c r="B99" s="499" t="s">
        <v>644</v>
      </c>
      <c r="C99" s="505">
        <v>0.1</v>
      </c>
      <c r="D99" s="505">
        <v>0.1</v>
      </c>
      <c r="E99" s="505">
        <v>0.1</v>
      </c>
      <c r="F99" s="505">
        <v>0.1</v>
      </c>
      <c r="G99" s="508"/>
      <c r="H99" s="508"/>
      <c r="I99" s="508"/>
      <c r="J99" s="508"/>
      <c r="K99" s="509"/>
      <c r="L99" s="503">
        <v>3</v>
      </c>
      <c r="M99" s="362"/>
      <c r="N99" s="362"/>
    </row>
    <row r="100" spans="1:44" outlineLevel="1">
      <c r="B100" s="499" t="s">
        <v>646</v>
      </c>
      <c r="C100" s="505">
        <v>0.4</v>
      </c>
      <c r="D100" s="505">
        <v>0.4</v>
      </c>
      <c r="E100" s="505">
        <v>0.4</v>
      </c>
      <c r="F100" s="505">
        <v>0.4</v>
      </c>
      <c r="G100" s="508"/>
      <c r="H100" s="508"/>
      <c r="I100" s="508"/>
      <c r="J100" s="508"/>
      <c r="K100" s="509"/>
      <c r="L100" s="503">
        <v>3</v>
      </c>
      <c r="M100" s="419"/>
      <c r="N100" s="362"/>
    </row>
    <row r="101" spans="1:44" outlineLevel="1">
      <c r="B101" s="420" t="s">
        <v>12</v>
      </c>
      <c r="C101" s="398"/>
      <c r="D101" s="398"/>
      <c r="E101" s="398"/>
      <c r="F101" s="398"/>
      <c r="G101" s="421"/>
      <c r="H101" s="421"/>
      <c r="I101" s="421"/>
      <c r="J101" s="421"/>
      <c r="K101" s="422"/>
      <c r="L101" s="423"/>
      <c r="M101" s="419"/>
      <c r="N101" s="419"/>
    </row>
    <row r="102" spans="1:44" outlineLevel="1">
      <c r="B102" s="382" t="s">
        <v>806</v>
      </c>
      <c r="C102" s="817">
        <v>8</v>
      </c>
      <c r="D102" s="817">
        <v>8</v>
      </c>
      <c r="E102" s="817">
        <v>8</v>
      </c>
      <c r="F102" s="817">
        <v>8</v>
      </c>
      <c r="G102" s="421"/>
      <c r="H102" s="424"/>
      <c r="I102" s="424"/>
      <c r="J102" s="424"/>
      <c r="K102" s="425" t="s">
        <v>20</v>
      </c>
      <c r="L102" s="426" t="s">
        <v>711</v>
      </c>
      <c r="M102" s="427"/>
      <c r="N102" s="427"/>
    </row>
    <row r="103" spans="1:44" outlineLevel="1">
      <c r="B103" s="382" t="s">
        <v>712</v>
      </c>
      <c r="C103" s="817">
        <v>2.1</v>
      </c>
      <c r="D103" s="817">
        <v>2.1</v>
      </c>
      <c r="E103" s="817">
        <v>2.1</v>
      </c>
      <c r="F103" s="817">
        <v>2.1</v>
      </c>
      <c r="G103" s="424"/>
      <c r="H103" s="424"/>
      <c r="I103" s="424"/>
      <c r="J103" s="424"/>
      <c r="K103" s="422"/>
      <c r="L103" s="426">
        <v>9</v>
      </c>
      <c r="M103" s="427"/>
      <c r="N103" s="427"/>
    </row>
    <row r="104" spans="1:44" outlineLevel="1">
      <c r="B104" s="382" t="s">
        <v>807</v>
      </c>
      <c r="C104" s="396">
        <v>35</v>
      </c>
      <c r="D104" s="396">
        <v>35</v>
      </c>
      <c r="E104" s="396">
        <v>35</v>
      </c>
      <c r="F104" s="396">
        <v>35</v>
      </c>
      <c r="G104" s="424"/>
      <c r="H104" s="424"/>
      <c r="I104" s="424"/>
      <c r="J104" s="424"/>
      <c r="K104" s="422"/>
      <c r="L104" s="426" t="s">
        <v>711</v>
      </c>
      <c r="M104" s="427"/>
      <c r="N104" s="427"/>
    </row>
    <row r="105" spans="1:44" outlineLevel="1">
      <c r="B105" s="382" t="s">
        <v>366</v>
      </c>
      <c r="C105" s="817">
        <v>1.5</v>
      </c>
      <c r="D105" s="817">
        <v>1.5</v>
      </c>
      <c r="E105" s="817">
        <v>1.5</v>
      </c>
      <c r="F105" s="817">
        <v>1.5</v>
      </c>
      <c r="G105" s="424"/>
      <c r="H105" s="424"/>
      <c r="I105" s="424"/>
      <c r="J105" s="424"/>
      <c r="K105" s="422"/>
      <c r="L105" s="426" t="s">
        <v>711</v>
      </c>
      <c r="M105" s="427"/>
      <c r="N105" s="427"/>
    </row>
    <row r="106" spans="1:44" ht="15" outlineLevel="1" thickBot="1">
      <c r="B106" s="428" t="s">
        <v>367</v>
      </c>
      <c r="C106" s="809">
        <v>0.8</v>
      </c>
      <c r="D106" s="809">
        <v>0.8</v>
      </c>
      <c r="E106" s="809">
        <v>0.8</v>
      </c>
      <c r="F106" s="809">
        <v>0.8</v>
      </c>
      <c r="G106" s="424"/>
      <c r="H106" s="424"/>
      <c r="I106" s="424"/>
      <c r="J106" s="424"/>
      <c r="K106" s="422"/>
      <c r="L106" s="426" t="s">
        <v>711</v>
      </c>
      <c r="M106" s="427"/>
      <c r="N106" s="427"/>
    </row>
    <row r="107" spans="1:44" ht="15" outlineLevel="1" thickBot="1">
      <c r="B107" s="430" t="s">
        <v>654</v>
      </c>
      <c r="C107" s="431"/>
      <c r="D107" s="402"/>
      <c r="E107" s="402"/>
      <c r="F107" s="432"/>
      <c r="G107" s="433"/>
      <c r="H107" s="405"/>
      <c r="I107" s="405"/>
      <c r="J107" s="405"/>
      <c r="K107" s="406"/>
      <c r="L107" s="407"/>
      <c r="M107" s="427"/>
      <c r="N107" s="427"/>
    </row>
    <row r="108" spans="1:44" ht="14.55" customHeight="1" outlineLevel="1">
      <c r="A108" s="434"/>
      <c r="B108" s="435" t="s">
        <v>1054</v>
      </c>
      <c r="C108" s="550">
        <f>0.5</f>
        <v>0.5</v>
      </c>
      <c r="D108" s="646">
        <f t="shared" ref="D108:F108" si="6">0.5</f>
        <v>0.5</v>
      </c>
      <c r="E108" s="646">
        <f t="shared" si="6"/>
        <v>0.5</v>
      </c>
      <c r="F108" s="647">
        <f t="shared" si="6"/>
        <v>0.5</v>
      </c>
      <c r="G108" s="424"/>
      <c r="H108" s="424"/>
      <c r="I108" s="424"/>
      <c r="J108" s="424"/>
      <c r="K108" s="425" t="s">
        <v>1059</v>
      </c>
      <c r="L108" s="439" t="s">
        <v>716</v>
      </c>
      <c r="M108" s="419"/>
      <c r="N108" s="419"/>
    </row>
    <row r="109" spans="1:44" outlineLevel="1">
      <c r="B109" s="440" t="s">
        <v>717</v>
      </c>
      <c r="C109" s="441">
        <v>60</v>
      </c>
      <c r="D109" s="442">
        <v>60</v>
      </c>
      <c r="E109" s="442">
        <v>60</v>
      </c>
      <c r="F109" s="442">
        <v>60</v>
      </c>
      <c r="G109" s="424"/>
      <c r="H109" s="424"/>
      <c r="I109" s="424"/>
      <c r="J109" s="424"/>
      <c r="K109" s="443"/>
      <c r="L109" s="372">
        <v>3</v>
      </c>
      <c r="M109" s="71"/>
      <c r="N109" s="419"/>
    </row>
    <row r="110" spans="1:44" outlineLevel="1">
      <c r="B110" s="440" t="s">
        <v>718</v>
      </c>
      <c r="C110" s="441">
        <f>100-C109</f>
        <v>40</v>
      </c>
      <c r="D110" s="441">
        <f>100-D109</f>
        <v>40</v>
      </c>
      <c r="E110" s="441">
        <f>100-E109</f>
        <v>40</v>
      </c>
      <c r="F110" s="441">
        <f>100-F109</f>
        <v>40</v>
      </c>
      <c r="G110" s="424"/>
      <c r="H110" s="424"/>
      <c r="I110" s="424"/>
      <c r="J110" s="424"/>
      <c r="K110" s="443"/>
      <c r="L110" s="372">
        <v>3</v>
      </c>
      <c r="M110" s="419"/>
      <c r="N110" s="419"/>
    </row>
    <row r="111" spans="1:44" outlineLevel="1">
      <c r="B111" s="382" t="s">
        <v>804</v>
      </c>
      <c r="C111" s="601">
        <v>33700</v>
      </c>
      <c r="D111" s="602">
        <v>32600</v>
      </c>
      <c r="E111" s="602">
        <f>(D111+F111)/2</f>
        <v>31600</v>
      </c>
      <c r="F111" s="603">
        <v>30600</v>
      </c>
      <c r="G111" s="424"/>
      <c r="H111" s="424"/>
      <c r="I111" s="424"/>
      <c r="J111" s="424"/>
      <c r="K111" s="447"/>
      <c r="L111" s="372">
        <v>3</v>
      </c>
      <c r="M111" s="419"/>
      <c r="N111" s="419"/>
    </row>
    <row r="112" spans="1:44" outlineLevel="1">
      <c r="B112" s="382" t="s">
        <v>659</v>
      </c>
      <c r="C112" s="448">
        <f>C113+C114</f>
        <v>1.903</v>
      </c>
      <c r="D112" s="448">
        <f t="shared" ref="D112:F112" si="7">D113+D114</f>
        <v>1.9250000000000003</v>
      </c>
      <c r="E112" s="448">
        <f t="shared" si="7"/>
        <v>1.9360000000000002</v>
      </c>
      <c r="F112" s="448">
        <f t="shared" si="7"/>
        <v>1.9360000000000002</v>
      </c>
      <c r="G112" s="424"/>
      <c r="H112" s="424"/>
      <c r="I112" s="424"/>
      <c r="J112" s="424"/>
      <c r="K112" s="447"/>
      <c r="L112" s="372">
        <v>3</v>
      </c>
      <c r="M112" s="693"/>
      <c r="N112" s="692"/>
      <c r="P112" s="1139">
        <f>C112</f>
        <v>1.903</v>
      </c>
      <c r="Q112" s="1140"/>
      <c r="R112" s="1140"/>
      <c r="S112" s="1140"/>
      <c r="T112" s="1140"/>
      <c r="U112" s="1141"/>
    </row>
    <row r="113" spans="2:30" ht="15" outlineLevel="1" thickBot="1">
      <c r="B113" s="499" t="s">
        <v>721</v>
      </c>
      <c r="C113" s="513">
        <f>C92/100*73</f>
        <v>0.80300000000000005</v>
      </c>
      <c r="D113" s="513">
        <f>D92/100*75</f>
        <v>0.82500000000000007</v>
      </c>
      <c r="E113" s="513">
        <f>E92/100*76</f>
        <v>0.83600000000000008</v>
      </c>
      <c r="F113" s="513">
        <f>F92/100*76</f>
        <v>0.83600000000000008</v>
      </c>
      <c r="G113" s="514"/>
      <c r="H113" s="514"/>
      <c r="I113" s="514"/>
      <c r="J113" s="514"/>
      <c r="K113" s="502" t="s">
        <v>33</v>
      </c>
      <c r="L113" s="503">
        <v>3</v>
      </c>
      <c r="M113" s="693"/>
      <c r="N113" s="692"/>
      <c r="P113" s="1131">
        <f>C113</f>
        <v>0.80300000000000005</v>
      </c>
      <c r="Q113" s="1132"/>
      <c r="R113" s="1132"/>
      <c r="S113" s="1132"/>
      <c r="T113" s="1132"/>
      <c r="U113" s="1133"/>
    </row>
    <row r="114" spans="2:30" outlineLevel="1">
      <c r="B114" s="499" t="s">
        <v>722</v>
      </c>
      <c r="C114" s="515">
        <v>1.1000000000000001</v>
      </c>
      <c r="D114" s="515">
        <v>1.1000000000000001</v>
      </c>
      <c r="E114" s="515">
        <v>1.1000000000000001</v>
      </c>
      <c r="F114" s="515">
        <v>1.1000000000000001</v>
      </c>
      <c r="G114" s="514"/>
      <c r="H114" s="514"/>
      <c r="I114" s="514"/>
      <c r="J114" s="514"/>
      <c r="K114" s="516"/>
      <c r="L114" s="503">
        <v>3</v>
      </c>
      <c r="M114" s="362"/>
      <c r="N114" s="362"/>
      <c r="P114" s="53" t="s">
        <v>357</v>
      </c>
    </row>
    <row r="115" spans="2:30" ht="27.6" outlineLevel="1">
      <c r="B115" s="440"/>
      <c r="C115" s="517"/>
      <c r="D115" s="517"/>
      <c r="E115" s="517"/>
      <c r="F115" s="517"/>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8"/>
      <c r="C116" s="626"/>
      <c r="D116" s="818"/>
      <c r="E116" s="818"/>
      <c r="F116" s="819"/>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43.8"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669">
        <v>3.5000000000000003E-2</v>
      </c>
      <c r="D118" s="669">
        <v>0.03</v>
      </c>
      <c r="E118" s="669">
        <v>0.03</v>
      </c>
      <c r="F118" s="669">
        <v>0.03</v>
      </c>
      <c r="G118" s="523"/>
      <c r="H118" s="523"/>
      <c r="I118" s="523"/>
      <c r="J118" s="523"/>
      <c r="K118" s="523" t="s">
        <v>51</v>
      </c>
      <c r="L118" s="524"/>
      <c r="M118" s="362"/>
      <c r="N118" s="362"/>
      <c r="O118" s="464">
        <f>C91</f>
        <v>89</v>
      </c>
      <c r="P118" s="465">
        <f>C87</f>
        <v>2020</v>
      </c>
      <c r="Q118" s="58">
        <f>P118</f>
        <v>2020</v>
      </c>
      <c r="R118" s="465">
        <f>O118/100</f>
        <v>0.89</v>
      </c>
      <c r="S118" s="58"/>
      <c r="T118" s="465">
        <f>C95</f>
        <v>25</v>
      </c>
      <c r="U118" s="466">
        <f>C125</f>
        <v>3725</v>
      </c>
      <c r="V118" s="466">
        <f>C127</f>
        <v>251.065</v>
      </c>
      <c r="W118" s="466">
        <f>C128</f>
        <v>3.9381527777777778</v>
      </c>
      <c r="X118" s="58"/>
      <c r="Y118" s="58"/>
      <c r="Z118" s="465">
        <f>C102</f>
        <v>8</v>
      </c>
      <c r="AA118" s="467">
        <f>C104</f>
        <v>35</v>
      </c>
      <c r="AB118" s="467">
        <f>C105</f>
        <v>1.5</v>
      </c>
      <c r="AC118" s="467">
        <f>C106</f>
        <v>0.8</v>
      </c>
      <c r="AD118" s="467">
        <f>C103</f>
        <v>2.1</v>
      </c>
    </row>
    <row r="119" spans="2:30" outlineLevel="1">
      <c r="B119" s="499" t="s">
        <v>726</v>
      </c>
      <c r="C119" s="525" t="s">
        <v>36</v>
      </c>
      <c r="D119" s="526" t="s">
        <v>36</v>
      </c>
      <c r="E119" s="526" t="s">
        <v>36</v>
      </c>
      <c r="F119" s="527" t="s">
        <v>36</v>
      </c>
      <c r="G119" s="527"/>
      <c r="H119" s="527"/>
      <c r="I119" s="527"/>
      <c r="J119" s="527"/>
      <c r="K119" s="528" t="s">
        <v>52</v>
      </c>
      <c r="L119" s="524"/>
      <c r="M119" s="362"/>
      <c r="N119" s="362"/>
      <c r="O119" s="464">
        <f>D91</f>
        <v>89</v>
      </c>
      <c r="P119" s="465">
        <f>D87</f>
        <v>2030</v>
      </c>
      <c r="Q119" s="58"/>
      <c r="R119" s="465">
        <f>O119/100</f>
        <v>0.89</v>
      </c>
      <c r="S119" s="58"/>
      <c r="T119" s="465">
        <f>D95</f>
        <v>25</v>
      </c>
      <c r="U119" s="466">
        <f>D125</f>
        <v>3725</v>
      </c>
      <c r="V119" s="466">
        <f>D127</f>
        <v>242.87</v>
      </c>
      <c r="W119" s="466">
        <f>D128</f>
        <v>3.9836805555555559</v>
      </c>
      <c r="X119" s="58"/>
      <c r="Y119" s="58"/>
      <c r="Z119" s="465">
        <f>D102</f>
        <v>8</v>
      </c>
      <c r="AA119" s="467">
        <f>D104</f>
        <v>35</v>
      </c>
      <c r="AB119" s="467">
        <f>D105</f>
        <v>1.5</v>
      </c>
      <c r="AC119" s="467">
        <f>D106</f>
        <v>0.8</v>
      </c>
      <c r="AD119" s="467">
        <f>D103</f>
        <v>2.1</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90</v>
      </c>
      <c r="P120" s="465">
        <f>E87</f>
        <v>2040</v>
      </c>
      <c r="Q120" s="58"/>
      <c r="R120" s="465">
        <f>O120/100</f>
        <v>0.9</v>
      </c>
      <c r="S120" s="58"/>
      <c r="T120" s="465">
        <f>E95</f>
        <v>25</v>
      </c>
      <c r="U120" s="466">
        <f>E125</f>
        <v>3725</v>
      </c>
      <c r="V120" s="466">
        <f>E127</f>
        <v>235.42</v>
      </c>
      <c r="W120" s="466">
        <f>E128</f>
        <v>4.0064444444444449</v>
      </c>
      <c r="X120" s="58"/>
      <c r="Y120" s="58"/>
      <c r="Z120" s="465">
        <f>E102</f>
        <v>8</v>
      </c>
      <c r="AA120" s="467">
        <f>E104</f>
        <v>35</v>
      </c>
      <c r="AB120" s="467">
        <f>E105</f>
        <v>1.5</v>
      </c>
      <c r="AC120" s="467">
        <f>E106</f>
        <v>0.8</v>
      </c>
      <c r="AD120" s="467">
        <f>E103</f>
        <v>2.1</v>
      </c>
    </row>
    <row r="121" spans="2:30" outlineLevel="1">
      <c r="B121" s="499" t="s">
        <v>728</v>
      </c>
      <c r="C121" s="684">
        <v>90</v>
      </c>
      <c r="D121" s="529">
        <v>90</v>
      </c>
      <c r="E121" s="529">
        <v>90</v>
      </c>
      <c r="F121" s="529">
        <v>90</v>
      </c>
      <c r="G121" s="530"/>
      <c r="H121" s="530"/>
      <c r="I121" s="530"/>
      <c r="J121" s="530"/>
      <c r="K121" s="530"/>
      <c r="L121" s="503">
        <v>3</v>
      </c>
      <c r="M121" s="362"/>
      <c r="N121" s="362"/>
      <c r="O121" s="464">
        <f>F91</f>
        <v>91</v>
      </c>
      <c r="P121" s="465">
        <f>F87</f>
        <v>2050</v>
      </c>
      <c r="Q121" s="58"/>
      <c r="R121" s="465">
        <f>O121/100</f>
        <v>0.91</v>
      </c>
      <c r="S121" s="58"/>
      <c r="T121" s="465">
        <f>F95</f>
        <v>25</v>
      </c>
      <c r="U121" s="466">
        <f>F125</f>
        <v>3725</v>
      </c>
      <c r="V121" s="466">
        <f>F127</f>
        <v>227.97</v>
      </c>
      <c r="W121" s="466">
        <f>F128</f>
        <v>4.0064444444444449</v>
      </c>
      <c r="X121" s="58"/>
      <c r="Y121" s="58"/>
      <c r="Z121" s="465">
        <f>F102</f>
        <v>8</v>
      </c>
      <c r="AA121" s="467">
        <f>F104</f>
        <v>35</v>
      </c>
      <c r="AB121" s="467">
        <f>F105</f>
        <v>1.5</v>
      </c>
      <c r="AC121" s="467">
        <f>F106</f>
        <v>0.8</v>
      </c>
      <c r="AD121" s="467">
        <f>F103</f>
        <v>2.1</v>
      </c>
    </row>
    <row r="122" spans="2:30" outlineLevel="1">
      <c r="B122" s="531" t="s">
        <v>729</v>
      </c>
      <c r="C122" s="525"/>
      <c r="D122" s="526"/>
      <c r="E122" s="526"/>
      <c r="F122" s="527"/>
      <c r="G122" s="530"/>
      <c r="H122" s="530"/>
      <c r="I122" s="530"/>
      <c r="J122" s="530"/>
      <c r="K122" s="530"/>
      <c r="L122" s="532"/>
      <c r="M122" s="366"/>
      <c r="N122" s="366"/>
    </row>
    <row r="123" spans="2:30" outlineLevel="1">
      <c r="B123" s="531" t="s">
        <v>730</v>
      </c>
      <c r="C123" s="525"/>
      <c r="D123" s="526"/>
      <c r="E123" s="526"/>
      <c r="F123" s="527"/>
      <c r="G123" s="530"/>
      <c r="H123" s="530"/>
      <c r="I123" s="530"/>
      <c r="J123" s="530"/>
      <c r="K123" s="530"/>
      <c r="L123" s="532"/>
      <c r="M123" s="362"/>
      <c r="N123" s="362"/>
    </row>
    <row r="124" spans="2:30" ht="15" outlineLevel="1" thickBot="1">
      <c r="B124" s="533" t="s">
        <v>731</v>
      </c>
      <c r="C124" s="534"/>
      <c r="D124" s="535"/>
      <c r="E124" s="535"/>
      <c r="F124" s="536"/>
      <c r="G124" s="537"/>
      <c r="H124" s="537"/>
      <c r="I124" s="537"/>
      <c r="J124" s="537"/>
      <c r="K124" s="537"/>
      <c r="L124" s="538"/>
      <c r="M124" s="362"/>
      <c r="N124" s="362"/>
    </row>
    <row r="125" spans="2:30" ht="57.6" outlineLevel="1">
      <c r="B125" s="460" t="s">
        <v>732</v>
      </c>
      <c r="C125" s="482">
        <f>C108*$F$4*1000</f>
        <v>3725</v>
      </c>
      <c r="D125" s="482">
        <f t="shared" ref="D125:F125" si="8">D108*$F$4*1000</f>
        <v>3725</v>
      </c>
      <c r="E125" s="482">
        <f t="shared" si="8"/>
        <v>3725</v>
      </c>
      <c r="F125" s="482">
        <f t="shared" si="8"/>
        <v>3725</v>
      </c>
      <c r="G125" s="482"/>
      <c r="H125" s="483"/>
      <c r="I125" s="419" t="s">
        <v>332</v>
      </c>
      <c r="J125" s="419"/>
      <c r="K125" s="483"/>
      <c r="L125" s="483"/>
      <c r="N125" s="419"/>
    </row>
    <row r="126" spans="2:30" outlineLevel="1">
      <c r="B126" s="484" t="s">
        <v>733</v>
      </c>
      <c r="C126" s="485">
        <f>C125*$I126</f>
        <v>1862500</v>
      </c>
      <c r="D126" s="485">
        <f>D125*$I126</f>
        <v>1862500</v>
      </c>
      <c r="E126" s="485">
        <f>E125*$I126</f>
        <v>1862500</v>
      </c>
      <c r="F126" s="485">
        <f>F125*$I126</f>
        <v>1862500</v>
      </c>
      <c r="G126" s="485"/>
      <c r="H126" s="483"/>
      <c r="I126" s="71">
        <v>500</v>
      </c>
      <c r="J126" s="419" t="s">
        <v>330</v>
      </c>
      <c r="K126" s="483"/>
      <c r="L126" s="483"/>
      <c r="N126" s="419"/>
    </row>
    <row r="127" spans="2:30" ht="43.2" outlineLevel="1">
      <c r="B127" s="460" t="s">
        <v>808</v>
      </c>
      <c r="C127" s="358">
        <f>C111*$F$4/1000</f>
        <v>251.065</v>
      </c>
      <c r="D127" s="358">
        <f t="shared" ref="D127:F127" si="9">D111*$F$4/1000</f>
        <v>242.87</v>
      </c>
      <c r="E127" s="358">
        <f t="shared" si="9"/>
        <v>235.42</v>
      </c>
      <c r="F127" s="358">
        <f t="shared" si="9"/>
        <v>227.97</v>
      </c>
      <c r="G127" s="358"/>
      <c r="I127" s="419" t="s">
        <v>333</v>
      </c>
      <c r="J127" s="419"/>
      <c r="N127" s="419"/>
    </row>
    <row r="128" spans="2:30" ht="43.2" outlineLevel="1">
      <c r="B128" s="460" t="s">
        <v>809</v>
      </c>
      <c r="C128" s="486">
        <f>C112*$F$4/3.6</f>
        <v>3.9381527777777778</v>
      </c>
      <c r="D128" s="486">
        <f t="shared" ref="D128:F128" si="10">D112*$F$4/3.6</f>
        <v>3.9836805555555559</v>
      </c>
      <c r="E128" s="486">
        <f t="shared" si="10"/>
        <v>4.0064444444444449</v>
      </c>
      <c r="F128" s="486">
        <f t="shared" si="10"/>
        <v>4.0064444444444449</v>
      </c>
      <c r="G128" s="358"/>
      <c r="M128" s="419"/>
      <c r="N128" s="419"/>
    </row>
    <row r="129" spans="2:6" outlineLevel="1"/>
    <row r="130" spans="2:6" outlineLevel="1"/>
    <row r="131" spans="2:6" outlineLevel="1"/>
    <row r="132" spans="2:6" outlineLevel="1">
      <c r="B132" s="487" t="s">
        <v>736</v>
      </c>
      <c r="C132" s="488"/>
      <c r="E132" s="488"/>
      <c r="F132" s="488"/>
    </row>
    <row r="133" spans="2:6" outlineLevel="1">
      <c r="B133" s="490">
        <v>1</v>
      </c>
      <c r="C133" s="491" t="s">
        <v>737</v>
      </c>
      <c r="E133" s="488"/>
      <c r="F133" s="488"/>
    </row>
    <row r="134" spans="2:6" outlineLevel="1">
      <c r="B134" s="490">
        <v>2</v>
      </c>
      <c r="C134" s="492" t="s">
        <v>738</v>
      </c>
      <c r="E134" s="488"/>
      <c r="F134" s="488"/>
    </row>
    <row r="135" spans="2:6" outlineLevel="1">
      <c r="B135" s="490">
        <v>3</v>
      </c>
      <c r="C135" s="492" t="s">
        <v>739</v>
      </c>
      <c r="E135" s="488"/>
      <c r="F135" s="488"/>
    </row>
    <row r="136" spans="2:6" outlineLevel="1">
      <c r="B136" s="490">
        <v>4</v>
      </c>
      <c r="C136" s="492" t="s">
        <v>740</v>
      </c>
      <c r="E136" s="488"/>
      <c r="F136" s="488"/>
    </row>
    <row r="137" spans="2:6" outlineLevel="1">
      <c r="B137" s="357">
        <v>5</v>
      </c>
      <c r="C137" s="493" t="s">
        <v>741</v>
      </c>
      <c r="E137" s="488"/>
      <c r="F137" s="488"/>
    </row>
    <row r="138" spans="2:6" outlineLevel="1">
      <c r="B138" s="357">
        <v>6</v>
      </c>
      <c r="C138" s="491" t="s">
        <v>742</v>
      </c>
      <c r="E138" s="488"/>
      <c r="F138" s="488"/>
    </row>
    <row r="139" spans="2:6" outlineLevel="1">
      <c r="B139" s="357">
        <v>7</v>
      </c>
      <c r="C139" s="494" t="s">
        <v>737</v>
      </c>
      <c r="E139" s="488"/>
      <c r="F139" s="488"/>
    </row>
    <row r="140" spans="2:6" outlineLevel="1">
      <c r="B140" s="357">
        <v>8</v>
      </c>
      <c r="C140" s="494" t="s">
        <v>743</v>
      </c>
      <c r="E140" s="488"/>
      <c r="F140" s="488"/>
    </row>
    <row r="141" spans="2:6" outlineLevel="1">
      <c r="B141" s="357">
        <v>9</v>
      </c>
      <c r="C141" s="488" t="s">
        <v>744</v>
      </c>
      <c r="E141" s="488"/>
      <c r="F141" s="488"/>
    </row>
    <row r="142" spans="2:6" outlineLevel="1">
      <c r="B142" s="357">
        <v>10</v>
      </c>
      <c r="C142" s="489" t="s">
        <v>745</v>
      </c>
      <c r="E142" s="488"/>
      <c r="F142" s="488"/>
    </row>
    <row r="143" spans="2:6" outlineLevel="1">
      <c r="B143" s="487" t="s">
        <v>746</v>
      </c>
      <c r="C143" s="488"/>
      <c r="E143" s="488"/>
      <c r="F143" s="488"/>
    </row>
    <row r="144" spans="2:6" outlineLevel="1">
      <c r="B144" s="495" t="s">
        <v>6</v>
      </c>
      <c r="C144" s="488" t="s">
        <v>1055</v>
      </c>
      <c r="D144" s="488"/>
      <c r="F144" s="488"/>
    </row>
    <row r="145" spans="2:6" outlineLevel="1">
      <c r="B145" s="495" t="s">
        <v>59</v>
      </c>
      <c r="C145" s="488" t="s">
        <v>939</v>
      </c>
      <c r="D145" s="488"/>
      <c r="F145" s="488"/>
    </row>
    <row r="146" spans="2:6" outlineLevel="1">
      <c r="B146" s="495" t="s">
        <v>16</v>
      </c>
      <c r="C146" s="488" t="s">
        <v>1056</v>
      </c>
      <c r="D146" s="488"/>
      <c r="F146" s="488"/>
    </row>
    <row r="147" spans="2:6" outlineLevel="1">
      <c r="B147" s="495" t="s">
        <v>20</v>
      </c>
      <c r="C147" s="488" t="s">
        <v>749</v>
      </c>
      <c r="D147" s="488"/>
      <c r="F147" s="488"/>
    </row>
    <row r="148" spans="2:6" outlineLevel="1">
      <c r="B148" s="495" t="s">
        <v>76</v>
      </c>
      <c r="C148" s="488" t="s">
        <v>941</v>
      </c>
      <c r="D148" s="488"/>
      <c r="F148" s="488"/>
    </row>
    <row r="149" spans="2:6" outlineLevel="1">
      <c r="B149" s="495" t="s">
        <v>25</v>
      </c>
      <c r="C149" s="488" t="s">
        <v>942</v>
      </c>
      <c r="D149" s="488"/>
      <c r="F149" s="489"/>
    </row>
    <row r="150" spans="2:6" outlineLevel="1">
      <c r="B150" s="495" t="s">
        <v>33</v>
      </c>
      <c r="C150" s="497" t="s">
        <v>751</v>
      </c>
      <c r="D150" s="488"/>
      <c r="F150" s="820"/>
    </row>
    <row r="151" spans="2:6" outlineLevel="1">
      <c r="B151" s="495" t="s">
        <v>51</v>
      </c>
      <c r="C151" s="488" t="s">
        <v>767</v>
      </c>
      <c r="D151" s="488"/>
      <c r="F151" s="821"/>
    </row>
    <row r="152" spans="2:6" outlineLevel="1">
      <c r="B152" s="495" t="s">
        <v>52</v>
      </c>
      <c r="C152" s="488" t="s">
        <v>752</v>
      </c>
      <c r="D152" s="488"/>
    </row>
    <row r="153" spans="2:6" outlineLevel="1">
      <c r="B153" s="495"/>
      <c r="C153" s="497"/>
      <c r="E153" s="489"/>
      <c r="F153" s="489"/>
    </row>
    <row r="154" spans="2:6" outlineLevel="1">
      <c r="B154" s="495"/>
      <c r="C154" s="488"/>
      <c r="E154" s="489"/>
      <c r="F154" s="489"/>
    </row>
    <row r="155" spans="2:6" outlineLevel="1">
      <c r="E155" s="489"/>
      <c r="F155" s="489"/>
    </row>
    <row r="156" spans="2:6" outlineLevel="1">
      <c r="B156" s="495"/>
      <c r="E156" s="489"/>
      <c r="F156" s="489"/>
    </row>
    <row r="157" spans="2:6" outlineLevel="1">
      <c r="B157" s="495"/>
      <c r="E157" s="489"/>
      <c r="F157" s="489"/>
    </row>
    <row r="158" spans="2:6" outlineLevel="1">
      <c r="B158" s="495"/>
      <c r="C158" s="488"/>
      <c r="E158" s="489"/>
      <c r="F158" s="489"/>
    </row>
    <row r="159" spans="2:6" outlineLevel="1">
      <c r="B159" s="495"/>
      <c r="C159" s="488"/>
      <c r="E159" s="489"/>
      <c r="F159" s="489"/>
    </row>
    <row r="160" spans="2:6" outlineLevel="1">
      <c r="B160" s="495"/>
      <c r="C160" s="488"/>
      <c r="E160" s="489"/>
      <c r="F160" s="489"/>
    </row>
    <row r="161" spans="1:44" outlineLevel="1"/>
    <row r="162" spans="1:44" outlineLevel="1">
      <c r="M162" s="214"/>
    </row>
    <row r="163" spans="1:44" outlineLevel="1"/>
    <row r="166" spans="1:44">
      <c r="A166" s="359"/>
      <c r="B166" s="1204"/>
      <c r="C166" s="1140"/>
      <c r="D166" s="1140"/>
      <c r="E166" s="1140"/>
      <c r="F166" s="1140"/>
      <c r="G166" s="1140"/>
      <c r="H166" s="1140"/>
      <c r="I166" s="1140"/>
      <c r="J166" s="1140"/>
      <c r="K166" s="1140"/>
      <c r="L166" s="1140"/>
      <c r="M166" s="1140"/>
      <c r="N166" s="692"/>
      <c r="P166" s="1140"/>
      <c r="Q166" s="1140"/>
      <c r="R166" s="1140"/>
      <c r="S166" s="1140"/>
      <c r="T166" s="1140"/>
      <c r="U166" s="1140"/>
    </row>
    <row r="167" spans="1:44" ht="15" outlineLevel="1" thickBot="1">
      <c r="B167" s="1204"/>
      <c r="C167" s="1140"/>
      <c r="D167" s="1140"/>
      <c r="E167" s="1140"/>
      <c r="F167" s="1140"/>
      <c r="G167" s="1140"/>
      <c r="H167" s="1140"/>
      <c r="I167" s="1140"/>
      <c r="J167" s="1140"/>
      <c r="K167" s="1140"/>
      <c r="L167" s="1140"/>
      <c r="M167" s="1140"/>
      <c r="N167" s="692"/>
      <c r="P167" s="691"/>
      <c r="Q167" s="691"/>
      <c r="R167" s="691"/>
      <c r="S167" s="691"/>
      <c r="T167" s="691"/>
      <c r="U167" s="691"/>
      <c r="V167" s="691"/>
      <c r="W167" s="691"/>
      <c r="X167" s="691"/>
      <c r="Y167" s="691"/>
      <c r="Z167" s="691"/>
      <c r="AA167" s="691"/>
      <c r="AB167" s="691"/>
      <c r="AC167" s="691"/>
    </row>
    <row r="168" spans="1:44" ht="20.55" customHeight="1" outlineLevel="1" thickBot="1">
      <c r="B168" s="361"/>
      <c r="C168" s="1201"/>
      <c r="D168" s="1202"/>
      <c r="E168" s="1202"/>
      <c r="F168" s="1202"/>
      <c r="G168" s="1202"/>
      <c r="H168" s="1202"/>
      <c r="I168" s="1202"/>
      <c r="J168" s="1202"/>
      <c r="K168" s="1202"/>
      <c r="L168" s="1203"/>
      <c r="M168" s="362"/>
      <c r="N168" s="362"/>
      <c r="P168" s="363"/>
      <c r="Q168" s="364"/>
      <c r="R168" s="365"/>
      <c r="S168" s="1173"/>
      <c r="T168" s="1157"/>
      <c r="U168" s="1158"/>
      <c r="V168" s="1157"/>
      <c r="W168" s="1158"/>
      <c r="X168" s="1157"/>
      <c r="Y168" s="1158"/>
      <c r="Z168" s="1157"/>
      <c r="AA168" s="1158"/>
      <c r="AB168" s="1157"/>
      <c r="AC168" s="1158"/>
      <c r="AE168" s="363"/>
      <c r="AF168" s="364"/>
      <c r="AG168" s="365"/>
      <c r="AH168" s="1173"/>
      <c r="AI168" s="1157"/>
      <c r="AJ168" s="1158"/>
      <c r="AK168" s="1157"/>
      <c r="AL168" s="1158"/>
      <c r="AM168" s="1157"/>
      <c r="AN168" s="1158"/>
      <c r="AO168" s="1157"/>
      <c r="AP168" s="1158"/>
      <c r="AQ168" s="1157"/>
      <c r="AR168" s="1158"/>
    </row>
    <row r="169" spans="1:44" ht="15" customHeight="1" outlineLevel="1" thickBot="1">
      <c r="B169" s="1161"/>
      <c r="C169" s="1163"/>
      <c r="D169" s="1163"/>
      <c r="E169" s="1163"/>
      <c r="F169" s="1163"/>
      <c r="G169" s="1197"/>
      <c r="H169" s="1198"/>
      <c r="I169" s="1197"/>
      <c r="J169" s="1198"/>
      <c r="K169" s="1199"/>
      <c r="L169" s="1199"/>
      <c r="M169" s="366"/>
      <c r="N169" s="366"/>
      <c r="P169" s="1177"/>
      <c r="Q169" s="367"/>
      <c r="R169" s="367"/>
      <c r="S169" s="1174"/>
      <c r="T169" s="1159"/>
      <c r="U169" s="1160"/>
      <c r="V169" s="1159"/>
      <c r="W169" s="1160"/>
      <c r="X169" s="1159"/>
      <c r="Y169" s="1160"/>
      <c r="Z169" s="1159"/>
      <c r="AA169" s="1160"/>
      <c r="AB169" s="1159"/>
      <c r="AC169" s="1160"/>
      <c r="AE169" s="1177"/>
      <c r="AF169" s="367"/>
      <c r="AG169" s="367"/>
      <c r="AH169" s="1174"/>
      <c r="AI169" s="1159"/>
      <c r="AJ169" s="1160"/>
      <c r="AK169" s="1159"/>
      <c r="AL169" s="1160"/>
      <c r="AM169" s="1159"/>
      <c r="AN169" s="1160"/>
      <c r="AO169" s="1159"/>
      <c r="AP169" s="1160"/>
      <c r="AQ169" s="1159"/>
      <c r="AR169" s="1160"/>
    </row>
    <row r="170" spans="1:44" ht="15" customHeight="1" outlineLevel="1" thickBot="1">
      <c r="B170" s="1162"/>
      <c r="C170" s="1164"/>
      <c r="D170" s="1164"/>
      <c r="E170" s="1164"/>
      <c r="F170" s="1164"/>
      <c r="G170" s="498"/>
      <c r="H170" s="498"/>
      <c r="I170" s="498"/>
      <c r="J170" s="498"/>
      <c r="K170" s="1200"/>
      <c r="L170" s="1200"/>
      <c r="M170" s="369"/>
      <c r="N170" s="369"/>
      <c r="P170" s="1178"/>
      <c r="Q170" s="1180"/>
      <c r="R170" s="1181"/>
      <c r="S170" s="1175"/>
      <c r="T170" s="1159"/>
      <c r="U170" s="1160"/>
      <c r="V170" s="1159"/>
      <c r="W170" s="1160"/>
      <c r="X170" s="1159"/>
      <c r="Y170" s="1160"/>
      <c r="Z170" s="1159"/>
      <c r="AA170" s="1160"/>
      <c r="AB170" s="1159"/>
      <c r="AC170" s="1160"/>
      <c r="AE170" s="1178"/>
      <c r="AF170" s="1194"/>
      <c r="AG170" s="1181"/>
      <c r="AH170" s="1175"/>
      <c r="AI170" s="1159"/>
      <c r="AJ170" s="1160"/>
      <c r="AK170" s="1159"/>
      <c r="AL170" s="1160"/>
      <c r="AM170" s="1159"/>
      <c r="AN170" s="1160"/>
      <c r="AO170" s="1159"/>
      <c r="AP170" s="1160"/>
      <c r="AQ170" s="1159"/>
      <c r="AR170" s="1160"/>
    </row>
    <row r="171" spans="1:44" ht="15" outlineLevel="1" thickBot="1">
      <c r="B171" s="370"/>
      <c r="C171" s="371"/>
      <c r="D171" s="371"/>
      <c r="E171" s="371"/>
      <c r="F171" s="371"/>
      <c r="G171" s="371"/>
      <c r="H171" s="371"/>
      <c r="I171" s="371"/>
      <c r="J171" s="371"/>
      <c r="K171" s="371"/>
      <c r="L171" s="372"/>
      <c r="M171" s="369"/>
      <c r="N171" s="369"/>
      <c r="O171" s="74"/>
      <c r="P171" s="1179"/>
      <c r="Q171" s="1176"/>
      <c r="R171" s="1182"/>
      <c r="S171" s="1176"/>
      <c r="T171" s="373"/>
      <c r="U171" s="374"/>
      <c r="V171" s="373"/>
      <c r="W171" s="374"/>
      <c r="X171" s="373"/>
      <c r="Y171" s="374"/>
      <c r="Z171" s="373"/>
      <c r="AA171" s="374"/>
      <c r="AB171" s="373"/>
      <c r="AC171" s="374"/>
      <c r="AE171" s="1179"/>
      <c r="AF171" s="1195"/>
      <c r="AG171" s="1182"/>
      <c r="AH171" s="1176"/>
      <c r="AI171" s="373"/>
      <c r="AJ171" s="374"/>
      <c r="AK171" s="373"/>
      <c r="AL171" s="374"/>
      <c r="AM171" s="373"/>
      <c r="AN171" s="374"/>
      <c r="AO171" s="373"/>
      <c r="AP171" s="374"/>
      <c r="AQ171" s="373"/>
      <c r="AR171" s="374"/>
    </row>
    <row r="172" spans="1:44" ht="14.55" customHeight="1" outlineLevel="1">
      <c r="B172" s="499"/>
      <c r="C172" s="500"/>
      <c r="D172" s="500"/>
      <c r="E172" s="501"/>
      <c r="F172" s="500"/>
      <c r="G172" s="500"/>
      <c r="H172" s="500"/>
      <c r="I172" s="500"/>
      <c r="J172" s="500"/>
      <c r="K172" s="502"/>
      <c r="L172" s="503"/>
      <c r="M172" s="369"/>
      <c r="N172" s="369"/>
      <c r="P172" s="1196"/>
      <c r="Q172" s="1151"/>
      <c r="R172" s="380"/>
      <c r="S172" s="381"/>
      <c r="T172" s="1134"/>
      <c r="U172" s="1148"/>
      <c r="V172" s="1154"/>
      <c r="W172" s="1148"/>
      <c r="X172" s="1154"/>
      <c r="Y172" s="1148"/>
      <c r="Z172" s="1154"/>
      <c r="AA172" s="1148"/>
      <c r="AB172" s="1154"/>
      <c r="AC172" s="1148"/>
      <c r="AE172" s="1145"/>
      <c r="AF172" s="1151"/>
      <c r="AG172" s="380"/>
      <c r="AH172" s="381"/>
      <c r="AI172" s="1134"/>
      <c r="AJ172" s="1148"/>
      <c r="AK172" s="1154"/>
      <c r="AL172" s="1148"/>
      <c r="AM172" s="1154"/>
      <c r="AN172" s="1148"/>
      <c r="AO172" s="1154"/>
      <c r="AP172" s="1148"/>
      <c r="AQ172" s="1154"/>
      <c r="AR172" s="1148"/>
    </row>
    <row r="173" spans="1:44" outlineLevel="1">
      <c r="B173" s="382"/>
      <c r="C173" s="383"/>
      <c r="D173" s="383"/>
      <c r="E173" s="383"/>
      <c r="F173" s="383"/>
      <c r="G173" s="504"/>
      <c r="H173" s="504"/>
      <c r="I173" s="504"/>
      <c r="J173" s="504"/>
      <c r="K173" s="371"/>
      <c r="L173" s="372"/>
      <c r="M173" s="369"/>
      <c r="N173" s="369"/>
      <c r="O173" s="71"/>
      <c r="P173" s="1192"/>
      <c r="Q173" s="1152"/>
      <c r="R173" s="387"/>
      <c r="S173" s="388"/>
      <c r="T173" s="1137"/>
      <c r="U173" s="1149"/>
      <c r="V173" s="1155"/>
      <c r="W173" s="1149"/>
      <c r="X173" s="1155"/>
      <c r="Y173" s="1149"/>
      <c r="Z173" s="1155"/>
      <c r="AA173" s="1149"/>
      <c r="AB173" s="1155"/>
      <c r="AC173" s="1149"/>
      <c r="AE173" s="1192"/>
      <c r="AF173" s="1152"/>
      <c r="AG173" s="387"/>
      <c r="AH173" s="388"/>
      <c r="AI173" s="1137"/>
      <c r="AJ173" s="1149"/>
      <c r="AK173" s="1155"/>
      <c r="AL173" s="1149"/>
      <c r="AM173" s="1155"/>
      <c r="AN173" s="1149"/>
      <c r="AO173" s="1155"/>
      <c r="AP173" s="1149"/>
      <c r="AQ173" s="1155"/>
      <c r="AR173" s="1149"/>
    </row>
    <row r="174" spans="1:44" ht="15" outlineLevel="1" thickBot="1">
      <c r="B174" s="499"/>
      <c r="C174" s="505"/>
      <c r="D174" s="506"/>
      <c r="E174" s="506"/>
      <c r="F174" s="507"/>
      <c r="G174" s="506"/>
      <c r="H174" s="506"/>
      <c r="I174" s="506"/>
      <c r="J174" s="506"/>
      <c r="K174" s="502"/>
      <c r="L174" s="503"/>
      <c r="M174" s="369"/>
      <c r="N174" s="369"/>
      <c r="O174" s="71"/>
      <c r="P174" s="1192"/>
      <c r="Q174" s="1153"/>
      <c r="R174" s="392"/>
      <c r="S174" s="393"/>
      <c r="T174" s="1138"/>
      <c r="U174" s="1150"/>
      <c r="V174" s="1156"/>
      <c r="W174" s="1150"/>
      <c r="X174" s="1156"/>
      <c r="Y174" s="1150"/>
      <c r="Z174" s="1156"/>
      <c r="AA174" s="1150"/>
      <c r="AB174" s="1156"/>
      <c r="AC174" s="1150"/>
      <c r="AE174" s="1192"/>
      <c r="AF174" s="1153"/>
      <c r="AG174" s="392"/>
      <c r="AH174" s="393"/>
      <c r="AI174" s="1138"/>
      <c r="AJ174" s="1150"/>
      <c r="AK174" s="1156"/>
      <c r="AL174" s="1150"/>
      <c r="AM174" s="1156"/>
      <c r="AN174" s="1150"/>
      <c r="AO174" s="1156"/>
      <c r="AP174" s="1150"/>
      <c r="AQ174" s="1156"/>
      <c r="AR174" s="1150"/>
    </row>
    <row r="175" spans="1:44" ht="14.55" customHeight="1" outlineLevel="1">
      <c r="B175" s="499"/>
      <c r="C175" s="686"/>
      <c r="D175" s="686"/>
      <c r="E175" s="686"/>
      <c r="F175" s="686"/>
      <c r="G175" s="686"/>
      <c r="H175" s="686"/>
      <c r="I175" s="686"/>
      <c r="J175" s="686"/>
      <c r="K175" s="502"/>
      <c r="L175" s="503"/>
      <c r="M175" s="369"/>
      <c r="N175" s="369"/>
      <c r="O175" s="71"/>
      <c r="P175" s="1192"/>
      <c r="Q175" s="1151"/>
      <c r="R175" s="394"/>
      <c r="S175" s="395"/>
      <c r="T175" s="1134"/>
      <c r="U175" s="1134"/>
      <c r="V175" s="1134"/>
      <c r="W175" s="1134"/>
      <c r="X175" s="1134"/>
      <c r="Y175" s="1134"/>
      <c r="Z175" s="1134"/>
      <c r="AA175" s="1134"/>
      <c r="AB175" s="1134"/>
      <c r="AC175" s="1148"/>
      <c r="AE175" s="1192"/>
      <c r="AF175" s="1151"/>
      <c r="AG175" s="394"/>
      <c r="AH175" s="395"/>
      <c r="AI175" s="1134"/>
      <c r="AJ175" s="1134"/>
      <c r="AK175" s="1134"/>
      <c r="AL175" s="1134"/>
      <c r="AM175" s="1134"/>
      <c r="AN175" s="1134"/>
      <c r="AO175" s="1134"/>
      <c r="AP175" s="1134"/>
      <c r="AQ175" s="1134"/>
      <c r="AR175" s="1148"/>
    </row>
    <row r="176" spans="1:44" outlineLevel="1">
      <c r="B176" s="499"/>
      <c r="C176" s="505"/>
      <c r="D176" s="505"/>
      <c r="E176" s="505"/>
      <c r="F176" s="505"/>
      <c r="G176" s="505"/>
      <c r="H176" s="505"/>
      <c r="I176" s="505"/>
      <c r="J176" s="505"/>
      <c r="K176" s="502"/>
      <c r="L176" s="503"/>
      <c r="M176" s="366"/>
      <c r="N176" s="366"/>
      <c r="O176" s="71"/>
      <c r="P176" s="1192"/>
      <c r="Q176" s="1152"/>
      <c r="R176" s="394"/>
      <c r="S176" s="395"/>
      <c r="T176" s="1188"/>
      <c r="U176" s="1188"/>
      <c r="V176" s="1188"/>
      <c r="W176" s="1188"/>
      <c r="X176" s="1188"/>
      <c r="Y176" s="1188"/>
      <c r="Z176" s="1188"/>
      <c r="AA176" s="1188"/>
      <c r="AB176" s="1188"/>
      <c r="AC176" s="1190"/>
      <c r="AE176" s="1192"/>
      <c r="AF176" s="1152"/>
      <c r="AG176" s="394"/>
      <c r="AH176" s="395"/>
      <c r="AI176" s="1188"/>
      <c r="AJ176" s="1188"/>
      <c r="AK176" s="1188"/>
      <c r="AL176" s="1188"/>
      <c r="AM176" s="1188"/>
      <c r="AN176" s="1188"/>
      <c r="AO176" s="1188"/>
      <c r="AP176" s="1188"/>
      <c r="AQ176" s="1188"/>
      <c r="AR176" s="1190"/>
    </row>
    <row r="177" spans="1:44" outlineLevel="1">
      <c r="B177" s="382"/>
      <c r="C177" s="396"/>
      <c r="D177" s="396"/>
      <c r="E177" s="396"/>
      <c r="F177" s="396"/>
      <c r="G177" s="398"/>
      <c r="H177" s="398"/>
      <c r="I177" s="398"/>
      <c r="J177" s="398"/>
      <c r="K177" s="371"/>
      <c r="L177" s="372"/>
      <c r="M177" s="362"/>
      <c r="N177" s="362"/>
      <c r="P177" s="1192"/>
      <c r="Q177" s="1152"/>
      <c r="R177" s="394"/>
      <c r="S177" s="395"/>
      <c r="T177" s="1188"/>
      <c r="U177" s="1188"/>
      <c r="V177" s="1188"/>
      <c r="W177" s="1188"/>
      <c r="X177" s="1188"/>
      <c r="Y177" s="1188"/>
      <c r="Z177" s="1188"/>
      <c r="AA177" s="1188"/>
      <c r="AB177" s="1188"/>
      <c r="AC177" s="1190"/>
      <c r="AE177" s="1192"/>
      <c r="AF177" s="1152"/>
      <c r="AG177" s="394"/>
      <c r="AH177" s="628"/>
      <c r="AI177" s="1188"/>
      <c r="AJ177" s="1188"/>
      <c r="AK177" s="1188"/>
      <c r="AL177" s="1188"/>
      <c r="AM177" s="1188"/>
      <c r="AN177" s="1188"/>
      <c r="AO177" s="1188"/>
      <c r="AP177" s="1188"/>
      <c r="AQ177" s="1188"/>
      <c r="AR177" s="1190"/>
    </row>
    <row r="178" spans="1:44" ht="15" outlineLevel="1" thickBot="1">
      <c r="B178" s="499"/>
      <c r="C178" s="505"/>
      <c r="D178" s="505"/>
      <c r="E178" s="505"/>
      <c r="F178" s="505"/>
      <c r="G178" s="505"/>
      <c r="H178" s="505"/>
      <c r="I178" s="505"/>
      <c r="J178" s="505"/>
      <c r="K178" s="371"/>
      <c r="L178" s="399"/>
      <c r="M178" s="362"/>
      <c r="N178" s="362"/>
      <c r="P178" s="1192"/>
      <c r="Q178" s="1152"/>
      <c r="R178" s="394"/>
      <c r="S178" s="395"/>
      <c r="T178" s="1188"/>
      <c r="U178" s="1188"/>
      <c r="V178" s="1188"/>
      <c r="W178" s="1188"/>
      <c r="X178" s="1188"/>
      <c r="Y178" s="1188"/>
      <c r="Z178" s="1188"/>
      <c r="AA178" s="1188"/>
      <c r="AB178" s="1188"/>
      <c r="AC178" s="1190"/>
      <c r="AE178" s="1192"/>
      <c r="AF178" s="1152"/>
      <c r="AG178" s="394"/>
      <c r="AH178" s="395"/>
      <c r="AI178" s="1188"/>
      <c r="AJ178" s="1188"/>
      <c r="AK178" s="1188"/>
      <c r="AL178" s="1188"/>
      <c r="AM178" s="1188"/>
      <c r="AN178" s="1188"/>
      <c r="AO178" s="1188"/>
      <c r="AP178" s="1188"/>
      <c r="AQ178" s="1188"/>
      <c r="AR178" s="1190"/>
    </row>
    <row r="179" spans="1:44" ht="15" outlineLevel="1" thickBot="1">
      <c r="B179" s="400"/>
      <c r="C179" s="401"/>
      <c r="D179" s="402"/>
      <c r="E179" s="403"/>
      <c r="F179" s="404"/>
      <c r="G179" s="405"/>
      <c r="H179" s="405"/>
      <c r="I179" s="405"/>
      <c r="J179" s="405"/>
      <c r="K179" s="406"/>
      <c r="L179" s="407"/>
      <c r="M179" s="362"/>
      <c r="N179" s="362"/>
      <c r="P179" s="1192"/>
      <c r="Q179" s="1153"/>
      <c r="R179" s="408"/>
      <c r="S179" s="409"/>
      <c r="T179" s="1189"/>
      <c r="U179" s="1189"/>
      <c r="V179" s="1189"/>
      <c r="W179" s="1189"/>
      <c r="X179" s="1189"/>
      <c r="Y179" s="1189"/>
      <c r="Z179" s="1189"/>
      <c r="AA179" s="1189"/>
      <c r="AB179" s="1189"/>
      <c r="AC179" s="1191"/>
      <c r="AE179" s="1192"/>
      <c r="AF179" s="1153"/>
      <c r="AG179" s="408"/>
      <c r="AH179" s="409"/>
      <c r="AI179" s="1189"/>
      <c r="AJ179" s="1189"/>
      <c r="AK179" s="1189"/>
      <c r="AL179" s="1189"/>
      <c r="AM179" s="1189"/>
      <c r="AN179" s="1189"/>
      <c r="AO179" s="1189"/>
      <c r="AP179" s="1189"/>
      <c r="AQ179" s="1189"/>
      <c r="AR179" s="1191"/>
    </row>
    <row r="180" spans="1:44" ht="15" outlineLevel="1" thickBot="1">
      <c r="B180" s="499"/>
      <c r="C180" s="505"/>
      <c r="D180" s="505"/>
      <c r="E180" s="505"/>
      <c r="F180" s="505"/>
      <c r="G180" s="506"/>
      <c r="H180" s="506"/>
      <c r="I180" s="506"/>
      <c r="J180" s="506"/>
      <c r="K180" s="502"/>
      <c r="L180" s="503"/>
      <c r="M180" s="362"/>
      <c r="N180" s="362"/>
      <c r="P180" s="1193"/>
      <c r="Q180" s="410"/>
      <c r="R180" s="411"/>
      <c r="S180" s="629"/>
      <c r="T180" s="415"/>
      <c r="U180" s="414"/>
      <c r="V180" s="415"/>
      <c r="W180" s="414"/>
      <c r="X180" s="415"/>
      <c r="Y180" s="414"/>
      <c r="Z180" s="415"/>
      <c r="AA180" s="414"/>
      <c r="AB180" s="415"/>
      <c r="AC180" s="416"/>
      <c r="AE180" s="1193"/>
      <c r="AF180" s="410"/>
      <c r="AG180" s="694"/>
      <c r="AH180" s="695"/>
      <c r="AI180" s="415"/>
      <c r="AJ180" s="414"/>
      <c r="AK180" s="415"/>
      <c r="AL180" s="414"/>
      <c r="AM180" s="415"/>
      <c r="AN180" s="414"/>
      <c r="AO180" s="415"/>
      <c r="AP180" s="414"/>
      <c r="AQ180" s="415"/>
      <c r="AR180" s="416"/>
    </row>
    <row r="181" spans="1:44" outlineLevel="1">
      <c r="B181" s="499"/>
      <c r="C181" s="505"/>
      <c r="D181" s="505"/>
      <c r="E181" s="505"/>
      <c r="F181" s="505"/>
      <c r="G181" s="508"/>
      <c r="H181" s="508"/>
      <c r="I181" s="508"/>
      <c r="J181" s="508"/>
      <c r="K181" s="509"/>
      <c r="L181" s="503"/>
      <c r="M181" s="362"/>
      <c r="N181" s="362"/>
    </row>
    <row r="182" spans="1:44" outlineLevel="1">
      <c r="B182" s="499"/>
      <c r="C182" s="505"/>
      <c r="D182" s="505"/>
      <c r="E182" s="505"/>
      <c r="F182" s="505"/>
      <c r="G182" s="508"/>
      <c r="H182" s="508"/>
      <c r="I182" s="508"/>
      <c r="J182" s="508"/>
      <c r="K182" s="509"/>
      <c r="L182" s="503"/>
      <c r="M182" s="419"/>
      <c r="N182" s="362"/>
    </row>
    <row r="183" spans="1:44" outlineLevel="1">
      <c r="B183" s="420"/>
      <c r="C183" s="398"/>
      <c r="D183" s="398"/>
      <c r="E183" s="398"/>
      <c r="F183" s="398"/>
      <c r="G183" s="421"/>
      <c r="H183" s="421"/>
      <c r="I183" s="421"/>
      <c r="J183" s="421"/>
      <c r="K183" s="422"/>
      <c r="L183" s="423"/>
      <c r="M183" s="419"/>
      <c r="N183" s="419"/>
    </row>
    <row r="184" spans="1:44" outlineLevel="1">
      <c r="B184" s="382"/>
      <c r="C184" s="396"/>
      <c r="D184" s="396"/>
      <c r="E184" s="396"/>
      <c r="F184" s="396"/>
      <c r="G184" s="421"/>
      <c r="H184" s="424"/>
      <c r="I184" s="424"/>
      <c r="J184" s="424"/>
      <c r="K184" s="425"/>
      <c r="L184" s="426"/>
      <c r="M184" s="427"/>
      <c r="N184" s="427"/>
    </row>
    <row r="185" spans="1:44" outlineLevel="1">
      <c r="B185" s="382"/>
      <c r="C185" s="396"/>
      <c r="D185" s="396"/>
      <c r="E185" s="396"/>
      <c r="F185" s="396"/>
      <c r="G185" s="424"/>
      <c r="H185" s="424"/>
      <c r="I185" s="424"/>
      <c r="J185" s="424"/>
      <c r="K185" s="422"/>
      <c r="L185" s="426"/>
      <c r="M185" s="427"/>
      <c r="N185" s="427"/>
    </row>
    <row r="186" spans="1:44" outlineLevel="1">
      <c r="B186" s="382"/>
      <c r="C186" s="396"/>
      <c r="D186" s="396"/>
      <c r="E186" s="396"/>
      <c r="F186" s="396"/>
      <c r="G186" s="424"/>
      <c r="H186" s="424"/>
      <c r="I186" s="424"/>
      <c r="J186" s="424"/>
      <c r="K186" s="422"/>
      <c r="L186" s="426"/>
      <c r="M186" s="427"/>
      <c r="N186" s="427"/>
    </row>
    <row r="187" spans="1:44" outlineLevel="1">
      <c r="B187" s="382"/>
      <c r="C187" s="396"/>
      <c r="D187" s="396"/>
      <c r="E187" s="396"/>
      <c r="F187" s="396"/>
      <c r="G187" s="424"/>
      <c r="H187" s="424"/>
      <c r="I187" s="424"/>
      <c r="J187" s="424"/>
      <c r="K187" s="422"/>
      <c r="L187" s="426"/>
      <c r="M187" s="427"/>
      <c r="N187" s="427"/>
    </row>
    <row r="188" spans="1:44" ht="15" outlineLevel="1" thickBot="1">
      <c r="B188" s="428"/>
      <c r="C188" s="696"/>
      <c r="D188" s="696"/>
      <c r="E188" s="696"/>
      <c r="F188" s="696"/>
      <c r="G188" s="424"/>
      <c r="H188" s="424"/>
      <c r="I188" s="424"/>
      <c r="J188" s="424"/>
      <c r="K188" s="422"/>
      <c r="L188" s="426"/>
      <c r="M188" s="427"/>
      <c r="N188" s="427"/>
    </row>
    <row r="189" spans="1:44" ht="15" outlineLevel="1" thickBot="1">
      <c r="B189" s="430"/>
      <c r="C189" s="431"/>
      <c r="D189" s="402"/>
      <c r="E189" s="402"/>
      <c r="F189" s="432"/>
      <c r="G189" s="433"/>
      <c r="H189" s="405"/>
      <c r="I189" s="405"/>
      <c r="J189" s="405"/>
      <c r="K189" s="406"/>
      <c r="L189" s="407"/>
      <c r="M189" s="427"/>
      <c r="N189" s="427"/>
    </row>
    <row r="190" spans="1:44" outlineLevel="1">
      <c r="A190" s="434"/>
      <c r="B190" s="435"/>
      <c r="C190" s="550"/>
      <c r="D190" s="646"/>
      <c r="E190" s="646"/>
      <c r="F190" s="647"/>
      <c r="G190" s="424"/>
      <c r="H190" s="424"/>
      <c r="I190" s="424"/>
      <c r="J190" s="424"/>
      <c r="K190" s="425"/>
      <c r="L190" s="439"/>
      <c r="M190" s="419"/>
      <c r="N190" s="419"/>
    </row>
    <row r="191" spans="1:44" outlineLevel="1">
      <c r="B191" s="440"/>
      <c r="C191" s="441"/>
      <c r="D191" s="441"/>
      <c r="E191" s="441"/>
      <c r="F191" s="441"/>
      <c r="G191" s="424"/>
      <c r="H191" s="424"/>
      <c r="I191" s="424"/>
      <c r="J191" s="424"/>
      <c r="K191" s="443"/>
      <c r="L191" s="372"/>
      <c r="M191" s="71"/>
      <c r="N191" s="419"/>
    </row>
    <row r="192" spans="1:44" outlineLevel="1">
      <c r="B192" s="440"/>
      <c r="C192" s="441"/>
      <c r="D192" s="441"/>
      <c r="E192" s="441"/>
      <c r="F192" s="441"/>
      <c r="G192" s="424"/>
      <c r="H192" s="424"/>
      <c r="I192" s="424"/>
      <c r="J192" s="424"/>
      <c r="K192" s="443"/>
      <c r="L192" s="372"/>
      <c r="M192" s="419"/>
      <c r="N192" s="419"/>
    </row>
    <row r="193" spans="2:30" outlineLevel="1">
      <c r="B193" s="382"/>
      <c r="C193" s="601"/>
      <c r="D193" s="602"/>
      <c r="E193" s="602"/>
      <c r="F193" s="603"/>
      <c r="G193" s="424"/>
      <c r="H193" s="424"/>
      <c r="I193" s="424"/>
      <c r="J193" s="424"/>
      <c r="K193" s="447"/>
      <c r="L193" s="372"/>
      <c r="M193" s="419"/>
      <c r="N193" s="419"/>
    </row>
    <row r="194" spans="2:30" outlineLevel="1">
      <c r="B194" s="382"/>
      <c r="C194" s="448"/>
      <c r="D194" s="448"/>
      <c r="E194" s="448"/>
      <c r="F194" s="448"/>
      <c r="G194" s="424"/>
      <c r="H194" s="424"/>
      <c r="I194" s="424"/>
      <c r="J194" s="424"/>
      <c r="K194" s="447"/>
      <c r="L194" s="372"/>
      <c r="M194" s="693"/>
      <c r="N194" s="692"/>
      <c r="P194" s="1139"/>
      <c r="Q194" s="1140"/>
      <c r="R194" s="1140"/>
      <c r="S194" s="1140"/>
      <c r="T194" s="1140"/>
      <c r="U194" s="1141"/>
    </row>
    <row r="195" spans="2:30" ht="15" outlineLevel="1" thickBot="1">
      <c r="B195" s="499"/>
      <c r="C195" s="513"/>
      <c r="D195" s="513"/>
      <c r="E195" s="513"/>
      <c r="F195" s="513"/>
      <c r="G195" s="514"/>
      <c r="H195" s="514"/>
      <c r="I195" s="514"/>
      <c r="J195" s="514"/>
      <c r="K195" s="502"/>
      <c r="L195" s="503"/>
      <c r="M195" s="693"/>
      <c r="N195" s="692"/>
      <c r="P195" s="1131"/>
      <c r="Q195" s="1132"/>
      <c r="R195" s="1132"/>
      <c r="S195" s="1132"/>
      <c r="T195" s="1132"/>
      <c r="U195" s="1133"/>
    </row>
    <row r="196" spans="2:30" outlineLevel="1">
      <c r="B196" s="499"/>
      <c r="C196" s="515"/>
      <c r="D196" s="515"/>
      <c r="E196" s="515"/>
      <c r="F196" s="515"/>
      <c r="G196" s="514"/>
      <c r="H196" s="514"/>
      <c r="I196" s="514"/>
      <c r="J196" s="514"/>
      <c r="K196" s="516"/>
      <c r="L196" s="503"/>
      <c r="M196" s="362"/>
      <c r="N196" s="362"/>
      <c r="P196" s="53"/>
    </row>
    <row r="197" spans="2:30" outlineLevel="1">
      <c r="B197" s="440"/>
      <c r="C197" s="680"/>
      <c r="D197" s="680"/>
      <c r="E197" s="680"/>
      <c r="F197" s="680"/>
      <c r="G197" s="424"/>
      <c r="H197" s="424"/>
      <c r="I197" s="424"/>
      <c r="J197" s="424"/>
      <c r="K197" s="443"/>
      <c r="L197" s="423"/>
      <c r="M197" s="366"/>
      <c r="N197" s="366"/>
      <c r="P197" s="46"/>
      <c r="Q197" s="46"/>
      <c r="R197" s="47"/>
      <c r="S197" s="47"/>
      <c r="T197" s="47"/>
      <c r="U197" s="48"/>
      <c r="V197" s="49"/>
      <c r="W197" s="49"/>
      <c r="X197" s="49"/>
      <c r="Y197" s="49"/>
      <c r="Z197" s="49"/>
      <c r="AA197" s="49"/>
      <c r="AB197" s="49"/>
      <c r="AC197" s="49"/>
      <c r="AD197" s="49"/>
    </row>
    <row r="198" spans="2:30" ht="15" outlineLevel="1" thickBot="1">
      <c r="B198" s="518"/>
      <c r="C198" s="441"/>
      <c r="D198" s="519"/>
      <c r="E198" s="519"/>
      <c r="F198" s="520"/>
      <c r="G198" s="424"/>
      <c r="H198" s="424"/>
      <c r="I198" s="424"/>
      <c r="J198" s="424"/>
      <c r="K198" s="447"/>
      <c r="L198" s="423"/>
      <c r="M198" s="362"/>
      <c r="N198" s="362"/>
      <c r="P198" s="50"/>
      <c r="Q198" s="50"/>
      <c r="R198" s="51"/>
      <c r="S198" s="51"/>
      <c r="T198" s="51"/>
      <c r="U198" s="51"/>
      <c r="V198" s="50"/>
      <c r="W198" s="50"/>
      <c r="X198" s="50"/>
      <c r="Y198" s="50"/>
      <c r="Z198" s="50"/>
      <c r="AA198" s="50"/>
      <c r="AB198" s="50"/>
      <c r="AC198" s="50"/>
      <c r="AD198" s="50"/>
    </row>
    <row r="199" spans="2:30" ht="15" outlineLevel="1" thickBot="1">
      <c r="B199" s="400"/>
      <c r="C199" s="401"/>
      <c r="D199" s="402"/>
      <c r="E199" s="403"/>
      <c r="F199" s="404"/>
      <c r="G199" s="405"/>
      <c r="H199" s="405"/>
      <c r="I199" s="405"/>
      <c r="J199" s="405"/>
      <c r="K199" s="458"/>
      <c r="L199" s="459"/>
      <c r="M199" s="362"/>
      <c r="N199" s="362"/>
      <c r="O199" s="460"/>
      <c r="P199" s="56"/>
      <c r="Q199" s="56"/>
      <c r="R199" s="57"/>
      <c r="S199" s="57"/>
      <c r="T199" s="57"/>
      <c r="U199" s="56"/>
      <c r="V199" s="56"/>
      <c r="W199" s="56"/>
      <c r="X199" s="56"/>
      <c r="Y199" s="56"/>
      <c r="Z199" s="56"/>
      <c r="AA199" s="56"/>
      <c r="AB199" s="56"/>
      <c r="AC199" s="56"/>
      <c r="AD199" s="56"/>
    </row>
    <row r="200" spans="2:30" outlineLevel="1">
      <c r="B200" s="521"/>
      <c r="C200" s="669"/>
      <c r="D200" s="669"/>
      <c r="E200" s="669"/>
      <c r="F200" s="669"/>
      <c r="G200" s="523"/>
      <c r="H200" s="523"/>
      <c r="I200" s="523"/>
      <c r="J200" s="523"/>
      <c r="K200" s="523"/>
      <c r="L200" s="524"/>
      <c r="M200" s="362"/>
      <c r="N200" s="362"/>
      <c r="O200" s="464"/>
      <c r="P200" s="465"/>
      <c r="Q200" s="58"/>
      <c r="R200" s="465"/>
      <c r="S200" s="58"/>
      <c r="T200" s="465"/>
      <c r="U200" s="466"/>
      <c r="V200" s="466"/>
      <c r="W200" s="466"/>
      <c r="X200" s="58"/>
      <c r="Y200" s="58"/>
      <c r="Z200" s="465"/>
      <c r="AA200" s="467"/>
      <c r="AB200" s="467"/>
      <c r="AC200" s="467"/>
      <c r="AD200" s="467"/>
    </row>
    <row r="201" spans="2:30" outlineLevel="1">
      <c r="B201" s="499"/>
      <c r="C201" s="525"/>
      <c r="D201" s="526"/>
      <c r="E201" s="526"/>
      <c r="F201" s="527"/>
      <c r="G201" s="527"/>
      <c r="H201" s="527"/>
      <c r="I201" s="527"/>
      <c r="J201" s="527"/>
      <c r="K201" s="528"/>
      <c r="L201" s="524"/>
      <c r="M201" s="362"/>
      <c r="N201" s="362"/>
      <c r="O201" s="464"/>
      <c r="P201" s="465"/>
      <c r="Q201" s="58"/>
      <c r="R201" s="465"/>
      <c r="S201" s="58"/>
      <c r="T201" s="465"/>
      <c r="U201" s="466"/>
      <c r="V201" s="466"/>
      <c r="W201" s="466"/>
      <c r="X201" s="58"/>
      <c r="Y201" s="58"/>
      <c r="Z201" s="465"/>
      <c r="AA201" s="467"/>
      <c r="AB201" s="467"/>
      <c r="AC201" s="467"/>
      <c r="AD201" s="467"/>
    </row>
    <row r="202" spans="2:30" outlineLevel="1">
      <c r="B202" s="499"/>
      <c r="C202" s="525"/>
      <c r="D202" s="526"/>
      <c r="E202" s="526"/>
      <c r="F202" s="527"/>
      <c r="G202" s="514"/>
      <c r="H202" s="514"/>
      <c r="I202" s="514"/>
      <c r="J202" s="514"/>
      <c r="K202" s="514"/>
      <c r="L202" s="503"/>
      <c r="M202" s="362"/>
      <c r="N202" s="362"/>
      <c r="O202" s="464"/>
      <c r="P202" s="465"/>
      <c r="Q202" s="58"/>
      <c r="R202" s="465"/>
      <c r="S202" s="58"/>
      <c r="T202" s="465"/>
      <c r="U202" s="466"/>
      <c r="V202" s="466"/>
      <c r="W202" s="466"/>
      <c r="X202" s="58"/>
      <c r="Y202" s="58"/>
      <c r="Z202" s="465"/>
      <c r="AA202" s="467"/>
      <c r="AB202" s="467"/>
      <c r="AC202" s="467"/>
      <c r="AD202" s="467"/>
    </row>
    <row r="203" spans="2:30" outlineLevel="1">
      <c r="B203" s="499"/>
      <c r="C203" s="684"/>
      <c r="D203" s="529"/>
      <c r="E203" s="529"/>
      <c r="F203" s="529"/>
      <c r="G203" s="530"/>
      <c r="H203" s="530"/>
      <c r="I203" s="530"/>
      <c r="J203" s="530"/>
      <c r="K203" s="530"/>
      <c r="L203" s="503"/>
      <c r="M203" s="362"/>
      <c r="N203" s="362"/>
      <c r="O203" s="464"/>
      <c r="P203" s="465"/>
      <c r="Q203" s="58"/>
      <c r="R203" s="465"/>
      <c r="S203" s="58"/>
      <c r="T203" s="465"/>
      <c r="U203" s="466"/>
      <c r="V203" s="466"/>
      <c r="W203" s="466"/>
      <c r="X203" s="58"/>
      <c r="Y203" s="58"/>
      <c r="Z203" s="465"/>
      <c r="AA203" s="467"/>
      <c r="AB203" s="467"/>
      <c r="AC203" s="467"/>
      <c r="AD203" s="467"/>
    </row>
    <row r="204" spans="2:30" outlineLevel="1">
      <c r="B204" s="531"/>
      <c r="C204" s="525"/>
      <c r="D204" s="526"/>
      <c r="E204" s="526"/>
      <c r="F204" s="527"/>
      <c r="G204" s="530"/>
      <c r="H204" s="530"/>
      <c r="I204" s="530"/>
      <c r="J204" s="530"/>
      <c r="K204" s="530"/>
      <c r="L204" s="532"/>
      <c r="M204" s="366"/>
      <c r="N204" s="366"/>
    </row>
    <row r="205" spans="2:30" outlineLevel="1">
      <c r="B205" s="531"/>
      <c r="C205" s="525"/>
      <c r="D205" s="526"/>
      <c r="E205" s="526"/>
      <c r="F205" s="527"/>
      <c r="G205" s="530"/>
      <c r="H205" s="530"/>
      <c r="I205" s="530"/>
      <c r="J205" s="530"/>
      <c r="K205" s="530"/>
      <c r="L205" s="532"/>
      <c r="M205" s="362"/>
      <c r="N205" s="362"/>
    </row>
    <row r="206" spans="2:30" ht="15" outlineLevel="1" thickBot="1">
      <c r="B206" s="533"/>
      <c r="C206" s="534"/>
      <c r="D206" s="535"/>
      <c r="E206" s="535"/>
      <c r="F206" s="536"/>
      <c r="G206" s="537"/>
      <c r="H206" s="537"/>
      <c r="I206" s="537"/>
      <c r="J206" s="537"/>
      <c r="K206" s="537"/>
      <c r="L206" s="538"/>
      <c r="M206" s="362"/>
      <c r="N206" s="362"/>
    </row>
    <row r="207" spans="2:30" outlineLevel="1">
      <c r="B207" s="460"/>
      <c r="C207" s="482"/>
      <c r="D207" s="482"/>
      <c r="E207" s="482"/>
      <c r="F207" s="482"/>
      <c r="G207" s="482"/>
      <c r="H207" s="483"/>
      <c r="I207" s="419"/>
      <c r="J207" s="419"/>
      <c r="K207" s="483"/>
      <c r="L207" s="483"/>
      <c r="N207" s="419"/>
    </row>
    <row r="208" spans="2:30" outlineLevel="1">
      <c r="B208" s="484"/>
      <c r="C208" s="485"/>
      <c r="D208" s="485"/>
      <c r="E208" s="485"/>
      <c r="F208" s="485"/>
      <c r="G208" s="485"/>
      <c r="H208" s="483"/>
      <c r="I208" s="71"/>
      <c r="J208" s="419"/>
      <c r="K208" s="483"/>
      <c r="L208" s="483"/>
      <c r="N208" s="419"/>
    </row>
    <row r="209" spans="1:16" outlineLevel="1">
      <c r="B209" s="460"/>
      <c r="C209" s="358"/>
      <c r="D209" s="358"/>
      <c r="E209" s="358"/>
      <c r="F209" s="358"/>
      <c r="G209" s="358"/>
      <c r="I209" s="419"/>
      <c r="J209" s="419"/>
      <c r="N209" s="419"/>
    </row>
    <row r="210" spans="1:16" outlineLevel="1">
      <c r="B210" s="460"/>
      <c r="C210" s="486"/>
      <c r="D210" s="486"/>
      <c r="E210" s="486"/>
      <c r="F210" s="486"/>
      <c r="G210" s="358"/>
      <c r="M210" s="419"/>
      <c r="N210" s="419"/>
    </row>
    <row r="211" spans="1:16" outlineLevel="1"/>
    <row r="212" spans="1:16" outlineLevel="1">
      <c r="A212" s="487"/>
      <c r="B212" s="488"/>
      <c r="D212" s="489"/>
      <c r="E212" s="489"/>
      <c r="F212" s="489"/>
      <c r="G212" s="357"/>
      <c r="H212" s="357"/>
      <c r="I212" s="357"/>
      <c r="J212" s="357"/>
      <c r="K212" s="357"/>
      <c r="L212" s="357"/>
      <c r="N212" s="569"/>
      <c r="O212" s="488"/>
      <c r="P212" s="489"/>
    </row>
    <row r="213" spans="1:16" outlineLevel="1">
      <c r="A213" s="490"/>
      <c r="B213" s="491"/>
      <c r="D213" s="489"/>
      <c r="E213" s="489"/>
      <c r="F213" s="489"/>
      <c r="G213" s="357"/>
      <c r="H213" s="357"/>
      <c r="I213" s="357"/>
      <c r="J213" s="357"/>
      <c r="K213" s="357"/>
      <c r="L213" s="357"/>
      <c r="N213" s="569"/>
      <c r="O213" s="488"/>
      <c r="P213" s="489"/>
    </row>
    <row r="214" spans="1:16" outlineLevel="1">
      <c r="A214" s="490"/>
      <c r="B214" s="492"/>
      <c r="D214" s="489"/>
      <c r="E214" s="489"/>
      <c r="F214" s="489"/>
      <c r="G214" s="357"/>
      <c r="H214" s="357"/>
      <c r="I214" s="357"/>
      <c r="J214" s="357"/>
      <c r="K214" s="357"/>
      <c r="L214" s="357"/>
      <c r="N214" s="569"/>
      <c r="O214" s="488"/>
      <c r="P214" s="489"/>
    </row>
    <row r="215" spans="1:16" outlineLevel="1">
      <c r="A215" s="490"/>
      <c r="B215" s="487"/>
      <c r="C215" s="488"/>
      <c r="E215" s="357"/>
      <c r="F215" s="489"/>
      <c r="G215" s="357"/>
      <c r="H215" s="357"/>
      <c r="I215" s="357"/>
      <c r="J215" s="357"/>
      <c r="K215" s="357"/>
      <c r="L215" s="357"/>
      <c r="N215" s="569"/>
      <c r="O215" s="488"/>
      <c r="P215" s="489"/>
    </row>
    <row r="216" spans="1:16" outlineLevel="1">
      <c r="A216" s="490"/>
      <c r="B216" s="490"/>
      <c r="C216" s="491"/>
      <c r="E216" s="357"/>
      <c r="F216" s="489"/>
      <c r="G216" s="357"/>
      <c r="H216" s="357"/>
      <c r="I216" s="357"/>
      <c r="J216" s="357"/>
      <c r="K216" s="357"/>
      <c r="L216" s="357"/>
      <c r="N216" s="569"/>
      <c r="O216" s="488"/>
      <c r="P216" s="489"/>
    </row>
    <row r="217" spans="1:16" outlineLevel="1">
      <c r="A217" s="357"/>
      <c r="B217" s="490"/>
      <c r="C217" s="492"/>
      <c r="E217" s="357"/>
      <c r="F217" s="489"/>
      <c r="G217" s="357"/>
      <c r="H217" s="357"/>
      <c r="I217" s="357"/>
      <c r="J217" s="357"/>
      <c r="K217" s="357"/>
      <c r="L217" s="357"/>
    </row>
    <row r="218" spans="1:16" outlineLevel="1">
      <c r="A218" s="357"/>
      <c r="B218" s="490"/>
      <c r="C218" s="492"/>
      <c r="E218" s="357"/>
      <c r="F218" s="489"/>
      <c r="G218" s="357"/>
      <c r="H218" s="357"/>
      <c r="I218" s="357"/>
      <c r="J218" s="357"/>
      <c r="K218" s="357"/>
      <c r="L218" s="357"/>
    </row>
    <row r="219" spans="1:16" outlineLevel="1">
      <c r="A219" s="357"/>
      <c r="B219" s="490"/>
      <c r="C219" s="492"/>
      <c r="E219" s="357"/>
      <c r="F219" s="489"/>
      <c r="G219" s="357"/>
      <c r="H219" s="357"/>
      <c r="I219" s="357"/>
      <c r="J219" s="357"/>
      <c r="K219" s="357"/>
      <c r="L219" s="357"/>
    </row>
    <row r="220" spans="1:16" outlineLevel="1">
      <c r="A220" s="357"/>
      <c r="B220" s="357"/>
      <c r="C220" s="493"/>
      <c r="F220" s="489"/>
      <c r="G220" s="357"/>
      <c r="H220" s="357"/>
      <c r="I220" s="357"/>
      <c r="J220" s="357"/>
      <c r="K220" s="357"/>
      <c r="L220" s="357"/>
    </row>
    <row r="221" spans="1:16" outlineLevel="1">
      <c r="A221" s="357"/>
      <c r="B221" s="357"/>
      <c r="C221" s="491"/>
      <c r="F221" s="489"/>
      <c r="G221" s="357"/>
      <c r="H221" s="357"/>
      <c r="I221" s="357"/>
      <c r="J221" s="357"/>
      <c r="K221" s="357"/>
      <c r="L221" s="357"/>
    </row>
    <row r="222" spans="1:16" outlineLevel="1">
      <c r="A222" s="357"/>
      <c r="B222" s="357"/>
      <c r="C222" s="494"/>
      <c r="F222" s="489"/>
      <c r="G222" s="357"/>
      <c r="H222" s="357"/>
      <c r="I222" s="357"/>
      <c r="J222" s="357"/>
      <c r="K222" s="357"/>
      <c r="L222" s="357"/>
    </row>
    <row r="223" spans="1:16" outlineLevel="1">
      <c r="A223" s="487"/>
      <c r="B223" s="357"/>
      <c r="C223" s="494"/>
      <c r="F223" s="489"/>
      <c r="G223" s="357"/>
      <c r="H223" s="357"/>
      <c r="I223" s="357"/>
      <c r="J223" s="357"/>
      <c r="K223" s="357"/>
      <c r="L223" s="357"/>
    </row>
    <row r="224" spans="1:16" outlineLevel="1">
      <c r="A224" s="495"/>
      <c r="B224" s="357"/>
      <c r="C224" s="488"/>
      <c r="F224" s="489"/>
      <c r="G224" s="357"/>
      <c r="H224" s="357"/>
      <c r="I224" s="357"/>
      <c r="J224" s="357"/>
      <c r="K224" s="357"/>
      <c r="L224" s="357"/>
      <c r="N224" s="569"/>
      <c r="O224" s="488"/>
      <c r="P224" s="489"/>
    </row>
    <row r="225" spans="1:16" outlineLevel="1">
      <c r="A225" s="495"/>
      <c r="B225" s="357"/>
      <c r="C225" s="489"/>
      <c r="F225" s="489"/>
      <c r="G225" s="357"/>
      <c r="H225" s="357"/>
      <c r="I225" s="357"/>
      <c r="J225" s="357"/>
      <c r="K225" s="357"/>
      <c r="L225" s="357"/>
      <c r="N225" s="569"/>
      <c r="O225" s="488"/>
      <c r="P225" s="489"/>
    </row>
    <row r="226" spans="1:16" outlineLevel="1">
      <c r="A226" s="495"/>
      <c r="B226" s="487"/>
      <c r="C226" s="488"/>
      <c r="F226" s="489"/>
      <c r="G226" s="357"/>
      <c r="H226" s="357"/>
      <c r="I226" s="357"/>
      <c r="J226" s="357"/>
      <c r="K226" s="357"/>
      <c r="L226" s="357"/>
      <c r="N226" s="569"/>
      <c r="O226" s="488"/>
      <c r="P226" s="489"/>
    </row>
    <row r="227" spans="1:16" outlineLevel="1">
      <c r="A227" s="495"/>
      <c r="B227" s="495"/>
      <c r="C227" s="496"/>
      <c r="D227" s="488"/>
      <c r="F227" s="489"/>
      <c r="G227" s="357"/>
      <c r="H227" s="357"/>
      <c r="I227" s="357"/>
      <c r="J227" s="357"/>
      <c r="K227" s="357"/>
      <c r="L227" s="357"/>
      <c r="N227" s="569"/>
      <c r="O227" s="488"/>
      <c r="P227" s="489"/>
    </row>
    <row r="228" spans="1:16" outlineLevel="1">
      <c r="A228" s="495"/>
      <c r="B228" s="495"/>
      <c r="C228" s="488"/>
      <c r="D228" s="488"/>
      <c r="F228" s="489"/>
      <c r="G228" s="357"/>
      <c r="H228" s="357"/>
      <c r="I228" s="357"/>
      <c r="J228" s="357"/>
      <c r="K228" s="357"/>
      <c r="L228" s="357"/>
      <c r="N228" s="569"/>
      <c r="O228" s="488"/>
      <c r="P228" s="489"/>
    </row>
    <row r="229" spans="1:16" outlineLevel="1">
      <c r="A229" s="495"/>
      <c r="B229" s="495"/>
      <c r="C229" s="488"/>
      <c r="D229" s="488"/>
      <c r="F229" s="489"/>
      <c r="G229" s="357"/>
      <c r="H229" s="357"/>
      <c r="I229" s="357"/>
      <c r="J229" s="357"/>
      <c r="K229" s="357"/>
      <c r="L229" s="357"/>
      <c r="N229" s="569"/>
      <c r="O229" s="488"/>
      <c r="P229" s="489"/>
    </row>
    <row r="230" spans="1:16" outlineLevel="1">
      <c r="A230" s="495"/>
      <c r="B230" s="495"/>
      <c r="C230" s="488"/>
      <c r="D230" s="488"/>
      <c r="F230" s="489"/>
      <c r="G230" s="357"/>
      <c r="H230" s="357"/>
      <c r="I230" s="357"/>
      <c r="J230" s="357"/>
      <c r="K230" s="357"/>
      <c r="L230" s="357"/>
      <c r="N230" s="569"/>
      <c r="O230" s="488"/>
      <c r="P230" s="489"/>
    </row>
    <row r="231" spans="1:16" outlineLevel="1">
      <c r="A231" s="495"/>
      <c r="B231" s="495"/>
      <c r="C231" s="488"/>
      <c r="D231" s="488"/>
      <c r="F231" s="489"/>
      <c r="G231" s="357"/>
      <c r="H231" s="357"/>
      <c r="I231" s="357"/>
      <c r="J231" s="357"/>
      <c r="K231" s="357"/>
      <c r="L231" s="357"/>
      <c r="N231" s="569"/>
      <c r="O231" s="488"/>
      <c r="P231" s="489"/>
    </row>
    <row r="232" spans="1:16" outlineLevel="1">
      <c r="A232" s="495"/>
      <c r="B232" s="495"/>
      <c r="C232" s="488"/>
      <c r="D232" s="488"/>
      <c r="F232" s="489"/>
      <c r="G232" s="357"/>
      <c r="H232" s="357"/>
      <c r="I232" s="357"/>
      <c r="J232" s="357"/>
      <c r="K232" s="357"/>
      <c r="L232" s="357"/>
      <c r="N232" s="569"/>
      <c r="O232" s="488"/>
      <c r="P232" s="489"/>
    </row>
    <row r="233" spans="1:16" outlineLevel="1">
      <c r="A233" s="495"/>
      <c r="B233" s="495"/>
      <c r="C233" s="488"/>
      <c r="D233" s="488"/>
      <c r="F233" s="489"/>
      <c r="G233" s="357"/>
      <c r="H233" s="357"/>
      <c r="I233" s="357"/>
      <c r="J233" s="357"/>
      <c r="K233" s="357"/>
      <c r="L233" s="357"/>
      <c r="N233" s="569"/>
      <c r="O233" s="488"/>
      <c r="P233" s="489"/>
    </row>
    <row r="234" spans="1:16" outlineLevel="1">
      <c r="A234" s="495"/>
      <c r="B234" s="495"/>
      <c r="C234" s="488"/>
      <c r="D234" s="488"/>
      <c r="F234" s="489"/>
      <c r="G234" s="357"/>
      <c r="H234" s="357"/>
      <c r="I234" s="357"/>
      <c r="J234" s="357"/>
      <c r="K234" s="357"/>
      <c r="L234" s="357"/>
      <c r="N234" s="569"/>
      <c r="O234" s="488"/>
      <c r="P234" s="489"/>
    </row>
    <row r="235" spans="1:16" outlineLevel="1">
      <c r="A235" s="495"/>
      <c r="B235" s="495"/>
      <c r="C235" s="497"/>
      <c r="D235" s="488"/>
      <c r="F235" s="489"/>
      <c r="G235" s="357"/>
      <c r="H235" s="357"/>
      <c r="I235" s="357"/>
      <c r="J235" s="357"/>
      <c r="K235" s="357"/>
      <c r="L235" s="357"/>
      <c r="N235" s="569"/>
      <c r="O235" s="488"/>
      <c r="P235" s="489"/>
    </row>
    <row r="236" spans="1:16" outlineLevel="1">
      <c r="A236" s="495"/>
      <c r="B236" s="495"/>
      <c r="C236" s="488"/>
      <c r="D236" s="488"/>
      <c r="F236" s="489"/>
      <c r="G236" s="357"/>
      <c r="H236" s="357"/>
      <c r="I236" s="357"/>
      <c r="J236" s="357"/>
      <c r="K236" s="357"/>
      <c r="L236" s="357"/>
      <c r="N236" s="570"/>
      <c r="O236" s="488"/>
      <c r="P236" s="489"/>
    </row>
    <row r="237" spans="1:16" outlineLevel="1">
      <c r="A237" s="495"/>
      <c r="B237" s="495"/>
      <c r="C237" s="488"/>
      <c r="D237" s="488"/>
      <c r="F237" s="489"/>
      <c r="G237" s="357"/>
      <c r="H237" s="357"/>
      <c r="I237" s="357"/>
      <c r="J237" s="357"/>
      <c r="K237" s="357"/>
      <c r="L237" s="357"/>
      <c r="N237" s="571"/>
      <c r="O237" s="488"/>
      <c r="P237" s="489"/>
    </row>
    <row r="238" spans="1:16" outlineLevel="1">
      <c r="A238" s="495"/>
      <c r="F238" s="489"/>
      <c r="G238" s="357"/>
      <c r="H238" s="357"/>
      <c r="I238" s="357"/>
      <c r="J238" s="357"/>
      <c r="K238" s="357"/>
      <c r="L238" s="357"/>
      <c r="N238" s="572"/>
      <c r="O238" s="488"/>
      <c r="P238" s="489"/>
    </row>
    <row r="239" spans="1:16" outlineLevel="1">
      <c r="A239" s="495"/>
      <c r="B239" s="497"/>
      <c r="C239" s="489"/>
      <c r="D239" s="489"/>
      <c r="E239" s="489"/>
      <c r="F239" s="489"/>
      <c r="G239" s="357"/>
      <c r="H239" s="357"/>
      <c r="I239" s="357"/>
      <c r="J239" s="357"/>
      <c r="K239" s="357"/>
      <c r="L239" s="357"/>
      <c r="N239" s="572"/>
      <c r="O239" s="489"/>
      <c r="P239" s="489"/>
    </row>
    <row r="240" spans="1:16" outlineLevel="1">
      <c r="A240" s="495"/>
      <c r="B240" s="488"/>
      <c r="C240" s="489"/>
      <c r="D240" s="489"/>
      <c r="E240" s="489"/>
      <c r="F240" s="489"/>
      <c r="G240" s="357"/>
      <c r="H240" s="357"/>
      <c r="I240" s="357"/>
      <c r="J240" s="357"/>
      <c r="K240" s="357"/>
      <c r="L240" s="357"/>
      <c r="N240" s="488"/>
      <c r="O240" s="489"/>
      <c r="P240" s="489"/>
    </row>
    <row r="241" spans="1:44" outlineLevel="1">
      <c r="A241" s="495"/>
      <c r="B241" s="488"/>
      <c r="C241" s="489"/>
      <c r="D241" s="489"/>
      <c r="E241" s="489"/>
      <c r="F241" s="489"/>
      <c r="G241" s="357"/>
      <c r="H241" s="357"/>
      <c r="I241" s="357"/>
      <c r="J241" s="357"/>
      <c r="K241" s="357"/>
      <c r="L241" s="357"/>
      <c r="N241" s="489"/>
      <c r="O241" s="489"/>
      <c r="P241" s="489"/>
    </row>
    <row r="242" spans="1:44" outlineLevel="1"/>
    <row r="243" spans="1:44" outlineLevel="1"/>
    <row r="245" spans="1:44">
      <c r="A245" s="359"/>
      <c r="B245" s="1204"/>
      <c r="C245" s="1140"/>
      <c r="D245" s="1140"/>
      <c r="E245" s="1140"/>
      <c r="F245" s="1140"/>
      <c r="G245" s="1140"/>
      <c r="H245" s="1140"/>
      <c r="I245" s="1140"/>
      <c r="J245" s="1140"/>
      <c r="K245" s="1140"/>
      <c r="L245" s="1140"/>
      <c r="M245" s="1140"/>
      <c r="N245" s="692"/>
      <c r="P245" s="1140"/>
      <c r="Q245" s="1140"/>
      <c r="R245" s="1140"/>
      <c r="S245" s="1140"/>
      <c r="T245" s="1140"/>
      <c r="U245" s="1140"/>
    </row>
    <row r="246" spans="1:44" ht="20.55" customHeight="1" outlineLevel="1" thickBot="1">
      <c r="B246" s="1204"/>
      <c r="C246" s="1140"/>
      <c r="D246" s="1140"/>
      <c r="E246" s="1140"/>
      <c r="F246" s="1140"/>
      <c r="G246" s="1140"/>
      <c r="H246" s="1140"/>
      <c r="I246" s="1140"/>
      <c r="J246" s="1140"/>
      <c r="K246" s="1140"/>
      <c r="L246" s="1140"/>
      <c r="M246" s="1140"/>
      <c r="N246" s="692"/>
      <c r="P246" s="691"/>
      <c r="Q246" s="691"/>
      <c r="R246" s="691"/>
      <c r="S246" s="691"/>
      <c r="T246" s="691"/>
      <c r="U246" s="691"/>
      <c r="V246" s="691"/>
      <c r="W246" s="691"/>
      <c r="X246" s="691"/>
      <c r="Y246" s="691"/>
      <c r="Z246" s="691"/>
      <c r="AA246" s="691"/>
      <c r="AB246" s="691"/>
      <c r="AC246" s="691"/>
    </row>
    <row r="247" spans="1:44" ht="15" customHeight="1" outlineLevel="1" thickBot="1">
      <c r="B247" s="361"/>
      <c r="C247" s="1201"/>
      <c r="D247" s="1202"/>
      <c r="E247" s="1202"/>
      <c r="F247" s="1202"/>
      <c r="G247" s="1202"/>
      <c r="H247" s="1202"/>
      <c r="I247" s="1202"/>
      <c r="J247" s="1202"/>
      <c r="K247" s="1202"/>
      <c r="L247" s="1203"/>
      <c r="M247" s="362"/>
      <c r="N247" s="362"/>
      <c r="P247" s="363"/>
      <c r="Q247" s="364"/>
      <c r="R247" s="365"/>
      <c r="S247" s="1173"/>
      <c r="T247" s="1157"/>
      <c r="U247" s="1158"/>
      <c r="V247" s="1157"/>
      <c r="W247" s="1158"/>
      <c r="X247" s="1157"/>
      <c r="Y247" s="1158"/>
      <c r="Z247" s="1157"/>
      <c r="AA247" s="1158"/>
      <c r="AB247" s="1157"/>
      <c r="AC247" s="1158"/>
      <c r="AE247" s="363"/>
      <c r="AF247" s="364"/>
      <c r="AG247" s="365"/>
      <c r="AH247" s="1173"/>
      <c r="AI247" s="1157"/>
      <c r="AJ247" s="1158"/>
      <c r="AK247" s="1157"/>
      <c r="AL247" s="1158"/>
      <c r="AM247" s="1157"/>
      <c r="AN247" s="1158"/>
      <c r="AO247" s="1157"/>
      <c r="AP247" s="1158"/>
      <c r="AQ247" s="1157"/>
      <c r="AR247" s="1158"/>
    </row>
    <row r="248" spans="1:44" ht="15" customHeight="1" outlineLevel="1" thickBot="1">
      <c r="B248" s="1161"/>
      <c r="C248" s="1163"/>
      <c r="D248" s="1163"/>
      <c r="E248" s="1163"/>
      <c r="F248" s="1163"/>
      <c r="G248" s="1197"/>
      <c r="H248" s="1198"/>
      <c r="I248" s="1197"/>
      <c r="J248" s="1198"/>
      <c r="K248" s="1199"/>
      <c r="L248" s="1199"/>
      <c r="M248" s="366"/>
      <c r="N248" s="366"/>
      <c r="P248" s="1177"/>
      <c r="Q248" s="367"/>
      <c r="R248" s="367"/>
      <c r="S248" s="1174"/>
      <c r="T248" s="1159"/>
      <c r="U248" s="1160"/>
      <c r="V248" s="1159"/>
      <c r="W248" s="1160"/>
      <c r="X248" s="1159"/>
      <c r="Y248" s="1160"/>
      <c r="Z248" s="1159"/>
      <c r="AA248" s="1160"/>
      <c r="AB248" s="1159"/>
      <c r="AC248" s="1160"/>
      <c r="AE248" s="1177"/>
      <c r="AF248" s="367"/>
      <c r="AG248" s="367"/>
      <c r="AH248" s="1174"/>
      <c r="AI248" s="1159"/>
      <c r="AJ248" s="1160"/>
      <c r="AK248" s="1159"/>
      <c r="AL248" s="1160"/>
      <c r="AM248" s="1159"/>
      <c r="AN248" s="1160"/>
      <c r="AO248" s="1159"/>
      <c r="AP248" s="1160"/>
      <c r="AQ248" s="1159"/>
      <c r="AR248" s="1160"/>
    </row>
    <row r="249" spans="1:44" ht="15" outlineLevel="1" thickBot="1">
      <c r="B249" s="1162"/>
      <c r="C249" s="1164"/>
      <c r="D249" s="1164"/>
      <c r="E249" s="1164"/>
      <c r="F249" s="1164"/>
      <c r="G249" s="498"/>
      <c r="H249" s="498"/>
      <c r="I249" s="498"/>
      <c r="J249" s="498"/>
      <c r="K249" s="1200"/>
      <c r="L249" s="1200"/>
      <c r="M249" s="369"/>
      <c r="N249" s="369"/>
      <c r="P249" s="1178"/>
      <c r="Q249" s="1180"/>
      <c r="R249" s="1181"/>
      <c r="S249" s="1175"/>
      <c r="T249" s="1159"/>
      <c r="U249" s="1160"/>
      <c r="V249" s="1159"/>
      <c r="W249" s="1160"/>
      <c r="X249" s="1159"/>
      <c r="Y249" s="1160"/>
      <c r="Z249" s="1159"/>
      <c r="AA249" s="1160"/>
      <c r="AB249" s="1159"/>
      <c r="AC249" s="1160"/>
      <c r="AE249" s="1178"/>
      <c r="AF249" s="1194"/>
      <c r="AG249" s="1181"/>
      <c r="AH249" s="1175"/>
      <c r="AI249" s="1159"/>
      <c r="AJ249" s="1160"/>
      <c r="AK249" s="1159"/>
      <c r="AL249" s="1160"/>
      <c r="AM249" s="1159"/>
      <c r="AN249" s="1160"/>
      <c r="AO249" s="1159"/>
      <c r="AP249" s="1160"/>
      <c r="AQ249" s="1159"/>
      <c r="AR249" s="1160"/>
    </row>
    <row r="250" spans="1:44" ht="14.55" customHeight="1" outlineLevel="1" thickBot="1">
      <c r="B250" s="370"/>
      <c r="C250" s="371"/>
      <c r="D250" s="371"/>
      <c r="E250" s="371"/>
      <c r="F250" s="371"/>
      <c r="G250" s="371"/>
      <c r="H250" s="371"/>
      <c r="I250" s="371"/>
      <c r="J250" s="371"/>
      <c r="K250" s="371"/>
      <c r="L250" s="372"/>
      <c r="M250" s="369"/>
      <c r="N250" s="369"/>
      <c r="O250" s="74"/>
      <c r="P250" s="1179"/>
      <c r="Q250" s="1176"/>
      <c r="R250" s="1182"/>
      <c r="S250" s="1176"/>
      <c r="T250" s="373"/>
      <c r="U250" s="374"/>
      <c r="V250" s="373"/>
      <c r="W250" s="374"/>
      <c r="X250" s="373"/>
      <c r="Y250" s="374"/>
      <c r="Z250" s="373"/>
      <c r="AA250" s="374"/>
      <c r="AB250" s="373"/>
      <c r="AC250" s="374"/>
      <c r="AE250" s="1179"/>
      <c r="AF250" s="1195"/>
      <c r="AG250" s="1182"/>
      <c r="AH250" s="1176"/>
      <c r="AI250" s="373"/>
      <c r="AJ250" s="374"/>
      <c r="AK250" s="373"/>
      <c r="AL250" s="374"/>
      <c r="AM250" s="373"/>
      <c r="AN250" s="374"/>
      <c r="AO250" s="373"/>
      <c r="AP250" s="374"/>
      <c r="AQ250" s="373"/>
      <c r="AR250" s="374"/>
    </row>
    <row r="251" spans="1:44" outlineLevel="1">
      <c r="B251" s="499"/>
      <c r="C251" s="667"/>
      <c r="D251" s="667"/>
      <c r="E251" s="668"/>
      <c r="F251" s="667"/>
      <c r="G251" s="500"/>
      <c r="H251" s="500"/>
      <c r="I251" s="500"/>
      <c r="J251" s="500"/>
      <c r="K251" s="502"/>
      <c r="L251" s="503"/>
      <c r="M251" s="369"/>
      <c r="N251" s="369"/>
      <c r="P251" s="1196"/>
      <c r="Q251" s="1151"/>
      <c r="R251" s="380"/>
      <c r="S251" s="381"/>
      <c r="T251" s="1134"/>
      <c r="U251" s="1148"/>
      <c r="V251" s="1154"/>
      <c r="W251" s="1148"/>
      <c r="X251" s="1154"/>
      <c r="Y251" s="1148"/>
      <c r="Z251" s="1154"/>
      <c r="AA251" s="1148"/>
      <c r="AB251" s="1154"/>
      <c r="AC251" s="1148"/>
      <c r="AE251" s="1145"/>
      <c r="AF251" s="1151"/>
      <c r="AG251" s="380"/>
      <c r="AH251" s="381"/>
      <c r="AI251" s="1134"/>
      <c r="AJ251" s="1148"/>
      <c r="AK251" s="1154"/>
      <c r="AL251" s="1148"/>
      <c r="AM251" s="1154"/>
      <c r="AN251" s="1148"/>
      <c r="AO251" s="1154"/>
      <c r="AP251" s="1148"/>
      <c r="AQ251" s="1154"/>
      <c r="AR251" s="1148"/>
    </row>
    <row r="252" spans="1:44" outlineLevel="1">
      <c r="B252" s="382"/>
      <c r="C252" s="576"/>
      <c r="D252" s="576"/>
      <c r="E252" s="576"/>
      <c r="F252" s="576"/>
      <c r="G252" s="504"/>
      <c r="H252" s="504"/>
      <c r="I252" s="504"/>
      <c r="J252" s="504"/>
      <c r="K252" s="371"/>
      <c r="L252" s="372"/>
      <c r="M252" s="369"/>
      <c r="N252" s="369"/>
      <c r="O252" s="71"/>
      <c r="P252" s="1192"/>
      <c r="Q252" s="1152"/>
      <c r="R252" s="387"/>
      <c r="S252" s="388"/>
      <c r="T252" s="1137"/>
      <c r="U252" s="1149"/>
      <c r="V252" s="1155"/>
      <c r="W252" s="1149"/>
      <c r="X252" s="1155"/>
      <c r="Y252" s="1149"/>
      <c r="Z252" s="1155"/>
      <c r="AA252" s="1149"/>
      <c r="AB252" s="1155"/>
      <c r="AC252" s="1149"/>
      <c r="AE252" s="1192"/>
      <c r="AF252" s="1152"/>
      <c r="AG252" s="387"/>
      <c r="AH252" s="388"/>
      <c r="AI252" s="1137"/>
      <c r="AJ252" s="1149"/>
      <c r="AK252" s="1155"/>
      <c r="AL252" s="1149"/>
      <c r="AM252" s="1155"/>
      <c r="AN252" s="1149"/>
      <c r="AO252" s="1155"/>
      <c r="AP252" s="1149"/>
      <c r="AQ252" s="1155"/>
      <c r="AR252" s="1149"/>
    </row>
    <row r="253" spans="1:44" ht="14.55" customHeight="1" outlineLevel="1" thickBot="1">
      <c r="B253" s="499"/>
      <c r="C253" s="505"/>
      <c r="D253" s="506"/>
      <c r="E253" s="506"/>
      <c r="F253" s="507"/>
      <c r="G253" s="506"/>
      <c r="H253" s="506"/>
      <c r="I253" s="506"/>
      <c r="J253" s="506"/>
      <c r="K253" s="502"/>
      <c r="L253" s="503"/>
      <c r="M253" s="369"/>
      <c r="N253" s="369"/>
      <c r="O253" s="71"/>
      <c r="P253" s="1192"/>
      <c r="Q253" s="1153"/>
      <c r="R253" s="392"/>
      <c r="S253" s="393"/>
      <c r="T253" s="1138"/>
      <c r="U253" s="1150"/>
      <c r="V253" s="1156"/>
      <c r="W253" s="1150"/>
      <c r="X253" s="1156"/>
      <c r="Y253" s="1150"/>
      <c r="Z253" s="1156"/>
      <c r="AA253" s="1150"/>
      <c r="AB253" s="1156"/>
      <c r="AC253" s="1150"/>
      <c r="AE253" s="1192"/>
      <c r="AF253" s="1153"/>
      <c r="AG253" s="392"/>
      <c r="AH253" s="393"/>
      <c r="AI253" s="1138"/>
      <c r="AJ253" s="1150"/>
      <c r="AK253" s="1156"/>
      <c r="AL253" s="1150"/>
      <c r="AM253" s="1156"/>
      <c r="AN253" s="1150"/>
      <c r="AO253" s="1156"/>
      <c r="AP253" s="1150"/>
      <c r="AQ253" s="1156"/>
      <c r="AR253" s="1150"/>
    </row>
    <row r="254" spans="1:44" outlineLevel="1">
      <c r="B254" s="499"/>
      <c r="C254" s="686"/>
      <c r="D254" s="686"/>
      <c r="E254" s="686"/>
      <c r="F254" s="686"/>
      <c r="G254" s="686"/>
      <c r="H254" s="686"/>
      <c r="I254" s="686"/>
      <c r="J254" s="686"/>
      <c r="K254" s="502"/>
      <c r="L254" s="503"/>
      <c r="M254" s="369"/>
      <c r="N254" s="369"/>
      <c r="O254" s="71"/>
      <c r="P254" s="1192"/>
      <c r="Q254" s="1151"/>
      <c r="R254" s="394"/>
      <c r="S254" s="395"/>
      <c r="T254" s="1134"/>
      <c r="U254" s="1134"/>
      <c r="V254" s="1134"/>
      <c r="W254" s="1134"/>
      <c r="X254" s="1134"/>
      <c r="Y254" s="1134"/>
      <c r="Z254" s="1134"/>
      <c r="AA254" s="1134"/>
      <c r="AB254" s="1134"/>
      <c r="AC254" s="1148"/>
      <c r="AE254" s="1192"/>
      <c r="AF254" s="1151"/>
      <c r="AG254" s="394"/>
      <c r="AH254" s="395"/>
      <c r="AI254" s="1134"/>
      <c r="AJ254" s="1134"/>
      <c r="AK254" s="1134"/>
      <c r="AL254" s="1134"/>
      <c r="AM254" s="1134"/>
      <c r="AN254" s="1134"/>
      <c r="AO254" s="1134"/>
      <c r="AP254" s="1134"/>
      <c r="AQ254" s="1134"/>
      <c r="AR254" s="1148"/>
    </row>
    <row r="255" spans="1:44" outlineLevel="1">
      <c r="B255" s="499"/>
      <c r="C255" s="505"/>
      <c r="D255" s="505"/>
      <c r="E255" s="505"/>
      <c r="F255" s="505"/>
      <c r="G255" s="505"/>
      <c r="H255" s="505"/>
      <c r="I255" s="505"/>
      <c r="J255" s="505"/>
      <c r="K255" s="502"/>
      <c r="L255" s="503"/>
      <c r="M255" s="366"/>
      <c r="N255" s="366"/>
      <c r="O255" s="71"/>
      <c r="P255" s="1192"/>
      <c r="Q255" s="1152"/>
      <c r="R255" s="394"/>
      <c r="S255" s="395"/>
      <c r="T255" s="1188"/>
      <c r="U255" s="1188"/>
      <c r="V255" s="1188"/>
      <c r="W255" s="1188"/>
      <c r="X255" s="1188"/>
      <c r="Y255" s="1188"/>
      <c r="Z255" s="1188"/>
      <c r="AA255" s="1188"/>
      <c r="AB255" s="1188"/>
      <c r="AC255" s="1190"/>
      <c r="AE255" s="1192"/>
      <c r="AF255" s="1152"/>
      <c r="AG255" s="394"/>
      <c r="AH255" s="395"/>
      <c r="AI255" s="1188"/>
      <c r="AJ255" s="1188"/>
      <c r="AK255" s="1188"/>
      <c r="AL255" s="1188"/>
      <c r="AM255" s="1188"/>
      <c r="AN255" s="1188"/>
      <c r="AO255" s="1188"/>
      <c r="AP255" s="1188"/>
      <c r="AQ255" s="1188"/>
      <c r="AR255" s="1190"/>
    </row>
    <row r="256" spans="1:44" outlineLevel="1">
      <c r="B256" s="382"/>
      <c r="C256" s="396"/>
      <c r="D256" s="396"/>
      <c r="E256" s="396"/>
      <c r="F256" s="396"/>
      <c r="G256" s="398"/>
      <c r="H256" s="398"/>
      <c r="I256" s="398"/>
      <c r="J256" s="398"/>
      <c r="K256" s="371"/>
      <c r="L256" s="372"/>
      <c r="M256" s="362"/>
      <c r="N256" s="362"/>
      <c r="P256" s="1192"/>
      <c r="Q256" s="1152"/>
      <c r="R256" s="394"/>
      <c r="S256" s="395"/>
      <c r="T256" s="1188"/>
      <c r="U256" s="1188"/>
      <c r="V256" s="1188"/>
      <c r="W256" s="1188"/>
      <c r="X256" s="1188"/>
      <c r="Y256" s="1188"/>
      <c r="Z256" s="1188"/>
      <c r="AA256" s="1188"/>
      <c r="AB256" s="1188"/>
      <c r="AC256" s="1190"/>
      <c r="AE256" s="1192"/>
      <c r="AF256" s="1152"/>
      <c r="AG256" s="394"/>
      <c r="AH256" s="628"/>
      <c r="AI256" s="1188"/>
      <c r="AJ256" s="1188"/>
      <c r="AK256" s="1188"/>
      <c r="AL256" s="1188"/>
      <c r="AM256" s="1188"/>
      <c r="AN256" s="1188"/>
      <c r="AO256" s="1188"/>
      <c r="AP256" s="1188"/>
      <c r="AQ256" s="1188"/>
      <c r="AR256" s="1190"/>
    </row>
    <row r="257" spans="1:44" ht="15" outlineLevel="1" thickBot="1">
      <c r="B257" s="499"/>
      <c r="C257" s="505"/>
      <c r="D257" s="505"/>
      <c r="E257" s="505"/>
      <c r="F257" s="505"/>
      <c r="G257" s="505"/>
      <c r="H257" s="505"/>
      <c r="I257" s="505"/>
      <c r="J257" s="505"/>
      <c r="K257" s="371"/>
      <c r="L257" s="399"/>
      <c r="M257" s="362"/>
      <c r="N257" s="362"/>
      <c r="P257" s="1192"/>
      <c r="Q257" s="1152"/>
      <c r="R257" s="394"/>
      <c r="S257" s="395"/>
      <c r="T257" s="1188"/>
      <c r="U257" s="1188"/>
      <c r="V257" s="1188"/>
      <c r="W257" s="1188"/>
      <c r="X257" s="1188"/>
      <c r="Y257" s="1188"/>
      <c r="Z257" s="1188"/>
      <c r="AA257" s="1188"/>
      <c r="AB257" s="1188"/>
      <c r="AC257" s="1190"/>
      <c r="AE257" s="1192"/>
      <c r="AF257" s="1152"/>
      <c r="AG257" s="394"/>
      <c r="AH257" s="395"/>
      <c r="AI257" s="1188"/>
      <c r="AJ257" s="1188"/>
      <c r="AK257" s="1188"/>
      <c r="AL257" s="1188"/>
      <c r="AM257" s="1188"/>
      <c r="AN257" s="1188"/>
      <c r="AO257" s="1188"/>
      <c r="AP257" s="1188"/>
      <c r="AQ257" s="1188"/>
      <c r="AR257" s="1190"/>
    </row>
    <row r="258" spans="1:44" ht="15" outlineLevel="1" thickBot="1">
      <c r="B258" s="400"/>
      <c r="C258" s="401"/>
      <c r="D258" s="402"/>
      <c r="E258" s="403"/>
      <c r="F258" s="404"/>
      <c r="G258" s="405"/>
      <c r="H258" s="405"/>
      <c r="I258" s="405"/>
      <c r="J258" s="405"/>
      <c r="K258" s="406"/>
      <c r="L258" s="407"/>
      <c r="M258" s="362"/>
      <c r="N258" s="362"/>
      <c r="P258" s="1192"/>
      <c r="Q258" s="1153"/>
      <c r="R258" s="408"/>
      <c r="S258" s="409"/>
      <c r="T258" s="1189"/>
      <c r="U258" s="1189"/>
      <c r="V258" s="1189"/>
      <c r="W258" s="1189"/>
      <c r="X258" s="1189"/>
      <c r="Y258" s="1189"/>
      <c r="Z258" s="1189"/>
      <c r="AA258" s="1189"/>
      <c r="AB258" s="1189"/>
      <c r="AC258" s="1191"/>
      <c r="AE258" s="1192"/>
      <c r="AF258" s="1153"/>
      <c r="AG258" s="408"/>
      <c r="AH258" s="409"/>
      <c r="AI258" s="1189"/>
      <c r="AJ258" s="1189"/>
      <c r="AK258" s="1189"/>
      <c r="AL258" s="1189"/>
      <c r="AM258" s="1189"/>
      <c r="AN258" s="1189"/>
      <c r="AO258" s="1189"/>
      <c r="AP258" s="1189"/>
      <c r="AQ258" s="1189"/>
      <c r="AR258" s="1191"/>
    </row>
    <row r="259" spans="1:44" ht="15" outlineLevel="1" thickBot="1">
      <c r="B259" s="499"/>
      <c r="C259" s="505"/>
      <c r="D259" s="505"/>
      <c r="E259" s="505"/>
      <c r="F259" s="505"/>
      <c r="G259" s="506"/>
      <c r="H259" s="506"/>
      <c r="I259" s="506"/>
      <c r="J259" s="506"/>
      <c r="K259" s="502"/>
      <c r="L259" s="503"/>
      <c r="M259" s="362"/>
      <c r="N259" s="362"/>
      <c r="P259" s="1193"/>
      <c r="Q259" s="410"/>
      <c r="R259" s="411"/>
      <c r="S259" s="629"/>
      <c r="T259" s="415"/>
      <c r="U259" s="414"/>
      <c r="V259" s="415"/>
      <c r="W259" s="414"/>
      <c r="X259" s="415"/>
      <c r="Y259" s="414"/>
      <c r="Z259" s="415"/>
      <c r="AA259" s="414"/>
      <c r="AB259" s="415"/>
      <c r="AC259" s="416"/>
      <c r="AE259" s="1193"/>
      <c r="AF259" s="410"/>
      <c r="AG259" s="694"/>
      <c r="AH259" s="695"/>
      <c r="AI259" s="415"/>
      <c r="AJ259" s="414"/>
      <c r="AK259" s="415"/>
      <c r="AL259" s="414"/>
      <c r="AM259" s="415"/>
      <c r="AN259" s="414"/>
      <c r="AO259" s="415"/>
      <c r="AP259" s="414"/>
      <c r="AQ259" s="415"/>
      <c r="AR259" s="416"/>
    </row>
    <row r="260" spans="1:44" outlineLevel="1">
      <c r="B260" s="499"/>
      <c r="C260" s="505"/>
      <c r="D260" s="505"/>
      <c r="E260" s="505"/>
      <c r="F260" s="505"/>
      <c r="G260" s="508"/>
      <c r="H260" s="508"/>
      <c r="I260" s="508"/>
      <c r="J260" s="508"/>
      <c r="K260" s="509"/>
      <c r="L260" s="503"/>
      <c r="M260" s="362"/>
      <c r="N260" s="362"/>
    </row>
    <row r="261" spans="1:44" outlineLevel="1">
      <c r="B261" s="499"/>
      <c r="C261" s="505"/>
      <c r="D261" s="505"/>
      <c r="E261" s="505"/>
      <c r="F261" s="505"/>
      <c r="G261" s="508"/>
      <c r="H261" s="508"/>
      <c r="I261" s="508"/>
      <c r="J261" s="508"/>
      <c r="K261" s="509"/>
      <c r="L261" s="503"/>
      <c r="M261" s="419"/>
      <c r="N261" s="362"/>
    </row>
    <row r="262" spans="1:44" outlineLevel="1">
      <c r="B262" s="420"/>
      <c r="C262" s="398"/>
      <c r="D262" s="398"/>
      <c r="E262" s="398"/>
      <c r="F262" s="398"/>
      <c r="G262" s="421"/>
      <c r="H262" s="421"/>
      <c r="I262" s="421"/>
      <c r="J262" s="421"/>
      <c r="K262" s="422"/>
      <c r="L262" s="423"/>
      <c r="M262" s="419"/>
      <c r="N262" s="419"/>
    </row>
    <row r="263" spans="1:44" outlineLevel="1">
      <c r="B263" s="382"/>
      <c r="C263" s="396"/>
      <c r="D263" s="396"/>
      <c r="E263" s="396"/>
      <c r="F263" s="396"/>
      <c r="G263" s="421"/>
      <c r="H263" s="424"/>
      <c r="I263" s="424"/>
      <c r="J263" s="424"/>
      <c r="K263" s="425"/>
      <c r="L263" s="426"/>
      <c r="M263" s="427"/>
      <c r="N263" s="427"/>
    </row>
    <row r="264" spans="1:44" outlineLevel="1">
      <c r="B264" s="382"/>
      <c r="C264" s="396"/>
      <c r="D264" s="396"/>
      <c r="E264" s="396"/>
      <c r="F264" s="396"/>
      <c r="G264" s="424"/>
      <c r="H264" s="424"/>
      <c r="I264" s="424"/>
      <c r="J264" s="424"/>
      <c r="K264" s="422"/>
      <c r="L264" s="426"/>
      <c r="M264" s="427"/>
      <c r="N264" s="427"/>
    </row>
    <row r="265" spans="1:44" outlineLevel="1">
      <c r="B265" s="382"/>
      <c r="C265" s="396"/>
      <c r="D265" s="396"/>
      <c r="E265" s="396"/>
      <c r="F265" s="396"/>
      <c r="G265" s="424"/>
      <c r="H265" s="424"/>
      <c r="I265" s="424"/>
      <c r="J265" s="424"/>
      <c r="K265" s="422"/>
      <c r="L265" s="426"/>
      <c r="M265" s="427"/>
      <c r="N265" s="427"/>
    </row>
    <row r="266" spans="1:44" outlineLevel="1">
      <c r="B266" s="382"/>
      <c r="C266" s="396"/>
      <c r="D266" s="396"/>
      <c r="E266" s="396"/>
      <c r="F266" s="396"/>
      <c r="G266" s="424"/>
      <c r="H266" s="424"/>
      <c r="I266" s="424"/>
      <c r="J266" s="424"/>
      <c r="K266" s="422"/>
      <c r="L266" s="426"/>
      <c r="M266" s="427"/>
      <c r="N266" s="427"/>
    </row>
    <row r="267" spans="1:44" ht="15" outlineLevel="1" thickBot="1">
      <c r="B267" s="428"/>
      <c r="C267" s="696"/>
      <c r="D267" s="696"/>
      <c r="E267" s="696"/>
      <c r="F267" s="696"/>
      <c r="G267" s="424"/>
      <c r="H267" s="424"/>
      <c r="I267" s="424"/>
      <c r="J267" s="424"/>
      <c r="K267" s="422"/>
      <c r="L267" s="426"/>
      <c r="M267" s="427"/>
      <c r="N267" s="427"/>
    </row>
    <row r="268" spans="1:44" ht="15" outlineLevel="1" thickBot="1">
      <c r="B268" s="430"/>
      <c r="C268" s="431"/>
      <c r="D268" s="402"/>
      <c r="E268" s="402"/>
      <c r="F268" s="432"/>
      <c r="G268" s="433"/>
      <c r="H268" s="405"/>
      <c r="I268" s="405"/>
      <c r="J268" s="405"/>
      <c r="K268" s="406"/>
      <c r="L268" s="407"/>
      <c r="M268" s="427"/>
      <c r="N268" s="427"/>
    </row>
    <row r="269" spans="1:44" outlineLevel="1">
      <c r="A269" s="434"/>
      <c r="B269" s="435"/>
      <c r="C269" s="550"/>
      <c r="D269" s="646"/>
      <c r="E269" s="646"/>
      <c r="F269" s="647"/>
      <c r="G269" s="424"/>
      <c r="H269" s="424"/>
      <c r="I269" s="424"/>
      <c r="J269" s="424"/>
      <c r="K269" s="425"/>
      <c r="L269" s="439"/>
      <c r="M269" s="419"/>
      <c r="N269" s="419"/>
    </row>
    <row r="270" spans="1:44" outlineLevel="1">
      <c r="B270" s="440"/>
      <c r="C270" s="441"/>
      <c r="D270" s="441"/>
      <c r="E270" s="441"/>
      <c r="F270" s="441"/>
      <c r="G270" s="424"/>
      <c r="H270" s="424"/>
      <c r="I270" s="424"/>
      <c r="J270" s="424"/>
      <c r="K270" s="443"/>
      <c r="L270" s="372"/>
      <c r="M270" s="71"/>
      <c r="N270" s="419"/>
    </row>
    <row r="271" spans="1:44" outlineLevel="1">
      <c r="B271" s="440"/>
      <c r="C271" s="441"/>
      <c r="D271" s="441"/>
      <c r="E271" s="441"/>
      <c r="F271" s="441"/>
      <c r="G271" s="424"/>
      <c r="H271" s="424"/>
      <c r="I271" s="424"/>
      <c r="J271" s="424"/>
      <c r="K271" s="443"/>
      <c r="L271" s="372"/>
      <c r="M271" s="419"/>
      <c r="N271" s="419"/>
    </row>
    <row r="272" spans="1:44" outlineLevel="1">
      <c r="B272" s="382"/>
      <c r="C272" s="444"/>
      <c r="D272" s="445"/>
      <c r="E272" s="445"/>
      <c r="F272" s="446"/>
      <c r="G272" s="424"/>
      <c r="H272" s="424"/>
      <c r="I272" s="424"/>
      <c r="J272" s="424"/>
      <c r="K272" s="447"/>
      <c r="L272" s="372"/>
      <c r="M272" s="419"/>
      <c r="N272" s="419"/>
    </row>
    <row r="273" spans="2:30" outlineLevel="1">
      <c r="B273" s="382"/>
      <c r="C273" s="448"/>
      <c r="D273" s="448"/>
      <c r="E273" s="448"/>
      <c r="F273" s="448"/>
      <c r="G273" s="424"/>
      <c r="H273" s="424"/>
      <c r="I273" s="424"/>
      <c r="J273" s="424"/>
      <c r="K273" s="447"/>
      <c r="L273" s="372"/>
      <c r="M273" s="693"/>
      <c r="N273" s="692"/>
      <c r="P273" s="1139"/>
      <c r="Q273" s="1140"/>
      <c r="R273" s="1140"/>
      <c r="S273" s="1140"/>
      <c r="T273" s="1140"/>
      <c r="U273" s="1141"/>
    </row>
    <row r="274" spans="2:30" ht="15" outlineLevel="1" thickBot="1">
      <c r="B274" s="499"/>
      <c r="C274" s="513"/>
      <c r="D274" s="513"/>
      <c r="E274" s="513"/>
      <c r="F274" s="513"/>
      <c r="G274" s="514"/>
      <c r="H274" s="514"/>
      <c r="I274" s="514"/>
      <c r="J274" s="514"/>
      <c r="K274" s="502"/>
      <c r="L274" s="503"/>
      <c r="M274" s="693"/>
      <c r="N274" s="692"/>
      <c r="P274" s="1131"/>
      <c r="Q274" s="1132"/>
      <c r="R274" s="1132"/>
      <c r="S274" s="1132"/>
      <c r="T274" s="1132"/>
      <c r="U274" s="1133"/>
    </row>
    <row r="275" spans="2:30" outlineLevel="1">
      <c r="B275" s="499"/>
      <c r="C275" s="515"/>
      <c r="D275" s="515"/>
      <c r="E275" s="515"/>
      <c r="F275" s="515"/>
      <c r="G275" s="514"/>
      <c r="H275" s="514"/>
      <c r="I275" s="514"/>
      <c r="J275" s="514"/>
      <c r="K275" s="516"/>
      <c r="L275" s="503"/>
      <c r="M275" s="362"/>
      <c r="N275" s="362"/>
      <c r="P275" s="53"/>
    </row>
    <row r="276" spans="2:30" outlineLevel="1">
      <c r="B276" s="440"/>
      <c r="C276" s="680"/>
      <c r="D276" s="680"/>
      <c r="E276" s="680"/>
      <c r="F276" s="680"/>
      <c r="G276" s="424"/>
      <c r="H276" s="424"/>
      <c r="I276" s="424"/>
      <c r="J276" s="424"/>
      <c r="K276" s="443"/>
      <c r="L276" s="423"/>
      <c r="M276" s="366"/>
      <c r="N276" s="366"/>
      <c r="P276" s="46"/>
      <c r="Q276" s="46"/>
      <c r="R276" s="47"/>
      <c r="S276" s="47"/>
      <c r="T276" s="47"/>
      <c r="U276" s="48"/>
      <c r="V276" s="49"/>
      <c r="W276" s="49"/>
      <c r="X276" s="49"/>
      <c r="Y276" s="49"/>
      <c r="Z276" s="49"/>
      <c r="AA276" s="49"/>
      <c r="AB276" s="49"/>
      <c r="AC276" s="49"/>
      <c r="AD276" s="49"/>
    </row>
    <row r="277" spans="2:30" ht="15" outlineLevel="1" thickBot="1">
      <c r="B277" s="518"/>
      <c r="C277" s="441"/>
      <c r="D277" s="519"/>
      <c r="E277" s="519"/>
      <c r="F277" s="520"/>
      <c r="G277" s="424"/>
      <c r="H277" s="424"/>
      <c r="I277" s="424"/>
      <c r="J277" s="424"/>
      <c r="K277" s="447"/>
      <c r="L277" s="423"/>
      <c r="M277" s="362"/>
      <c r="N277" s="362"/>
      <c r="P277" s="50"/>
      <c r="Q277" s="50"/>
      <c r="R277" s="51"/>
      <c r="S277" s="51"/>
      <c r="T277" s="51"/>
      <c r="U277" s="51"/>
      <c r="V277" s="50"/>
      <c r="W277" s="50"/>
      <c r="X277" s="50"/>
      <c r="Y277" s="50"/>
      <c r="Z277" s="50"/>
      <c r="AA277" s="50"/>
      <c r="AB277" s="50"/>
      <c r="AC277" s="50"/>
      <c r="AD277" s="50"/>
    </row>
    <row r="278" spans="2:30" ht="15" outlineLevel="1" thickBot="1">
      <c r="B278" s="400"/>
      <c r="C278" s="401"/>
      <c r="D278" s="402"/>
      <c r="E278" s="403"/>
      <c r="F278" s="404"/>
      <c r="G278" s="405"/>
      <c r="H278" s="405"/>
      <c r="I278" s="405"/>
      <c r="J278" s="405"/>
      <c r="K278" s="458"/>
      <c r="L278" s="459"/>
      <c r="M278" s="362"/>
      <c r="N278" s="362"/>
      <c r="O278" s="460"/>
      <c r="P278" s="56"/>
      <c r="Q278" s="56"/>
      <c r="R278" s="57"/>
      <c r="S278" s="57"/>
      <c r="T278" s="57"/>
      <c r="U278" s="56"/>
      <c r="V278" s="56"/>
      <c r="W278" s="56"/>
      <c r="X278" s="56"/>
      <c r="Y278" s="56"/>
      <c r="Z278" s="56"/>
      <c r="AA278" s="56"/>
      <c r="AB278" s="56"/>
      <c r="AC278" s="56"/>
      <c r="AD278" s="56"/>
    </row>
    <row r="279" spans="2:30" outlineLevel="1">
      <c r="B279" s="521"/>
      <c r="C279" s="669"/>
      <c r="D279" s="669"/>
      <c r="E279" s="669"/>
      <c r="F279" s="669"/>
      <c r="G279" s="523"/>
      <c r="H279" s="523"/>
      <c r="I279" s="523"/>
      <c r="J279" s="523"/>
      <c r="K279" s="523"/>
      <c r="L279" s="524"/>
      <c r="M279" s="362"/>
      <c r="N279" s="362"/>
      <c r="O279" s="464"/>
      <c r="P279" s="465"/>
      <c r="Q279" s="58"/>
      <c r="R279" s="465"/>
      <c r="S279" s="58"/>
      <c r="T279" s="465"/>
      <c r="U279" s="466"/>
      <c r="V279" s="466"/>
      <c r="W279" s="466"/>
      <c r="X279" s="58"/>
      <c r="Y279" s="58"/>
      <c r="Z279" s="465"/>
      <c r="AA279" s="467"/>
      <c r="AB279" s="467"/>
      <c r="AC279" s="467"/>
      <c r="AD279" s="467"/>
    </row>
    <row r="280" spans="2:30" outlineLevel="1">
      <c r="B280" s="499"/>
      <c r="C280" s="525"/>
      <c r="D280" s="526"/>
      <c r="E280" s="526"/>
      <c r="F280" s="527"/>
      <c r="G280" s="527"/>
      <c r="H280" s="527"/>
      <c r="I280" s="527"/>
      <c r="J280" s="527"/>
      <c r="K280" s="528"/>
      <c r="L280" s="524"/>
      <c r="M280" s="362"/>
      <c r="N280" s="362"/>
      <c r="O280" s="464"/>
      <c r="P280" s="465"/>
      <c r="Q280" s="58"/>
      <c r="R280" s="465"/>
      <c r="S280" s="58"/>
      <c r="T280" s="465"/>
      <c r="U280" s="466"/>
      <c r="V280" s="466"/>
      <c r="W280" s="466"/>
      <c r="X280" s="58"/>
      <c r="Y280" s="58"/>
      <c r="Z280" s="465"/>
      <c r="AA280" s="467"/>
      <c r="AB280" s="467"/>
      <c r="AC280" s="467"/>
      <c r="AD280" s="467"/>
    </row>
    <row r="281" spans="2:30" outlineLevel="1">
      <c r="B281" s="499"/>
      <c r="C281" s="525"/>
      <c r="D281" s="526"/>
      <c r="E281" s="526"/>
      <c r="F281" s="527"/>
      <c r="G281" s="514"/>
      <c r="H281" s="514"/>
      <c r="I281" s="514"/>
      <c r="J281" s="514"/>
      <c r="K281" s="514"/>
      <c r="L281" s="503"/>
      <c r="M281" s="362"/>
      <c r="N281" s="362"/>
      <c r="O281" s="464"/>
      <c r="P281" s="465"/>
      <c r="Q281" s="58"/>
      <c r="R281" s="465"/>
      <c r="S281" s="58"/>
      <c r="T281" s="465"/>
      <c r="U281" s="466"/>
      <c r="V281" s="466"/>
      <c r="W281" s="466"/>
      <c r="X281" s="58"/>
      <c r="Y281" s="58"/>
      <c r="Z281" s="465"/>
      <c r="AA281" s="467"/>
      <c r="AB281" s="467"/>
      <c r="AC281" s="467"/>
      <c r="AD281" s="467"/>
    </row>
    <row r="282" spans="2:30" outlineLevel="1">
      <c r="B282" s="499"/>
      <c r="C282" s="684"/>
      <c r="D282" s="529"/>
      <c r="E282" s="529"/>
      <c r="F282" s="529"/>
      <c r="G282" s="530"/>
      <c r="H282" s="530"/>
      <c r="I282" s="530"/>
      <c r="J282" s="530"/>
      <c r="K282" s="530"/>
      <c r="L282" s="503"/>
      <c r="M282" s="362"/>
      <c r="N282" s="362"/>
      <c r="O282" s="464"/>
      <c r="P282" s="465"/>
      <c r="Q282" s="58"/>
      <c r="R282" s="465"/>
      <c r="S282" s="58"/>
      <c r="T282" s="465"/>
      <c r="U282" s="466"/>
      <c r="V282" s="466"/>
      <c r="W282" s="466"/>
      <c r="X282" s="58"/>
      <c r="Y282" s="58"/>
      <c r="Z282" s="465"/>
      <c r="AA282" s="467"/>
      <c r="AB282" s="467"/>
      <c r="AC282" s="467"/>
      <c r="AD282" s="467"/>
    </row>
    <row r="283" spans="2:30" outlineLevel="1">
      <c r="B283" s="531"/>
      <c r="C283" s="525"/>
      <c r="D283" s="526"/>
      <c r="E283" s="526"/>
      <c r="F283" s="527"/>
      <c r="G283" s="530"/>
      <c r="H283" s="530"/>
      <c r="I283" s="530"/>
      <c r="J283" s="530"/>
      <c r="K283" s="530"/>
      <c r="L283" s="532"/>
      <c r="M283" s="366"/>
      <c r="N283" s="366"/>
    </row>
    <row r="284" spans="2:30" outlineLevel="1">
      <c r="B284" s="531"/>
      <c r="C284" s="525"/>
      <c r="D284" s="526"/>
      <c r="E284" s="526"/>
      <c r="F284" s="527"/>
      <c r="G284" s="530"/>
      <c r="H284" s="530"/>
      <c r="I284" s="530"/>
      <c r="J284" s="530"/>
      <c r="K284" s="530"/>
      <c r="L284" s="532"/>
      <c r="M284" s="362"/>
      <c r="N284" s="362"/>
    </row>
    <row r="285" spans="2:30" ht="15" outlineLevel="1" thickBot="1">
      <c r="B285" s="533"/>
      <c r="C285" s="534"/>
      <c r="D285" s="535"/>
      <c r="E285" s="535"/>
      <c r="F285" s="536"/>
      <c r="G285" s="537"/>
      <c r="H285" s="537"/>
      <c r="I285" s="537"/>
      <c r="J285" s="537"/>
      <c r="K285" s="537"/>
      <c r="L285" s="538"/>
      <c r="M285" s="362"/>
      <c r="N285" s="362"/>
    </row>
    <row r="286" spans="2:30" outlineLevel="1">
      <c r="B286" s="460"/>
      <c r="C286" s="482"/>
      <c r="D286" s="482"/>
      <c r="E286" s="482"/>
      <c r="F286" s="482"/>
      <c r="G286" s="482"/>
      <c r="H286" s="483"/>
      <c r="I286" s="419"/>
      <c r="J286" s="419"/>
      <c r="K286" s="483"/>
      <c r="L286" s="483"/>
      <c r="N286" s="419"/>
    </row>
    <row r="287" spans="2:30" outlineLevel="1">
      <c r="B287" s="484"/>
      <c r="C287" s="485"/>
      <c r="D287" s="485"/>
      <c r="E287" s="485"/>
      <c r="F287" s="485"/>
      <c r="G287" s="485"/>
      <c r="H287" s="483"/>
      <c r="I287" s="71"/>
      <c r="J287" s="419"/>
      <c r="K287" s="483"/>
      <c r="L287" s="483"/>
      <c r="N287" s="419"/>
    </row>
    <row r="288" spans="2:30" outlineLevel="1">
      <c r="B288" s="460"/>
      <c r="C288" s="358"/>
      <c r="D288" s="358"/>
      <c r="E288" s="358"/>
      <c r="F288" s="358"/>
      <c r="G288" s="358"/>
      <c r="I288" s="419"/>
      <c r="J288" s="419"/>
      <c r="N288" s="419"/>
    </row>
    <row r="289" spans="1:15" outlineLevel="1">
      <c r="B289" s="460"/>
      <c r="C289" s="486"/>
      <c r="D289" s="486"/>
      <c r="E289" s="486"/>
      <c r="F289" s="486"/>
      <c r="G289" s="358"/>
      <c r="M289" s="419"/>
      <c r="N289" s="419"/>
    </row>
    <row r="290" spans="1:15" outlineLevel="1">
      <c r="A290" s="487"/>
      <c r="B290" s="488"/>
      <c r="D290" s="489"/>
      <c r="E290" s="489"/>
      <c r="F290" s="489"/>
      <c r="G290" s="357"/>
      <c r="H290" s="357"/>
      <c r="I290" s="357"/>
      <c r="J290" s="357"/>
      <c r="K290" s="357"/>
      <c r="L290" s="357"/>
    </row>
    <row r="291" spans="1:15" outlineLevel="1">
      <c r="A291" s="490"/>
      <c r="B291" s="491"/>
      <c r="D291" s="489"/>
      <c r="E291" s="489"/>
      <c r="F291" s="489"/>
      <c r="G291" s="357"/>
      <c r="H291" s="357"/>
      <c r="I291" s="357"/>
      <c r="J291" s="357"/>
      <c r="K291" s="357"/>
      <c r="L291" s="357"/>
    </row>
    <row r="292" spans="1:15" outlineLevel="1">
      <c r="A292" s="490"/>
      <c r="B292" s="492"/>
      <c r="D292" s="489"/>
      <c r="E292" s="489"/>
      <c r="F292" s="489"/>
      <c r="G292" s="357"/>
      <c r="H292" s="357"/>
      <c r="I292" s="357"/>
      <c r="J292" s="357"/>
      <c r="K292" s="357"/>
      <c r="L292" s="357"/>
    </row>
    <row r="293" spans="1:15" outlineLevel="1">
      <c r="A293" s="490"/>
      <c r="B293" s="487"/>
      <c r="C293" s="488"/>
      <c r="E293" s="357"/>
      <c r="F293" s="489"/>
      <c r="G293" s="357"/>
      <c r="H293" s="357"/>
      <c r="I293" s="357"/>
      <c r="J293" s="357"/>
      <c r="K293" s="357"/>
      <c r="L293" s="357"/>
    </row>
    <row r="294" spans="1:15" outlineLevel="1">
      <c r="A294" s="490"/>
      <c r="B294" s="490"/>
      <c r="C294" s="491"/>
      <c r="E294" s="357"/>
      <c r="F294" s="489"/>
      <c r="G294" s="357"/>
      <c r="H294" s="357"/>
      <c r="I294" s="357"/>
      <c r="J294" s="357"/>
      <c r="K294" s="357"/>
      <c r="L294" s="357"/>
    </row>
    <row r="295" spans="1:15" outlineLevel="1">
      <c r="A295" s="357"/>
      <c r="B295" s="490"/>
      <c r="C295" s="492"/>
      <c r="E295" s="357"/>
      <c r="F295" s="489"/>
      <c r="G295" s="357"/>
      <c r="H295" s="357"/>
      <c r="I295" s="357"/>
      <c r="J295" s="357"/>
      <c r="K295" s="357"/>
      <c r="L295" s="357"/>
      <c r="M295" s="569"/>
      <c r="N295" s="488"/>
      <c r="O295" s="489"/>
    </row>
    <row r="296" spans="1:15" outlineLevel="1">
      <c r="A296" s="357"/>
      <c r="B296" s="490"/>
      <c r="C296" s="492"/>
      <c r="E296" s="357"/>
      <c r="F296" s="489"/>
      <c r="G296" s="357"/>
      <c r="H296" s="357"/>
      <c r="I296" s="357"/>
      <c r="J296" s="357"/>
      <c r="K296" s="357"/>
      <c r="L296" s="357"/>
      <c r="O296" s="489"/>
    </row>
    <row r="297" spans="1:15" outlineLevel="1">
      <c r="A297" s="357"/>
      <c r="B297" s="490"/>
      <c r="C297" s="492"/>
      <c r="E297" s="357"/>
      <c r="F297" s="489"/>
      <c r="G297" s="357"/>
      <c r="H297" s="357"/>
      <c r="I297" s="357"/>
      <c r="J297" s="357"/>
      <c r="K297" s="357"/>
      <c r="L297" s="357"/>
      <c r="O297" s="489"/>
    </row>
    <row r="298" spans="1:15" outlineLevel="1">
      <c r="A298" s="357"/>
      <c r="B298" s="357"/>
      <c r="C298" s="493"/>
      <c r="F298" s="489"/>
      <c r="G298" s="357"/>
      <c r="H298" s="357"/>
      <c r="I298" s="357"/>
      <c r="J298" s="357"/>
      <c r="K298" s="357"/>
      <c r="L298" s="357"/>
      <c r="O298" s="489"/>
    </row>
    <row r="299" spans="1:15" outlineLevel="1">
      <c r="A299" s="357"/>
      <c r="B299" s="357"/>
      <c r="C299" s="491"/>
      <c r="F299" s="489"/>
      <c r="G299" s="357"/>
      <c r="H299" s="357"/>
      <c r="I299" s="357"/>
      <c r="J299" s="357"/>
      <c r="K299" s="357"/>
      <c r="L299" s="357"/>
      <c r="O299" s="489"/>
    </row>
    <row r="300" spans="1:15" outlineLevel="1">
      <c r="A300" s="357"/>
      <c r="B300" s="357"/>
      <c r="C300" s="494"/>
      <c r="F300" s="489"/>
      <c r="G300" s="357"/>
      <c r="H300" s="357"/>
      <c r="I300" s="357"/>
      <c r="J300" s="357"/>
      <c r="K300" s="357"/>
      <c r="L300" s="357"/>
      <c r="O300" s="489"/>
    </row>
    <row r="301" spans="1:15" outlineLevel="1">
      <c r="A301" s="487"/>
      <c r="B301" s="357"/>
      <c r="C301" s="494"/>
      <c r="F301" s="489"/>
      <c r="G301" s="357"/>
      <c r="H301" s="357"/>
      <c r="I301" s="357"/>
      <c r="J301" s="357"/>
      <c r="K301" s="357"/>
      <c r="L301" s="357"/>
      <c r="O301" s="489"/>
    </row>
    <row r="302" spans="1:15" outlineLevel="1">
      <c r="A302" s="487"/>
      <c r="B302" s="357"/>
      <c r="C302" s="488"/>
      <c r="F302" s="489"/>
      <c r="G302" s="357"/>
      <c r="H302" s="357"/>
      <c r="I302" s="357"/>
      <c r="J302" s="357"/>
      <c r="K302" s="357"/>
      <c r="L302" s="357"/>
      <c r="O302" s="489"/>
    </row>
    <row r="303" spans="1:15" outlineLevel="1">
      <c r="A303" s="487"/>
      <c r="B303" s="357"/>
      <c r="C303" s="489"/>
      <c r="F303" s="489"/>
      <c r="G303" s="357"/>
      <c r="H303" s="357"/>
      <c r="I303" s="357"/>
      <c r="J303" s="357"/>
      <c r="K303" s="357"/>
      <c r="L303" s="357"/>
      <c r="O303" s="489"/>
    </row>
    <row r="304" spans="1:15" outlineLevel="1">
      <c r="A304" s="487"/>
      <c r="B304" s="487"/>
      <c r="C304" s="488"/>
      <c r="F304" s="489"/>
      <c r="G304" s="357"/>
      <c r="H304" s="357"/>
      <c r="I304" s="357"/>
      <c r="J304" s="357"/>
      <c r="K304" s="357"/>
      <c r="L304" s="357"/>
      <c r="O304" s="489"/>
    </row>
    <row r="305" spans="1:15" outlineLevel="1">
      <c r="A305" s="487"/>
      <c r="B305" s="495"/>
      <c r="C305" s="496"/>
      <c r="D305" s="488"/>
      <c r="F305" s="489"/>
      <c r="G305" s="357"/>
      <c r="H305" s="357"/>
      <c r="I305" s="357"/>
      <c r="J305" s="357"/>
      <c r="K305" s="357"/>
      <c r="L305" s="357"/>
      <c r="O305" s="489"/>
    </row>
    <row r="306" spans="1:15" outlineLevel="1">
      <c r="A306" s="487"/>
      <c r="B306" s="495"/>
      <c r="C306" s="488"/>
      <c r="D306" s="488"/>
      <c r="F306" s="489"/>
      <c r="G306" s="357"/>
      <c r="H306" s="357"/>
      <c r="I306" s="357"/>
      <c r="J306" s="357"/>
      <c r="K306" s="357"/>
      <c r="L306" s="357"/>
      <c r="O306" s="489"/>
    </row>
    <row r="307" spans="1:15" outlineLevel="1">
      <c r="A307" s="487"/>
      <c r="B307" s="495"/>
      <c r="C307" s="488"/>
      <c r="D307" s="488"/>
      <c r="F307" s="489"/>
      <c r="G307" s="357"/>
      <c r="H307" s="357"/>
      <c r="I307" s="357"/>
      <c r="J307" s="357"/>
      <c r="K307" s="357"/>
      <c r="L307" s="357"/>
      <c r="O307" s="489"/>
    </row>
    <row r="308" spans="1:15" outlineLevel="1">
      <c r="A308" s="487"/>
      <c r="B308" s="495"/>
      <c r="C308" s="488"/>
      <c r="D308" s="488"/>
      <c r="F308" s="489"/>
      <c r="G308" s="357"/>
      <c r="H308" s="357"/>
      <c r="I308" s="357"/>
      <c r="J308" s="357"/>
      <c r="K308" s="357"/>
      <c r="L308" s="357"/>
      <c r="O308" s="489"/>
    </row>
    <row r="309" spans="1:15" outlineLevel="1">
      <c r="A309" s="487"/>
      <c r="B309" s="495"/>
      <c r="C309" s="488"/>
      <c r="D309" s="488"/>
      <c r="F309" s="489"/>
      <c r="G309" s="357"/>
      <c r="H309" s="357"/>
      <c r="I309" s="357"/>
      <c r="J309" s="357"/>
      <c r="K309" s="357"/>
      <c r="L309" s="357"/>
      <c r="O309" s="489"/>
    </row>
    <row r="310" spans="1:15" outlineLevel="1">
      <c r="A310" s="487"/>
      <c r="B310" s="495"/>
      <c r="C310" s="488"/>
      <c r="D310" s="488"/>
      <c r="F310" s="489"/>
      <c r="G310" s="357"/>
      <c r="H310" s="357"/>
      <c r="I310" s="357"/>
      <c r="J310" s="357"/>
      <c r="K310" s="357"/>
      <c r="L310" s="357"/>
      <c r="O310" s="489"/>
    </row>
    <row r="311" spans="1:15" outlineLevel="1">
      <c r="A311" s="487"/>
      <c r="B311" s="495"/>
      <c r="C311" s="488"/>
      <c r="D311" s="488"/>
      <c r="F311" s="489"/>
      <c r="G311" s="357"/>
      <c r="H311" s="357"/>
      <c r="I311" s="357"/>
      <c r="J311" s="357"/>
      <c r="K311" s="357"/>
      <c r="L311" s="357"/>
      <c r="O311" s="489"/>
    </row>
    <row r="312" spans="1:15" outlineLevel="1">
      <c r="A312" s="487"/>
      <c r="B312" s="495"/>
      <c r="C312" s="488"/>
      <c r="D312" s="488"/>
      <c r="F312" s="489"/>
      <c r="G312" s="357"/>
      <c r="H312" s="357"/>
      <c r="I312" s="357"/>
      <c r="J312" s="357"/>
      <c r="K312" s="357"/>
      <c r="L312" s="357"/>
      <c r="O312" s="489"/>
    </row>
    <row r="313" spans="1:15" outlineLevel="1">
      <c r="A313" s="487"/>
      <c r="B313" s="495"/>
      <c r="C313" s="497"/>
      <c r="D313" s="488"/>
      <c r="F313" s="489"/>
      <c r="G313" s="357"/>
      <c r="H313" s="357"/>
      <c r="I313" s="357"/>
      <c r="J313" s="357"/>
      <c r="K313" s="357"/>
      <c r="L313" s="357"/>
      <c r="O313" s="489"/>
    </row>
    <row r="314" spans="1:15" outlineLevel="1">
      <c r="A314" s="487"/>
      <c r="B314" s="495"/>
      <c r="C314" s="488"/>
      <c r="D314" s="488"/>
      <c r="F314" s="489"/>
      <c r="G314" s="357"/>
      <c r="H314" s="357"/>
      <c r="I314" s="357"/>
      <c r="J314" s="357"/>
      <c r="K314" s="357"/>
      <c r="L314" s="357"/>
      <c r="O314" s="489"/>
    </row>
    <row r="315" spans="1:15" outlineLevel="1">
      <c r="A315" s="495"/>
      <c r="B315" s="495"/>
      <c r="C315" s="488"/>
      <c r="D315" s="488"/>
      <c r="F315" s="489"/>
      <c r="G315" s="357"/>
      <c r="H315" s="357"/>
      <c r="I315" s="357"/>
      <c r="J315" s="357"/>
      <c r="K315" s="357"/>
      <c r="L315" s="357"/>
      <c r="M315" s="569"/>
      <c r="N315" s="488"/>
      <c r="O315" s="489"/>
    </row>
    <row r="316" spans="1:15" outlineLevel="1">
      <c r="A316" s="495"/>
      <c r="F316" s="489"/>
      <c r="G316" s="357"/>
      <c r="H316" s="357"/>
      <c r="I316" s="357"/>
      <c r="J316" s="357"/>
      <c r="K316" s="357"/>
      <c r="L316" s="357"/>
      <c r="M316" s="570"/>
      <c r="N316" s="488"/>
      <c r="O316" s="489"/>
    </row>
    <row r="317" spans="1:15" outlineLevel="1">
      <c r="A317" s="495"/>
      <c r="B317" s="488"/>
      <c r="D317" s="489"/>
      <c r="E317" s="489"/>
      <c r="F317" s="489"/>
      <c r="G317" s="357"/>
      <c r="H317" s="357"/>
      <c r="I317" s="357"/>
      <c r="J317" s="357"/>
      <c r="K317" s="357"/>
      <c r="L317" s="357"/>
      <c r="M317" s="571"/>
      <c r="N317" s="488"/>
      <c r="O317" s="489"/>
    </row>
    <row r="318" spans="1:15" outlineLevel="1">
      <c r="A318" s="495"/>
      <c r="B318" s="497"/>
      <c r="D318" s="489"/>
      <c r="E318" s="489"/>
      <c r="F318" s="489"/>
      <c r="G318" s="357"/>
      <c r="H318" s="357"/>
      <c r="I318" s="357"/>
      <c r="J318" s="357"/>
      <c r="K318" s="357"/>
      <c r="L318" s="357"/>
      <c r="M318" s="572"/>
      <c r="N318" s="488"/>
      <c r="O318" s="489"/>
    </row>
    <row r="319" spans="1:15" outlineLevel="1">
      <c r="A319" s="495"/>
      <c r="B319" s="488"/>
      <c r="D319" s="489"/>
      <c r="E319" s="489"/>
      <c r="F319" s="489"/>
      <c r="G319" s="357"/>
      <c r="H319" s="357"/>
      <c r="I319" s="357"/>
      <c r="J319" s="357"/>
      <c r="K319" s="357"/>
      <c r="L319" s="357"/>
      <c r="M319" s="572"/>
      <c r="N319" s="489"/>
      <c r="O319" s="489"/>
    </row>
    <row r="320" spans="1:15" outlineLevel="1">
      <c r="A320" s="495"/>
      <c r="B320" s="488"/>
      <c r="D320" s="489"/>
      <c r="E320" s="489"/>
      <c r="F320" s="489"/>
      <c r="G320" s="357"/>
      <c r="H320" s="357"/>
      <c r="I320" s="357"/>
      <c r="J320" s="357"/>
      <c r="K320" s="357"/>
      <c r="L320" s="357"/>
      <c r="M320" s="488"/>
      <c r="N320" s="489"/>
      <c r="O320" s="489"/>
    </row>
    <row r="321" spans="1:44" outlineLevel="1"/>
    <row r="324" spans="1:44" ht="15" thickBot="1">
      <c r="A324" s="359"/>
    </row>
    <row r="325" spans="1:44" ht="20.55" customHeight="1" thickBot="1">
      <c r="B325" s="361"/>
      <c r="C325" s="1183"/>
      <c r="D325" s="1184"/>
      <c r="E325" s="1184"/>
      <c r="F325" s="1184"/>
      <c r="G325" s="1184"/>
      <c r="H325" s="1184"/>
      <c r="I325" s="1184"/>
      <c r="J325" s="1184"/>
      <c r="K325" s="1184"/>
      <c r="L325" s="1185"/>
      <c r="M325" s="362"/>
      <c r="N325" s="362"/>
      <c r="P325" s="363"/>
      <c r="Q325" s="364"/>
      <c r="R325" s="365"/>
      <c r="S325" s="1173"/>
      <c r="T325" s="1157"/>
      <c r="U325" s="1158"/>
      <c r="V325" s="1157"/>
      <c r="W325" s="1158"/>
      <c r="X325" s="1157"/>
      <c r="Y325" s="1158"/>
      <c r="Z325" s="1157"/>
      <c r="AA325" s="1158"/>
      <c r="AB325" s="1157"/>
      <c r="AC325" s="1158"/>
      <c r="AE325" s="363"/>
      <c r="AF325" s="364"/>
      <c r="AG325" s="365"/>
      <c r="AH325" s="1173"/>
      <c r="AI325" s="1157"/>
      <c r="AJ325" s="1158"/>
      <c r="AK325" s="1157"/>
      <c r="AL325" s="1158"/>
      <c r="AM325" s="1157"/>
      <c r="AN325" s="1158"/>
      <c r="AO325" s="1157"/>
      <c r="AP325" s="1158"/>
      <c r="AQ325" s="1157"/>
      <c r="AR325" s="1158"/>
    </row>
    <row r="326" spans="1:44" ht="15" customHeight="1" thickBot="1">
      <c r="B326" s="1161"/>
      <c r="C326" s="1163"/>
      <c r="D326" s="1163"/>
      <c r="E326" s="1163"/>
      <c r="F326" s="1163"/>
      <c r="G326" s="1165"/>
      <c r="H326" s="1166"/>
      <c r="I326" s="1165"/>
      <c r="J326" s="1166"/>
      <c r="K326" s="1186"/>
      <c r="L326" s="1186"/>
      <c r="M326" s="366"/>
      <c r="N326" s="366"/>
      <c r="P326" s="1177"/>
      <c r="Q326" s="367"/>
      <c r="R326" s="367"/>
      <c r="S326" s="1174"/>
      <c r="T326" s="1159"/>
      <c r="U326" s="1160"/>
      <c r="V326" s="1159"/>
      <c r="W326" s="1160"/>
      <c r="X326" s="1159"/>
      <c r="Y326" s="1160"/>
      <c r="Z326" s="1159"/>
      <c r="AA326" s="1160"/>
      <c r="AB326" s="1159"/>
      <c r="AC326" s="1160"/>
      <c r="AE326" s="1177"/>
      <c r="AF326" s="367"/>
      <c r="AG326" s="367"/>
      <c r="AH326" s="1174"/>
      <c r="AI326" s="1159"/>
      <c r="AJ326" s="1160"/>
      <c r="AK326" s="1159"/>
      <c r="AL326" s="1160"/>
      <c r="AM326" s="1159"/>
      <c r="AN326" s="1160"/>
      <c r="AO326" s="1159"/>
      <c r="AP326" s="1160"/>
      <c r="AQ326" s="1159"/>
      <c r="AR326" s="1160"/>
    </row>
    <row r="327" spans="1:44" ht="15" customHeight="1" thickBot="1">
      <c r="B327" s="1162"/>
      <c r="C327" s="1164"/>
      <c r="D327" s="1164"/>
      <c r="E327" s="1164"/>
      <c r="F327" s="1164"/>
      <c r="G327" s="405"/>
      <c r="H327" s="405"/>
      <c r="I327" s="405"/>
      <c r="J327" s="405"/>
      <c r="K327" s="1187"/>
      <c r="L327" s="1187"/>
      <c r="M327" s="369"/>
      <c r="N327" s="369"/>
      <c r="P327" s="1178"/>
      <c r="Q327" s="1180"/>
      <c r="R327" s="1181"/>
      <c r="S327" s="1175"/>
      <c r="T327" s="1159"/>
      <c r="U327" s="1160"/>
      <c r="V327" s="1159"/>
      <c r="W327" s="1160"/>
      <c r="X327" s="1159"/>
      <c r="Y327" s="1160"/>
      <c r="Z327" s="1159"/>
      <c r="AA327" s="1160"/>
      <c r="AB327" s="1159"/>
      <c r="AC327" s="1160"/>
      <c r="AE327" s="1178"/>
      <c r="AF327" s="1180"/>
      <c r="AG327" s="1181"/>
      <c r="AH327" s="1175"/>
      <c r="AI327" s="1159"/>
      <c r="AJ327" s="1160"/>
      <c r="AK327" s="1159"/>
      <c r="AL327" s="1160"/>
      <c r="AM327" s="1159"/>
      <c r="AN327" s="1160"/>
      <c r="AO327" s="1159"/>
      <c r="AP327" s="1160"/>
      <c r="AQ327" s="1159"/>
      <c r="AR327" s="1160"/>
    </row>
    <row r="328" spans="1:44" ht="15" thickBot="1">
      <c r="B328" s="370"/>
      <c r="C328" s="371"/>
      <c r="D328" s="371"/>
      <c r="E328" s="371"/>
      <c r="F328" s="371"/>
      <c r="G328" s="371"/>
      <c r="H328" s="371"/>
      <c r="I328" s="371"/>
      <c r="J328" s="371"/>
      <c r="K328" s="371"/>
      <c r="L328" s="372"/>
      <c r="M328" s="369"/>
      <c r="N328" s="369"/>
      <c r="O328" s="74"/>
      <c r="P328" s="1179"/>
      <c r="Q328" s="1176"/>
      <c r="R328" s="1182"/>
      <c r="S328" s="1176"/>
      <c r="T328" s="373"/>
      <c r="U328" s="374"/>
      <c r="V328" s="373"/>
      <c r="W328" s="374"/>
      <c r="X328" s="373"/>
      <c r="Y328" s="374"/>
      <c r="Z328" s="373"/>
      <c r="AA328" s="374"/>
      <c r="AB328" s="373"/>
      <c r="AC328" s="374"/>
      <c r="AE328" s="1179"/>
      <c r="AF328" s="1176"/>
      <c r="AG328" s="1182"/>
      <c r="AH328" s="1176"/>
      <c r="AI328" s="373"/>
      <c r="AJ328" s="374"/>
      <c r="AK328" s="373"/>
      <c r="AL328" s="374"/>
      <c r="AM328" s="373"/>
      <c r="AN328" s="374"/>
      <c r="AO328" s="373"/>
      <c r="AP328" s="374"/>
      <c r="AQ328" s="373"/>
      <c r="AR328" s="374"/>
    </row>
    <row r="329" spans="1:44" ht="14.55" customHeight="1">
      <c r="B329" s="573"/>
      <c r="C329" s="574"/>
      <c r="D329" s="574"/>
      <c r="E329" s="574"/>
      <c r="F329" s="574"/>
      <c r="G329" s="575"/>
      <c r="H329" s="575"/>
      <c r="I329" s="575"/>
      <c r="J329" s="575"/>
      <c r="K329" s="371"/>
      <c r="L329" s="372"/>
      <c r="M329" s="369"/>
      <c r="N329" s="369"/>
      <c r="P329" s="1145"/>
      <c r="Q329" s="1151"/>
      <c r="R329" s="380"/>
      <c r="S329" s="381"/>
      <c r="T329" s="1134"/>
      <c r="U329" s="1148"/>
      <c r="V329" s="1134"/>
      <c r="W329" s="1148"/>
      <c r="X329" s="1134"/>
      <c r="Y329" s="1148"/>
      <c r="Z329" s="1134"/>
      <c r="AA329" s="1148"/>
      <c r="AB329" s="1154"/>
      <c r="AC329" s="1148"/>
      <c r="AE329" s="1145"/>
      <c r="AF329" s="1151"/>
      <c r="AG329" s="380"/>
      <c r="AH329" s="381"/>
      <c r="AI329" s="1134"/>
      <c r="AJ329" s="1148"/>
      <c r="AK329" s="1134"/>
      <c r="AL329" s="1148"/>
      <c r="AM329" s="1134"/>
      <c r="AN329" s="1148"/>
      <c r="AO329" s="1134"/>
      <c r="AP329" s="1148"/>
      <c r="AQ329" s="1154"/>
      <c r="AR329" s="1148"/>
    </row>
    <row r="330" spans="1:44">
      <c r="B330" s="382"/>
      <c r="C330" s="576"/>
      <c r="D330" s="576"/>
      <c r="E330" s="576"/>
      <c r="F330" s="576"/>
      <c r="G330" s="575"/>
      <c r="H330" s="575"/>
      <c r="I330" s="575"/>
      <c r="J330" s="575"/>
      <c r="K330" s="371"/>
      <c r="L330" s="372"/>
      <c r="M330" s="369"/>
      <c r="N330" s="369"/>
      <c r="O330" s="71"/>
      <c r="P330" s="1146"/>
      <c r="Q330" s="1152"/>
      <c r="R330" s="387"/>
      <c r="S330" s="388"/>
      <c r="T330" s="1137"/>
      <c r="U330" s="1149"/>
      <c r="V330" s="1137"/>
      <c r="W330" s="1149"/>
      <c r="X330" s="1137"/>
      <c r="Y330" s="1149"/>
      <c r="Z330" s="1137"/>
      <c r="AA330" s="1149"/>
      <c r="AB330" s="1155"/>
      <c r="AC330" s="1149"/>
      <c r="AE330" s="1146"/>
      <c r="AF330" s="1152"/>
      <c r="AG330" s="387"/>
      <c r="AH330" s="388"/>
      <c r="AI330" s="1137"/>
      <c r="AJ330" s="1149"/>
      <c r="AK330" s="1137"/>
      <c r="AL330" s="1149"/>
      <c r="AM330" s="1137"/>
      <c r="AN330" s="1149"/>
      <c r="AO330" s="1137"/>
      <c r="AP330" s="1149"/>
      <c r="AQ330" s="1155"/>
      <c r="AR330" s="1149"/>
    </row>
    <row r="331" spans="1:44" ht="15" thickBot="1">
      <c r="B331" s="573"/>
      <c r="C331" s="577"/>
      <c r="D331" s="577"/>
      <c r="E331" s="577"/>
      <c r="F331" s="577"/>
      <c r="G331" s="577"/>
      <c r="H331" s="577"/>
      <c r="I331" s="577"/>
      <c r="J331" s="577"/>
      <c r="K331" s="578"/>
      <c r="L331" s="579"/>
      <c r="M331" s="369"/>
      <c r="N331" s="369"/>
      <c r="O331" s="71"/>
      <c r="P331" s="1146"/>
      <c r="Q331" s="1153"/>
      <c r="R331" s="392"/>
      <c r="S331" s="393"/>
      <c r="T331" s="1138"/>
      <c r="U331" s="1150"/>
      <c r="V331" s="1138"/>
      <c r="W331" s="1150"/>
      <c r="X331" s="1138"/>
      <c r="Y331" s="1150"/>
      <c r="Z331" s="1138"/>
      <c r="AA331" s="1150"/>
      <c r="AB331" s="1156"/>
      <c r="AC331" s="1150"/>
      <c r="AE331" s="1146"/>
      <c r="AF331" s="1153"/>
      <c r="AG331" s="392"/>
      <c r="AH331" s="393"/>
      <c r="AI331" s="1138"/>
      <c r="AJ331" s="1150"/>
      <c r="AK331" s="1138"/>
      <c r="AL331" s="1150"/>
      <c r="AM331" s="1138"/>
      <c r="AN331" s="1150"/>
      <c r="AO331" s="1138"/>
      <c r="AP331" s="1150"/>
      <c r="AQ331" s="1156"/>
      <c r="AR331" s="1150"/>
    </row>
    <row r="332" spans="1:44" ht="14.55" customHeight="1">
      <c r="B332" s="573"/>
      <c r="C332" s="580"/>
      <c r="D332" s="580"/>
      <c r="E332" s="580"/>
      <c r="F332" s="580"/>
      <c r="G332" s="580"/>
      <c r="H332" s="580"/>
      <c r="I332" s="580"/>
      <c r="J332" s="580"/>
      <c r="K332" s="578"/>
      <c r="L332" s="579"/>
      <c r="M332" s="369"/>
      <c r="N332" s="369"/>
      <c r="O332" s="71"/>
      <c r="P332" s="1146"/>
      <c r="Q332" s="1142"/>
      <c r="R332" s="394"/>
      <c r="S332" s="395"/>
      <c r="T332" s="1134"/>
      <c r="U332" s="1134"/>
      <c r="V332" s="1134"/>
      <c r="W332" s="1134"/>
      <c r="X332" s="1134"/>
      <c r="Y332" s="1134"/>
      <c r="Z332" s="1134"/>
      <c r="AA332" s="1134"/>
      <c r="AB332" s="1134"/>
      <c r="AC332" s="1134"/>
      <c r="AE332" s="1146"/>
      <c r="AF332" s="1142"/>
      <c r="AG332" s="394"/>
      <c r="AH332" s="395"/>
      <c r="AI332" s="1134"/>
      <c r="AJ332" s="1134"/>
      <c r="AK332" s="1134"/>
      <c r="AL332" s="1134"/>
      <c r="AM332" s="1134"/>
      <c r="AN332" s="1134"/>
      <c r="AO332" s="1134"/>
      <c r="AP332" s="1134"/>
      <c r="AQ332" s="1134"/>
      <c r="AR332" s="1134"/>
    </row>
    <row r="333" spans="1:44">
      <c r="B333" s="573"/>
      <c r="C333" s="581"/>
      <c r="D333" s="581"/>
      <c r="E333" s="581"/>
      <c r="F333" s="581"/>
      <c r="G333" s="581"/>
      <c r="H333" s="581"/>
      <c r="I333" s="581"/>
      <c r="J333" s="581"/>
      <c r="K333" s="578"/>
      <c r="L333" s="579"/>
      <c r="M333" s="366"/>
      <c r="N333" s="366"/>
      <c r="O333" s="71"/>
      <c r="P333" s="1146"/>
      <c r="Q333" s="1143"/>
      <c r="R333" s="394"/>
      <c r="S333" s="395"/>
      <c r="T333" s="1135"/>
      <c r="U333" s="1135"/>
      <c r="V333" s="1135"/>
      <c r="W333" s="1135"/>
      <c r="X333" s="1135"/>
      <c r="Y333" s="1135"/>
      <c r="Z333" s="1135"/>
      <c r="AA333" s="1135"/>
      <c r="AB333" s="1137"/>
      <c r="AC333" s="1135"/>
      <c r="AE333" s="1146"/>
      <c r="AF333" s="1143"/>
      <c r="AG333" s="394"/>
      <c r="AH333" s="395"/>
      <c r="AI333" s="1135"/>
      <c r="AJ333" s="1135"/>
      <c r="AK333" s="1135"/>
      <c r="AL333" s="1135"/>
      <c r="AM333" s="1135"/>
      <c r="AN333" s="1135"/>
      <c r="AO333" s="1135"/>
      <c r="AP333" s="1135"/>
      <c r="AQ333" s="1137"/>
      <c r="AR333" s="1135"/>
    </row>
    <row r="334" spans="1:44">
      <c r="B334" s="382"/>
      <c r="C334" s="396"/>
      <c r="D334" s="396"/>
      <c r="E334" s="396"/>
      <c r="F334" s="396"/>
      <c r="G334" s="397"/>
      <c r="H334" s="397"/>
      <c r="I334" s="397"/>
      <c r="J334" s="397"/>
      <c r="K334" s="371"/>
      <c r="L334" s="372"/>
      <c r="M334" s="362"/>
      <c r="N334" s="362"/>
      <c r="P334" s="1146"/>
      <c r="Q334" s="1143"/>
      <c r="R334" s="394"/>
      <c r="S334" s="395"/>
      <c r="T334" s="1135"/>
      <c r="U334" s="1135"/>
      <c r="V334" s="1135"/>
      <c r="W334" s="1135"/>
      <c r="X334" s="1135"/>
      <c r="Y334" s="1135"/>
      <c r="Z334" s="1135"/>
      <c r="AA334" s="1135"/>
      <c r="AB334" s="1137"/>
      <c r="AC334" s="1135"/>
      <c r="AE334" s="1146"/>
      <c r="AF334" s="1143"/>
      <c r="AG334" s="394"/>
      <c r="AH334" s="395"/>
      <c r="AI334" s="1135"/>
      <c r="AJ334" s="1135"/>
      <c r="AK334" s="1135"/>
      <c r="AL334" s="1135"/>
      <c r="AM334" s="1135"/>
      <c r="AN334" s="1135"/>
      <c r="AO334" s="1135"/>
      <c r="AP334" s="1135"/>
      <c r="AQ334" s="1137"/>
      <c r="AR334" s="1135"/>
    </row>
    <row r="335" spans="1:44" ht="15" thickBot="1">
      <c r="B335" s="573"/>
      <c r="C335" s="581"/>
      <c r="D335" s="581"/>
      <c r="E335" s="581"/>
      <c r="F335" s="581"/>
      <c r="G335" s="581"/>
      <c r="H335" s="581"/>
      <c r="I335" s="581"/>
      <c r="J335" s="581"/>
      <c r="K335" s="371"/>
      <c r="L335" s="372"/>
      <c r="M335" s="362"/>
      <c r="N335" s="362"/>
      <c r="P335" s="1146"/>
      <c r="Q335" s="1143"/>
      <c r="R335" s="394"/>
      <c r="S335" s="395"/>
      <c r="T335" s="1135"/>
      <c r="U335" s="1135"/>
      <c r="V335" s="1135"/>
      <c r="W335" s="1135"/>
      <c r="X335" s="1135"/>
      <c r="Y335" s="1135"/>
      <c r="Z335" s="1135"/>
      <c r="AA335" s="1135"/>
      <c r="AB335" s="1137"/>
      <c r="AC335" s="1135"/>
      <c r="AE335" s="1146"/>
      <c r="AF335" s="1143"/>
      <c r="AG335" s="394"/>
      <c r="AH335" s="395"/>
      <c r="AI335" s="1135"/>
      <c r="AJ335" s="1135"/>
      <c r="AK335" s="1135"/>
      <c r="AL335" s="1135"/>
      <c r="AM335" s="1135"/>
      <c r="AN335" s="1135"/>
      <c r="AO335" s="1135"/>
      <c r="AP335" s="1135"/>
      <c r="AQ335" s="1137"/>
      <c r="AR335" s="1135"/>
    </row>
    <row r="336" spans="1:44" ht="15" thickBot="1">
      <c r="B336" s="400"/>
      <c r="C336" s="582"/>
      <c r="D336" s="583"/>
      <c r="E336" s="584"/>
      <c r="F336" s="585"/>
      <c r="G336" s="405"/>
      <c r="H336" s="405"/>
      <c r="I336" s="405"/>
      <c r="J336" s="405"/>
      <c r="K336" s="406"/>
      <c r="L336" s="586"/>
      <c r="M336" s="362"/>
      <c r="N336" s="362"/>
      <c r="P336" s="1146"/>
      <c r="Q336" s="1144"/>
      <c r="R336" s="408"/>
      <c r="S336" s="409"/>
      <c r="T336" s="1136"/>
      <c r="U336" s="1136"/>
      <c r="V336" s="1136"/>
      <c r="W336" s="1136"/>
      <c r="X336" s="1136"/>
      <c r="Y336" s="1136"/>
      <c r="Z336" s="1136"/>
      <c r="AA336" s="1136"/>
      <c r="AB336" s="1138"/>
      <c r="AC336" s="1136"/>
      <c r="AE336" s="1146"/>
      <c r="AF336" s="1144"/>
      <c r="AG336" s="408"/>
      <c r="AH336" s="409"/>
      <c r="AI336" s="1136"/>
      <c r="AJ336" s="1136"/>
      <c r="AK336" s="1136"/>
      <c r="AL336" s="1136"/>
      <c r="AM336" s="1136"/>
      <c r="AN336" s="1136"/>
      <c r="AO336" s="1136"/>
      <c r="AP336" s="1136"/>
      <c r="AQ336" s="1138"/>
      <c r="AR336" s="1136"/>
    </row>
    <row r="337" spans="1:44" ht="15" thickBot="1">
      <c r="B337" s="573"/>
      <c r="C337" s="587"/>
      <c r="D337" s="587"/>
      <c r="E337" s="587"/>
      <c r="F337" s="587"/>
      <c r="G337" s="588"/>
      <c r="H337" s="588"/>
      <c r="I337" s="589"/>
      <c r="J337" s="589"/>
      <c r="K337" s="578"/>
      <c r="L337" s="579"/>
      <c r="M337" s="362"/>
      <c r="N337" s="362"/>
      <c r="P337" s="1147"/>
      <c r="Q337" s="410"/>
      <c r="R337" s="411"/>
      <c r="S337" s="412"/>
      <c r="T337" s="590"/>
      <c r="U337" s="591"/>
      <c r="V337" s="592"/>
      <c r="W337" s="591"/>
      <c r="X337" s="592"/>
      <c r="Y337" s="591"/>
      <c r="Z337" s="592"/>
      <c r="AA337" s="591"/>
      <c r="AB337" s="592"/>
      <c r="AC337" s="593"/>
      <c r="AE337" s="1147"/>
      <c r="AF337" s="410"/>
      <c r="AG337" s="411"/>
      <c r="AH337" s="412"/>
      <c r="AI337" s="590"/>
      <c r="AJ337" s="591"/>
      <c r="AK337" s="592"/>
      <c r="AL337" s="591"/>
      <c r="AM337" s="592"/>
      <c r="AN337" s="591"/>
      <c r="AO337" s="592"/>
      <c r="AP337" s="591"/>
      <c r="AQ337" s="592"/>
      <c r="AR337" s="593"/>
    </row>
    <row r="338" spans="1:44">
      <c r="B338" s="573"/>
      <c r="C338" s="581"/>
      <c r="D338" s="581"/>
      <c r="E338" s="581"/>
      <c r="F338" s="581"/>
      <c r="G338" s="594"/>
      <c r="H338" s="594"/>
      <c r="I338" s="594"/>
      <c r="J338" s="594"/>
      <c r="K338" s="595"/>
      <c r="L338" s="579"/>
      <c r="M338" s="362"/>
      <c r="N338" s="362"/>
    </row>
    <row r="339" spans="1:44">
      <c r="B339" s="573"/>
      <c r="C339" s="581"/>
      <c r="D339" s="581"/>
      <c r="E339" s="581"/>
      <c r="F339" s="581"/>
      <c r="G339" s="594"/>
      <c r="H339" s="594"/>
      <c r="I339" s="594"/>
      <c r="J339" s="594"/>
      <c r="K339" s="595"/>
      <c r="L339" s="579"/>
      <c r="M339" s="419"/>
      <c r="N339" s="362"/>
    </row>
    <row r="340" spans="1:44">
      <c r="B340" s="420"/>
      <c r="C340" s="398"/>
      <c r="D340" s="398"/>
      <c r="E340" s="398"/>
      <c r="F340" s="398"/>
      <c r="G340" s="421"/>
      <c r="H340" s="421"/>
      <c r="I340" s="421"/>
      <c r="J340" s="421"/>
      <c r="K340" s="422"/>
      <c r="L340" s="596"/>
      <c r="M340" s="419"/>
      <c r="N340" s="419"/>
    </row>
    <row r="341" spans="1:44">
      <c r="B341" s="382"/>
      <c r="C341" s="396"/>
      <c r="D341" s="396"/>
      <c r="E341" s="396"/>
      <c r="F341" s="396"/>
      <c r="G341" s="421"/>
      <c r="H341" s="424"/>
      <c r="I341" s="424"/>
      <c r="J341" s="424"/>
      <c r="K341" s="425"/>
      <c r="L341" s="426"/>
      <c r="M341" s="427"/>
      <c r="N341" s="427"/>
    </row>
    <row r="342" spans="1:44">
      <c r="B342" s="382"/>
      <c r="C342" s="396"/>
      <c r="D342" s="396"/>
      <c r="E342" s="396"/>
      <c r="F342" s="396"/>
      <c r="G342" s="424"/>
      <c r="H342" s="424"/>
      <c r="I342" s="424"/>
      <c r="J342" s="424"/>
      <c r="K342" s="422"/>
      <c r="L342" s="426"/>
      <c r="M342" s="427"/>
      <c r="N342" s="427"/>
    </row>
    <row r="343" spans="1:44">
      <c r="B343" s="382"/>
      <c r="C343" s="396"/>
      <c r="D343" s="396"/>
      <c r="E343" s="396"/>
      <c r="F343" s="396"/>
      <c r="G343" s="424"/>
      <c r="H343" s="424"/>
      <c r="I343" s="424"/>
      <c r="J343" s="424"/>
      <c r="K343" s="422"/>
      <c r="L343" s="426"/>
      <c r="M343" s="427"/>
      <c r="N343" s="427"/>
    </row>
    <row r="344" spans="1:44">
      <c r="B344" s="382"/>
      <c r="C344" s="396"/>
      <c r="D344" s="396"/>
      <c r="E344" s="396"/>
      <c r="F344" s="396"/>
      <c r="G344" s="424"/>
      <c r="H344" s="424"/>
      <c r="I344" s="424"/>
      <c r="J344" s="424"/>
      <c r="K344" s="422"/>
      <c r="L344" s="426"/>
      <c r="M344" s="427"/>
      <c r="N344" s="427"/>
    </row>
    <row r="345" spans="1:44" ht="15" thickBot="1">
      <c r="B345" s="428"/>
      <c r="C345" s="396"/>
      <c r="D345" s="396"/>
      <c r="E345" s="396"/>
      <c r="F345" s="396"/>
      <c r="G345" s="424"/>
      <c r="H345" s="424"/>
      <c r="I345" s="424"/>
      <c r="J345" s="424"/>
      <c r="K345" s="422"/>
      <c r="L345" s="426"/>
      <c r="M345" s="427"/>
      <c r="N345" s="427"/>
    </row>
    <row r="346" spans="1:44" ht="15" thickBot="1">
      <c r="B346" s="430"/>
      <c r="C346" s="597"/>
      <c r="D346" s="583"/>
      <c r="E346" s="583"/>
      <c r="F346" s="598"/>
      <c r="G346" s="433"/>
      <c r="H346" s="405"/>
      <c r="I346" s="405"/>
      <c r="J346" s="405"/>
      <c r="K346" s="406"/>
      <c r="L346" s="586"/>
      <c r="M346" s="427"/>
      <c r="N346" s="427"/>
    </row>
    <row r="347" spans="1:44">
      <c r="A347" s="434"/>
      <c r="B347" s="435"/>
      <c r="C347" s="599"/>
      <c r="D347" s="599"/>
      <c r="E347" s="599"/>
      <c r="F347" s="599"/>
      <c r="G347" s="424"/>
      <c r="H347" s="424"/>
      <c r="I347" s="424"/>
      <c r="J347" s="424"/>
      <c r="K347" s="425"/>
      <c r="L347" s="439"/>
      <c r="M347" s="419"/>
      <c r="N347" s="419"/>
    </row>
    <row r="348" spans="1:44">
      <c r="B348" s="440"/>
      <c r="C348" s="600"/>
      <c r="D348" s="600"/>
      <c r="E348" s="600"/>
      <c r="F348" s="600"/>
      <c r="G348" s="424"/>
      <c r="H348" s="424"/>
      <c r="I348" s="424"/>
      <c r="J348" s="424"/>
      <c r="K348" s="443"/>
      <c r="L348" s="372"/>
      <c r="M348" s="71"/>
      <c r="N348" s="419"/>
    </row>
    <row r="349" spans="1:44">
      <c r="B349" s="440"/>
      <c r="C349" s="600"/>
      <c r="D349" s="600"/>
      <c r="E349" s="600"/>
      <c r="F349" s="600"/>
      <c r="G349" s="424"/>
      <c r="H349" s="424"/>
      <c r="I349" s="424"/>
      <c r="J349" s="424"/>
      <c r="K349" s="443"/>
      <c r="L349" s="372"/>
      <c r="M349" s="419"/>
      <c r="N349" s="419"/>
    </row>
    <row r="350" spans="1:44">
      <c r="B350" s="382"/>
      <c r="C350" s="601"/>
      <c r="D350" s="602"/>
      <c r="E350" s="602"/>
      <c r="F350" s="603"/>
      <c r="G350" s="424"/>
      <c r="H350" s="424"/>
      <c r="I350" s="424"/>
      <c r="J350" s="424"/>
      <c r="K350" s="443"/>
      <c r="L350" s="372"/>
      <c r="M350" s="419"/>
      <c r="N350" s="419"/>
    </row>
    <row r="351" spans="1:44">
      <c r="B351" s="382"/>
      <c r="C351" s="604"/>
      <c r="D351" s="604"/>
      <c r="E351" s="604"/>
      <c r="F351" s="604"/>
      <c r="G351" s="424"/>
      <c r="H351" s="424"/>
      <c r="I351" s="424"/>
      <c r="J351" s="424"/>
      <c r="K351" s="443"/>
      <c r="L351" s="372"/>
      <c r="M351" s="693"/>
      <c r="N351" s="692"/>
      <c r="P351" s="1139"/>
      <c r="Q351" s="1140"/>
      <c r="R351" s="1140"/>
      <c r="S351" s="1140"/>
      <c r="T351" s="1140"/>
      <c r="U351" s="1141"/>
    </row>
    <row r="352" spans="1:44" ht="15" thickBot="1">
      <c r="B352" s="540"/>
      <c r="C352" s="551"/>
      <c r="D352" s="551"/>
      <c r="E352" s="551"/>
      <c r="F352" s="551"/>
      <c r="G352" s="552"/>
      <c r="H352" s="552"/>
      <c r="I352" s="552"/>
      <c r="J352" s="552"/>
      <c r="K352" s="546"/>
      <c r="L352" s="547"/>
      <c r="M352" s="693"/>
      <c r="N352" s="692"/>
      <c r="P352" s="1131"/>
      <c r="Q352" s="1132"/>
      <c r="R352" s="1132"/>
      <c r="S352" s="1132"/>
      <c r="T352" s="1132"/>
      <c r="U352" s="1133"/>
    </row>
    <row r="353" spans="2:30">
      <c r="B353" s="540"/>
      <c r="C353" s="605"/>
      <c r="D353" s="605"/>
      <c r="E353" s="605"/>
      <c r="F353" s="605"/>
      <c r="G353" s="552"/>
      <c r="H353" s="552"/>
      <c r="I353" s="552"/>
      <c r="J353" s="552"/>
      <c r="K353" s="546"/>
      <c r="L353" s="547"/>
      <c r="M353" s="362"/>
      <c r="N353" s="362"/>
      <c r="P353" s="53"/>
    </row>
    <row r="354" spans="2:30">
      <c r="B354" s="540"/>
      <c r="C354" s="606"/>
      <c r="D354" s="546"/>
      <c r="E354" s="546"/>
      <c r="F354" s="562"/>
      <c r="G354" s="549"/>
      <c r="H354" s="549"/>
      <c r="I354" s="549"/>
      <c r="J354" s="549"/>
      <c r="K354" s="546"/>
      <c r="L354" s="607"/>
      <c r="M354" s="366"/>
      <c r="N354" s="366"/>
      <c r="P354" s="46"/>
      <c r="Q354" s="46"/>
      <c r="R354" s="47"/>
      <c r="S354" s="47"/>
      <c r="T354" s="47"/>
      <c r="U354" s="48"/>
      <c r="V354" s="49"/>
      <c r="W354" s="49"/>
      <c r="X354" s="49"/>
      <c r="Y354" s="49"/>
      <c r="Z354" s="49"/>
      <c r="AA354" s="49"/>
      <c r="AB354" s="49"/>
      <c r="AC354" s="49"/>
      <c r="AD354" s="49"/>
    </row>
    <row r="355" spans="2:30" ht="15" thickBot="1">
      <c r="B355" s="565"/>
      <c r="C355" s="606"/>
      <c r="D355" s="608"/>
      <c r="E355" s="608"/>
      <c r="F355" s="609"/>
      <c r="G355" s="549"/>
      <c r="H355" s="549"/>
      <c r="I355" s="549"/>
      <c r="J355" s="549"/>
      <c r="K355" s="546"/>
      <c r="L355" s="607"/>
      <c r="M355" s="362"/>
      <c r="N355" s="362"/>
      <c r="O355" s="71"/>
      <c r="P355" s="50"/>
      <c r="Q355" s="50"/>
      <c r="R355" s="51"/>
      <c r="S355" s="51"/>
      <c r="T355" s="51"/>
      <c r="U355" s="51"/>
      <c r="V355" s="50"/>
      <c r="W355" s="50"/>
      <c r="X355" s="50"/>
      <c r="Y355" s="50"/>
      <c r="Z355" s="50"/>
      <c r="AA355" s="50"/>
      <c r="AB355" s="50"/>
      <c r="AC355" s="50"/>
      <c r="AD355" s="50"/>
    </row>
    <row r="356" spans="2:30" ht="15" thickBot="1">
      <c r="B356" s="610"/>
      <c r="C356" s="611"/>
      <c r="D356" s="612"/>
      <c r="E356" s="613"/>
      <c r="F356" s="614"/>
      <c r="G356" s="539"/>
      <c r="H356" s="539"/>
      <c r="I356" s="539"/>
      <c r="J356" s="539"/>
      <c r="K356" s="615"/>
      <c r="L356" s="616"/>
      <c r="M356" s="362"/>
      <c r="N356" s="362"/>
      <c r="O356" s="460"/>
      <c r="P356" s="56"/>
      <c r="Q356" s="56"/>
      <c r="R356" s="57"/>
      <c r="S356" s="57"/>
      <c r="T356" s="57"/>
      <c r="U356" s="56"/>
      <c r="V356" s="56"/>
      <c r="W356" s="56"/>
      <c r="X356" s="56"/>
      <c r="Y356" s="56"/>
      <c r="Z356" s="56"/>
      <c r="AA356" s="56"/>
      <c r="AB356" s="56"/>
      <c r="AC356" s="56"/>
      <c r="AD356" s="56"/>
    </row>
    <row r="357" spans="2:30">
      <c r="B357" s="555"/>
      <c r="C357" s="617"/>
      <c r="D357" s="617"/>
      <c r="E357" s="617"/>
      <c r="F357" s="617"/>
      <c r="G357" s="617"/>
      <c r="H357" s="617"/>
      <c r="I357" s="617"/>
      <c r="J357" s="617"/>
      <c r="K357" s="617"/>
      <c r="L357" s="618"/>
      <c r="M357" s="362"/>
      <c r="N357" s="362"/>
      <c r="O357" s="619"/>
      <c r="P357" s="465"/>
      <c r="Q357" s="58"/>
      <c r="R357" s="465"/>
      <c r="S357" s="58"/>
      <c r="T357" s="465"/>
      <c r="U357" s="466"/>
      <c r="V357" s="466"/>
      <c r="W357" s="466"/>
      <c r="X357" s="58"/>
      <c r="Y357" s="58"/>
      <c r="Z357" s="465"/>
      <c r="AA357" s="467"/>
      <c r="AB357" s="467"/>
      <c r="AC357" s="467"/>
      <c r="AD357" s="467"/>
    </row>
    <row r="358" spans="2:30">
      <c r="B358" s="540"/>
      <c r="C358" s="557"/>
      <c r="D358" s="557"/>
      <c r="E358" s="557"/>
      <c r="F358" s="557"/>
      <c r="G358" s="562"/>
      <c r="H358" s="562"/>
      <c r="I358" s="562"/>
      <c r="J358" s="562"/>
      <c r="K358" s="562"/>
      <c r="L358" s="547"/>
      <c r="M358" s="362"/>
      <c r="N358" s="362"/>
      <c r="O358" s="619"/>
      <c r="P358" s="465"/>
      <c r="Q358" s="58"/>
      <c r="R358" s="465"/>
      <c r="S358" s="58"/>
      <c r="T358" s="465"/>
      <c r="U358" s="466"/>
      <c r="V358" s="466"/>
      <c r="W358" s="466"/>
      <c r="X358" s="58"/>
      <c r="Y358" s="58"/>
      <c r="Z358" s="465"/>
      <c r="AA358" s="467"/>
      <c r="AB358" s="467"/>
      <c r="AC358" s="467"/>
      <c r="AD358" s="467"/>
    </row>
    <row r="359" spans="2:30">
      <c r="B359" s="540"/>
      <c r="C359" s="557"/>
      <c r="D359" s="557"/>
      <c r="E359" s="557"/>
      <c r="F359" s="557"/>
      <c r="G359" s="562"/>
      <c r="H359" s="562"/>
      <c r="I359" s="562"/>
      <c r="J359" s="562"/>
      <c r="K359" s="562"/>
      <c r="L359" s="547"/>
      <c r="M359" s="362"/>
      <c r="N359" s="362"/>
      <c r="O359" s="619"/>
      <c r="P359" s="465"/>
      <c r="Q359" s="58"/>
      <c r="R359" s="465"/>
      <c r="S359" s="58"/>
      <c r="T359" s="465"/>
      <c r="U359" s="466"/>
      <c r="V359" s="466"/>
      <c r="W359" s="466"/>
      <c r="X359" s="58"/>
      <c r="Y359" s="58"/>
      <c r="Z359" s="465"/>
      <c r="AA359" s="467"/>
      <c r="AB359" s="467"/>
      <c r="AC359" s="467"/>
      <c r="AD359" s="467"/>
    </row>
    <row r="360" spans="2:30">
      <c r="B360" s="540"/>
      <c r="C360" s="563"/>
      <c r="D360" s="563"/>
      <c r="E360" s="563"/>
      <c r="F360" s="563"/>
      <c r="G360" s="620"/>
      <c r="H360" s="620"/>
      <c r="I360" s="620"/>
      <c r="J360" s="620"/>
      <c r="K360" s="620"/>
      <c r="L360" s="547"/>
      <c r="M360" s="362"/>
      <c r="N360" s="362"/>
      <c r="O360" s="619"/>
      <c r="P360" s="465"/>
      <c r="Q360" s="58"/>
      <c r="R360" s="465"/>
      <c r="S360" s="58"/>
      <c r="T360" s="465"/>
      <c r="U360" s="466"/>
      <c r="V360" s="466"/>
      <c r="W360" s="466"/>
      <c r="X360" s="58"/>
      <c r="Y360" s="58"/>
      <c r="Z360" s="465"/>
      <c r="AA360" s="467"/>
      <c r="AB360" s="467"/>
      <c r="AC360" s="467"/>
      <c r="AD360" s="467"/>
    </row>
    <row r="361" spans="2:30">
      <c r="B361" s="565"/>
      <c r="C361" s="557"/>
      <c r="D361" s="557"/>
      <c r="E361" s="557"/>
      <c r="F361" s="557"/>
      <c r="G361" s="562"/>
      <c r="H361" s="562"/>
      <c r="I361" s="562"/>
      <c r="J361" s="562"/>
      <c r="K361" s="562"/>
      <c r="L361" s="547"/>
      <c r="M361" s="366"/>
      <c r="N361" s="366"/>
    </row>
    <row r="362" spans="2:30">
      <c r="B362" s="565"/>
      <c r="C362" s="557"/>
      <c r="D362" s="557"/>
      <c r="E362" s="557"/>
      <c r="F362" s="557"/>
      <c r="G362" s="562"/>
      <c r="H362" s="562"/>
      <c r="I362" s="562"/>
      <c r="J362" s="562"/>
      <c r="K362" s="562"/>
      <c r="L362" s="547"/>
      <c r="M362" s="362"/>
      <c r="N362" s="362"/>
    </row>
    <row r="363" spans="2:30" ht="15" thickBot="1">
      <c r="B363" s="566"/>
      <c r="C363" s="621"/>
      <c r="D363" s="621"/>
      <c r="E363" s="621"/>
      <c r="F363" s="621"/>
      <c r="G363" s="622"/>
      <c r="H363" s="622"/>
      <c r="I363" s="622"/>
      <c r="J363" s="622"/>
      <c r="K363" s="622"/>
      <c r="L363" s="623"/>
      <c r="M363" s="362"/>
      <c r="N363" s="362"/>
    </row>
    <row r="364" spans="2:30">
      <c r="B364" s="460"/>
      <c r="C364" s="482"/>
      <c r="D364" s="482"/>
      <c r="E364" s="482"/>
      <c r="F364" s="482"/>
      <c r="G364" s="482"/>
      <c r="H364" s="483"/>
      <c r="I364" s="419"/>
      <c r="J364" s="419"/>
      <c r="K364" s="483"/>
      <c r="L364" s="483"/>
      <c r="N364" s="419"/>
    </row>
    <row r="365" spans="2:30">
      <c r="B365" s="484"/>
      <c r="C365" s="485"/>
      <c r="D365" s="485"/>
      <c r="E365" s="485"/>
      <c r="F365" s="485"/>
      <c r="G365" s="485"/>
      <c r="H365" s="483"/>
      <c r="I365" s="71"/>
      <c r="J365" s="419"/>
      <c r="K365" s="483"/>
      <c r="L365" s="483"/>
      <c r="N365" s="419"/>
    </row>
    <row r="366" spans="2:30">
      <c r="B366" s="460"/>
      <c r="C366" s="358"/>
      <c r="D366" s="358"/>
      <c r="E366" s="358"/>
      <c r="F366" s="358"/>
      <c r="G366" s="358"/>
      <c r="I366" s="419"/>
      <c r="J366" s="419"/>
      <c r="N366" s="419"/>
    </row>
    <row r="367" spans="2:30">
      <c r="B367" s="460"/>
      <c r="C367" s="486"/>
      <c r="D367" s="486"/>
      <c r="E367" s="486"/>
      <c r="F367" s="486"/>
      <c r="G367" s="358"/>
      <c r="M367" s="419"/>
      <c r="N367" s="419"/>
    </row>
    <row r="370" spans="1:11">
      <c r="A370" s="487"/>
      <c r="B370" s="488"/>
      <c r="D370" s="357"/>
      <c r="E370" s="357"/>
      <c r="F370" s="357"/>
      <c r="G370" s="357"/>
      <c r="H370" s="357"/>
      <c r="I370" s="357"/>
      <c r="J370" s="357"/>
      <c r="K370" s="357"/>
    </row>
    <row r="371" spans="1:11">
      <c r="A371" s="357"/>
      <c r="B371" s="489"/>
      <c r="E371" s="357"/>
      <c r="F371" s="357"/>
      <c r="G371" s="357"/>
      <c r="H371" s="357"/>
      <c r="I371" s="357"/>
      <c r="J371" s="357"/>
      <c r="K371" s="357"/>
    </row>
    <row r="372" spans="1:11">
      <c r="A372" s="357"/>
      <c r="B372" s="489"/>
      <c r="E372" s="357"/>
      <c r="F372" s="357"/>
      <c r="G372" s="357"/>
      <c r="H372" s="357"/>
      <c r="I372" s="357"/>
      <c r="J372" s="357"/>
      <c r="K372" s="357"/>
    </row>
    <row r="373" spans="1:11">
      <c r="A373" s="357"/>
      <c r="B373" s="489"/>
      <c r="E373" s="357"/>
      <c r="F373" s="357"/>
      <c r="G373" s="357"/>
      <c r="H373" s="357"/>
      <c r="I373" s="357"/>
      <c r="J373" s="357"/>
      <c r="K373" s="357"/>
    </row>
    <row r="374" spans="1:11">
      <c r="A374" s="357"/>
      <c r="B374" s="489"/>
      <c r="E374" s="357"/>
      <c r="F374" s="357"/>
      <c r="G374" s="357"/>
      <c r="H374" s="357"/>
      <c r="I374" s="357"/>
      <c r="J374" s="357"/>
      <c r="K374" s="357"/>
    </row>
    <row r="375" spans="1:11">
      <c r="A375" s="357"/>
      <c r="B375" s="489"/>
      <c r="E375" s="357"/>
      <c r="F375" s="357"/>
      <c r="G375" s="357"/>
      <c r="H375" s="357"/>
      <c r="I375" s="357"/>
      <c r="J375" s="357"/>
      <c r="K375" s="357"/>
    </row>
    <row r="376" spans="1:11">
      <c r="A376" s="357"/>
      <c r="B376" s="489"/>
      <c r="E376" s="357"/>
      <c r="F376" s="357"/>
      <c r="G376" s="357"/>
      <c r="H376" s="357"/>
      <c r="I376" s="357"/>
      <c r="J376" s="357"/>
      <c r="K376" s="357"/>
    </row>
    <row r="377" spans="1:11">
      <c r="A377" s="357"/>
      <c r="B377" s="489"/>
      <c r="E377" s="357"/>
      <c r="F377" s="357"/>
      <c r="G377" s="357"/>
      <c r="H377" s="357"/>
      <c r="I377" s="357"/>
      <c r="J377" s="357"/>
      <c r="K377" s="357"/>
    </row>
    <row r="378" spans="1:11">
      <c r="A378" s="357"/>
      <c r="B378" s="624"/>
      <c r="E378" s="357"/>
      <c r="F378" s="357"/>
      <c r="G378" s="357"/>
      <c r="H378" s="357"/>
      <c r="I378" s="357"/>
      <c r="J378" s="357"/>
      <c r="K378" s="357"/>
    </row>
    <row r="379" spans="1:11">
      <c r="A379" s="357"/>
      <c r="B379" s="489"/>
      <c r="E379" s="357"/>
      <c r="F379" s="357"/>
      <c r="G379" s="357"/>
      <c r="H379" s="357"/>
      <c r="I379" s="357"/>
      <c r="J379" s="357"/>
      <c r="K379" s="357"/>
    </row>
    <row r="380" spans="1:11">
      <c r="A380" s="487"/>
      <c r="B380" s="488"/>
      <c r="E380" s="357"/>
      <c r="F380" s="357"/>
      <c r="G380" s="357"/>
      <c r="H380" s="357"/>
      <c r="I380" s="357"/>
      <c r="J380" s="357"/>
      <c r="K380" s="357"/>
    </row>
    <row r="381" spans="1:11">
      <c r="A381" s="495"/>
      <c r="B381" s="489"/>
      <c r="C381" s="488"/>
      <c r="E381" s="357"/>
      <c r="F381" s="357"/>
      <c r="G381" s="357"/>
      <c r="H381" s="357"/>
      <c r="I381" s="357"/>
      <c r="J381" s="357"/>
      <c r="K381" s="357"/>
    </row>
    <row r="382" spans="1:11">
      <c r="A382" s="495"/>
      <c r="B382" s="489"/>
      <c r="C382" s="488"/>
      <c r="E382" s="357"/>
      <c r="F382" s="357"/>
      <c r="G382" s="357"/>
      <c r="H382" s="357"/>
      <c r="I382" s="357"/>
      <c r="J382" s="357"/>
      <c r="K382" s="357"/>
    </row>
    <row r="383" spans="1:11">
      <c r="A383" s="495"/>
      <c r="B383" s="489"/>
      <c r="C383" s="488"/>
      <c r="E383" s="357"/>
      <c r="F383" s="357"/>
      <c r="G383" s="357"/>
      <c r="H383" s="357"/>
      <c r="I383" s="357"/>
      <c r="J383" s="357"/>
      <c r="K383" s="357"/>
    </row>
    <row r="384" spans="1:11">
      <c r="A384" s="495"/>
      <c r="B384" s="489"/>
      <c r="C384" s="488"/>
      <c r="E384" s="357"/>
      <c r="F384" s="357"/>
      <c r="G384" s="357"/>
      <c r="H384" s="357"/>
      <c r="I384" s="357"/>
      <c r="J384" s="357"/>
      <c r="K384" s="357"/>
    </row>
    <row r="385" spans="1:11" ht="15.75" customHeight="1">
      <c r="A385" s="495"/>
      <c r="B385" s="489"/>
      <c r="C385" s="488"/>
      <c r="E385" s="357"/>
      <c r="F385" s="357"/>
      <c r="G385" s="357"/>
      <c r="H385" s="357"/>
      <c r="I385" s="357"/>
      <c r="J385" s="357"/>
      <c r="K385" s="357"/>
    </row>
    <row r="386" spans="1:11" ht="15.75" customHeight="1">
      <c r="A386" s="495"/>
      <c r="B386" s="489"/>
      <c r="C386" s="488"/>
      <c r="E386" s="357"/>
      <c r="F386" s="357"/>
      <c r="G386" s="357"/>
      <c r="H386" s="357"/>
      <c r="I386" s="357"/>
      <c r="J386" s="357"/>
      <c r="K386" s="357"/>
    </row>
  </sheetData>
  <mergeCells count="398">
    <mergeCell ref="P352:U352"/>
    <mergeCell ref="AN332:AN336"/>
    <mergeCell ref="AO332:AO336"/>
    <mergeCell ref="AP332:AP336"/>
    <mergeCell ref="AQ332:AQ336"/>
    <mergeCell ref="AR332:AR336"/>
    <mergeCell ref="P351:U351"/>
    <mergeCell ref="AF332:AF336"/>
    <mergeCell ref="AI332:AI336"/>
    <mergeCell ref="AJ332:AJ336"/>
    <mergeCell ref="AK332:AK336"/>
    <mergeCell ref="AL332:AL336"/>
    <mergeCell ref="AM332:AM336"/>
    <mergeCell ref="X332:X336"/>
    <mergeCell ref="Y332:Y336"/>
    <mergeCell ref="Z332:Z336"/>
    <mergeCell ref="AA332:AA336"/>
    <mergeCell ref="AB332:AB336"/>
    <mergeCell ref="AC332:AC336"/>
    <mergeCell ref="P329:P337"/>
    <mergeCell ref="W329:W331"/>
    <mergeCell ref="X329:X331"/>
    <mergeCell ref="AN329:AN331"/>
    <mergeCell ref="AO329:AO331"/>
    <mergeCell ref="AP329:AP331"/>
    <mergeCell ref="AQ329:AQ331"/>
    <mergeCell ref="AR329:AR331"/>
    <mergeCell ref="Q332:Q336"/>
    <mergeCell ref="T332:T336"/>
    <mergeCell ref="U332:U336"/>
    <mergeCell ref="V332:V336"/>
    <mergeCell ref="W332:W336"/>
    <mergeCell ref="AF329:AF331"/>
    <mergeCell ref="AI329:AI331"/>
    <mergeCell ref="AJ329:AJ331"/>
    <mergeCell ref="AK329:AK331"/>
    <mergeCell ref="AL329:AL331"/>
    <mergeCell ref="AM329:AM331"/>
    <mergeCell ref="Y329:Y331"/>
    <mergeCell ref="Z329:Z331"/>
    <mergeCell ref="AA329:AA331"/>
    <mergeCell ref="AB329:AB331"/>
    <mergeCell ref="AC329:AC331"/>
    <mergeCell ref="AE329:AE337"/>
    <mergeCell ref="Q329:Q331"/>
    <mergeCell ref="T329:T331"/>
    <mergeCell ref="U329:U331"/>
    <mergeCell ref="V329:V331"/>
    <mergeCell ref="AM325:AN327"/>
    <mergeCell ref="AO325:AP327"/>
    <mergeCell ref="AQ325:AR327"/>
    <mergeCell ref="B326:B327"/>
    <mergeCell ref="C326:C327"/>
    <mergeCell ref="D326:D327"/>
    <mergeCell ref="E326:E327"/>
    <mergeCell ref="F326:F327"/>
    <mergeCell ref="G326:H326"/>
    <mergeCell ref="I326:J326"/>
    <mergeCell ref="X325:Y327"/>
    <mergeCell ref="Z325:AA327"/>
    <mergeCell ref="AB325:AC327"/>
    <mergeCell ref="AH325:AH328"/>
    <mergeCell ref="AI325:AJ327"/>
    <mergeCell ref="AK325:AL327"/>
    <mergeCell ref="AE326:AE328"/>
    <mergeCell ref="R327:R328"/>
    <mergeCell ref="AF327:AF328"/>
    <mergeCell ref="AG327:AG328"/>
    <mergeCell ref="P273:U273"/>
    <mergeCell ref="P274:U274"/>
    <mergeCell ref="C325:L325"/>
    <mergeCell ref="S325:S328"/>
    <mergeCell ref="T325:U327"/>
    <mergeCell ref="V325:W327"/>
    <mergeCell ref="K326:K327"/>
    <mergeCell ref="L326:L327"/>
    <mergeCell ref="P326:P328"/>
    <mergeCell ref="Q327:Q328"/>
    <mergeCell ref="X254:X258"/>
    <mergeCell ref="Y254:Y258"/>
    <mergeCell ref="Z254:Z258"/>
    <mergeCell ref="AA254:AA258"/>
    <mergeCell ref="AB254:AB258"/>
    <mergeCell ref="AM251:AM253"/>
    <mergeCell ref="AN251:AN253"/>
    <mergeCell ref="AO251:AO253"/>
    <mergeCell ref="X251:X253"/>
    <mergeCell ref="Y251:Y253"/>
    <mergeCell ref="Z251:Z253"/>
    <mergeCell ref="AA251:AA253"/>
    <mergeCell ref="AB251:AB253"/>
    <mergeCell ref="AC251:AC253"/>
    <mergeCell ref="AM254:AM258"/>
    <mergeCell ref="AN254:AN258"/>
    <mergeCell ref="AO254:AO258"/>
    <mergeCell ref="AC254:AC258"/>
    <mergeCell ref="AF254:AF258"/>
    <mergeCell ref="AI254:AI258"/>
    <mergeCell ref="AJ254:AJ258"/>
    <mergeCell ref="AK254:AK258"/>
    <mergeCell ref="AL254:AL258"/>
    <mergeCell ref="AP251:AP253"/>
    <mergeCell ref="AQ251:AQ253"/>
    <mergeCell ref="AR251:AR253"/>
    <mergeCell ref="AE251:AE259"/>
    <mergeCell ref="AF251:AF253"/>
    <mergeCell ref="AI251:AI253"/>
    <mergeCell ref="AJ251:AJ253"/>
    <mergeCell ref="AK251:AK253"/>
    <mergeCell ref="AL251:AL253"/>
    <mergeCell ref="AP254:AP258"/>
    <mergeCell ref="AQ254:AQ258"/>
    <mergeCell ref="AR254:AR258"/>
    <mergeCell ref="P251:P259"/>
    <mergeCell ref="Q251:Q253"/>
    <mergeCell ref="T251:T253"/>
    <mergeCell ref="U251:U253"/>
    <mergeCell ref="V251:V253"/>
    <mergeCell ref="W251:W253"/>
    <mergeCell ref="Q254:Q258"/>
    <mergeCell ref="T254:T258"/>
    <mergeCell ref="U254:U258"/>
    <mergeCell ref="V254:V258"/>
    <mergeCell ref="W254:W258"/>
    <mergeCell ref="AQ247:AR249"/>
    <mergeCell ref="B248:B249"/>
    <mergeCell ref="C248:C249"/>
    <mergeCell ref="D248:D249"/>
    <mergeCell ref="E248:E249"/>
    <mergeCell ref="F248:F249"/>
    <mergeCell ref="G248:H248"/>
    <mergeCell ref="I248:J248"/>
    <mergeCell ref="K248:K249"/>
    <mergeCell ref="L248:L249"/>
    <mergeCell ref="AB247:AC249"/>
    <mergeCell ref="AH247:AH250"/>
    <mergeCell ref="AI247:AJ249"/>
    <mergeCell ref="AK247:AL249"/>
    <mergeCell ref="AM247:AN249"/>
    <mergeCell ref="AO247:AP249"/>
    <mergeCell ref="AE248:AE250"/>
    <mergeCell ref="AF249:AF250"/>
    <mergeCell ref="AG249:AG250"/>
    <mergeCell ref="C247:L247"/>
    <mergeCell ref="S247:S250"/>
    <mergeCell ref="T247:U249"/>
    <mergeCell ref="V247:W249"/>
    <mergeCell ref="X247:Y249"/>
    <mergeCell ref="Z247:AA249"/>
    <mergeCell ref="P248:P250"/>
    <mergeCell ref="Q249:Q250"/>
    <mergeCell ref="R249:R250"/>
    <mergeCell ref="P194:U194"/>
    <mergeCell ref="P195:U195"/>
    <mergeCell ref="B245:B246"/>
    <mergeCell ref="C245:M245"/>
    <mergeCell ref="P245:U245"/>
    <mergeCell ref="C246:M246"/>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P172:P180"/>
    <mergeCell ref="Q172:Q174"/>
    <mergeCell ref="T172:T174"/>
    <mergeCell ref="U172:U174"/>
    <mergeCell ref="V172:V174"/>
    <mergeCell ref="W172:W174"/>
    <mergeCell ref="Q175:Q179"/>
    <mergeCell ref="T175:T179"/>
    <mergeCell ref="U175:U179"/>
    <mergeCell ref="V175:V179"/>
    <mergeCell ref="W175:W179"/>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Z168:AA170"/>
    <mergeCell ref="P169:P171"/>
    <mergeCell ref="Q170:Q171"/>
    <mergeCell ref="R170:R171"/>
    <mergeCell ref="P112:U112"/>
    <mergeCell ref="P113:U113"/>
    <mergeCell ref="B166:B167"/>
    <mergeCell ref="C166:M166"/>
    <mergeCell ref="P166:U166"/>
    <mergeCell ref="C167:M16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C23:F27"/>
    <mergeCell ref="P33:U33"/>
    <mergeCell ref="P34:U34"/>
    <mergeCell ref="C42:F42"/>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P8:P10"/>
    <mergeCell ref="AE8:AE10"/>
    <mergeCell ref="Q9:Q10"/>
    <mergeCell ref="R9:R10"/>
    <mergeCell ref="AF9:AF10"/>
    <mergeCell ref="AG9:AG10"/>
    <mergeCell ref="AK7:AL9"/>
    <mergeCell ref="AM7:AN9"/>
    <mergeCell ref="AO7:AP9"/>
    <mergeCell ref="B5:B6"/>
    <mergeCell ref="C5:M5"/>
    <mergeCell ref="P5:U5"/>
    <mergeCell ref="C6:M6"/>
    <mergeCell ref="C7:L7"/>
    <mergeCell ref="S7:S10"/>
    <mergeCell ref="T7:U9"/>
    <mergeCell ref="I8:J8"/>
    <mergeCell ref="K8:K9"/>
    <mergeCell ref="L8:L9"/>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89154-C5F0-4CA0-8BB8-ADC6D7396513}">
  <sheetPr>
    <tabColor theme="3"/>
  </sheetPr>
  <dimension ref="A2:AR345"/>
  <sheetViews>
    <sheetView topLeftCell="G1" zoomScale="70" zoomScaleNormal="70" workbookViewId="0">
      <selection activeCell="AB26" sqref="AB26"/>
    </sheetView>
  </sheetViews>
  <sheetFormatPr defaultColWidth="8.77734375" defaultRowHeight="14.4" outlineLevelRow="1"/>
  <cols>
    <col min="1" max="1" width="20.5546875" style="224"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Heat pump, up to 80 °C, Temp lift = 60 K</v>
      </c>
    </row>
    <row r="4" spans="1:44" ht="25.05" customHeight="1">
      <c r="E4" s="224" t="s">
        <v>358</v>
      </c>
      <c r="F4" s="358">
        <v>7.45</v>
      </c>
      <c r="G4" s="358" t="s">
        <v>328</v>
      </c>
      <c r="R4" s="224">
        <f>MATCH(W4,P7:AC7)</f>
        <v>9</v>
      </c>
      <c r="W4" s="224" t="s">
        <v>680</v>
      </c>
      <c r="X4" s="224" cm="1">
        <f t="array" ref="X4">INDEX(X6:Y19,MATCH(W4,X6:X19)-1,2)</f>
        <v>10</v>
      </c>
    </row>
    <row r="5" spans="1:44" ht="15" customHeight="1">
      <c r="A5" s="359" t="s">
        <v>829</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828</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3</v>
      </c>
      <c r="D10" s="371">
        <v>3</v>
      </c>
      <c r="E10" s="371">
        <v>3</v>
      </c>
      <c r="F10" s="371">
        <v>3</v>
      </c>
      <c r="G10" s="371">
        <v>0.5</v>
      </c>
      <c r="H10" s="371">
        <v>5</v>
      </c>
      <c r="I10" s="371">
        <v>0.5</v>
      </c>
      <c r="J10" s="371">
        <v>5</v>
      </c>
      <c r="K10" s="371" t="s">
        <v>6</v>
      </c>
      <c r="L10" s="372" t="s">
        <v>800</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638">
        <v>388</v>
      </c>
      <c r="D11" s="638">
        <v>399.64</v>
      </c>
      <c r="E11" s="639">
        <v>407.63279999999997</v>
      </c>
      <c r="F11" s="638">
        <v>411.70912799999996</v>
      </c>
      <c r="G11" s="376">
        <f>C11</f>
        <v>388</v>
      </c>
      <c r="H11" s="638">
        <f>C11*1.05</f>
        <v>407.40000000000003</v>
      </c>
      <c r="I11" s="638">
        <f>F11*0.97</f>
        <v>399.35785415999993</v>
      </c>
      <c r="J11" s="638">
        <f>F11*1.02</f>
        <v>419.94331055999999</v>
      </c>
      <c r="K11" s="378" t="s">
        <v>59</v>
      </c>
      <c r="L11" s="379" t="s">
        <v>800</v>
      </c>
      <c r="M11" s="369"/>
      <c r="N11" s="369"/>
      <c r="P11" s="1196" t="str">
        <f>C7</f>
        <v>Heat pump, up to 80 °C, Temp lift = 60 K</v>
      </c>
      <c r="Q11" s="1151" t="s">
        <v>693</v>
      </c>
      <c r="R11" s="380" t="s">
        <v>694</v>
      </c>
      <c r="S11" s="381"/>
      <c r="T11" s="1134">
        <v>0</v>
      </c>
      <c r="U11" s="1148">
        <v>0</v>
      </c>
      <c r="V11" s="1154">
        <v>0</v>
      </c>
      <c r="W11" s="1148">
        <v>0</v>
      </c>
      <c r="X11" s="1154">
        <v>0</v>
      </c>
      <c r="Y11" s="1148">
        <v>0</v>
      </c>
      <c r="Z11" s="1154">
        <v>0</v>
      </c>
      <c r="AA11" s="1148">
        <v>0</v>
      </c>
      <c r="AB11" s="1154">
        <v>0</v>
      </c>
      <c r="AC11" s="1148">
        <v>0</v>
      </c>
      <c r="AE11" s="1145" t="str">
        <f>P11</f>
        <v>Heat pump, up to 80 °C, Temp lift = 60 K</v>
      </c>
      <c r="AF11" s="1151" t="s">
        <v>693</v>
      </c>
      <c r="AG11" s="380" t="s">
        <v>694</v>
      </c>
      <c r="AH11" s="381"/>
      <c r="AI11" s="1134">
        <v>0</v>
      </c>
      <c r="AJ11" s="1148">
        <v>0</v>
      </c>
      <c r="AK11" s="1154">
        <v>0</v>
      </c>
      <c r="AL11" s="1148">
        <v>0</v>
      </c>
      <c r="AM11" s="1154">
        <v>0</v>
      </c>
      <c r="AN11" s="1148">
        <v>0</v>
      </c>
      <c r="AO11" s="1154">
        <v>0</v>
      </c>
      <c r="AP11" s="1148">
        <v>0</v>
      </c>
      <c r="AQ11" s="1154">
        <v>0</v>
      </c>
      <c r="AR11" s="1148">
        <v>0</v>
      </c>
    </row>
    <row r="12" spans="1:44" ht="32.549999999999997" customHeight="1" outlineLevel="1">
      <c r="B12" s="382" t="s">
        <v>695</v>
      </c>
      <c r="C12" s="576">
        <f>C11-5</f>
        <v>383</v>
      </c>
      <c r="D12" s="576">
        <f t="shared" ref="D12:J12" si="0">D11-5</f>
        <v>394.64</v>
      </c>
      <c r="E12" s="576">
        <f t="shared" si="0"/>
        <v>402.63279999999997</v>
      </c>
      <c r="F12" s="576">
        <f t="shared" si="0"/>
        <v>406.70912799999996</v>
      </c>
      <c r="G12" s="640">
        <f t="shared" si="0"/>
        <v>383</v>
      </c>
      <c r="H12" s="640">
        <f t="shared" si="0"/>
        <v>402.40000000000003</v>
      </c>
      <c r="I12" s="640">
        <f t="shared" si="0"/>
        <v>394.35785415999993</v>
      </c>
      <c r="J12" s="640">
        <f t="shared" si="0"/>
        <v>414.94331055999999</v>
      </c>
      <c r="K12" s="385" t="s">
        <v>801</v>
      </c>
      <c r="L12" s="386"/>
      <c r="M12" s="369"/>
      <c r="N12" s="369"/>
      <c r="O12" s="71"/>
      <c r="P12" s="1192"/>
      <c r="Q12" s="1152"/>
      <c r="R12" s="387" t="s">
        <v>696</v>
      </c>
      <c r="S12" s="388"/>
      <c r="T12" s="1137"/>
      <c r="U12" s="1149"/>
      <c r="V12" s="1155"/>
      <c r="W12" s="1149"/>
      <c r="X12" s="1155"/>
      <c r="Y12" s="1149"/>
      <c r="Z12" s="1155"/>
      <c r="AA12" s="1149"/>
      <c r="AB12" s="1155"/>
      <c r="AC12" s="1149"/>
      <c r="AE12" s="1192"/>
      <c r="AF12" s="1152"/>
      <c r="AG12" s="387" t="s">
        <v>696</v>
      </c>
      <c r="AH12" s="388"/>
      <c r="AI12" s="1137"/>
      <c r="AJ12" s="1149"/>
      <c r="AK12" s="1155"/>
      <c r="AL12" s="1149"/>
      <c r="AM12" s="1155"/>
      <c r="AN12" s="1149"/>
      <c r="AO12" s="1155"/>
      <c r="AP12" s="1149"/>
      <c r="AQ12" s="1155"/>
      <c r="AR12" s="1149"/>
    </row>
    <row r="13" spans="1:44" ht="15" outlineLevel="1" thickBot="1">
      <c r="B13" s="375" t="s">
        <v>697</v>
      </c>
      <c r="C13" s="389">
        <v>2</v>
      </c>
      <c r="D13" s="390">
        <v>2</v>
      </c>
      <c r="E13" s="390">
        <v>2</v>
      </c>
      <c r="F13" s="391">
        <v>2</v>
      </c>
      <c r="G13" s="390">
        <v>1</v>
      </c>
      <c r="H13" s="390">
        <v>4</v>
      </c>
      <c r="I13" s="390">
        <v>1</v>
      </c>
      <c r="J13" s="390">
        <v>4</v>
      </c>
      <c r="K13" s="378"/>
      <c r="L13" s="379">
        <v>1.4</v>
      </c>
      <c r="M13" s="369"/>
      <c r="N13" s="369"/>
      <c r="O13" s="71"/>
      <c r="P13" s="1192"/>
      <c r="Q13" s="1153"/>
      <c r="R13" s="392" t="s">
        <v>698</v>
      </c>
      <c r="S13" s="393"/>
      <c r="T13" s="1138"/>
      <c r="U13" s="1150"/>
      <c r="V13" s="1156"/>
      <c r="W13" s="1150"/>
      <c r="X13" s="1156"/>
      <c r="Y13" s="1150"/>
      <c r="Z13" s="1156"/>
      <c r="AA13" s="1150"/>
      <c r="AB13" s="1156"/>
      <c r="AC13" s="1150"/>
      <c r="AE13" s="1192"/>
      <c r="AF13" s="1153"/>
      <c r="AG13" s="392" t="s">
        <v>698</v>
      </c>
      <c r="AH13" s="393"/>
      <c r="AI13" s="1138"/>
      <c r="AJ13" s="1150"/>
      <c r="AK13" s="1156"/>
      <c r="AL13" s="1150"/>
      <c r="AM13" s="1156"/>
      <c r="AN13" s="1150"/>
      <c r="AO13" s="1156"/>
      <c r="AP13" s="1150"/>
      <c r="AQ13" s="1156"/>
      <c r="AR13" s="1150"/>
    </row>
    <row r="14" spans="1:44" ht="15" customHeight="1" outlineLevel="1">
      <c r="B14" s="375" t="s">
        <v>637</v>
      </c>
      <c r="C14" s="389">
        <v>0</v>
      </c>
      <c r="D14" s="389">
        <v>0</v>
      </c>
      <c r="E14" s="389">
        <v>0</v>
      </c>
      <c r="F14" s="389">
        <v>0</v>
      </c>
      <c r="G14" s="389">
        <v>0</v>
      </c>
      <c r="H14" s="389">
        <v>1</v>
      </c>
      <c r="I14" s="389">
        <v>0</v>
      </c>
      <c r="J14" s="389">
        <v>1</v>
      </c>
      <c r="K14" s="378" t="s">
        <v>20</v>
      </c>
      <c r="L14" s="379"/>
      <c r="M14" s="369"/>
      <c r="N14" s="369"/>
      <c r="O14" s="71"/>
      <c r="P14" s="1192"/>
      <c r="Q14" s="1151" t="s">
        <v>699</v>
      </c>
      <c r="R14" s="394" t="s">
        <v>700</v>
      </c>
      <c r="S14" s="395" t="s">
        <v>701</v>
      </c>
      <c r="T14" s="1134">
        <v>0</v>
      </c>
      <c r="U14" s="1134">
        <f>21%</f>
        <v>0.21</v>
      </c>
      <c r="V14" s="1134">
        <v>0</v>
      </c>
      <c r="W14" s="1134">
        <f>22%</f>
        <v>0.22</v>
      </c>
      <c r="X14" s="1134">
        <v>0</v>
      </c>
      <c r="Y14" s="1134">
        <f>15%</f>
        <v>0.15</v>
      </c>
      <c r="Z14" s="1134">
        <v>0</v>
      </c>
      <c r="AA14" s="1134">
        <f>14%</f>
        <v>0.14000000000000001</v>
      </c>
      <c r="AB14" s="1134">
        <v>0</v>
      </c>
      <c r="AC14" s="1148">
        <f>14%</f>
        <v>0.14000000000000001</v>
      </c>
      <c r="AE14" s="1192"/>
      <c r="AF14" s="1151" t="s">
        <v>699</v>
      </c>
      <c r="AG14" s="394" t="s">
        <v>700</v>
      </c>
      <c r="AH14" s="395" t="s">
        <v>701</v>
      </c>
      <c r="AI14" s="1134">
        <v>0</v>
      </c>
      <c r="AJ14" s="1134">
        <f>U14/4</f>
        <v>5.2499999999999998E-2</v>
      </c>
      <c r="AK14" s="1134">
        <v>0</v>
      </c>
      <c r="AL14" s="1134">
        <f>W14/4</f>
        <v>5.5E-2</v>
      </c>
      <c r="AM14" s="1134">
        <v>0</v>
      </c>
      <c r="AN14" s="1134">
        <f>Y14/4</f>
        <v>3.7499999999999999E-2</v>
      </c>
      <c r="AO14" s="1134">
        <v>0</v>
      </c>
      <c r="AP14" s="1134">
        <f>AA14/4</f>
        <v>3.5000000000000003E-2</v>
      </c>
      <c r="AQ14" s="1134">
        <v>0</v>
      </c>
      <c r="AR14" s="1148">
        <f>AC14/4</f>
        <v>3.5000000000000003E-2</v>
      </c>
    </row>
    <row r="15" spans="1:44" outlineLevel="1">
      <c r="B15" s="375" t="s">
        <v>638</v>
      </c>
      <c r="C15" s="389">
        <v>1</v>
      </c>
      <c r="D15" s="389">
        <v>1</v>
      </c>
      <c r="E15" s="389">
        <v>1</v>
      </c>
      <c r="F15" s="389">
        <v>1</v>
      </c>
      <c r="G15" s="389">
        <v>0.5</v>
      </c>
      <c r="H15" s="389">
        <v>2</v>
      </c>
      <c r="I15" s="389">
        <v>0.5</v>
      </c>
      <c r="J15" s="389">
        <v>2</v>
      </c>
      <c r="K15" s="378"/>
      <c r="L15" s="379">
        <v>1.4</v>
      </c>
      <c r="M15" s="366"/>
      <c r="N15" s="366"/>
      <c r="O15" s="71"/>
      <c r="P15" s="1192"/>
      <c r="Q15" s="1152"/>
      <c r="R15" s="394" t="s">
        <v>702</v>
      </c>
      <c r="S15" s="395" t="s">
        <v>701</v>
      </c>
      <c r="T15" s="1188"/>
      <c r="U15" s="1188"/>
      <c r="V15" s="1188"/>
      <c r="W15" s="1188"/>
      <c r="X15" s="1188"/>
      <c r="Y15" s="1188"/>
      <c r="Z15" s="1188"/>
      <c r="AA15" s="1188"/>
      <c r="AB15" s="1188"/>
      <c r="AC15" s="1190"/>
      <c r="AE15" s="1192"/>
      <c r="AF15" s="1152"/>
      <c r="AG15" s="394" t="s">
        <v>702</v>
      </c>
      <c r="AH15" s="395" t="s">
        <v>701</v>
      </c>
      <c r="AI15" s="1188"/>
      <c r="AJ15" s="1188"/>
      <c r="AK15" s="1188"/>
      <c r="AL15" s="1188"/>
      <c r="AM15" s="1188"/>
      <c r="AN15" s="1188"/>
      <c r="AO15" s="1188"/>
      <c r="AP15" s="1188"/>
      <c r="AQ15" s="1188"/>
      <c r="AR15" s="1190"/>
    </row>
    <row r="16" spans="1:44" outlineLevel="1">
      <c r="B16" s="382" t="s">
        <v>11</v>
      </c>
      <c r="C16" s="396">
        <v>20</v>
      </c>
      <c r="D16" s="396">
        <v>20</v>
      </c>
      <c r="E16" s="396">
        <v>20</v>
      </c>
      <c r="F16" s="396">
        <v>20</v>
      </c>
      <c r="G16" s="397">
        <v>15</v>
      </c>
      <c r="H16" s="397">
        <v>30</v>
      </c>
      <c r="I16" s="397">
        <v>15</v>
      </c>
      <c r="J16" s="397">
        <v>30</v>
      </c>
      <c r="K16" s="371"/>
      <c r="L16" s="372">
        <v>4</v>
      </c>
      <c r="M16" s="362"/>
      <c r="N16" s="362"/>
      <c r="P16" s="1192"/>
      <c r="Q16" s="1152"/>
      <c r="R16" s="394" t="s">
        <v>704</v>
      </c>
      <c r="S16" s="395"/>
      <c r="T16" s="1188"/>
      <c r="U16" s="1188"/>
      <c r="V16" s="1188"/>
      <c r="W16" s="1188"/>
      <c r="X16" s="1188"/>
      <c r="Y16" s="1188"/>
      <c r="Z16" s="1188"/>
      <c r="AA16" s="1188"/>
      <c r="AB16" s="1188"/>
      <c r="AC16" s="1190"/>
      <c r="AE16" s="1192"/>
      <c r="AF16" s="1152"/>
      <c r="AG16" s="394" t="s">
        <v>704</v>
      </c>
      <c r="AH16" s="628"/>
      <c r="AI16" s="1188"/>
      <c r="AJ16" s="1188"/>
      <c r="AK16" s="1188"/>
      <c r="AL16" s="1188"/>
      <c r="AM16" s="1188"/>
      <c r="AN16" s="1188"/>
      <c r="AO16" s="1188"/>
      <c r="AP16" s="1188"/>
      <c r="AQ16" s="1188"/>
      <c r="AR16" s="1190"/>
    </row>
    <row r="17" spans="1:44" ht="15" outlineLevel="1" thickBot="1">
      <c r="B17" s="375" t="s">
        <v>273</v>
      </c>
      <c r="C17" s="398">
        <v>0.5</v>
      </c>
      <c r="D17" s="398">
        <v>0.5</v>
      </c>
      <c r="E17" s="398">
        <v>0.5</v>
      </c>
      <c r="F17" s="398">
        <v>0.5</v>
      </c>
      <c r="G17" s="398">
        <v>0.3</v>
      </c>
      <c r="H17" s="398">
        <v>0.7</v>
      </c>
      <c r="I17" s="398">
        <v>0.3</v>
      </c>
      <c r="J17" s="398">
        <v>0.7</v>
      </c>
      <c r="K17" s="371"/>
      <c r="L17" s="399">
        <v>4</v>
      </c>
      <c r="M17" s="362"/>
      <c r="N17" s="362"/>
      <c r="P17" s="1192"/>
      <c r="Q17" s="1152"/>
      <c r="R17" s="394" t="s">
        <v>705</v>
      </c>
      <c r="S17" s="395" t="s">
        <v>701</v>
      </c>
      <c r="T17" s="1188"/>
      <c r="U17" s="1188"/>
      <c r="V17" s="1188"/>
      <c r="W17" s="1188"/>
      <c r="X17" s="1188"/>
      <c r="Y17" s="1188"/>
      <c r="Z17" s="1188"/>
      <c r="AA17" s="1188"/>
      <c r="AB17" s="1188"/>
      <c r="AC17" s="1190"/>
      <c r="AE17" s="1192"/>
      <c r="AF17" s="1152"/>
      <c r="AG17" s="394" t="s">
        <v>705</v>
      </c>
      <c r="AH17" s="395" t="s">
        <v>701</v>
      </c>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t="s">
        <v>701</v>
      </c>
      <c r="T18" s="1189"/>
      <c r="U18" s="1189"/>
      <c r="V18" s="1189"/>
      <c r="W18" s="1189"/>
      <c r="X18" s="1189"/>
      <c r="Y18" s="1189"/>
      <c r="Z18" s="1189"/>
      <c r="AA18" s="1189"/>
      <c r="AB18" s="1189"/>
      <c r="AC18" s="1191"/>
      <c r="AE18" s="1192"/>
      <c r="AF18" s="1153"/>
      <c r="AG18" s="408" t="s">
        <v>826</v>
      </c>
      <c r="AH18" s="409" t="s">
        <v>701</v>
      </c>
      <c r="AI18" s="1189"/>
      <c r="AJ18" s="1189"/>
      <c r="AK18" s="1189"/>
      <c r="AL18" s="1189"/>
      <c r="AM18" s="1189"/>
      <c r="AN18" s="1189"/>
      <c r="AO18" s="1189"/>
      <c r="AP18" s="1189"/>
      <c r="AQ18" s="1189"/>
      <c r="AR18" s="1191"/>
    </row>
    <row r="19" spans="1:44" ht="29.4" outlineLevel="1" thickBot="1">
      <c r="B19" s="375" t="s">
        <v>643</v>
      </c>
      <c r="C19" s="389">
        <v>10</v>
      </c>
      <c r="D19" s="389">
        <v>10</v>
      </c>
      <c r="E19" s="389">
        <v>10</v>
      </c>
      <c r="F19" s="389">
        <v>10</v>
      </c>
      <c r="G19" s="390"/>
      <c r="H19" s="390"/>
      <c r="I19" s="390"/>
      <c r="J19" s="390"/>
      <c r="K19" s="378"/>
      <c r="L19" s="379">
        <v>4</v>
      </c>
      <c r="M19" s="362"/>
      <c r="N19" s="362"/>
      <c r="P19" s="1193"/>
      <c r="Q19" s="410" t="s">
        <v>708</v>
      </c>
      <c r="R19" s="411" t="s">
        <v>709</v>
      </c>
      <c r="S19" s="629" t="s">
        <v>701</v>
      </c>
      <c r="T19" s="415">
        <v>1</v>
      </c>
      <c r="U19" s="414">
        <v>1</v>
      </c>
      <c r="V19" s="415">
        <v>1</v>
      </c>
      <c r="W19" s="414">
        <v>1</v>
      </c>
      <c r="X19" s="415">
        <v>1</v>
      </c>
      <c r="Y19" s="414">
        <v>1</v>
      </c>
      <c r="Z19" s="415">
        <v>1</v>
      </c>
      <c r="AA19" s="414">
        <v>1</v>
      </c>
      <c r="AB19" s="415">
        <v>1</v>
      </c>
      <c r="AC19" s="416">
        <v>1</v>
      </c>
      <c r="AE19" s="1193"/>
      <c r="AF19" s="410" t="s">
        <v>708</v>
      </c>
      <c r="AG19" s="1246" t="s">
        <v>709</v>
      </c>
      <c r="AH19" s="1247" t="s">
        <v>701</v>
      </c>
      <c r="AI19" s="415">
        <v>1</v>
      </c>
      <c r="AJ19" s="414">
        <v>1</v>
      </c>
      <c r="AK19" s="415">
        <v>1</v>
      </c>
      <c r="AL19" s="414">
        <v>1</v>
      </c>
      <c r="AM19" s="415">
        <v>1</v>
      </c>
      <c r="AN19" s="414">
        <v>1</v>
      </c>
      <c r="AO19" s="415">
        <v>1</v>
      </c>
      <c r="AP19" s="414">
        <v>1</v>
      </c>
      <c r="AQ19" s="415">
        <v>1</v>
      </c>
      <c r="AR19" s="416">
        <v>1</v>
      </c>
    </row>
    <row r="20" spans="1:44" outlineLevel="1">
      <c r="B20" s="375" t="s">
        <v>644</v>
      </c>
      <c r="C20" s="389">
        <v>0.25</v>
      </c>
      <c r="D20" s="389">
        <v>0.25</v>
      </c>
      <c r="E20" s="389">
        <v>0.25</v>
      </c>
      <c r="F20" s="389">
        <v>0.25</v>
      </c>
      <c r="G20" s="417"/>
      <c r="H20" s="417"/>
      <c r="I20" s="417"/>
      <c r="J20" s="417"/>
      <c r="K20" s="418"/>
      <c r="L20" s="379">
        <v>4</v>
      </c>
      <c r="M20" s="362"/>
      <c r="N20" s="362"/>
    </row>
    <row r="21" spans="1:44" outlineLevel="1">
      <c r="B21" s="375" t="s">
        <v>646</v>
      </c>
      <c r="C21" s="389">
        <v>1</v>
      </c>
      <c r="D21" s="389">
        <v>1</v>
      </c>
      <c r="E21" s="389">
        <v>1</v>
      </c>
      <c r="F21" s="389">
        <v>1</v>
      </c>
      <c r="G21" s="417"/>
      <c r="H21" s="417"/>
      <c r="I21" s="417"/>
      <c r="J21" s="417"/>
      <c r="K21" s="418"/>
      <c r="L21" s="379">
        <v>1</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t="s">
        <v>649</v>
      </c>
      <c r="D23" s="1229"/>
      <c r="E23" s="1229"/>
      <c r="F23" s="1230"/>
      <c r="G23" s="421"/>
      <c r="H23" s="424"/>
      <c r="I23" s="424"/>
      <c r="J23" s="424"/>
      <c r="K23" s="425"/>
      <c r="L23" s="426"/>
      <c r="M23" s="427"/>
      <c r="N23" s="427"/>
    </row>
    <row r="24" spans="1:44" outlineLevel="1">
      <c r="B24" s="382" t="s">
        <v>712</v>
      </c>
      <c r="C24" s="1231"/>
      <c r="D24" s="1232"/>
      <c r="E24" s="1232"/>
      <c r="F24" s="1233"/>
      <c r="G24" s="424"/>
      <c r="H24" s="424"/>
      <c r="I24" s="424"/>
      <c r="J24" s="424"/>
      <c r="K24" s="422"/>
      <c r="L24" s="426"/>
      <c r="M24" s="427"/>
      <c r="N24" s="427"/>
    </row>
    <row r="25" spans="1:44" outlineLevel="1">
      <c r="B25" s="382" t="s">
        <v>807</v>
      </c>
      <c r="C25" s="1231"/>
      <c r="D25" s="1232"/>
      <c r="E25" s="1232"/>
      <c r="F25" s="1233"/>
      <c r="G25" s="424"/>
      <c r="H25" s="424"/>
      <c r="I25" s="424"/>
      <c r="J25" s="424"/>
      <c r="K25" s="422"/>
      <c r="L25" s="426"/>
      <c r="M25" s="427"/>
      <c r="N25" s="427"/>
    </row>
    <row r="26" spans="1:44" outlineLevel="1">
      <c r="B26" s="382" t="s">
        <v>366</v>
      </c>
      <c r="C26" s="1231"/>
      <c r="D26" s="1232"/>
      <c r="E26" s="1232"/>
      <c r="F26" s="1233"/>
      <c r="G26" s="424"/>
      <c r="H26" s="424"/>
      <c r="I26" s="424"/>
      <c r="J26" s="424"/>
      <c r="K26" s="422"/>
      <c r="L26" s="426"/>
      <c r="M26" s="427"/>
      <c r="N26" s="427"/>
    </row>
    <row r="27" spans="1:44" ht="15" outlineLevel="1" thickBot="1">
      <c r="B27" s="428" t="s">
        <v>367</v>
      </c>
      <c r="C27" s="1234"/>
      <c r="D27" s="1235"/>
      <c r="E27" s="1235"/>
      <c r="F27" s="1236"/>
      <c r="G27" s="424"/>
      <c r="H27" s="424"/>
      <c r="I27" s="424"/>
      <c r="J27" s="424"/>
      <c r="K27" s="422"/>
      <c r="L27" s="426"/>
      <c r="M27" s="427"/>
      <c r="N27" s="427"/>
    </row>
    <row r="28" spans="1:44" ht="15" outlineLevel="1" thickBot="1">
      <c r="B28" s="430" t="s">
        <v>654</v>
      </c>
      <c r="C28" s="431"/>
      <c r="D28" s="402"/>
      <c r="E28" s="402"/>
      <c r="F28" s="432"/>
      <c r="G28" s="433"/>
      <c r="H28" s="405"/>
      <c r="I28" s="405"/>
      <c r="J28" s="405"/>
      <c r="K28" s="406"/>
      <c r="L28" s="407"/>
      <c r="M28" s="427"/>
      <c r="N28" s="427"/>
      <c r="AF28" s="690"/>
    </row>
    <row r="29" spans="1:44" ht="52.05" customHeight="1" outlineLevel="1">
      <c r="A29" s="434"/>
      <c r="B29" s="435" t="s">
        <v>714</v>
      </c>
      <c r="C29" s="510">
        <v>0.73</v>
      </c>
      <c r="D29" s="511">
        <v>0.65</v>
      </c>
      <c r="E29" s="511">
        <v>0.6</v>
      </c>
      <c r="F29" s="512">
        <v>0.57999999999999996</v>
      </c>
      <c r="G29" s="424"/>
      <c r="H29" s="424"/>
      <c r="I29" s="424"/>
      <c r="J29" s="424"/>
      <c r="K29" s="425"/>
      <c r="L29" s="439">
        <v>1</v>
      </c>
      <c r="M29" s="419"/>
      <c r="N29" s="419"/>
    </row>
    <row r="30" spans="1:44" outlineLevel="1">
      <c r="B30" s="440" t="s">
        <v>802</v>
      </c>
      <c r="C30" s="441">
        <v>60</v>
      </c>
      <c r="D30" s="441">
        <v>60</v>
      </c>
      <c r="E30" s="441">
        <v>60</v>
      </c>
      <c r="F30" s="441">
        <v>60</v>
      </c>
      <c r="G30" s="424"/>
      <c r="H30" s="424"/>
      <c r="I30" s="424"/>
      <c r="J30" s="424"/>
      <c r="K30" s="443" t="s">
        <v>76</v>
      </c>
      <c r="L30" s="372">
        <v>6</v>
      </c>
      <c r="M30" s="71"/>
      <c r="N30" s="419"/>
    </row>
    <row r="31" spans="1:44" outlineLevel="1">
      <c r="B31" s="440" t="s">
        <v>803</v>
      </c>
      <c r="C31" s="441">
        <v>40</v>
      </c>
      <c r="D31" s="441">
        <v>40</v>
      </c>
      <c r="E31" s="441">
        <v>40</v>
      </c>
      <c r="F31" s="441">
        <v>40</v>
      </c>
      <c r="G31" s="424"/>
      <c r="H31" s="424"/>
      <c r="I31" s="424"/>
      <c r="J31" s="424"/>
      <c r="K31" s="443" t="s">
        <v>25</v>
      </c>
      <c r="L31" s="372">
        <v>6</v>
      </c>
      <c r="M31" s="419"/>
      <c r="N31" s="419"/>
    </row>
    <row r="32" spans="1:44" outlineLevel="1">
      <c r="B32" s="382" t="s">
        <v>804</v>
      </c>
      <c r="C32" s="444">
        <v>2000</v>
      </c>
      <c r="D32" s="445">
        <v>2000</v>
      </c>
      <c r="E32" s="445">
        <v>2000</v>
      </c>
      <c r="F32" s="446">
        <v>2000</v>
      </c>
      <c r="G32" s="424"/>
      <c r="H32" s="424"/>
      <c r="I32" s="424"/>
      <c r="J32" s="424"/>
      <c r="K32" s="447"/>
      <c r="L32" s="372">
        <v>4.5</v>
      </c>
      <c r="M32" s="419"/>
      <c r="N32" s="419"/>
    </row>
    <row r="33" spans="2:30" ht="37.049999999999997" customHeight="1" outlineLevel="1" thickBot="1">
      <c r="B33" s="382" t="s">
        <v>659</v>
      </c>
      <c r="C33" s="448">
        <f>SUM(C34:C35)</f>
        <v>3.26</v>
      </c>
      <c r="D33" s="448">
        <f>SUM(D34:D35)</f>
        <v>3.2</v>
      </c>
      <c r="E33" s="448">
        <f>(D33+F33)/2</f>
        <v>3.16</v>
      </c>
      <c r="F33" s="448">
        <f>SUM(F34:F35)</f>
        <v>3.12</v>
      </c>
      <c r="G33" s="424"/>
      <c r="H33" s="424"/>
      <c r="I33" s="424"/>
      <c r="J33" s="424"/>
      <c r="K33" s="447"/>
      <c r="L33" s="372">
        <v>4</v>
      </c>
      <c r="M33" s="449"/>
      <c r="N33" s="360"/>
      <c r="P33" s="1139">
        <f>C33</f>
        <v>3.26</v>
      </c>
      <c r="Q33" s="1140"/>
      <c r="R33" s="1140"/>
      <c r="S33" s="1140"/>
      <c r="T33" s="1140"/>
      <c r="U33" s="1141"/>
    </row>
    <row r="34" spans="2:30" ht="15.75" customHeight="1" outlineLevel="1" thickBot="1">
      <c r="B34" s="450" t="s">
        <v>721</v>
      </c>
      <c r="C34" s="451">
        <f>C13/100*73</f>
        <v>1.46</v>
      </c>
      <c r="D34" s="451">
        <f>D13/100*75</f>
        <v>1.5</v>
      </c>
      <c r="E34" s="451">
        <f>E13/100*76</f>
        <v>1.52</v>
      </c>
      <c r="F34" s="451">
        <f>F13/100*76</f>
        <v>1.52</v>
      </c>
      <c r="G34" s="452"/>
      <c r="H34" s="452"/>
      <c r="I34" s="452"/>
      <c r="J34" s="452"/>
      <c r="K34" s="378" t="s">
        <v>33</v>
      </c>
      <c r="L34" s="379">
        <v>4</v>
      </c>
      <c r="M34" s="449"/>
      <c r="N34" s="360"/>
      <c r="P34" s="1131">
        <f>C34</f>
        <v>1.46</v>
      </c>
      <c r="Q34" s="1132"/>
      <c r="R34" s="1132"/>
      <c r="S34" s="1132"/>
      <c r="T34" s="1132"/>
      <c r="U34" s="1133"/>
    </row>
    <row r="35" spans="2:30" outlineLevel="1">
      <c r="B35" s="450" t="s">
        <v>722</v>
      </c>
      <c r="C35" s="453">
        <v>1.8</v>
      </c>
      <c r="D35" s="453">
        <v>1.7</v>
      </c>
      <c r="E35" s="453">
        <f>(D35+F35)/2</f>
        <v>1.65</v>
      </c>
      <c r="F35" s="453">
        <v>1.6</v>
      </c>
      <c r="G35" s="452"/>
      <c r="H35" s="452"/>
      <c r="I35" s="452"/>
      <c r="J35" s="452"/>
      <c r="K35" s="454"/>
      <c r="L35" s="379">
        <v>4</v>
      </c>
      <c r="M35" s="362"/>
      <c r="N35" s="362"/>
      <c r="P35" s="53" t="s">
        <v>357</v>
      </c>
    </row>
    <row r="36" spans="2:30" ht="27.6"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f>C29*0.2</f>
        <v>0.14599999999999999</v>
      </c>
      <c r="D39" s="632">
        <f>D29*0.2</f>
        <v>0.13</v>
      </c>
      <c r="E39" s="632">
        <f>E29*0.2</f>
        <v>0.12</v>
      </c>
      <c r="F39" s="632">
        <f>F29*0.2</f>
        <v>0.11599999999999999</v>
      </c>
      <c r="G39" s="642"/>
      <c r="H39" s="642"/>
      <c r="I39" s="642"/>
      <c r="J39" s="642"/>
      <c r="K39" s="642" t="s">
        <v>51</v>
      </c>
      <c r="L39" s="463"/>
      <c r="M39" s="362"/>
      <c r="N39" s="362"/>
      <c r="O39" s="464">
        <f>($C$12*$Y$14+O111*Y$86+O183*$Y$158)/(SUM($Y$14,$Y$86,$Y$158))</f>
        <v>447.54761904761898</v>
      </c>
      <c r="P39" s="465">
        <f>C8</f>
        <v>2020</v>
      </c>
      <c r="Q39" s="58">
        <f>P39</f>
        <v>2020</v>
      </c>
      <c r="R39" s="465">
        <f>O39/100</f>
        <v>4.4754761904761899</v>
      </c>
      <c r="S39" s="58"/>
      <c r="T39" s="465">
        <f>C16</f>
        <v>20</v>
      </c>
      <c r="U39" s="466">
        <f>C46</f>
        <v>5438.5</v>
      </c>
      <c r="V39" s="466">
        <f>C48</f>
        <v>14.9</v>
      </c>
      <c r="W39" s="689">
        <f>C49</f>
        <v>6.7463888888888883</v>
      </c>
      <c r="X39" s="58"/>
      <c r="Y39" s="58"/>
      <c r="Z39" s="465" t="str">
        <f>C23</f>
        <v>Cf. the utilized electricity</v>
      </c>
      <c r="AA39" s="467">
        <f>C25</f>
        <v>0</v>
      </c>
      <c r="AB39" s="467">
        <f>C26</f>
        <v>0</v>
      </c>
      <c r="AC39" s="467">
        <f>C27</f>
        <v>0</v>
      </c>
      <c r="AD39" s="467">
        <f>C24</f>
        <v>0</v>
      </c>
    </row>
    <row r="40" spans="2:30" ht="14.55" customHeight="1" outlineLevel="1">
      <c r="B40" s="375" t="s">
        <v>726</v>
      </c>
      <c r="C40" s="468" t="s">
        <v>36</v>
      </c>
      <c r="D40" s="469" t="s">
        <v>36</v>
      </c>
      <c r="E40" s="469" t="s">
        <v>36</v>
      </c>
      <c r="F40" s="470" t="s">
        <v>36</v>
      </c>
      <c r="G40" s="470"/>
      <c r="H40" s="470"/>
      <c r="I40" s="470"/>
      <c r="J40" s="470"/>
      <c r="K40" s="471"/>
      <c r="L40" s="463"/>
      <c r="M40" s="362"/>
      <c r="N40" s="362"/>
      <c r="O40" s="464">
        <f>($D$12*$U$14+O112*U$86+O184*$U$158)/(SUM($U$14,$U$86,$U$158))</f>
        <v>457.92982142857136</v>
      </c>
      <c r="P40" s="465">
        <f>D8</f>
        <v>2030</v>
      </c>
      <c r="Q40" s="58"/>
      <c r="R40" s="465">
        <f>O40/100</f>
        <v>4.5792982142857133</v>
      </c>
      <c r="S40" s="58"/>
      <c r="T40" s="465">
        <f>D16</f>
        <v>20</v>
      </c>
      <c r="U40" s="466">
        <f>D46</f>
        <v>4842.5</v>
      </c>
      <c r="V40" s="466">
        <f>D48</f>
        <v>14.9</v>
      </c>
      <c r="W40" s="689">
        <f>D49</f>
        <v>6.6222222222222227</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($E$12*$U$14+O113*U$86+O185*$U$158)/(SUM($U$14,$U$86,$U$158))</f>
        <v>467.18841785714284</v>
      </c>
      <c r="P41" s="465">
        <f>E8</f>
        <v>2040</v>
      </c>
      <c r="Q41" s="58"/>
      <c r="R41" s="465">
        <f>O41/100</f>
        <v>4.6718841785714282</v>
      </c>
      <c r="S41" s="58"/>
      <c r="T41" s="465">
        <f>E16</f>
        <v>20</v>
      </c>
      <c r="U41" s="466">
        <f>E46</f>
        <v>4470</v>
      </c>
      <c r="V41" s="466">
        <f>E48</f>
        <v>14.9</v>
      </c>
      <c r="W41" s="689">
        <f>E49</f>
        <v>6.5394444444444444</v>
      </c>
      <c r="X41" s="58"/>
      <c r="Y41" s="58"/>
      <c r="Z41" s="465">
        <f>E23</f>
        <v>0</v>
      </c>
      <c r="AA41" s="467">
        <f>E25</f>
        <v>0</v>
      </c>
      <c r="AB41" s="467">
        <f>E26</f>
        <v>0</v>
      </c>
      <c r="AC41" s="467">
        <f>E27</f>
        <v>0</v>
      </c>
      <c r="AD41" s="467">
        <f>E24</f>
        <v>0</v>
      </c>
    </row>
    <row r="42" spans="2:30" ht="14.55" customHeight="1" outlineLevel="1">
      <c r="B42" s="375" t="s">
        <v>728</v>
      </c>
      <c r="C42" s="1237" t="s">
        <v>649</v>
      </c>
      <c r="D42" s="1238"/>
      <c r="E42" s="1238"/>
      <c r="F42" s="1239"/>
      <c r="G42" s="473"/>
      <c r="H42" s="473"/>
      <c r="I42" s="473"/>
      <c r="J42" s="473"/>
      <c r="K42" s="473"/>
      <c r="L42" s="379"/>
      <c r="M42" s="362"/>
      <c r="N42" s="362"/>
      <c r="O42" s="464">
        <f>($F$12*$U$14+O114*U$86+O186*$U$158)/(SUM($U$14,$U$86,$U$158))</f>
        <v>471.91030203571421</v>
      </c>
      <c r="P42" s="465">
        <f>F8</f>
        <v>2050</v>
      </c>
      <c r="Q42" s="58"/>
      <c r="R42" s="465">
        <f>O42/100</f>
        <v>4.7191030203571422</v>
      </c>
      <c r="S42" s="58"/>
      <c r="T42" s="465">
        <f>F16</f>
        <v>20</v>
      </c>
      <c r="U42" s="466">
        <f>F46</f>
        <v>4321</v>
      </c>
      <c r="V42" s="466">
        <f>F48</f>
        <v>14.9</v>
      </c>
      <c r="W42" s="689">
        <f>F49</f>
        <v>6.4566666666666661</v>
      </c>
      <c r="X42" s="58"/>
      <c r="Y42" s="58"/>
      <c r="Z42" s="465">
        <f>F23</f>
        <v>0</v>
      </c>
      <c r="AA42" s="467">
        <f>F25</f>
        <v>0</v>
      </c>
      <c r="AB42" s="467">
        <f>F26</f>
        <v>0</v>
      </c>
      <c r="AC42" s="467">
        <f>F27</f>
        <v>0</v>
      </c>
      <c r="AD42" s="467">
        <f>F24</f>
        <v>0</v>
      </c>
    </row>
    <row r="43" spans="2:30" outlineLevel="1">
      <c r="B43" s="474" t="s">
        <v>729</v>
      </c>
      <c r="C43" s="468">
        <v>30</v>
      </c>
      <c r="D43" s="469">
        <v>30</v>
      </c>
      <c r="E43" s="469">
        <v>30</v>
      </c>
      <c r="F43" s="470">
        <v>30</v>
      </c>
      <c r="G43" s="473"/>
      <c r="H43" s="473"/>
      <c r="I43" s="473"/>
      <c r="J43" s="473"/>
      <c r="K43" s="473" t="s">
        <v>52</v>
      </c>
      <c r="L43" s="475"/>
      <c r="M43" s="366"/>
      <c r="N43" s="366"/>
    </row>
    <row r="44" spans="2:30" outlineLevel="1">
      <c r="B44" s="474" t="s">
        <v>730</v>
      </c>
      <c r="C44" s="468">
        <v>20</v>
      </c>
      <c r="D44" s="469">
        <v>20</v>
      </c>
      <c r="E44" s="469">
        <v>20</v>
      </c>
      <c r="F44" s="470">
        <v>20</v>
      </c>
      <c r="G44" s="473"/>
      <c r="H44" s="473"/>
      <c r="I44" s="473"/>
      <c r="J44" s="473"/>
      <c r="K44" s="473" t="s">
        <v>52</v>
      </c>
      <c r="L44" s="475"/>
      <c r="M44" s="362"/>
      <c r="N44" s="362"/>
    </row>
    <row r="45" spans="2:30" ht="15" outlineLevel="1" thickBot="1">
      <c r="B45" s="476" t="s">
        <v>731</v>
      </c>
      <c r="C45" s="477" t="s">
        <v>36</v>
      </c>
      <c r="D45" s="478" t="s">
        <v>36</v>
      </c>
      <c r="E45" s="478" t="s">
        <v>36</v>
      </c>
      <c r="F45" s="479" t="s">
        <v>36</v>
      </c>
      <c r="G45" s="480"/>
      <c r="H45" s="480"/>
      <c r="I45" s="480"/>
      <c r="J45" s="480"/>
      <c r="K45" s="480"/>
      <c r="L45" s="481"/>
      <c r="M45" s="362"/>
      <c r="N45" s="362"/>
    </row>
    <row r="46" spans="2:30" ht="57.6" outlineLevel="1">
      <c r="B46" s="460" t="s">
        <v>732</v>
      </c>
      <c r="C46" s="482">
        <f>C29*$F$4*1000</f>
        <v>5438.5</v>
      </c>
      <c r="D46" s="482">
        <f t="shared" ref="D46:F46" si="1">D29*$F$4*1000</f>
        <v>4842.5</v>
      </c>
      <c r="E46" s="482">
        <f t="shared" si="1"/>
        <v>4470</v>
      </c>
      <c r="F46" s="482">
        <f t="shared" si="1"/>
        <v>4321</v>
      </c>
      <c r="G46" s="482"/>
      <c r="H46" s="483"/>
      <c r="I46" s="419" t="s">
        <v>332</v>
      </c>
      <c r="J46" s="419"/>
      <c r="K46" s="483"/>
      <c r="L46" s="483"/>
      <c r="N46" s="419"/>
    </row>
    <row r="47" spans="2:30" outlineLevel="1">
      <c r="B47" s="484" t="s">
        <v>733</v>
      </c>
      <c r="C47" s="485">
        <f>C46*$I47</f>
        <v>2719250</v>
      </c>
      <c r="D47" s="485">
        <f>D46*$I47</f>
        <v>2421250</v>
      </c>
      <c r="E47" s="485">
        <f>E46*$I47</f>
        <v>2235000</v>
      </c>
      <c r="F47" s="485">
        <f>F46*$I47</f>
        <v>2160500</v>
      </c>
      <c r="G47" s="485"/>
      <c r="H47" s="483"/>
      <c r="I47" s="71">
        <v>500</v>
      </c>
      <c r="J47" s="419" t="s">
        <v>330</v>
      </c>
      <c r="K47" s="483"/>
      <c r="L47" s="483"/>
      <c r="N47" s="419"/>
    </row>
    <row r="48" spans="2:30" ht="43.2" outlineLevel="1">
      <c r="B48" s="460" t="s">
        <v>808</v>
      </c>
      <c r="C48" s="358">
        <f>C32*$F$4/1000</f>
        <v>14.9</v>
      </c>
      <c r="D48" s="358">
        <f t="shared" ref="D48:F48" si="2">D32*$F$4/1000</f>
        <v>14.9</v>
      </c>
      <c r="E48" s="358">
        <f t="shared" si="2"/>
        <v>14.9</v>
      </c>
      <c r="F48" s="358">
        <f t="shared" si="2"/>
        <v>14.9</v>
      </c>
      <c r="G48" s="358"/>
      <c r="I48" s="419" t="s">
        <v>333</v>
      </c>
      <c r="J48" s="419"/>
      <c r="N48" s="419"/>
    </row>
    <row r="49" spans="2:14" ht="43.2" outlineLevel="1">
      <c r="B49" s="460" t="s">
        <v>809</v>
      </c>
      <c r="C49" s="486">
        <f>C33*$F$4/3.6</f>
        <v>6.7463888888888883</v>
      </c>
      <c r="D49" s="486">
        <f t="shared" ref="D49:F49" si="3">D33*$F$4/3.6</f>
        <v>6.6222222222222227</v>
      </c>
      <c r="E49" s="486">
        <f t="shared" si="3"/>
        <v>6.5394444444444444</v>
      </c>
      <c r="F49" s="486">
        <f t="shared" si="3"/>
        <v>6.4566666666666661</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33" t="s">
        <v>736</v>
      </c>
      <c r="C55" s="489"/>
      <c r="D55" s="489"/>
      <c r="E55" s="357"/>
      <c r="F55" s="357"/>
      <c r="G55" s="357"/>
      <c r="H55" s="357"/>
      <c r="I55" s="357"/>
      <c r="J55" s="357"/>
      <c r="K55" s="357"/>
      <c r="L55" s="357"/>
    </row>
    <row r="56" spans="2:14" outlineLevel="1">
      <c r="B56" s="357">
        <v>1</v>
      </c>
      <c r="C56" s="634" t="s">
        <v>810</v>
      </c>
      <c r="D56" s="489"/>
      <c r="F56" s="357"/>
      <c r="G56" s="357"/>
      <c r="H56" s="357"/>
      <c r="I56" s="357"/>
      <c r="J56" s="357"/>
      <c r="K56" s="357"/>
      <c r="L56" s="357"/>
    </row>
    <row r="57" spans="2:14" outlineLevel="1">
      <c r="B57" s="357">
        <v>2</v>
      </c>
      <c r="C57" s="634" t="s">
        <v>811</v>
      </c>
      <c r="D57" s="489"/>
      <c r="F57" s="357"/>
      <c r="G57" s="357"/>
      <c r="H57" s="357"/>
      <c r="I57" s="357"/>
      <c r="J57" s="357"/>
      <c r="K57" s="357"/>
      <c r="L57" s="357"/>
    </row>
    <row r="58" spans="2:14" outlineLevel="1">
      <c r="B58" s="357">
        <v>3</v>
      </c>
      <c r="C58" s="489" t="s">
        <v>812</v>
      </c>
      <c r="D58" s="489"/>
      <c r="F58" s="357"/>
      <c r="G58" s="357"/>
      <c r="H58" s="357"/>
      <c r="I58" s="357"/>
      <c r="J58" s="357"/>
      <c r="K58" s="357"/>
      <c r="L58" s="357"/>
    </row>
    <row r="59" spans="2:14" outlineLevel="1">
      <c r="B59" s="357">
        <v>4</v>
      </c>
      <c r="C59" s="489" t="s">
        <v>813</v>
      </c>
      <c r="D59" s="489"/>
      <c r="F59" s="357"/>
      <c r="G59" s="357"/>
      <c r="H59" s="357"/>
      <c r="I59" s="357"/>
      <c r="J59" s="357"/>
      <c r="K59" s="357"/>
      <c r="L59" s="357"/>
    </row>
    <row r="60" spans="2:14" outlineLevel="1">
      <c r="B60" s="357">
        <v>5</v>
      </c>
      <c r="C60" s="635" t="s">
        <v>814</v>
      </c>
      <c r="D60" s="489"/>
      <c r="F60" s="357"/>
      <c r="G60" s="357"/>
      <c r="H60" s="357"/>
      <c r="I60" s="357"/>
      <c r="J60" s="357"/>
      <c r="K60" s="357"/>
      <c r="L60" s="357"/>
    </row>
    <row r="61" spans="2:14" outlineLevel="1">
      <c r="B61" s="357">
        <v>6</v>
      </c>
      <c r="C61" s="489" t="s">
        <v>815</v>
      </c>
      <c r="D61" s="489"/>
      <c r="F61" s="357"/>
      <c r="G61" s="357"/>
      <c r="H61" s="357"/>
      <c r="I61" s="357"/>
      <c r="J61" s="357"/>
      <c r="K61" s="357"/>
      <c r="L61" s="357"/>
    </row>
    <row r="62" spans="2:14" outlineLevel="1">
      <c r="B62" s="633" t="s">
        <v>746</v>
      </c>
      <c r="C62" s="357"/>
      <c r="D62" s="489"/>
      <c r="F62" s="357"/>
      <c r="G62" s="357"/>
      <c r="H62" s="357"/>
      <c r="I62" s="357"/>
      <c r="J62" s="357"/>
      <c r="K62" s="357"/>
      <c r="L62" s="357"/>
    </row>
    <row r="63" spans="2:14" outlineLevel="1">
      <c r="B63" s="636" t="s">
        <v>6</v>
      </c>
      <c r="C63" s="489" t="s">
        <v>816</v>
      </c>
      <c r="D63" s="489"/>
      <c r="F63" s="357"/>
      <c r="G63" s="357"/>
      <c r="H63" s="357"/>
      <c r="I63" s="357"/>
      <c r="J63" s="357"/>
      <c r="K63" s="357"/>
      <c r="L63" s="357"/>
    </row>
    <row r="64" spans="2:14" outlineLevel="1">
      <c r="B64" s="636" t="s">
        <v>59</v>
      </c>
      <c r="C64" s="489" t="s">
        <v>817</v>
      </c>
      <c r="D64" s="489"/>
      <c r="F64" s="357"/>
      <c r="G64" s="357"/>
      <c r="H64" s="357"/>
      <c r="I64" s="357"/>
      <c r="J64" s="357"/>
      <c r="K64" s="357"/>
      <c r="L64" s="357"/>
    </row>
    <row r="65" spans="1:44" outlineLevel="1">
      <c r="B65" s="636" t="s">
        <v>16</v>
      </c>
      <c r="C65" s="489" t="s">
        <v>818</v>
      </c>
      <c r="D65" s="489"/>
      <c r="F65" s="357"/>
      <c r="G65" s="357"/>
      <c r="H65" s="357"/>
      <c r="I65" s="357"/>
      <c r="J65" s="357"/>
      <c r="K65" s="357"/>
      <c r="L65" s="357"/>
    </row>
    <row r="66" spans="1:44" outlineLevel="1">
      <c r="B66" s="636" t="s">
        <v>20</v>
      </c>
      <c r="C66" s="489" t="s">
        <v>819</v>
      </c>
      <c r="D66" s="489"/>
      <c r="F66" s="357"/>
      <c r="G66" s="357"/>
      <c r="H66" s="357"/>
      <c r="I66" s="357"/>
      <c r="J66" s="357"/>
      <c r="K66" s="357"/>
      <c r="L66" s="357"/>
    </row>
    <row r="67" spans="1:44" outlineLevel="1">
      <c r="B67" s="636" t="s">
        <v>76</v>
      </c>
      <c r="C67" s="489" t="s">
        <v>820</v>
      </c>
      <c r="D67" s="489"/>
      <c r="F67" s="357"/>
      <c r="G67" s="357"/>
      <c r="H67" s="357"/>
      <c r="I67" s="357"/>
      <c r="J67" s="357"/>
      <c r="K67" s="357"/>
      <c r="L67" s="357"/>
    </row>
    <row r="68" spans="1:44" outlineLevel="1">
      <c r="B68" s="636" t="s">
        <v>25</v>
      </c>
      <c r="C68" s="489" t="s">
        <v>821</v>
      </c>
      <c r="D68" s="357"/>
      <c r="F68" s="357"/>
      <c r="G68" s="357"/>
      <c r="H68" s="357"/>
      <c r="I68" s="357"/>
      <c r="J68" s="357"/>
      <c r="K68" s="357"/>
      <c r="L68" s="357"/>
    </row>
    <row r="69" spans="1:44" outlineLevel="1">
      <c r="B69" s="636" t="s">
        <v>33</v>
      </c>
      <c r="C69" s="488" t="s">
        <v>751</v>
      </c>
      <c r="D69" s="357"/>
      <c r="F69" s="357"/>
      <c r="G69" s="357"/>
      <c r="H69" s="357"/>
      <c r="I69" s="357"/>
      <c r="J69" s="357"/>
      <c r="K69" s="357"/>
      <c r="L69" s="357"/>
    </row>
    <row r="70" spans="1:44" outlineLevel="1">
      <c r="B70" s="636" t="s">
        <v>51</v>
      </c>
      <c r="C70" s="489" t="s">
        <v>822</v>
      </c>
      <c r="D70" s="357"/>
      <c r="G70" s="357"/>
      <c r="H70" s="357"/>
      <c r="I70" s="357"/>
      <c r="J70" s="357"/>
      <c r="K70" s="357"/>
      <c r="L70" s="357"/>
    </row>
    <row r="71" spans="1:44" outlineLevel="1">
      <c r="B71" s="636" t="s">
        <v>52</v>
      </c>
      <c r="C71" s="489" t="s">
        <v>823</v>
      </c>
      <c r="E71" s="489"/>
      <c r="F71" s="489"/>
    </row>
    <row r="72" spans="1:44" outlineLevel="1"/>
    <row r="73" spans="1:44" outlineLevel="1"/>
    <row r="74" spans="1:44" outlineLevel="1"/>
    <row r="77" spans="1:44">
      <c r="A77" s="359" t="s">
        <v>827</v>
      </c>
      <c r="B77" s="1204"/>
      <c r="C77" s="1140"/>
      <c r="D77" s="1140"/>
      <c r="E77" s="1140"/>
      <c r="F77" s="1140"/>
      <c r="G77" s="1140"/>
      <c r="H77" s="1140"/>
      <c r="I77" s="1140"/>
      <c r="J77" s="1140"/>
      <c r="K77" s="1140"/>
      <c r="L77" s="1140"/>
      <c r="M77" s="1140"/>
      <c r="N77" s="688"/>
      <c r="P77" s="1140"/>
      <c r="Q77" s="1140"/>
      <c r="R77" s="1140"/>
      <c r="S77" s="1140"/>
      <c r="T77" s="1140"/>
      <c r="U77" s="1140"/>
    </row>
    <row r="78" spans="1:44" ht="15" outlineLevel="1" thickBot="1">
      <c r="B78" s="1204"/>
      <c r="C78" s="1140"/>
      <c r="D78" s="1140"/>
      <c r="E78" s="1140"/>
      <c r="F78" s="1140"/>
      <c r="G78" s="1140"/>
      <c r="H78" s="1140"/>
      <c r="I78" s="1140"/>
      <c r="J78" s="1140"/>
      <c r="K78" s="1140"/>
      <c r="L78" s="1140"/>
      <c r="M78" s="1140"/>
      <c r="N78" s="688"/>
      <c r="P78" s="1140"/>
      <c r="Q78" s="1140"/>
      <c r="R78" s="1140"/>
      <c r="S78" s="1140"/>
      <c r="T78" s="1140"/>
      <c r="U78" s="1140"/>
    </row>
    <row r="79" spans="1:44" ht="20.55" customHeight="1" outlineLevel="1" thickBot="1">
      <c r="B79" s="361" t="s">
        <v>0</v>
      </c>
      <c r="C79" s="1220" t="s">
        <v>825</v>
      </c>
      <c r="D79" s="1221"/>
      <c r="E79" s="1221"/>
      <c r="F79" s="1221"/>
      <c r="G79" s="1221"/>
      <c r="H79" s="1221"/>
      <c r="I79" s="1221"/>
      <c r="J79" s="1221"/>
      <c r="K79" s="1221"/>
      <c r="L79" s="1222"/>
      <c r="M79" s="362"/>
      <c r="N79" s="362"/>
      <c r="P79" s="363" t="s">
        <v>676</v>
      </c>
      <c r="Q79" s="364"/>
      <c r="R79" s="365"/>
      <c r="S79" s="1173" t="s">
        <v>677</v>
      </c>
      <c r="T79" s="1157" t="s">
        <v>678</v>
      </c>
      <c r="U79" s="1158"/>
      <c r="V79" s="1157" t="s">
        <v>679</v>
      </c>
      <c r="W79" s="1158"/>
      <c r="X79" s="1157" t="s">
        <v>680</v>
      </c>
      <c r="Y79" s="1158"/>
      <c r="Z79" s="1157" t="s">
        <v>681</v>
      </c>
      <c r="AA79" s="1158"/>
      <c r="AB79" s="1157" t="s">
        <v>682</v>
      </c>
      <c r="AC79" s="1158"/>
      <c r="AE79" s="363" t="s">
        <v>683</v>
      </c>
      <c r="AF79" s="364"/>
      <c r="AG79" s="365"/>
      <c r="AH79" s="1173" t="s">
        <v>677</v>
      </c>
      <c r="AI79" s="1157" t="s">
        <v>678</v>
      </c>
      <c r="AJ79" s="1158"/>
      <c r="AK79" s="1157" t="s">
        <v>679</v>
      </c>
      <c r="AL79" s="1158"/>
      <c r="AM79" s="1157" t="s">
        <v>680</v>
      </c>
      <c r="AN79" s="1158"/>
      <c r="AO79" s="1157" t="s">
        <v>681</v>
      </c>
      <c r="AP79" s="1158"/>
      <c r="AQ79" s="1157" t="s">
        <v>682</v>
      </c>
      <c r="AR79" s="1158"/>
    </row>
    <row r="80" spans="1:44" ht="15" customHeight="1" outlineLevel="1" thickBot="1">
      <c r="B80" s="1161" t="s">
        <v>4</v>
      </c>
      <c r="C80" s="1163">
        <v>2020</v>
      </c>
      <c r="D80" s="1163">
        <v>2030</v>
      </c>
      <c r="E80" s="1163">
        <v>2040</v>
      </c>
      <c r="F80" s="1163">
        <v>2050</v>
      </c>
      <c r="G80" s="1227" t="s">
        <v>684</v>
      </c>
      <c r="H80" s="1215"/>
      <c r="I80" s="1214" t="s">
        <v>628</v>
      </c>
      <c r="J80" s="1223"/>
      <c r="K80" s="1216" t="s">
        <v>2</v>
      </c>
      <c r="L80" s="1216" t="s">
        <v>3</v>
      </c>
      <c r="M80" s="366"/>
      <c r="N80" s="366"/>
      <c r="P80" s="1177" t="s">
        <v>0</v>
      </c>
      <c r="Q80" s="367"/>
      <c r="R80" s="367"/>
      <c r="S80" s="1174"/>
      <c r="T80" s="1159"/>
      <c r="U80" s="1160"/>
      <c r="V80" s="1159"/>
      <c r="W80" s="1160"/>
      <c r="X80" s="1159"/>
      <c r="Y80" s="1160"/>
      <c r="Z80" s="1159"/>
      <c r="AA80" s="1160"/>
      <c r="AB80" s="1159"/>
      <c r="AC80" s="1160"/>
      <c r="AE80" s="1177" t="s">
        <v>0</v>
      </c>
      <c r="AF80" s="367"/>
      <c r="AG80" s="367"/>
      <c r="AH80" s="1174"/>
      <c r="AI80" s="1159"/>
      <c r="AJ80" s="1160"/>
      <c r="AK80" s="1159"/>
      <c r="AL80" s="1160"/>
      <c r="AM80" s="1159"/>
      <c r="AN80" s="1160"/>
      <c r="AO80" s="1159"/>
      <c r="AP80" s="1160"/>
      <c r="AQ80" s="1159"/>
      <c r="AR80" s="1160"/>
    </row>
    <row r="81" spans="2:44" ht="15" customHeight="1" outlineLevel="1" thickBot="1">
      <c r="B81" s="1225"/>
      <c r="C81" s="1226"/>
      <c r="D81" s="1226"/>
      <c r="E81" s="1226"/>
      <c r="F81" s="1226"/>
      <c r="G81" s="368" t="s">
        <v>629</v>
      </c>
      <c r="H81" s="368" t="s">
        <v>630</v>
      </c>
      <c r="I81" s="368" t="s">
        <v>629</v>
      </c>
      <c r="J81" s="368" t="s">
        <v>630</v>
      </c>
      <c r="K81" s="1224"/>
      <c r="L81" s="1224"/>
      <c r="M81" s="369"/>
      <c r="N81" s="369"/>
      <c r="P81" s="1178"/>
      <c r="Q81" s="1180" t="s">
        <v>685</v>
      </c>
      <c r="R81" s="1181" t="s">
        <v>686</v>
      </c>
      <c r="S81" s="1175"/>
      <c r="T81" s="1159"/>
      <c r="U81" s="1160"/>
      <c r="V81" s="1159"/>
      <c r="W81" s="1160"/>
      <c r="X81" s="1159"/>
      <c r="Y81" s="1160"/>
      <c r="Z81" s="1159"/>
      <c r="AA81" s="1160"/>
      <c r="AB81" s="1159"/>
      <c r="AC81" s="1160"/>
      <c r="AE81" s="1178"/>
      <c r="AF81" s="1194" t="s">
        <v>685</v>
      </c>
      <c r="AG81" s="1181" t="s">
        <v>686</v>
      </c>
      <c r="AH81" s="1175"/>
      <c r="AI81" s="1159"/>
      <c r="AJ81" s="1160"/>
      <c r="AK81" s="1159"/>
      <c r="AL81" s="1160"/>
      <c r="AM81" s="1159"/>
      <c r="AN81" s="1160"/>
      <c r="AO81" s="1159"/>
      <c r="AP81" s="1160"/>
      <c r="AQ81" s="1159"/>
      <c r="AR81" s="1160"/>
    </row>
    <row r="82" spans="2:44" ht="29.4" outlineLevel="1" thickBot="1">
      <c r="B82" s="370" t="s">
        <v>631</v>
      </c>
      <c r="C82" s="371">
        <v>3</v>
      </c>
      <c r="D82" s="371">
        <v>3</v>
      </c>
      <c r="E82" s="371">
        <v>3</v>
      </c>
      <c r="F82" s="371">
        <v>3</v>
      </c>
      <c r="G82" s="371">
        <v>0.5</v>
      </c>
      <c r="H82" s="371">
        <v>5</v>
      </c>
      <c r="I82" s="371">
        <v>0.5</v>
      </c>
      <c r="J82" s="371">
        <v>5</v>
      </c>
      <c r="K82" s="371" t="s">
        <v>6</v>
      </c>
      <c r="L82" s="372" t="s">
        <v>800</v>
      </c>
      <c r="M82" s="369"/>
      <c r="N82" s="369"/>
      <c r="O82" s="74"/>
      <c r="P82" s="1179"/>
      <c r="Q82" s="1176"/>
      <c r="R82" s="1182"/>
      <c r="S82" s="1176"/>
      <c r="T82" s="373" t="s">
        <v>689</v>
      </c>
      <c r="U82" s="374" t="s">
        <v>690</v>
      </c>
      <c r="V82" s="373" t="s">
        <v>689</v>
      </c>
      <c r="W82" s="374" t="s">
        <v>690</v>
      </c>
      <c r="X82" s="373" t="s">
        <v>689</v>
      </c>
      <c r="Y82" s="374" t="s">
        <v>690</v>
      </c>
      <c r="Z82" s="373" t="s">
        <v>689</v>
      </c>
      <c r="AA82" s="374" t="s">
        <v>690</v>
      </c>
      <c r="AB82" s="373" t="s">
        <v>689</v>
      </c>
      <c r="AC82" s="374" t="s">
        <v>690</v>
      </c>
      <c r="AE82" s="1179"/>
      <c r="AF82" s="1195"/>
      <c r="AG82" s="1182"/>
      <c r="AH82" s="1176"/>
      <c r="AI82" s="373" t="s">
        <v>689</v>
      </c>
      <c r="AJ82" s="374" t="s">
        <v>690</v>
      </c>
      <c r="AK82" s="373" t="s">
        <v>689</v>
      </c>
      <c r="AL82" s="374" t="s">
        <v>690</v>
      </c>
      <c r="AM82" s="373" t="s">
        <v>689</v>
      </c>
      <c r="AN82" s="374" t="s">
        <v>690</v>
      </c>
      <c r="AO82" s="373" t="s">
        <v>689</v>
      </c>
      <c r="AP82" s="374" t="s">
        <v>690</v>
      </c>
      <c r="AQ82" s="373" t="s">
        <v>689</v>
      </c>
      <c r="AR82" s="374" t="s">
        <v>690</v>
      </c>
    </row>
    <row r="83" spans="2:44" ht="15" customHeight="1" outlineLevel="1">
      <c r="B83" s="375" t="s">
        <v>691</v>
      </c>
      <c r="C83" s="638">
        <v>447</v>
      </c>
      <c r="D83" s="638">
        <v>460.41</v>
      </c>
      <c r="E83" s="639">
        <v>469.61820000000006</v>
      </c>
      <c r="F83" s="638">
        <v>474.31438200000008</v>
      </c>
      <c r="G83" s="376">
        <f>C83</f>
        <v>447</v>
      </c>
      <c r="H83" s="638">
        <f>C83*1.05</f>
        <v>469.35</v>
      </c>
      <c r="I83" s="638">
        <f>F83*0.97</f>
        <v>460.08495054000008</v>
      </c>
      <c r="J83" s="638">
        <f>F83*1.02</f>
        <v>483.80066964000008</v>
      </c>
      <c r="K83" s="378" t="s">
        <v>59</v>
      </c>
      <c r="L83" s="379" t="s">
        <v>800</v>
      </c>
      <c r="M83" s="369"/>
      <c r="N83" s="369"/>
      <c r="P83" s="1196" t="str">
        <f>C79</f>
        <v>Heat pump, up to 70 °C, Temp lift = 50 K</v>
      </c>
      <c r="Q83" s="1151" t="s">
        <v>693</v>
      </c>
      <c r="R83" s="380" t="s">
        <v>694</v>
      </c>
      <c r="S83" s="381"/>
      <c r="T83" s="1134">
        <v>0</v>
      </c>
      <c r="U83" s="1148">
        <v>0</v>
      </c>
      <c r="V83" s="1154">
        <v>0</v>
      </c>
      <c r="W83" s="1148">
        <v>0</v>
      </c>
      <c r="X83" s="1154">
        <v>0</v>
      </c>
      <c r="Y83" s="1148">
        <v>0</v>
      </c>
      <c r="Z83" s="1154">
        <v>0</v>
      </c>
      <c r="AA83" s="1148">
        <v>0</v>
      </c>
      <c r="AB83" s="1154">
        <v>0</v>
      </c>
      <c r="AC83" s="1148">
        <v>0</v>
      </c>
      <c r="AE83" s="1145" t="str">
        <f>P83</f>
        <v>Heat pump, up to 70 °C, Temp lift = 50 K</v>
      </c>
      <c r="AF83" s="1151" t="s">
        <v>693</v>
      </c>
      <c r="AG83" s="380" t="s">
        <v>694</v>
      </c>
      <c r="AH83" s="381"/>
      <c r="AI83" s="1134">
        <v>0</v>
      </c>
      <c r="AJ83" s="1148">
        <v>0</v>
      </c>
      <c r="AK83" s="1154">
        <v>0</v>
      </c>
      <c r="AL83" s="1148">
        <v>0</v>
      </c>
      <c r="AM83" s="1154">
        <v>0</v>
      </c>
      <c r="AN83" s="1148">
        <v>0</v>
      </c>
      <c r="AO83" s="1154">
        <v>0</v>
      </c>
      <c r="AP83" s="1148">
        <v>0</v>
      </c>
      <c r="AQ83" s="1154">
        <v>0</v>
      </c>
      <c r="AR83" s="1148">
        <v>0</v>
      </c>
    </row>
    <row r="84" spans="2:44" outlineLevel="1">
      <c r="B84" s="382" t="s">
        <v>695</v>
      </c>
      <c r="C84" s="576">
        <f>C83-5</f>
        <v>442</v>
      </c>
      <c r="D84" s="576">
        <f t="shared" ref="D84:J84" si="4">D83-5</f>
        <v>455.41</v>
      </c>
      <c r="E84" s="576">
        <f t="shared" si="4"/>
        <v>464.61820000000006</v>
      </c>
      <c r="F84" s="576">
        <f t="shared" si="4"/>
        <v>469.31438200000008</v>
      </c>
      <c r="G84" s="640">
        <f t="shared" si="4"/>
        <v>442</v>
      </c>
      <c r="H84" s="640">
        <f t="shared" si="4"/>
        <v>464.35</v>
      </c>
      <c r="I84" s="640">
        <f t="shared" si="4"/>
        <v>455.08495054000008</v>
      </c>
      <c r="J84" s="640">
        <f t="shared" si="4"/>
        <v>478.80066964000008</v>
      </c>
      <c r="K84" s="385" t="s">
        <v>801</v>
      </c>
      <c r="L84" s="386"/>
      <c r="M84" s="369"/>
      <c r="N84" s="369"/>
      <c r="O84" s="71"/>
      <c r="P84" s="1192"/>
      <c r="Q84" s="1152"/>
      <c r="R84" s="387" t="s">
        <v>696</v>
      </c>
      <c r="S84" s="388"/>
      <c r="T84" s="1137"/>
      <c r="U84" s="1149"/>
      <c r="V84" s="1155"/>
      <c r="W84" s="1149"/>
      <c r="X84" s="1155"/>
      <c r="Y84" s="1149"/>
      <c r="Z84" s="1155"/>
      <c r="AA84" s="1149"/>
      <c r="AB84" s="1155"/>
      <c r="AC84" s="1149"/>
      <c r="AE84" s="1192"/>
      <c r="AF84" s="1152"/>
      <c r="AG84" s="387" t="s">
        <v>696</v>
      </c>
      <c r="AH84" s="388"/>
      <c r="AI84" s="1137"/>
      <c r="AJ84" s="1149"/>
      <c r="AK84" s="1155"/>
      <c r="AL84" s="1149"/>
      <c r="AM84" s="1155"/>
      <c r="AN84" s="1149"/>
      <c r="AO84" s="1155"/>
      <c r="AP84" s="1149"/>
      <c r="AQ84" s="1155"/>
      <c r="AR84" s="1149"/>
    </row>
    <row r="85" spans="2:44" ht="15" outlineLevel="1" thickBot="1">
      <c r="B85" s="375" t="s">
        <v>697</v>
      </c>
      <c r="C85" s="389">
        <v>2</v>
      </c>
      <c r="D85" s="390">
        <v>2</v>
      </c>
      <c r="E85" s="390">
        <v>2</v>
      </c>
      <c r="F85" s="391">
        <v>2</v>
      </c>
      <c r="G85" s="390">
        <v>1</v>
      </c>
      <c r="H85" s="390">
        <v>4</v>
      </c>
      <c r="I85" s="390">
        <v>1</v>
      </c>
      <c r="J85" s="390">
        <v>4</v>
      </c>
      <c r="K85" s="378"/>
      <c r="L85" s="379">
        <v>1.4</v>
      </c>
      <c r="M85" s="369"/>
      <c r="N85" s="369"/>
      <c r="O85" s="71"/>
      <c r="P85" s="1192"/>
      <c r="Q85" s="1153"/>
      <c r="R85" s="392" t="s">
        <v>698</v>
      </c>
      <c r="S85" s="393"/>
      <c r="T85" s="1138"/>
      <c r="U85" s="1150"/>
      <c r="V85" s="1156"/>
      <c r="W85" s="1150"/>
      <c r="X85" s="1156"/>
      <c r="Y85" s="1150"/>
      <c r="Z85" s="1156"/>
      <c r="AA85" s="1150"/>
      <c r="AB85" s="1156"/>
      <c r="AC85" s="1150"/>
      <c r="AE85" s="1192"/>
      <c r="AF85" s="1153"/>
      <c r="AG85" s="392" t="s">
        <v>698</v>
      </c>
      <c r="AH85" s="393"/>
      <c r="AI85" s="1138"/>
      <c r="AJ85" s="1150"/>
      <c r="AK85" s="1156"/>
      <c r="AL85" s="1150"/>
      <c r="AM85" s="1156"/>
      <c r="AN85" s="1150"/>
      <c r="AO85" s="1156"/>
      <c r="AP85" s="1150"/>
      <c r="AQ85" s="1156"/>
      <c r="AR85" s="1150"/>
    </row>
    <row r="86" spans="2:44" ht="15" customHeight="1" outlineLevel="1">
      <c r="B86" s="375" t="s">
        <v>637</v>
      </c>
      <c r="C86" s="389">
        <v>0</v>
      </c>
      <c r="D86" s="389">
        <v>0</v>
      </c>
      <c r="E86" s="389">
        <v>0</v>
      </c>
      <c r="F86" s="389">
        <v>0</v>
      </c>
      <c r="G86" s="389">
        <v>0</v>
      </c>
      <c r="H86" s="389">
        <v>1</v>
      </c>
      <c r="I86" s="389">
        <v>0</v>
      </c>
      <c r="J86" s="389">
        <v>1</v>
      </c>
      <c r="K86" s="378" t="s">
        <v>20</v>
      </c>
      <c r="L86" s="379"/>
      <c r="M86" s="369"/>
      <c r="N86" s="369"/>
      <c r="O86" s="71"/>
      <c r="P86" s="1192"/>
      <c r="Q86" s="1151" t="s">
        <v>699</v>
      </c>
      <c r="R86" s="394" t="s">
        <v>700</v>
      </c>
      <c r="S86" s="395" t="s">
        <v>701</v>
      </c>
      <c r="T86" s="1134">
        <v>0</v>
      </c>
      <c r="U86" s="1134">
        <f>19%</f>
        <v>0.19</v>
      </c>
      <c r="V86" s="1134">
        <v>0</v>
      </c>
      <c r="W86" s="1134">
        <f>19%</f>
        <v>0.19</v>
      </c>
      <c r="X86" s="1134">
        <v>0</v>
      </c>
      <c r="Y86" s="1134">
        <f>14%</f>
        <v>0.14000000000000001</v>
      </c>
      <c r="Z86" s="1134">
        <v>0</v>
      </c>
      <c r="AA86" s="1134">
        <f>11%</f>
        <v>0.11</v>
      </c>
      <c r="AB86" s="1134">
        <v>0</v>
      </c>
      <c r="AC86" s="1148">
        <f>12%</f>
        <v>0.12</v>
      </c>
      <c r="AE86" s="1192"/>
      <c r="AF86" s="1151" t="s">
        <v>699</v>
      </c>
      <c r="AG86" s="394" t="s">
        <v>700</v>
      </c>
      <c r="AH86" s="395" t="s">
        <v>701</v>
      </c>
      <c r="AI86" s="1134">
        <v>0</v>
      </c>
      <c r="AJ86" s="1134">
        <f>U86/4</f>
        <v>4.7500000000000001E-2</v>
      </c>
      <c r="AK86" s="1134">
        <v>0</v>
      </c>
      <c r="AL86" s="1134">
        <f>W86/4</f>
        <v>4.7500000000000001E-2</v>
      </c>
      <c r="AM86" s="1134">
        <v>0</v>
      </c>
      <c r="AN86" s="1134">
        <f>Y86/4</f>
        <v>3.5000000000000003E-2</v>
      </c>
      <c r="AO86" s="1134">
        <v>0</v>
      </c>
      <c r="AP86" s="1134">
        <f>AA86/4</f>
        <v>2.75E-2</v>
      </c>
      <c r="AQ86" s="1134">
        <v>0</v>
      </c>
      <c r="AR86" s="1148">
        <f>AC86/4</f>
        <v>0.03</v>
      </c>
    </row>
    <row r="87" spans="2:44" outlineLevel="1">
      <c r="B87" s="375" t="s">
        <v>638</v>
      </c>
      <c r="C87" s="389">
        <v>1</v>
      </c>
      <c r="D87" s="389">
        <v>1</v>
      </c>
      <c r="E87" s="389">
        <v>1</v>
      </c>
      <c r="F87" s="389">
        <v>1</v>
      </c>
      <c r="G87" s="389">
        <v>0.5</v>
      </c>
      <c r="H87" s="389">
        <v>2</v>
      </c>
      <c r="I87" s="389">
        <v>0.5</v>
      </c>
      <c r="J87" s="389">
        <v>2</v>
      </c>
      <c r="K87" s="378"/>
      <c r="L87" s="379">
        <v>1.4</v>
      </c>
      <c r="M87" s="366"/>
      <c r="N87" s="366"/>
      <c r="O87" s="71"/>
      <c r="P87" s="1192"/>
      <c r="Q87" s="1152"/>
      <c r="R87" s="394" t="s">
        <v>702</v>
      </c>
      <c r="S87" s="395" t="s">
        <v>701</v>
      </c>
      <c r="T87" s="1188"/>
      <c r="U87" s="1188"/>
      <c r="V87" s="1188"/>
      <c r="W87" s="1188"/>
      <c r="X87" s="1188"/>
      <c r="Y87" s="1188"/>
      <c r="Z87" s="1188"/>
      <c r="AA87" s="1188"/>
      <c r="AB87" s="1188"/>
      <c r="AC87" s="1190"/>
      <c r="AE87" s="1192"/>
      <c r="AF87" s="1152"/>
      <c r="AG87" s="394" t="s">
        <v>702</v>
      </c>
      <c r="AH87" s="395" t="s">
        <v>701</v>
      </c>
      <c r="AI87" s="1188"/>
      <c r="AJ87" s="1188"/>
      <c r="AK87" s="1188"/>
      <c r="AL87" s="1188"/>
      <c r="AM87" s="1188"/>
      <c r="AN87" s="1188"/>
      <c r="AO87" s="1188"/>
      <c r="AP87" s="1188"/>
      <c r="AQ87" s="1188"/>
      <c r="AR87" s="1190"/>
    </row>
    <row r="88" spans="2:44" outlineLevel="1">
      <c r="B88" s="382" t="s">
        <v>11</v>
      </c>
      <c r="C88" s="396">
        <v>20</v>
      </c>
      <c r="D88" s="396">
        <v>20</v>
      </c>
      <c r="E88" s="396">
        <v>20</v>
      </c>
      <c r="F88" s="396">
        <v>20</v>
      </c>
      <c r="G88" s="397">
        <v>15</v>
      </c>
      <c r="H88" s="397">
        <v>30</v>
      </c>
      <c r="I88" s="397">
        <v>15</v>
      </c>
      <c r="J88" s="397">
        <v>30</v>
      </c>
      <c r="K88" s="371"/>
      <c r="L88" s="372">
        <v>4</v>
      </c>
      <c r="M88" s="362"/>
      <c r="N88" s="362"/>
      <c r="P88" s="1192"/>
      <c r="Q88" s="1152"/>
      <c r="R88" s="394" t="s">
        <v>704</v>
      </c>
      <c r="S88" s="395"/>
      <c r="T88" s="1188"/>
      <c r="U88" s="1188"/>
      <c r="V88" s="1188"/>
      <c r="W88" s="1188"/>
      <c r="X88" s="1188"/>
      <c r="Y88" s="1188"/>
      <c r="Z88" s="1188"/>
      <c r="AA88" s="1188"/>
      <c r="AB88" s="1188"/>
      <c r="AC88" s="1190"/>
      <c r="AE88" s="1192"/>
      <c r="AF88" s="1152"/>
      <c r="AG88" s="394" t="s">
        <v>704</v>
      </c>
      <c r="AH88" s="628"/>
      <c r="AI88" s="1188"/>
      <c r="AJ88" s="1188"/>
      <c r="AK88" s="1188"/>
      <c r="AL88" s="1188"/>
      <c r="AM88" s="1188"/>
      <c r="AN88" s="1188"/>
      <c r="AO88" s="1188"/>
      <c r="AP88" s="1188"/>
      <c r="AQ88" s="1188"/>
      <c r="AR88" s="1190"/>
    </row>
    <row r="89" spans="2:44" ht="15" outlineLevel="1" thickBot="1">
      <c r="B89" s="375" t="s">
        <v>273</v>
      </c>
      <c r="C89" s="398">
        <v>0.5</v>
      </c>
      <c r="D89" s="398">
        <v>0.5</v>
      </c>
      <c r="E89" s="398">
        <v>0.5</v>
      </c>
      <c r="F89" s="398">
        <v>0.5</v>
      </c>
      <c r="G89" s="398">
        <v>0.3</v>
      </c>
      <c r="H89" s="398">
        <v>0.7</v>
      </c>
      <c r="I89" s="398">
        <v>0.3</v>
      </c>
      <c r="J89" s="398">
        <v>0.7</v>
      </c>
      <c r="K89" s="371"/>
      <c r="L89" s="399">
        <v>4</v>
      </c>
      <c r="M89" s="362"/>
      <c r="N89" s="362"/>
      <c r="P89" s="1192"/>
      <c r="Q89" s="1152"/>
      <c r="R89" s="394" t="s">
        <v>705</v>
      </c>
      <c r="S89" s="395" t="s">
        <v>701</v>
      </c>
      <c r="T89" s="1188"/>
      <c r="U89" s="1188"/>
      <c r="V89" s="1188"/>
      <c r="W89" s="1188"/>
      <c r="X89" s="1188"/>
      <c r="Y89" s="1188"/>
      <c r="Z89" s="1188"/>
      <c r="AA89" s="1188"/>
      <c r="AB89" s="1188"/>
      <c r="AC89" s="1190"/>
      <c r="AE89" s="1192"/>
      <c r="AF89" s="1152"/>
      <c r="AG89" s="394" t="s">
        <v>705</v>
      </c>
      <c r="AH89" s="395" t="s">
        <v>701</v>
      </c>
      <c r="AI89" s="1188"/>
      <c r="AJ89" s="1188"/>
      <c r="AK89" s="1188"/>
      <c r="AL89" s="1188"/>
      <c r="AM89" s="1188"/>
      <c r="AN89" s="1188"/>
      <c r="AO89" s="1188"/>
      <c r="AP89" s="1188"/>
      <c r="AQ89" s="1188"/>
      <c r="AR89" s="1190"/>
    </row>
    <row r="90" spans="2:44" ht="15" outlineLevel="1" thickBot="1">
      <c r="B90" s="400" t="s">
        <v>706</v>
      </c>
      <c r="C90" s="401"/>
      <c r="D90" s="402"/>
      <c r="E90" s="403"/>
      <c r="F90" s="404"/>
      <c r="G90" s="405"/>
      <c r="H90" s="405"/>
      <c r="I90" s="405"/>
      <c r="J90" s="405"/>
      <c r="K90" s="406"/>
      <c r="L90" s="407"/>
      <c r="M90" s="362"/>
      <c r="N90" s="362"/>
      <c r="P90" s="1192"/>
      <c r="Q90" s="1153"/>
      <c r="R90" s="408" t="s">
        <v>826</v>
      </c>
      <c r="S90" s="409" t="s">
        <v>701</v>
      </c>
      <c r="T90" s="1189"/>
      <c r="U90" s="1189"/>
      <c r="V90" s="1189"/>
      <c r="W90" s="1189"/>
      <c r="X90" s="1189"/>
      <c r="Y90" s="1189"/>
      <c r="Z90" s="1189"/>
      <c r="AA90" s="1189"/>
      <c r="AB90" s="1189"/>
      <c r="AC90" s="1191"/>
      <c r="AE90" s="1192"/>
      <c r="AF90" s="1153"/>
      <c r="AG90" s="408" t="s">
        <v>826</v>
      </c>
      <c r="AH90" s="409" t="s">
        <v>701</v>
      </c>
      <c r="AI90" s="1189"/>
      <c r="AJ90" s="1189"/>
      <c r="AK90" s="1189"/>
      <c r="AL90" s="1189"/>
      <c r="AM90" s="1189"/>
      <c r="AN90" s="1189"/>
      <c r="AO90" s="1189"/>
      <c r="AP90" s="1189"/>
      <c r="AQ90" s="1189"/>
      <c r="AR90" s="1191"/>
    </row>
    <row r="91" spans="2:44" ht="29.4" outlineLevel="1" thickBot="1">
      <c r="B91" s="375" t="s">
        <v>643</v>
      </c>
      <c r="C91" s="389">
        <v>10</v>
      </c>
      <c r="D91" s="389">
        <v>10</v>
      </c>
      <c r="E91" s="389">
        <v>10</v>
      </c>
      <c r="F91" s="389">
        <v>10</v>
      </c>
      <c r="G91" s="390"/>
      <c r="H91" s="390"/>
      <c r="I91" s="390"/>
      <c r="J91" s="390"/>
      <c r="K91" s="378"/>
      <c r="L91" s="379">
        <v>4</v>
      </c>
      <c r="M91" s="362"/>
      <c r="N91" s="362"/>
      <c r="P91" s="1193"/>
      <c r="Q91" s="410" t="s">
        <v>708</v>
      </c>
      <c r="R91" s="411" t="s">
        <v>709</v>
      </c>
      <c r="S91" s="629" t="s">
        <v>701</v>
      </c>
      <c r="T91" s="415">
        <v>0</v>
      </c>
      <c r="U91" s="414">
        <f>T91</f>
        <v>0</v>
      </c>
      <c r="V91" s="415">
        <v>0</v>
      </c>
      <c r="W91" s="414">
        <f>V91</f>
        <v>0</v>
      </c>
      <c r="X91" s="415">
        <v>0</v>
      </c>
      <c r="Y91" s="414">
        <f>X91</f>
        <v>0</v>
      </c>
      <c r="Z91" s="415">
        <v>0</v>
      </c>
      <c r="AA91" s="414">
        <f>Z91</f>
        <v>0</v>
      </c>
      <c r="AB91" s="415">
        <v>0</v>
      </c>
      <c r="AC91" s="416">
        <f>AB91</f>
        <v>0</v>
      </c>
      <c r="AE91" s="1193"/>
      <c r="AF91" s="410" t="s">
        <v>708</v>
      </c>
      <c r="AG91" s="1246" t="s">
        <v>709</v>
      </c>
      <c r="AH91" s="1247" t="s">
        <v>701</v>
      </c>
      <c r="AI91" s="415">
        <v>0</v>
      </c>
      <c r="AJ91" s="414">
        <f>AI91</f>
        <v>0</v>
      </c>
      <c r="AK91" s="415">
        <v>0</v>
      </c>
      <c r="AL91" s="414">
        <f>AK91</f>
        <v>0</v>
      </c>
      <c r="AM91" s="415">
        <v>0</v>
      </c>
      <c r="AN91" s="414">
        <f>AM91</f>
        <v>0</v>
      </c>
      <c r="AO91" s="415">
        <v>0</v>
      </c>
      <c r="AP91" s="414">
        <f>AO91</f>
        <v>0</v>
      </c>
      <c r="AQ91" s="415">
        <v>0</v>
      </c>
      <c r="AR91" s="416">
        <f>AQ91</f>
        <v>0</v>
      </c>
    </row>
    <row r="92" spans="2:44" outlineLevel="1">
      <c r="B92" s="375" t="s">
        <v>644</v>
      </c>
      <c r="C92" s="389">
        <v>0.25</v>
      </c>
      <c r="D92" s="389">
        <v>0.25</v>
      </c>
      <c r="E92" s="389">
        <v>0.25</v>
      </c>
      <c r="F92" s="389">
        <v>0.25</v>
      </c>
      <c r="G92" s="417"/>
      <c r="H92" s="417"/>
      <c r="I92" s="417"/>
      <c r="J92" s="417"/>
      <c r="K92" s="418"/>
      <c r="L92" s="379">
        <v>4</v>
      </c>
      <c r="M92" s="362"/>
      <c r="N92" s="362"/>
    </row>
    <row r="93" spans="2:44" outlineLevel="1">
      <c r="B93" s="375" t="s">
        <v>646</v>
      </c>
      <c r="C93" s="389">
        <v>1</v>
      </c>
      <c r="D93" s="389">
        <v>1</v>
      </c>
      <c r="E93" s="389">
        <v>1</v>
      </c>
      <c r="F93" s="389">
        <v>1</v>
      </c>
      <c r="G93" s="417"/>
      <c r="H93" s="417"/>
      <c r="I93" s="417"/>
      <c r="J93" s="417"/>
      <c r="K93" s="418"/>
      <c r="L93" s="379">
        <v>1</v>
      </c>
      <c r="M93" s="419"/>
      <c r="N93" s="362"/>
    </row>
    <row r="94" spans="2:44" outlineLevel="1">
      <c r="B94" s="420" t="s">
        <v>12</v>
      </c>
      <c r="C94" s="398"/>
      <c r="D94" s="398"/>
      <c r="E94" s="398"/>
      <c r="F94" s="398"/>
      <c r="G94" s="421"/>
      <c r="H94" s="421"/>
      <c r="I94" s="421"/>
      <c r="J94" s="421"/>
      <c r="K94" s="422"/>
      <c r="L94" s="423"/>
      <c r="M94" s="419"/>
      <c r="N94" s="419"/>
    </row>
    <row r="95" spans="2:44" outlineLevel="1">
      <c r="B95" s="382" t="s">
        <v>806</v>
      </c>
      <c r="C95" s="1228" t="s">
        <v>649</v>
      </c>
      <c r="D95" s="1229"/>
      <c r="E95" s="1229"/>
      <c r="F95" s="1230"/>
      <c r="G95" s="421"/>
      <c r="H95" s="424"/>
      <c r="I95" s="424"/>
      <c r="J95" s="424"/>
      <c r="K95" s="425"/>
      <c r="L95" s="426"/>
      <c r="M95" s="427"/>
      <c r="N95" s="427"/>
    </row>
    <row r="96" spans="2:44" outlineLevel="1">
      <c r="B96" s="382" t="s">
        <v>712</v>
      </c>
      <c r="C96" s="1231"/>
      <c r="D96" s="1232"/>
      <c r="E96" s="1232"/>
      <c r="F96" s="1233"/>
      <c r="G96" s="424"/>
      <c r="H96" s="424"/>
      <c r="I96" s="424"/>
      <c r="J96" s="424"/>
      <c r="K96" s="422"/>
      <c r="L96" s="426"/>
      <c r="M96" s="427"/>
      <c r="N96" s="427"/>
    </row>
    <row r="97" spans="1:30" outlineLevel="1">
      <c r="B97" s="382" t="s">
        <v>807</v>
      </c>
      <c r="C97" s="1231"/>
      <c r="D97" s="1232"/>
      <c r="E97" s="1232"/>
      <c r="F97" s="1233"/>
      <c r="G97" s="424"/>
      <c r="H97" s="424"/>
      <c r="I97" s="424"/>
      <c r="J97" s="424"/>
      <c r="K97" s="422"/>
      <c r="L97" s="426"/>
      <c r="M97" s="427"/>
      <c r="N97" s="427"/>
    </row>
    <row r="98" spans="1:30" outlineLevel="1">
      <c r="B98" s="382" t="s">
        <v>366</v>
      </c>
      <c r="C98" s="1231"/>
      <c r="D98" s="1232"/>
      <c r="E98" s="1232"/>
      <c r="F98" s="1233"/>
      <c r="G98" s="424"/>
      <c r="H98" s="424"/>
      <c r="I98" s="424"/>
      <c r="J98" s="424"/>
      <c r="K98" s="422"/>
      <c r="L98" s="426"/>
      <c r="M98" s="427"/>
      <c r="N98" s="427"/>
    </row>
    <row r="99" spans="1:30" ht="15" outlineLevel="1" thickBot="1">
      <c r="B99" s="428" t="s">
        <v>367</v>
      </c>
      <c r="C99" s="1234"/>
      <c r="D99" s="1235"/>
      <c r="E99" s="1235"/>
      <c r="F99" s="1236"/>
      <c r="G99" s="424"/>
      <c r="H99" s="424"/>
      <c r="I99" s="424"/>
      <c r="J99" s="424"/>
      <c r="K99" s="422"/>
      <c r="L99" s="426"/>
      <c r="M99" s="427"/>
      <c r="N99" s="427"/>
    </row>
    <row r="100" spans="1:30" ht="15" outlineLevel="1" thickBot="1">
      <c r="B100" s="430" t="s">
        <v>654</v>
      </c>
      <c r="C100" s="431"/>
      <c r="D100" s="402"/>
      <c r="E100" s="402"/>
      <c r="F100" s="432"/>
      <c r="G100" s="433"/>
      <c r="H100" s="405"/>
      <c r="I100" s="405"/>
      <c r="J100" s="405"/>
      <c r="K100" s="406"/>
      <c r="L100" s="407"/>
      <c r="M100" s="427"/>
      <c r="N100" s="427"/>
    </row>
    <row r="101" spans="1:30" ht="26.4" outlineLevel="1">
      <c r="A101" s="434"/>
      <c r="B101" s="435" t="s">
        <v>714</v>
      </c>
      <c r="C101" s="510">
        <v>0.73</v>
      </c>
      <c r="D101" s="511">
        <v>0.65</v>
      </c>
      <c r="E101" s="511">
        <v>0.6</v>
      </c>
      <c r="F101" s="512">
        <v>0.57999999999999996</v>
      </c>
      <c r="G101" s="424"/>
      <c r="H101" s="424"/>
      <c r="I101" s="424"/>
      <c r="J101" s="424"/>
      <c r="K101" s="425"/>
      <c r="L101" s="439">
        <v>1</v>
      </c>
      <c r="M101" s="419"/>
      <c r="N101" s="419"/>
    </row>
    <row r="102" spans="1:30" outlineLevel="1">
      <c r="B102" s="440" t="s">
        <v>802</v>
      </c>
      <c r="C102" s="441">
        <v>60</v>
      </c>
      <c r="D102" s="441">
        <v>60</v>
      </c>
      <c r="E102" s="441">
        <v>60</v>
      </c>
      <c r="F102" s="441">
        <v>60</v>
      </c>
      <c r="G102" s="424"/>
      <c r="H102" s="424"/>
      <c r="I102" s="424"/>
      <c r="J102" s="424"/>
      <c r="K102" s="443" t="s">
        <v>76</v>
      </c>
      <c r="L102" s="372">
        <v>6</v>
      </c>
      <c r="M102" s="71"/>
      <c r="N102" s="419"/>
    </row>
    <row r="103" spans="1:30" outlineLevel="1">
      <c r="B103" s="440" t="s">
        <v>803</v>
      </c>
      <c r="C103" s="441">
        <v>40</v>
      </c>
      <c r="D103" s="441">
        <v>40</v>
      </c>
      <c r="E103" s="441">
        <v>40</v>
      </c>
      <c r="F103" s="441">
        <v>40</v>
      </c>
      <c r="G103" s="424"/>
      <c r="H103" s="424"/>
      <c r="I103" s="424"/>
      <c r="J103" s="424"/>
      <c r="K103" s="443" t="s">
        <v>25</v>
      </c>
      <c r="L103" s="372">
        <v>6</v>
      </c>
      <c r="M103" s="419"/>
      <c r="N103" s="419"/>
    </row>
    <row r="104" spans="1:30" outlineLevel="1">
      <c r="B104" s="382" t="s">
        <v>804</v>
      </c>
      <c r="C104" s="444">
        <v>2000</v>
      </c>
      <c r="D104" s="445">
        <v>2000</v>
      </c>
      <c r="E104" s="445">
        <v>2000</v>
      </c>
      <c r="F104" s="446">
        <v>2000</v>
      </c>
      <c r="G104" s="424"/>
      <c r="H104" s="424"/>
      <c r="I104" s="424"/>
      <c r="J104" s="424"/>
      <c r="K104" s="447"/>
      <c r="L104" s="372">
        <v>4.5</v>
      </c>
      <c r="M104" s="419"/>
      <c r="N104" s="419"/>
    </row>
    <row r="105" spans="1:30" ht="15" outlineLevel="1" thickBot="1">
      <c r="B105" s="382" t="s">
        <v>659</v>
      </c>
      <c r="C105" s="448">
        <f>SUM(C106:C107)</f>
        <v>3.26</v>
      </c>
      <c r="D105" s="448">
        <f>SUM(D106:D107)</f>
        <v>3.2</v>
      </c>
      <c r="E105" s="448">
        <f>(D105+F105)/2</f>
        <v>3.16</v>
      </c>
      <c r="F105" s="448">
        <f>SUM(F106:F107)</f>
        <v>3.12</v>
      </c>
      <c r="G105" s="424"/>
      <c r="H105" s="424"/>
      <c r="I105" s="424"/>
      <c r="J105" s="424"/>
      <c r="K105" s="447"/>
      <c r="L105" s="372">
        <v>4</v>
      </c>
      <c r="M105" s="687"/>
      <c r="N105" s="688"/>
      <c r="P105" s="1139">
        <f>C105</f>
        <v>3.26</v>
      </c>
      <c r="Q105" s="1140"/>
      <c r="R105" s="1140"/>
      <c r="S105" s="1140"/>
      <c r="T105" s="1140"/>
      <c r="U105" s="1141"/>
    </row>
    <row r="106" spans="1:30" ht="15" outlineLevel="1" thickBot="1">
      <c r="B106" s="450" t="s">
        <v>721</v>
      </c>
      <c r="C106" s="451">
        <f>C85/100*73</f>
        <v>1.46</v>
      </c>
      <c r="D106" s="451">
        <f>D85/100*75</f>
        <v>1.5</v>
      </c>
      <c r="E106" s="451">
        <f>E85/100*76</f>
        <v>1.52</v>
      </c>
      <c r="F106" s="451">
        <f>F85/100*76</f>
        <v>1.52</v>
      </c>
      <c r="G106" s="452"/>
      <c r="H106" s="452"/>
      <c r="I106" s="452"/>
      <c r="J106" s="452"/>
      <c r="K106" s="378" t="s">
        <v>33</v>
      </c>
      <c r="L106" s="379">
        <v>4</v>
      </c>
      <c r="M106" s="687"/>
      <c r="N106" s="688"/>
      <c r="P106" s="1131">
        <f>C106</f>
        <v>1.46</v>
      </c>
      <c r="Q106" s="1132"/>
      <c r="R106" s="1132"/>
      <c r="S106" s="1132"/>
      <c r="T106" s="1132"/>
      <c r="U106" s="1133"/>
    </row>
    <row r="107" spans="1:30" outlineLevel="1">
      <c r="B107" s="450" t="s">
        <v>722</v>
      </c>
      <c r="C107" s="453">
        <v>1.8</v>
      </c>
      <c r="D107" s="453">
        <v>1.7</v>
      </c>
      <c r="E107" s="453">
        <f>(D107+F107)/2</f>
        <v>1.65</v>
      </c>
      <c r="F107" s="453">
        <v>1.6</v>
      </c>
      <c r="G107" s="452"/>
      <c r="H107" s="452"/>
      <c r="I107" s="452"/>
      <c r="J107" s="452"/>
      <c r="K107" s="454"/>
      <c r="L107" s="379">
        <v>4</v>
      </c>
      <c r="M107" s="362"/>
      <c r="N107" s="362"/>
      <c r="P107" s="53" t="s">
        <v>357</v>
      </c>
    </row>
    <row r="108" spans="1:30" ht="27.6" outlineLevel="1">
      <c r="B108" s="440"/>
      <c r="C108" s="641"/>
      <c r="D108" s="641"/>
      <c r="E108" s="641"/>
      <c r="F108" s="641"/>
      <c r="G108" s="424"/>
      <c r="H108" s="424"/>
      <c r="I108" s="424"/>
      <c r="J108" s="424"/>
      <c r="K108" s="443"/>
      <c r="L108" s="423"/>
      <c r="M108" s="366"/>
      <c r="N108" s="366"/>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4.6" outlineLevel="1" thickBot="1">
      <c r="B109" s="440"/>
      <c r="C109" s="441"/>
      <c r="D109" s="456"/>
      <c r="E109" s="456"/>
      <c r="F109" s="457"/>
      <c r="G109" s="424"/>
      <c r="H109" s="424"/>
      <c r="I109" s="424"/>
      <c r="J109" s="424"/>
      <c r="K109" s="447"/>
      <c r="L109" s="423"/>
      <c r="M109" s="362"/>
      <c r="N109" s="362"/>
      <c r="P109" s="50"/>
      <c r="Q109" s="50"/>
      <c r="R109" s="51"/>
      <c r="S109" s="51"/>
      <c r="T109" s="51"/>
      <c r="U109" s="51" t="s">
        <v>723</v>
      </c>
      <c r="V109" s="50" t="s">
        <v>724</v>
      </c>
      <c r="W109" s="50"/>
      <c r="X109" s="50"/>
      <c r="Y109" s="50"/>
      <c r="Z109" s="50"/>
      <c r="AA109" s="50"/>
      <c r="AB109" s="50"/>
      <c r="AC109" s="50"/>
      <c r="AD109" s="50"/>
    </row>
    <row r="110" spans="1:30" ht="43.8" outlineLevel="1" thickBot="1">
      <c r="B110" s="400" t="s">
        <v>662</v>
      </c>
      <c r="C110" s="401"/>
      <c r="D110" s="402"/>
      <c r="E110" s="403"/>
      <c r="F110" s="404"/>
      <c r="G110" s="405"/>
      <c r="H110" s="405"/>
      <c r="I110" s="405"/>
      <c r="J110" s="405"/>
      <c r="K110" s="458"/>
      <c r="L110" s="459"/>
      <c r="M110" s="362"/>
      <c r="N110" s="362"/>
      <c r="O110" s="460" t="s">
        <v>695</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450" t="s">
        <v>725</v>
      </c>
      <c r="C111" s="632">
        <f>C101*0.2</f>
        <v>0.14599999999999999</v>
      </c>
      <c r="D111" s="632">
        <f>D101*0.2</f>
        <v>0.13</v>
      </c>
      <c r="E111" s="632">
        <f>E101*0.2</f>
        <v>0.12</v>
      </c>
      <c r="F111" s="632">
        <f>F101*0.2</f>
        <v>0.11599999999999999</v>
      </c>
      <c r="G111" s="642"/>
      <c r="H111" s="642"/>
      <c r="I111" s="642"/>
      <c r="J111" s="642"/>
      <c r="K111" s="642" t="s">
        <v>51</v>
      </c>
      <c r="L111" s="463"/>
      <c r="M111" s="362"/>
      <c r="N111" s="362"/>
      <c r="O111" s="464">
        <f>C84</f>
        <v>442</v>
      </c>
      <c r="P111" s="465">
        <f>C80</f>
        <v>2020</v>
      </c>
      <c r="Q111" s="58">
        <f>P111</f>
        <v>2020</v>
      </c>
      <c r="R111" s="465">
        <f>O111/100</f>
        <v>4.42</v>
      </c>
      <c r="S111" s="58"/>
      <c r="T111" s="465">
        <f>C88</f>
        <v>20</v>
      </c>
      <c r="U111" s="466">
        <f>C118</f>
        <v>5438.5</v>
      </c>
      <c r="V111" s="466">
        <f>C120</f>
        <v>14.9</v>
      </c>
      <c r="W111" s="466">
        <f>C121</f>
        <v>6.7463888888888883</v>
      </c>
      <c r="X111" s="58"/>
      <c r="Y111" s="58"/>
      <c r="Z111" s="465" t="str">
        <f>C95</f>
        <v>Cf. the utilized electricity</v>
      </c>
      <c r="AA111" s="467">
        <f>C97</f>
        <v>0</v>
      </c>
      <c r="AB111" s="467">
        <f>C98</f>
        <v>0</v>
      </c>
      <c r="AC111" s="467">
        <f>C99</f>
        <v>0</v>
      </c>
      <c r="AD111" s="467">
        <f>C96</f>
        <v>0</v>
      </c>
    </row>
    <row r="112" spans="1:30" outlineLevel="1">
      <c r="B112" s="375" t="s">
        <v>726</v>
      </c>
      <c r="C112" s="468" t="s">
        <v>36</v>
      </c>
      <c r="D112" s="469" t="s">
        <v>36</v>
      </c>
      <c r="E112" s="469" t="s">
        <v>36</v>
      </c>
      <c r="F112" s="470" t="s">
        <v>36</v>
      </c>
      <c r="G112" s="470"/>
      <c r="H112" s="470"/>
      <c r="I112" s="470"/>
      <c r="J112" s="470"/>
      <c r="K112" s="471"/>
      <c r="L112" s="463"/>
      <c r="M112" s="362"/>
      <c r="N112" s="362"/>
      <c r="O112" s="464">
        <f>D84</f>
        <v>455.41</v>
      </c>
      <c r="P112" s="465">
        <f>D80</f>
        <v>2030</v>
      </c>
      <c r="Q112" s="58"/>
      <c r="R112" s="465">
        <f>O112/100</f>
        <v>4.5541</v>
      </c>
      <c r="S112" s="58"/>
      <c r="T112" s="465">
        <f>D88</f>
        <v>20</v>
      </c>
      <c r="U112" s="466">
        <f>D118</f>
        <v>4842.5</v>
      </c>
      <c r="V112" s="466">
        <f>D120</f>
        <v>14.9</v>
      </c>
      <c r="W112" s="466">
        <f>D121</f>
        <v>6.6222222222222227</v>
      </c>
      <c r="X112" s="58"/>
      <c r="Y112" s="58"/>
      <c r="Z112" s="465">
        <f>D95</f>
        <v>0</v>
      </c>
      <c r="AA112" s="467">
        <f>D97</f>
        <v>0</v>
      </c>
      <c r="AB112" s="467">
        <f>D98</f>
        <v>0</v>
      </c>
      <c r="AC112" s="467">
        <f>D99</f>
        <v>0</v>
      </c>
      <c r="AD112" s="467">
        <f>D96</f>
        <v>0</v>
      </c>
    </row>
    <row r="113" spans="2:30" outlineLevel="1">
      <c r="B113" s="375" t="s">
        <v>727</v>
      </c>
      <c r="C113" s="468" t="s">
        <v>36</v>
      </c>
      <c r="D113" s="469" t="s">
        <v>36</v>
      </c>
      <c r="E113" s="469" t="s">
        <v>36</v>
      </c>
      <c r="F113" s="470" t="s">
        <v>36</v>
      </c>
      <c r="G113" s="452"/>
      <c r="H113" s="452"/>
      <c r="I113" s="452"/>
      <c r="J113" s="452"/>
      <c r="K113" s="452"/>
      <c r="L113" s="379"/>
      <c r="M113" s="362"/>
      <c r="N113" s="362"/>
      <c r="O113" s="464">
        <f>E84</f>
        <v>464.61820000000006</v>
      </c>
      <c r="P113" s="465">
        <f>E80</f>
        <v>2040</v>
      </c>
      <c r="Q113" s="58"/>
      <c r="R113" s="465">
        <f>O113/100</f>
        <v>4.6461820000000005</v>
      </c>
      <c r="S113" s="58"/>
      <c r="T113" s="465">
        <f>E88</f>
        <v>20</v>
      </c>
      <c r="U113" s="466">
        <f>E118</f>
        <v>4470</v>
      </c>
      <c r="V113" s="466">
        <f>E120</f>
        <v>14.9</v>
      </c>
      <c r="W113" s="466">
        <f>E121</f>
        <v>6.5394444444444444</v>
      </c>
      <c r="X113" s="58"/>
      <c r="Y113" s="58"/>
      <c r="Z113" s="465">
        <f>E95</f>
        <v>0</v>
      </c>
      <c r="AA113" s="467">
        <f>E97</f>
        <v>0</v>
      </c>
      <c r="AB113" s="467">
        <f>E98</f>
        <v>0</v>
      </c>
      <c r="AC113" s="467">
        <f>E99</f>
        <v>0</v>
      </c>
      <c r="AD113" s="467">
        <f>E96</f>
        <v>0</v>
      </c>
    </row>
    <row r="114" spans="2:30" outlineLevel="1">
      <c r="B114" s="375" t="s">
        <v>728</v>
      </c>
      <c r="C114" s="1237" t="s">
        <v>649</v>
      </c>
      <c r="D114" s="1238"/>
      <c r="E114" s="1238"/>
      <c r="F114" s="1239"/>
      <c r="G114" s="473"/>
      <c r="H114" s="473"/>
      <c r="I114" s="473"/>
      <c r="J114" s="473"/>
      <c r="K114" s="473"/>
      <c r="L114" s="379"/>
      <c r="M114" s="362"/>
      <c r="N114" s="362"/>
      <c r="O114" s="464">
        <f>F84</f>
        <v>469.31438200000008</v>
      </c>
      <c r="P114" s="465">
        <f>F80</f>
        <v>2050</v>
      </c>
      <c r="Q114" s="58"/>
      <c r="R114" s="465">
        <f>O114/100</f>
        <v>4.6931438200000004</v>
      </c>
      <c r="S114" s="58"/>
      <c r="T114" s="465">
        <f>F88</f>
        <v>20</v>
      </c>
      <c r="U114" s="466">
        <f>F118</f>
        <v>4321</v>
      </c>
      <c r="V114" s="466">
        <f>F120</f>
        <v>14.9</v>
      </c>
      <c r="W114" s="466">
        <f>F121</f>
        <v>6.4566666666666661</v>
      </c>
      <c r="X114" s="58"/>
      <c r="Y114" s="58"/>
      <c r="Z114" s="465">
        <f>F95</f>
        <v>0</v>
      </c>
      <c r="AA114" s="467">
        <f>F97</f>
        <v>0</v>
      </c>
      <c r="AB114" s="467">
        <f>F98</f>
        <v>0</v>
      </c>
      <c r="AC114" s="467">
        <f>F99</f>
        <v>0</v>
      </c>
      <c r="AD114" s="467">
        <f>F96</f>
        <v>0</v>
      </c>
    </row>
    <row r="115" spans="2:30" outlineLevel="1">
      <c r="B115" s="474" t="s">
        <v>729</v>
      </c>
      <c r="C115" s="468">
        <v>30</v>
      </c>
      <c r="D115" s="469">
        <v>30</v>
      </c>
      <c r="E115" s="469">
        <v>30</v>
      </c>
      <c r="F115" s="470">
        <v>30</v>
      </c>
      <c r="G115" s="473"/>
      <c r="H115" s="473"/>
      <c r="I115" s="473"/>
      <c r="J115" s="473"/>
      <c r="K115" s="473" t="s">
        <v>52</v>
      </c>
      <c r="L115" s="475"/>
      <c r="M115" s="366"/>
      <c r="N115" s="366"/>
    </row>
    <row r="116" spans="2:30" outlineLevel="1">
      <c r="B116" s="474" t="s">
        <v>730</v>
      </c>
      <c r="C116" s="468">
        <v>20</v>
      </c>
      <c r="D116" s="469">
        <v>20</v>
      </c>
      <c r="E116" s="469">
        <v>20</v>
      </c>
      <c r="F116" s="470">
        <v>20</v>
      </c>
      <c r="G116" s="473"/>
      <c r="H116" s="473"/>
      <c r="I116" s="473"/>
      <c r="J116" s="473"/>
      <c r="K116" s="473" t="s">
        <v>52</v>
      </c>
      <c r="L116" s="475"/>
      <c r="M116" s="362"/>
      <c r="N116" s="362"/>
    </row>
    <row r="117" spans="2:30" ht="15" outlineLevel="1" thickBot="1">
      <c r="B117" s="476" t="s">
        <v>731</v>
      </c>
      <c r="C117" s="477" t="s">
        <v>36</v>
      </c>
      <c r="D117" s="478" t="s">
        <v>36</v>
      </c>
      <c r="E117" s="478" t="s">
        <v>36</v>
      </c>
      <c r="F117" s="479" t="s">
        <v>36</v>
      </c>
      <c r="G117" s="480"/>
      <c r="H117" s="480"/>
      <c r="I117" s="480"/>
      <c r="J117" s="480"/>
      <c r="K117" s="480"/>
      <c r="L117" s="481"/>
      <c r="M117" s="362"/>
      <c r="N117" s="362"/>
    </row>
    <row r="118" spans="2:30" ht="57.6" outlineLevel="1">
      <c r="B118" s="460" t="s">
        <v>732</v>
      </c>
      <c r="C118" s="482">
        <f>C101*$F$4*1000</f>
        <v>5438.5</v>
      </c>
      <c r="D118" s="482">
        <f t="shared" ref="D118:F118" si="5">D101*$F$4*1000</f>
        <v>4842.5</v>
      </c>
      <c r="E118" s="482">
        <f t="shared" si="5"/>
        <v>4470</v>
      </c>
      <c r="F118" s="482">
        <f t="shared" si="5"/>
        <v>4321</v>
      </c>
      <c r="G118" s="482"/>
      <c r="H118" s="483"/>
      <c r="I118" s="419" t="s">
        <v>332</v>
      </c>
      <c r="J118" s="419"/>
      <c r="K118" s="483"/>
      <c r="L118" s="483"/>
      <c r="N118" s="419"/>
    </row>
    <row r="119" spans="2:30" outlineLevel="1">
      <c r="B119" s="484" t="s">
        <v>733</v>
      </c>
      <c r="C119" s="485">
        <f>C118*$I119</f>
        <v>2719250</v>
      </c>
      <c r="D119" s="485">
        <f>D118*$I119</f>
        <v>2421250</v>
      </c>
      <c r="E119" s="485">
        <f>E118*$I119</f>
        <v>2235000</v>
      </c>
      <c r="F119" s="485">
        <f>F118*$I119</f>
        <v>2160500</v>
      </c>
      <c r="G119" s="485"/>
      <c r="H119" s="483"/>
      <c r="I119" s="71">
        <v>500</v>
      </c>
      <c r="J119" s="419" t="s">
        <v>330</v>
      </c>
      <c r="K119" s="483"/>
      <c r="L119" s="483"/>
      <c r="N119" s="419"/>
    </row>
    <row r="120" spans="2:30" ht="43.2" outlineLevel="1">
      <c r="B120" s="460" t="s">
        <v>808</v>
      </c>
      <c r="C120" s="358">
        <f>C104*$F$4/1000</f>
        <v>14.9</v>
      </c>
      <c r="D120" s="358">
        <f t="shared" ref="D120:F120" si="6">D104*$F$4/1000</f>
        <v>14.9</v>
      </c>
      <c r="E120" s="358">
        <f t="shared" si="6"/>
        <v>14.9</v>
      </c>
      <c r="F120" s="358">
        <f t="shared" si="6"/>
        <v>14.9</v>
      </c>
      <c r="G120" s="358"/>
      <c r="I120" s="419" t="s">
        <v>333</v>
      </c>
      <c r="J120" s="419"/>
      <c r="N120" s="419"/>
    </row>
    <row r="121" spans="2:30" ht="43.2" outlineLevel="1">
      <c r="B121" s="460" t="s">
        <v>809</v>
      </c>
      <c r="C121" s="486">
        <f>C105*$F$4/3.6</f>
        <v>6.7463888888888883</v>
      </c>
      <c r="D121" s="486">
        <f t="shared" ref="D121:F121" si="7">D105*$F$4/3.6</f>
        <v>6.6222222222222227</v>
      </c>
      <c r="E121" s="486">
        <f t="shared" si="7"/>
        <v>6.5394444444444444</v>
      </c>
      <c r="F121" s="486">
        <f t="shared" si="7"/>
        <v>6.4566666666666661</v>
      </c>
      <c r="G121" s="358"/>
      <c r="M121" s="419"/>
      <c r="N121" s="419"/>
    </row>
    <row r="122" spans="2:30" outlineLevel="1"/>
    <row r="123" spans="2:30" outlineLevel="1"/>
    <row r="124" spans="2:30" outlineLevel="1"/>
    <row r="125" spans="2:30" outlineLevel="1"/>
    <row r="126" spans="2:30" outlineLevel="1">
      <c r="E126" s="357"/>
      <c r="F126" s="357"/>
      <c r="G126" s="357"/>
      <c r="H126" s="357"/>
      <c r="I126" s="357"/>
      <c r="J126" s="357"/>
      <c r="K126" s="357"/>
      <c r="L126" s="357"/>
    </row>
    <row r="127" spans="2:30" outlineLevel="1">
      <c r="B127" s="633" t="s">
        <v>736</v>
      </c>
      <c r="C127" s="489"/>
      <c r="D127" s="489"/>
      <c r="E127" s="357"/>
      <c r="F127" s="357"/>
      <c r="G127" s="357"/>
      <c r="H127" s="357"/>
      <c r="I127" s="357"/>
      <c r="J127" s="357"/>
      <c r="K127" s="357"/>
      <c r="L127" s="357"/>
    </row>
    <row r="128" spans="2:30" outlineLevel="1">
      <c r="B128" s="357">
        <v>1</v>
      </c>
      <c r="C128" s="634" t="s">
        <v>810</v>
      </c>
      <c r="D128" s="489"/>
      <c r="F128" s="357"/>
      <c r="G128" s="357"/>
      <c r="H128" s="357"/>
      <c r="I128" s="357"/>
      <c r="J128" s="357"/>
      <c r="K128" s="357"/>
      <c r="L128" s="357"/>
    </row>
    <row r="129" spans="2:12" outlineLevel="1">
      <c r="B129" s="357">
        <v>2</v>
      </c>
      <c r="C129" s="634" t="s">
        <v>811</v>
      </c>
      <c r="D129" s="489"/>
      <c r="F129" s="357"/>
      <c r="G129" s="357"/>
      <c r="H129" s="357"/>
      <c r="I129" s="357"/>
      <c r="J129" s="357"/>
      <c r="K129" s="357"/>
      <c r="L129" s="357"/>
    </row>
    <row r="130" spans="2:12" outlineLevel="1">
      <c r="B130" s="357">
        <v>3</v>
      </c>
      <c r="C130" s="489" t="s">
        <v>812</v>
      </c>
      <c r="D130" s="489"/>
      <c r="F130" s="357"/>
      <c r="G130" s="357"/>
      <c r="H130" s="357"/>
      <c r="I130" s="357"/>
      <c r="J130" s="357"/>
      <c r="K130" s="357"/>
      <c r="L130" s="357"/>
    </row>
    <row r="131" spans="2:12" outlineLevel="1">
      <c r="B131" s="357">
        <v>4</v>
      </c>
      <c r="C131" s="489" t="s">
        <v>813</v>
      </c>
      <c r="D131" s="489"/>
      <c r="F131" s="357"/>
      <c r="G131" s="357"/>
      <c r="H131" s="357"/>
      <c r="I131" s="357"/>
      <c r="J131" s="357"/>
      <c r="K131" s="357"/>
      <c r="L131" s="357"/>
    </row>
    <row r="132" spans="2:12" outlineLevel="1">
      <c r="B132" s="357">
        <v>5</v>
      </c>
      <c r="C132" s="635" t="s">
        <v>814</v>
      </c>
      <c r="D132" s="489"/>
      <c r="F132" s="357"/>
      <c r="G132" s="357"/>
      <c r="H132" s="357"/>
      <c r="I132" s="357"/>
      <c r="J132" s="357"/>
      <c r="K132" s="357"/>
      <c r="L132" s="357"/>
    </row>
    <row r="133" spans="2:12" outlineLevel="1">
      <c r="B133" s="357">
        <v>6</v>
      </c>
      <c r="C133" s="489" t="s">
        <v>815</v>
      </c>
      <c r="D133" s="489"/>
      <c r="F133" s="357"/>
      <c r="G133" s="357"/>
      <c r="H133" s="357"/>
      <c r="I133" s="357"/>
      <c r="J133" s="357"/>
      <c r="K133" s="357"/>
      <c r="L133" s="357"/>
    </row>
    <row r="134" spans="2:12" outlineLevel="1">
      <c r="B134" s="633" t="s">
        <v>746</v>
      </c>
      <c r="C134" s="357"/>
      <c r="D134" s="489"/>
      <c r="F134" s="357"/>
      <c r="G134" s="357"/>
      <c r="H134" s="357"/>
      <c r="I134" s="357"/>
      <c r="J134" s="357"/>
      <c r="K134" s="357"/>
      <c r="L134" s="357"/>
    </row>
    <row r="135" spans="2:12" outlineLevel="1">
      <c r="B135" s="636" t="s">
        <v>6</v>
      </c>
      <c r="C135" s="489" t="s">
        <v>816</v>
      </c>
      <c r="D135" s="489"/>
      <c r="F135" s="357"/>
      <c r="G135" s="357"/>
      <c r="H135" s="357"/>
      <c r="I135" s="357"/>
      <c r="J135" s="357"/>
      <c r="K135" s="357"/>
      <c r="L135" s="357"/>
    </row>
    <row r="136" spans="2:12" outlineLevel="1">
      <c r="B136" s="636" t="s">
        <v>59</v>
      </c>
      <c r="C136" s="489" t="s">
        <v>817</v>
      </c>
      <c r="D136" s="489"/>
      <c r="F136" s="357"/>
      <c r="G136" s="357"/>
      <c r="H136" s="357"/>
      <c r="I136" s="357"/>
      <c r="J136" s="357"/>
      <c r="K136" s="357"/>
      <c r="L136" s="357"/>
    </row>
    <row r="137" spans="2:12" outlineLevel="1">
      <c r="B137" s="636" t="s">
        <v>16</v>
      </c>
      <c r="C137" s="489" t="s">
        <v>818</v>
      </c>
      <c r="D137" s="489"/>
      <c r="F137" s="357"/>
      <c r="G137" s="357"/>
      <c r="H137" s="357"/>
      <c r="I137" s="357"/>
      <c r="J137" s="357"/>
      <c r="K137" s="357"/>
      <c r="L137" s="357"/>
    </row>
    <row r="138" spans="2:12" outlineLevel="1">
      <c r="B138" s="636" t="s">
        <v>20</v>
      </c>
      <c r="C138" s="489" t="s">
        <v>819</v>
      </c>
      <c r="D138" s="489"/>
      <c r="F138" s="357"/>
      <c r="G138" s="357"/>
      <c r="H138" s="357"/>
      <c r="I138" s="357"/>
      <c r="J138" s="357"/>
      <c r="K138" s="357"/>
      <c r="L138" s="357"/>
    </row>
    <row r="139" spans="2:12" outlineLevel="1">
      <c r="B139" s="636" t="s">
        <v>76</v>
      </c>
      <c r="C139" s="489" t="s">
        <v>820</v>
      </c>
      <c r="D139" s="489"/>
      <c r="F139" s="357"/>
      <c r="G139" s="357"/>
      <c r="H139" s="357"/>
      <c r="I139" s="357"/>
      <c r="J139" s="357"/>
      <c r="K139" s="357"/>
      <c r="L139" s="357"/>
    </row>
    <row r="140" spans="2:12" outlineLevel="1">
      <c r="B140" s="636" t="s">
        <v>25</v>
      </c>
      <c r="C140" s="489" t="s">
        <v>821</v>
      </c>
      <c r="D140" s="357"/>
      <c r="F140" s="357"/>
      <c r="G140" s="357"/>
      <c r="H140" s="357"/>
      <c r="I140" s="357"/>
      <c r="J140" s="357"/>
      <c r="K140" s="357"/>
      <c r="L140" s="357"/>
    </row>
    <row r="141" spans="2:12" outlineLevel="1">
      <c r="B141" s="636" t="s">
        <v>33</v>
      </c>
      <c r="C141" s="488" t="s">
        <v>751</v>
      </c>
      <c r="D141" s="357"/>
      <c r="F141" s="357"/>
      <c r="G141" s="357"/>
      <c r="H141" s="357"/>
      <c r="I141" s="357"/>
      <c r="J141" s="357"/>
      <c r="K141" s="357"/>
      <c r="L141" s="357"/>
    </row>
    <row r="142" spans="2:12" outlineLevel="1">
      <c r="B142" s="636" t="s">
        <v>51</v>
      </c>
      <c r="C142" s="489" t="s">
        <v>822</v>
      </c>
      <c r="D142" s="357"/>
      <c r="G142" s="357"/>
      <c r="H142" s="357"/>
      <c r="I142" s="357"/>
      <c r="J142" s="357"/>
      <c r="K142" s="357"/>
      <c r="L142" s="357"/>
    </row>
    <row r="143" spans="2:12" outlineLevel="1">
      <c r="B143" s="636" t="s">
        <v>52</v>
      </c>
      <c r="C143" s="489" t="s">
        <v>823</v>
      </c>
      <c r="E143" s="489"/>
      <c r="F143" s="489"/>
    </row>
    <row r="144" spans="2:12" outlineLevel="1"/>
    <row r="145" spans="1:44" outlineLevel="1">
      <c r="M145" s="214"/>
    </row>
    <row r="146" spans="1:44" outlineLevel="1"/>
    <row r="149" spans="1:44">
      <c r="A149" s="359" t="s">
        <v>824</v>
      </c>
      <c r="B149" s="1204"/>
      <c r="C149" s="1140"/>
      <c r="D149" s="1140"/>
      <c r="E149" s="1140"/>
      <c r="F149" s="1140"/>
      <c r="G149" s="1140"/>
      <c r="H149" s="1140"/>
      <c r="I149" s="1140"/>
      <c r="J149" s="1140"/>
      <c r="K149" s="1140"/>
      <c r="L149" s="1140"/>
      <c r="M149" s="1140"/>
      <c r="N149" s="688"/>
      <c r="P149" s="1140"/>
      <c r="Q149" s="1140"/>
      <c r="R149" s="1140"/>
      <c r="S149" s="1140"/>
      <c r="T149" s="1140"/>
      <c r="U149" s="1140"/>
    </row>
    <row r="150" spans="1:44" ht="15" outlineLevel="1" thickBot="1">
      <c r="B150" s="1204"/>
      <c r="C150" s="1140"/>
      <c r="D150" s="1140"/>
      <c r="E150" s="1140"/>
      <c r="F150" s="1140"/>
      <c r="G150" s="1140"/>
      <c r="H150" s="1140"/>
      <c r="I150" s="1140"/>
      <c r="J150" s="1140"/>
      <c r="K150" s="1140"/>
      <c r="L150" s="1140"/>
      <c r="M150" s="1140"/>
      <c r="N150" s="688"/>
      <c r="P150" s="1140"/>
      <c r="Q150" s="1140"/>
      <c r="R150" s="1140"/>
      <c r="S150" s="1140"/>
      <c r="T150" s="1140"/>
      <c r="U150" s="1140"/>
    </row>
    <row r="151" spans="1:44" ht="20.55" customHeight="1" outlineLevel="1" thickBot="1">
      <c r="B151" s="361" t="s">
        <v>0</v>
      </c>
      <c r="C151" s="1249" t="s">
        <v>799</v>
      </c>
      <c r="D151" s="1250"/>
      <c r="E151" s="1250"/>
      <c r="F151" s="1250"/>
      <c r="G151" s="1250"/>
      <c r="H151" s="1250"/>
      <c r="I151" s="1250"/>
      <c r="J151" s="1250"/>
      <c r="K151" s="1250"/>
      <c r="L151" s="1251"/>
      <c r="M151" s="362"/>
      <c r="N151" s="362"/>
      <c r="P151" s="363" t="s">
        <v>676</v>
      </c>
      <c r="Q151" s="364"/>
      <c r="R151" s="365"/>
      <c r="S151" s="1173" t="s">
        <v>677</v>
      </c>
      <c r="T151" s="1157" t="s">
        <v>678</v>
      </c>
      <c r="U151" s="1158"/>
      <c r="V151" s="1157" t="s">
        <v>679</v>
      </c>
      <c r="W151" s="1158"/>
      <c r="X151" s="1157" t="s">
        <v>680</v>
      </c>
      <c r="Y151" s="1158"/>
      <c r="Z151" s="1157" t="s">
        <v>681</v>
      </c>
      <c r="AA151" s="1158"/>
      <c r="AB151" s="1157" t="s">
        <v>682</v>
      </c>
      <c r="AC151" s="1158"/>
      <c r="AE151" s="363" t="s">
        <v>683</v>
      </c>
      <c r="AF151" s="364"/>
      <c r="AG151" s="365"/>
      <c r="AH151" s="1173" t="s">
        <v>677</v>
      </c>
      <c r="AI151" s="1157" t="s">
        <v>678</v>
      </c>
      <c r="AJ151" s="1158"/>
      <c r="AK151" s="1157" t="s">
        <v>679</v>
      </c>
      <c r="AL151" s="1158"/>
      <c r="AM151" s="1157" t="s">
        <v>680</v>
      </c>
      <c r="AN151" s="1158"/>
      <c r="AO151" s="1157" t="s">
        <v>681</v>
      </c>
      <c r="AP151" s="1158"/>
      <c r="AQ151" s="1157" t="s">
        <v>682</v>
      </c>
      <c r="AR151" s="1158"/>
    </row>
    <row r="152" spans="1:44" ht="15" customHeight="1" outlineLevel="1" thickBot="1">
      <c r="B152" s="1161" t="s">
        <v>4</v>
      </c>
      <c r="C152" s="1163">
        <v>2020</v>
      </c>
      <c r="D152" s="1163">
        <v>2030</v>
      </c>
      <c r="E152" s="1163">
        <v>2040</v>
      </c>
      <c r="F152" s="1163">
        <v>2050</v>
      </c>
      <c r="G152" s="1227" t="s">
        <v>684</v>
      </c>
      <c r="H152" s="1215"/>
      <c r="I152" s="1214" t="s">
        <v>628</v>
      </c>
      <c r="J152" s="1223"/>
      <c r="K152" s="1216" t="s">
        <v>2</v>
      </c>
      <c r="L152" s="1216" t="s">
        <v>3</v>
      </c>
      <c r="M152" s="366"/>
      <c r="N152" s="366"/>
      <c r="P152" s="1177" t="s">
        <v>0</v>
      </c>
      <c r="Q152" s="367"/>
      <c r="R152" s="367"/>
      <c r="S152" s="1174"/>
      <c r="T152" s="1159"/>
      <c r="U152" s="1160"/>
      <c r="V152" s="1159"/>
      <c r="W152" s="1160"/>
      <c r="X152" s="1159"/>
      <c r="Y152" s="1160"/>
      <c r="Z152" s="1159"/>
      <c r="AA152" s="1160"/>
      <c r="AB152" s="1159"/>
      <c r="AC152" s="1160"/>
      <c r="AE152" s="1177" t="s">
        <v>0</v>
      </c>
      <c r="AF152" s="367"/>
      <c r="AG152" s="367"/>
      <c r="AH152" s="1174"/>
      <c r="AI152" s="1159"/>
      <c r="AJ152" s="1160"/>
      <c r="AK152" s="1159"/>
      <c r="AL152" s="1160"/>
      <c r="AM152" s="1159"/>
      <c r="AN152" s="1160"/>
      <c r="AO152" s="1159"/>
      <c r="AP152" s="1160"/>
      <c r="AQ152" s="1159"/>
      <c r="AR152" s="1160"/>
    </row>
    <row r="153" spans="1:44" ht="15" customHeight="1" outlineLevel="1" thickBot="1">
      <c r="B153" s="1225"/>
      <c r="C153" s="1226"/>
      <c r="D153" s="1226"/>
      <c r="E153" s="1226"/>
      <c r="F153" s="1226"/>
      <c r="G153" s="368" t="s">
        <v>629</v>
      </c>
      <c r="H153" s="368" t="s">
        <v>630</v>
      </c>
      <c r="I153" s="368" t="s">
        <v>629</v>
      </c>
      <c r="J153" s="368" t="s">
        <v>630</v>
      </c>
      <c r="K153" s="1224"/>
      <c r="L153" s="1224"/>
      <c r="M153" s="369"/>
      <c r="N153" s="369"/>
      <c r="P153" s="1178"/>
      <c r="Q153" s="1180" t="s">
        <v>685</v>
      </c>
      <c r="R153" s="1181" t="s">
        <v>686</v>
      </c>
      <c r="S153" s="1175"/>
      <c r="T153" s="1159"/>
      <c r="U153" s="1160"/>
      <c r="V153" s="1159"/>
      <c r="W153" s="1160"/>
      <c r="X153" s="1159"/>
      <c r="Y153" s="1160"/>
      <c r="Z153" s="1159"/>
      <c r="AA153" s="1160"/>
      <c r="AB153" s="1159"/>
      <c r="AC153" s="1160"/>
      <c r="AE153" s="1178"/>
      <c r="AF153" s="1194" t="s">
        <v>685</v>
      </c>
      <c r="AG153" s="1181" t="s">
        <v>686</v>
      </c>
      <c r="AH153" s="1175"/>
      <c r="AI153" s="1159"/>
      <c r="AJ153" s="1160"/>
      <c r="AK153" s="1159"/>
      <c r="AL153" s="1160"/>
      <c r="AM153" s="1159"/>
      <c r="AN153" s="1160"/>
      <c r="AO153" s="1159"/>
      <c r="AP153" s="1160"/>
      <c r="AQ153" s="1159"/>
      <c r="AR153" s="1160"/>
    </row>
    <row r="154" spans="1:44" ht="29.4" outlineLevel="1" thickBot="1">
      <c r="B154" s="370" t="s">
        <v>631</v>
      </c>
      <c r="C154" s="371">
        <v>3</v>
      </c>
      <c r="D154" s="371">
        <v>3</v>
      </c>
      <c r="E154" s="371">
        <v>3</v>
      </c>
      <c r="F154" s="371">
        <v>3</v>
      </c>
      <c r="G154" s="371">
        <v>0.5</v>
      </c>
      <c r="H154" s="371">
        <v>5</v>
      </c>
      <c r="I154" s="371">
        <v>0.5</v>
      </c>
      <c r="J154" s="371">
        <v>5</v>
      </c>
      <c r="K154" s="371" t="s">
        <v>6</v>
      </c>
      <c r="L154" s="372" t="s">
        <v>800</v>
      </c>
      <c r="M154" s="369"/>
      <c r="N154" s="369"/>
      <c r="O154" s="74"/>
      <c r="P154" s="1179"/>
      <c r="Q154" s="1176"/>
      <c r="R154" s="1182"/>
      <c r="S154" s="1176"/>
      <c r="T154" s="373" t="s">
        <v>689</v>
      </c>
      <c r="U154" s="374" t="s">
        <v>690</v>
      </c>
      <c r="V154" s="373" t="s">
        <v>689</v>
      </c>
      <c r="W154" s="374" t="s">
        <v>690</v>
      </c>
      <c r="X154" s="373" t="s">
        <v>689</v>
      </c>
      <c r="Y154" s="374" t="s">
        <v>690</v>
      </c>
      <c r="Z154" s="373" t="s">
        <v>689</v>
      </c>
      <c r="AA154" s="374" t="s">
        <v>690</v>
      </c>
      <c r="AB154" s="373" t="s">
        <v>689</v>
      </c>
      <c r="AC154" s="374" t="s">
        <v>690</v>
      </c>
      <c r="AE154" s="1179"/>
      <c r="AF154" s="1195"/>
      <c r="AG154" s="1182"/>
      <c r="AH154" s="1176"/>
      <c r="AI154" s="373" t="s">
        <v>689</v>
      </c>
      <c r="AJ154" s="374" t="s">
        <v>690</v>
      </c>
      <c r="AK154" s="373" t="s">
        <v>689</v>
      </c>
      <c r="AL154" s="374" t="s">
        <v>690</v>
      </c>
      <c r="AM154" s="373" t="s">
        <v>689</v>
      </c>
      <c r="AN154" s="374" t="s">
        <v>690</v>
      </c>
      <c r="AO154" s="373" t="s">
        <v>689</v>
      </c>
      <c r="AP154" s="374" t="s">
        <v>690</v>
      </c>
      <c r="AQ154" s="373" t="s">
        <v>689</v>
      </c>
      <c r="AR154" s="374" t="s">
        <v>690</v>
      </c>
    </row>
    <row r="155" spans="1:44" ht="14.55" customHeight="1" outlineLevel="1">
      <c r="B155" s="375" t="s">
        <v>691</v>
      </c>
      <c r="C155" s="376">
        <v>533</v>
      </c>
      <c r="D155" s="376">
        <f>C155*1.03</f>
        <v>548.99</v>
      </c>
      <c r="E155" s="377">
        <f>D155*1.02</f>
        <v>559.96979999999996</v>
      </c>
      <c r="F155" s="376">
        <f>E155*1.01</f>
        <v>565.56949799999995</v>
      </c>
      <c r="G155" s="376">
        <f>C155</f>
        <v>533</v>
      </c>
      <c r="H155" s="376">
        <f>C155*1.05</f>
        <v>559.65</v>
      </c>
      <c r="I155" s="376">
        <f>F155*0.97</f>
        <v>548.60241305999989</v>
      </c>
      <c r="J155" s="376">
        <f>F155*1.02</f>
        <v>576.88088796</v>
      </c>
      <c r="K155" s="378" t="s">
        <v>59</v>
      </c>
      <c r="L155" s="379" t="s">
        <v>800</v>
      </c>
      <c r="M155" s="369"/>
      <c r="N155" s="369"/>
      <c r="P155" s="1196" t="str">
        <f>C151</f>
        <v>Heat pump, up to 60 °C, Temp lift = 40 K</v>
      </c>
      <c r="Q155" s="1151" t="s">
        <v>693</v>
      </c>
      <c r="R155" s="380" t="s">
        <v>694</v>
      </c>
      <c r="S155" s="381"/>
      <c r="T155" s="1134">
        <v>0</v>
      </c>
      <c r="U155" s="1148">
        <v>0</v>
      </c>
      <c r="V155" s="1134">
        <v>0</v>
      </c>
      <c r="W155" s="1148">
        <v>0</v>
      </c>
      <c r="X155" s="1134">
        <v>0</v>
      </c>
      <c r="Y155" s="1148">
        <v>0</v>
      </c>
      <c r="Z155" s="1134">
        <v>0</v>
      </c>
      <c r="AA155" s="1148">
        <v>0</v>
      </c>
      <c r="AB155" s="1134">
        <v>0</v>
      </c>
      <c r="AC155" s="1148">
        <v>0</v>
      </c>
      <c r="AE155" s="1145" t="str">
        <f>P155</f>
        <v>Heat pump, up to 60 °C, Temp lift = 40 K</v>
      </c>
      <c r="AF155" s="1151" t="s">
        <v>693</v>
      </c>
      <c r="AG155" s="380" t="s">
        <v>694</v>
      </c>
      <c r="AH155" s="381"/>
      <c r="AI155" s="1134">
        <v>0</v>
      </c>
      <c r="AJ155" s="1148">
        <v>0</v>
      </c>
      <c r="AK155" s="1134">
        <v>0</v>
      </c>
      <c r="AL155" s="1148">
        <v>0</v>
      </c>
      <c r="AM155" s="1134">
        <v>0</v>
      </c>
      <c r="AN155" s="1148">
        <v>0</v>
      </c>
      <c r="AO155" s="1134">
        <v>0</v>
      </c>
      <c r="AP155" s="1148">
        <v>0</v>
      </c>
      <c r="AQ155" s="1134">
        <v>0</v>
      </c>
      <c r="AR155" s="1148">
        <v>0</v>
      </c>
    </row>
    <row r="156" spans="1:44" outlineLevel="1">
      <c r="B156" s="382" t="s">
        <v>695</v>
      </c>
      <c r="C156" s="383">
        <f>C155-5</f>
        <v>528</v>
      </c>
      <c r="D156" s="383">
        <f t="shared" ref="D156:J156" si="8">D155-5</f>
        <v>543.99</v>
      </c>
      <c r="E156" s="383">
        <f t="shared" si="8"/>
        <v>554.96979999999996</v>
      </c>
      <c r="F156" s="383">
        <f t="shared" si="8"/>
        <v>560.56949799999995</v>
      </c>
      <c r="G156" s="384">
        <f t="shared" si="8"/>
        <v>528</v>
      </c>
      <c r="H156" s="384">
        <f t="shared" si="8"/>
        <v>554.65</v>
      </c>
      <c r="I156" s="384">
        <f t="shared" si="8"/>
        <v>543.60241305999989</v>
      </c>
      <c r="J156" s="384">
        <f t="shared" si="8"/>
        <v>571.88088796</v>
      </c>
      <c r="K156" s="385" t="s">
        <v>801</v>
      </c>
      <c r="L156" s="386"/>
      <c r="M156" s="369"/>
      <c r="N156" s="369"/>
      <c r="O156" s="71"/>
      <c r="P156" s="1192"/>
      <c r="Q156" s="1152"/>
      <c r="R156" s="387" t="s">
        <v>696</v>
      </c>
      <c r="S156" s="388"/>
      <c r="T156" s="1137"/>
      <c r="U156" s="1149"/>
      <c r="V156" s="1137"/>
      <c r="W156" s="1149"/>
      <c r="X156" s="1137"/>
      <c r="Y156" s="1149"/>
      <c r="Z156" s="1137"/>
      <c r="AA156" s="1149"/>
      <c r="AB156" s="1137"/>
      <c r="AC156" s="1149"/>
      <c r="AE156" s="1192"/>
      <c r="AF156" s="1152"/>
      <c r="AG156" s="387" t="s">
        <v>696</v>
      </c>
      <c r="AH156" s="388"/>
      <c r="AI156" s="1137"/>
      <c r="AJ156" s="1149"/>
      <c r="AK156" s="1137"/>
      <c r="AL156" s="1149"/>
      <c r="AM156" s="1137"/>
      <c r="AN156" s="1149"/>
      <c r="AO156" s="1137"/>
      <c r="AP156" s="1149"/>
      <c r="AQ156" s="1137"/>
      <c r="AR156" s="1149"/>
    </row>
    <row r="157" spans="1:44" ht="15" outlineLevel="1" thickBot="1">
      <c r="B157" s="375" t="s">
        <v>697</v>
      </c>
      <c r="C157" s="389">
        <v>2</v>
      </c>
      <c r="D157" s="390">
        <v>2</v>
      </c>
      <c r="E157" s="390">
        <v>2</v>
      </c>
      <c r="F157" s="391">
        <v>2</v>
      </c>
      <c r="G157" s="390">
        <v>1</v>
      </c>
      <c r="H157" s="390">
        <v>4</v>
      </c>
      <c r="I157" s="390">
        <v>1</v>
      </c>
      <c r="J157" s="390">
        <v>4</v>
      </c>
      <c r="K157" s="378"/>
      <c r="L157" s="379">
        <v>1.4</v>
      </c>
      <c r="M157" s="369"/>
      <c r="N157" s="369"/>
      <c r="O157" s="71"/>
      <c r="P157" s="1192"/>
      <c r="Q157" s="1153"/>
      <c r="R157" s="392" t="s">
        <v>698</v>
      </c>
      <c r="S157" s="393"/>
      <c r="T157" s="1138"/>
      <c r="U157" s="1150"/>
      <c r="V157" s="1138"/>
      <c r="W157" s="1150"/>
      <c r="X157" s="1138"/>
      <c r="Y157" s="1150"/>
      <c r="Z157" s="1138"/>
      <c r="AA157" s="1150"/>
      <c r="AB157" s="1138"/>
      <c r="AC157" s="1150"/>
      <c r="AE157" s="1192"/>
      <c r="AF157" s="1153"/>
      <c r="AG157" s="392" t="s">
        <v>698</v>
      </c>
      <c r="AH157" s="393"/>
      <c r="AI157" s="1138"/>
      <c r="AJ157" s="1150"/>
      <c r="AK157" s="1138"/>
      <c r="AL157" s="1150"/>
      <c r="AM157" s="1138"/>
      <c r="AN157" s="1150"/>
      <c r="AO157" s="1138"/>
      <c r="AP157" s="1150"/>
      <c r="AQ157" s="1138"/>
      <c r="AR157" s="1150"/>
    </row>
    <row r="158" spans="1:44" ht="14.55" customHeight="1" outlineLevel="1">
      <c r="B158" s="375" t="s">
        <v>637</v>
      </c>
      <c r="C158" s="389">
        <v>0</v>
      </c>
      <c r="D158" s="389">
        <v>0</v>
      </c>
      <c r="E158" s="389">
        <v>0</v>
      </c>
      <c r="F158" s="389">
        <v>0</v>
      </c>
      <c r="G158" s="389">
        <v>0</v>
      </c>
      <c r="H158" s="389">
        <v>1</v>
      </c>
      <c r="I158" s="389">
        <v>0</v>
      </c>
      <c r="J158" s="389">
        <v>1</v>
      </c>
      <c r="K158" s="378" t="s">
        <v>20</v>
      </c>
      <c r="L158" s="379"/>
      <c r="M158" s="369"/>
      <c r="N158" s="369"/>
      <c r="O158" s="71"/>
      <c r="P158" s="1192"/>
      <c r="Q158" s="1151" t="s">
        <v>699</v>
      </c>
      <c r="R158" s="394" t="s">
        <v>700</v>
      </c>
      <c r="S158" s="395" t="s">
        <v>701</v>
      </c>
      <c r="T158" s="1134">
        <v>0</v>
      </c>
      <c r="U158" s="1134">
        <v>0.16</v>
      </c>
      <c r="V158" s="1134">
        <v>0</v>
      </c>
      <c r="W158" s="1134">
        <v>0.16</v>
      </c>
      <c r="X158" s="1134">
        <v>0</v>
      </c>
      <c r="Y158" s="1134">
        <v>0.13</v>
      </c>
      <c r="Z158" s="1134">
        <v>0</v>
      </c>
      <c r="AA158" s="1134">
        <v>7.0000000000000007E-2</v>
      </c>
      <c r="AB158" s="1134">
        <v>0</v>
      </c>
      <c r="AC158" s="1148">
        <v>0.11</v>
      </c>
      <c r="AE158" s="1192"/>
      <c r="AF158" s="1151" t="s">
        <v>699</v>
      </c>
      <c r="AG158" s="394" t="s">
        <v>700</v>
      </c>
      <c r="AH158" s="395" t="s">
        <v>701</v>
      </c>
      <c r="AI158" s="1134">
        <v>0</v>
      </c>
      <c r="AJ158" s="1134">
        <f>U158/4</f>
        <v>0.04</v>
      </c>
      <c r="AK158" s="1134">
        <v>0</v>
      </c>
      <c r="AL158" s="1134">
        <f>W158/4</f>
        <v>0.04</v>
      </c>
      <c r="AM158" s="1134">
        <v>0</v>
      </c>
      <c r="AN158" s="1134">
        <f>Y158/4</f>
        <v>3.2500000000000001E-2</v>
      </c>
      <c r="AO158" s="1134">
        <v>0</v>
      </c>
      <c r="AP158" s="1134">
        <f>AA158/4</f>
        <v>1.7500000000000002E-2</v>
      </c>
      <c r="AQ158" s="1134">
        <v>0</v>
      </c>
      <c r="AR158" s="1148">
        <f>AC158/4</f>
        <v>2.75E-2</v>
      </c>
    </row>
    <row r="159" spans="1:44" outlineLevel="1">
      <c r="B159" s="375" t="s">
        <v>638</v>
      </c>
      <c r="C159" s="389">
        <v>1</v>
      </c>
      <c r="D159" s="389">
        <v>1</v>
      </c>
      <c r="E159" s="389">
        <v>1</v>
      </c>
      <c r="F159" s="389">
        <v>1</v>
      </c>
      <c r="G159" s="389">
        <v>0.5</v>
      </c>
      <c r="H159" s="389">
        <v>2</v>
      </c>
      <c r="I159" s="389">
        <v>0.5</v>
      </c>
      <c r="J159" s="389">
        <v>2</v>
      </c>
      <c r="K159" s="378"/>
      <c r="L159" s="379">
        <v>1.4</v>
      </c>
      <c r="M159" s="366"/>
      <c r="N159" s="366"/>
      <c r="O159" s="71"/>
      <c r="P159" s="1192"/>
      <c r="Q159" s="1152"/>
      <c r="R159" s="394" t="s">
        <v>702</v>
      </c>
      <c r="S159" s="395" t="s">
        <v>701</v>
      </c>
      <c r="T159" s="1135"/>
      <c r="U159" s="1135"/>
      <c r="V159" s="1135"/>
      <c r="W159" s="1135"/>
      <c r="X159" s="1135"/>
      <c r="Y159" s="1135"/>
      <c r="Z159" s="1135"/>
      <c r="AA159" s="1135"/>
      <c r="AB159" s="1135"/>
      <c r="AC159" s="1252"/>
      <c r="AE159" s="1192"/>
      <c r="AF159" s="1152"/>
      <c r="AG159" s="394" t="s">
        <v>702</v>
      </c>
      <c r="AH159" s="395" t="s">
        <v>701</v>
      </c>
      <c r="AI159" s="1135"/>
      <c r="AJ159" s="1135"/>
      <c r="AK159" s="1135"/>
      <c r="AL159" s="1135"/>
      <c r="AM159" s="1135"/>
      <c r="AN159" s="1135"/>
      <c r="AO159" s="1135"/>
      <c r="AP159" s="1135"/>
      <c r="AQ159" s="1135"/>
      <c r="AR159" s="1252"/>
    </row>
    <row r="160" spans="1:44" outlineLevel="1">
      <c r="B160" s="382" t="s">
        <v>11</v>
      </c>
      <c r="C160" s="396">
        <v>20</v>
      </c>
      <c r="D160" s="396">
        <v>20</v>
      </c>
      <c r="E160" s="396">
        <v>20</v>
      </c>
      <c r="F160" s="396">
        <v>20</v>
      </c>
      <c r="G160" s="397">
        <v>15</v>
      </c>
      <c r="H160" s="397">
        <v>30</v>
      </c>
      <c r="I160" s="397">
        <v>15</v>
      </c>
      <c r="J160" s="397">
        <v>30</v>
      </c>
      <c r="K160" s="371"/>
      <c r="L160" s="372">
        <v>4</v>
      </c>
      <c r="M160" s="362"/>
      <c r="N160" s="362"/>
      <c r="P160" s="1192"/>
      <c r="Q160" s="1152"/>
      <c r="R160" s="394" t="s">
        <v>704</v>
      </c>
      <c r="S160" s="395"/>
      <c r="T160" s="1135"/>
      <c r="U160" s="1135"/>
      <c r="V160" s="1135"/>
      <c r="W160" s="1135"/>
      <c r="X160" s="1135"/>
      <c r="Y160" s="1135"/>
      <c r="Z160" s="1135"/>
      <c r="AA160" s="1135"/>
      <c r="AB160" s="1135"/>
      <c r="AC160" s="1252"/>
      <c r="AE160" s="1192"/>
      <c r="AF160" s="1152"/>
      <c r="AG160" s="394" t="s">
        <v>704</v>
      </c>
      <c r="AH160" s="628" t="s">
        <v>805</v>
      </c>
      <c r="AI160" s="1135"/>
      <c r="AJ160" s="1135"/>
      <c r="AK160" s="1135"/>
      <c r="AL160" s="1135"/>
      <c r="AM160" s="1135"/>
      <c r="AN160" s="1135"/>
      <c r="AO160" s="1135"/>
      <c r="AP160" s="1135"/>
      <c r="AQ160" s="1135"/>
      <c r="AR160" s="1252"/>
    </row>
    <row r="161" spans="1:44" ht="15" outlineLevel="1" thickBot="1">
      <c r="B161" s="375" t="s">
        <v>273</v>
      </c>
      <c r="C161" s="398">
        <v>0.5</v>
      </c>
      <c r="D161" s="398">
        <v>0.5</v>
      </c>
      <c r="E161" s="398">
        <v>0.5</v>
      </c>
      <c r="F161" s="398">
        <v>0.5</v>
      </c>
      <c r="G161" s="398">
        <v>0.3</v>
      </c>
      <c r="H161" s="398">
        <v>0.7</v>
      </c>
      <c r="I161" s="398">
        <v>0.3</v>
      </c>
      <c r="J161" s="398">
        <v>0.7</v>
      </c>
      <c r="K161" s="371"/>
      <c r="L161" s="399">
        <v>4</v>
      </c>
      <c r="M161" s="362"/>
      <c r="N161" s="362"/>
      <c r="P161" s="1192"/>
      <c r="Q161" s="1152"/>
      <c r="R161" s="394" t="s">
        <v>705</v>
      </c>
      <c r="S161" s="395"/>
      <c r="T161" s="1135"/>
      <c r="U161" s="1135"/>
      <c r="V161" s="1135"/>
      <c r="W161" s="1135"/>
      <c r="X161" s="1135"/>
      <c r="Y161" s="1135"/>
      <c r="Z161" s="1135"/>
      <c r="AA161" s="1135"/>
      <c r="AB161" s="1135"/>
      <c r="AC161" s="1252"/>
      <c r="AE161" s="1192"/>
      <c r="AF161" s="1152"/>
      <c r="AG161" s="394" t="s">
        <v>705</v>
      </c>
      <c r="AH161" s="395" t="s">
        <v>701</v>
      </c>
      <c r="AI161" s="1135"/>
      <c r="AJ161" s="1135"/>
      <c r="AK161" s="1135"/>
      <c r="AL161" s="1135"/>
      <c r="AM161" s="1135"/>
      <c r="AN161" s="1135"/>
      <c r="AO161" s="1135"/>
      <c r="AP161" s="1135"/>
      <c r="AQ161" s="1135"/>
      <c r="AR161" s="1252"/>
    </row>
    <row r="162" spans="1:44" ht="15" outlineLevel="1" thickBot="1">
      <c r="B162" s="400" t="s">
        <v>706</v>
      </c>
      <c r="C162" s="401"/>
      <c r="D162" s="402"/>
      <c r="E162" s="403"/>
      <c r="F162" s="404"/>
      <c r="G162" s="405"/>
      <c r="H162" s="405"/>
      <c r="I162" s="405"/>
      <c r="J162" s="405"/>
      <c r="K162" s="406"/>
      <c r="L162" s="407"/>
      <c r="M162" s="362"/>
      <c r="N162" s="362"/>
      <c r="P162" s="1192"/>
      <c r="Q162" s="1152"/>
      <c r="R162" s="408" t="s">
        <v>707</v>
      </c>
      <c r="S162" s="409" t="s">
        <v>701</v>
      </c>
      <c r="T162" s="1136"/>
      <c r="U162" s="1136"/>
      <c r="V162" s="1136"/>
      <c r="W162" s="1136"/>
      <c r="X162" s="1136"/>
      <c r="Y162" s="1136"/>
      <c r="Z162" s="1136"/>
      <c r="AA162" s="1136"/>
      <c r="AB162" s="1136"/>
      <c r="AC162" s="1253"/>
      <c r="AE162" s="1192"/>
      <c r="AF162" s="1152"/>
      <c r="AG162" s="408" t="s">
        <v>707</v>
      </c>
      <c r="AH162" s="409" t="s">
        <v>701</v>
      </c>
      <c r="AI162" s="1136"/>
      <c r="AJ162" s="1136"/>
      <c r="AK162" s="1136"/>
      <c r="AL162" s="1136"/>
      <c r="AM162" s="1136"/>
      <c r="AN162" s="1136"/>
      <c r="AO162" s="1136"/>
      <c r="AP162" s="1136"/>
      <c r="AQ162" s="1136"/>
      <c r="AR162" s="1253"/>
    </row>
    <row r="163" spans="1:44" ht="29.4" outlineLevel="1" thickBot="1">
      <c r="B163" s="375" t="s">
        <v>643</v>
      </c>
      <c r="C163" s="389">
        <v>10</v>
      </c>
      <c r="D163" s="389">
        <v>10</v>
      </c>
      <c r="E163" s="389">
        <v>10</v>
      </c>
      <c r="F163" s="389">
        <v>10</v>
      </c>
      <c r="G163" s="390"/>
      <c r="H163" s="390"/>
      <c r="I163" s="390"/>
      <c r="J163" s="390"/>
      <c r="K163" s="378"/>
      <c r="L163" s="379">
        <v>4</v>
      </c>
      <c r="M163" s="362"/>
      <c r="N163" s="362"/>
      <c r="P163" s="1193"/>
      <c r="Q163" s="410" t="s">
        <v>708</v>
      </c>
      <c r="R163" s="411" t="s">
        <v>709</v>
      </c>
      <c r="S163" s="629" t="s">
        <v>701</v>
      </c>
      <c r="T163" s="415">
        <v>0</v>
      </c>
      <c r="U163" s="414">
        <f>T163</f>
        <v>0</v>
      </c>
      <c r="V163" s="415">
        <v>0</v>
      </c>
      <c r="W163" s="414">
        <f>V163</f>
        <v>0</v>
      </c>
      <c r="X163" s="415">
        <v>0</v>
      </c>
      <c r="Y163" s="414">
        <f>X163</f>
        <v>0</v>
      </c>
      <c r="Z163" s="415">
        <v>0</v>
      </c>
      <c r="AA163" s="414">
        <f>Z163</f>
        <v>0</v>
      </c>
      <c r="AB163" s="415">
        <v>0</v>
      </c>
      <c r="AC163" s="416">
        <f>AB163</f>
        <v>0</v>
      </c>
      <c r="AE163" s="1193"/>
      <c r="AF163" s="410" t="s">
        <v>708</v>
      </c>
      <c r="AG163" s="1246" t="s">
        <v>709</v>
      </c>
      <c r="AH163" s="1247"/>
      <c r="AI163" s="415">
        <v>0</v>
      </c>
      <c r="AJ163" s="414">
        <f>AI163</f>
        <v>0</v>
      </c>
      <c r="AK163" s="415">
        <v>0</v>
      </c>
      <c r="AL163" s="414">
        <f>AK163</f>
        <v>0</v>
      </c>
      <c r="AM163" s="415">
        <v>0</v>
      </c>
      <c r="AN163" s="414">
        <f>AM163</f>
        <v>0</v>
      </c>
      <c r="AO163" s="415">
        <v>0</v>
      </c>
      <c r="AP163" s="414">
        <f>AO163</f>
        <v>0</v>
      </c>
      <c r="AQ163" s="415">
        <v>0</v>
      </c>
      <c r="AR163" s="416">
        <f>AQ163</f>
        <v>0</v>
      </c>
    </row>
    <row r="164" spans="1:44" outlineLevel="1">
      <c r="B164" s="375" t="s">
        <v>644</v>
      </c>
      <c r="C164" s="389">
        <v>0.25</v>
      </c>
      <c r="D164" s="389">
        <v>0.25</v>
      </c>
      <c r="E164" s="389">
        <v>0.25</v>
      </c>
      <c r="F164" s="389">
        <v>0.25</v>
      </c>
      <c r="G164" s="417"/>
      <c r="H164" s="417"/>
      <c r="I164" s="417"/>
      <c r="J164" s="417"/>
      <c r="K164" s="418"/>
      <c r="L164" s="379">
        <v>4</v>
      </c>
      <c r="M164" s="362"/>
      <c r="N164" s="362"/>
    </row>
    <row r="165" spans="1:44" outlineLevel="1">
      <c r="B165" s="375" t="s">
        <v>646</v>
      </c>
      <c r="C165" s="389">
        <v>1</v>
      </c>
      <c r="D165" s="389">
        <v>1</v>
      </c>
      <c r="E165" s="389">
        <v>1</v>
      </c>
      <c r="F165" s="389">
        <v>1</v>
      </c>
      <c r="G165" s="417"/>
      <c r="H165" s="417"/>
      <c r="I165" s="417"/>
      <c r="J165" s="417"/>
      <c r="K165" s="418"/>
      <c r="L165" s="379">
        <v>1</v>
      </c>
      <c r="M165" s="419"/>
      <c r="N165" s="362"/>
    </row>
    <row r="166" spans="1:44" outlineLevel="1">
      <c r="B166" s="420" t="s">
        <v>12</v>
      </c>
      <c r="C166" s="398"/>
      <c r="D166" s="398"/>
      <c r="E166" s="398"/>
      <c r="F166" s="398"/>
      <c r="G166" s="421"/>
      <c r="H166" s="421"/>
      <c r="I166" s="421"/>
      <c r="J166" s="421"/>
      <c r="K166" s="422"/>
      <c r="L166" s="423"/>
      <c r="M166" s="419"/>
      <c r="N166" s="419"/>
    </row>
    <row r="167" spans="1:44" outlineLevel="1">
      <c r="B167" s="382" t="s">
        <v>806</v>
      </c>
      <c r="C167" s="1228" t="s">
        <v>649</v>
      </c>
      <c r="D167" s="1229"/>
      <c r="E167" s="1229"/>
      <c r="F167" s="1230"/>
      <c r="G167" s="421"/>
      <c r="H167" s="424"/>
      <c r="I167" s="424"/>
      <c r="J167" s="424"/>
      <c r="K167" s="425"/>
      <c r="L167" s="426"/>
      <c r="M167" s="427"/>
      <c r="N167" s="427"/>
    </row>
    <row r="168" spans="1:44" outlineLevel="1">
      <c r="B168" s="382" t="s">
        <v>712</v>
      </c>
      <c r="C168" s="1231"/>
      <c r="D168" s="1248"/>
      <c r="E168" s="1248"/>
      <c r="F168" s="1233"/>
      <c r="G168" s="424"/>
      <c r="H168" s="424"/>
      <c r="I168" s="424"/>
      <c r="J168" s="424"/>
      <c r="K168" s="422"/>
      <c r="L168" s="426"/>
      <c r="M168" s="427"/>
      <c r="N168" s="427"/>
    </row>
    <row r="169" spans="1:44" outlineLevel="1">
      <c r="B169" s="382" t="s">
        <v>807</v>
      </c>
      <c r="C169" s="1231"/>
      <c r="D169" s="1248"/>
      <c r="E169" s="1248"/>
      <c r="F169" s="1233"/>
      <c r="G169" s="424"/>
      <c r="H169" s="424"/>
      <c r="I169" s="424"/>
      <c r="J169" s="424"/>
      <c r="K169" s="422"/>
      <c r="L169" s="426"/>
      <c r="M169" s="427"/>
      <c r="N169" s="427"/>
    </row>
    <row r="170" spans="1:44" outlineLevel="1">
      <c r="B170" s="382" t="s">
        <v>366</v>
      </c>
      <c r="C170" s="1231"/>
      <c r="D170" s="1248"/>
      <c r="E170" s="1248"/>
      <c r="F170" s="1233"/>
      <c r="G170" s="424"/>
      <c r="H170" s="424"/>
      <c r="I170" s="424"/>
      <c r="J170" s="424"/>
      <c r="K170" s="422"/>
      <c r="L170" s="426"/>
      <c r="M170" s="427"/>
      <c r="N170" s="427"/>
    </row>
    <row r="171" spans="1:44" ht="15" outlineLevel="1" thickBot="1">
      <c r="B171" s="428" t="s">
        <v>367</v>
      </c>
      <c r="C171" s="1234"/>
      <c r="D171" s="1235"/>
      <c r="E171" s="1235"/>
      <c r="F171" s="1236"/>
      <c r="G171" s="424"/>
      <c r="H171" s="424"/>
      <c r="I171" s="424"/>
      <c r="J171" s="424"/>
      <c r="K171" s="422"/>
      <c r="L171" s="426"/>
      <c r="M171" s="427"/>
      <c r="N171" s="427"/>
    </row>
    <row r="172" spans="1:44" ht="15" outlineLevel="1" thickBot="1">
      <c r="B172" s="430" t="s">
        <v>654</v>
      </c>
      <c r="C172" s="431"/>
      <c r="D172" s="402"/>
      <c r="E172" s="402"/>
      <c r="F172" s="432"/>
      <c r="G172" s="433"/>
      <c r="H172" s="405"/>
      <c r="I172" s="405"/>
      <c r="J172" s="405"/>
      <c r="K172" s="406"/>
      <c r="L172" s="407"/>
      <c r="M172" s="427"/>
      <c r="N172" s="427"/>
    </row>
    <row r="173" spans="1:44" ht="26.4" outlineLevel="1">
      <c r="A173" s="434"/>
      <c r="B173" s="435" t="s">
        <v>714</v>
      </c>
      <c r="C173" s="436">
        <v>0.73</v>
      </c>
      <c r="D173" s="437">
        <v>0.65</v>
      </c>
      <c r="E173" s="437">
        <v>0.6</v>
      </c>
      <c r="F173" s="438">
        <v>0.57999999999999996</v>
      </c>
      <c r="G173" s="424"/>
      <c r="H173" s="424"/>
      <c r="I173" s="424"/>
      <c r="J173" s="424"/>
      <c r="K173" s="425"/>
      <c r="L173" s="439">
        <v>1</v>
      </c>
      <c r="M173" s="419"/>
      <c r="N173" s="419"/>
    </row>
    <row r="174" spans="1:44" outlineLevel="1">
      <c r="B174" s="440" t="s">
        <v>802</v>
      </c>
      <c r="C174" s="626">
        <v>60</v>
      </c>
      <c r="D174" s="442">
        <v>60</v>
      </c>
      <c r="E174" s="442">
        <v>60</v>
      </c>
      <c r="F174" s="442">
        <v>60</v>
      </c>
      <c r="G174" s="424"/>
      <c r="H174" s="424"/>
      <c r="I174" s="424"/>
      <c r="J174" s="424"/>
      <c r="K174" s="443" t="s">
        <v>76</v>
      </c>
      <c r="L174" s="372">
        <v>6</v>
      </c>
      <c r="M174" s="71"/>
      <c r="N174" s="419"/>
    </row>
    <row r="175" spans="1:44" outlineLevel="1">
      <c r="B175" s="440" t="s">
        <v>803</v>
      </c>
      <c r="C175" s="626">
        <v>40</v>
      </c>
      <c r="D175" s="626">
        <v>40</v>
      </c>
      <c r="E175" s="626">
        <v>40</v>
      </c>
      <c r="F175" s="626">
        <v>40</v>
      </c>
      <c r="G175" s="424"/>
      <c r="H175" s="424"/>
      <c r="I175" s="424"/>
      <c r="J175" s="424"/>
      <c r="K175" s="443" t="s">
        <v>25</v>
      </c>
      <c r="L175" s="372">
        <v>6</v>
      </c>
      <c r="M175" s="419"/>
      <c r="N175" s="419"/>
    </row>
    <row r="176" spans="1:44" outlineLevel="1">
      <c r="B176" s="382" t="s">
        <v>804</v>
      </c>
      <c r="C176" s="444">
        <v>2000</v>
      </c>
      <c r="D176" s="445">
        <v>2000</v>
      </c>
      <c r="E176" s="445">
        <v>2000</v>
      </c>
      <c r="F176" s="446">
        <v>2000</v>
      </c>
      <c r="G176" s="424"/>
      <c r="H176" s="424"/>
      <c r="I176" s="424"/>
      <c r="J176" s="424"/>
      <c r="K176" s="447"/>
      <c r="L176" s="372">
        <v>4.5</v>
      </c>
      <c r="M176" s="419"/>
      <c r="N176" s="419"/>
    </row>
    <row r="177" spans="2:30" ht="15" outlineLevel="1" thickBot="1">
      <c r="B177" s="382" t="s">
        <v>659</v>
      </c>
      <c r="C177" s="448">
        <f>SUM(C178:C179)</f>
        <v>3.26</v>
      </c>
      <c r="D177" s="448">
        <f>SUM(D178:D179)</f>
        <v>3.2</v>
      </c>
      <c r="E177" s="448">
        <f>(D177+F177)/2</f>
        <v>3.16</v>
      </c>
      <c r="F177" s="448">
        <f>SUM(F178:F179)</f>
        <v>3.12</v>
      </c>
      <c r="G177" s="424"/>
      <c r="H177" s="424"/>
      <c r="I177" s="424"/>
      <c r="J177" s="424"/>
      <c r="K177" s="447"/>
      <c r="L177" s="372">
        <v>4</v>
      </c>
      <c r="M177" s="687"/>
      <c r="N177" s="688"/>
      <c r="P177" s="1139">
        <f>C177</f>
        <v>3.26</v>
      </c>
      <c r="Q177" s="1140"/>
      <c r="R177" s="1140"/>
      <c r="S177" s="1140"/>
      <c r="T177" s="1140"/>
      <c r="U177" s="1141"/>
    </row>
    <row r="178" spans="2:30" ht="15" outlineLevel="1" thickBot="1">
      <c r="B178" s="450" t="s">
        <v>721</v>
      </c>
      <c r="C178" s="451">
        <f>C157/100*73</f>
        <v>1.46</v>
      </c>
      <c r="D178" s="451">
        <f>D157/100*75</f>
        <v>1.5</v>
      </c>
      <c r="E178" s="451">
        <f>E157/100*76</f>
        <v>1.52</v>
      </c>
      <c r="F178" s="451">
        <f>F157/100*76</f>
        <v>1.52</v>
      </c>
      <c r="G178" s="452"/>
      <c r="H178" s="452"/>
      <c r="I178" s="452"/>
      <c r="J178" s="452"/>
      <c r="K178" s="378" t="s">
        <v>33</v>
      </c>
      <c r="L178" s="379">
        <v>4</v>
      </c>
      <c r="M178" s="687"/>
      <c r="N178" s="688"/>
      <c r="P178" s="1131">
        <f>C178</f>
        <v>1.46</v>
      </c>
      <c r="Q178" s="1132"/>
      <c r="R178" s="1132"/>
      <c r="S178" s="1132"/>
      <c r="T178" s="1132"/>
      <c r="U178" s="1133"/>
    </row>
    <row r="179" spans="2:30" outlineLevel="1">
      <c r="B179" s="450" t="s">
        <v>722</v>
      </c>
      <c r="C179" s="453">
        <v>1.8</v>
      </c>
      <c r="D179" s="453">
        <v>1.7</v>
      </c>
      <c r="E179" s="453">
        <f>(D179+F179)/2</f>
        <v>1.65</v>
      </c>
      <c r="F179" s="453">
        <v>1.6</v>
      </c>
      <c r="G179" s="452"/>
      <c r="H179" s="452"/>
      <c r="I179" s="452"/>
      <c r="J179" s="452"/>
      <c r="K179" s="454"/>
      <c r="L179" s="379">
        <v>4</v>
      </c>
      <c r="M179" s="362"/>
      <c r="N179" s="362"/>
      <c r="P179" s="53" t="s">
        <v>357</v>
      </c>
    </row>
    <row r="180" spans="2:30" ht="27.6" outlineLevel="1">
      <c r="B180" s="440"/>
      <c r="C180" s="455"/>
      <c r="D180" s="455"/>
      <c r="E180" s="455"/>
      <c r="F180" s="455"/>
      <c r="G180" s="424"/>
      <c r="H180" s="424"/>
      <c r="I180" s="424"/>
      <c r="J180" s="424"/>
      <c r="K180" s="443"/>
      <c r="L180" s="423"/>
      <c r="M180" s="366"/>
      <c r="N180" s="366"/>
      <c r="P180" s="46" t="s">
        <v>335</v>
      </c>
      <c r="Q180" s="46" t="s">
        <v>336</v>
      </c>
      <c r="R180" s="47" t="s">
        <v>337</v>
      </c>
      <c r="S180" s="47" t="s">
        <v>338</v>
      </c>
      <c r="T180" s="47" t="s">
        <v>339</v>
      </c>
      <c r="U180" s="48" t="s">
        <v>340</v>
      </c>
      <c r="V180" s="49" t="s">
        <v>341</v>
      </c>
      <c r="W180" s="49" t="s">
        <v>342</v>
      </c>
      <c r="X180" s="49" t="s">
        <v>343</v>
      </c>
      <c r="Y180" s="49" t="s">
        <v>344</v>
      </c>
      <c r="Z180" s="49" t="s">
        <v>345</v>
      </c>
      <c r="AA180" s="49" t="s">
        <v>346</v>
      </c>
      <c r="AB180" s="49" t="s">
        <v>347</v>
      </c>
      <c r="AC180" s="49" t="s">
        <v>348</v>
      </c>
      <c r="AD180" s="49" t="s">
        <v>349</v>
      </c>
    </row>
    <row r="181" spans="2:30" ht="24.6" outlineLevel="1" thickBot="1">
      <c r="B181" s="440"/>
      <c r="C181" s="441"/>
      <c r="D181" s="456"/>
      <c r="E181" s="456"/>
      <c r="F181" s="457"/>
      <c r="G181" s="424"/>
      <c r="H181" s="424"/>
      <c r="I181" s="424"/>
      <c r="J181" s="424"/>
      <c r="K181" s="447"/>
      <c r="L181" s="423"/>
      <c r="M181" s="362"/>
      <c r="N181" s="362"/>
      <c r="P181" s="50"/>
      <c r="Q181" s="50"/>
      <c r="R181" s="51"/>
      <c r="S181" s="51"/>
      <c r="T181" s="51"/>
      <c r="U181" s="51" t="s">
        <v>723</v>
      </c>
      <c r="V181" s="50" t="s">
        <v>724</v>
      </c>
      <c r="W181" s="50"/>
      <c r="X181" s="50"/>
      <c r="Y181" s="50"/>
      <c r="Z181" s="50"/>
      <c r="AA181" s="50"/>
      <c r="AB181" s="50"/>
      <c r="AC181" s="50"/>
      <c r="AD181" s="50"/>
    </row>
    <row r="182" spans="2:30" ht="43.8" outlineLevel="1" thickBot="1">
      <c r="B182" s="400" t="s">
        <v>662</v>
      </c>
      <c r="C182" s="401"/>
      <c r="D182" s="402"/>
      <c r="E182" s="403"/>
      <c r="F182" s="404"/>
      <c r="G182" s="405"/>
      <c r="H182" s="405"/>
      <c r="I182" s="405"/>
      <c r="J182" s="405"/>
      <c r="K182" s="458"/>
      <c r="L182" s="459"/>
      <c r="M182" s="362"/>
      <c r="N182" s="362"/>
      <c r="O182" s="460" t="s">
        <v>695</v>
      </c>
      <c r="P182" s="56"/>
      <c r="Q182" s="56"/>
      <c r="R182" s="57"/>
      <c r="S182" s="57"/>
      <c r="T182" s="57"/>
      <c r="U182" s="56" t="s">
        <v>350</v>
      </c>
      <c r="V182" s="56" t="s">
        <v>326</v>
      </c>
      <c r="W182" s="56" t="s">
        <v>327</v>
      </c>
      <c r="X182" s="56" t="s">
        <v>351</v>
      </c>
      <c r="Y182" s="56" t="s">
        <v>351</v>
      </c>
      <c r="Z182" s="56" t="s">
        <v>352</v>
      </c>
      <c r="AA182" s="56" t="s">
        <v>352</v>
      </c>
      <c r="AB182" s="56" t="s">
        <v>352</v>
      </c>
      <c r="AC182" s="56" t="s">
        <v>352</v>
      </c>
      <c r="AD182" s="56" t="s">
        <v>352</v>
      </c>
    </row>
    <row r="183" spans="2:30" outlineLevel="1">
      <c r="B183" s="450" t="s">
        <v>725</v>
      </c>
      <c r="C183" s="632">
        <f>C173*0.2</f>
        <v>0.14599999999999999</v>
      </c>
      <c r="D183" s="632">
        <f>D173*0.2</f>
        <v>0.13</v>
      </c>
      <c r="E183" s="632">
        <f>E173*0.2</f>
        <v>0.12</v>
      </c>
      <c r="F183" s="632">
        <f>F173*0.2</f>
        <v>0.11599999999999999</v>
      </c>
      <c r="G183" s="462"/>
      <c r="H183" s="462"/>
      <c r="I183" s="462"/>
      <c r="J183" s="462"/>
      <c r="K183" s="462" t="s">
        <v>51</v>
      </c>
      <c r="L183" s="463"/>
      <c r="M183" s="362"/>
      <c r="N183" s="362"/>
      <c r="O183" s="464">
        <f>C156</f>
        <v>528</v>
      </c>
      <c r="P183" s="465">
        <f>C152</f>
        <v>2020</v>
      </c>
      <c r="Q183" s="58">
        <f>P183</f>
        <v>2020</v>
      </c>
      <c r="R183" s="465">
        <f>O183/100</f>
        <v>5.28</v>
      </c>
      <c r="S183" s="58"/>
      <c r="T183" s="465">
        <f>C160</f>
        <v>20</v>
      </c>
      <c r="U183" s="466">
        <f>C190</f>
        <v>5438.5</v>
      </c>
      <c r="V183" s="466">
        <f>C192</f>
        <v>14.9</v>
      </c>
      <c r="W183" s="466">
        <f>C193</f>
        <v>6.7463888888888883</v>
      </c>
      <c r="X183" s="58"/>
      <c r="Y183" s="58"/>
      <c r="Z183" s="465" t="str">
        <f>C167</f>
        <v>Cf. the utilized electricity</v>
      </c>
      <c r="AA183" s="467">
        <f>C169</f>
        <v>0</v>
      </c>
      <c r="AB183" s="467">
        <f>C170</f>
        <v>0</v>
      </c>
      <c r="AC183" s="467">
        <f>C171</f>
        <v>0</v>
      </c>
      <c r="AD183" s="467">
        <f>C168</f>
        <v>0</v>
      </c>
    </row>
    <row r="184" spans="2:30" outlineLevel="1">
      <c r="B184" s="375" t="s">
        <v>726</v>
      </c>
      <c r="C184" s="468" t="s">
        <v>36</v>
      </c>
      <c r="D184" s="469" t="s">
        <v>36</v>
      </c>
      <c r="E184" s="469" t="s">
        <v>36</v>
      </c>
      <c r="F184" s="470" t="s">
        <v>36</v>
      </c>
      <c r="G184" s="470"/>
      <c r="H184" s="470"/>
      <c r="I184" s="470"/>
      <c r="J184" s="470"/>
      <c r="K184" s="471"/>
      <c r="L184" s="463"/>
      <c r="M184" s="362"/>
      <c r="N184" s="362"/>
      <c r="O184" s="464">
        <f>D156</f>
        <v>543.99</v>
      </c>
      <c r="P184" s="465">
        <f>D152</f>
        <v>2030</v>
      </c>
      <c r="Q184" s="58"/>
      <c r="R184" s="465">
        <f>O184/100</f>
        <v>5.4398999999999997</v>
      </c>
      <c r="S184" s="58"/>
      <c r="T184" s="465">
        <f>D160</f>
        <v>20</v>
      </c>
      <c r="U184" s="466">
        <f>D190</f>
        <v>4842.5</v>
      </c>
      <c r="V184" s="466">
        <f>D192</f>
        <v>14.9</v>
      </c>
      <c r="W184" s="466">
        <f>D193</f>
        <v>6.6222222222222227</v>
      </c>
      <c r="X184" s="58"/>
      <c r="Y184" s="58"/>
      <c r="Z184" s="465">
        <f>D167</f>
        <v>0</v>
      </c>
      <c r="AA184" s="467">
        <f>D169</f>
        <v>0</v>
      </c>
      <c r="AB184" s="467">
        <f>D170</f>
        <v>0</v>
      </c>
      <c r="AC184" s="467">
        <f>D171</f>
        <v>0</v>
      </c>
      <c r="AD184" s="467">
        <f>D168</f>
        <v>0</v>
      </c>
    </row>
    <row r="185" spans="2:30" outlineLevel="1">
      <c r="B185" s="375" t="s">
        <v>727</v>
      </c>
      <c r="C185" s="468" t="s">
        <v>36</v>
      </c>
      <c r="D185" s="469" t="s">
        <v>36</v>
      </c>
      <c r="E185" s="469" t="s">
        <v>36</v>
      </c>
      <c r="F185" s="470" t="s">
        <v>36</v>
      </c>
      <c r="G185" s="452"/>
      <c r="H185" s="452"/>
      <c r="I185" s="452"/>
      <c r="J185" s="452"/>
      <c r="K185" s="452"/>
      <c r="L185" s="379"/>
      <c r="M185" s="362"/>
      <c r="N185" s="362"/>
      <c r="O185" s="464">
        <f>E156</f>
        <v>554.96979999999996</v>
      </c>
      <c r="P185" s="465">
        <f>E152</f>
        <v>2040</v>
      </c>
      <c r="Q185" s="58"/>
      <c r="R185" s="465">
        <f>O185/100</f>
        <v>5.5496979999999994</v>
      </c>
      <c r="S185" s="58"/>
      <c r="T185" s="465">
        <f>E160</f>
        <v>20</v>
      </c>
      <c r="U185" s="466">
        <f>E190</f>
        <v>4470</v>
      </c>
      <c r="V185" s="466">
        <f>E192</f>
        <v>14.9</v>
      </c>
      <c r="W185" s="466">
        <f>E193</f>
        <v>6.5394444444444444</v>
      </c>
      <c r="X185" s="58"/>
      <c r="Y185" s="58"/>
      <c r="Z185" s="465">
        <f>E167</f>
        <v>0</v>
      </c>
      <c r="AA185" s="467">
        <f>E169</f>
        <v>0</v>
      </c>
      <c r="AB185" s="467">
        <f>E170</f>
        <v>0</v>
      </c>
      <c r="AC185" s="467">
        <f>E171</f>
        <v>0</v>
      </c>
      <c r="AD185" s="467">
        <f>E168</f>
        <v>0</v>
      </c>
    </row>
    <row r="186" spans="2:30" outlineLevel="1">
      <c r="B186" s="375" t="s">
        <v>728</v>
      </c>
      <c r="C186" s="1237" t="s">
        <v>649</v>
      </c>
      <c r="D186" s="1238"/>
      <c r="E186" s="1238"/>
      <c r="F186" s="1239"/>
      <c r="G186" s="473"/>
      <c r="H186" s="473"/>
      <c r="I186" s="473"/>
      <c r="J186" s="473"/>
      <c r="K186" s="473"/>
      <c r="L186" s="379"/>
      <c r="M186" s="362"/>
      <c r="N186" s="362"/>
      <c r="O186" s="464">
        <f>F156</f>
        <v>560.56949799999995</v>
      </c>
      <c r="P186" s="465">
        <f>F152</f>
        <v>2050</v>
      </c>
      <c r="Q186" s="58"/>
      <c r="R186" s="465">
        <f>O186/100</f>
        <v>5.6056949799999991</v>
      </c>
      <c r="S186" s="58"/>
      <c r="T186" s="465">
        <f>F160</f>
        <v>20</v>
      </c>
      <c r="U186" s="466">
        <f>F190</f>
        <v>4321</v>
      </c>
      <c r="V186" s="466">
        <f>F192</f>
        <v>14.9</v>
      </c>
      <c r="W186" s="466">
        <f>F193</f>
        <v>6.4566666666666661</v>
      </c>
      <c r="X186" s="58"/>
      <c r="Y186" s="58"/>
      <c r="Z186" s="465">
        <f>F167</f>
        <v>0</v>
      </c>
      <c r="AA186" s="467">
        <f>F169</f>
        <v>0</v>
      </c>
      <c r="AB186" s="467">
        <f>F170</f>
        <v>0</v>
      </c>
      <c r="AC186" s="467">
        <f>F171</f>
        <v>0</v>
      </c>
      <c r="AD186" s="467">
        <f>F168</f>
        <v>0</v>
      </c>
    </row>
    <row r="187" spans="2:30" outlineLevel="1">
      <c r="B187" s="474" t="s">
        <v>729</v>
      </c>
      <c r="C187" s="468">
        <v>30</v>
      </c>
      <c r="D187" s="469">
        <v>30</v>
      </c>
      <c r="E187" s="469">
        <v>30</v>
      </c>
      <c r="F187" s="470">
        <v>30</v>
      </c>
      <c r="G187" s="473"/>
      <c r="H187" s="473"/>
      <c r="I187" s="473"/>
      <c r="J187" s="473"/>
      <c r="K187" s="473" t="s">
        <v>52</v>
      </c>
      <c r="L187" s="475"/>
      <c r="M187" s="366"/>
      <c r="N187" s="366"/>
    </row>
    <row r="188" spans="2:30" outlineLevel="1">
      <c r="B188" s="474" t="s">
        <v>730</v>
      </c>
      <c r="C188" s="468">
        <v>20</v>
      </c>
      <c r="D188" s="469">
        <v>20</v>
      </c>
      <c r="E188" s="469">
        <v>20</v>
      </c>
      <c r="F188" s="470">
        <v>20</v>
      </c>
      <c r="G188" s="473"/>
      <c r="H188" s="473"/>
      <c r="I188" s="473"/>
      <c r="J188" s="473"/>
      <c r="K188" s="473" t="s">
        <v>52</v>
      </c>
      <c r="L188" s="475"/>
      <c r="M188" s="362"/>
      <c r="N188" s="362"/>
    </row>
    <row r="189" spans="2:30" ht="15" outlineLevel="1" thickBot="1">
      <c r="B189" s="476" t="s">
        <v>731</v>
      </c>
      <c r="C189" s="477" t="s">
        <v>36</v>
      </c>
      <c r="D189" s="478" t="s">
        <v>36</v>
      </c>
      <c r="E189" s="478" t="s">
        <v>36</v>
      </c>
      <c r="F189" s="479" t="s">
        <v>36</v>
      </c>
      <c r="G189" s="480"/>
      <c r="H189" s="480"/>
      <c r="I189" s="480"/>
      <c r="J189" s="480"/>
      <c r="K189" s="480"/>
      <c r="L189" s="481"/>
      <c r="M189" s="362"/>
      <c r="N189" s="362"/>
    </row>
    <row r="190" spans="2:30" ht="57.6" outlineLevel="1">
      <c r="B190" s="460" t="s">
        <v>732</v>
      </c>
      <c r="C190" s="482">
        <f>C173*$F$4*1000</f>
        <v>5438.5</v>
      </c>
      <c r="D190" s="482">
        <f t="shared" ref="D190:F190" si="9">D173*$F$4*1000</f>
        <v>4842.5</v>
      </c>
      <c r="E190" s="482">
        <f t="shared" si="9"/>
        <v>4470</v>
      </c>
      <c r="F190" s="482">
        <f t="shared" si="9"/>
        <v>4321</v>
      </c>
      <c r="G190" s="482"/>
      <c r="H190" s="483"/>
      <c r="I190" s="419" t="s">
        <v>332</v>
      </c>
      <c r="J190" s="419"/>
      <c r="K190" s="483"/>
      <c r="L190" s="483"/>
      <c r="N190" s="419"/>
    </row>
    <row r="191" spans="2:30" outlineLevel="1">
      <c r="B191" s="484" t="s">
        <v>733</v>
      </c>
      <c r="C191" s="485">
        <f>C190*$I191</f>
        <v>2719250</v>
      </c>
      <c r="D191" s="485">
        <f>D190*$I191</f>
        <v>2421250</v>
      </c>
      <c r="E191" s="485">
        <f>E190*$I191</f>
        <v>2235000</v>
      </c>
      <c r="F191" s="485">
        <f>F190*$I191</f>
        <v>2160500</v>
      </c>
      <c r="G191" s="485"/>
      <c r="H191" s="483"/>
      <c r="I191" s="71">
        <v>500</v>
      </c>
      <c r="J191" s="419" t="s">
        <v>330</v>
      </c>
      <c r="K191" s="483"/>
      <c r="L191" s="483"/>
      <c r="N191" s="419"/>
    </row>
    <row r="192" spans="2:30" ht="43.2" outlineLevel="1">
      <c r="B192" s="460" t="s">
        <v>808</v>
      </c>
      <c r="C192" s="358">
        <f>C176*$F$4/1000</f>
        <v>14.9</v>
      </c>
      <c r="D192" s="358">
        <f t="shared" ref="D192:F192" si="10">D176*$F$4/1000</f>
        <v>14.9</v>
      </c>
      <c r="E192" s="358">
        <f t="shared" si="10"/>
        <v>14.9</v>
      </c>
      <c r="F192" s="358">
        <f t="shared" si="10"/>
        <v>14.9</v>
      </c>
      <c r="G192" s="358"/>
      <c r="I192" s="419" t="s">
        <v>333</v>
      </c>
      <c r="J192" s="419"/>
      <c r="N192" s="419"/>
    </row>
    <row r="193" spans="2:14" ht="43.2" outlineLevel="1">
      <c r="B193" s="460" t="s">
        <v>809</v>
      </c>
      <c r="C193" s="486">
        <f>C177*$F$4/3.6</f>
        <v>6.7463888888888883</v>
      </c>
      <c r="D193" s="486">
        <f t="shared" ref="D193:F193" si="11">D177*$F$4/3.6</f>
        <v>6.6222222222222227</v>
      </c>
      <c r="E193" s="486">
        <f t="shared" si="11"/>
        <v>6.5394444444444444</v>
      </c>
      <c r="F193" s="486">
        <f t="shared" si="11"/>
        <v>6.4566666666666661</v>
      </c>
      <c r="G193" s="358"/>
      <c r="M193" s="419"/>
      <c r="N193" s="419"/>
    </row>
    <row r="194" spans="2:14" outlineLevel="1"/>
    <row r="195" spans="2:14" outlineLevel="1"/>
    <row r="196" spans="2:14" outlineLevel="1"/>
    <row r="197" spans="2:14" outlineLevel="1"/>
    <row r="198" spans="2:14" outlineLevel="1">
      <c r="E198" s="357"/>
      <c r="F198" s="357"/>
      <c r="G198" s="357"/>
      <c r="H198" s="357"/>
      <c r="I198" s="357"/>
      <c r="J198" s="357"/>
      <c r="K198" s="357"/>
      <c r="L198" s="357"/>
    </row>
    <row r="199" spans="2:14" outlineLevel="1">
      <c r="B199" s="633" t="s">
        <v>736</v>
      </c>
      <c r="C199" s="489"/>
      <c r="D199" s="489"/>
      <c r="E199" s="357"/>
      <c r="F199" s="357"/>
      <c r="G199" s="357"/>
      <c r="H199" s="357"/>
      <c r="I199" s="357"/>
      <c r="J199" s="357"/>
      <c r="K199" s="357"/>
      <c r="L199" s="357"/>
    </row>
    <row r="200" spans="2:14" outlineLevel="1">
      <c r="B200" s="357">
        <v>1</v>
      </c>
      <c r="C200" s="634" t="s">
        <v>810</v>
      </c>
      <c r="D200" s="489"/>
      <c r="F200" s="357"/>
      <c r="G200" s="357"/>
      <c r="H200" s="357"/>
      <c r="I200" s="357"/>
      <c r="J200" s="357"/>
      <c r="K200" s="357"/>
      <c r="L200" s="357"/>
    </row>
    <row r="201" spans="2:14" outlineLevel="1">
      <c r="B201" s="357">
        <v>2</v>
      </c>
      <c r="C201" s="634" t="s">
        <v>811</v>
      </c>
      <c r="D201" s="489"/>
      <c r="F201" s="357"/>
      <c r="G201" s="357"/>
      <c r="H201" s="357"/>
      <c r="I201" s="357"/>
      <c r="J201" s="357"/>
      <c r="K201" s="357"/>
      <c r="L201" s="357"/>
    </row>
    <row r="202" spans="2:14" outlineLevel="1">
      <c r="B202" s="357">
        <v>3</v>
      </c>
      <c r="C202" s="489" t="s">
        <v>812</v>
      </c>
      <c r="D202" s="489"/>
      <c r="F202" s="357"/>
      <c r="G202" s="357"/>
      <c r="H202" s="357"/>
      <c r="I202" s="357"/>
      <c r="J202" s="357"/>
      <c r="K202" s="357"/>
      <c r="L202" s="357"/>
    </row>
    <row r="203" spans="2:14" outlineLevel="1">
      <c r="B203" s="357">
        <v>4</v>
      </c>
      <c r="C203" s="489" t="s">
        <v>813</v>
      </c>
      <c r="D203" s="489"/>
      <c r="F203" s="357"/>
      <c r="G203" s="357"/>
      <c r="H203" s="357"/>
      <c r="I203" s="357"/>
      <c r="J203" s="357"/>
      <c r="K203" s="357"/>
      <c r="L203" s="357"/>
    </row>
    <row r="204" spans="2:14" outlineLevel="1">
      <c r="B204" s="357">
        <v>5</v>
      </c>
      <c r="C204" s="635" t="s">
        <v>814</v>
      </c>
      <c r="D204" s="489"/>
      <c r="F204" s="357"/>
      <c r="G204" s="357"/>
      <c r="H204" s="357"/>
      <c r="I204" s="357"/>
      <c r="J204" s="357"/>
      <c r="K204" s="357"/>
      <c r="L204" s="357"/>
    </row>
    <row r="205" spans="2:14" outlineLevel="1">
      <c r="B205" s="357">
        <v>6</v>
      </c>
      <c r="C205" s="489" t="s">
        <v>815</v>
      </c>
      <c r="D205" s="489"/>
      <c r="F205" s="357"/>
      <c r="G205" s="357"/>
      <c r="H205" s="357"/>
      <c r="I205" s="357"/>
      <c r="J205" s="357"/>
      <c r="K205" s="357"/>
      <c r="L205" s="357"/>
    </row>
    <row r="206" spans="2:14" outlineLevel="1">
      <c r="B206" s="633" t="s">
        <v>746</v>
      </c>
      <c r="C206" s="357"/>
      <c r="D206" s="489"/>
      <c r="F206" s="357"/>
      <c r="G206" s="357"/>
      <c r="H206" s="357"/>
      <c r="I206" s="357"/>
      <c r="J206" s="357"/>
      <c r="K206" s="357"/>
      <c r="L206" s="357"/>
    </row>
    <row r="207" spans="2:14" outlineLevel="1">
      <c r="B207" s="636" t="s">
        <v>6</v>
      </c>
      <c r="C207" s="489" t="s">
        <v>816</v>
      </c>
      <c r="D207" s="489"/>
      <c r="F207" s="357"/>
      <c r="G207" s="357"/>
      <c r="H207" s="357"/>
      <c r="I207" s="357"/>
      <c r="J207" s="357"/>
      <c r="K207" s="357"/>
      <c r="L207" s="357"/>
    </row>
    <row r="208" spans="2:14" outlineLevel="1">
      <c r="B208" s="636" t="s">
        <v>59</v>
      </c>
      <c r="C208" s="489" t="s">
        <v>817</v>
      </c>
      <c r="D208" s="489"/>
      <c r="F208" s="357"/>
      <c r="G208" s="357"/>
      <c r="H208" s="357"/>
      <c r="I208" s="357"/>
      <c r="J208" s="357"/>
      <c r="K208" s="357"/>
      <c r="L208" s="357"/>
    </row>
    <row r="209" spans="1:44" outlineLevel="1">
      <c r="B209" s="636" t="s">
        <v>16</v>
      </c>
      <c r="C209" s="489" t="s">
        <v>818</v>
      </c>
      <c r="D209" s="489"/>
      <c r="F209" s="357"/>
      <c r="G209" s="357"/>
      <c r="H209" s="357"/>
      <c r="I209" s="357"/>
      <c r="J209" s="357"/>
      <c r="K209" s="357"/>
      <c r="L209" s="357"/>
    </row>
    <row r="210" spans="1:44" outlineLevel="1">
      <c r="B210" s="636" t="s">
        <v>20</v>
      </c>
      <c r="C210" s="489" t="s">
        <v>819</v>
      </c>
      <c r="D210" s="489"/>
      <c r="F210" s="357"/>
      <c r="G210" s="357"/>
      <c r="H210" s="357"/>
      <c r="I210" s="357"/>
      <c r="J210" s="357"/>
      <c r="K210" s="357"/>
      <c r="L210" s="357"/>
    </row>
    <row r="211" spans="1:44" outlineLevel="1">
      <c r="B211" s="636" t="s">
        <v>76</v>
      </c>
      <c r="C211" s="489" t="s">
        <v>820</v>
      </c>
      <c r="D211" s="489"/>
      <c r="F211" s="357"/>
      <c r="G211" s="357"/>
      <c r="H211" s="357"/>
      <c r="I211" s="357"/>
      <c r="J211" s="357"/>
      <c r="K211" s="357"/>
      <c r="L211" s="357"/>
    </row>
    <row r="212" spans="1:44" outlineLevel="1">
      <c r="B212" s="636" t="s">
        <v>25</v>
      </c>
      <c r="C212" s="489" t="s">
        <v>821</v>
      </c>
      <c r="D212" s="357"/>
      <c r="F212" s="357"/>
      <c r="G212" s="357"/>
      <c r="H212" s="357"/>
      <c r="I212" s="357"/>
      <c r="J212" s="357"/>
      <c r="K212" s="357"/>
      <c r="L212" s="357"/>
    </row>
    <row r="213" spans="1:44" outlineLevel="1">
      <c r="B213" s="636" t="s">
        <v>33</v>
      </c>
      <c r="C213" s="488" t="s">
        <v>751</v>
      </c>
      <c r="D213" s="357"/>
      <c r="F213" s="357"/>
      <c r="G213" s="357"/>
      <c r="H213" s="357"/>
      <c r="I213" s="357"/>
      <c r="J213" s="357"/>
      <c r="K213" s="357"/>
      <c r="L213" s="357"/>
    </row>
    <row r="214" spans="1:44" outlineLevel="1">
      <c r="B214" s="636" t="s">
        <v>51</v>
      </c>
      <c r="C214" s="489" t="s">
        <v>822</v>
      </c>
      <c r="D214" s="357"/>
      <c r="G214" s="357"/>
      <c r="H214" s="357"/>
      <c r="I214" s="357"/>
      <c r="J214" s="357"/>
      <c r="K214" s="357"/>
      <c r="L214" s="357"/>
    </row>
    <row r="215" spans="1:44" outlineLevel="1">
      <c r="B215" s="636" t="s">
        <v>52</v>
      </c>
      <c r="C215" s="489" t="s">
        <v>823</v>
      </c>
      <c r="E215" s="489"/>
      <c r="F215" s="489"/>
    </row>
    <row r="217" spans="1:44" ht="15" thickBot="1">
      <c r="A217" s="359"/>
    </row>
    <row r="218" spans="1:44" ht="20.55" customHeight="1" outlineLevel="1" thickBot="1">
      <c r="B218" s="361"/>
      <c r="C218" s="1183"/>
      <c r="D218" s="1202"/>
      <c r="E218" s="1202"/>
      <c r="F218" s="1202"/>
      <c r="G218" s="1202"/>
      <c r="H218" s="1202"/>
      <c r="I218" s="1202"/>
      <c r="J218" s="1202"/>
      <c r="K218" s="1202"/>
      <c r="L218" s="1203"/>
      <c r="M218" s="362"/>
      <c r="N218" s="362"/>
      <c r="P218" s="363"/>
      <c r="Q218" s="364"/>
      <c r="R218" s="365"/>
      <c r="S218" s="1173"/>
      <c r="T218" s="1157"/>
      <c r="U218" s="1158"/>
      <c r="V218" s="1157"/>
      <c r="W218" s="1158"/>
      <c r="X218" s="1157"/>
      <c r="Y218" s="1158"/>
      <c r="Z218" s="1157"/>
      <c r="AA218" s="1158"/>
      <c r="AB218" s="1157"/>
      <c r="AC218" s="1158"/>
      <c r="AE218" s="363"/>
      <c r="AF218" s="364"/>
      <c r="AG218" s="365"/>
      <c r="AH218" s="1173"/>
      <c r="AI218" s="1157"/>
      <c r="AJ218" s="1158"/>
      <c r="AK218" s="1157"/>
      <c r="AL218" s="1158"/>
      <c r="AM218" s="1157"/>
      <c r="AN218" s="1158"/>
      <c r="AO218" s="1157"/>
      <c r="AP218" s="1158"/>
      <c r="AQ218" s="1157"/>
      <c r="AR218" s="1158"/>
    </row>
    <row r="219" spans="1:44" ht="15" customHeight="1" outlineLevel="1" thickBot="1">
      <c r="B219" s="1161"/>
      <c r="C219" s="1163"/>
      <c r="D219" s="1163"/>
      <c r="E219" s="1163"/>
      <c r="F219" s="1163"/>
      <c r="G219" s="1165"/>
      <c r="H219" s="1166"/>
      <c r="I219" s="1165"/>
      <c r="J219" s="1166"/>
      <c r="K219" s="1186"/>
      <c r="L219" s="1186"/>
      <c r="M219" s="366"/>
      <c r="N219" s="366"/>
      <c r="P219" s="1177"/>
      <c r="Q219" s="367"/>
      <c r="R219" s="367"/>
      <c r="S219" s="1174"/>
      <c r="T219" s="1159"/>
      <c r="U219" s="1160"/>
      <c r="V219" s="1159"/>
      <c r="W219" s="1160"/>
      <c r="X219" s="1159"/>
      <c r="Y219" s="1160"/>
      <c r="Z219" s="1159"/>
      <c r="AA219" s="1160"/>
      <c r="AB219" s="1159"/>
      <c r="AC219" s="1160"/>
      <c r="AE219" s="1177"/>
      <c r="AF219" s="367"/>
      <c r="AG219" s="367"/>
      <c r="AH219" s="1174"/>
      <c r="AI219" s="1159"/>
      <c r="AJ219" s="1160"/>
      <c r="AK219" s="1159"/>
      <c r="AL219" s="1160"/>
      <c r="AM219" s="1159"/>
      <c r="AN219" s="1160"/>
      <c r="AO219" s="1159"/>
      <c r="AP219" s="1160"/>
      <c r="AQ219" s="1159"/>
      <c r="AR219" s="1160"/>
    </row>
    <row r="220" spans="1:44" ht="15" customHeight="1" outlineLevel="1" thickBot="1">
      <c r="B220" s="1162"/>
      <c r="C220" s="1164"/>
      <c r="D220" s="1164"/>
      <c r="E220" s="1164"/>
      <c r="F220" s="1164"/>
      <c r="G220" s="405"/>
      <c r="H220" s="405"/>
      <c r="I220" s="405"/>
      <c r="J220" s="405"/>
      <c r="K220" s="1187"/>
      <c r="L220" s="1187"/>
      <c r="M220" s="369"/>
      <c r="N220" s="369"/>
      <c r="P220" s="1178"/>
      <c r="Q220" s="1180"/>
      <c r="R220" s="1181"/>
      <c r="S220" s="1175"/>
      <c r="T220" s="1159"/>
      <c r="U220" s="1160"/>
      <c r="V220" s="1159"/>
      <c r="W220" s="1160"/>
      <c r="X220" s="1159"/>
      <c r="Y220" s="1160"/>
      <c r="Z220" s="1159"/>
      <c r="AA220" s="1160"/>
      <c r="AB220" s="1159"/>
      <c r="AC220" s="1160"/>
      <c r="AE220" s="1178"/>
      <c r="AF220" s="1194"/>
      <c r="AG220" s="1181"/>
      <c r="AH220" s="1175"/>
      <c r="AI220" s="1159"/>
      <c r="AJ220" s="1160"/>
      <c r="AK220" s="1159"/>
      <c r="AL220" s="1160"/>
      <c r="AM220" s="1159"/>
      <c r="AN220" s="1160"/>
      <c r="AO220" s="1159"/>
      <c r="AP220" s="1160"/>
      <c r="AQ220" s="1159"/>
      <c r="AR220" s="1160"/>
    </row>
    <row r="221" spans="1:44" ht="15" outlineLevel="1" thickBot="1">
      <c r="B221" s="370"/>
      <c r="C221" s="371"/>
      <c r="D221" s="371"/>
      <c r="E221" s="371"/>
      <c r="F221" s="371"/>
      <c r="G221" s="371"/>
      <c r="H221" s="371"/>
      <c r="I221" s="371"/>
      <c r="J221" s="371"/>
      <c r="K221" s="371"/>
      <c r="L221" s="372"/>
      <c r="M221" s="369"/>
      <c r="N221" s="369"/>
      <c r="O221" s="74"/>
      <c r="P221" s="1179"/>
      <c r="Q221" s="1176"/>
      <c r="R221" s="1182"/>
      <c r="S221" s="1176"/>
      <c r="T221" s="373"/>
      <c r="U221" s="374"/>
      <c r="V221" s="373"/>
      <c r="W221" s="374"/>
      <c r="X221" s="373"/>
      <c r="Y221" s="374"/>
      <c r="Z221" s="373"/>
      <c r="AA221" s="374"/>
      <c r="AB221" s="373"/>
      <c r="AC221" s="374"/>
      <c r="AE221" s="1179"/>
      <c r="AF221" s="1195"/>
      <c r="AG221" s="1182"/>
      <c r="AH221" s="1176"/>
      <c r="AI221" s="373"/>
      <c r="AJ221" s="374"/>
      <c r="AK221" s="373"/>
      <c r="AL221" s="374"/>
      <c r="AM221" s="373"/>
      <c r="AN221" s="374"/>
      <c r="AO221" s="373"/>
      <c r="AP221" s="374"/>
      <c r="AQ221" s="373"/>
      <c r="AR221" s="374"/>
    </row>
    <row r="222" spans="1:44" ht="14.55" customHeight="1" outlineLevel="1">
      <c r="B222" s="540"/>
      <c r="C222" s="541"/>
      <c r="D222" s="541"/>
      <c r="E222" s="542"/>
      <c r="F222" s="541"/>
      <c r="G222" s="541"/>
      <c r="H222" s="541"/>
      <c r="I222" s="541"/>
      <c r="J222" s="541"/>
      <c r="K222" s="546"/>
      <c r="L222" s="547"/>
      <c r="M222" s="369"/>
      <c r="N222" s="369"/>
      <c r="P222" s="1145"/>
      <c r="Q222" s="1151"/>
      <c r="R222" s="380"/>
      <c r="S222" s="381"/>
      <c r="T222" s="1134"/>
      <c r="U222" s="1148"/>
      <c r="V222" s="1134"/>
      <c r="W222" s="1148"/>
      <c r="X222" s="1134"/>
      <c r="Y222" s="1148"/>
      <c r="Z222" s="1134"/>
      <c r="AA222" s="1148"/>
      <c r="AB222" s="1134"/>
      <c r="AC222" s="1148"/>
      <c r="AE222" s="1145"/>
      <c r="AF222" s="1151"/>
      <c r="AG222" s="380"/>
      <c r="AH222" s="381"/>
      <c r="AI222" s="1134"/>
      <c r="AJ222" s="1148"/>
      <c r="AK222" s="1134"/>
      <c r="AL222" s="1148"/>
      <c r="AM222" s="1134"/>
      <c r="AN222" s="1148"/>
      <c r="AO222" s="1134"/>
      <c r="AP222" s="1148"/>
      <c r="AQ222" s="1134"/>
      <c r="AR222" s="1148"/>
    </row>
    <row r="223" spans="1:44" outlineLevel="1">
      <c r="B223" s="382"/>
      <c r="C223" s="383"/>
      <c r="D223" s="383"/>
      <c r="E223" s="383"/>
      <c r="F223" s="383"/>
      <c r="G223" s="504"/>
      <c r="H223" s="504"/>
      <c r="I223" s="504"/>
      <c r="J223" s="504"/>
      <c r="K223" s="371"/>
      <c r="L223" s="372"/>
      <c r="M223" s="369"/>
      <c r="N223" s="369"/>
      <c r="O223" s="71"/>
      <c r="P223" s="1192"/>
      <c r="Q223" s="1152"/>
      <c r="R223" s="387"/>
      <c r="S223" s="388"/>
      <c r="T223" s="1137"/>
      <c r="U223" s="1149"/>
      <c r="V223" s="1137"/>
      <c r="W223" s="1149"/>
      <c r="X223" s="1137"/>
      <c r="Y223" s="1149"/>
      <c r="Z223" s="1137"/>
      <c r="AA223" s="1149"/>
      <c r="AB223" s="1137"/>
      <c r="AC223" s="1149"/>
      <c r="AE223" s="1192"/>
      <c r="AF223" s="1152"/>
      <c r="AG223" s="387"/>
      <c r="AH223" s="388"/>
      <c r="AI223" s="1137"/>
      <c r="AJ223" s="1149"/>
      <c r="AK223" s="1137"/>
      <c r="AL223" s="1149"/>
      <c r="AM223" s="1137"/>
      <c r="AN223" s="1149"/>
      <c r="AO223" s="1137"/>
      <c r="AP223" s="1149"/>
      <c r="AQ223" s="1137"/>
      <c r="AR223" s="1149"/>
    </row>
    <row r="224" spans="1:44" ht="15" outlineLevel="1" thickBot="1">
      <c r="B224" s="540"/>
      <c r="C224" s="543"/>
      <c r="D224" s="544"/>
      <c r="E224" s="544"/>
      <c r="F224" s="545"/>
      <c r="G224" s="544"/>
      <c r="H224" s="544"/>
      <c r="I224" s="544"/>
      <c r="J224" s="544"/>
      <c r="K224" s="546"/>
      <c r="L224" s="547"/>
      <c r="M224" s="369"/>
      <c r="N224" s="369"/>
      <c r="O224" s="71"/>
      <c r="P224" s="1192"/>
      <c r="Q224" s="1153"/>
      <c r="R224" s="392"/>
      <c r="S224" s="393"/>
      <c r="T224" s="1138"/>
      <c r="U224" s="1150"/>
      <c r="V224" s="1138"/>
      <c r="W224" s="1150"/>
      <c r="X224" s="1138"/>
      <c r="Y224" s="1150"/>
      <c r="Z224" s="1138"/>
      <c r="AA224" s="1150"/>
      <c r="AB224" s="1138"/>
      <c r="AC224" s="1150"/>
      <c r="AE224" s="1192"/>
      <c r="AF224" s="1153"/>
      <c r="AG224" s="392"/>
      <c r="AH224" s="393"/>
      <c r="AI224" s="1138"/>
      <c r="AJ224" s="1150"/>
      <c r="AK224" s="1138"/>
      <c r="AL224" s="1150"/>
      <c r="AM224" s="1138"/>
      <c r="AN224" s="1150"/>
      <c r="AO224" s="1138"/>
      <c r="AP224" s="1150"/>
      <c r="AQ224" s="1138"/>
      <c r="AR224" s="1150"/>
    </row>
    <row r="225" spans="1:44" ht="14.55" customHeight="1" outlineLevel="1">
      <c r="B225" s="540"/>
      <c r="C225" s="543"/>
      <c r="D225" s="543"/>
      <c r="E225" s="543"/>
      <c r="F225" s="543"/>
      <c r="G225" s="543"/>
      <c r="H225" s="543"/>
      <c r="I225" s="543"/>
      <c r="J225" s="543"/>
      <c r="K225" s="546"/>
      <c r="L225" s="547"/>
      <c r="M225" s="369"/>
      <c r="N225" s="369"/>
      <c r="O225" s="71"/>
      <c r="P225" s="1192"/>
      <c r="Q225" s="1151"/>
      <c r="R225" s="394"/>
      <c r="S225" s="395"/>
      <c r="T225" s="1134"/>
      <c r="U225" s="1134"/>
      <c r="V225" s="1134"/>
      <c r="W225" s="1134"/>
      <c r="X225" s="1134"/>
      <c r="Y225" s="1134"/>
      <c r="Z225" s="1134"/>
      <c r="AA225" s="1134"/>
      <c r="AB225" s="1134"/>
      <c r="AC225" s="1134"/>
      <c r="AE225" s="1192"/>
      <c r="AF225" s="1151"/>
      <c r="AG225" s="394"/>
      <c r="AH225" s="395"/>
      <c r="AI225" s="1134"/>
      <c r="AJ225" s="1134"/>
      <c r="AK225" s="1134"/>
      <c r="AL225" s="1134"/>
      <c r="AM225" s="1134"/>
      <c r="AN225" s="1134"/>
      <c r="AO225" s="1134"/>
      <c r="AP225" s="1134"/>
      <c r="AQ225" s="1134"/>
      <c r="AR225" s="1134"/>
    </row>
    <row r="226" spans="1:44" outlineLevel="1">
      <c r="B226" s="540"/>
      <c r="C226" s="543"/>
      <c r="D226" s="543"/>
      <c r="E226" s="543"/>
      <c r="F226" s="543"/>
      <c r="G226" s="543"/>
      <c r="H226" s="543"/>
      <c r="I226" s="543"/>
      <c r="J226" s="543"/>
      <c r="K226" s="546"/>
      <c r="L226" s="547"/>
      <c r="M226" s="366"/>
      <c r="N226" s="366"/>
      <c r="O226" s="71"/>
      <c r="P226" s="1192"/>
      <c r="Q226" s="1152"/>
      <c r="R226" s="394"/>
      <c r="S226" s="395"/>
      <c r="T226" s="1135"/>
      <c r="U226" s="1135"/>
      <c r="V226" s="1135"/>
      <c r="W226" s="1135"/>
      <c r="X226" s="1135"/>
      <c r="Y226" s="1135"/>
      <c r="Z226" s="1135"/>
      <c r="AA226" s="1135"/>
      <c r="AB226" s="1135"/>
      <c r="AC226" s="1135"/>
      <c r="AE226" s="1192"/>
      <c r="AF226" s="1152"/>
      <c r="AG226" s="394"/>
      <c r="AH226" s="395"/>
      <c r="AI226" s="1135"/>
      <c r="AJ226" s="1135"/>
      <c r="AK226" s="1135"/>
      <c r="AL226" s="1135"/>
      <c r="AM226" s="1135"/>
      <c r="AN226" s="1135"/>
      <c r="AO226" s="1135"/>
      <c r="AP226" s="1135"/>
      <c r="AQ226" s="1135"/>
      <c r="AR226" s="1135"/>
    </row>
    <row r="227" spans="1:44" outlineLevel="1">
      <c r="B227" s="382"/>
      <c r="C227" s="396"/>
      <c r="D227" s="396"/>
      <c r="E227" s="396"/>
      <c r="F227" s="396"/>
      <c r="G227" s="398"/>
      <c r="H227" s="398"/>
      <c r="I227" s="398"/>
      <c r="J227" s="398"/>
      <c r="K227" s="371"/>
      <c r="L227" s="372"/>
      <c r="M227" s="362"/>
      <c r="N227" s="362"/>
      <c r="P227" s="1192"/>
      <c r="Q227" s="1152"/>
      <c r="R227" s="394"/>
      <c r="S227" s="395"/>
      <c r="T227" s="1135"/>
      <c r="U227" s="1135"/>
      <c r="V227" s="1135"/>
      <c r="W227" s="1135"/>
      <c r="X227" s="1135"/>
      <c r="Y227" s="1135"/>
      <c r="Z227" s="1135"/>
      <c r="AA227" s="1135"/>
      <c r="AB227" s="1135"/>
      <c r="AC227" s="1135"/>
      <c r="AE227" s="1192"/>
      <c r="AF227" s="1152"/>
      <c r="AG227" s="394"/>
      <c r="AH227" s="395"/>
      <c r="AI227" s="1135"/>
      <c r="AJ227" s="1135"/>
      <c r="AK227" s="1135"/>
      <c r="AL227" s="1135"/>
      <c r="AM227" s="1135"/>
      <c r="AN227" s="1135"/>
      <c r="AO227" s="1135"/>
      <c r="AP227" s="1135"/>
      <c r="AQ227" s="1135"/>
      <c r="AR227" s="1135"/>
    </row>
    <row r="228" spans="1:44" ht="15" outlineLevel="1" thickBot="1">
      <c r="B228" s="540"/>
      <c r="C228" s="543"/>
      <c r="D228" s="543"/>
      <c r="E228" s="543"/>
      <c r="F228" s="543"/>
      <c r="G228" s="543"/>
      <c r="H228" s="543"/>
      <c r="I228" s="543"/>
      <c r="J228" s="543"/>
      <c r="K228" s="546"/>
      <c r="L228" s="558"/>
      <c r="M228" s="362"/>
      <c r="N228" s="362"/>
      <c r="P228" s="1192"/>
      <c r="Q228" s="1152"/>
      <c r="R228" s="394"/>
      <c r="S228" s="395"/>
      <c r="T228" s="1135"/>
      <c r="U228" s="1135"/>
      <c r="V228" s="1135"/>
      <c r="W228" s="1135"/>
      <c r="X228" s="1135"/>
      <c r="Y228" s="1135"/>
      <c r="Z228" s="1135"/>
      <c r="AA228" s="1135"/>
      <c r="AB228" s="1135"/>
      <c r="AC228" s="1135"/>
      <c r="AE228" s="1192"/>
      <c r="AF228" s="1152"/>
      <c r="AG228" s="394"/>
      <c r="AH228" s="395"/>
      <c r="AI228" s="1135"/>
      <c r="AJ228" s="1135"/>
      <c r="AK228" s="1135"/>
      <c r="AL228" s="1135"/>
      <c r="AM228" s="1135"/>
      <c r="AN228" s="1135"/>
      <c r="AO228" s="1135"/>
      <c r="AP228" s="1135"/>
      <c r="AQ228" s="1135"/>
      <c r="AR228" s="1135"/>
    </row>
    <row r="229" spans="1:44" ht="15" outlineLevel="1" thickBot="1">
      <c r="B229" s="400"/>
      <c r="C229" s="401"/>
      <c r="D229" s="402"/>
      <c r="E229" s="403"/>
      <c r="F229" s="404"/>
      <c r="G229" s="405"/>
      <c r="H229" s="405"/>
      <c r="I229" s="405"/>
      <c r="J229" s="405"/>
      <c r="K229" s="406"/>
      <c r="L229" s="407"/>
      <c r="M229" s="362"/>
      <c r="N229" s="362"/>
      <c r="P229" s="1192"/>
      <c r="Q229" s="1152"/>
      <c r="R229" s="408"/>
      <c r="S229" s="409"/>
      <c r="T229" s="1136"/>
      <c r="U229" s="1136"/>
      <c r="V229" s="1136"/>
      <c r="W229" s="1136"/>
      <c r="X229" s="1136"/>
      <c r="Y229" s="1136"/>
      <c r="Z229" s="1136"/>
      <c r="AA229" s="1136"/>
      <c r="AB229" s="1136"/>
      <c r="AC229" s="1136"/>
      <c r="AE229" s="1192"/>
      <c r="AF229" s="1152"/>
      <c r="AG229" s="408"/>
      <c r="AH229" s="409"/>
      <c r="AI229" s="1136"/>
      <c r="AJ229" s="1136"/>
      <c r="AK229" s="1136"/>
      <c r="AL229" s="1136"/>
      <c r="AM229" s="1136"/>
      <c r="AN229" s="1136"/>
      <c r="AO229" s="1136"/>
      <c r="AP229" s="1136"/>
      <c r="AQ229" s="1136"/>
      <c r="AR229" s="1136"/>
    </row>
    <row r="230" spans="1:44" ht="15" outlineLevel="1" thickBot="1">
      <c r="B230" s="540"/>
      <c r="C230" s="543"/>
      <c r="D230" s="543"/>
      <c r="E230" s="543"/>
      <c r="F230" s="543"/>
      <c r="G230" s="544"/>
      <c r="H230" s="544"/>
      <c r="I230" s="544"/>
      <c r="J230" s="544"/>
      <c r="K230" s="546"/>
      <c r="L230" s="547"/>
      <c r="M230" s="362"/>
      <c r="N230" s="362"/>
      <c r="P230" s="1193"/>
      <c r="Q230" s="410"/>
      <c r="R230" s="411"/>
      <c r="S230" s="412"/>
      <c r="T230" s="413"/>
      <c r="U230" s="414"/>
      <c r="V230" s="413"/>
      <c r="W230" s="414"/>
      <c r="X230" s="413"/>
      <c r="Y230" s="414"/>
      <c r="Z230" s="413"/>
      <c r="AA230" s="414"/>
      <c r="AB230" s="413"/>
      <c r="AC230" s="416"/>
      <c r="AE230" s="1193"/>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5" outlineLevel="1" thickBot="1">
      <c r="B238" s="428"/>
      <c r="C238" s="429"/>
      <c r="D238" s="429"/>
      <c r="E238" s="429"/>
      <c r="F238" s="429"/>
      <c r="G238" s="424"/>
      <c r="H238" s="424"/>
      <c r="I238" s="424"/>
      <c r="J238" s="424"/>
      <c r="K238" s="422"/>
      <c r="L238" s="426"/>
      <c r="M238" s="427"/>
      <c r="N238" s="427"/>
    </row>
    <row r="239" spans="1:44" ht="15"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39"/>
      <c r="Q244" s="1140"/>
      <c r="R244" s="1140"/>
      <c r="S244" s="1140"/>
      <c r="T244" s="1140"/>
      <c r="U244" s="1141"/>
    </row>
    <row r="245" spans="2:30" ht="15" outlineLevel="1" thickBot="1">
      <c r="B245" s="540"/>
      <c r="C245" s="551"/>
      <c r="D245" s="551"/>
      <c r="E245" s="551"/>
      <c r="F245" s="551"/>
      <c r="G245" s="424"/>
      <c r="H245" s="424"/>
      <c r="I245" s="424"/>
      <c r="J245" s="424"/>
      <c r="K245" s="443"/>
      <c r="L245" s="372"/>
      <c r="M245" s="449"/>
      <c r="N245" s="360"/>
      <c r="P245" s="1131"/>
      <c r="Q245" s="1132"/>
      <c r="R245" s="1132"/>
      <c r="S245" s="1132"/>
      <c r="T245" s="1132"/>
      <c r="U245" s="1133"/>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5"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5"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5"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5" thickBot="1">
      <c r="A283" s="359"/>
    </row>
    <row r="284" spans="1:44" ht="20.55" customHeight="1" thickBot="1">
      <c r="B284" s="361"/>
      <c r="C284" s="1183"/>
      <c r="D284" s="1184"/>
      <c r="E284" s="1184"/>
      <c r="F284" s="1184"/>
      <c r="G284" s="1184"/>
      <c r="H284" s="1184"/>
      <c r="I284" s="1184"/>
      <c r="J284" s="1184"/>
      <c r="K284" s="1184"/>
      <c r="L284" s="1185"/>
      <c r="M284" s="362"/>
      <c r="N284" s="362"/>
      <c r="P284" s="363"/>
      <c r="Q284" s="364"/>
      <c r="R284" s="365"/>
      <c r="S284" s="1173"/>
      <c r="T284" s="1157"/>
      <c r="U284" s="1158"/>
      <c r="V284" s="1157"/>
      <c r="W284" s="1158"/>
      <c r="X284" s="1157"/>
      <c r="Y284" s="1158"/>
      <c r="Z284" s="1157"/>
      <c r="AA284" s="1158"/>
      <c r="AB284" s="1157"/>
      <c r="AC284" s="1158"/>
      <c r="AE284" s="363"/>
      <c r="AF284" s="364"/>
      <c r="AG284" s="365"/>
      <c r="AH284" s="1173"/>
      <c r="AI284" s="1157"/>
      <c r="AJ284" s="1158"/>
      <c r="AK284" s="1157"/>
      <c r="AL284" s="1158"/>
      <c r="AM284" s="1157"/>
      <c r="AN284" s="1158"/>
      <c r="AO284" s="1157"/>
      <c r="AP284" s="1158"/>
      <c r="AQ284" s="1157"/>
      <c r="AR284" s="1158"/>
    </row>
    <row r="285" spans="1:44" ht="15" customHeight="1" thickBot="1">
      <c r="B285" s="1161"/>
      <c r="C285" s="1163"/>
      <c r="D285" s="1163"/>
      <c r="E285" s="1163"/>
      <c r="F285" s="1163"/>
      <c r="G285" s="1165"/>
      <c r="H285" s="1166"/>
      <c r="I285" s="1165"/>
      <c r="J285" s="1166"/>
      <c r="K285" s="1186"/>
      <c r="L285" s="1186"/>
      <c r="M285" s="366"/>
      <c r="N285" s="366"/>
      <c r="P285" s="1177"/>
      <c r="Q285" s="367"/>
      <c r="R285" s="367"/>
      <c r="S285" s="1174"/>
      <c r="T285" s="1159"/>
      <c r="U285" s="1160"/>
      <c r="V285" s="1159"/>
      <c r="W285" s="1160"/>
      <c r="X285" s="1159"/>
      <c r="Y285" s="1160"/>
      <c r="Z285" s="1159"/>
      <c r="AA285" s="1160"/>
      <c r="AB285" s="1159"/>
      <c r="AC285" s="1160"/>
      <c r="AE285" s="1177"/>
      <c r="AF285" s="367"/>
      <c r="AG285" s="367"/>
      <c r="AH285" s="1174"/>
      <c r="AI285" s="1159"/>
      <c r="AJ285" s="1160"/>
      <c r="AK285" s="1159"/>
      <c r="AL285" s="1160"/>
      <c r="AM285" s="1159"/>
      <c r="AN285" s="1160"/>
      <c r="AO285" s="1159"/>
      <c r="AP285" s="1160"/>
      <c r="AQ285" s="1159"/>
      <c r="AR285" s="1160"/>
    </row>
    <row r="286" spans="1:44" ht="15" customHeight="1" thickBot="1">
      <c r="B286" s="1162"/>
      <c r="C286" s="1164"/>
      <c r="D286" s="1164"/>
      <c r="E286" s="1164"/>
      <c r="F286" s="1164"/>
      <c r="G286" s="405"/>
      <c r="H286" s="405"/>
      <c r="I286" s="405"/>
      <c r="J286" s="405"/>
      <c r="K286" s="1187"/>
      <c r="L286" s="1187"/>
      <c r="M286" s="369"/>
      <c r="N286" s="369"/>
      <c r="P286" s="1178"/>
      <c r="Q286" s="1180"/>
      <c r="R286" s="1181"/>
      <c r="S286" s="1175"/>
      <c r="T286" s="1159"/>
      <c r="U286" s="1160"/>
      <c r="V286" s="1159"/>
      <c r="W286" s="1160"/>
      <c r="X286" s="1159"/>
      <c r="Y286" s="1160"/>
      <c r="Z286" s="1159"/>
      <c r="AA286" s="1160"/>
      <c r="AB286" s="1159"/>
      <c r="AC286" s="1160"/>
      <c r="AE286" s="1178"/>
      <c r="AF286" s="1180"/>
      <c r="AG286" s="1181"/>
      <c r="AH286" s="1175"/>
      <c r="AI286" s="1159"/>
      <c r="AJ286" s="1160"/>
      <c r="AK286" s="1159"/>
      <c r="AL286" s="1160"/>
      <c r="AM286" s="1159"/>
      <c r="AN286" s="1160"/>
      <c r="AO286" s="1159"/>
      <c r="AP286" s="1160"/>
      <c r="AQ286" s="1159"/>
      <c r="AR286" s="1160"/>
    </row>
    <row r="287" spans="1:44" ht="15" thickBot="1">
      <c r="B287" s="370"/>
      <c r="C287" s="371"/>
      <c r="D287" s="371"/>
      <c r="E287" s="371"/>
      <c r="F287" s="371"/>
      <c r="G287" s="371"/>
      <c r="H287" s="371"/>
      <c r="I287" s="371"/>
      <c r="J287" s="371"/>
      <c r="K287" s="371"/>
      <c r="L287" s="372"/>
      <c r="M287" s="369"/>
      <c r="N287" s="369"/>
      <c r="O287" s="74"/>
      <c r="P287" s="1179"/>
      <c r="Q287" s="1176"/>
      <c r="R287" s="1182"/>
      <c r="S287" s="1176"/>
      <c r="T287" s="373"/>
      <c r="U287" s="374"/>
      <c r="V287" s="373"/>
      <c r="W287" s="374"/>
      <c r="X287" s="373"/>
      <c r="Y287" s="374"/>
      <c r="Z287" s="373"/>
      <c r="AA287" s="374"/>
      <c r="AB287" s="373"/>
      <c r="AC287" s="374"/>
      <c r="AE287" s="1179"/>
      <c r="AF287" s="1176"/>
      <c r="AG287" s="1182"/>
      <c r="AH287" s="1176"/>
      <c r="AI287" s="373"/>
      <c r="AJ287" s="374"/>
      <c r="AK287" s="373"/>
      <c r="AL287" s="374"/>
      <c r="AM287" s="373"/>
      <c r="AN287" s="374"/>
      <c r="AO287" s="373"/>
      <c r="AP287" s="374"/>
      <c r="AQ287" s="373"/>
      <c r="AR287" s="374"/>
    </row>
    <row r="288" spans="1:44" ht="14.55" customHeight="1">
      <c r="B288" s="573"/>
      <c r="C288" s="574"/>
      <c r="D288" s="574"/>
      <c r="E288" s="574"/>
      <c r="F288" s="574"/>
      <c r="G288" s="575"/>
      <c r="H288" s="575"/>
      <c r="I288" s="575"/>
      <c r="J288" s="575"/>
      <c r="K288" s="371"/>
      <c r="L288" s="372"/>
      <c r="M288" s="369"/>
      <c r="N288" s="369"/>
      <c r="P288" s="1145"/>
      <c r="Q288" s="1151"/>
      <c r="R288" s="380"/>
      <c r="S288" s="381"/>
      <c r="T288" s="1134"/>
      <c r="U288" s="1148"/>
      <c r="V288" s="1134"/>
      <c r="W288" s="1148"/>
      <c r="X288" s="1134"/>
      <c r="Y288" s="1148"/>
      <c r="Z288" s="1134"/>
      <c r="AA288" s="1148"/>
      <c r="AB288" s="1154"/>
      <c r="AC288" s="1148"/>
      <c r="AE288" s="1145"/>
      <c r="AF288" s="1151"/>
      <c r="AG288" s="380"/>
      <c r="AH288" s="381"/>
      <c r="AI288" s="1134"/>
      <c r="AJ288" s="1148"/>
      <c r="AK288" s="1134"/>
      <c r="AL288" s="1148"/>
      <c r="AM288" s="1134"/>
      <c r="AN288" s="1148"/>
      <c r="AO288" s="1134"/>
      <c r="AP288" s="1148"/>
      <c r="AQ288" s="1154"/>
      <c r="AR288" s="1148"/>
    </row>
    <row r="289" spans="2:44">
      <c r="B289" s="382"/>
      <c r="C289" s="576"/>
      <c r="D289" s="576"/>
      <c r="E289" s="576"/>
      <c r="F289" s="576"/>
      <c r="G289" s="575"/>
      <c r="H289" s="575"/>
      <c r="I289" s="575"/>
      <c r="J289" s="575"/>
      <c r="K289" s="371"/>
      <c r="L289" s="372"/>
      <c r="M289" s="369"/>
      <c r="N289" s="369"/>
      <c r="O289" s="71"/>
      <c r="P289" s="1146"/>
      <c r="Q289" s="1152"/>
      <c r="R289" s="387"/>
      <c r="S289" s="388"/>
      <c r="T289" s="1137"/>
      <c r="U289" s="1149"/>
      <c r="V289" s="1137"/>
      <c r="W289" s="1149"/>
      <c r="X289" s="1137"/>
      <c r="Y289" s="1149"/>
      <c r="Z289" s="1137"/>
      <c r="AA289" s="1149"/>
      <c r="AB289" s="1155"/>
      <c r="AC289" s="1149"/>
      <c r="AE289" s="1146"/>
      <c r="AF289" s="1152"/>
      <c r="AG289" s="387"/>
      <c r="AH289" s="388"/>
      <c r="AI289" s="1137"/>
      <c r="AJ289" s="1149"/>
      <c r="AK289" s="1137"/>
      <c r="AL289" s="1149"/>
      <c r="AM289" s="1137"/>
      <c r="AN289" s="1149"/>
      <c r="AO289" s="1137"/>
      <c r="AP289" s="1149"/>
      <c r="AQ289" s="1155"/>
      <c r="AR289" s="1149"/>
    </row>
    <row r="290" spans="2:44" ht="15" thickBot="1">
      <c r="B290" s="573"/>
      <c r="C290" s="577"/>
      <c r="D290" s="577"/>
      <c r="E290" s="577"/>
      <c r="F290" s="577"/>
      <c r="G290" s="577"/>
      <c r="H290" s="577"/>
      <c r="I290" s="577"/>
      <c r="J290" s="577"/>
      <c r="K290" s="578"/>
      <c r="L290" s="579"/>
      <c r="M290" s="369"/>
      <c r="N290" s="369"/>
      <c r="O290" s="71"/>
      <c r="P290" s="1146"/>
      <c r="Q290" s="1153"/>
      <c r="R290" s="392"/>
      <c r="S290" s="393"/>
      <c r="T290" s="1138"/>
      <c r="U290" s="1150"/>
      <c r="V290" s="1138"/>
      <c r="W290" s="1150"/>
      <c r="X290" s="1138"/>
      <c r="Y290" s="1150"/>
      <c r="Z290" s="1138"/>
      <c r="AA290" s="1150"/>
      <c r="AB290" s="1156"/>
      <c r="AC290" s="1150"/>
      <c r="AE290" s="1146"/>
      <c r="AF290" s="1153"/>
      <c r="AG290" s="392"/>
      <c r="AH290" s="393"/>
      <c r="AI290" s="1138"/>
      <c r="AJ290" s="1150"/>
      <c r="AK290" s="1138"/>
      <c r="AL290" s="1150"/>
      <c r="AM290" s="1138"/>
      <c r="AN290" s="1150"/>
      <c r="AO290" s="1138"/>
      <c r="AP290" s="1150"/>
      <c r="AQ290" s="1156"/>
      <c r="AR290" s="1150"/>
    </row>
    <row r="291" spans="2:44" ht="14.55" customHeight="1">
      <c r="B291" s="573"/>
      <c r="C291" s="580"/>
      <c r="D291" s="580"/>
      <c r="E291" s="580"/>
      <c r="F291" s="580"/>
      <c r="G291" s="580"/>
      <c r="H291" s="580"/>
      <c r="I291" s="580"/>
      <c r="J291" s="580"/>
      <c r="K291" s="578"/>
      <c r="L291" s="579"/>
      <c r="M291" s="369"/>
      <c r="N291" s="369"/>
      <c r="O291" s="71"/>
      <c r="P291" s="1146"/>
      <c r="Q291" s="1142"/>
      <c r="R291" s="394"/>
      <c r="S291" s="395"/>
      <c r="T291" s="1134"/>
      <c r="U291" s="1134"/>
      <c r="V291" s="1134"/>
      <c r="W291" s="1134"/>
      <c r="X291" s="1134"/>
      <c r="Y291" s="1134"/>
      <c r="Z291" s="1134"/>
      <c r="AA291" s="1134"/>
      <c r="AB291" s="1134"/>
      <c r="AC291" s="1134"/>
      <c r="AE291" s="1146"/>
      <c r="AF291" s="1142"/>
      <c r="AG291" s="394"/>
      <c r="AH291" s="395"/>
      <c r="AI291" s="1134"/>
      <c r="AJ291" s="1134"/>
      <c r="AK291" s="1134"/>
      <c r="AL291" s="1134"/>
      <c r="AM291" s="1134"/>
      <c r="AN291" s="1134"/>
      <c r="AO291" s="1134"/>
      <c r="AP291" s="1134"/>
      <c r="AQ291" s="1134"/>
      <c r="AR291" s="1134"/>
    </row>
    <row r="292" spans="2:44">
      <c r="B292" s="573"/>
      <c r="C292" s="581"/>
      <c r="D292" s="581"/>
      <c r="E292" s="581"/>
      <c r="F292" s="581"/>
      <c r="G292" s="581"/>
      <c r="H292" s="581"/>
      <c r="I292" s="581"/>
      <c r="J292" s="581"/>
      <c r="K292" s="578"/>
      <c r="L292" s="579"/>
      <c r="M292" s="366"/>
      <c r="N292" s="366"/>
      <c r="O292" s="71"/>
      <c r="P292" s="1146"/>
      <c r="Q292" s="1143"/>
      <c r="R292" s="394"/>
      <c r="S292" s="395"/>
      <c r="T292" s="1135"/>
      <c r="U292" s="1135"/>
      <c r="V292" s="1135"/>
      <c r="W292" s="1135"/>
      <c r="X292" s="1135"/>
      <c r="Y292" s="1135"/>
      <c r="Z292" s="1135"/>
      <c r="AA292" s="1135"/>
      <c r="AB292" s="1137"/>
      <c r="AC292" s="1135"/>
      <c r="AE292" s="1146"/>
      <c r="AF292" s="1143"/>
      <c r="AG292" s="394"/>
      <c r="AH292" s="395"/>
      <c r="AI292" s="1135"/>
      <c r="AJ292" s="1135"/>
      <c r="AK292" s="1135"/>
      <c r="AL292" s="1135"/>
      <c r="AM292" s="1135"/>
      <c r="AN292" s="1135"/>
      <c r="AO292" s="1135"/>
      <c r="AP292" s="1135"/>
      <c r="AQ292" s="1137"/>
      <c r="AR292" s="1135"/>
    </row>
    <row r="293" spans="2:44">
      <c r="B293" s="382"/>
      <c r="C293" s="396"/>
      <c r="D293" s="396"/>
      <c r="E293" s="396"/>
      <c r="F293" s="396"/>
      <c r="G293" s="397"/>
      <c r="H293" s="397"/>
      <c r="I293" s="397"/>
      <c r="J293" s="397"/>
      <c r="K293" s="371"/>
      <c r="L293" s="372"/>
      <c r="M293" s="362"/>
      <c r="N293" s="362"/>
      <c r="P293" s="1146"/>
      <c r="Q293" s="1143"/>
      <c r="R293" s="394"/>
      <c r="S293" s="395"/>
      <c r="T293" s="1135"/>
      <c r="U293" s="1135"/>
      <c r="V293" s="1135"/>
      <c r="W293" s="1135"/>
      <c r="X293" s="1135"/>
      <c r="Y293" s="1135"/>
      <c r="Z293" s="1135"/>
      <c r="AA293" s="1135"/>
      <c r="AB293" s="1137"/>
      <c r="AC293" s="1135"/>
      <c r="AE293" s="1146"/>
      <c r="AF293" s="1143"/>
      <c r="AG293" s="394"/>
      <c r="AH293" s="395"/>
      <c r="AI293" s="1135"/>
      <c r="AJ293" s="1135"/>
      <c r="AK293" s="1135"/>
      <c r="AL293" s="1135"/>
      <c r="AM293" s="1135"/>
      <c r="AN293" s="1135"/>
      <c r="AO293" s="1135"/>
      <c r="AP293" s="1135"/>
      <c r="AQ293" s="1137"/>
      <c r="AR293" s="1135"/>
    </row>
    <row r="294" spans="2:44" ht="15" thickBot="1">
      <c r="B294" s="573"/>
      <c r="C294" s="581"/>
      <c r="D294" s="581"/>
      <c r="E294" s="581"/>
      <c r="F294" s="581"/>
      <c r="G294" s="581"/>
      <c r="H294" s="581"/>
      <c r="I294" s="581"/>
      <c r="J294" s="581"/>
      <c r="K294" s="371"/>
      <c r="L294" s="372"/>
      <c r="M294" s="362"/>
      <c r="N294" s="362"/>
      <c r="P294" s="1146"/>
      <c r="Q294" s="1143"/>
      <c r="R294" s="394"/>
      <c r="S294" s="395"/>
      <c r="T294" s="1135"/>
      <c r="U294" s="1135"/>
      <c r="V294" s="1135"/>
      <c r="W294" s="1135"/>
      <c r="X294" s="1135"/>
      <c r="Y294" s="1135"/>
      <c r="Z294" s="1135"/>
      <c r="AA294" s="1135"/>
      <c r="AB294" s="1137"/>
      <c r="AC294" s="1135"/>
      <c r="AE294" s="1146"/>
      <c r="AF294" s="1143"/>
      <c r="AG294" s="394"/>
      <c r="AH294" s="395"/>
      <c r="AI294" s="1135"/>
      <c r="AJ294" s="1135"/>
      <c r="AK294" s="1135"/>
      <c r="AL294" s="1135"/>
      <c r="AM294" s="1135"/>
      <c r="AN294" s="1135"/>
      <c r="AO294" s="1135"/>
      <c r="AP294" s="1135"/>
      <c r="AQ294" s="1137"/>
      <c r="AR294" s="1135"/>
    </row>
    <row r="295" spans="2:44" ht="15" thickBot="1">
      <c r="B295" s="400"/>
      <c r="C295" s="582"/>
      <c r="D295" s="583"/>
      <c r="E295" s="584"/>
      <c r="F295" s="585"/>
      <c r="G295" s="405"/>
      <c r="H295" s="405"/>
      <c r="I295" s="405"/>
      <c r="J295" s="405"/>
      <c r="K295" s="406"/>
      <c r="L295" s="586"/>
      <c r="M295" s="362"/>
      <c r="N295" s="362"/>
      <c r="P295" s="1146"/>
      <c r="Q295" s="1144"/>
      <c r="R295" s="408"/>
      <c r="S295" s="409"/>
      <c r="T295" s="1136"/>
      <c r="U295" s="1136"/>
      <c r="V295" s="1136"/>
      <c r="W295" s="1136"/>
      <c r="X295" s="1136"/>
      <c r="Y295" s="1136"/>
      <c r="Z295" s="1136"/>
      <c r="AA295" s="1136"/>
      <c r="AB295" s="1138"/>
      <c r="AC295" s="1136"/>
      <c r="AE295" s="1146"/>
      <c r="AF295" s="1144"/>
      <c r="AG295" s="408"/>
      <c r="AH295" s="409"/>
      <c r="AI295" s="1136"/>
      <c r="AJ295" s="1136"/>
      <c r="AK295" s="1136"/>
      <c r="AL295" s="1136"/>
      <c r="AM295" s="1136"/>
      <c r="AN295" s="1136"/>
      <c r="AO295" s="1136"/>
      <c r="AP295" s="1136"/>
      <c r="AQ295" s="1138"/>
      <c r="AR295" s="1136"/>
    </row>
    <row r="296" spans="2:44" ht="15" thickBot="1">
      <c r="B296" s="573"/>
      <c r="C296" s="587"/>
      <c r="D296" s="587"/>
      <c r="E296" s="587"/>
      <c r="F296" s="587"/>
      <c r="G296" s="588"/>
      <c r="H296" s="588"/>
      <c r="I296" s="589"/>
      <c r="J296" s="589"/>
      <c r="K296" s="578"/>
      <c r="L296" s="579"/>
      <c r="M296" s="362"/>
      <c r="N296" s="362"/>
      <c r="P296" s="1147"/>
      <c r="Q296" s="410"/>
      <c r="R296" s="411"/>
      <c r="S296" s="412"/>
      <c r="T296" s="590"/>
      <c r="U296" s="591"/>
      <c r="V296" s="592"/>
      <c r="W296" s="591"/>
      <c r="X296" s="592"/>
      <c r="Y296" s="591"/>
      <c r="Z296" s="592"/>
      <c r="AA296" s="591"/>
      <c r="AB296" s="592"/>
      <c r="AC296" s="593"/>
      <c r="AE296" s="1147"/>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5" thickBot="1">
      <c r="B304" s="428"/>
      <c r="C304" s="396"/>
      <c r="D304" s="396"/>
      <c r="E304" s="396"/>
      <c r="F304" s="396"/>
      <c r="G304" s="424"/>
      <c r="H304" s="424"/>
      <c r="I304" s="424"/>
      <c r="J304" s="424"/>
      <c r="K304" s="422"/>
      <c r="L304" s="426"/>
      <c r="M304" s="427"/>
      <c r="N304" s="427"/>
    </row>
    <row r="305" spans="1:30" ht="15"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39"/>
      <c r="Q310" s="1140"/>
      <c r="R310" s="1140"/>
      <c r="S310" s="1140"/>
      <c r="T310" s="1140"/>
      <c r="U310" s="1141"/>
    </row>
    <row r="311" spans="1:30" ht="15" thickBot="1">
      <c r="B311" s="540"/>
      <c r="C311" s="551"/>
      <c r="D311" s="551"/>
      <c r="E311" s="551"/>
      <c r="F311" s="551"/>
      <c r="G311" s="552"/>
      <c r="H311" s="552"/>
      <c r="I311" s="552"/>
      <c r="J311" s="552"/>
      <c r="K311" s="546"/>
      <c r="L311" s="547"/>
      <c r="M311" s="449"/>
      <c r="N311" s="360"/>
      <c r="P311" s="1131"/>
      <c r="Q311" s="1132"/>
      <c r="R311" s="1132"/>
      <c r="S311" s="1132"/>
      <c r="T311" s="1132"/>
      <c r="U311" s="1133"/>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5"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5"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5"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403">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AG91:AH91"/>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C95:F99"/>
    <mergeCell ref="C114:F114"/>
    <mergeCell ref="AG163:AH163"/>
    <mergeCell ref="C167:F171"/>
    <mergeCell ref="C186:F186"/>
    <mergeCell ref="B5:B6"/>
    <mergeCell ref="C5:M5"/>
    <mergeCell ref="P5:U5"/>
    <mergeCell ref="C6:M6"/>
    <mergeCell ref="C7:L7"/>
    <mergeCell ref="S7:S10"/>
    <mergeCell ref="T7:U9"/>
    <mergeCell ref="I8:J8"/>
    <mergeCell ref="K8:K9"/>
    <mergeCell ref="P11:P19"/>
    <mergeCell ref="Q11:Q13"/>
    <mergeCell ref="T11:T13"/>
    <mergeCell ref="U11:U13"/>
    <mergeCell ref="V11:V13"/>
    <mergeCell ref="W11:W13"/>
    <mergeCell ref="Q14:Q18"/>
    <mergeCell ref="T14:T18"/>
    <mergeCell ref="U14:U18"/>
    <mergeCell ref="V14:V18"/>
  </mergeCells>
  <hyperlinks>
    <hyperlink ref="C60" r:id="rId1" xr:uid="{9F7F7D6F-2CA3-45AD-A17D-6BC563E353BB}"/>
    <hyperlink ref="C132" r:id="rId2" xr:uid="{E4D2F3F2-D72A-4768-9CD4-19F4905131F2}"/>
    <hyperlink ref="C204" r:id="rId3" xr:uid="{9EE015A7-4873-406D-ADC3-627D0656199F}"/>
  </hyperlinks>
  <pageMargins left="0.7" right="0.7" top="0.75" bottom="0.75" header="0.3" footer="0.3"/>
  <pageSetup paperSize="9" orientation="portrait" r:id="rId4"/>
  <legacy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14348-B4C9-470E-A329-9CECAE0E402C}">
  <sheetPr>
    <tabColor theme="3"/>
  </sheetPr>
  <dimension ref="A2:AR345"/>
  <sheetViews>
    <sheetView topLeftCell="G4" zoomScale="70" zoomScaleNormal="70" workbookViewId="0">
      <selection activeCell="AB7" sqref="T7:AC9"/>
    </sheetView>
  </sheetViews>
  <sheetFormatPr defaultColWidth="8.77734375" defaultRowHeight="14.4" outlineLevelRow="1"/>
  <cols>
    <col min="1" max="1" width="29.664062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Heat driven heat pumps, up to 80 °C</v>
      </c>
    </row>
    <row r="4" spans="1:44" ht="25.05" customHeight="1">
      <c r="E4" s="224" t="s">
        <v>358</v>
      </c>
      <c r="F4" s="358">
        <v>7.45</v>
      </c>
      <c r="G4" s="358" t="s">
        <v>328</v>
      </c>
    </row>
    <row r="5" spans="1:44" ht="15" customHeight="1">
      <c r="A5" s="359" t="s">
        <v>847</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837</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12</v>
      </c>
      <c r="D10" s="371">
        <v>12</v>
      </c>
      <c r="E10" s="371">
        <v>12</v>
      </c>
      <c r="F10" s="371">
        <v>12</v>
      </c>
      <c r="G10" s="371">
        <v>1</v>
      </c>
      <c r="H10" s="371">
        <v>20</v>
      </c>
      <c r="I10" s="371">
        <v>1</v>
      </c>
      <c r="J10" s="371">
        <v>30</v>
      </c>
      <c r="K10" s="371" t="s">
        <v>102</v>
      </c>
      <c r="L10" s="372">
        <v>1</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170</v>
      </c>
      <c r="D11" s="376">
        <v>171</v>
      </c>
      <c r="E11" s="377">
        <v>172</v>
      </c>
      <c r="F11" s="376">
        <v>173</v>
      </c>
      <c r="G11" s="376">
        <v>170</v>
      </c>
      <c r="H11" s="638">
        <v>180</v>
      </c>
      <c r="I11" s="376">
        <v>170</v>
      </c>
      <c r="J11" s="638">
        <v>180</v>
      </c>
      <c r="K11" s="378"/>
      <c r="L11" s="379">
        <v>1</v>
      </c>
      <c r="M11" s="369"/>
      <c r="N11" s="369"/>
      <c r="P11" s="1196" t="str">
        <f>C7</f>
        <v>Heat driven heat pumps, up to 80 °C</v>
      </c>
      <c r="Q11" s="1151" t="s">
        <v>693</v>
      </c>
      <c r="R11" s="380" t="s">
        <v>694</v>
      </c>
      <c r="S11" s="381" t="s">
        <v>805</v>
      </c>
      <c r="T11" s="1134">
        <v>0</v>
      </c>
      <c r="U11" s="1148">
        <v>0</v>
      </c>
      <c r="V11" s="1154">
        <v>0</v>
      </c>
      <c r="W11" s="1148">
        <v>0</v>
      </c>
      <c r="X11" s="1154">
        <v>0</v>
      </c>
      <c r="Y11" s="1148">
        <v>0</v>
      </c>
      <c r="Z11" s="1154">
        <v>0</v>
      </c>
      <c r="AA11" s="1148">
        <v>0</v>
      </c>
      <c r="AB11" s="1154">
        <v>0</v>
      </c>
      <c r="AC11" s="1148">
        <v>0</v>
      </c>
      <c r="AE11" s="1145" t="str">
        <f>P11</f>
        <v>Heat driven heat pumps, up to 80 °C</v>
      </c>
      <c r="AF11" s="1151" t="s">
        <v>693</v>
      </c>
      <c r="AG11" s="380" t="s">
        <v>694</v>
      </c>
      <c r="AH11" s="381" t="str">
        <f t="shared" ref="AH11:AH13" si="0">S11</f>
        <v/>
      </c>
      <c r="AI11" s="1134">
        <v>0</v>
      </c>
      <c r="AJ11" s="1148">
        <v>0</v>
      </c>
      <c r="AK11" s="1154">
        <v>0</v>
      </c>
      <c r="AL11" s="1148">
        <v>0</v>
      </c>
      <c r="AM11" s="1154">
        <v>0</v>
      </c>
      <c r="AN11" s="1148">
        <v>0</v>
      </c>
      <c r="AO11" s="1154">
        <v>0</v>
      </c>
      <c r="AP11" s="1148">
        <v>0</v>
      </c>
      <c r="AQ11" s="1154">
        <v>0</v>
      </c>
      <c r="AR11" s="1148">
        <v>0</v>
      </c>
    </row>
    <row r="12" spans="1:44" ht="32.549999999999997" customHeight="1" outlineLevel="1">
      <c r="B12" s="382" t="s">
        <v>695</v>
      </c>
      <c r="C12" s="576">
        <v>168</v>
      </c>
      <c r="D12" s="576">
        <v>169</v>
      </c>
      <c r="E12" s="576">
        <v>170</v>
      </c>
      <c r="F12" s="576">
        <v>171</v>
      </c>
      <c r="G12" s="640">
        <v>168</v>
      </c>
      <c r="H12" s="640">
        <v>178</v>
      </c>
      <c r="I12" s="640">
        <v>168</v>
      </c>
      <c r="J12" s="640">
        <v>178</v>
      </c>
      <c r="K12" s="385" t="s">
        <v>16</v>
      </c>
      <c r="L12" s="386"/>
      <c r="M12" s="369"/>
      <c r="N12" s="369"/>
      <c r="O12" s="71"/>
      <c r="P12" s="1192"/>
      <c r="Q12" s="1152"/>
      <c r="R12" s="387" t="s">
        <v>696</v>
      </c>
      <c r="S12" s="388" t="s">
        <v>805</v>
      </c>
      <c r="T12" s="1137"/>
      <c r="U12" s="1149"/>
      <c r="V12" s="1155"/>
      <c r="W12" s="1149"/>
      <c r="X12" s="1155"/>
      <c r="Y12" s="1149"/>
      <c r="Z12" s="1155"/>
      <c r="AA12" s="1149"/>
      <c r="AB12" s="1155"/>
      <c r="AC12" s="1149"/>
      <c r="AE12" s="1192"/>
      <c r="AF12" s="1152"/>
      <c r="AG12" s="387" t="s">
        <v>696</v>
      </c>
      <c r="AH12" s="388" t="str">
        <f t="shared" si="0"/>
        <v/>
      </c>
      <c r="AI12" s="1137"/>
      <c r="AJ12" s="1149"/>
      <c r="AK12" s="1155"/>
      <c r="AL12" s="1149"/>
      <c r="AM12" s="1155"/>
      <c r="AN12" s="1149"/>
      <c r="AO12" s="1155"/>
      <c r="AP12" s="1149"/>
      <c r="AQ12" s="1155"/>
      <c r="AR12" s="1149"/>
    </row>
    <row r="13" spans="1:44" ht="15" outlineLevel="1" thickBot="1">
      <c r="B13" s="375" t="s">
        <v>697</v>
      </c>
      <c r="C13" s="389">
        <v>1</v>
      </c>
      <c r="D13" s="390">
        <v>1</v>
      </c>
      <c r="E13" s="390">
        <v>1</v>
      </c>
      <c r="F13" s="391">
        <v>1</v>
      </c>
      <c r="G13" s="390">
        <v>1</v>
      </c>
      <c r="H13" s="390">
        <v>3</v>
      </c>
      <c r="I13" s="390">
        <v>1</v>
      </c>
      <c r="J13" s="390">
        <v>3</v>
      </c>
      <c r="K13" s="378"/>
      <c r="L13" s="379">
        <v>1</v>
      </c>
      <c r="M13" s="369"/>
      <c r="N13" s="369"/>
      <c r="O13" s="71"/>
      <c r="P13" s="1192"/>
      <c r="Q13" s="1153"/>
      <c r="R13" s="392" t="s">
        <v>698</v>
      </c>
      <c r="S13" s="393" t="s">
        <v>805</v>
      </c>
      <c r="T13" s="1138"/>
      <c r="U13" s="1150"/>
      <c r="V13" s="1156"/>
      <c r="W13" s="1150"/>
      <c r="X13" s="1156"/>
      <c r="Y13" s="1150"/>
      <c r="Z13" s="1156"/>
      <c r="AA13" s="1150"/>
      <c r="AB13" s="1156"/>
      <c r="AC13" s="1150"/>
      <c r="AE13" s="1192"/>
      <c r="AF13" s="1153"/>
      <c r="AG13" s="392" t="s">
        <v>698</v>
      </c>
      <c r="AH13" s="393" t="str">
        <f t="shared" si="0"/>
        <v/>
      </c>
      <c r="AI13" s="1138"/>
      <c r="AJ13" s="1150"/>
      <c r="AK13" s="1156"/>
      <c r="AL13" s="1150"/>
      <c r="AM13" s="1156"/>
      <c r="AN13" s="1150"/>
      <c r="AO13" s="1156"/>
      <c r="AP13" s="1150"/>
      <c r="AQ13" s="1156"/>
      <c r="AR13" s="1150"/>
    </row>
    <row r="14" spans="1:44" ht="15" customHeight="1" outlineLevel="1">
      <c r="B14" s="375" t="s">
        <v>637</v>
      </c>
      <c r="C14" s="389">
        <v>0</v>
      </c>
      <c r="D14" s="389">
        <v>0</v>
      </c>
      <c r="E14" s="389">
        <v>0</v>
      </c>
      <c r="F14" s="389">
        <v>0</v>
      </c>
      <c r="G14" s="389">
        <v>0</v>
      </c>
      <c r="H14" s="389">
        <v>1</v>
      </c>
      <c r="I14" s="389">
        <v>0</v>
      </c>
      <c r="J14" s="389">
        <v>1</v>
      </c>
      <c r="K14" s="378"/>
      <c r="L14" s="379">
        <v>1</v>
      </c>
      <c r="M14" s="369"/>
      <c r="N14" s="369"/>
      <c r="O14" s="71"/>
      <c r="P14" s="1192"/>
      <c r="Q14" s="1151" t="s">
        <v>699</v>
      </c>
      <c r="R14" s="394" t="s">
        <v>700</v>
      </c>
      <c r="S14" s="395" t="s">
        <v>701</v>
      </c>
      <c r="T14" s="1134">
        <v>0</v>
      </c>
      <c r="U14" s="1134">
        <v>0.02</v>
      </c>
      <c r="V14" s="1134">
        <v>0</v>
      </c>
      <c r="W14" s="1134">
        <v>0.02</v>
      </c>
      <c r="X14" s="1134">
        <v>0</v>
      </c>
      <c r="Y14" s="1134">
        <v>0.01</v>
      </c>
      <c r="Z14" s="1134">
        <v>0</v>
      </c>
      <c r="AA14" s="1134">
        <v>0.01</v>
      </c>
      <c r="AB14" s="1134">
        <v>0</v>
      </c>
      <c r="AC14" s="1148">
        <v>0.01</v>
      </c>
      <c r="AE14" s="1192"/>
      <c r="AF14" s="1151" t="s">
        <v>699</v>
      </c>
      <c r="AG14" s="394" t="s">
        <v>700</v>
      </c>
      <c r="AH14" s="395" t="str">
        <f>S14</f>
        <v>x</v>
      </c>
      <c r="AI14" s="1134">
        <v>0</v>
      </c>
      <c r="AJ14" s="1134">
        <f>U14</f>
        <v>0.02</v>
      </c>
      <c r="AK14" s="1134">
        <v>0</v>
      </c>
      <c r="AL14" s="1134">
        <f>W14</f>
        <v>0.02</v>
      </c>
      <c r="AM14" s="1134">
        <v>0</v>
      </c>
      <c r="AN14" s="1134">
        <f>Y14</f>
        <v>0.01</v>
      </c>
      <c r="AO14" s="1134">
        <v>0</v>
      </c>
      <c r="AP14" s="1134">
        <f>AA14</f>
        <v>0.01</v>
      </c>
      <c r="AQ14" s="1134">
        <v>0</v>
      </c>
      <c r="AR14" s="1148">
        <f>AC14</f>
        <v>0.01</v>
      </c>
    </row>
    <row r="15" spans="1:44" outlineLevel="1">
      <c r="B15" s="375" t="s">
        <v>638</v>
      </c>
      <c r="C15" s="389">
        <v>0</v>
      </c>
      <c r="D15" s="389">
        <v>0</v>
      </c>
      <c r="E15" s="389">
        <v>0</v>
      </c>
      <c r="F15" s="389">
        <v>0</v>
      </c>
      <c r="G15" s="389">
        <v>0</v>
      </c>
      <c r="H15" s="389">
        <v>1</v>
      </c>
      <c r="I15" s="389">
        <v>0</v>
      </c>
      <c r="J15" s="389">
        <v>1</v>
      </c>
      <c r="K15" s="378"/>
      <c r="L15" s="379">
        <v>1</v>
      </c>
      <c r="M15" s="366"/>
      <c r="N15" s="366"/>
      <c r="O15" s="71"/>
      <c r="P15" s="1192"/>
      <c r="Q15" s="1152"/>
      <c r="R15" s="394" t="s">
        <v>702</v>
      </c>
      <c r="S15" s="395" t="s">
        <v>701</v>
      </c>
      <c r="T15" s="1188"/>
      <c r="U15" s="1188"/>
      <c r="V15" s="1188"/>
      <c r="W15" s="1188"/>
      <c r="X15" s="1188"/>
      <c r="Y15" s="1188"/>
      <c r="Z15" s="1188"/>
      <c r="AA15" s="1188"/>
      <c r="AB15" s="1188"/>
      <c r="AC15" s="1190"/>
      <c r="AE15" s="1192"/>
      <c r="AF15" s="1152"/>
      <c r="AG15" s="394" t="s">
        <v>702</v>
      </c>
      <c r="AH15" s="395" t="str">
        <f>S15</f>
        <v>x</v>
      </c>
      <c r="AI15" s="1188"/>
      <c r="AJ15" s="1188"/>
      <c r="AK15" s="1188"/>
      <c r="AL15" s="1188"/>
      <c r="AM15" s="1188"/>
      <c r="AN15" s="1188"/>
      <c r="AO15" s="1188"/>
      <c r="AP15" s="1188"/>
      <c r="AQ15" s="1188"/>
      <c r="AR15" s="1190"/>
    </row>
    <row r="16" spans="1:44" outlineLevel="1">
      <c r="B16" s="382" t="s">
        <v>11</v>
      </c>
      <c r="C16" s="396">
        <v>20</v>
      </c>
      <c r="D16" s="396">
        <v>20</v>
      </c>
      <c r="E16" s="396">
        <v>20</v>
      </c>
      <c r="F16" s="396">
        <v>20</v>
      </c>
      <c r="G16" s="397">
        <v>20</v>
      </c>
      <c r="H16" s="397">
        <v>30</v>
      </c>
      <c r="I16" s="397">
        <v>20</v>
      </c>
      <c r="J16" s="397">
        <v>30</v>
      </c>
      <c r="K16" s="371"/>
      <c r="L16" s="372">
        <v>2</v>
      </c>
      <c r="M16" s="362"/>
      <c r="N16" s="362"/>
      <c r="P16" s="1192"/>
      <c r="Q16" s="1152"/>
      <c r="R16" s="394" t="s">
        <v>704</v>
      </c>
      <c r="S16" s="395" t="s">
        <v>805</v>
      </c>
      <c r="T16" s="1188"/>
      <c r="U16" s="1188"/>
      <c r="V16" s="1188"/>
      <c r="W16" s="1188"/>
      <c r="X16" s="1188"/>
      <c r="Y16" s="1188"/>
      <c r="Z16" s="1188"/>
      <c r="AA16" s="1188"/>
      <c r="AB16" s="1188"/>
      <c r="AC16" s="1190"/>
      <c r="AE16" s="1192"/>
      <c r="AF16" s="1152"/>
      <c r="AG16" s="394" t="s">
        <v>704</v>
      </c>
      <c r="AH16" s="628" t="str">
        <f>S16</f>
        <v/>
      </c>
      <c r="AI16" s="1188"/>
      <c r="AJ16" s="1188"/>
      <c r="AK16" s="1188"/>
      <c r="AL16" s="1188"/>
      <c r="AM16" s="1188"/>
      <c r="AN16" s="1188"/>
      <c r="AO16" s="1188"/>
      <c r="AP16" s="1188"/>
      <c r="AQ16" s="1188"/>
      <c r="AR16" s="1190"/>
    </row>
    <row r="17" spans="1:44" ht="15" outlineLevel="1" thickBot="1">
      <c r="B17" s="375" t="s">
        <v>273</v>
      </c>
      <c r="C17" s="398">
        <v>0.5</v>
      </c>
      <c r="D17" s="398">
        <v>0.5</v>
      </c>
      <c r="E17" s="398">
        <v>0.5</v>
      </c>
      <c r="F17" s="398">
        <v>0.5</v>
      </c>
      <c r="G17" s="398">
        <v>0.3</v>
      </c>
      <c r="H17" s="398">
        <v>0.7</v>
      </c>
      <c r="I17" s="398">
        <v>0.3</v>
      </c>
      <c r="J17" s="398">
        <v>0.7</v>
      </c>
      <c r="K17" s="371"/>
      <c r="L17" s="399">
        <v>1</v>
      </c>
      <c r="M17" s="362"/>
      <c r="N17" s="362"/>
      <c r="P17" s="1192"/>
      <c r="Q17" s="1152"/>
      <c r="R17" s="394" t="s">
        <v>705</v>
      </c>
      <c r="S17" s="395" t="s">
        <v>701</v>
      </c>
      <c r="T17" s="1188"/>
      <c r="U17" s="1188"/>
      <c r="V17" s="1188"/>
      <c r="W17" s="1188"/>
      <c r="X17" s="1188"/>
      <c r="Y17" s="1188"/>
      <c r="Z17" s="1188"/>
      <c r="AA17" s="1188"/>
      <c r="AB17" s="1188"/>
      <c r="AC17" s="1190"/>
      <c r="AE17" s="1192"/>
      <c r="AF17" s="1152"/>
      <c r="AG17" s="394" t="s">
        <v>705</v>
      </c>
      <c r="AH17" s="395" t="str">
        <f>S17</f>
        <v>x</v>
      </c>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t="s">
        <v>701</v>
      </c>
      <c r="T18" s="1189"/>
      <c r="U18" s="1189"/>
      <c r="V18" s="1189"/>
      <c r="W18" s="1189"/>
      <c r="X18" s="1189"/>
      <c r="Y18" s="1189"/>
      <c r="Z18" s="1189"/>
      <c r="AA18" s="1189"/>
      <c r="AB18" s="1189"/>
      <c r="AC18" s="1191"/>
      <c r="AE18" s="1192"/>
      <c r="AF18" s="1153"/>
      <c r="AG18" s="408" t="s">
        <v>826</v>
      </c>
      <c r="AH18" s="409" t="str">
        <f>S18</f>
        <v>x</v>
      </c>
      <c r="AI18" s="1189"/>
      <c r="AJ18" s="1189"/>
      <c r="AK18" s="1189"/>
      <c r="AL18" s="1189"/>
      <c r="AM18" s="1189"/>
      <c r="AN18" s="1189"/>
      <c r="AO18" s="1189"/>
      <c r="AP18" s="1189"/>
      <c r="AQ18" s="1189"/>
      <c r="AR18" s="1191"/>
    </row>
    <row r="19" spans="1:44" ht="29.4" outlineLevel="1" thickBot="1">
      <c r="B19" s="375" t="s">
        <v>643</v>
      </c>
      <c r="C19" s="389"/>
      <c r="D19" s="389"/>
      <c r="E19" s="389"/>
      <c r="F19" s="389"/>
      <c r="G19" s="390"/>
      <c r="H19" s="390"/>
      <c r="I19" s="390"/>
      <c r="J19" s="390"/>
      <c r="K19" s="378"/>
      <c r="L19" s="379">
        <v>1</v>
      </c>
      <c r="M19" s="362"/>
      <c r="N19" s="362"/>
      <c r="P19" s="1193"/>
      <c r="Q19" s="410" t="s">
        <v>708</v>
      </c>
      <c r="R19" s="411" t="s">
        <v>709</v>
      </c>
      <c r="S19" s="629" t="s">
        <v>701</v>
      </c>
      <c r="T19" s="415">
        <v>1</v>
      </c>
      <c r="U19" s="414">
        <v>1</v>
      </c>
      <c r="V19" s="415">
        <v>1</v>
      </c>
      <c r="W19" s="414">
        <v>1</v>
      </c>
      <c r="X19" s="415">
        <v>1</v>
      </c>
      <c r="Y19" s="414">
        <v>1</v>
      </c>
      <c r="Z19" s="415">
        <v>1</v>
      </c>
      <c r="AA19" s="414">
        <v>1</v>
      </c>
      <c r="AB19" s="415">
        <v>1</v>
      </c>
      <c r="AC19" s="416">
        <v>1</v>
      </c>
      <c r="AE19" s="1193"/>
      <c r="AF19" s="410" t="s">
        <v>708</v>
      </c>
      <c r="AG19" s="1246" t="s">
        <v>709</v>
      </c>
      <c r="AH19" s="1247" t="s">
        <v>701</v>
      </c>
      <c r="AI19" s="415">
        <v>1</v>
      </c>
      <c r="AJ19" s="414">
        <v>1</v>
      </c>
      <c r="AK19" s="415">
        <v>1</v>
      </c>
      <c r="AL19" s="414">
        <v>1</v>
      </c>
      <c r="AM19" s="415">
        <v>1</v>
      </c>
      <c r="AN19" s="414">
        <v>1</v>
      </c>
      <c r="AO19" s="415">
        <v>1</v>
      </c>
      <c r="AP19" s="414">
        <v>1</v>
      </c>
      <c r="AQ19" s="415">
        <v>1</v>
      </c>
      <c r="AR19" s="416">
        <v>1</v>
      </c>
    </row>
    <row r="20" spans="1:44" outlineLevel="1">
      <c r="B20" s="375" t="s">
        <v>644</v>
      </c>
      <c r="C20" s="389">
        <v>0</v>
      </c>
      <c r="D20" s="389">
        <v>0</v>
      </c>
      <c r="E20" s="389">
        <v>0</v>
      </c>
      <c r="F20" s="389">
        <v>0</v>
      </c>
      <c r="G20" s="417"/>
      <c r="H20" s="417"/>
      <c r="I20" s="417"/>
      <c r="J20" s="417"/>
      <c r="K20" s="418"/>
      <c r="L20" s="379">
        <v>1</v>
      </c>
      <c r="M20" s="362"/>
      <c r="N20" s="362"/>
    </row>
    <row r="21" spans="1:44" outlineLevel="1">
      <c r="B21" s="375" t="s">
        <v>646</v>
      </c>
      <c r="C21" s="389">
        <v>0.5</v>
      </c>
      <c r="D21" s="389">
        <v>0.5</v>
      </c>
      <c r="E21" s="389">
        <v>0.5</v>
      </c>
      <c r="F21" s="389">
        <v>0.5</v>
      </c>
      <c r="G21" s="417"/>
      <c r="H21" s="417"/>
      <c r="I21" s="417"/>
      <c r="J21" s="417"/>
      <c r="K21" s="418"/>
      <c r="L21" s="379">
        <v>1</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t="s">
        <v>838</v>
      </c>
      <c r="D23" s="1229"/>
      <c r="E23" s="1229"/>
      <c r="F23" s="1230"/>
      <c r="G23" s="421"/>
      <c r="H23" s="424"/>
      <c r="I23" s="424"/>
      <c r="J23" s="424"/>
      <c r="K23" s="425"/>
      <c r="L23" s="426"/>
      <c r="M23" s="427"/>
      <c r="N23" s="427"/>
    </row>
    <row r="24" spans="1:44" outlineLevel="1">
      <c r="B24" s="382" t="s">
        <v>712</v>
      </c>
      <c r="C24" s="1231"/>
      <c r="D24" s="1232"/>
      <c r="E24" s="1232"/>
      <c r="F24" s="1233"/>
      <c r="G24" s="424"/>
      <c r="H24" s="424"/>
      <c r="I24" s="424"/>
      <c r="J24" s="424"/>
      <c r="K24" s="422"/>
      <c r="L24" s="426"/>
      <c r="M24" s="427"/>
      <c r="N24" s="427"/>
    </row>
    <row r="25" spans="1:44" outlineLevel="1">
      <c r="B25" s="382" t="s">
        <v>807</v>
      </c>
      <c r="C25" s="1231"/>
      <c r="D25" s="1232"/>
      <c r="E25" s="1232"/>
      <c r="F25" s="1233"/>
      <c r="G25" s="424"/>
      <c r="H25" s="424"/>
      <c r="I25" s="424"/>
      <c r="J25" s="424"/>
      <c r="K25" s="422"/>
      <c r="L25" s="426"/>
      <c r="M25" s="427"/>
      <c r="N25" s="427"/>
    </row>
    <row r="26" spans="1:44" outlineLevel="1">
      <c r="B26" s="382" t="s">
        <v>366</v>
      </c>
      <c r="C26" s="1231"/>
      <c r="D26" s="1232"/>
      <c r="E26" s="1232"/>
      <c r="F26" s="1233"/>
      <c r="G26" s="424"/>
      <c r="H26" s="424"/>
      <c r="I26" s="424"/>
      <c r="J26" s="424"/>
      <c r="K26" s="422"/>
      <c r="L26" s="426"/>
      <c r="M26" s="427"/>
      <c r="N26" s="427"/>
    </row>
    <row r="27" spans="1:44" ht="15" outlineLevel="1" thickBot="1">
      <c r="B27" s="428" t="s">
        <v>367</v>
      </c>
      <c r="C27" s="1234"/>
      <c r="D27" s="1235"/>
      <c r="E27" s="1235"/>
      <c r="F27" s="1236"/>
      <c r="G27" s="424"/>
      <c r="H27" s="424"/>
      <c r="I27" s="424"/>
      <c r="J27" s="424"/>
      <c r="K27" s="422"/>
      <c r="L27" s="426"/>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510">
        <v>0.56000000000000005</v>
      </c>
      <c r="D29" s="511">
        <v>0.51</v>
      </c>
      <c r="E29" s="511">
        <v>0.48</v>
      </c>
      <c r="F29" s="512">
        <v>0.46</v>
      </c>
      <c r="G29" s="424"/>
      <c r="H29" s="424"/>
      <c r="I29" s="424"/>
      <c r="J29" s="424"/>
      <c r="K29" s="425"/>
      <c r="L29" s="439">
        <v>1</v>
      </c>
      <c r="M29" s="419"/>
      <c r="N29" s="419"/>
    </row>
    <row r="30" spans="1:44" outlineLevel="1">
      <c r="B30" s="440" t="s">
        <v>802</v>
      </c>
      <c r="C30" s="441">
        <v>50</v>
      </c>
      <c r="D30" s="441">
        <v>50</v>
      </c>
      <c r="E30" s="441">
        <v>50</v>
      </c>
      <c r="F30" s="441">
        <v>50</v>
      </c>
      <c r="G30" s="424"/>
      <c r="H30" s="424"/>
      <c r="I30" s="424"/>
      <c r="J30" s="424"/>
      <c r="K30" s="443"/>
      <c r="L30" s="372">
        <v>2</v>
      </c>
      <c r="M30" s="71"/>
      <c r="N30" s="419"/>
    </row>
    <row r="31" spans="1:44" outlineLevel="1">
      <c r="B31" s="440" t="s">
        <v>803</v>
      </c>
      <c r="C31" s="441">
        <v>50</v>
      </c>
      <c r="D31" s="441">
        <v>50</v>
      </c>
      <c r="E31" s="441">
        <v>50</v>
      </c>
      <c r="F31" s="441">
        <v>50</v>
      </c>
      <c r="G31" s="424"/>
      <c r="H31" s="424"/>
      <c r="I31" s="424"/>
      <c r="J31" s="424"/>
      <c r="K31" s="443"/>
      <c r="L31" s="372">
        <v>2</v>
      </c>
      <c r="M31" s="419"/>
      <c r="N31" s="419"/>
    </row>
    <row r="32" spans="1:44" outlineLevel="1">
      <c r="B32" s="382" t="s">
        <v>804</v>
      </c>
      <c r="C32" s="444">
        <v>2000</v>
      </c>
      <c r="D32" s="445">
        <v>2000</v>
      </c>
      <c r="E32" s="445">
        <v>2000</v>
      </c>
      <c r="F32" s="446">
        <v>2000</v>
      </c>
      <c r="G32" s="424"/>
      <c r="H32" s="424"/>
      <c r="I32" s="424"/>
      <c r="J32" s="424"/>
      <c r="K32" s="447"/>
      <c r="L32" s="372">
        <v>1</v>
      </c>
      <c r="M32" s="419"/>
      <c r="N32" s="419"/>
    </row>
    <row r="33" spans="2:30" ht="37.049999999999997" customHeight="1" outlineLevel="1" thickBot="1">
      <c r="B33" s="382" t="s">
        <v>659</v>
      </c>
      <c r="C33" s="448">
        <f>C34+C35</f>
        <v>1.01</v>
      </c>
      <c r="D33" s="448">
        <f t="shared" ref="D33:F33" si="1">D34+D35</f>
        <v>1</v>
      </c>
      <c r="E33" s="448">
        <f t="shared" si="1"/>
        <v>1</v>
      </c>
      <c r="F33" s="448">
        <f t="shared" si="1"/>
        <v>0.99</v>
      </c>
      <c r="G33" s="424"/>
      <c r="H33" s="424"/>
      <c r="I33" s="424"/>
      <c r="J33" s="424"/>
      <c r="K33" s="447"/>
      <c r="L33" s="372">
        <v>1</v>
      </c>
      <c r="M33" s="449"/>
      <c r="N33" s="360"/>
      <c r="P33" s="1139">
        <f>C33</f>
        <v>1.01</v>
      </c>
      <c r="Q33" s="1140"/>
      <c r="R33" s="1140"/>
      <c r="S33" s="1140"/>
      <c r="T33" s="1140"/>
      <c r="U33" s="1141"/>
    </row>
    <row r="34" spans="2:30" ht="15.75" customHeight="1" outlineLevel="1" thickBot="1">
      <c r="B34" s="450" t="s">
        <v>721</v>
      </c>
      <c r="C34" s="451">
        <f>C13/100*73</f>
        <v>0.73</v>
      </c>
      <c r="D34" s="451">
        <f>D13/100*75</f>
        <v>0.75</v>
      </c>
      <c r="E34" s="451">
        <f>E13/100*76</f>
        <v>0.76</v>
      </c>
      <c r="F34" s="451">
        <f>F13/100*76</f>
        <v>0.76</v>
      </c>
      <c r="G34" s="452"/>
      <c r="H34" s="452"/>
      <c r="I34" s="452"/>
      <c r="J34" s="452"/>
      <c r="K34" s="378" t="s">
        <v>20</v>
      </c>
      <c r="L34" s="379"/>
      <c r="M34" s="449"/>
      <c r="N34" s="360"/>
      <c r="P34" s="1131">
        <f>C34</f>
        <v>0.73</v>
      </c>
      <c r="Q34" s="1132"/>
      <c r="R34" s="1132"/>
      <c r="S34" s="1132"/>
      <c r="T34" s="1132"/>
      <c r="U34" s="1133"/>
    </row>
    <row r="35" spans="2:30" outlineLevel="1">
      <c r="B35" s="450" t="s">
        <v>722</v>
      </c>
      <c r="C35" s="654">
        <v>0.28000000000000003</v>
      </c>
      <c r="D35" s="654">
        <v>0.25</v>
      </c>
      <c r="E35" s="654">
        <v>0.24</v>
      </c>
      <c r="F35" s="654">
        <v>0.23</v>
      </c>
      <c r="G35" s="452"/>
      <c r="H35" s="452"/>
      <c r="I35" s="452"/>
      <c r="J35" s="452"/>
      <c r="K35" s="454"/>
      <c r="L35" s="379">
        <v>1</v>
      </c>
      <c r="M35" s="362"/>
      <c r="N35" s="362"/>
      <c r="P35" s="53" t="s">
        <v>357</v>
      </c>
    </row>
    <row r="36" spans="2:30" ht="27.6"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42" t="s">
        <v>36</v>
      </c>
      <c r="D39" s="642" t="s">
        <v>36</v>
      </c>
      <c r="E39" s="642" t="s">
        <v>36</v>
      </c>
      <c r="F39" s="642" t="s">
        <v>36</v>
      </c>
      <c r="G39" s="642"/>
      <c r="H39" s="642"/>
      <c r="I39" s="642"/>
      <c r="J39" s="642"/>
      <c r="K39" s="642" t="s">
        <v>76</v>
      </c>
      <c r="L39" s="463"/>
      <c r="M39" s="362"/>
      <c r="N39" s="362"/>
      <c r="O39" s="464">
        <f>C12</f>
        <v>168</v>
      </c>
      <c r="P39" s="465">
        <f>C8</f>
        <v>2020</v>
      </c>
      <c r="Q39" s="58">
        <f>P39</f>
        <v>2020</v>
      </c>
      <c r="R39" s="465">
        <f>O39/100</f>
        <v>1.68</v>
      </c>
      <c r="S39" s="58"/>
      <c r="T39" s="465">
        <f>C16</f>
        <v>20</v>
      </c>
      <c r="U39" s="466">
        <f>C46</f>
        <v>4172.0000000000009</v>
      </c>
      <c r="V39" s="466">
        <f>C48</f>
        <v>14.9</v>
      </c>
      <c r="W39" s="466">
        <f>C49</f>
        <v>2.0901388888888892</v>
      </c>
      <c r="X39" s="58"/>
      <c r="Y39" s="58"/>
      <c r="Z39" s="465">
        <v>0</v>
      </c>
      <c r="AA39" s="467">
        <f>C25</f>
        <v>0</v>
      </c>
      <c r="AB39" s="467">
        <f>C26</f>
        <v>0</v>
      </c>
      <c r="AC39" s="467">
        <f>C27</f>
        <v>0</v>
      </c>
      <c r="AD39" s="467">
        <f>C24</f>
        <v>0</v>
      </c>
    </row>
    <row r="40" spans="2:30" ht="14.55" customHeight="1" outlineLevel="1">
      <c r="B40" s="375" t="s">
        <v>726</v>
      </c>
      <c r="C40" s="468" t="s">
        <v>36</v>
      </c>
      <c r="D40" s="469" t="s">
        <v>36</v>
      </c>
      <c r="E40" s="469" t="s">
        <v>36</v>
      </c>
      <c r="F40" s="470" t="s">
        <v>36</v>
      </c>
      <c r="G40" s="470"/>
      <c r="H40" s="470"/>
      <c r="I40" s="470"/>
      <c r="J40" s="470"/>
      <c r="K40" s="471" t="s">
        <v>76</v>
      </c>
      <c r="L40" s="463"/>
      <c r="M40" s="362"/>
      <c r="N40" s="362"/>
      <c r="O40" s="464">
        <f>D12</f>
        <v>169</v>
      </c>
      <c r="P40" s="465">
        <f>D8</f>
        <v>2030</v>
      </c>
      <c r="Q40" s="58"/>
      <c r="R40" s="465">
        <f>O40/100</f>
        <v>1.69</v>
      </c>
      <c r="S40" s="58"/>
      <c r="T40" s="465">
        <f>D16</f>
        <v>20</v>
      </c>
      <c r="U40" s="466">
        <f>D46</f>
        <v>3799.5</v>
      </c>
      <c r="V40" s="466">
        <f>D48</f>
        <v>14.9</v>
      </c>
      <c r="W40" s="466">
        <f>D49</f>
        <v>2.0694444444444446</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170</v>
      </c>
      <c r="P41" s="465">
        <f>E8</f>
        <v>2040</v>
      </c>
      <c r="Q41" s="58"/>
      <c r="R41" s="465">
        <f>O41/100</f>
        <v>1.7</v>
      </c>
      <c r="S41" s="58"/>
      <c r="T41" s="465">
        <f>E16</f>
        <v>20</v>
      </c>
      <c r="U41" s="466">
        <f>E46</f>
        <v>3576</v>
      </c>
      <c r="V41" s="466">
        <f>E48</f>
        <v>14.9</v>
      </c>
      <c r="W41" s="466">
        <f>E49</f>
        <v>2.0694444444444446</v>
      </c>
      <c r="X41" s="58"/>
      <c r="Y41" s="58"/>
      <c r="Z41" s="465">
        <f>E23</f>
        <v>0</v>
      </c>
      <c r="AA41" s="467">
        <f>E25</f>
        <v>0</v>
      </c>
      <c r="AB41" s="467">
        <f>E26</f>
        <v>0</v>
      </c>
      <c r="AC41" s="467">
        <f>E27</f>
        <v>0</v>
      </c>
      <c r="AD41" s="467">
        <f>E24</f>
        <v>0</v>
      </c>
    </row>
    <row r="42" spans="2:30" ht="14.55" customHeight="1" outlineLevel="1">
      <c r="B42" s="375" t="s">
        <v>728</v>
      </c>
      <c r="C42" s="1237" t="s">
        <v>838</v>
      </c>
      <c r="D42" s="1238"/>
      <c r="E42" s="1238"/>
      <c r="F42" s="1239"/>
      <c r="G42" s="473"/>
      <c r="H42" s="473"/>
      <c r="I42" s="473"/>
      <c r="J42" s="473"/>
      <c r="K42" s="473"/>
      <c r="L42" s="379"/>
      <c r="M42" s="362"/>
      <c r="N42" s="362"/>
      <c r="O42" s="464">
        <f>F12</f>
        <v>171</v>
      </c>
      <c r="P42" s="465">
        <f>F8</f>
        <v>2050</v>
      </c>
      <c r="Q42" s="58"/>
      <c r="R42" s="465">
        <f>O42/100</f>
        <v>1.71</v>
      </c>
      <c r="S42" s="58"/>
      <c r="T42" s="465">
        <f>F16</f>
        <v>20</v>
      </c>
      <c r="U42" s="466">
        <f>F46</f>
        <v>3427</v>
      </c>
      <c r="V42" s="466">
        <f>F48</f>
        <v>14.9</v>
      </c>
      <c r="W42" s="466">
        <f>F49</f>
        <v>2.0487500000000001</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643">
        <f>C10-C10/C11*100</f>
        <v>4.9411764705882355</v>
      </c>
      <c r="D45" s="644">
        <f t="shared" ref="D45:F45" si="2">D10-D10/D11*100</f>
        <v>4.9824561403508776</v>
      </c>
      <c r="E45" s="644">
        <f t="shared" si="2"/>
        <v>5.0232558139534884</v>
      </c>
      <c r="F45" s="645">
        <f t="shared" si="2"/>
        <v>5.0635838150289025</v>
      </c>
      <c r="G45" s="480"/>
      <c r="H45" s="480"/>
      <c r="I45" s="480"/>
      <c r="J45" s="480"/>
      <c r="K45" s="480" t="s">
        <v>25</v>
      </c>
      <c r="L45" s="481"/>
      <c r="M45" s="362"/>
      <c r="N45" s="362"/>
    </row>
    <row r="46" spans="2:30" ht="57.6" outlineLevel="1">
      <c r="B46" s="460" t="s">
        <v>732</v>
      </c>
      <c r="C46" s="482">
        <f>C29*$F$4*1000</f>
        <v>4172.0000000000009</v>
      </c>
      <c r="D46" s="482">
        <f t="shared" ref="D46:F46" si="3">D29*$F$4*1000</f>
        <v>3799.5</v>
      </c>
      <c r="E46" s="482">
        <f t="shared" si="3"/>
        <v>3576</v>
      </c>
      <c r="F46" s="482">
        <f t="shared" si="3"/>
        <v>3427</v>
      </c>
      <c r="G46" s="482"/>
      <c r="H46" s="483"/>
      <c r="I46" s="419" t="s">
        <v>332</v>
      </c>
      <c r="J46" s="419"/>
      <c r="K46" s="483"/>
      <c r="L46" s="483"/>
      <c r="N46" s="419"/>
    </row>
    <row r="47" spans="2:30" outlineLevel="1">
      <c r="B47" s="484" t="s">
        <v>733</v>
      </c>
      <c r="C47" s="485">
        <f>C46*$I47</f>
        <v>2086000.0000000005</v>
      </c>
      <c r="D47" s="485">
        <f>D46*$I47</f>
        <v>1899750</v>
      </c>
      <c r="E47" s="485">
        <f>E46*$I47</f>
        <v>1788000</v>
      </c>
      <c r="F47" s="485">
        <f>F46*$I47</f>
        <v>1713500</v>
      </c>
      <c r="G47" s="485"/>
      <c r="H47" s="483"/>
      <c r="I47" s="71">
        <v>500</v>
      </c>
      <c r="J47" s="419" t="s">
        <v>330</v>
      </c>
      <c r="K47" s="483"/>
      <c r="L47" s="483"/>
      <c r="N47" s="419"/>
    </row>
    <row r="48" spans="2:30" ht="43.2" outlineLevel="1">
      <c r="B48" s="460" t="s">
        <v>808</v>
      </c>
      <c r="C48" s="358">
        <f>C32*$F$4/1000</f>
        <v>14.9</v>
      </c>
      <c r="D48" s="358">
        <f t="shared" ref="D48:F48" si="4">D32*$F$4/1000</f>
        <v>14.9</v>
      </c>
      <c r="E48" s="358">
        <f t="shared" si="4"/>
        <v>14.9</v>
      </c>
      <c r="F48" s="358">
        <f t="shared" si="4"/>
        <v>14.9</v>
      </c>
      <c r="G48" s="358"/>
      <c r="I48" s="419" t="s">
        <v>333</v>
      </c>
      <c r="J48" s="419"/>
      <c r="N48" s="419"/>
    </row>
    <row r="49" spans="2:14" ht="43.2" outlineLevel="1">
      <c r="B49" s="460" t="s">
        <v>809</v>
      </c>
      <c r="C49" s="486">
        <f>C33*$F$4/3.6</f>
        <v>2.0901388888888892</v>
      </c>
      <c r="D49" s="486">
        <f t="shared" ref="D49:F49" si="5">D33*$F$4/3.6</f>
        <v>2.0694444444444446</v>
      </c>
      <c r="E49" s="486">
        <f t="shared" si="5"/>
        <v>2.0694444444444446</v>
      </c>
      <c r="F49" s="486">
        <f t="shared" si="5"/>
        <v>2.0487500000000001</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48" t="s">
        <v>736</v>
      </c>
      <c r="C55" s="357"/>
      <c r="D55" s="489"/>
      <c r="E55" s="357"/>
      <c r="F55" s="357"/>
      <c r="G55" s="357"/>
      <c r="H55" s="357"/>
      <c r="I55" s="357"/>
      <c r="J55" s="357"/>
      <c r="K55" s="357"/>
      <c r="L55" s="357"/>
    </row>
    <row r="56" spans="2:14" outlineLevel="1">
      <c r="B56" s="649">
        <v>1</v>
      </c>
      <c r="C56" s="650" t="s">
        <v>813</v>
      </c>
      <c r="D56" s="489"/>
      <c r="F56" s="357"/>
      <c r="G56" s="357"/>
      <c r="H56" s="357"/>
      <c r="I56" s="357"/>
      <c r="J56" s="357"/>
      <c r="K56" s="357"/>
      <c r="L56" s="357"/>
    </row>
    <row r="57" spans="2:14" outlineLevel="1">
      <c r="B57" s="649">
        <v>2</v>
      </c>
      <c r="C57" s="651" t="s">
        <v>810</v>
      </c>
      <c r="D57" s="489"/>
      <c r="F57" s="357"/>
      <c r="G57" s="357"/>
      <c r="H57" s="357"/>
      <c r="I57" s="357"/>
      <c r="J57" s="357"/>
      <c r="K57" s="357"/>
      <c r="L57" s="357"/>
    </row>
    <row r="58" spans="2:14" outlineLevel="1">
      <c r="B58" s="357" t="s">
        <v>746</v>
      </c>
      <c r="C58" s="357"/>
      <c r="D58" s="489"/>
      <c r="F58" s="357"/>
      <c r="G58" s="357"/>
      <c r="H58" s="357"/>
      <c r="I58" s="357"/>
      <c r="J58" s="357"/>
      <c r="K58" s="357"/>
      <c r="L58" s="357"/>
    </row>
    <row r="59" spans="2:14" outlineLevel="1">
      <c r="B59" s="652" t="s">
        <v>6</v>
      </c>
      <c r="C59" s="650" t="s">
        <v>833</v>
      </c>
      <c r="D59" s="489"/>
      <c r="F59" s="357"/>
      <c r="G59" s="357"/>
      <c r="H59" s="357"/>
      <c r="I59" s="357"/>
      <c r="J59" s="357"/>
      <c r="K59" s="357"/>
      <c r="L59" s="357"/>
    </row>
    <row r="60" spans="2:14" outlineLevel="1">
      <c r="B60" s="652" t="s">
        <v>59</v>
      </c>
      <c r="C60" s="651" t="s">
        <v>834</v>
      </c>
      <c r="D60" s="489"/>
      <c r="F60" s="357"/>
      <c r="G60" s="357"/>
      <c r="H60" s="357"/>
      <c r="I60" s="357"/>
      <c r="J60" s="357"/>
      <c r="K60" s="357"/>
      <c r="L60" s="357"/>
    </row>
    <row r="61" spans="2:14" outlineLevel="1">
      <c r="B61" s="652" t="s">
        <v>16</v>
      </c>
      <c r="C61" s="650" t="s">
        <v>835</v>
      </c>
      <c r="D61" s="489"/>
      <c r="F61" s="357"/>
      <c r="G61" s="357"/>
      <c r="H61" s="357"/>
      <c r="I61" s="357"/>
      <c r="J61" s="357"/>
      <c r="K61" s="357"/>
      <c r="L61" s="357"/>
    </row>
    <row r="62" spans="2:14" outlineLevel="1">
      <c r="B62" s="653" t="s">
        <v>20</v>
      </c>
      <c r="C62" s="488" t="s">
        <v>751</v>
      </c>
      <c r="D62" s="489"/>
      <c r="F62" s="357"/>
      <c r="G62" s="357"/>
      <c r="H62" s="357"/>
      <c r="I62" s="357"/>
      <c r="J62" s="357"/>
      <c r="K62" s="357"/>
      <c r="L62" s="357"/>
    </row>
    <row r="63" spans="2:14" outlineLevel="1">
      <c r="B63" s="652" t="s">
        <v>76</v>
      </c>
      <c r="C63" s="650" t="s">
        <v>752</v>
      </c>
      <c r="D63" s="489"/>
      <c r="F63" s="357"/>
      <c r="G63" s="357"/>
      <c r="H63" s="357"/>
      <c r="I63" s="357"/>
      <c r="J63" s="357"/>
      <c r="K63" s="357"/>
      <c r="L63" s="357"/>
    </row>
    <row r="64" spans="2:14" outlineLevel="1">
      <c r="B64" s="636" t="s">
        <v>25</v>
      </c>
      <c r="C64" s="357" t="s">
        <v>836</v>
      </c>
      <c r="D64" s="489"/>
      <c r="F64" s="357"/>
      <c r="G64" s="357"/>
      <c r="H64" s="357"/>
      <c r="I64" s="357"/>
      <c r="J64" s="357"/>
      <c r="K64" s="357"/>
      <c r="L64" s="357"/>
    </row>
    <row r="65" spans="1:44" outlineLevel="1">
      <c r="B65" s="655"/>
      <c r="C65" s="489"/>
      <c r="D65" s="489"/>
      <c r="F65" s="357"/>
      <c r="G65" s="357"/>
      <c r="H65" s="357"/>
      <c r="I65" s="357"/>
      <c r="J65" s="357"/>
      <c r="K65" s="357"/>
      <c r="L65" s="357"/>
    </row>
    <row r="66" spans="1:44" outlineLevel="1">
      <c r="B66" s="636"/>
      <c r="C66" s="489"/>
      <c r="D66" s="489"/>
      <c r="F66" s="357"/>
      <c r="G66" s="357"/>
      <c r="H66" s="357"/>
      <c r="I66" s="357"/>
      <c r="J66" s="357"/>
      <c r="K66" s="357"/>
      <c r="L66" s="357"/>
    </row>
    <row r="67" spans="1:44" outlineLevel="1">
      <c r="B67" s="636"/>
      <c r="C67" s="489"/>
      <c r="D67" s="489"/>
      <c r="F67" s="357"/>
      <c r="G67" s="357"/>
      <c r="H67" s="357"/>
      <c r="I67" s="357"/>
      <c r="J67" s="357"/>
      <c r="K67" s="357"/>
      <c r="L67" s="357"/>
    </row>
    <row r="68" spans="1:44" outlineLevel="1">
      <c r="B68" s="636"/>
      <c r="C68" s="489"/>
      <c r="D68" s="357"/>
      <c r="F68" s="357"/>
      <c r="G68" s="357"/>
      <c r="H68" s="357"/>
      <c r="I68" s="357"/>
      <c r="J68" s="357"/>
      <c r="K68" s="357"/>
      <c r="L68" s="357"/>
    </row>
    <row r="69" spans="1:44" outlineLevel="1">
      <c r="B69" s="636"/>
      <c r="C69" s="488"/>
      <c r="D69" s="357"/>
      <c r="F69" s="357"/>
      <c r="G69" s="357"/>
      <c r="H69" s="357"/>
      <c r="I69" s="357"/>
      <c r="J69" s="357"/>
      <c r="K69" s="357"/>
      <c r="L69" s="357"/>
    </row>
    <row r="70" spans="1:44" outlineLevel="1">
      <c r="B70" s="636"/>
      <c r="C70" s="489"/>
      <c r="D70" s="357"/>
      <c r="G70" s="357"/>
      <c r="H70" s="357"/>
      <c r="I70" s="357"/>
      <c r="J70" s="357"/>
      <c r="K70" s="357"/>
      <c r="L70" s="357"/>
    </row>
    <row r="71" spans="1:44" outlineLevel="1">
      <c r="B71" s="636"/>
      <c r="C71" s="489"/>
      <c r="E71" s="489"/>
      <c r="F71" s="489"/>
    </row>
    <row r="72" spans="1:44" outlineLevel="1"/>
    <row r="73" spans="1:44" outlineLevel="1"/>
    <row r="74" spans="1:44" outlineLevel="1"/>
    <row r="77" spans="1:44">
      <c r="A77" s="359"/>
      <c r="B77" s="1204"/>
      <c r="C77" s="1140"/>
      <c r="D77" s="1140"/>
      <c r="E77" s="1140"/>
      <c r="F77" s="1140"/>
      <c r="G77" s="1140"/>
      <c r="H77" s="1140"/>
      <c r="I77" s="1140"/>
      <c r="J77" s="1140"/>
      <c r="K77" s="1140"/>
      <c r="L77" s="1140"/>
      <c r="M77" s="1140"/>
      <c r="N77" s="360"/>
      <c r="P77" s="1140"/>
      <c r="Q77" s="1140"/>
      <c r="R77" s="1140"/>
      <c r="S77" s="1140"/>
      <c r="T77" s="1140"/>
      <c r="U77" s="1140"/>
    </row>
    <row r="78" spans="1:44" ht="15" outlineLevel="1" thickBot="1">
      <c r="B78" s="1204"/>
      <c r="C78" s="1140"/>
      <c r="D78" s="1140"/>
      <c r="E78" s="1140"/>
      <c r="F78" s="1140"/>
      <c r="G78" s="1140"/>
      <c r="H78" s="1140"/>
      <c r="I78" s="1140"/>
      <c r="J78" s="1140"/>
      <c r="K78" s="1140"/>
      <c r="L78" s="1140"/>
      <c r="M78" s="1140"/>
      <c r="N78" s="360"/>
      <c r="P78" s="1140"/>
      <c r="Q78" s="1140"/>
      <c r="R78" s="1140"/>
      <c r="S78" s="1140"/>
      <c r="T78" s="1140"/>
      <c r="U78" s="1140"/>
    </row>
    <row r="79" spans="1:44" ht="20.55" customHeight="1" outlineLevel="1" thickBot="1">
      <c r="B79" s="361"/>
      <c r="C79" s="1183"/>
      <c r="D79" s="1202"/>
      <c r="E79" s="1202"/>
      <c r="F79" s="1202"/>
      <c r="G79" s="1202"/>
      <c r="H79" s="1202"/>
      <c r="I79" s="1202"/>
      <c r="J79" s="1202"/>
      <c r="K79" s="1202"/>
      <c r="L79" s="1203"/>
      <c r="M79" s="362"/>
      <c r="N79" s="362"/>
      <c r="P79" s="363"/>
      <c r="Q79" s="364"/>
      <c r="R79" s="365"/>
      <c r="S79" s="1173"/>
      <c r="T79" s="1157"/>
      <c r="U79" s="1158"/>
      <c r="V79" s="1157"/>
      <c r="W79" s="1158"/>
      <c r="X79" s="1157"/>
      <c r="Y79" s="1158"/>
      <c r="Z79" s="1157"/>
      <c r="AA79" s="1158"/>
      <c r="AB79" s="1157"/>
      <c r="AC79" s="1158"/>
      <c r="AE79" s="363"/>
      <c r="AF79" s="364"/>
      <c r="AG79" s="365"/>
      <c r="AH79" s="1173"/>
      <c r="AI79" s="1157"/>
      <c r="AJ79" s="1158"/>
      <c r="AK79" s="1157"/>
      <c r="AL79" s="1158"/>
      <c r="AM79" s="1157"/>
      <c r="AN79" s="1158"/>
      <c r="AO79" s="1157"/>
      <c r="AP79" s="1158"/>
      <c r="AQ79" s="1157"/>
      <c r="AR79" s="1158"/>
    </row>
    <row r="80" spans="1:44" ht="15" customHeight="1" outlineLevel="1" thickBot="1">
      <c r="B80" s="1161"/>
      <c r="C80" s="1163"/>
      <c r="D80" s="1163"/>
      <c r="E80" s="1163"/>
      <c r="F80" s="1163"/>
      <c r="G80" s="1197"/>
      <c r="H80" s="1198"/>
      <c r="I80" s="1197"/>
      <c r="J80" s="1198"/>
      <c r="K80" s="1199"/>
      <c r="L80" s="1199"/>
      <c r="M80" s="366"/>
      <c r="N80" s="366"/>
      <c r="P80" s="1177"/>
      <c r="Q80" s="367"/>
      <c r="R80" s="367"/>
      <c r="S80" s="1174"/>
      <c r="T80" s="1159"/>
      <c r="U80" s="1160"/>
      <c r="V80" s="1159"/>
      <c r="W80" s="1160"/>
      <c r="X80" s="1159"/>
      <c r="Y80" s="1160"/>
      <c r="Z80" s="1159"/>
      <c r="AA80" s="1160"/>
      <c r="AB80" s="1159"/>
      <c r="AC80" s="1160"/>
      <c r="AE80" s="1177"/>
      <c r="AF80" s="367"/>
      <c r="AG80" s="367"/>
      <c r="AH80" s="1174"/>
      <c r="AI80" s="1159"/>
      <c r="AJ80" s="1160"/>
      <c r="AK80" s="1159"/>
      <c r="AL80" s="1160"/>
      <c r="AM80" s="1159"/>
      <c r="AN80" s="1160"/>
      <c r="AO80" s="1159"/>
      <c r="AP80" s="1160"/>
      <c r="AQ80" s="1159"/>
      <c r="AR80" s="1160"/>
    </row>
    <row r="81" spans="2:44" ht="15" customHeight="1" outlineLevel="1" thickBot="1">
      <c r="B81" s="1162"/>
      <c r="C81" s="1164"/>
      <c r="D81" s="1164"/>
      <c r="E81" s="1164"/>
      <c r="F81" s="1164"/>
      <c r="G81" s="498"/>
      <c r="H81" s="498"/>
      <c r="I81" s="498"/>
      <c r="J81" s="498"/>
      <c r="K81" s="1200"/>
      <c r="L81" s="1200"/>
      <c r="M81" s="369"/>
      <c r="N81" s="369"/>
      <c r="P81" s="1178"/>
      <c r="Q81" s="1180"/>
      <c r="R81" s="1181"/>
      <c r="S81" s="1175"/>
      <c r="T81" s="1159"/>
      <c r="U81" s="1160"/>
      <c r="V81" s="1159"/>
      <c r="W81" s="1160"/>
      <c r="X81" s="1159"/>
      <c r="Y81" s="1160"/>
      <c r="Z81" s="1159"/>
      <c r="AA81" s="1160"/>
      <c r="AB81" s="1159"/>
      <c r="AC81" s="1160"/>
      <c r="AE81" s="1178"/>
      <c r="AF81" s="1194"/>
      <c r="AG81" s="1181"/>
      <c r="AH81" s="1175"/>
      <c r="AI81" s="1159"/>
      <c r="AJ81" s="1160"/>
      <c r="AK81" s="1159"/>
      <c r="AL81" s="1160"/>
      <c r="AM81" s="1159"/>
      <c r="AN81" s="1160"/>
      <c r="AO81" s="1159"/>
      <c r="AP81" s="1160"/>
      <c r="AQ81" s="1159"/>
      <c r="AR81" s="1160"/>
    </row>
    <row r="82" spans="2:44" ht="15" outlineLevel="1" thickBot="1">
      <c r="B82" s="370"/>
      <c r="C82" s="371"/>
      <c r="D82" s="371"/>
      <c r="E82" s="371"/>
      <c r="F82" s="371"/>
      <c r="G82" s="371"/>
      <c r="H82" s="371"/>
      <c r="I82" s="371"/>
      <c r="J82" s="371"/>
      <c r="K82" s="371"/>
      <c r="L82" s="372"/>
      <c r="M82" s="369"/>
      <c r="N82" s="369"/>
      <c r="O82" s="74"/>
      <c r="P82" s="1179"/>
      <c r="Q82" s="1176"/>
      <c r="R82" s="1182"/>
      <c r="S82" s="1176"/>
      <c r="T82" s="373"/>
      <c r="U82" s="374"/>
      <c r="V82" s="373"/>
      <c r="W82" s="374"/>
      <c r="X82" s="373"/>
      <c r="Y82" s="374"/>
      <c r="Z82" s="373"/>
      <c r="AA82" s="374"/>
      <c r="AB82" s="373"/>
      <c r="AC82" s="374"/>
      <c r="AE82" s="1179"/>
      <c r="AF82" s="1195"/>
      <c r="AG82" s="1182"/>
      <c r="AH82" s="1176"/>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45"/>
      <c r="Q83" s="1151"/>
      <c r="R83" s="380"/>
      <c r="S83" s="381"/>
      <c r="T83" s="1134"/>
      <c r="U83" s="1148"/>
      <c r="V83" s="1134"/>
      <c r="W83" s="1148"/>
      <c r="X83" s="1134"/>
      <c r="Y83" s="1148"/>
      <c r="Z83" s="1134"/>
      <c r="AA83" s="1148"/>
      <c r="AB83" s="1134"/>
      <c r="AC83" s="1148"/>
      <c r="AE83" s="1145"/>
      <c r="AF83" s="1151"/>
      <c r="AG83" s="380"/>
      <c r="AH83" s="381"/>
      <c r="AI83" s="1134"/>
      <c r="AJ83" s="1148"/>
      <c r="AK83" s="1134"/>
      <c r="AL83" s="1148"/>
      <c r="AM83" s="1134"/>
      <c r="AN83" s="1148"/>
      <c r="AO83" s="1134"/>
      <c r="AP83" s="1148"/>
      <c r="AQ83" s="1134"/>
      <c r="AR83" s="1148"/>
    </row>
    <row r="84" spans="2:44" outlineLevel="1">
      <c r="B84" s="382"/>
      <c r="C84" s="383"/>
      <c r="D84" s="383"/>
      <c r="E84" s="383"/>
      <c r="F84" s="383"/>
      <c r="G84" s="504"/>
      <c r="H84" s="504"/>
      <c r="I84" s="504"/>
      <c r="J84" s="504"/>
      <c r="K84" s="371"/>
      <c r="L84" s="372"/>
      <c r="M84" s="369"/>
      <c r="N84" s="369"/>
      <c r="O84" s="71"/>
      <c r="P84" s="1192"/>
      <c r="Q84" s="1152"/>
      <c r="R84" s="387"/>
      <c r="S84" s="388"/>
      <c r="T84" s="1137"/>
      <c r="U84" s="1149"/>
      <c r="V84" s="1137"/>
      <c r="W84" s="1149"/>
      <c r="X84" s="1137"/>
      <c r="Y84" s="1149"/>
      <c r="Z84" s="1137"/>
      <c r="AA84" s="1149"/>
      <c r="AB84" s="1137"/>
      <c r="AC84" s="1149"/>
      <c r="AE84" s="1192"/>
      <c r="AF84" s="1152"/>
      <c r="AG84" s="387"/>
      <c r="AH84" s="388"/>
      <c r="AI84" s="1137"/>
      <c r="AJ84" s="1149"/>
      <c r="AK84" s="1137"/>
      <c r="AL84" s="1149"/>
      <c r="AM84" s="1137"/>
      <c r="AN84" s="1149"/>
      <c r="AO84" s="1137"/>
      <c r="AP84" s="1149"/>
      <c r="AQ84" s="1137"/>
      <c r="AR84" s="1149"/>
    </row>
    <row r="85" spans="2:44" ht="15" outlineLevel="1" thickBot="1">
      <c r="B85" s="499"/>
      <c r="C85" s="505"/>
      <c r="D85" s="506"/>
      <c r="E85" s="506"/>
      <c r="F85" s="507"/>
      <c r="G85" s="506"/>
      <c r="H85" s="506"/>
      <c r="I85" s="506"/>
      <c r="J85" s="506"/>
      <c r="K85" s="502"/>
      <c r="L85" s="503"/>
      <c r="M85" s="369"/>
      <c r="N85" s="369"/>
      <c r="O85" s="71"/>
      <c r="P85" s="1192"/>
      <c r="Q85" s="1153"/>
      <c r="R85" s="392"/>
      <c r="S85" s="393"/>
      <c r="T85" s="1138"/>
      <c r="U85" s="1150"/>
      <c r="V85" s="1138"/>
      <c r="W85" s="1150"/>
      <c r="X85" s="1138"/>
      <c r="Y85" s="1150"/>
      <c r="Z85" s="1138"/>
      <c r="AA85" s="1150"/>
      <c r="AB85" s="1138"/>
      <c r="AC85" s="1150"/>
      <c r="AE85" s="1192"/>
      <c r="AF85" s="1153"/>
      <c r="AG85" s="392"/>
      <c r="AH85" s="393"/>
      <c r="AI85" s="1138"/>
      <c r="AJ85" s="1150"/>
      <c r="AK85" s="1138"/>
      <c r="AL85" s="1150"/>
      <c r="AM85" s="1138"/>
      <c r="AN85" s="1150"/>
      <c r="AO85" s="1138"/>
      <c r="AP85" s="1150"/>
      <c r="AQ85" s="1138"/>
      <c r="AR85" s="1150"/>
    </row>
    <row r="86" spans="2:44" ht="15" customHeight="1" outlineLevel="1">
      <c r="B86" s="499"/>
      <c r="C86" s="505"/>
      <c r="D86" s="505"/>
      <c r="E86" s="505"/>
      <c r="F86" s="505"/>
      <c r="G86" s="505"/>
      <c r="H86" s="505"/>
      <c r="I86" s="505"/>
      <c r="J86" s="505"/>
      <c r="K86" s="502"/>
      <c r="L86" s="503"/>
      <c r="M86" s="369"/>
      <c r="N86" s="369"/>
      <c r="O86" s="71"/>
      <c r="P86" s="1192"/>
      <c r="Q86" s="1151"/>
      <c r="R86" s="394"/>
      <c r="S86" s="395"/>
      <c r="T86" s="1134"/>
      <c r="U86" s="1134"/>
      <c r="V86" s="1134"/>
      <c r="W86" s="1134"/>
      <c r="X86" s="1134"/>
      <c r="Y86" s="1134"/>
      <c r="Z86" s="1134"/>
      <c r="AA86" s="1134"/>
      <c r="AB86" s="1134"/>
      <c r="AC86" s="1134"/>
      <c r="AE86" s="1192"/>
      <c r="AF86" s="1151"/>
      <c r="AG86" s="394"/>
      <c r="AH86" s="395"/>
      <c r="AI86" s="1134"/>
      <c r="AJ86" s="1134"/>
      <c r="AK86" s="1134"/>
      <c r="AL86" s="1134"/>
      <c r="AM86" s="1134"/>
      <c r="AN86" s="1134"/>
      <c r="AO86" s="1134"/>
      <c r="AP86" s="1134"/>
      <c r="AQ86" s="1134"/>
      <c r="AR86" s="1134"/>
    </row>
    <row r="87" spans="2:44" outlineLevel="1">
      <c r="B87" s="499"/>
      <c r="C87" s="505"/>
      <c r="D87" s="505"/>
      <c r="E87" s="505"/>
      <c r="F87" s="505"/>
      <c r="G87" s="505"/>
      <c r="H87" s="505"/>
      <c r="I87" s="505"/>
      <c r="J87" s="505"/>
      <c r="K87" s="502"/>
      <c r="L87" s="503"/>
      <c r="M87" s="366"/>
      <c r="N87" s="366"/>
      <c r="O87" s="71"/>
      <c r="P87" s="1192"/>
      <c r="Q87" s="1152"/>
      <c r="R87" s="394"/>
      <c r="S87" s="395"/>
      <c r="T87" s="1135"/>
      <c r="U87" s="1135"/>
      <c r="V87" s="1135"/>
      <c r="W87" s="1135"/>
      <c r="X87" s="1135"/>
      <c r="Y87" s="1135"/>
      <c r="Z87" s="1135"/>
      <c r="AA87" s="1135"/>
      <c r="AB87" s="1135"/>
      <c r="AC87" s="1135"/>
      <c r="AE87" s="1192"/>
      <c r="AF87" s="1152"/>
      <c r="AG87" s="394"/>
      <c r="AH87" s="395"/>
      <c r="AI87" s="1135"/>
      <c r="AJ87" s="1135"/>
      <c r="AK87" s="1135"/>
      <c r="AL87" s="1135"/>
      <c r="AM87" s="1135"/>
      <c r="AN87" s="1135"/>
      <c r="AO87" s="1135"/>
      <c r="AP87" s="1135"/>
      <c r="AQ87" s="1135"/>
      <c r="AR87" s="1135"/>
    </row>
    <row r="88" spans="2:44" outlineLevel="1">
      <c r="B88" s="382"/>
      <c r="C88" s="396"/>
      <c r="D88" s="396"/>
      <c r="E88" s="396"/>
      <c r="F88" s="396"/>
      <c r="G88" s="398"/>
      <c r="H88" s="398"/>
      <c r="I88" s="398"/>
      <c r="J88" s="398"/>
      <c r="K88" s="371"/>
      <c r="L88" s="372"/>
      <c r="M88" s="362"/>
      <c r="N88" s="362"/>
      <c r="P88" s="1192"/>
      <c r="Q88" s="1152"/>
      <c r="R88" s="394"/>
      <c r="S88" s="395"/>
      <c r="T88" s="1135"/>
      <c r="U88" s="1135"/>
      <c r="V88" s="1135"/>
      <c r="W88" s="1135"/>
      <c r="X88" s="1135"/>
      <c r="Y88" s="1135"/>
      <c r="Z88" s="1135"/>
      <c r="AA88" s="1135"/>
      <c r="AB88" s="1135"/>
      <c r="AC88" s="1135"/>
      <c r="AE88" s="1192"/>
      <c r="AF88" s="1152"/>
      <c r="AG88" s="394"/>
      <c r="AH88" s="395"/>
      <c r="AI88" s="1135"/>
      <c r="AJ88" s="1135"/>
      <c r="AK88" s="1135"/>
      <c r="AL88" s="1135"/>
      <c r="AM88" s="1135"/>
      <c r="AN88" s="1135"/>
      <c r="AO88" s="1135"/>
      <c r="AP88" s="1135"/>
      <c r="AQ88" s="1135"/>
      <c r="AR88" s="1135"/>
    </row>
    <row r="89" spans="2:44" ht="15" outlineLevel="1" thickBot="1">
      <c r="B89" s="499"/>
      <c r="C89" s="505"/>
      <c r="D89" s="505"/>
      <c r="E89" s="505"/>
      <c r="F89" s="505"/>
      <c r="G89" s="505"/>
      <c r="H89" s="505"/>
      <c r="I89" s="505"/>
      <c r="J89" s="505"/>
      <c r="K89" s="371"/>
      <c r="L89" s="399"/>
      <c r="M89" s="362"/>
      <c r="N89" s="362"/>
      <c r="P89" s="1192"/>
      <c r="Q89" s="1152"/>
      <c r="R89" s="394"/>
      <c r="S89" s="395"/>
      <c r="T89" s="1135"/>
      <c r="U89" s="1135"/>
      <c r="V89" s="1135"/>
      <c r="W89" s="1135"/>
      <c r="X89" s="1135"/>
      <c r="Y89" s="1135"/>
      <c r="Z89" s="1135"/>
      <c r="AA89" s="1135"/>
      <c r="AB89" s="1135"/>
      <c r="AC89" s="1135"/>
      <c r="AE89" s="1192"/>
      <c r="AF89" s="1152"/>
      <c r="AG89" s="394"/>
      <c r="AH89" s="395"/>
      <c r="AI89" s="1135"/>
      <c r="AJ89" s="1135"/>
      <c r="AK89" s="1135"/>
      <c r="AL89" s="1135"/>
      <c r="AM89" s="1135"/>
      <c r="AN89" s="1135"/>
      <c r="AO89" s="1135"/>
      <c r="AP89" s="1135"/>
      <c r="AQ89" s="1135"/>
      <c r="AR89" s="1135"/>
    </row>
    <row r="90" spans="2:44" ht="15" outlineLevel="1" thickBot="1">
      <c r="B90" s="400"/>
      <c r="C90" s="401"/>
      <c r="D90" s="402"/>
      <c r="E90" s="403"/>
      <c r="F90" s="404"/>
      <c r="G90" s="405"/>
      <c r="H90" s="405"/>
      <c r="I90" s="405"/>
      <c r="J90" s="405"/>
      <c r="K90" s="406"/>
      <c r="L90" s="407"/>
      <c r="M90" s="362"/>
      <c r="N90" s="362"/>
      <c r="P90" s="1192"/>
      <c r="Q90" s="1152"/>
      <c r="R90" s="408"/>
      <c r="S90" s="409"/>
      <c r="T90" s="1136"/>
      <c r="U90" s="1136"/>
      <c r="V90" s="1136"/>
      <c r="W90" s="1136"/>
      <c r="X90" s="1136"/>
      <c r="Y90" s="1136"/>
      <c r="Z90" s="1136"/>
      <c r="AA90" s="1136"/>
      <c r="AB90" s="1136"/>
      <c r="AC90" s="1136"/>
      <c r="AE90" s="1192"/>
      <c r="AF90" s="1152"/>
      <c r="AG90" s="408"/>
      <c r="AH90" s="409"/>
      <c r="AI90" s="1136"/>
      <c r="AJ90" s="1136"/>
      <c r="AK90" s="1136"/>
      <c r="AL90" s="1136"/>
      <c r="AM90" s="1136"/>
      <c r="AN90" s="1136"/>
      <c r="AO90" s="1136"/>
      <c r="AP90" s="1136"/>
      <c r="AQ90" s="1136"/>
      <c r="AR90" s="1136"/>
    </row>
    <row r="91" spans="2:44" ht="15" outlineLevel="1" thickBot="1">
      <c r="B91" s="499"/>
      <c r="C91" s="505"/>
      <c r="D91" s="505"/>
      <c r="E91" s="505"/>
      <c r="F91" s="505"/>
      <c r="G91" s="506"/>
      <c r="H91" s="506"/>
      <c r="I91" s="506"/>
      <c r="J91" s="506"/>
      <c r="K91" s="502"/>
      <c r="L91" s="503"/>
      <c r="M91" s="362"/>
      <c r="N91" s="362"/>
      <c r="P91" s="1193"/>
      <c r="Q91" s="410"/>
      <c r="R91" s="411"/>
      <c r="S91" s="412"/>
      <c r="T91" s="413"/>
      <c r="U91" s="414"/>
      <c r="V91" s="415"/>
      <c r="W91" s="414"/>
      <c r="X91" s="415"/>
      <c r="Y91" s="414"/>
      <c r="Z91" s="415"/>
      <c r="AA91" s="414"/>
      <c r="AB91" s="415"/>
      <c r="AC91" s="416"/>
      <c r="AE91" s="1193"/>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5" outlineLevel="1" thickBot="1">
      <c r="B99" s="428"/>
      <c r="C99" s="429"/>
      <c r="D99" s="429"/>
      <c r="E99" s="429"/>
      <c r="F99" s="429"/>
      <c r="G99" s="424"/>
      <c r="H99" s="424"/>
      <c r="I99" s="424"/>
      <c r="J99" s="424"/>
      <c r="K99" s="422"/>
      <c r="L99" s="426"/>
      <c r="M99" s="427"/>
      <c r="N99" s="427"/>
    </row>
    <row r="100" spans="1:30" ht="15"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39"/>
      <c r="Q105" s="1140"/>
      <c r="R105" s="1140"/>
      <c r="S105" s="1140"/>
      <c r="T105" s="1140"/>
      <c r="U105" s="1141"/>
    </row>
    <row r="106" spans="1:30" ht="15" outlineLevel="1" thickBot="1">
      <c r="B106" s="499"/>
      <c r="C106" s="513"/>
      <c r="D106" s="513"/>
      <c r="E106" s="513"/>
      <c r="F106" s="513"/>
      <c r="G106" s="514"/>
      <c r="H106" s="514"/>
      <c r="I106" s="514"/>
      <c r="J106" s="514"/>
      <c r="K106" s="502"/>
      <c r="L106" s="503"/>
      <c r="M106" s="449"/>
      <c r="N106" s="360"/>
      <c r="P106" s="1131"/>
      <c r="Q106" s="1132"/>
      <c r="R106" s="1132"/>
      <c r="S106" s="1132"/>
      <c r="T106" s="1132"/>
      <c r="U106" s="1133"/>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5"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5"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5"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204"/>
      <c r="C149" s="1140"/>
      <c r="D149" s="1140"/>
      <c r="E149" s="1140"/>
      <c r="F149" s="1140"/>
      <c r="G149" s="1140"/>
      <c r="H149" s="1140"/>
      <c r="I149" s="1140"/>
      <c r="J149" s="1140"/>
      <c r="K149" s="1140"/>
      <c r="L149" s="1140"/>
      <c r="M149" s="1140"/>
      <c r="N149" s="360"/>
      <c r="P149" s="1140"/>
      <c r="Q149" s="1140"/>
      <c r="R149" s="1140"/>
      <c r="S149" s="1140"/>
      <c r="T149" s="1140"/>
      <c r="U149" s="1140"/>
    </row>
    <row r="150" spans="1:44" ht="15" outlineLevel="1" thickBot="1">
      <c r="B150" s="1204"/>
      <c r="C150" s="1140"/>
      <c r="D150" s="1140"/>
      <c r="E150" s="1140"/>
      <c r="F150" s="1140"/>
      <c r="G150" s="1140"/>
      <c r="H150" s="1140"/>
      <c r="I150" s="1140"/>
      <c r="J150" s="1140"/>
      <c r="K150" s="1140"/>
      <c r="L150" s="1140"/>
      <c r="M150" s="1140"/>
      <c r="N150" s="360"/>
      <c r="P150" s="1140"/>
      <c r="Q150" s="1140"/>
      <c r="R150" s="1140"/>
      <c r="S150" s="1140"/>
      <c r="T150" s="1140"/>
      <c r="U150" s="1140"/>
    </row>
    <row r="151" spans="1:44" ht="20.55" customHeight="1" outlineLevel="1" thickBot="1">
      <c r="B151" s="361"/>
      <c r="C151" s="1183"/>
      <c r="D151" s="1202"/>
      <c r="E151" s="1202"/>
      <c r="F151" s="1202"/>
      <c r="G151" s="1202"/>
      <c r="H151" s="1202"/>
      <c r="I151" s="1202"/>
      <c r="J151" s="1202"/>
      <c r="K151" s="1202"/>
      <c r="L151" s="1203"/>
      <c r="M151" s="362"/>
      <c r="N151" s="362"/>
      <c r="P151" s="363"/>
      <c r="Q151" s="364"/>
      <c r="R151" s="365"/>
      <c r="S151" s="1173"/>
      <c r="T151" s="1157"/>
      <c r="U151" s="1158"/>
      <c r="V151" s="1157"/>
      <c r="W151" s="1158"/>
      <c r="X151" s="1157"/>
      <c r="Y151" s="1158"/>
      <c r="Z151" s="1157"/>
      <c r="AA151" s="1158"/>
      <c r="AB151" s="1157"/>
      <c r="AC151" s="1158"/>
      <c r="AE151" s="363"/>
      <c r="AF151" s="364"/>
      <c r="AG151" s="365"/>
      <c r="AH151" s="1173"/>
      <c r="AI151" s="1157"/>
      <c r="AJ151" s="1158"/>
      <c r="AK151" s="1157"/>
      <c r="AL151" s="1158"/>
      <c r="AM151" s="1157"/>
      <c r="AN151" s="1158"/>
      <c r="AO151" s="1157"/>
      <c r="AP151" s="1158"/>
      <c r="AQ151" s="1157"/>
      <c r="AR151" s="1158"/>
    </row>
    <row r="152" spans="1:44" ht="15" customHeight="1" outlineLevel="1" thickBot="1">
      <c r="B152" s="1161"/>
      <c r="C152" s="1163"/>
      <c r="D152" s="1163"/>
      <c r="E152" s="1163"/>
      <c r="F152" s="1163"/>
      <c r="G152" s="1218"/>
      <c r="H152" s="1219"/>
      <c r="I152" s="1218"/>
      <c r="J152" s="1219"/>
      <c r="K152" s="1186"/>
      <c r="L152" s="1186"/>
      <c r="M152" s="366"/>
      <c r="N152" s="366"/>
      <c r="P152" s="1177"/>
      <c r="Q152" s="367"/>
      <c r="R152" s="367"/>
      <c r="S152" s="1174"/>
      <c r="T152" s="1159"/>
      <c r="U152" s="1160"/>
      <c r="V152" s="1159"/>
      <c r="W152" s="1160"/>
      <c r="X152" s="1159"/>
      <c r="Y152" s="1160"/>
      <c r="Z152" s="1159"/>
      <c r="AA152" s="1160"/>
      <c r="AB152" s="1159"/>
      <c r="AC152" s="1160"/>
      <c r="AE152" s="1177"/>
      <c r="AF152" s="367"/>
      <c r="AG152" s="367"/>
      <c r="AH152" s="1174"/>
      <c r="AI152" s="1159"/>
      <c r="AJ152" s="1160"/>
      <c r="AK152" s="1159"/>
      <c r="AL152" s="1160"/>
      <c r="AM152" s="1159"/>
      <c r="AN152" s="1160"/>
      <c r="AO152" s="1159"/>
      <c r="AP152" s="1160"/>
      <c r="AQ152" s="1159"/>
      <c r="AR152" s="1160"/>
    </row>
    <row r="153" spans="1:44" ht="15" customHeight="1" outlineLevel="1" thickBot="1">
      <c r="B153" s="1162"/>
      <c r="C153" s="1164"/>
      <c r="D153" s="1164"/>
      <c r="E153" s="1164"/>
      <c r="F153" s="1164"/>
      <c r="G153" s="539"/>
      <c r="H153" s="539"/>
      <c r="I153" s="539"/>
      <c r="J153" s="539"/>
      <c r="K153" s="1187"/>
      <c r="L153" s="1187"/>
      <c r="M153" s="369"/>
      <c r="N153" s="369"/>
      <c r="P153" s="1178"/>
      <c r="Q153" s="1180"/>
      <c r="R153" s="1181"/>
      <c r="S153" s="1175"/>
      <c r="T153" s="1159"/>
      <c r="U153" s="1160"/>
      <c r="V153" s="1159"/>
      <c r="W153" s="1160"/>
      <c r="X153" s="1159"/>
      <c r="Y153" s="1160"/>
      <c r="Z153" s="1159"/>
      <c r="AA153" s="1160"/>
      <c r="AB153" s="1159"/>
      <c r="AC153" s="1160"/>
      <c r="AE153" s="1178"/>
      <c r="AF153" s="1194"/>
      <c r="AG153" s="1181"/>
      <c r="AH153" s="1175"/>
      <c r="AI153" s="1159"/>
      <c r="AJ153" s="1160"/>
      <c r="AK153" s="1159"/>
      <c r="AL153" s="1160"/>
      <c r="AM153" s="1159"/>
      <c r="AN153" s="1160"/>
      <c r="AO153" s="1159"/>
      <c r="AP153" s="1160"/>
      <c r="AQ153" s="1159"/>
      <c r="AR153" s="1160"/>
    </row>
    <row r="154" spans="1:44" ht="15" outlineLevel="1" thickBot="1">
      <c r="B154" s="370"/>
      <c r="C154" s="371"/>
      <c r="D154" s="371"/>
      <c r="E154" s="371"/>
      <c r="F154" s="371"/>
      <c r="G154" s="371"/>
      <c r="H154" s="371"/>
      <c r="I154" s="371"/>
      <c r="J154" s="371"/>
      <c r="K154" s="371"/>
      <c r="L154" s="372"/>
      <c r="M154" s="369"/>
      <c r="N154" s="369"/>
      <c r="O154" s="74"/>
      <c r="P154" s="1179"/>
      <c r="Q154" s="1176"/>
      <c r="R154" s="1182"/>
      <c r="S154" s="1176"/>
      <c r="T154" s="373"/>
      <c r="U154" s="374"/>
      <c r="V154" s="373"/>
      <c r="W154" s="374"/>
      <c r="X154" s="373"/>
      <c r="Y154" s="374"/>
      <c r="Z154" s="373"/>
      <c r="AA154" s="374"/>
      <c r="AB154" s="373"/>
      <c r="AC154" s="374"/>
      <c r="AE154" s="1179"/>
      <c r="AF154" s="1195"/>
      <c r="AG154" s="1182"/>
      <c r="AH154" s="1176"/>
      <c r="AI154" s="373"/>
      <c r="AJ154" s="374"/>
      <c r="AK154" s="373"/>
      <c r="AL154" s="374"/>
      <c r="AM154" s="373"/>
      <c r="AN154" s="374"/>
      <c r="AO154" s="373"/>
      <c r="AP154" s="374"/>
      <c r="AQ154" s="373"/>
      <c r="AR154" s="374"/>
    </row>
    <row r="155" spans="1:44" ht="14.55" customHeight="1" outlineLevel="1">
      <c r="B155" s="540"/>
      <c r="C155" s="541"/>
      <c r="D155" s="541"/>
      <c r="E155" s="542"/>
      <c r="F155" s="541"/>
      <c r="G155" s="541"/>
      <c r="H155" s="541"/>
      <c r="I155" s="541"/>
      <c r="J155" s="541"/>
      <c r="K155" s="371"/>
      <c r="L155" s="372"/>
      <c r="M155" s="369"/>
      <c r="N155" s="369"/>
      <c r="P155" s="1145"/>
      <c r="Q155" s="1151"/>
      <c r="R155" s="380"/>
      <c r="S155" s="381"/>
      <c r="T155" s="1134"/>
      <c r="U155" s="1148"/>
      <c r="V155" s="1134"/>
      <c r="W155" s="1148"/>
      <c r="X155" s="1134"/>
      <c r="Y155" s="1148"/>
      <c r="Z155" s="1134"/>
      <c r="AA155" s="1148"/>
      <c r="AB155" s="1134"/>
      <c r="AC155" s="1148"/>
      <c r="AE155" s="1145"/>
      <c r="AF155" s="1151"/>
      <c r="AG155" s="380"/>
      <c r="AH155" s="381"/>
      <c r="AI155" s="1134"/>
      <c r="AJ155" s="1148"/>
      <c r="AK155" s="1134"/>
      <c r="AL155" s="1148"/>
      <c r="AM155" s="1134"/>
      <c r="AN155" s="1148"/>
      <c r="AO155" s="1134"/>
      <c r="AP155" s="1148"/>
      <c r="AQ155" s="1134"/>
      <c r="AR155" s="1148"/>
    </row>
    <row r="156" spans="1:44" outlineLevel="1">
      <c r="B156" s="382"/>
      <c r="C156" s="383"/>
      <c r="D156" s="383"/>
      <c r="E156" s="383"/>
      <c r="F156" s="383"/>
      <c r="G156" s="504"/>
      <c r="H156" s="504"/>
      <c r="I156" s="504"/>
      <c r="J156" s="504"/>
      <c r="K156" s="371"/>
      <c r="L156" s="372"/>
      <c r="M156" s="369"/>
      <c r="N156" s="369"/>
      <c r="O156" s="71"/>
      <c r="P156" s="1192"/>
      <c r="Q156" s="1152"/>
      <c r="R156" s="387"/>
      <c r="S156" s="388"/>
      <c r="T156" s="1137"/>
      <c r="U156" s="1149"/>
      <c r="V156" s="1137"/>
      <c r="W156" s="1149"/>
      <c r="X156" s="1137"/>
      <c r="Y156" s="1149"/>
      <c r="Z156" s="1137"/>
      <c r="AA156" s="1149"/>
      <c r="AB156" s="1137"/>
      <c r="AC156" s="1149"/>
      <c r="AE156" s="1192"/>
      <c r="AF156" s="1152"/>
      <c r="AG156" s="387"/>
      <c r="AH156" s="388"/>
      <c r="AI156" s="1137"/>
      <c r="AJ156" s="1149"/>
      <c r="AK156" s="1137"/>
      <c r="AL156" s="1149"/>
      <c r="AM156" s="1137"/>
      <c r="AN156" s="1149"/>
      <c r="AO156" s="1137"/>
      <c r="AP156" s="1149"/>
      <c r="AQ156" s="1137"/>
      <c r="AR156" s="1149"/>
    </row>
    <row r="157" spans="1:44" ht="15" outlineLevel="1" thickBot="1">
      <c r="B157" s="540"/>
      <c r="C157" s="543"/>
      <c r="D157" s="544"/>
      <c r="E157" s="544"/>
      <c r="F157" s="545"/>
      <c r="G157" s="544"/>
      <c r="H157" s="544"/>
      <c r="I157" s="544"/>
      <c r="J157" s="544"/>
      <c r="K157" s="546"/>
      <c r="L157" s="547"/>
      <c r="M157" s="369"/>
      <c r="N157" s="369"/>
      <c r="O157" s="71"/>
      <c r="P157" s="1192"/>
      <c r="Q157" s="1153"/>
      <c r="R157" s="392"/>
      <c r="S157" s="393"/>
      <c r="T157" s="1138"/>
      <c r="U157" s="1150"/>
      <c r="V157" s="1138"/>
      <c r="W157" s="1150"/>
      <c r="X157" s="1138"/>
      <c r="Y157" s="1150"/>
      <c r="Z157" s="1138"/>
      <c r="AA157" s="1150"/>
      <c r="AB157" s="1138"/>
      <c r="AC157" s="1150"/>
      <c r="AE157" s="1192"/>
      <c r="AF157" s="1153"/>
      <c r="AG157" s="392"/>
      <c r="AH157" s="393"/>
      <c r="AI157" s="1138"/>
      <c r="AJ157" s="1150"/>
      <c r="AK157" s="1138"/>
      <c r="AL157" s="1150"/>
      <c r="AM157" s="1138"/>
      <c r="AN157" s="1150"/>
      <c r="AO157" s="1138"/>
      <c r="AP157" s="1150"/>
      <c r="AQ157" s="1138"/>
      <c r="AR157" s="1150"/>
    </row>
    <row r="158" spans="1:44" ht="14.55" customHeight="1" outlineLevel="1">
      <c r="B158" s="540"/>
      <c r="C158" s="543"/>
      <c r="D158" s="543"/>
      <c r="E158" s="543"/>
      <c r="F158" s="543"/>
      <c r="G158" s="543"/>
      <c r="H158" s="543"/>
      <c r="I158" s="543"/>
      <c r="J158" s="543"/>
      <c r="K158" s="546"/>
      <c r="L158" s="547"/>
      <c r="M158" s="369"/>
      <c r="N158" s="369"/>
      <c r="O158" s="71"/>
      <c r="P158" s="1192"/>
      <c r="Q158" s="1151"/>
      <c r="R158" s="394"/>
      <c r="S158" s="395"/>
      <c r="T158" s="1134"/>
      <c r="U158" s="1134"/>
      <c r="V158" s="1134"/>
      <c r="W158" s="1134"/>
      <c r="X158" s="1134"/>
      <c r="Y158" s="1134"/>
      <c r="Z158" s="1134"/>
      <c r="AA158" s="1134"/>
      <c r="AB158" s="1134"/>
      <c r="AC158" s="1134"/>
      <c r="AE158" s="1192"/>
      <c r="AF158" s="1151"/>
      <c r="AG158" s="394"/>
      <c r="AH158" s="395"/>
      <c r="AI158" s="1134"/>
      <c r="AJ158" s="1134"/>
      <c r="AK158" s="1134"/>
      <c r="AL158" s="1134"/>
      <c r="AM158" s="1134"/>
      <c r="AN158" s="1134"/>
      <c r="AO158" s="1134"/>
      <c r="AP158" s="1134"/>
      <c r="AQ158" s="1134"/>
      <c r="AR158" s="1134"/>
    </row>
    <row r="159" spans="1:44" outlineLevel="1">
      <c r="B159" s="540"/>
      <c r="C159" s="543"/>
      <c r="D159" s="543"/>
      <c r="E159" s="543"/>
      <c r="F159" s="543"/>
      <c r="G159" s="543"/>
      <c r="H159" s="543"/>
      <c r="I159" s="543"/>
      <c r="J159" s="543"/>
      <c r="K159" s="546"/>
      <c r="L159" s="547"/>
      <c r="M159" s="366"/>
      <c r="N159" s="366"/>
      <c r="O159" s="71"/>
      <c r="P159" s="1192"/>
      <c r="Q159" s="1152"/>
      <c r="R159" s="394"/>
      <c r="S159" s="395"/>
      <c r="T159" s="1135"/>
      <c r="U159" s="1135"/>
      <c r="V159" s="1135"/>
      <c r="W159" s="1135"/>
      <c r="X159" s="1135"/>
      <c r="Y159" s="1135"/>
      <c r="Z159" s="1135"/>
      <c r="AA159" s="1135"/>
      <c r="AB159" s="1135"/>
      <c r="AC159" s="1135"/>
      <c r="AE159" s="1192"/>
      <c r="AF159" s="1152"/>
      <c r="AG159" s="394"/>
      <c r="AH159" s="395"/>
      <c r="AI159" s="1135"/>
      <c r="AJ159" s="1135"/>
      <c r="AK159" s="1135"/>
      <c r="AL159" s="1135"/>
      <c r="AM159" s="1135"/>
      <c r="AN159" s="1135"/>
      <c r="AO159" s="1135"/>
      <c r="AP159" s="1135"/>
      <c r="AQ159" s="1135"/>
      <c r="AR159" s="1135"/>
    </row>
    <row r="160" spans="1:44" outlineLevel="1">
      <c r="B160" s="382"/>
      <c r="C160" s="396"/>
      <c r="D160" s="396"/>
      <c r="E160" s="396"/>
      <c r="F160" s="398"/>
      <c r="G160" s="398"/>
      <c r="H160" s="398"/>
      <c r="I160" s="398"/>
      <c r="J160" s="398"/>
      <c r="K160" s="371"/>
      <c r="L160" s="372"/>
      <c r="M160" s="362"/>
      <c r="N160" s="362"/>
      <c r="P160" s="1192"/>
      <c r="Q160" s="1152"/>
      <c r="R160" s="394"/>
      <c r="S160" s="395"/>
      <c r="T160" s="1135"/>
      <c r="U160" s="1135"/>
      <c r="V160" s="1135"/>
      <c r="W160" s="1135"/>
      <c r="X160" s="1135"/>
      <c r="Y160" s="1135"/>
      <c r="Z160" s="1135"/>
      <c r="AA160" s="1135"/>
      <c r="AB160" s="1135"/>
      <c r="AC160" s="1135"/>
      <c r="AE160" s="1192"/>
      <c r="AF160" s="1152"/>
      <c r="AG160" s="394"/>
      <c r="AH160" s="395"/>
      <c r="AI160" s="1135"/>
      <c r="AJ160" s="1135"/>
      <c r="AK160" s="1135"/>
      <c r="AL160" s="1135"/>
      <c r="AM160" s="1135"/>
      <c r="AN160" s="1135"/>
      <c r="AO160" s="1135"/>
      <c r="AP160" s="1135"/>
      <c r="AQ160" s="1135"/>
      <c r="AR160" s="1135"/>
    </row>
    <row r="161" spans="1:44" ht="15" outlineLevel="1" thickBot="1">
      <c r="B161" s="540"/>
      <c r="C161" s="543"/>
      <c r="D161" s="543"/>
      <c r="E161" s="543"/>
      <c r="F161" s="543"/>
      <c r="G161" s="543"/>
      <c r="H161" s="543"/>
      <c r="I161" s="543"/>
      <c r="J161" s="543"/>
      <c r="K161" s="371"/>
      <c r="L161" s="399"/>
      <c r="M161" s="362"/>
      <c r="N161" s="362"/>
      <c r="P161" s="1192"/>
      <c r="Q161" s="1152"/>
      <c r="R161" s="394"/>
      <c r="S161" s="395"/>
      <c r="T161" s="1135"/>
      <c r="U161" s="1135"/>
      <c r="V161" s="1135"/>
      <c r="W161" s="1135"/>
      <c r="X161" s="1135"/>
      <c r="Y161" s="1135"/>
      <c r="Z161" s="1135"/>
      <c r="AA161" s="1135"/>
      <c r="AB161" s="1135"/>
      <c r="AC161" s="1135"/>
      <c r="AE161" s="1192"/>
      <c r="AF161" s="1152"/>
      <c r="AG161" s="394"/>
      <c r="AH161" s="395"/>
      <c r="AI161" s="1135"/>
      <c r="AJ161" s="1135"/>
      <c r="AK161" s="1135"/>
      <c r="AL161" s="1135"/>
      <c r="AM161" s="1135"/>
      <c r="AN161" s="1135"/>
      <c r="AO161" s="1135"/>
      <c r="AP161" s="1135"/>
      <c r="AQ161" s="1135"/>
      <c r="AR161" s="1135"/>
    </row>
    <row r="162" spans="1:44" ht="15" outlineLevel="1" thickBot="1">
      <c r="B162" s="400"/>
      <c r="C162" s="401"/>
      <c r="D162" s="402"/>
      <c r="E162" s="403"/>
      <c r="F162" s="404"/>
      <c r="G162" s="405"/>
      <c r="H162" s="405"/>
      <c r="I162" s="405"/>
      <c r="J162" s="405"/>
      <c r="K162" s="406"/>
      <c r="L162" s="407"/>
      <c r="M162" s="362"/>
      <c r="N162" s="362"/>
      <c r="P162" s="1192"/>
      <c r="Q162" s="1152"/>
      <c r="R162" s="408"/>
      <c r="S162" s="409"/>
      <c r="T162" s="1136"/>
      <c r="U162" s="1136"/>
      <c r="V162" s="1136"/>
      <c r="W162" s="1136"/>
      <c r="X162" s="1136"/>
      <c r="Y162" s="1136"/>
      <c r="Z162" s="1136"/>
      <c r="AA162" s="1136"/>
      <c r="AB162" s="1136"/>
      <c r="AC162" s="1136"/>
      <c r="AE162" s="1192"/>
      <c r="AF162" s="1152"/>
      <c r="AG162" s="408"/>
      <c r="AH162" s="409"/>
      <c r="AI162" s="1136"/>
      <c r="AJ162" s="1136"/>
      <c r="AK162" s="1136"/>
      <c r="AL162" s="1136"/>
      <c r="AM162" s="1136"/>
      <c r="AN162" s="1136"/>
      <c r="AO162" s="1136"/>
      <c r="AP162" s="1136"/>
      <c r="AQ162" s="1136"/>
      <c r="AR162" s="1136"/>
    </row>
    <row r="163" spans="1:44" ht="15" outlineLevel="1" thickBot="1">
      <c r="B163" s="540"/>
      <c r="C163" s="543"/>
      <c r="D163" s="543"/>
      <c r="E163" s="543"/>
      <c r="F163" s="543"/>
      <c r="G163" s="544"/>
      <c r="H163" s="544"/>
      <c r="I163" s="544"/>
      <c r="J163" s="544"/>
      <c r="K163" s="546"/>
      <c r="L163" s="547"/>
      <c r="M163" s="362"/>
      <c r="N163" s="362"/>
      <c r="P163" s="1193"/>
      <c r="Q163" s="410"/>
      <c r="R163" s="411"/>
      <c r="S163" s="412"/>
      <c r="T163" s="413"/>
      <c r="U163" s="414"/>
      <c r="V163" s="415"/>
      <c r="W163" s="414"/>
      <c r="X163" s="415"/>
      <c r="Y163" s="414"/>
      <c r="Z163" s="415"/>
      <c r="AA163" s="414"/>
      <c r="AB163" s="415"/>
      <c r="AC163" s="416"/>
      <c r="AE163" s="1193"/>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5" outlineLevel="1" thickBot="1">
      <c r="B171" s="428"/>
      <c r="C171" s="429"/>
      <c r="D171" s="429"/>
      <c r="E171" s="429"/>
      <c r="F171" s="429"/>
      <c r="G171" s="424"/>
      <c r="H171" s="424"/>
      <c r="I171" s="424"/>
      <c r="J171" s="424"/>
      <c r="K171" s="422"/>
      <c r="L171" s="426"/>
      <c r="M171" s="427"/>
      <c r="N171" s="427"/>
    </row>
    <row r="172" spans="1:44" ht="15"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39"/>
      <c r="Q177" s="1140"/>
      <c r="R177" s="1140"/>
      <c r="S177" s="1140"/>
      <c r="T177" s="1140"/>
      <c r="U177" s="1141"/>
    </row>
    <row r="178" spans="2:30" ht="15" outlineLevel="1" thickBot="1">
      <c r="B178" s="540"/>
      <c r="C178" s="551"/>
      <c r="D178" s="551"/>
      <c r="E178" s="551"/>
      <c r="F178" s="551"/>
      <c r="G178" s="552"/>
      <c r="H178" s="552"/>
      <c r="I178" s="552"/>
      <c r="J178" s="552"/>
      <c r="K178" s="546"/>
      <c r="L178" s="547"/>
      <c r="M178" s="449"/>
      <c r="N178" s="360"/>
      <c r="P178" s="1131"/>
      <c r="Q178" s="1132"/>
      <c r="R178" s="1132"/>
      <c r="S178" s="1132"/>
      <c r="T178" s="1132"/>
      <c r="U178" s="1133"/>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5"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5"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5"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5" thickBot="1">
      <c r="A217" s="359"/>
    </row>
    <row r="218" spans="1:44" ht="20.55" customHeight="1" outlineLevel="1" thickBot="1">
      <c r="B218" s="361"/>
      <c r="C218" s="1183"/>
      <c r="D218" s="1202"/>
      <c r="E218" s="1202"/>
      <c r="F218" s="1202"/>
      <c r="G218" s="1202"/>
      <c r="H218" s="1202"/>
      <c r="I218" s="1202"/>
      <c r="J218" s="1202"/>
      <c r="K218" s="1202"/>
      <c r="L218" s="1203"/>
      <c r="M218" s="362"/>
      <c r="N218" s="362"/>
      <c r="P218" s="363"/>
      <c r="Q218" s="364"/>
      <c r="R218" s="365"/>
      <c r="S218" s="1173"/>
      <c r="T218" s="1157"/>
      <c r="U218" s="1158"/>
      <c r="V218" s="1157"/>
      <c r="W218" s="1158"/>
      <c r="X218" s="1157"/>
      <c r="Y218" s="1158"/>
      <c r="Z218" s="1157"/>
      <c r="AA218" s="1158"/>
      <c r="AB218" s="1157"/>
      <c r="AC218" s="1158"/>
      <c r="AE218" s="363"/>
      <c r="AF218" s="364"/>
      <c r="AG218" s="365"/>
      <c r="AH218" s="1173"/>
      <c r="AI218" s="1157"/>
      <c r="AJ218" s="1158"/>
      <c r="AK218" s="1157"/>
      <c r="AL218" s="1158"/>
      <c r="AM218" s="1157"/>
      <c r="AN218" s="1158"/>
      <c r="AO218" s="1157"/>
      <c r="AP218" s="1158"/>
      <c r="AQ218" s="1157"/>
      <c r="AR218" s="1158"/>
    </row>
    <row r="219" spans="1:44" ht="15" customHeight="1" outlineLevel="1" thickBot="1">
      <c r="B219" s="1161"/>
      <c r="C219" s="1163"/>
      <c r="D219" s="1163"/>
      <c r="E219" s="1163"/>
      <c r="F219" s="1163"/>
      <c r="G219" s="1165"/>
      <c r="H219" s="1166"/>
      <c r="I219" s="1165"/>
      <c r="J219" s="1166"/>
      <c r="K219" s="1186"/>
      <c r="L219" s="1186"/>
      <c r="M219" s="366"/>
      <c r="N219" s="366"/>
      <c r="P219" s="1177"/>
      <c r="Q219" s="367"/>
      <c r="R219" s="367"/>
      <c r="S219" s="1174"/>
      <c r="T219" s="1159"/>
      <c r="U219" s="1160"/>
      <c r="V219" s="1159"/>
      <c r="W219" s="1160"/>
      <c r="X219" s="1159"/>
      <c r="Y219" s="1160"/>
      <c r="Z219" s="1159"/>
      <c r="AA219" s="1160"/>
      <c r="AB219" s="1159"/>
      <c r="AC219" s="1160"/>
      <c r="AE219" s="1177"/>
      <c r="AF219" s="367"/>
      <c r="AG219" s="367"/>
      <c r="AH219" s="1174"/>
      <c r="AI219" s="1159"/>
      <c r="AJ219" s="1160"/>
      <c r="AK219" s="1159"/>
      <c r="AL219" s="1160"/>
      <c r="AM219" s="1159"/>
      <c r="AN219" s="1160"/>
      <c r="AO219" s="1159"/>
      <c r="AP219" s="1160"/>
      <c r="AQ219" s="1159"/>
      <c r="AR219" s="1160"/>
    </row>
    <row r="220" spans="1:44" ht="15" customHeight="1" outlineLevel="1" thickBot="1">
      <c r="B220" s="1162"/>
      <c r="C220" s="1164"/>
      <c r="D220" s="1164"/>
      <c r="E220" s="1164"/>
      <c r="F220" s="1164"/>
      <c r="G220" s="405"/>
      <c r="H220" s="405"/>
      <c r="I220" s="405"/>
      <c r="J220" s="405"/>
      <c r="K220" s="1187"/>
      <c r="L220" s="1187"/>
      <c r="M220" s="369"/>
      <c r="N220" s="369"/>
      <c r="P220" s="1178"/>
      <c r="Q220" s="1180"/>
      <c r="R220" s="1181"/>
      <c r="S220" s="1175"/>
      <c r="T220" s="1159"/>
      <c r="U220" s="1160"/>
      <c r="V220" s="1159"/>
      <c r="W220" s="1160"/>
      <c r="X220" s="1159"/>
      <c r="Y220" s="1160"/>
      <c r="Z220" s="1159"/>
      <c r="AA220" s="1160"/>
      <c r="AB220" s="1159"/>
      <c r="AC220" s="1160"/>
      <c r="AE220" s="1178"/>
      <c r="AF220" s="1194"/>
      <c r="AG220" s="1181"/>
      <c r="AH220" s="1175"/>
      <c r="AI220" s="1159"/>
      <c r="AJ220" s="1160"/>
      <c r="AK220" s="1159"/>
      <c r="AL220" s="1160"/>
      <c r="AM220" s="1159"/>
      <c r="AN220" s="1160"/>
      <c r="AO220" s="1159"/>
      <c r="AP220" s="1160"/>
      <c r="AQ220" s="1159"/>
      <c r="AR220" s="1160"/>
    </row>
    <row r="221" spans="1:44" ht="15" outlineLevel="1" thickBot="1">
      <c r="B221" s="370"/>
      <c r="C221" s="371"/>
      <c r="D221" s="371"/>
      <c r="E221" s="371"/>
      <c r="F221" s="371"/>
      <c r="G221" s="371"/>
      <c r="H221" s="371"/>
      <c r="I221" s="371"/>
      <c r="J221" s="371"/>
      <c r="K221" s="371"/>
      <c r="L221" s="372"/>
      <c r="M221" s="369"/>
      <c r="N221" s="369"/>
      <c r="O221" s="74"/>
      <c r="P221" s="1179"/>
      <c r="Q221" s="1176"/>
      <c r="R221" s="1182"/>
      <c r="S221" s="1176"/>
      <c r="T221" s="373"/>
      <c r="U221" s="374"/>
      <c r="V221" s="373"/>
      <c r="W221" s="374"/>
      <c r="X221" s="373"/>
      <c r="Y221" s="374"/>
      <c r="Z221" s="373"/>
      <c r="AA221" s="374"/>
      <c r="AB221" s="373"/>
      <c r="AC221" s="374"/>
      <c r="AE221" s="1179"/>
      <c r="AF221" s="1195"/>
      <c r="AG221" s="1182"/>
      <c r="AH221" s="1176"/>
      <c r="AI221" s="373"/>
      <c r="AJ221" s="374"/>
      <c r="AK221" s="373"/>
      <c r="AL221" s="374"/>
      <c r="AM221" s="373"/>
      <c r="AN221" s="374"/>
      <c r="AO221" s="373"/>
      <c r="AP221" s="374"/>
      <c r="AQ221" s="373"/>
      <c r="AR221" s="374"/>
    </row>
    <row r="222" spans="1:44" ht="14.55" customHeight="1" outlineLevel="1">
      <c r="B222" s="540"/>
      <c r="C222" s="541"/>
      <c r="D222" s="541"/>
      <c r="E222" s="542"/>
      <c r="F222" s="541"/>
      <c r="G222" s="541"/>
      <c r="H222" s="541"/>
      <c r="I222" s="541"/>
      <c r="J222" s="541"/>
      <c r="K222" s="546"/>
      <c r="L222" s="547"/>
      <c r="M222" s="369"/>
      <c r="N222" s="369"/>
      <c r="P222" s="1145"/>
      <c r="Q222" s="1151"/>
      <c r="R222" s="380"/>
      <c r="S222" s="381"/>
      <c r="T222" s="1134"/>
      <c r="U222" s="1148"/>
      <c r="V222" s="1134"/>
      <c r="W222" s="1148"/>
      <c r="X222" s="1134"/>
      <c r="Y222" s="1148"/>
      <c r="Z222" s="1134"/>
      <c r="AA222" s="1148"/>
      <c r="AB222" s="1134"/>
      <c r="AC222" s="1148"/>
      <c r="AE222" s="1145"/>
      <c r="AF222" s="1151"/>
      <c r="AG222" s="380"/>
      <c r="AH222" s="381"/>
      <c r="AI222" s="1134"/>
      <c r="AJ222" s="1148"/>
      <c r="AK222" s="1134"/>
      <c r="AL222" s="1148"/>
      <c r="AM222" s="1134"/>
      <c r="AN222" s="1148"/>
      <c r="AO222" s="1134"/>
      <c r="AP222" s="1148"/>
      <c r="AQ222" s="1134"/>
      <c r="AR222" s="1148"/>
    </row>
    <row r="223" spans="1:44" outlineLevel="1">
      <c r="B223" s="382"/>
      <c r="C223" s="383"/>
      <c r="D223" s="383"/>
      <c r="E223" s="383"/>
      <c r="F223" s="383"/>
      <c r="G223" s="504"/>
      <c r="H223" s="504"/>
      <c r="I223" s="504"/>
      <c r="J223" s="504"/>
      <c r="K223" s="371"/>
      <c r="L223" s="372"/>
      <c r="M223" s="369"/>
      <c r="N223" s="369"/>
      <c r="O223" s="71"/>
      <c r="P223" s="1192"/>
      <c r="Q223" s="1152"/>
      <c r="R223" s="387"/>
      <c r="S223" s="388"/>
      <c r="T223" s="1137"/>
      <c r="U223" s="1149"/>
      <c r="V223" s="1137"/>
      <c r="W223" s="1149"/>
      <c r="X223" s="1137"/>
      <c r="Y223" s="1149"/>
      <c r="Z223" s="1137"/>
      <c r="AA223" s="1149"/>
      <c r="AB223" s="1137"/>
      <c r="AC223" s="1149"/>
      <c r="AE223" s="1192"/>
      <c r="AF223" s="1152"/>
      <c r="AG223" s="387"/>
      <c r="AH223" s="388"/>
      <c r="AI223" s="1137"/>
      <c r="AJ223" s="1149"/>
      <c r="AK223" s="1137"/>
      <c r="AL223" s="1149"/>
      <c r="AM223" s="1137"/>
      <c r="AN223" s="1149"/>
      <c r="AO223" s="1137"/>
      <c r="AP223" s="1149"/>
      <c r="AQ223" s="1137"/>
      <c r="AR223" s="1149"/>
    </row>
    <row r="224" spans="1:44" ht="15" outlineLevel="1" thickBot="1">
      <c r="B224" s="540"/>
      <c r="C224" s="543"/>
      <c r="D224" s="544"/>
      <c r="E224" s="544"/>
      <c r="F224" s="545"/>
      <c r="G224" s="544"/>
      <c r="H224" s="544"/>
      <c r="I224" s="544"/>
      <c r="J224" s="544"/>
      <c r="K224" s="546"/>
      <c r="L224" s="547"/>
      <c r="M224" s="369"/>
      <c r="N224" s="369"/>
      <c r="O224" s="71"/>
      <c r="P224" s="1192"/>
      <c r="Q224" s="1153"/>
      <c r="R224" s="392"/>
      <c r="S224" s="393"/>
      <c r="T224" s="1138"/>
      <c r="U224" s="1150"/>
      <c r="V224" s="1138"/>
      <c r="W224" s="1150"/>
      <c r="X224" s="1138"/>
      <c r="Y224" s="1150"/>
      <c r="Z224" s="1138"/>
      <c r="AA224" s="1150"/>
      <c r="AB224" s="1138"/>
      <c r="AC224" s="1150"/>
      <c r="AE224" s="1192"/>
      <c r="AF224" s="1153"/>
      <c r="AG224" s="392"/>
      <c r="AH224" s="393"/>
      <c r="AI224" s="1138"/>
      <c r="AJ224" s="1150"/>
      <c r="AK224" s="1138"/>
      <c r="AL224" s="1150"/>
      <c r="AM224" s="1138"/>
      <c r="AN224" s="1150"/>
      <c r="AO224" s="1138"/>
      <c r="AP224" s="1150"/>
      <c r="AQ224" s="1138"/>
      <c r="AR224" s="1150"/>
    </row>
    <row r="225" spans="1:44" ht="14.55" customHeight="1" outlineLevel="1">
      <c r="B225" s="540"/>
      <c r="C225" s="543"/>
      <c r="D225" s="543"/>
      <c r="E225" s="543"/>
      <c r="F225" s="543"/>
      <c r="G225" s="543"/>
      <c r="H225" s="543"/>
      <c r="I225" s="543"/>
      <c r="J225" s="543"/>
      <c r="K225" s="546"/>
      <c r="L225" s="547"/>
      <c r="M225" s="369"/>
      <c r="N225" s="369"/>
      <c r="O225" s="71"/>
      <c r="P225" s="1192"/>
      <c r="Q225" s="1151"/>
      <c r="R225" s="394"/>
      <c r="S225" s="395"/>
      <c r="T225" s="1134"/>
      <c r="U225" s="1134"/>
      <c r="V225" s="1134"/>
      <c r="W225" s="1134"/>
      <c r="X225" s="1134"/>
      <c r="Y225" s="1134"/>
      <c r="Z225" s="1134"/>
      <c r="AA225" s="1134"/>
      <c r="AB225" s="1134"/>
      <c r="AC225" s="1134"/>
      <c r="AE225" s="1192"/>
      <c r="AF225" s="1151"/>
      <c r="AG225" s="394"/>
      <c r="AH225" s="395"/>
      <c r="AI225" s="1134"/>
      <c r="AJ225" s="1134"/>
      <c r="AK225" s="1134"/>
      <c r="AL225" s="1134"/>
      <c r="AM225" s="1134"/>
      <c r="AN225" s="1134"/>
      <c r="AO225" s="1134"/>
      <c r="AP225" s="1134"/>
      <c r="AQ225" s="1134"/>
      <c r="AR225" s="1134"/>
    </row>
    <row r="226" spans="1:44" outlineLevel="1">
      <c r="B226" s="540"/>
      <c r="C226" s="543"/>
      <c r="D226" s="543"/>
      <c r="E226" s="543"/>
      <c r="F226" s="543"/>
      <c r="G226" s="543"/>
      <c r="H226" s="543"/>
      <c r="I226" s="543"/>
      <c r="J226" s="543"/>
      <c r="K226" s="546"/>
      <c r="L226" s="547"/>
      <c r="M226" s="366"/>
      <c r="N226" s="366"/>
      <c r="O226" s="71"/>
      <c r="P226" s="1192"/>
      <c r="Q226" s="1152"/>
      <c r="R226" s="394"/>
      <c r="S226" s="395"/>
      <c r="T226" s="1135"/>
      <c r="U226" s="1135"/>
      <c r="V226" s="1135"/>
      <c r="W226" s="1135"/>
      <c r="X226" s="1135"/>
      <c r="Y226" s="1135"/>
      <c r="Z226" s="1135"/>
      <c r="AA226" s="1135"/>
      <c r="AB226" s="1135"/>
      <c r="AC226" s="1135"/>
      <c r="AE226" s="1192"/>
      <c r="AF226" s="1152"/>
      <c r="AG226" s="394"/>
      <c r="AH226" s="395"/>
      <c r="AI226" s="1135"/>
      <c r="AJ226" s="1135"/>
      <c r="AK226" s="1135"/>
      <c r="AL226" s="1135"/>
      <c r="AM226" s="1135"/>
      <c r="AN226" s="1135"/>
      <c r="AO226" s="1135"/>
      <c r="AP226" s="1135"/>
      <c r="AQ226" s="1135"/>
      <c r="AR226" s="1135"/>
    </row>
    <row r="227" spans="1:44" outlineLevel="1">
      <c r="B227" s="382"/>
      <c r="C227" s="396"/>
      <c r="D227" s="396"/>
      <c r="E227" s="396"/>
      <c r="F227" s="396"/>
      <c r="G227" s="398"/>
      <c r="H227" s="398"/>
      <c r="I227" s="398"/>
      <c r="J227" s="398"/>
      <c r="K227" s="371"/>
      <c r="L227" s="372"/>
      <c r="M227" s="362"/>
      <c r="N227" s="362"/>
      <c r="P227" s="1192"/>
      <c r="Q227" s="1152"/>
      <c r="R227" s="394"/>
      <c r="S227" s="395"/>
      <c r="T227" s="1135"/>
      <c r="U227" s="1135"/>
      <c r="V227" s="1135"/>
      <c r="W227" s="1135"/>
      <c r="X227" s="1135"/>
      <c r="Y227" s="1135"/>
      <c r="Z227" s="1135"/>
      <c r="AA227" s="1135"/>
      <c r="AB227" s="1135"/>
      <c r="AC227" s="1135"/>
      <c r="AE227" s="1192"/>
      <c r="AF227" s="1152"/>
      <c r="AG227" s="394"/>
      <c r="AH227" s="395"/>
      <c r="AI227" s="1135"/>
      <c r="AJ227" s="1135"/>
      <c r="AK227" s="1135"/>
      <c r="AL227" s="1135"/>
      <c r="AM227" s="1135"/>
      <c r="AN227" s="1135"/>
      <c r="AO227" s="1135"/>
      <c r="AP227" s="1135"/>
      <c r="AQ227" s="1135"/>
      <c r="AR227" s="1135"/>
    </row>
    <row r="228" spans="1:44" ht="15" outlineLevel="1" thickBot="1">
      <c r="B228" s="540"/>
      <c r="C228" s="543"/>
      <c r="D228" s="543"/>
      <c r="E228" s="543"/>
      <c r="F228" s="543"/>
      <c r="G228" s="543"/>
      <c r="H228" s="543"/>
      <c r="I228" s="543"/>
      <c r="J228" s="543"/>
      <c r="K228" s="546"/>
      <c r="L228" s="558"/>
      <c r="M228" s="362"/>
      <c r="N228" s="362"/>
      <c r="P228" s="1192"/>
      <c r="Q228" s="1152"/>
      <c r="R228" s="394"/>
      <c r="S228" s="395"/>
      <c r="T228" s="1135"/>
      <c r="U228" s="1135"/>
      <c r="V228" s="1135"/>
      <c r="W228" s="1135"/>
      <c r="X228" s="1135"/>
      <c r="Y228" s="1135"/>
      <c r="Z228" s="1135"/>
      <c r="AA228" s="1135"/>
      <c r="AB228" s="1135"/>
      <c r="AC228" s="1135"/>
      <c r="AE228" s="1192"/>
      <c r="AF228" s="1152"/>
      <c r="AG228" s="394"/>
      <c r="AH228" s="395"/>
      <c r="AI228" s="1135"/>
      <c r="AJ228" s="1135"/>
      <c r="AK228" s="1135"/>
      <c r="AL228" s="1135"/>
      <c r="AM228" s="1135"/>
      <c r="AN228" s="1135"/>
      <c r="AO228" s="1135"/>
      <c r="AP228" s="1135"/>
      <c r="AQ228" s="1135"/>
      <c r="AR228" s="1135"/>
    </row>
    <row r="229" spans="1:44" ht="15" outlineLevel="1" thickBot="1">
      <c r="B229" s="400"/>
      <c r="C229" s="401"/>
      <c r="D229" s="402"/>
      <c r="E229" s="403"/>
      <c r="F229" s="404"/>
      <c r="G229" s="405"/>
      <c r="H229" s="405"/>
      <c r="I229" s="405"/>
      <c r="J229" s="405"/>
      <c r="K229" s="406"/>
      <c r="L229" s="407"/>
      <c r="M229" s="362"/>
      <c r="N229" s="362"/>
      <c r="P229" s="1192"/>
      <c r="Q229" s="1152"/>
      <c r="R229" s="408"/>
      <c r="S229" s="409"/>
      <c r="T229" s="1136"/>
      <c r="U229" s="1136"/>
      <c r="V229" s="1136"/>
      <c r="W229" s="1136"/>
      <c r="X229" s="1136"/>
      <c r="Y229" s="1136"/>
      <c r="Z229" s="1136"/>
      <c r="AA229" s="1136"/>
      <c r="AB229" s="1136"/>
      <c r="AC229" s="1136"/>
      <c r="AE229" s="1192"/>
      <c r="AF229" s="1152"/>
      <c r="AG229" s="408"/>
      <c r="AH229" s="409"/>
      <c r="AI229" s="1136"/>
      <c r="AJ229" s="1136"/>
      <c r="AK229" s="1136"/>
      <c r="AL229" s="1136"/>
      <c r="AM229" s="1136"/>
      <c r="AN229" s="1136"/>
      <c r="AO229" s="1136"/>
      <c r="AP229" s="1136"/>
      <c r="AQ229" s="1136"/>
      <c r="AR229" s="1136"/>
    </row>
    <row r="230" spans="1:44" ht="15" outlineLevel="1" thickBot="1">
      <c r="B230" s="540"/>
      <c r="C230" s="543"/>
      <c r="D230" s="543"/>
      <c r="E230" s="543"/>
      <c r="F230" s="543"/>
      <c r="G230" s="544"/>
      <c r="H230" s="544"/>
      <c r="I230" s="544"/>
      <c r="J230" s="544"/>
      <c r="K230" s="546"/>
      <c r="L230" s="547"/>
      <c r="M230" s="362"/>
      <c r="N230" s="362"/>
      <c r="P230" s="1193"/>
      <c r="Q230" s="410"/>
      <c r="R230" s="411"/>
      <c r="S230" s="412"/>
      <c r="T230" s="413"/>
      <c r="U230" s="414"/>
      <c r="V230" s="413"/>
      <c r="W230" s="414"/>
      <c r="X230" s="413"/>
      <c r="Y230" s="414"/>
      <c r="Z230" s="413"/>
      <c r="AA230" s="414"/>
      <c r="AB230" s="413"/>
      <c r="AC230" s="416"/>
      <c r="AE230" s="1193"/>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5" outlineLevel="1" thickBot="1">
      <c r="B238" s="428"/>
      <c r="C238" s="429"/>
      <c r="D238" s="429"/>
      <c r="E238" s="429"/>
      <c r="F238" s="429"/>
      <c r="G238" s="424"/>
      <c r="H238" s="424"/>
      <c r="I238" s="424"/>
      <c r="J238" s="424"/>
      <c r="K238" s="422"/>
      <c r="L238" s="426"/>
      <c r="M238" s="427"/>
      <c r="N238" s="427"/>
    </row>
    <row r="239" spans="1:44" ht="15"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39"/>
      <c r="Q244" s="1140"/>
      <c r="R244" s="1140"/>
      <c r="S244" s="1140"/>
      <c r="T244" s="1140"/>
      <c r="U244" s="1141"/>
    </row>
    <row r="245" spans="2:30" ht="15" outlineLevel="1" thickBot="1">
      <c r="B245" s="540"/>
      <c r="C245" s="551"/>
      <c r="D245" s="551"/>
      <c r="E245" s="551"/>
      <c r="F245" s="551"/>
      <c r="G245" s="424"/>
      <c r="H245" s="424"/>
      <c r="I245" s="424"/>
      <c r="J245" s="424"/>
      <c r="K245" s="443"/>
      <c r="L245" s="372"/>
      <c r="M245" s="449"/>
      <c r="N245" s="360"/>
      <c r="P245" s="1131"/>
      <c r="Q245" s="1132"/>
      <c r="R245" s="1132"/>
      <c r="S245" s="1132"/>
      <c r="T245" s="1132"/>
      <c r="U245" s="1133"/>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5"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5"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5"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5" thickBot="1">
      <c r="A283" s="359"/>
    </row>
    <row r="284" spans="1:44" ht="20.55" customHeight="1" thickBot="1">
      <c r="B284" s="361"/>
      <c r="C284" s="1183"/>
      <c r="D284" s="1184"/>
      <c r="E284" s="1184"/>
      <c r="F284" s="1184"/>
      <c r="G284" s="1184"/>
      <c r="H284" s="1184"/>
      <c r="I284" s="1184"/>
      <c r="J284" s="1184"/>
      <c r="K284" s="1184"/>
      <c r="L284" s="1185"/>
      <c r="M284" s="362"/>
      <c r="N284" s="362"/>
      <c r="P284" s="363"/>
      <c r="Q284" s="364"/>
      <c r="R284" s="365"/>
      <c r="S284" s="1173"/>
      <c r="T284" s="1157"/>
      <c r="U284" s="1158"/>
      <c r="V284" s="1157"/>
      <c r="W284" s="1158"/>
      <c r="X284" s="1157"/>
      <c r="Y284" s="1158"/>
      <c r="Z284" s="1157"/>
      <c r="AA284" s="1158"/>
      <c r="AB284" s="1157"/>
      <c r="AC284" s="1158"/>
      <c r="AE284" s="363"/>
      <c r="AF284" s="364"/>
      <c r="AG284" s="365"/>
      <c r="AH284" s="1173"/>
      <c r="AI284" s="1157"/>
      <c r="AJ284" s="1158"/>
      <c r="AK284" s="1157"/>
      <c r="AL284" s="1158"/>
      <c r="AM284" s="1157"/>
      <c r="AN284" s="1158"/>
      <c r="AO284" s="1157"/>
      <c r="AP284" s="1158"/>
      <c r="AQ284" s="1157"/>
      <c r="AR284" s="1158"/>
    </row>
    <row r="285" spans="1:44" ht="15" customHeight="1" thickBot="1">
      <c r="B285" s="1161"/>
      <c r="C285" s="1163"/>
      <c r="D285" s="1163"/>
      <c r="E285" s="1163"/>
      <c r="F285" s="1163"/>
      <c r="G285" s="1165"/>
      <c r="H285" s="1166"/>
      <c r="I285" s="1165"/>
      <c r="J285" s="1166"/>
      <c r="K285" s="1186"/>
      <c r="L285" s="1186"/>
      <c r="M285" s="366"/>
      <c r="N285" s="366"/>
      <c r="P285" s="1177"/>
      <c r="Q285" s="367"/>
      <c r="R285" s="367"/>
      <c r="S285" s="1174"/>
      <c r="T285" s="1159"/>
      <c r="U285" s="1160"/>
      <c r="V285" s="1159"/>
      <c r="W285" s="1160"/>
      <c r="X285" s="1159"/>
      <c r="Y285" s="1160"/>
      <c r="Z285" s="1159"/>
      <c r="AA285" s="1160"/>
      <c r="AB285" s="1159"/>
      <c r="AC285" s="1160"/>
      <c r="AE285" s="1177"/>
      <c r="AF285" s="367"/>
      <c r="AG285" s="367"/>
      <c r="AH285" s="1174"/>
      <c r="AI285" s="1159"/>
      <c r="AJ285" s="1160"/>
      <c r="AK285" s="1159"/>
      <c r="AL285" s="1160"/>
      <c r="AM285" s="1159"/>
      <c r="AN285" s="1160"/>
      <c r="AO285" s="1159"/>
      <c r="AP285" s="1160"/>
      <c r="AQ285" s="1159"/>
      <c r="AR285" s="1160"/>
    </row>
    <row r="286" spans="1:44" ht="15" customHeight="1" thickBot="1">
      <c r="B286" s="1162"/>
      <c r="C286" s="1164"/>
      <c r="D286" s="1164"/>
      <c r="E286" s="1164"/>
      <c r="F286" s="1164"/>
      <c r="G286" s="405"/>
      <c r="H286" s="405"/>
      <c r="I286" s="405"/>
      <c r="J286" s="405"/>
      <c r="K286" s="1187"/>
      <c r="L286" s="1187"/>
      <c r="M286" s="369"/>
      <c r="N286" s="369"/>
      <c r="P286" s="1178"/>
      <c r="Q286" s="1180"/>
      <c r="R286" s="1181"/>
      <c r="S286" s="1175"/>
      <c r="T286" s="1159"/>
      <c r="U286" s="1160"/>
      <c r="V286" s="1159"/>
      <c r="W286" s="1160"/>
      <c r="X286" s="1159"/>
      <c r="Y286" s="1160"/>
      <c r="Z286" s="1159"/>
      <c r="AA286" s="1160"/>
      <c r="AB286" s="1159"/>
      <c r="AC286" s="1160"/>
      <c r="AE286" s="1178"/>
      <c r="AF286" s="1180"/>
      <c r="AG286" s="1181"/>
      <c r="AH286" s="1175"/>
      <c r="AI286" s="1159"/>
      <c r="AJ286" s="1160"/>
      <c r="AK286" s="1159"/>
      <c r="AL286" s="1160"/>
      <c r="AM286" s="1159"/>
      <c r="AN286" s="1160"/>
      <c r="AO286" s="1159"/>
      <c r="AP286" s="1160"/>
      <c r="AQ286" s="1159"/>
      <c r="AR286" s="1160"/>
    </row>
    <row r="287" spans="1:44" ht="15" thickBot="1">
      <c r="B287" s="370"/>
      <c r="C287" s="371"/>
      <c r="D287" s="371"/>
      <c r="E287" s="371"/>
      <c r="F287" s="371"/>
      <c r="G287" s="371"/>
      <c r="H287" s="371"/>
      <c r="I287" s="371"/>
      <c r="J287" s="371"/>
      <c r="K287" s="371"/>
      <c r="L287" s="372"/>
      <c r="M287" s="369"/>
      <c r="N287" s="369"/>
      <c r="O287" s="74"/>
      <c r="P287" s="1179"/>
      <c r="Q287" s="1176"/>
      <c r="R287" s="1182"/>
      <c r="S287" s="1176"/>
      <c r="T287" s="373"/>
      <c r="U287" s="374"/>
      <c r="V287" s="373"/>
      <c r="W287" s="374"/>
      <c r="X287" s="373"/>
      <c r="Y287" s="374"/>
      <c r="Z287" s="373"/>
      <c r="AA287" s="374"/>
      <c r="AB287" s="373"/>
      <c r="AC287" s="374"/>
      <c r="AE287" s="1179"/>
      <c r="AF287" s="1176"/>
      <c r="AG287" s="1182"/>
      <c r="AH287" s="1176"/>
      <c r="AI287" s="373"/>
      <c r="AJ287" s="374"/>
      <c r="AK287" s="373"/>
      <c r="AL287" s="374"/>
      <c r="AM287" s="373"/>
      <c r="AN287" s="374"/>
      <c r="AO287" s="373"/>
      <c r="AP287" s="374"/>
      <c r="AQ287" s="373"/>
      <c r="AR287" s="374"/>
    </row>
    <row r="288" spans="1:44" ht="14.55" customHeight="1">
      <c r="B288" s="573"/>
      <c r="C288" s="574"/>
      <c r="D288" s="574"/>
      <c r="E288" s="574"/>
      <c r="F288" s="574"/>
      <c r="G288" s="575"/>
      <c r="H288" s="575"/>
      <c r="I288" s="575"/>
      <c r="J288" s="575"/>
      <c r="K288" s="371"/>
      <c r="L288" s="372"/>
      <c r="M288" s="369"/>
      <c r="N288" s="369"/>
      <c r="P288" s="1145"/>
      <c r="Q288" s="1151"/>
      <c r="R288" s="380"/>
      <c r="S288" s="381"/>
      <c r="T288" s="1134"/>
      <c r="U288" s="1148"/>
      <c r="V288" s="1134"/>
      <c r="W288" s="1148"/>
      <c r="X288" s="1134"/>
      <c r="Y288" s="1148"/>
      <c r="Z288" s="1134"/>
      <c r="AA288" s="1148"/>
      <c r="AB288" s="1154"/>
      <c r="AC288" s="1148"/>
      <c r="AE288" s="1145"/>
      <c r="AF288" s="1151"/>
      <c r="AG288" s="380"/>
      <c r="AH288" s="381"/>
      <c r="AI288" s="1134"/>
      <c r="AJ288" s="1148"/>
      <c r="AK288" s="1134"/>
      <c r="AL288" s="1148"/>
      <c r="AM288" s="1134"/>
      <c r="AN288" s="1148"/>
      <c r="AO288" s="1134"/>
      <c r="AP288" s="1148"/>
      <c r="AQ288" s="1154"/>
      <c r="AR288" s="1148"/>
    </row>
    <row r="289" spans="2:44">
      <c r="B289" s="382"/>
      <c r="C289" s="576"/>
      <c r="D289" s="576"/>
      <c r="E289" s="576"/>
      <c r="F289" s="576"/>
      <c r="G289" s="575"/>
      <c r="H289" s="575"/>
      <c r="I289" s="575"/>
      <c r="J289" s="575"/>
      <c r="K289" s="371"/>
      <c r="L289" s="372"/>
      <c r="M289" s="369"/>
      <c r="N289" s="369"/>
      <c r="O289" s="71"/>
      <c r="P289" s="1146"/>
      <c r="Q289" s="1152"/>
      <c r="R289" s="387"/>
      <c r="S289" s="388"/>
      <c r="T289" s="1137"/>
      <c r="U289" s="1149"/>
      <c r="V289" s="1137"/>
      <c r="W289" s="1149"/>
      <c r="X289" s="1137"/>
      <c r="Y289" s="1149"/>
      <c r="Z289" s="1137"/>
      <c r="AA289" s="1149"/>
      <c r="AB289" s="1155"/>
      <c r="AC289" s="1149"/>
      <c r="AE289" s="1146"/>
      <c r="AF289" s="1152"/>
      <c r="AG289" s="387"/>
      <c r="AH289" s="388"/>
      <c r="AI289" s="1137"/>
      <c r="AJ289" s="1149"/>
      <c r="AK289" s="1137"/>
      <c r="AL289" s="1149"/>
      <c r="AM289" s="1137"/>
      <c r="AN289" s="1149"/>
      <c r="AO289" s="1137"/>
      <c r="AP289" s="1149"/>
      <c r="AQ289" s="1155"/>
      <c r="AR289" s="1149"/>
    </row>
    <row r="290" spans="2:44" ht="15" thickBot="1">
      <c r="B290" s="573"/>
      <c r="C290" s="577"/>
      <c r="D290" s="577"/>
      <c r="E290" s="577"/>
      <c r="F290" s="577"/>
      <c r="G290" s="577"/>
      <c r="H290" s="577"/>
      <c r="I290" s="577"/>
      <c r="J290" s="577"/>
      <c r="K290" s="578"/>
      <c r="L290" s="579"/>
      <c r="M290" s="369"/>
      <c r="N290" s="369"/>
      <c r="O290" s="71"/>
      <c r="P290" s="1146"/>
      <c r="Q290" s="1153"/>
      <c r="R290" s="392"/>
      <c r="S290" s="393"/>
      <c r="T290" s="1138"/>
      <c r="U290" s="1150"/>
      <c r="V290" s="1138"/>
      <c r="W290" s="1150"/>
      <c r="X290" s="1138"/>
      <c r="Y290" s="1150"/>
      <c r="Z290" s="1138"/>
      <c r="AA290" s="1150"/>
      <c r="AB290" s="1156"/>
      <c r="AC290" s="1150"/>
      <c r="AE290" s="1146"/>
      <c r="AF290" s="1153"/>
      <c r="AG290" s="392"/>
      <c r="AH290" s="393"/>
      <c r="AI290" s="1138"/>
      <c r="AJ290" s="1150"/>
      <c r="AK290" s="1138"/>
      <c r="AL290" s="1150"/>
      <c r="AM290" s="1138"/>
      <c r="AN290" s="1150"/>
      <c r="AO290" s="1138"/>
      <c r="AP290" s="1150"/>
      <c r="AQ290" s="1156"/>
      <c r="AR290" s="1150"/>
    </row>
    <row r="291" spans="2:44" ht="14.55" customHeight="1">
      <c r="B291" s="573"/>
      <c r="C291" s="580"/>
      <c r="D291" s="580"/>
      <c r="E291" s="580"/>
      <c r="F291" s="580"/>
      <c r="G291" s="580"/>
      <c r="H291" s="580"/>
      <c r="I291" s="580"/>
      <c r="J291" s="580"/>
      <c r="K291" s="578"/>
      <c r="L291" s="579"/>
      <c r="M291" s="369"/>
      <c r="N291" s="369"/>
      <c r="O291" s="71"/>
      <c r="P291" s="1146"/>
      <c r="Q291" s="1142"/>
      <c r="R291" s="394"/>
      <c r="S291" s="395"/>
      <c r="T291" s="1134"/>
      <c r="U291" s="1134"/>
      <c r="V291" s="1134"/>
      <c r="W291" s="1134"/>
      <c r="X291" s="1134"/>
      <c r="Y291" s="1134"/>
      <c r="Z291" s="1134"/>
      <c r="AA291" s="1134"/>
      <c r="AB291" s="1134"/>
      <c r="AC291" s="1134"/>
      <c r="AE291" s="1146"/>
      <c r="AF291" s="1142"/>
      <c r="AG291" s="394"/>
      <c r="AH291" s="395"/>
      <c r="AI291" s="1134"/>
      <c r="AJ291" s="1134"/>
      <c r="AK291" s="1134"/>
      <c r="AL291" s="1134"/>
      <c r="AM291" s="1134"/>
      <c r="AN291" s="1134"/>
      <c r="AO291" s="1134"/>
      <c r="AP291" s="1134"/>
      <c r="AQ291" s="1134"/>
      <c r="AR291" s="1134"/>
    </row>
    <row r="292" spans="2:44">
      <c r="B292" s="573"/>
      <c r="C292" s="581"/>
      <c r="D292" s="581"/>
      <c r="E292" s="581"/>
      <c r="F292" s="581"/>
      <c r="G292" s="581"/>
      <c r="H292" s="581"/>
      <c r="I292" s="581"/>
      <c r="J292" s="581"/>
      <c r="K292" s="578"/>
      <c r="L292" s="579"/>
      <c r="M292" s="366"/>
      <c r="N292" s="366"/>
      <c r="O292" s="71"/>
      <c r="P292" s="1146"/>
      <c r="Q292" s="1143"/>
      <c r="R292" s="394"/>
      <c r="S292" s="395"/>
      <c r="T292" s="1135"/>
      <c r="U292" s="1135"/>
      <c r="V292" s="1135"/>
      <c r="W292" s="1135"/>
      <c r="X292" s="1135"/>
      <c r="Y292" s="1135"/>
      <c r="Z292" s="1135"/>
      <c r="AA292" s="1135"/>
      <c r="AB292" s="1137"/>
      <c r="AC292" s="1135"/>
      <c r="AE292" s="1146"/>
      <c r="AF292" s="1143"/>
      <c r="AG292" s="394"/>
      <c r="AH292" s="395"/>
      <c r="AI292" s="1135"/>
      <c r="AJ292" s="1135"/>
      <c r="AK292" s="1135"/>
      <c r="AL292" s="1135"/>
      <c r="AM292" s="1135"/>
      <c r="AN292" s="1135"/>
      <c r="AO292" s="1135"/>
      <c r="AP292" s="1135"/>
      <c r="AQ292" s="1137"/>
      <c r="AR292" s="1135"/>
    </row>
    <row r="293" spans="2:44">
      <c r="B293" s="382"/>
      <c r="C293" s="396"/>
      <c r="D293" s="396"/>
      <c r="E293" s="396"/>
      <c r="F293" s="396"/>
      <c r="G293" s="397"/>
      <c r="H293" s="397"/>
      <c r="I293" s="397"/>
      <c r="J293" s="397"/>
      <c r="K293" s="371"/>
      <c r="L293" s="372"/>
      <c r="M293" s="362"/>
      <c r="N293" s="362"/>
      <c r="P293" s="1146"/>
      <c r="Q293" s="1143"/>
      <c r="R293" s="394"/>
      <c r="S293" s="395"/>
      <c r="T293" s="1135"/>
      <c r="U293" s="1135"/>
      <c r="V293" s="1135"/>
      <c r="W293" s="1135"/>
      <c r="X293" s="1135"/>
      <c r="Y293" s="1135"/>
      <c r="Z293" s="1135"/>
      <c r="AA293" s="1135"/>
      <c r="AB293" s="1137"/>
      <c r="AC293" s="1135"/>
      <c r="AE293" s="1146"/>
      <c r="AF293" s="1143"/>
      <c r="AG293" s="394"/>
      <c r="AH293" s="395"/>
      <c r="AI293" s="1135"/>
      <c r="AJ293" s="1135"/>
      <c r="AK293" s="1135"/>
      <c r="AL293" s="1135"/>
      <c r="AM293" s="1135"/>
      <c r="AN293" s="1135"/>
      <c r="AO293" s="1135"/>
      <c r="AP293" s="1135"/>
      <c r="AQ293" s="1137"/>
      <c r="AR293" s="1135"/>
    </row>
    <row r="294" spans="2:44" ht="15" thickBot="1">
      <c r="B294" s="573"/>
      <c r="C294" s="581"/>
      <c r="D294" s="581"/>
      <c r="E294" s="581"/>
      <c r="F294" s="581"/>
      <c r="G294" s="581"/>
      <c r="H294" s="581"/>
      <c r="I294" s="581"/>
      <c r="J294" s="581"/>
      <c r="K294" s="371"/>
      <c r="L294" s="372"/>
      <c r="M294" s="362"/>
      <c r="N294" s="362"/>
      <c r="P294" s="1146"/>
      <c r="Q294" s="1143"/>
      <c r="R294" s="394"/>
      <c r="S294" s="395"/>
      <c r="T294" s="1135"/>
      <c r="U294" s="1135"/>
      <c r="V294" s="1135"/>
      <c r="W294" s="1135"/>
      <c r="X294" s="1135"/>
      <c r="Y294" s="1135"/>
      <c r="Z294" s="1135"/>
      <c r="AA294" s="1135"/>
      <c r="AB294" s="1137"/>
      <c r="AC294" s="1135"/>
      <c r="AE294" s="1146"/>
      <c r="AF294" s="1143"/>
      <c r="AG294" s="394"/>
      <c r="AH294" s="395"/>
      <c r="AI294" s="1135"/>
      <c r="AJ294" s="1135"/>
      <c r="AK294" s="1135"/>
      <c r="AL294" s="1135"/>
      <c r="AM294" s="1135"/>
      <c r="AN294" s="1135"/>
      <c r="AO294" s="1135"/>
      <c r="AP294" s="1135"/>
      <c r="AQ294" s="1137"/>
      <c r="AR294" s="1135"/>
    </row>
    <row r="295" spans="2:44" ht="15" thickBot="1">
      <c r="B295" s="400"/>
      <c r="C295" s="582"/>
      <c r="D295" s="583"/>
      <c r="E295" s="584"/>
      <c r="F295" s="585"/>
      <c r="G295" s="405"/>
      <c r="H295" s="405"/>
      <c r="I295" s="405"/>
      <c r="J295" s="405"/>
      <c r="K295" s="406"/>
      <c r="L295" s="586"/>
      <c r="M295" s="362"/>
      <c r="N295" s="362"/>
      <c r="P295" s="1146"/>
      <c r="Q295" s="1144"/>
      <c r="R295" s="408"/>
      <c r="S295" s="409"/>
      <c r="T295" s="1136"/>
      <c r="U295" s="1136"/>
      <c r="V295" s="1136"/>
      <c r="W295" s="1136"/>
      <c r="X295" s="1136"/>
      <c r="Y295" s="1136"/>
      <c r="Z295" s="1136"/>
      <c r="AA295" s="1136"/>
      <c r="AB295" s="1138"/>
      <c r="AC295" s="1136"/>
      <c r="AE295" s="1146"/>
      <c r="AF295" s="1144"/>
      <c r="AG295" s="408"/>
      <c r="AH295" s="409"/>
      <c r="AI295" s="1136"/>
      <c r="AJ295" s="1136"/>
      <c r="AK295" s="1136"/>
      <c r="AL295" s="1136"/>
      <c r="AM295" s="1136"/>
      <c r="AN295" s="1136"/>
      <c r="AO295" s="1136"/>
      <c r="AP295" s="1136"/>
      <c r="AQ295" s="1138"/>
      <c r="AR295" s="1136"/>
    </row>
    <row r="296" spans="2:44" ht="15" thickBot="1">
      <c r="B296" s="573"/>
      <c r="C296" s="587"/>
      <c r="D296" s="587"/>
      <c r="E296" s="587"/>
      <c r="F296" s="587"/>
      <c r="G296" s="588"/>
      <c r="H296" s="588"/>
      <c r="I296" s="589"/>
      <c r="J296" s="589"/>
      <c r="K296" s="578"/>
      <c r="L296" s="579"/>
      <c r="M296" s="362"/>
      <c r="N296" s="362"/>
      <c r="P296" s="1147"/>
      <c r="Q296" s="410"/>
      <c r="R296" s="411"/>
      <c r="S296" s="412"/>
      <c r="T296" s="590"/>
      <c r="U296" s="591"/>
      <c r="V296" s="592"/>
      <c r="W296" s="591"/>
      <c r="X296" s="592"/>
      <c r="Y296" s="591"/>
      <c r="Z296" s="592"/>
      <c r="AA296" s="591"/>
      <c r="AB296" s="592"/>
      <c r="AC296" s="593"/>
      <c r="AE296" s="1147"/>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5" thickBot="1">
      <c r="B304" s="428"/>
      <c r="C304" s="396"/>
      <c r="D304" s="396"/>
      <c r="E304" s="396"/>
      <c r="F304" s="396"/>
      <c r="G304" s="424"/>
      <c r="H304" s="424"/>
      <c r="I304" s="424"/>
      <c r="J304" s="424"/>
      <c r="K304" s="422"/>
      <c r="L304" s="426"/>
      <c r="M304" s="427"/>
      <c r="N304" s="427"/>
    </row>
    <row r="305" spans="1:30" ht="15"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39"/>
      <c r="Q310" s="1140"/>
      <c r="R310" s="1140"/>
      <c r="S310" s="1140"/>
      <c r="T310" s="1140"/>
      <c r="U310" s="1141"/>
    </row>
    <row r="311" spans="1:30" ht="15" thickBot="1">
      <c r="B311" s="540"/>
      <c r="C311" s="551"/>
      <c r="D311" s="551"/>
      <c r="E311" s="551"/>
      <c r="F311" s="551"/>
      <c r="G311" s="552"/>
      <c r="H311" s="552"/>
      <c r="I311" s="552"/>
      <c r="J311" s="552"/>
      <c r="K311" s="546"/>
      <c r="L311" s="547"/>
      <c r="M311" s="449"/>
      <c r="N311" s="360"/>
      <c r="P311" s="1131"/>
      <c r="Q311" s="1132"/>
      <c r="R311" s="1132"/>
      <c r="S311" s="1132"/>
      <c r="T311" s="1132"/>
      <c r="U311" s="1133"/>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5"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5"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5"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7">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F1C0-8B9A-4246-ABA2-97498C1EE0BA}">
  <sheetPr>
    <tabColor theme="3"/>
  </sheetPr>
  <dimension ref="A1:AR345"/>
  <sheetViews>
    <sheetView topLeftCell="J1" zoomScale="55" zoomScaleNormal="55" workbookViewId="0">
      <selection activeCell="Y19" sqref="Y19"/>
    </sheetView>
  </sheetViews>
  <sheetFormatPr defaultColWidth="8.77734375" defaultRowHeight="14.4" outlineLevelRow="1"/>
  <cols>
    <col min="1" max="1" width="35.2187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1" spans="1:44" ht="18.600000000000001" thickBot="1">
      <c r="A1" s="671" t="s">
        <v>881</v>
      </c>
      <c r="B1" s="672"/>
    </row>
    <row r="2" spans="1:44">
      <c r="B2" s="637" t="str">
        <f>C7</f>
        <v>High temperature heat pumps, up to 125 °C</v>
      </c>
    </row>
    <row r="4" spans="1:44" ht="25.05" customHeight="1">
      <c r="E4" s="224" t="s">
        <v>358</v>
      </c>
      <c r="F4" s="358">
        <v>7.45</v>
      </c>
      <c r="G4" s="358" t="s">
        <v>328</v>
      </c>
    </row>
    <row r="5" spans="1:44" ht="15" customHeight="1">
      <c r="A5" s="359" t="s">
        <v>872</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863</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1.5</v>
      </c>
      <c r="D10" s="371">
        <v>1.5</v>
      </c>
      <c r="E10" s="371">
        <v>1.5</v>
      </c>
      <c r="F10" s="371">
        <v>1.5</v>
      </c>
      <c r="G10" s="371">
        <v>0.5</v>
      </c>
      <c r="H10" s="371">
        <v>5</v>
      </c>
      <c r="I10" s="371">
        <v>0.5</v>
      </c>
      <c r="J10" s="371">
        <v>5</v>
      </c>
      <c r="K10" s="371" t="s">
        <v>6</v>
      </c>
      <c r="L10" s="372"/>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638">
        <v>260</v>
      </c>
      <c r="D11" s="638">
        <f>415-140</f>
        <v>275</v>
      </c>
      <c r="E11" s="639">
        <f>425-140</f>
        <v>285</v>
      </c>
      <c r="F11" s="638">
        <f>430-140</f>
        <v>290</v>
      </c>
      <c r="G11" s="638">
        <f>C11</f>
        <v>260</v>
      </c>
      <c r="H11" s="638">
        <f>D11*1.1</f>
        <v>302.5</v>
      </c>
      <c r="I11" s="638">
        <f>C11</f>
        <v>260</v>
      </c>
      <c r="J11" s="638">
        <f>F11*1.1</f>
        <v>319</v>
      </c>
      <c r="K11" s="378"/>
      <c r="L11" s="379">
        <v>1.5</v>
      </c>
      <c r="M11" s="369"/>
      <c r="N11" s="369"/>
      <c r="P11" s="1196" t="str">
        <f>C7</f>
        <v>High temperature heat pumps, up to 125 °C</v>
      </c>
      <c r="Q11" s="1151" t="s">
        <v>693</v>
      </c>
      <c r="R11" s="380" t="s">
        <v>694</v>
      </c>
      <c r="S11" s="381"/>
      <c r="T11" s="1134">
        <v>0</v>
      </c>
      <c r="U11" s="1148">
        <v>0</v>
      </c>
      <c r="V11" s="1154">
        <v>0</v>
      </c>
      <c r="W11" s="1148">
        <v>0</v>
      </c>
      <c r="X11" s="1154">
        <v>0</v>
      </c>
      <c r="Y11" s="1148">
        <v>0</v>
      </c>
      <c r="Z11" s="1154">
        <v>0</v>
      </c>
      <c r="AA11" s="1148">
        <v>0</v>
      </c>
      <c r="AB11" s="1154">
        <v>0</v>
      </c>
      <c r="AC11" s="1148">
        <v>0</v>
      </c>
      <c r="AE11" s="1145" t="str">
        <f>P11</f>
        <v>High temperature heat pumps, up to 125 °C</v>
      </c>
      <c r="AF11" s="1151" t="s">
        <v>693</v>
      </c>
      <c r="AG11" s="380" t="s">
        <v>694</v>
      </c>
      <c r="AH11" s="381"/>
      <c r="AI11" s="1134">
        <v>0</v>
      </c>
      <c r="AJ11" s="1148">
        <v>0</v>
      </c>
      <c r="AK11" s="1154">
        <v>0</v>
      </c>
      <c r="AL11" s="1148">
        <v>0</v>
      </c>
      <c r="AM11" s="1154">
        <v>0</v>
      </c>
      <c r="AN11" s="1148">
        <v>0</v>
      </c>
      <c r="AO11" s="1154">
        <v>0</v>
      </c>
      <c r="AP11" s="1148">
        <v>0</v>
      </c>
      <c r="AQ11" s="1154">
        <v>0</v>
      </c>
      <c r="AR11" s="1148">
        <v>0</v>
      </c>
    </row>
    <row r="12" spans="1:44" ht="32.549999999999997" customHeight="1" outlineLevel="1">
      <c r="B12" s="382" t="s">
        <v>695</v>
      </c>
      <c r="C12" s="576">
        <f>C11-5</f>
        <v>255</v>
      </c>
      <c r="D12" s="576">
        <f t="shared" ref="D12:J12" si="0">D11-5</f>
        <v>270</v>
      </c>
      <c r="E12" s="576">
        <f t="shared" si="0"/>
        <v>280</v>
      </c>
      <c r="F12" s="576">
        <f t="shared" si="0"/>
        <v>285</v>
      </c>
      <c r="G12" s="640">
        <f t="shared" si="0"/>
        <v>255</v>
      </c>
      <c r="H12" s="640">
        <f t="shared" si="0"/>
        <v>297.5</v>
      </c>
      <c r="I12" s="640">
        <f t="shared" si="0"/>
        <v>255</v>
      </c>
      <c r="J12" s="640">
        <f t="shared" si="0"/>
        <v>314</v>
      </c>
      <c r="K12" s="385" t="s">
        <v>59</v>
      </c>
      <c r="L12" s="386"/>
      <c r="M12" s="369"/>
      <c r="N12" s="369"/>
      <c r="O12" s="71"/>
      <c r="P12" s="1192"/>
      <c r="Q12" s="1152"/>
      <c r="R12" s="387" t="s">
        <v>696</v>
      </c>
      <c r="S12" s="388"/>
      <c r="T12" s="1137"/>
      <c r="U12" s="1149"/>
      <c r="V12" s="1155"/>
      <c r="W12" s="1149"/>
      <c r="X12" s="1155"/>
      <c r="Y12" s="1149"/>
      <c r="Z12" s="1155"/>
      <c r="AA12" s="1149"/>
      <c r="AB12" s="1155"/>
      <c r="AC12" s="1149"/>
      <c r="AE12" s="1192"/>
      <c r="AF12" s="1152"/>
      <c r="AG12" s="387" t="s">
        <v>696</v>
      </c>
      <c r="AH12" s="388"/>
      <c r="AI12" s="1137"/>
      <c r="AJ12" s="1149"/>
      <c r="AK12" s="1155"/>
      <c r="AL12" s="1149"/>
      <c r="AM12" s="1155"/>
      <c r="AN12" s="1149"/>
      <c r="AO12" s="1155"/>
      <c r="AP12" s="1149"/>
      <c r="AQ12" s="1155"/>
      <c r="AR12" s="1149"/>
    </row>
    <row r="13" spans="1:44" ht="15" outlineLevel="1" thickBot="1">
      <c r="B13" s="375" t="s">
        <v>697</v>
      </c>
      <c r="C13" s="389">
        <v>2</v>
      </c>
      <c r="D13" s="390">
        <v>2</v>
      </c>
      <c r="E13" s="390">
        <v>2</v>
      </c>
      <c r="F13" s="391">
        <v>2</v>
      </c>
      <c r="G13" s="390">
        <v>1</v>
      </c>
      <c r="H13" s="390">
        <v>7</v>
      </c>
      <c r="I13" s="390">
        <v>1</v>
      </c>
      <c r="J13" s="390">
        <v>7</v>
      </c>
      <c r="K13" s="378"/>
      <c r="L13" s="379">
        <v>2</v>
      </c>
      <c r="M13" s="369"/>
      <c r="N13" s="369"/>
      <c r="O13" s="71"/>
      <c r="P13" s="1192"/>
      <c r="Q13" s="1153"/>
      <c r="R13" s="392" t="s">
        <v>698</v>
      </c>
      <c r="S13" s="393"/>
      <c r="T13" s="1138"/>
      <c r="U13" s="1150"/>
      <c r="V13" s="1156"/>
      <c r="W13" s="1150"/>
      <c r="X13" s="1156"/>
      <c r="Y13" s="1150"/>
      <c r="Z13" s="1156"/>
      <c r="AA13" s="1150"/>
      <c r="AB13" s="1156"/>
      <c r="AC13" s="1150"/>
      <c r="AE13" s="1192"/>
      <c r="AF13" s="1153"/>
      <c r="AG13" s="392" t="s">
        <v>698</v>
      </c>
      <c r="AH13" s="393"/>
      <c r="AI13" s="1138"/>
      <c r="AJ13" s="1150"/>
      <c r="AK13" s="1156"/>
      <c r="AL13" s="1150"/>
      <c r="AM13" s="1156"/>
      <c r="AN13" s="1150"/>
      <c r="AO13" s="1156"/>
      <c r="AP13" s="1150"/>
      <c r="AQ13" s="1156"/>
      <c r="AR13" s="1150"/>
    </row>
    <row r="14" spans="1:44" ht="15" customHeight="1" outlineLevel="1">
      <c r="B14" s="375" t="s">
        <v>637</v>
      </c>
      <c r="C14" s="389">
        <v>0</v>
      </c>
      <c r="D14" s="389">
        <v>0</v>
      </c>
      <c r="E14" s="389">
        <v>0</v>
      </c>
      <c r="F14" s="389">
        <v>0</v>
      </c>
      <c r="G14" s="389">
        <v>0</v>
      </c>
      <c r="H14" s="389">
        <v>0.01</v>
      </c>
      <c r="I14" s="389">
        <v>0</v>
      </c>
      <c r="J14" s="389">
        <v>0.01</v>
      </c>
      <c r="K14" s="378" t="s">
        <v>16</v>
      </c>
      <c r="L14" s="379">
        <v>2</v>
      </c>
      <c r="M14" s="369"/>
      <c r="N14" s="369"/>
      <c r="O14" s="71"/>
      <c r="P14" s="1192"/>
      <c r="Q14" s="1151" t="s">
        <v>699</v>
      </c>
      <c r="R14" s="394" t="s">
        <v>700</v>
      </c>
      <c r="S14" s="395" t="s">
        <v>701</v>
      </c>
      <c r="T14" s="1134">
        <v>0</v>
      </c>
      <c r="U14" s="1134">
        <f>0.23</f>
        <v>0.23</v>
      </c>
      <c r="V14" s="1134">
        <v>0</v>
      </c>
      <c r="W14" s="1134">
        <f>0.26</f>
        <v>0.26</v>
      </c>
      <c r="X14" s="1134">
        <v>0</v>
      </c>
      <c r="Y14" s="1134">
        <f>0.16</f>
        <v>0.16</v>
      </c>
      <c r="Z14" s="1134">
        <v>0</v>
      </c>
      <c r="AA14" s="1134">
        <v>0.17</v>
      </c>
      <c r="AB14" s="1134">
        <v>0</v>
      </c>
      <c r="AC14" s="1148">
        <f>0.16</f>
        <v>0.16</v>
      </c>
      <c r="AE14" s="1192"/>
      <c r="AF14" s="1151" t="s">
        <v>699</v>
      </c>
      <c r="AG14" s="394" t="s">
        <v>700</v>
      </c>
      <c r="AH14" s="395" t="s">
        <v>701</v>
      </c>
      <c r="AI14" s="1134">
        <v>0</v>
      </c>
      <c r="AJ14" s="1134">
        <f>U14/4</f>
        <v>5.7500000000000002E-2</v>
      </c>
      <c r="AK14" s="1134">
        <v>0</v>
      </c>
      <c r="AL14" s="1134">
        <f>W14/4</f>
        <v>6.5000000000000002E-2</v>
      </c>
      <c r="AM14" s="1134">
        <v>0</v>
      </c>
      <c r="AN14" s="1134">
        <f>Y14/4</f>
        <v>0.04</v>
      </c>
      <c r="AO14" s="1134">
        <v>0</v>
      </c>
      <c r="AP14" s="1134">
        <f>AA14/4</f>
        <v>4.2500000000000003E-2</v>
      </c>
      <c r="AQ14" s="1134">
        <v>0</v>
      </c>
      <c r="AR14" s="1148">
        <f>AC14/4</f>
        <v>0.04</v>
      </c>
    </row>
    <row r="15" spans="1:44" outlineLevel="1">
      <c r="B15" s="375" t="s">
        <v>638</v>
      </c>
      <c r="C15" s="389">
        <v>0.5</v>
      </c>
      <c r="D15" s="389">
        <v>0.5</v>
      </c>
      <c r="E15" s="389">
        <v>0.5</v>
      </c>
      <c r="F15" s="389">
        <v>0.5</v>
      </c>
      <c r="G15" s="389">
        <v>0</v>
      </c>
      <c r="H15" s="389">
        <v>1</v>
      </c>
      <c r="I15" s="389">
        <v>0</v>
      </c>
      <c r="J15" s="389">
        <v>1</v>
      </c>
      <c r="K15" s="378"/>
      <c r="L15" s="379">
        <v>2</v>
      </c>
      <c r="M15" s="366"/>
      <c r="N15" s="366"/>
      <c r="O15" s="71"/>
      <c r="P15" s="1192"/>
      <c r="Q15" s="1152"/>
      <c r="R15" s="394" t="s">
        <v>702</v>
      </c>
      <c r="S15" s="395" t="s">
        <v>701</v>
      </c>
      <c r="T15" s="1188"/>
      <c r="U15" s="1188"/>
      <c r="V15" s="1188"/>
      <c r="W15" s="1188"/>
      <c r="X15" s="1188"/>
      <c r="Y15" s="1188"/>
      <c r="Z15" s="1188"/>
      <c r="AA15" s="1188"/>
      <c r="AB15" s="1188"/>
      <c r="AC15" s="1190"/>
      <c r="AE15" s="1192"/>
      <c r="AF15" s="1152"/>
      <c r="AG15" s="394" t="s">
        <v>702</v>
      </c>
      <c r="AH15" s="395" t="s">
        <v>701</v>
      </c>
      <c r="AI15" s="1188"/>
      <c r="AJ15" s="1188"/>
      <c r="AK15" s="1188"/>
      <c r="AL15" s="1188"/>
      <c r="AM15" s="1188"/>
      <c r="AN15" s="1188"/>
      <c r="AO15" s="1188"/>
      <c r="AP15" s="1188"/>
      <c r="AQ15" s="1188"/>
      <c r="AR15" s="1190"/>
    </row>
    <row r="16" spans="1:44" outlineLevel="1">
      <c r="B16" s="382" t="s">
        <v>11</v>
      </c>
      <c r="C16" s="396">
        <v>20</v>
      </c>
      <c r="D16" s="396">
        <v>20</v>
      </c>
      <c r="E16" s="396">
        <v>20</v>
      </c>
      <c r="F16" s="396">
        <v>20</v>
      </c>
      <c r="G16" s="397">
        <v>15</v>
      </c>
      <c r="H16" s="397">
        <v>30</v>
      </c>
      <c r="I16" s="397">
        <v>15</v>
      </c>
      <c r="J16" s="397">
        <v>30</v>
      </c>
      <c r="K16" s="371"/>
      <c r="L16" s="372">
        <v>2</v>
      </c>
      <c r="M16" s="362"/>
      <c r="N16" s="362"/>
      <c r="P16" s="1192"/>
      <c r="Q16" s="1152"/>
      <c r="R16" s="394" t="s">
        <v>704</v>
      </c>
      <c r="S16" s="395"/>
      <c r="T16" s="1188"/>
      <c r="U16" s="1188"/>
      <c r="V16" s="1188"/>
      <c r="W16" s="1188"/>
      <c r="X16" s="1188"/>
      <c r="Y16" s="1188"/>
      <c r="Z16" s="1188"/>
      <c r="AA16" s="1188"/>
      <c r="AB16" s="1188"/>
      <c r="AC16" s="1190"/>
      <c r="AE16" s="1192"/>
      <c r="AF16" s="1152"/>
      <c r="AG16" s="394" t="s">
        <v>704</v>
      </c>
      <c r="AH16" s="628"/>
      <c r="AI16" s="1188"/>
      <c r="AJ16" s="1188"/>
      <c r="AK16" s="1188"/>
      <c r="AL16" s="1188"/>
      <c r="AM16" s="1188"/>
      <c r="AN16" s="1188"/>
      <c r="AO16" s="1188"/>
      <c r="AP16" s="1188"/>
      <c r="AQ16" s="1188"/>
      <c r="AR16" s="1190"/>
    </row>
    <row r="17" spans="1:44" ht="15" outlineLevel="1" thickBot="1">
      <c r="B17" s="375" t="s">
        <v>273</v>
      </c>
      <c r="C17" s="398">
        <v>0.6</v>
      </c>
      <c r="D17" s="398">
        <v>0.6</v>
      </c>
      <c r="E17" s="398">
        <v>0.6</v>
      </c>
      <c r="F17" s="398">
        <v>0.6</v>
      </c>
      <c r="G17" s="398">
        <v>0.4</v>
      </c>
      <c r="H17" s="398">
        <v>0.8</v>
      </c>
      <c r="I17" s="398">
        <v>0.4</v>
      </c>
      <c r="J17" s="398">
        <v>0.8</v>
      </c>
      <c r="K17" s="371" t="s">
        <v>20</v>
      </c>
      <c r="L17" s="399">
        <v>2</v>
      </c>
      <c r="M17" s="362"/>
      <c r="N17" s="362"/>
      <c r="P17" s="1192"/>
      <c r="Q17" s="1152"/>
      <c r="R17" s="394" t="s">
        <v>705</v>
      </c>
      <c r="S17" s="395" t="s">
        <v>701</v>
      </c>
      <c r="T17" s="1188"/>
      <c r="U17" s="1188"/>
      <c r="V17" s="1188"/>
      <c r="W17" s="1188"/>
      <c r="X17" s="1188"/>
      <c r="Y17" s="1188"/>
      <c r="Z17" s="1188"/>
      <c r="AA17" s="1188"/>
      <c r="AB17" s="1188"/>
      <c r="AC17" s="1190"/>
      <c r="AE17" s="1192"/>
      <c r="AF17" s="1152"/>
      <c r="AG17" s="394" t="s">
        <v>705</v>
      </c>
      <c r="AH17" s="395" t="s">
        <v>701</v>
      </c>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t="s">
        <v>701</v>
      </c>
      <c r="T18" s="1189"/>
      <c r="U18" s="1189"/>
      <c r="V18" s="1189"/>
      <c r="W18" s="1189"/>
      <c r="X18" s="1189"/>
      <c r="Y18" s="1189"/>
      <c r="Z18" s="1189"/>
      <c r="AA18" s="1189"/>
      <c r="AB18" s="1189"/>
      <c r="AC18" s="1191"/>
      <c r="AE18" s="1192"/>
      <c r="AF18" s="1153"/>
      <c r="AG18" s="408" t="s">
        <v>826</v>
      </c>
      <c r="AH18" s="409" t="s">
        <v>701</v>
      </c>
      <c r="AI18" s="1189"/>
      <c r="AJ18" s="1189"/>
      <c r="AK18" s="1189"/>
      <c r="AL18" s="1189"/>
      <c r="AM18" s="1189"/>
      <c r="AN18" s="1189"/>
      <c r="AO18" s="1189"/>
      <c r="AP18" s="1189"/>
      <c r="AQ18" s="1189"/>
      <c r="AR18" s="1191"/>
    </row>
    <row r="19" spans="1:44" ht="29.4" outlineLevel="1" thickBot="1">
      <c r="B19" s="375" t="s">
        <v>643</v>
      </c>
      <c r="C19" s="389">
        <v>25</v>
      </c>
      <c r="D19" s="389">
        <v>25</v>
      </c>
      <c r="E19" s="389">
        <v>25</v>
      </c>
      <c r="F19" s="389">
        <v>25</v>
      </c>
      <c r="G19" s="390"/>
      <c r="H19" s="390"/>
      <c r="I19" s="390"/>
      <c r="J19" s="390"/>
      <c r="K19" s="378" t="s">
        <v>76</v>
      </c>
      <c r="L19" s="379">
        <v>4</v>
      </c>
      <c r="M19" s="362"/>
      <c r="N19" s="362"/>
      <c r="P19" s="1193"/>
      <c r="Q19" s="410" t="s">
        <v>708</v>
      </c>
      <c r="R19" s="411" t="s">
        <v>709</v>
      </c>
      <c r="S19" s="629" t="s">
        <v>701</v>
      </c>
      <c r="T19" s="415">
        <v>1</v>
      </c>
      <c r="U19" s="414">
        <v>1</v>
      </c>
      <c r="V19" s="415">
        <v>1</v>
      </c>
      <c r="W19" s="414">
        <v>1</v>
      </c>
      <c r="X19" s="415">
        <v>1</v>
      </c>
      <c r="Y19" s="414">
        <v>1</v>
      </c>
      <c r="Z19" s="415">
        <v>1</v>
      </c>
      <c r="AA19" s="414">
        <v>1</v>
      </c>
      <c r="AB19" s="415">
        <v>1</v>
      </c>
      <c r="AC19" s="416">
        <v>1</v>
      </c>
      <c r="AE19" s="1193"/>
      <c r="AF19" s="410" t="s">
        <v>708</v>
      </c>
      <c r="AG19" s="1246" t="s">
        <v>709</v>
      </c>
      <c r="AH19" s="1247" t="s">
        <v>701</v>
      </c>
      <c r="AI19" s="415">
        <v>1</v>
      </c>
      <c r="AJ19" s="414">
        <v>1</v>
      </c>
      <c r="AK19" s="415">
        <v>1</v>
      </c>
      <c r="AL19" s="414">
        <v>1</v>
      </c>
      <c r="AM19" s="415">
        <v>1</v>
      </c>
      <c r="AN19" s="414">
        <v>1</v>
      </c>
      <c r="AO19" s="415">
        <v>1</v>
      </c>
      <c r="AP19" s="414">
        <v>1</v>
      </c>
      <c r="AQ19" s="415">
        <v>1</v>
      </c>
      <c r="AR19" s="416">
        <v>1</v>
      </c>
    </row>
    <row r="20" spans="1:44" outlineLevel="1">
      <c r="B20" s="375" t="s">
        <v>644</v>
      </c>
      <c r="C20" s="389">
        <v>0.25</v>
      </c>
      <c r="D20" s="389">
        <v>0.25</v>
      </c>
      <c r="E20" s="389">
        <v>0.25</v>
      </c>
      <c r="F20" s="389">
        <v>0.25</v>
      </c>
      <c r="G20" s="417"/>
      <c r="H20" s="417"/>
      <c r="I20" s="417"/>
      <c r="J20" s="417"/>
      <c r="K20" s="418"/>
      <c r="L20" s="379">
        <v>9</v>
      </c>
      <c r="M20" s="362"/>
      <c r="N20" s="362"/>
    </row>
    <row r="21" spans="1:44" outlineLevel="1">
      <c r="B21" s="375" t="s">
        <v>646</v>
      </c>
      <c r="C21" s="389">
        <v>1</v>
      </c>
      <c r="D21" s="389">
        <v>1</v>
      </c>
      <c r="E21" s="389">
        <v>1</v>
      </c>
      <c r="F21" s="389">
        <v>1</v>
      </c>
      <c r="G21" s="417"/>
      <c r="H21" s="417"/>
      <c r="I21" s="417"/>
      <c r="J21" s="417"/>
      <c r="K21" s="418"/>
      <c r="L21" s="379">
        <v>9</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t="s">
        <v>649</v>
      </c>
      <c r="D23" s="1229"/>
      <c r="E23" s="1229"/>
      <c r="F23" s="1230"/>
      <c r="G23" s="421"/>
      <c r="H23" s="424"/>
      <c r="I23" s="424"/>
      <c r="J23" s="424"/>
      <c r="K23" s="425"/>
      <c r="L23" s="426"/>
      <c r="M23" s="427"/>
      <c r="N23" s="427"/>
    </row>
    <row r="24" spans="1:44" outlineLevel="1">
      <c r="B24" s="382" t="s">
        <v>712</v>
      </c>
      <c r="C24" s="1231"/>
      <c r="D24" s="1232"/>
      <c r="E24" s="1232"/>
      <c r="F24" s="1233"/>
      <c r="G24" s="424"/>
      <c r="H24" s="424"/>
      <c r="I24" s="424"/>
      <c r="J24" s="424"/>
      <c r="K24" s="422"/>
      <c r="L24" s="426"/>
      <c r="M24" s="427"/>
      <c r="N24" s="427"/>
    </row>
    <row r="25" spans="1:44" outlineLevel="1">
      <c r="B25" s="382" t="s">
        <v>807</v>
      </c>
      <c r="C25" s="1231"/>
      <c r="D25" s="1232"/>
      <c r="E25" s="1232"/>
      <c r="F25" s="1233"/>
      <c r="G25" s="424"/>
      <c r="H25" s="424"/>
      <c r="I25" s="424"/>
      <c r="J25" s="424"/>
      <c r="K25" s="422"/>
      <c r="L25" s="426"/>
      <c r="M25" s="427"/>
      <c r="N25" s="427"/>
    </row>
    <row r="26" spans="1:44" outlineLevel="1">
      <c r="B26" s="382" t="s">
        <v>366</v>
      </c>
      <c r="C26" s="1231"/>
      <c r="D26" s="1232"/>
      <c r="E26" s="1232"/>
      <c r="F26" s="1233"/>
      <c r="G26" s="424"/>
      <c r="H26" s="424"/>
      <c r="I26" s="424"/>
      <c r="J26" s="424"/>
      <c r="K26" s="422"/>
      <c r="L26" s="426"/>
      <c r="M26" s="427"/>
      <c r="N26" s="427"/>
    </row>
    <row r="27" spans="1:44" ht="15" outlineLevel="1" thickBot="1">
      <c r="B27" s="428" t="s">
        <v>367</v>
      </c>
      <c r="C27" s="1234"/>
      <c r="D27" s="1235"/>
      <c r="E27" s="1235"/>
      <c r="F27" s="1236"/>
      <c r="G27" s="424"/>
      <c r="H27" s="424"/>
      <c r="I27" s="424"/>
      <c r="J27" s="424"/>
      <c r="K27" s="422"/>
      <c r="L27" s="426"/>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550">
        <v>0.87120000000000009</v>
      </c>
      <c r="D29" s="646">
        <v>0.77880000000000005</v>
      </c>
      <c r="E29" s="646">
        <v>0.73</v>
      </c>
      <c r="F29" s="512">
        <v>0.7</v>
      </c>
      <c r="G29" s="424"/>
      <c r="H29" s="424"/>
      <c r="I29" s="424"/>
      <c r="J29" s="424"/>
      <c r="K29" s="425"/>
      <c r="L29" s="439" t="s">
        <v>864</v>
      </c>
      <c r="M29" s="419"/>
      <c r="N29" s="419"/>
    </row>
    <row r="30" spans="1:44" outlineLevel="1">
      <c r="B30" s="440" t="s">
        <v>802</v>
      </c>
      <c r="C30" s="441">
        <v>40</v>
      </c>
      <c r="D30" s="441">
        <v>40</v>
      </c>
      <c r="E30" s="441">
        <v>40</v>
      </c>
      <c r="F30" s="441">
        <v>40</v>
      </c>
      <c r="G30" s="424"/>
      <c r="H30" s="424"/>
      <c r="I30" s="424"/>
      <c r="J30" s="424"/>
      <c r="K30" s="443"/>
      <c r="L30" s="372">
        <v>4</v>
      </c>
      <c r="M30" s="71"/>
      <c r="N30" s="419"/>
    </row>
    <row r="31" spans="1:44" outlineLevel="1">
      <c r="B31" s="440" t="s">
        <v>803</v>
      </c>
      <c r="C31" s="441">
        <v>60</v>
      </c>
      <c r="D31" s="441">
        <v>60</v>
      </c>
      <c r="E31" s="441">
        <v>60</v>
      </c>
      <c r="F31" s="441">
        <v>60</v>
      </c>
      <c r="G31" s="424"/>
      <c r="H31" s="424"/>
      <c r="I31" s="424"/>
      <c r="J31" s="424"/>
      <c r="K31" s="443"/>
      <c r="L31" s="372">
        <v>4</v>
      </c>
      <c r="M31" s="419"/>
      <c r="N31" s="419"/>
    </row>
    <row r="32" spans="1:44" outlineLevel="1">
      <c r="B32" s="382" t="s">
        <v>804</v>
      </c>
      <c r="C32" s="444">
        <v>970</v>
      </c>
      <c r="D32" s="445">
        <v>870</v>
      </c>
      <c r="E32" s="445">
        <v>800</v>
      </c>
      <c r="F32" s="446">
        <v>720</v>
      </c>
      <c r="G32" s="424"/>
      <c r="H32" s="424"/>
      <c r="I32" s="424"/>
      <c r="J32" s="424"/>
      <c r="K32" s="447"/>
      <c r="L32" s="372">
        <v>5</v>
      </c>
      <c r="M32" s="419"/>
      <c r="N32" s="419"/>
    </row>
    <row r="33" spans="2:30" ht="37.049999999999997" customHeight="1" outlineLevel="1" thickBot="1">
      <c r="B33" s="382" t="s">
        <v>659</v>
      </c>
      <c r="C33" s="448">
        <f>SUM(C34:C35)</f>
        <v>3.26</v>
      </c>
      <c r="D33" s="448">
        <f>SUM(D34:D35)</f>
        <v>3.2</v>
      </c>
      <c r="E33" s="448">
        <f>SUM(E34:E35)</f>
        <v>3.2199999999999998</v>
      </c>
      <c r="F33" s="448">
        <f>SUM(F34:F35)</f>
        <v>3.12</v>
      </c>
      <c r="G33" s="424"/>
      <c r="H33" s="424"/>
      <c r="I33" s="424"/>
      <c r="J33" s="424"/>
      <c r="K33" s="447"/>
      <c r="L33" s="372"/>
      <c r="M33" s="449"/>
      <c r="N33" s="360"/>
      <c r="P33" s="1139">
        <f>C33</f>
        <v>3.26</v>
      </c>
      <c r="Q33" s="1140"/>
      <c r="R33" s="1140"/>
      <c r="S33" s="1140"/>
      <c r="T33" s="1140"/>
      <c r="U33" s="1141"/>
    </row>
    <row r="34" spans="2:30" ht="15.75" customHeight="1" outlineLevel="1" thickBot="1">
      <c r="B34" s="450" t="s">
        <v>721</v>
      </c>
      <c r="C34" s="451">
        <f>C13/100*73</f>
        <v>1.46</v>
      </c>
      <c r="D34" s="451">
        <f>D13/100*75</f>
        <v>1.5</v>
      </c>
      <c r="E34" s="451">
        <f>E13/100*76</f>
        <v>1.52</v>
      </c>
      <c r="F34" s="451">
        <f>F13/100*76</f>
        <v>1.52</v>
      </c>
      <c r="G34" s="452"/>
      <c r="H34" s="452"/>
      <c r="I34" s="452"/>
      <c r="J34" s="452"/>
      <c r="K34" s="378" t="s">
        <v>25</v>
      </c>
      <c r="L34" s="379">
        <v>3</v>
      </c>
      <c r="M34" s="449"/>
      <c r="N34" s="360"/>
      <c r="P34" s="1131">
        <f>C34</f>
        <v>1.46</v>
      </c>
      <c r="Q34" s="1132"/>
      <c r="R34" s="1132"/>
      <c r="S34" s="1132"/>
      <c r="T34" s="1132"/>
      <c r="U34" s="1133"/>
    </row>
    <row r="35" spans="2:30" outlineLevel="1">
      <c r="B35" s="450" t="s">
        <v>722</v>
      </c>
      <c r="C35" s="453">
        <v>1.8</v>
      </c>
      <c r="D35" s="453">
        <v>1.7</v>
      </c>
      <c r="E35" s="453">
        <v>1.7</v>
      </c>
      <c r="F35" s="453">
        <v>1.6</v>
      </c>
      <c r="G35" s="452"/>
      <c r="H35" s="452"/>
      <c r="I35" s="452"/>
      <c r="J35" s="452"/>
      <c r="K35" s="454"/>
      <c r="L35" s="379">
        <v>2</v>
      </c>
      <c r="M35" s="362"/>
      <c r="N35" s="362"/>
      <c r="P35" s="53" t="s">
        <v>357</v>
      </c>
    </row>
    <row r="36" spans="2:30" ht="27.6"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f>C29*0.2</f>
        <v>0.17424000000000003</v>
      </c>
      <c r="D39" s="632">
        <f>D29*0.2</f>
        <v>0.15576000000000001</v>
      </c>
      <c r="E39" s="632">
        <f>E29*0.2</f>
        <v>0.14599999999999999</v>
      </c>
      <c r="F39" s="632">
        <f>F29*0.2</f>
        <v>0.13999999999999999</v>
      </c>
      <c r="G39" s="642"/>
      <c r="H39" s="642"/>
      <c r="I39" s="642"/>
      <c r="J39" s="642"/>
      <c r="K39" s="642" t="s">
        <v>33</v>
      </c>
      <c r="L39" s="463"/>
      <c r="M39" s="362"/>
      <c r="N39" s="362"/>
      <c r="O39" s="464">
        <f>(C12+C84)/2</f>
        <v>275</v>
      </c>
      <c r="P39" s="465">
        <f>C8</f>
        <v>2020</v>
      </c>
      <c r="Q39" s="58">
        <f>P39</f>
        <v>2020</v>
      </c>
      <c r="R39" s="465">
        <f>O39/100</f>
        <v>2.75</v>
      </c>
      <c r="S39" s="58"/>
      <c r="T39" s="465">
        <f>C16</f>
        <v>20</v>
      </c>
      <c r="U39" s="466">
        <f>(C46+C118)/2</f>
        <v>7139.4840000000004</v>
      </c>
      <c r="V39" s="466">
        <f>C48</f>
        <v>7.2264999999999997</v>
      </c>
      <c r="W39" s="466">
        <f>C49</f>
        <v>6.7463888888888883</v>
      </c>
      <c r="X39" s="58"/>
      <c r="Y39" s="58"/>
      <c r="Z39" s="465" t="str">
        <f>C23</f>
        <v>Cf. the utilized electricity</v>
      </c>
      <c r="AA39" s="467">
        <f>C25</f>
        <v>0</v>
      </c>
      <c r="AB39" s="467">
        <f>C26</f>
        <v>0</v>
      </c>
      <c r="AC39" s="467">
        <f>C27</f>
        <v>0</v>
      </c>
      <c r="AD39" s="467">
        <f>C24</f>
        <v>0</v>
      </c>
    </row>
    <row r="40" spans="2:30" ht="14.55" customHeight="1" outlineLevel="1">
      <c r="B40" s="375" t="s">
        <v>726</v>
      </c>
      <c r="C40" s="468" t="s">
        <v>36</v>
      </c>
      <c r="D40" s="469" t="s">
        <v>36</v>
      </c>
      <c r="E40" s="469" t="s">
        <v>36</v>
      </c>
      <c r="F40" s="470" t="s">
        <v>36</v>
      </c>
      <c r="G40" s="470"/>
      <c r="H40" s="470"/>
      <c r="I40" s="470"/>
      <c r="J40" s="470"/>
      <c r="K40" s="471"/>
      <c r="L40" s="463"/>
      <c r="M40" s="362"/>
      <c r="N40" s="362"/>
      <c r="O40" s="464">
        <f>(D12+D84)/2</f>
        <v>287.5</v>
      </c>
      <c r="P40" s="465">
        <f>D8</f>
        <v>2030</v>
      </c>
      <c r="Q40" s="58"/>
      <c r="R40" s="465">
        <f>O40/100</f>
        <v>2.875</v>
      </c>
      <c r="S40" s="58"/>
      <c r="T40" s="465">
        <f>D16</f>
        <v>20</v>
      </c>
      <c r="U40" s="466">
        <f>(D46+D118)/2</f>
        <v>6382.2660000000014</v>
      </c>
      <c r="V40" s="466">
        <f>D48</f>
        <v>6.4814999999999996</v>
      </c>
      <c r="W40" s="466">
        <f>D49</f>
        <v>6.6222222222222227</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(E12+E84)/2</f>
        <v>297.5</v>
      </c>
      <c r="P41" s="465">
        <f>E8</f>
        <v>2040</v>
      </c>
      <c r="Q41" s="58"/>
      <c r="R41" s="465">
        <f>O41/100</f>
        <v>2.9750000000000001</v>
      </c>
      <c r="S41" s="58"/>
      <c r="T41" s="465">
        <f>E16</f>
        <v>20</v>
      </c>
      <c r="U41" s="466">
        <f>(E46+E118)/2</f>
        <v>5982.35</v>
      </c>
      <c r="V41" s="466">
        <f>E48</f>
        <v>5.96</v>
      </c>
      <c r="W41" s="466">
        <f>E49</f>
        <v>6.66361111111111</v>
      </c>
      <c r="X41" s="58"/>
      <c r="Y41" s="58"/>
      <c r="Z41" s="465">
        <f>E23</f>
        <v>0</v>
      </c>
      <c r="AA41" s="467">
        <f>E25</f>
        <v>0</v>
      </c>
      <c r="AB41" s="467">
        <f>E26</f>
        <v>0</v>
      </c>
      <c r="AC41" s="467">
        <f>E27</f>
        <v>0</v>
      </c>
      <c r="AD41" s="467">
        <f>E24</f>
        <v>0</v>
      </c>
    </row>
    <row r="42" spans="2:30" ht="14.55" customHeight="1" outlineLevel="1">
      <c r="B42" s="375" t="s">
        <v>728</v>
      </c>
      <c r="C42" s="1237" t="s">
        <v>649</v>
      </c>
      <c r="D42" s="1238"/>
      <c r="E42" s="1238"/>
      <c r="F42" s="1239"/>
      <c r="G42" s="473"/>
      <c r="H42" s="473"/>
      <c r="I42" s="473"/>
      <c r="J42" s="473"/>
      <c r="K42" s="473"/>
      <c r="L42" s="379"/>
      <c r="M42" s="362"/>
      <c r="N42" s="362"/>
      <c r="O42" s="464">
        <f>(F12+F84)/2</f>
        <v>302.5</v>
      </c>
      <c r="P42" s="465">
        <f>F8</f>
        <v>2050</v>
      </c>
      <c r="Q42" s="58"/>
      <c r="R42" s="465">
        <f>O42/100</f>
        <v>3.0249999999999999</v>
      </c>
      <c r="S42" s="58"/>
      <c r="T42" s="465">
        <f>F16</f>
        <v>20</v>
      </c>
      <c r="U42" s="466">
        <f>(F46+F118)/2</f>
        <v>5736.5</v>
      </c>
      <c r="V42" s="466">
        <f>F48</f>
        <v>5.3639999999999999</v>
      </c>
      <c r="W42" s="466">
        <f>F49</f>
        <v>6.4566666666666661</v>
      </c>
      <c r="X42" s="58"/>
      <c r="Y42" s="58"/>
      <c r="Z42" s="465">
        <f>F23</f>
        <v>0</v>
      </c>
      <c r="AA42" s="467">
        <f>F25</f>
        <v>0</v>
      </c>
      <c r="AB42" s="467">
        <f>F26</f>
        <v>0</v>
      </c>
      <c r="AC42" s="467">
        <f>F27</f>
        <v>0</v>
      </c>
      <c r="AD42" s="467">
        <f>F24</f>
        <v>0</v>
      </c>
    </row>
    <row r="43" spans="2:30" outlineLevel="1">
      <c r="B43" s="474" t="s">
        <v>729</v>
      </c>
      <c r="C43" s="468">
        <v>40</v>
      </c>
      <c r="D43" s="469">
        <v>40</v>
      </c>
      <c r="E43" s="469">
        <v>40</v>
      </c>
      <c r="F43" s="470">
        <v>40</v>
      </c>
      <c r="G43" s="473"/>
      <c r="H43" s="473"/>
      <c r="I43" s="473"/>
      <c r="J43" s="473"/>
      <c r="K43" s="473" t="s">
        <v>51</v>
      </c>
      <c r="L43" s="475"/>
      <c r="M43" s="366"/>
      <c r="N43" s="366"/>
    </row>
    <row r="44" spans="2:30" outlineLevel="1">
      <c r="B44" s="474" t="s">
        <v>730</v>
      </c>
      <c r="C44" s="468">
        <v>10</v>
      </c>
      <c r="D44" s="469">
        <v>10</v>
      </c>
      <c r="E44" s="469">
        <v>10</v>
      </c>
      <c r="F44" s="470">
        <v>10</v>
      </c>
      <c r="G44" s="473"/>
      <c r="H44" s="473"/>
      <c r="I44" s="473"/>
      <c r="J44" s="473"/>
      <c r="K44" s="473" t="s">
        <v>51</v>
      </c>
      <c r="L44" s="475"/>
      <c r="M44" s="362"/>
      <c r="N44" s="362"/>
      <c r="O44" s="8" t="s">
        <v>882</v>
      </c>
    </row>
    <row r="45" spans="2:30" ht="15" outlineLevel="1" thickBot="1">
      <c r="B45" s="476" t="s">
        <v>731</v>
      </c>
      <c r="C45" s="477"/>
      <c r="D45" s="478"/>
      <c r="E45" s="478"/>
      <c r="F45" s="479"/>
      <c r="G45" s="480"/>
      <c r="H45" s="480"/>
      <c r="I45" s="480"/>
      <c r="J45" s="480"/>
      <c r="K45" s="480"/>
      <c r="L45" s="481"/>
      <c r="M45" s="362"/>
      <c r="N45" s="362"/>
    </row>
    <row r="46" spans="2:30" ht="57.6" outlineLevel="1">
      <c r="B46" s="460" t="s">
        <v>732</v>
      </c>
      <c r="C46" s="482">
        <f>C29*$F$4*1000</f>
        <v>6490.4400000000005</v>
      </c>
      <c r="D46" s="482">
        <f t="shared" ref="D46:F46" si="1">D29*$F$4*1000</f>
        <v>5802.0600000000013</v>
      </c>
      <c r="E46" s="482">
        <f t="shared" si="1"/>
        <v>5438.5</v>
      </c>
      <c r="F46" s="482">
        <f t="shared" si="1"/>
        <v>5215</v>
      </c>
      <c r="G46" s="482"/>
      <c r="H46" s="483"/>
      <c r="I46" s="419" t="s">
        <v>332</v>
      </c>
      <c r="J46" s="419"/>
      <c r="K46" s="483"/>
      <c r="L46" s="483"/>
      <c r="N46" s="419"/>
    </row>
    <row r="47" spans="2:30" outlineLevel="1">
      <c r="B47" s="484" t="s">
        <v>733</v>
      </c>
      <c r="C47" s="485">
        <f>C46*$I47</f>
        <v>3245220.0000000005</v>
      </c>
      <c r="D47" s="485">
        <f>D46*$I47</f>
        <v>2901030.0000000005</v>
      </c>
      <c r="E47" s="485">
        <f>E46*$I47</f>
        <v>2719250</v>
      </c>
      <c r="F47" s="485">
        <f>F46*$I47</f>
        <v>2607500</v>
      </c>
      <c r="G47" s="485"/>
      <c r="H47" s="483"/>
      <c r="I47" s="71">
        <v>500</v>
      </c>
      <c r="J47" s="419" t="s">
        <v>330</v>
      </c>
      <c r="K47" s="483"/>
      <c r="L47" s="483"/>
      <c r="N47" s="419"/>
    </row>
    <row r="48" spans="2:30" ht="43.2" outlineLevel="1">
      <c r="B48" s="460" t="s">
        <v>808</v>
      </c>
      <c r="C48" s="358">
        <f>C32*$F$4/1000</f>
        <v>7.2264999999999997</v>
      </c>
      <c r="D48" s="358">
        <f t="shared" ref="D48:F48" si="2">D32*$F$4/1000</f>
        <v>6.4814999999999996</v>
      </c>
      <c r="E48" s="358">
        <f t="shared" si="2"/>
        <v>5.96</v>
      </c>
      <c r="F48" s="358">
        <f t="shared" si="2"/>
        <v>5.3639999999999999</v>
      </c>
      <c r="G48" s="358"/>
      <c r="I48" s="419" t="s">
        <v>333</v>
      </c>
      <c r="J48" s="419"/>
      <c r="N48" s="419"/>
    </row>
    <row r="49" spans="2:14" ht="43.2" outlineLevel="1">
      <c r="B49" s="460" t="s">
        <v>809</v>
      </c>
      <c r="C49" s="486">
        <f>C33*$F$4/3.6</f>
        <v>6.7463888888888883</v>
      </c>
      <c r="D49" s="486">
        <f t="shared" ref="D49:F49" si="3">D33*$F$4/3.6</f>
        <v>6.6222222222222227</v>
      </c>
      <c r="E49" s="486">
        <f t="shared" si="3"/>
        <v>6.66361111111111</v>
      </c>
      <c r="F49" s="486">
        <f t="shared" si="3"/>
        <v>6.4566666666666661</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8" t="s">
        <v>736</v>
      </c>
      <c r="F55" s="357"/>
      <c r="G55" s="357"/>
      <c r="H55" s="357"/>
      <c r="I55" s="357"/>
      <c r="J55" s="357"/>
      <c r="K55" s="357"/>
      <c r="L55" s="357"/>
    </row>
    <row r="56" spans="2:14" outlineLevel="1">
      <c r="B56" s="357">
        <v>1</v>
      </c>
      <c r="C56" s="489" t="s">
        <v>841</v>
      </c>
      <c r="D56" s="357"/>
      <c r="E56" s="489"/>
      <c r="F56" s="357"/>
      <c r="G56" s="357"/>
      <c r="H56" s="357"/>
      <c r="I56" s="357"/>
      <c r="J56" s="357"/>
      <c r="K56" s="357"/>
      <c r="L56" s="357"/>
    </row>
    <row r="57" spans="2:14" outlineLevel="1">
      <c r="B57" s="357">
        <v>2</v>
      </c>
      <c r="C57" s="635" t="s">
        <v>865</v>
      </c>
      <c r="D57" s="357"/>
      <c r="E57" s="489"/>
      <c r="F57" s="357"/>
      <c r="G57" s="357"/>
      <c r="H57" s="357"/>
      <c r="I57" s="357"/>
      <c r="J57" s="357"/>
      <c r="K57" s="357"/>
      <c r="L57" s="357"/>
    </row>
    <row r="58" spans="2:14" outlineLevel="1">
      <c r="B58" s="665">
        <v>3</v>
      </c>
      <c r="C58" s="666" t="s">
        <v>866</v>
      </c>
      <c r="D58" s="357"/>
      <c r="E58" s="489"/>
      <c r="F58" s="357"/>
      <c r="G58" s="357"/>
      <c r="H58" s="357"/>
      <c r="I58" s="357"/>
      <c r="J58" s="357"/>
      <c r="K58" s="357"/>
      <c r="L58" s="357"/>
    </row>
    <row r="59" spans="2:14" outlineLevel="1">
      <c r="B59" s="489">
        <v>4</v>
      </c>
      <c r="C59" s="666" t="s">
        <v>867</v>
      </c>
      <c r="D59" s="357"/>
      <c r="E59" s="489"/>
      <c r="F59" s="357"/>
      <c r="G59" s="357"/>
      <c r="H59" s="357"/>
      <c r="I59" s="357"/>
      <c r="J59" s="357"/>
      <c r="K59" s="357"/>
      <c r="L59" s="357"/>
    </row>
    <row r="60" spans="2:14" outlineLevel="1">
      <c r="B60" s="489">
        <v>5</v>
      </c>
      <c r="C60" s="492" t="s">
        <v>868</v>
      </c>
      <c r="D60" s="357"/>
      <c r="E60" s="489"/>
      <c r="F60" s="357"/>
      <c r="G60" s="357"/>
      <c r="H60" s="357"/>
      <c r="I60" s="357"/>
      <c r="J60" s="357"/>
      <c r="K60" s="357"/>
      <c r="L60" s="357"/>
    </row>
    <row r="61" spans="2:14" outlineLevel="1">
      <c r="B61" s="8" t="s">
        <v>746</v>
      </c>
      <c r="D61" s="357"/>
      <c r="E61" s="489"/>
      <c r="F61" s="357"/>
      <c r="G61" s="357"/>
      <c r="H61" s="357"/>
      <c r="I61" s="357"/>
      <c r="J61" s="357"/>
      <c r="K61" s="357"/>
      <c r="L61" s="357"/>
    </row>
    <row r="62" spans="2:14" outlineLevel="1">
      <c r="B62" s="636" t="s">
        <v>6</v>
      </c>
      <c r="C62" s="357" t="s">
        <v>816</v>
      </c>
      <c r="D62" s="357"/>
      <c r="E62" s="489"/>
      <c r="F62" s="357"/>
      <c r="G62" s="357"/>
      <c r="H62" s="357"/>
      <c r="I62" s="357"/>
      <c r="J62" s="357"/>
      <c r="K62" s="357"/>
      <c r="L62" s="357"/>
    </row>
    <row r="63" spans="2:14" outlineLevel="1">
      <c r="B63" s="636" t="s">
        <v>59</v>
      </c>
      <c r="C63" s="357" t="s">
        <v>869</v>
      </c>
      <c r="D63" s="357"/>
      <c r="E63" s="489"/>
      <c r="F63" s="357"/>
      <c r="G63" s="357"/>
      <c r="H63" s="357"/>
      <c r="I63" s="357"/>
      <c r="J63" s="357"/>
      <c r="K63" s="357"/>
      <c r="L63" s="357"/>
    </row>
    <row r="64" spans="2:14" outlineLevel="1">
      <c r="B64" s="636" t="s">
        <v>16</v>
      </c>
      <c r="C64" s="357" t="s">
        <v>819</v>
      </c>
      <c r="D64" s="357"/>
      <c r="E64" s="489"/>
      <c r="F64" s="357"/>
      <c r="G64" s="357"/>
      <c r="H64" s="357"/>
      <c r="I64" s="357"/>
      <c r="J64" s="357"/>
      <c r="K64" s="357"/>
      <c r="L64" s="357"/>
    </row>
    <row r="65" spans="1:44" outlineLevel="1">
      <c r="B65" s="636" t="s">
        <v>20</v>
      </c>
      <c r="C65" s="357" t="s">
        <v>870</v>
      </c>
      <c r="F65" s="357"/>
      <c r="G65" s="357"/>
      <c r="H65" s="357"/>
      <c r="I65" s="357"/>
      <c r="J65" s="357"/>
      <c r="K65" s="357"/>
      <c r="L65" s="357"/>
    </row>
    <row r="66" spans="1:44" outlineLevel="1">
      <c r="B66" s="665" t="s">
        <v>76</v>
      </c>
      <c r="C66" s="357" t="s">
        <v>871</v>
      </c>
      <c r="D66" s="357"/>
      <c r="E66" s="489"/>
      <c r="F66" s="357"/>
      <c r="G66" s="357"/>
      <c r="H66" s="357"/>
      <c r="I66" s="357"/>
      <c r="J66" s="357"/>
      <c r="K66" s="357"/>
      <c r="L66" s="357"/>
    </row>
    <row r="67" spans="1:44" outlineLevel="1">
      <c r="B67" s="636" t="s">
        <v>25</v>
      </c>
      <c r="C67" s="497" t="s">
        <v>751</v>
      </c>
      <c r="D67" s="497"/>
      <c r="E67" s="489"/>
      <c r="F67" s="357"/>
      <c r="G67" s="357"/>
      <c r="H67" s="357"/>
      <c r="I67" s="357"/>
      <c r="J67" s="357"/>
      <c r="K67" s="357"/>
      <c r="L67" s="357"/>
    </row>
    <row r="68" spans="1:44" outlineLevel="1">
      <c r="B68" s="655" t="s">
        <v>33</v>
      </c>
      <c r="C68" s="489" t="s">
        <v>822</v>
      </c>
      <c r="E68" s="489"/>
      <c r="F68" s="357"/>
      <c r="G68" s="357"/>
      <c r="H68" s="357"/>
      <c r="I68" s="357"/>
      <c r="J68" s="357"/>
      <c r="K68" s="357"/>
      <c r="L68" s="357"/>
    </row>
    <row r="69" spans="1:44" outlineLevel="1">
      <c r="B69" s="636" t="s">
        <v>51</v>
      </c>
      <c r="C69" s="489" t="s">
        <v>823</v>
      </c>
      <c r="E69" s="489"/>
      <c r="F69" s="357"/>
      <c r="G69" s="357"/>
      <c r="H69" s="357"/>
      <c r="I69" s="357"/>
      <c r="J69" s="357"/>
      <c r="K69" s="357"/>
      <c r="L69" s="357"/>
    </row>
    <row r="70" spans="1:44" outlineLevel="1">
      <c r="E70" s="489"/>
      <c r="G70" s="357"/>
      <c r="H70" s="357"/>
      <c r="I70" s="357"/>
      <c r="J70" s="357"/>
      <c r="K70" s="357"/>
      <c r="L70" s="357"/>
    </row>
    <row r="71" spans="1:44" outlineLevel="1">
      <c r="B71" s="636"/>
      <c r="C71" s="489"/>
      <c r="E71" s="489"/>
      <c r="F71" s="489"/>
    </row>
    <row r="72" spans="1:44" outlineLevel="1"/>
    <row r="73" spans="1:44" outlineLevel="1"/>
    <row r="74" spans="1:44" outlineLevel="1"/>
    <row r="77" spans="1:44">
      <c r="A77" s="359" t="s">
        <v>879</v>
      </c>
      <c r="B77" s="1204"/>
      <c r="C77" s="1140"/>
      <c r="D77" s="1140"/>
      <c r="E77" s="1140"/>
      <c r="F77" s="1140"/>
      <c r="G77" s="1140"/>
      <c r="H77" s="1140"/>
      <c r="I77" s="1140"/>
      <c r="J77" s="1140"/>
      <c r="K77" s="1140"/>
      <c r="L77" s="1140"/>
      <c r="M77" s="1140"/>
      <c r="N77" s="360"/>
      <c r="P77" s="1140"/>
      <c r="Q77" s="1140"/>
      <c r="R77" s="1140"/>
      <c r="S77" s="1140"/>
      <c r="T77" s="1140"/>
      <c r="U77" s="1140"/>
    </row>
    <row r="78" spans="1:44" ht="15" outlineLevel="1" thickBot="1">
      <c r="B78" s="1204"/>
      <c r="C78" s="1140"/>
      <c r="D78" s="1140"/>
      <c r="E78" s="1140"/>
      <c r="F78" s="1140"/>
      <c r="G78" s="1140"/>
      <c r="H78" s="1140"/>
      <c r="I78" s="1140"/>
      <c r="J78" s="1140"/>
      <c r="K78" s="1140"/>
      <c r="L78" s="1140"/>
      <c r="M78" s="1140"/>
      <c r="N78" s="360"/>
      <c r="P78" s="691">
        <v>1</v>
      </c>
      <c r="Q78" s="691">
        <v>2</v>
      </c>
      <c r="R78" s="691">
        <v>3</v>
      </c>
      <c r="S78" s="691">
        <v>4</v>
      </c>
      <c r="T78" s="691">
        <v>5</v>
      </c>
      <c r="U78" s="691">
        <v>6</v>
      </c>
      <c r="V78" s="691">
        <v>7</v>
      </c>
      <c r="W78" s="691">
        <v>8</v>
      </c>
      <c r="X78" s="691">
        <v>9</v>
      </c>
      <c r="Y78" s="691">
        <v>10</v>
      </c>
      <c r="Z78" s="691">
        <v>11</v>
      </c>
      <c r="AA78" s="691">
        <v>12</v>
      </c>
      <c r="AB78" s="691">
        <v>13</v>
      </c>
      <c r="AC78" s="691">
        <v>14</v>
      </c>
    </row>
    <row r="79" spans="1:44" ht="20.55" customHeight="1" outlineLevel="1" thickBot="1">
      <c r="B79" s="361" t="s">
        <v>0</v>
      </c>
      <c r="C79" s="1201" t="s">
        <v>878</v>
      </c>
      <c r="D79" s="1202"/>
      <c r="E79" s="1202"/>
      <c r="F79" s="1202"/>
      <c r="G79" s="1202"/>
      <c r="H79" s="1202"/>
      <c r="I79" s="1202"/>
      <c r="J79" s="1202"/>
      <c r="K79" s="1202"/>
      <c r="L79" s="1203"/>
      <c r="M79" s="362"/>
      <c r="N79" s="362"/>
      <c r="P79" s="363" t="s">
        <v>676</v>
      </c>
      <c r="Q79" s="364"/>
      <c r="R79" s="365"/>
      <c r="S79" s="1173" t="s">
        <v>677</v>
      </c>
      <c r="T79" s="1157" t="s">
        <v>678</v>
      </c>
      <c r="U79" s="1158"/>
      <c r="V79" s="1157" t="s">
        <v>679</v>
      </c>
      <c r="W79" s="1158"/>
      <c r="X79" s="1157" t="s">
        <v>680</v>
      </c>
      <c r="Y79" s="1158"/>
      <c r="Z79" s="1157" t="s">
        <v>681</v>
      </c>
      <c r="AA79" s="1158"/>
      <c r="AB79" s="1157" t="s">
        <v>682</v>
      </c>
      <c r="AC79" s="1158"/>
      <c r="AE79" s="363" t="s">
        <v>683</v>
      </c>
      <c r="AF79" s="364"/>
      <c r="AG79" s="365"/>
      <c r="AH79" s="1173" t="s">
        <v>677</v>
      </c>
      <c r="AI79" s="1157" t="s">
        <v>678</v>
      </c>
      <c r="AJ79" s="1158"/>
      <c r="AK79" s="1157" t="s">
        <v>679</v>
      </c>
      <c r="AL79" s="1158"/>
      <c r="AM79" s="1157" t="s">
        <v>680</v>
      </c>
      <c r="AN79" s="1158"/>
      <c r="AO79" s="1157" t="s">
        <v>681</v>
      </c>
      <c r="AP79" s="1158"/>
      <c r="AQ79" s="1157" t="s">
        <v>682</v>
      </c>
      <c r="AR79" s="1158"/>
    </row>
    <row r="80" spans="1:44" ht="15" customHeight="1" outlineLevel="1" thickBot="1">
      <c r="B80" s="1161" t="s">
        <v>4</v>
      </c>
      <c r="C80" s="1163">
        <v>2020</v>
      </c>
      <c r="D80" s="1163">
        <v>2030</v>
      </c>
      <c r="E80" s="1163">
        <v>2040</v>
      </c>
      <c r="F80" s="1163">
        <v>2050</v>
      </c>
      <c r="G80" s="1197" t="s">
        <v>684</v>
      </c>
      <c r="H80" s="1198"/>
      <c r="I80" s="1197" t="s">
        <v>628</v>
      </c>
      <c r="J80" s="1198"/>
      <c r="K80" s="1199" t="s">
        <v>2</v>
      </c>
      <c r="L80" s="1199" t="s">
        <v>3</v>
      </c>
      <c r="M80" s="366"/>
      <c r="N80" s="366"/>
      <c r="P80" s="1177" t="s">
        <v>0</v>
      </c>
      <c r="Q80" s="367"/>
      <c r="R80" s="367"/>
      <c r="S80" s="1174"/>
      <c r="T80" s="1159"/>
      <c r="U80" s="1160"/>
      <c r="V80" s="1159"/>
      <c r="W80" s="1160"/>
      <c r="X80" s="1159"/>
      <c r="Y80" s="1160"/>
      <c r="Z80" s="1159"/>
      <c r="AA80" s="1160"/>
      <c r="AB80" s="1159"/>
      <c r="AC80" s="1160"/>
      <c r="AE80" s="1177" t="s">
        <v>0</v>
      </c>
      <c r="AF80" s="367"/>
      <c r="AG80" s="367"/>
      <c r="AH80" s="1174"/>
      <c r="AI80" s="1159"/>
      <c r="AJ80" s="1160"/>
      <c r="AK80" s="1159"/>
      <c r="AL80" s="1160"/>
      <c r="AM80" s="1159"/>
      <c r="AN80" s="1160"/>
      <c r="AO80" s="1159"/>
      <c r="AP80" s="1160"/>
      <c r="AQ80" s="1159"/>
      <c r="AR80" s="1160"/>
    </row>
    <row r="81" spans="2:44" ht="15" customHeight="1" outlineLevel="1" thickBot="1">
      <c r="B81" s="1162"/>
      <c r="C81" s="1164"/>
      <c r="D81" s="1164"/>
      <c r="E81" s="1164"/>
      <c r="F81" s="1164"/>
      <c r="G81" s="498" t="s">
        <v>629</v>
      </c>
      <c r="H81" s="498" t="s">
        <v>630</v>
      </c>
      <c r="I81" s="498" t="s">
        <v>629</v>
      </c>
      <c r="J81" s="498" t="s">
        <v>630</v>
      </c>
      <c r="K81" s="1200"/>
      <c r="L81" s="1200"/>
      <c r="M81" s="369"/>
      <c r="N81" s="369"/>
      <c r="P81" s="1178"/>
      <c r="Q81" s="1180" t="s">
        <v>685</v>
      </c>
      <c r="R81" s="1181" t="s">
        <v>686</v>
      </c>
      <c r="S81" s="1175"/>
      <c r="T81" s="1159"/>
      <c r="U81" s="1160"/>
      <c r="V81" s="1159"/>
      <c r="W81" s="1160"/>
      <c r="X81" s="1159"/>
      <c r="Y81" s="1160"/>
      <c r="Z81" s="1159"/>
      <c r="AA81" s="1160"/>
      <c r="AB81" s="1159"/>
      <c r="AC81" s="1160"/>
      <c r="AE81" s="1178"/>
      <c r="AF81" s="1194" t="s">
        <v>685</v>
      </c>
      <c r="AG81" s="1181" t="s">
        <v>686</v>
      </c>
      <c r="AH81" s="1175"/>
      <c r="AI81" s="1159"/>
      <c r="AJ81" s="1160"/>
      <c r="AK81" s="1159"/>
      <c r="AL81" s="1160"/>
      <c r="AM81" s="1159"/>
      <c r="AN81" s="1160"/>
      <c r="AO81" s="1159"/>
      <c r="AP81" s="1160"/>
      <c r="AQ81" s="1159"/>
      <c r="AR81" s="1160"/>
    </row>
    <row r="82" spans="2:44" ht="29.4" outlineLevel="1" thickBot="1">
      <c r="B82" s="370" t="s">
        <v>631</v>
      </c>
      <c r="C82" s="371">
        <v>1.5</v>
      </c>
      <c r="D82" s="371">
        <v>1.5</v>
      </c>
      <c r="E82" s="371">
        <v>1.5</v>
      </c>
      <c r="F82" s="371">
        <v>1.5</v>
      </c>
      <c r="G82" s="371">
        <v>0.5</v>
      </c>
      <c r="H82" s="371">
        <v>5</v>
      </c>
      <c r="I82" s="371">
        <v>0.5</v>
      </c>
      <c r="J82" s="371">
        <v>5</v>
      </c>
      <c r="K82" s="371" t="s">
        <v>6</v>
      </c>
      <c r="L82" s="372"/>
      <c r="M82" s="369"/>
      <c r="N82" s="369"/>
      <c r="O82" s="74"/>
      <c r="P82" s="1179"/>
      <c r="Q82" s="1176"/>
      <c r="R82" s="1182"/>
      <c r="S82" s="1176"/>
      <c r="T82" s="373" t="s">
        <v>689</v>
      </c>
      <c r="U82" s="374" t="s">
        <v>690</v>
      </c>
      <c r="V82" s="373" t="s">
        <v>689</v>
      </c>
      <c r="W82" s="374" t="s">
        <v>690</v>
      </c>
      <c r="X82" s="373" t="s">
        <v>689</v>
      </c>
      <c r="Y82" s="374" t="s">
        <v>690</v>
      </c>
      <c r="Z82" s="373" t="s">
        <v>689</v>
      </c>
      <c r="AA82" s="374" t="s">
        <v>690</v>
      </c>
      <c r="AB82" s="373" t="s">
        <v>689</v>
      </c>
      <c r="AC82" s="374" t="s">
        <v>690</v>
      </c>
      <c r="AE82" s="1179"/>
      <c r="AF82" s="1195"/>
      <c r="AG82" s="1182"/>
      <c r="AH82" s="1176"/>
      <c r="AI82" s="373" t="s">
        <v>689</v>
      </c>
      <c r="AJ82" s="374" t="s">
        <v>690</v>
      </c>
      <c r="AK82" s="373" t="s">
        <v>689</v>
      </c>
      <c r="AL82" s="374" t="s">
        <v>690</v>
      </c>
      <c r="AM82" s="373" t="s">
        <v>689</v>
      </c>
      <c r="AN82" s="374" t="s">
        <v>690</v>
      </c>
      <c r="AO82" s="373" t="s">
        <v>689</v>
      </c>
      <c r="AP82" s="374" t="s">
        <v>690</v>
      </c>
      <c r="AQ82" s="373" t="s">
        <v>689</v>
      </c>
      <c r="AR82" s="374" t="s">
        <v>690</v>
      </c>
    </row>
    <row r="83" spans="2:44" ht="15" customHeight="1" outlineLevel="1">
      <c r="B83" s="499" t="s">
        <v>691</v>
      </c>
      <c r="C83" s="667">
        <v>300</v>
      </c>
      <c r="D83" s="667">
        <v>310</v>
      </c>
      <c r="E83" s="668">
        <v>320</v>
      </c>
      <c r="F83" s="667">
        <v>325</v>
      </c>
      <c r="G83" s="667">
        <f>D83</f>
        <v>310</v>
      </c>
      <c r="H83" s="667">
        <f>D83*1.1</f>
        <v>341</v>
      </c>
      <c r="I83" s="667">
        <f>D83</f>
        <v>310</v>
      </c>
      <c r="J83" s="667">
        <f>F83*1.1</f>
        <v>357.50000000000006</v>
      </c>
      <c r="K83" s="502"/>
      <c r="L83" s="503">
        <v>1.5</v>
      </c>
      <c r="M83" s="369"/>
      <c r="N83" s="369"/>
      <c r="P83" s="1145" t="str">
        <f>C79</f>
        <v>High temperature heat pumps, up to 150 °C</v>
      </c>
      <c r="Q83" s="1151" t="s">
        <v>693</v>
      </c>
      <c r="R83" s="380" t="s">
        <v>694</v>
      </c>
      <c r="S83" s="381"/>
      <c r="T83" s="1134">
        <v>0</v>
      </c>
      <c r="U83" s="1148">
        <v>0</v>
      </c>
      <c r="V83" s="1134">
        <v>0</v>
      </c>
      <c r="W83" s="1148">
        <v>0</v>
      </c>
      <c r="X83" s="1134">
        <v>0</v>
      </c>
      <c r="Y83" s="1148">
        <v>0</v>
      </c>
      <c r="Z83" s="1134">
        <v>0</v>
      </c>
      <c r="AA83" s="1148">
        <v>0</v>
      </c>
      <c r="AB83" s="1134">
        <v>0</v>
      </c>
      <c r="AC83" s="1148">
        <v>0</v>
      </c>
      <c r="AE83" s="1145" t="str">
        <f>P83</f>
        <v>High temperature heat pumps, up to 150 °C</v>
      </c>
      <c r="AF83" s="1151" t="s">
        <v>693</v>
      </c>
      <c r="AG83" s="380" t="s">
        <v>694</v>
      </c>
      <c r="AH83" s="381"/>
      <c r="AI83" s="1134">
        <v>0</v>
      </c>
      <c r="AJ83" s="1148">
        <v>0</v>
      </c>
      <c r="AK83" s="1134">
        <v>0</v>
      </c>
      <c r="AL83" s="1148">
        <v>0</v>
      </c>
      <c r="AM83" s="1134">
        <v>0</v>
      </c>
      <c r="AN83" s="1148">
        <v>0</v>
      </c>
      <c r="AO83" s="1134">
        <v>0</v>
      </c>
      <c r="AP83" s="1148">
        <v>0</v>
      </c>
      <c r="AQ83" s="1134">
        <v>0</v>
      </c>
      <c r="AR83" s="1148">
        <v>0</v>
      </c>
    </row>
    <row r="84" spans="2:44" outlineLevel="1">
      <c r="B84" s="382" t="s">
        <v>695</v>
      </c>
      <c r="C84" s="576">
        <f>C83-5</f>
        <v>295</v>
      </c>
      <c r="D84" s="576">
        <f t="shared" ref="D84:J84" si="4">D83-5</f>
        <v>305</v>
      </c>
      <c r="E84" s="576">
        <f t="shared" si="4"/>
        <v>315</v>
      </c>
      <c r="F84" s="576">
        <f t="shared" si="4"/>
        <v>320</v>
      </c>
      <c r="G84" s="575">
        <f t="shared" si="4"/>
        <v>305</v>
      </c>
      <c r="H84" s="575">
        <f t="shared" si="4"/>
        <v>336</v>
      </c>
      <c r="I84" s="575">
        <f t="shared" si="4"/>
        <v>305</v>
      </c>
      <c r="J84" s="575">
        <f t="shared" si="4"/>
        <v>352.50000000000006</v>
      </c>
      <c r="K84" s="371" t="s">
        <v>59</v>
      </c>
      <c r="L84" s="372"/>
      <c r="M84" s="369"/>
      <c r="N84" s="369"/>
      <c r="O84" s="71"/>
      <c r="P84" s="1192"/>
      <c r="Q84" s="1152"/>
      <c r="R84" s="387" t="s">
        <v>696</v>
      </c>
      <c r="S84" s="388"/>
      <c r="T84" s="1137"/>
      <c r="U84" s="1149"/>
      <c r="V84" s="1137"/>
      <c r="W84" s="1149"/>
      <c r="X84" s="1137"/>
      <c r="Y84" s="1149"/>
      <c r="Z84" s="1137"/>
      <c r="AA84" s="1149"/>
      <c r="AB84" s="1137"/>
      <c r="AC84" s="1149"/>
      <c r="AE84" s="1192"/>
      <c r="AF84" s="1152"/>
      <c r="AG84" s="387" t="s">
        <v>696</v>
      </c>
      <c r="AH84" s="388"/>
      <c r="AI84" s="1137"/>
      <c r="AJ84" s="1149"/>
      <c r="AK84" s="1137"/>
      <c r="AL84" s="1149"/>
      <c r="AM84" s="1137"/>
      <c r="AN84" s="1149"/>
      <c r="AO84" s="1137"/>
      <c r="AP84" s="1149"/>
      <c r="AQ84" s="1137"/>
      <c r="AR84" s="1149"/>
    </row>
    <row r="85" spans="2:44" ht="15" outlineLevel="1" thickBot="1">
      <c r="B85" s="499" t="s">
        <v>697</v>
      </c>
      <c r="C85" s="505">
        <v>2</v>
      </c>
      <c r="D85" s="506">
        <v>2</v>
      </c>
      <c r="E85" s="506">
        <v>2</v>
      </c>
      <c r="F85" s="507">
        <v>2</v>
      </c>
      <c r="G85" s="506">
        <v>1</v>
      </c>
      <c r="H85" s="506">
        <v>7</v>
      </c>
      <c r="I85" s="506">
        <v>1</v>
      </c>
      <c r="J85" s="506">
        <v>7</v>
      </c>
      <c r="K85" s="502"/>
      <c r="L85" s="503">
        <v>2</v>
      </c>
      <c r="M85" s="369"/>
      <c r="N85" s="369"/>
      <c r="O85" s="71"/>
      <c r="P85" s="1192"/>
      <c r="Q85" s="1153"/>
      <c r="R85" s="392" t="s">
        <v>698</v>
      </c>
      <c r="S85" s="393"/>
      <c r="T85" s="1138"/>
      <c r="U85" s="1150"/>
      <c r="V85" s="1138"/>
      <c r="W85" s="1150"/>
      <c r="X85" s="1138"/>
      <c r="Y85" s="1150"/>
      <c r="Z85" s="1138"/>
      <c r="AA85" s="1150"/>
      <c r="AB85" s="1138"/>
      <c r="AC85" s="1150"/>
      <c r="AE85" s="1192"/>
      <c r="AF85" s="1153"/>
      <c r="AG85" s="392" t="s">
        <v>698</v>
      </c>
      <c r="AH85" s="393"/>
      <c r="AI85" s="1138"/>
      <c r="AJ85" s="1150"/>
      <c r="AK85" s="1138"/>
      <c r="AL85" s="1150"/>
      <c r="AM85" s="1138"/>
      <c r="AN85" s="1150"/>
      <c r="AO85" s="1138"/>
      <c r="AP85" s="1150"/>
      <c r="AQ85" s="1138"/>
      <c r="AR85" s="1150"/>
    </row>
    <row r="86" spans="2:44" ht="15" customHeight="1" outlineLevel="1">
      <c r="B86" s="499" t="s">
        <v>637</v>
      </c>
      <c r="C86" s="505">
        <v>0</v>
      </c>
      <c r="D86" s="505">
        <v>0</v>
      </c>
      <c r="E86" s="505">
        <v>0</v>
      </c>
      <c r="F86" s="505">
        <v>0</v>
      </c>
      <c r="G86" s="505">
        <v>0</v>
      </c>
      <c r="H86" s="505">
        <v>1</v>
      </c>
      <c r="I86" s="505">
        <v>0</v>
      </c>
      <c r="J86" s="505">
        <v>1</v>
      </c>
      <c r="K86" s="502" t="s">
        <v>16</v>
      </c>
      <c r="L86" s="503">
        <v>2</v>
      </c>
      <c r="M86" s="369"/>
      <c r="N86" s="369"/>
      <c r="O86" s="71"/>
      <c r="P86" s="1192"/>
      <c r="Q86" s="1151" t="s">
        <v>699</v>
      </c>
      <c r="R86" s="394" t="s">
        <v>700</v>
      </c>
      <c r="S86" s="395" t="s">
        <v>701</v>
      </c>
      <c r="T86" s="1134">
        <v>0</v>
      </c>
      <c r="U86" s="1134">
        <v>0.09</v>
      </c>
      <c r="V86" s="1134">
        <v>0</v>
      </c>
      <c r="W86" s="1134">
        <v>0.1</v>
      </c>
      <c r="X86" s="1134">
        <v>0</v>
      </c>
      <c r="Y86" s="1134">
        <v>0.03</v>
      </c>
      <c r="Z86" s="1134">
        <v>0</v>
      </c>
      <c r="AA86" s="1134">
        <v>0.05</v>
      </c>
      <c r="AB86" s="1134">
        <v>0</v>
      </c>
      <c r="AC86" s="1134">
        <v>7.0000000000000007E-2</v>
      </c>
      <c r="AE86" s="1192"/>
      <c r="AF86" s="1151" t="s">
        <v>699</v>
      </c>
      <c r="AG86" s="394" t="s">
        <v>700</v>
      </c>
      <c r="AH86" s="395" t="s">
        <v>701</v>
      </c>
      <c r="AI86" s="1134">
        <v>0</v>
      </c>
      <c r="AJ86" s="1134">
        <f>U86/4</f>
        <v>2.2499999999999999E-2</v>
      </c>
      <c r="AK86" s="1134">
        <v>0</v>
      </c>
      <c r="AL86" s="1134">
        <f>W86/4</f>
        <v>2.5000000000000001E-2</v>
      </c>
      <c r="AM86" s="1134">
        <v>0</v>
      </c>
      <c r="AN86" s="1134">
        <f>Y86/4</f>
        <v>7.4999999999999997E-3</v>
      </c>
      <c r="AO86" s="1134">
        <v>0</v>
      </c>
      <c r="AP86" s="1134">
        <f>AA86/4</f>
        <v>1.2500000000000001E-2</v>
      </c>
      <c r="AQ86" s="1134">
        <v>0</v>
      </c>
      <c r="AR86" s="1134">
        <f>AC86/4</f>
        <v>1.7500000000000002E-2</v>
      </c>
    </row>
    <row r="87" spans="2:44" outlineLevel="1">
      <c r="B87" s="499" t="s">
        <v>638</v>
      </c>
      <c r="C87" s="505">
        <v>0.5</v>
      </c>
      <c r="D87" s="505">
        <v>0.5</v>
      </c>
      <c r="E87" s="505">
        <v>0.5</v>
      </c>
      <c r="F87" s="505">
        <v>0.5</v>
      </c>
      <c r="G87" s="505">
        <v>0</v>
      </c>
      <c r="H87" s="505">
        <v>1</v>
      </c>
      <c r="I87" s="505">
        <v>0</v>
      </c>
      <c r="J87" s="505">
        <v>1</v>
      </c>
      <c r="K87" s="502"/>
      <c r="L87" s="503">
        <v>2</v>
      </c>
      <c r="M87" s="366"/>
      <c r="N87" s="366"/>
      <c r="O87" s="71"/>
      <c r="P87" s="1192"/>
      <c r="Q87" s="1152"/>
      <c r="R87" s="394" t="s">
        <v>702</v>
      </c>
      <c r="S87" s="395" t="s">
        <v>701</v>
      </c>
      <c r="T87" s="1135"/>
      <c r="U87" s="1135"/>
      <c r="V87" s="1135"/>
      <c r="W87" s="1135"/>
      <c r="X87" s="1135"/>
      <c r="Y87" s="1135"/>
      <c r="Z87" s="1135"/>
      <c r="AA87" s="1135"/>
      <c r="AB87" s="1135"/>
      <c r="AC87" s="1135"/>
      <c r="AE87" s="1192"/>
      <c r="AF87" s="1152"/>
      <c r="AG87" s="394" t="s">
        <v>702</v>
      </c>
      <c r="AH87" s="395" t="s">
        <v>701</v>
      </c>
      <c r="AI87" s="1135"/>
      <c r="AJ87" s="1135"/>
      <c r="AK87" s="1135"/>
      <c r="AL87" s="1135"/>
      <c r="AM87" s="1135"/>
      <c r="AN87" s="1135"/>
      <c r="AO87" s="1135"/>
      <c r="AP87" s="1135"/>
      <c r="AQ87" s="1135"/>
      <c r="AR87" s="1135"/>
    </row>
    <row r="88" spans="2:44" outlineLevel="1">
      <c r="B88" s="382" t="s">
        <v>11</v>
      </c>
      <c r="C88" s="396">
        <v>20</v>
      </c>
      <c r="D88" s="396">
        <v>20</v>
      </c>
      <c r="E88" s="396">
        <v>20</v>
      </c>
      <c r="F88" s="396">
        <v>20</v>
      </c>
      <c r="G88" s="398">
        <v>15</v>
      </c>
      <c r="H88" s="398">
        <v>30</v>
      </c>
      <c r="I88" s="398">
        <v>15</v>
      </c>
      <c r="J88" s="398">
        <v>30</v>
      </c>
      <c r="K88" s="371"/>
      <c r="L88" s="372">
        <v>2</v>
      </c>
      <c r="M88" s="362"/>
      <c r="N88" s="362"/>
      <c r="P88" s="1192"/>
      <c r="Q88" s="1152"/>
      <c r="R88" s="394" t="s">
        <v>704</v>
      </c>
      <c r="S88" s="395"/>
      <c r="T88" s="1135"/>
      <c r="U88" s="1135"/>
      <c r="V88" s="1135"/>
      <c r="W88" s="1135"/>
      <c r="X88" s="1135"/>
      <c r="Y88" s="1135"/>
      <c r="Z88" s="1135"/>
      <c r="AA88" s="1135"/>
      <c r="AB88" s="1135"/>
      <c r="AC88" s="1135"/>
      <c r="AE88" s="1192"/>
      <c r="AF88" s="1152"/>
      <c r="AG88" s="394" t="s">
        <v>704</v>
      </c>
      <c r="AH88" s="395"/>
      <c r="AI88" s="1135"/>
      <c r="AJ88" s="1135"/>
      <c r="AK88" s="1135"/>
      <c r="AL88" s="1135"/>
      <c r="AM88" s="1135"/>
      <c r="AN88" s="1135"/>
      <c r="AO88" s="1135"/>
      <c r="AP88" s="1135"/>
      <c r="AQ88" s="1135"/>
      <c r="AR88" s="1135"/>
    </row>
    <row r="89" spans="2:44" ht="15" outlineLevel="1" thickBot="1">
      <c r="B89" s="499" t="s">
        <v>273</v>
      </c>
      <c r="C89" s="505">
        <v>0.6</v>
      </c>
      <c r="D89" s="505">
        <v>0.6</v>
      </c>
      <c r="E89" s="505">
        <v>0.6</v>
      </c>
      <c r="F89" s="505">
        <v>0.6</v>
      </c>
      <c r="G89" s="505">
        <v>0.4</v>
      </c>
      <c r="H89" s="505">
        <v>0.8</v>
      </c>
      <c r="I89" s="505">
        <v>0.4</v>
      </c>
      <c r="J89" s="505">
        <v>0.8</v>
      </c>
      <c r="K89" s="371" t="s">
        <v>20</v>
      </c>
      <c r="L89" s="399">
        <v>2</v>
      </c>
      <c r="M89" s="362"/>
      <c r="N89" s="362"/>
      <c r="P89" s="1192"/>
      <c r="Q89" s="1152"/>
      <c r="R89" s="394" t="s">
        <v>705</v>
      </c>
      <c r="S89" s="395" t="s">
        <v>701</v>
      </c>
      <c r="T89" s="1135"/>
      <c r="U89" s="1135"/>
      <c r="V89" s="1135"/>
      <c r="W89" s="1135"/>
      <c r="X89" s="1135"/>
      <c r="Y89" s="1135"/>
      <c r="Z89" s="1135"/>
      <c r="AA89" s="1135"/>
      <c r="AB89" s="1135"/>
      <c r="AC89" s="1135"/>
      <c r="AE89" s="1192"/>
      <c r="AF89" s="1152"/>
      <c r="AG89" s="394" t="s">
        <v>705</v>
      </c>
      <c r="AH89" s="395" t="s">
        <v>701</v>
      </c>
      <c r="AI89" s="1135"/>
      <c r="AJ89" s="1135"/>
      <c r="AK89" s="1135"/>
      <c r="AL89" s="1135"/>
      <c r="AM89" s="1135"/>
      <c r="AN89" s="1135"/>
      <c r="AO89" s="1135"/>
      <c r="AP89" s="1135"/>
      <c r="AQ89" s="1135"/>
      <c r="AR89" s="1135"/>
    </row>
    <row r="90" spans="2:44" ht="15" outlineLevel="1" thickBot="1">
      <c r="B90" s="400" t="s">
        <v>706</v>
      </c>
      <c r="C90" s="401"/>
      <c r="D90" s="402"/>
      <c r="E90" s="403"/>
      <c r="F90" s="404"/>
      <c r="G90" s="405"/>
      <c r="H90" s="405"/>
      <c r="I90" s="405"/>
      <c r="J90" s="405"/>
      <c r="K90" s="406"/>
      <c r="L90" s="407"/>
      <c r="M90" s="362"/>
      <c r="N90" s="362"/>
      <c r="P90" s="1192"/>
      <c r="Q90" s="1152"/>
      <c r="R90" s="408" t="s">
        <v>826</v>
      </c>
      <c r="S90" s="409" t="s">
        <v>701</v>
      </c>
      <c r="T90" s="1136"/>
      <c r="U90" s="1136"/>
      <c r="V90" s="1136"/>
      <c r="W90" s="1136"/>
      <c r="X90" s="1136"/>
      <c r="Y90" s="1136"/>
      <c r="Z90" s="1136"/>
      <c r="AA90" s="1136"/>
      <c r="AB90" s="1136"/>
      <c r="AC90" s="1136"/>
      <c r="AE90" s="1192"/>
      <c r="AF90" s="1152"/>
      <c r="AG90" s="408" t="s">
        <v>826</v>
      </c>
      <c r="AH90" s="409" t="s">
        <v>701</v>
      </c>
      <c r="AI90" s="1136"/>
      <c r="AJ90" s="1136"/>
      <c r="AK90" s="1136"/>
      <c r="AL90" s="1136"/>
      <c r="AM90" s="1136"/>
      <c r="AN90" s="1136"/>
      <c r="AO90" s="1136"/>
      <c r="AP90" s="1136"/>
      <c r="AQ90" s="1136"/>
      <c r="AR90" s="1136"/>
    </row>
    <row r="91" spans="2:44" ht="29.4" outlineLevel="1" thickBot="1">
      <c r="B91" s="499" t="s">
        <v>643</v>
      </c>
      <c r="C91" s="505">
        <v>25</v>
      </c>
      <c r="D91" s="505">
        <v>25</v>
      </c>
      <c r="E91" s="505">
        <v>25</v>
      </c>
      <c r="F91" s="505">
        <v>25</v>
      </c>
      <c r="G91" s="506"/>
      <c r="H91" s="506"/>
      <c r="I91" s="506"/>
      <c r="J91" s="506"/>
      <c r="K91" s="502" t="s">
        <v>76</v>
      </c>
      <c r="L91" s="503">
        <v>4</v>
      </c>
      <c r="M91" s="362"/>
      <c r="N91" s="362"/>
      <c r="P91" s="1193"/>
      <c r="Q91" s="410" t="s">
        <v>708</v>
      </c>
      <c r="R91" s="411" t="s">
        <v>709</v>
      </c>
      <c r="S91" s="412" t="s">
        <v>701</v>
      </c>
      <c r="T91" s="413">
        <v>1</v>
      </c>
      <c r="U91" s="414">
        <v>1</v>
      </c>
      <c r="V91" s="415">
        <v>1</v>
      </c>
      <c r="W91" s="414">
        <v>1</v>
      </c>
      <c r="X91" s="415">
        <v>1</v>
      </c>
      <c r="Y91" s="414">
        <v>1</v>
      </c>
      <c r="Z91" s="415">
        <v>1</v>
      </c>
      <c r="AA91" s="414">
        <v>1</v>
      </c>
      <c r="AB91" s="415">
        <v>1</v>
      </c>
      <c r="AC91" s="416">
        <v>1</v>
      </c>
      <c r="AE91" s="1193"/>
      <c r="AF91" s="410" t="s">
        <v>708</v>
      </c>
      <c r="AG91" s="411" t="s">
        <v>709</v>
      </c>
      <c r="AH91" s="412" t="s">
        <v>701</v>
      </c>
      <c r="AI91" s="413">
        <v>1</v>
      </c>
      <c r="AJ91" s="414">
        <v>1</v>
      </c>
      <c r="AK91" s="413">
        <v>1</v>
      </c>
      <c r="AL91" s="414">
        <v>1</v>
      </c>
      <c r="AM91" s="413">
        <v>1</v>
      </c>
      <c r="AN91" s="414">
        <v>1</v>
      </c>
      <c r="AO91" s="413">
        <v>1</v>
      </c>
      <c r="AP91" s="414">
        <v>1</v>
      </c>
      <c r="AQ91" s="413">
        <v>1</v>
      </c>
      <c r="AR91" s="416">
        <v>1</v>
      </c>
    </row>
    <row r="92" spans="2:44" outlineLevel="1">
      <c r="B92" s="499" t="s">
        <v>644</v>
      </c>
      <c r="C92" s="505">
        <v>0.25</v>
      </c>
      <c r="D92" s="505">
        <v>0.25</v>
      </c>
      <c r="E92" s="505">
        <v>0.25</v>
      </c>
      <c r="F92" s="505">
        <v>0.25</v>
      </c>
      <c r="G92" s="508"/>
      <c r="H92" s="508"/>
      <c r="I92" s="508"/>
      <c r="J92" s="508"/>
      <c r="K92" s="509"/>
      <c r="L92" s="503">
        <v>9</v>
      </c>
      <c r="M92" s="362"/>
      <c r="N92" s="362"/>
    </row>
    <row r="93" spans="2:44" outlineLevel="1">
      <c r="B93" s="499" t="s">
        <v>646</v>
      </c>
      <c r="C93" s="505">
        <v>1</v>
      </c>
      <c r="D93" s="505">
        <v>1</v>
      </c>
      <c r="E93" s="505">
        <v>1</v>
      </c>
      <c r="F93" s="505">
        <v>1</v>
      </c>
      <c r="G93" s="508"/>
      <c r="H93" s="508"/>
      <c r="I93" s="508"/>
      <c r="J93" s="508"/>
      <c r="K93" s="509"/>
      <c r="L93" s="503">
        <v>9</v>
      </c>
      <c r="M93" s="419"/>
      <c r="N93" s="362"/>
    </row>
    <row r="94" spans="2:44" outlineLevel="1">
      <c r="B94" s="420" t="s">
        <v>12</v>
      </c>
      <c r="C94" s="398"/>
      <c r="D94" s="398"/>
      <c r="E94" s="398"/>
      <c r="F94" s="398"/>
      <c r="G94" s="421"/>
      <c r="H94" s="421"/>
      <c r="I94" s="421"/>
      <c r="J94" s="421"/>
      <c r="K94" s="422"/>
      <c r="L94" s="423"/>
      <c r="M94" s="419"/>
      <c r="N94" s="419"/>
    </row>
    <row r="95" spans="2:44" ht="39.6" outlineLevel="1">
      <c r="B95" s="382" t="s">
        <v>806</v>
      </c>
      <c r="C95" s="396" t="s">
        <v>649</v>
      </c>
      <c r="D95" s="396"/>
      <c r="E95" s="396"/>
      <c r="F95" s="396"/>
      <c r="G95" s="421"/>
      <c r="H95" s="424"/>
      <c r="I95" s="424"/>
      <c r="J95" s="424"/>
      <c r="K95" s="425"/>
      <c r="L95" s="426"/>
      <c r="M95" s="427"/>
      <c r="N95" s="427"/>
    </row>
    <row r="96" spans="2:44" outlineLevel="1">
      <c r="B96" s="382" t="s">
        <v>712</v>
      </c>
      <c r="C96" s="396"/>
      <c r="D96" s="396"/>
      <c r="E96" s="396"/>
      <c r="F96" s="396"/>
      <c r="G96" s="424"/>
      <c r="H96" s="424"/>
      <c r="I96" s="424"/>
      <c r="J96" s="424"/>
      <c r="K96" s="422"/>
      <c r="L96" s="426"/>
      <c r="M96" s="427"/>
      <c r="N96" s="427"/>
    </row>
    <row r="97" spans="1:30" outlineLevel="1">
      <c r="B97" s="382" t="s">
        <v>807</v>
      </c>
      <c r="C97" s="396"/>
      <c r="D97" s="396"/>
      <c r="E97" s="396"/>
      <c r="F97" s="396"/>
      <c r="G97" s="424"/>
      <c r="H97" s="424"/>
      <c r="I97" s="424"/>
      <c r="J97" s="424"/>
      <c r="K97" s="422"/>
      <c r="L97" s="426"/>
      <c r="M97" s="427"/>
      <c r="N97" s="427"/>
    </row>
    <row r="98" spans="1:30" outlineLevel="1">
      <c r="B98" s="382" t="s">
        <v>366</v>
      </c>
      <c r="C98" s="396"/>
      <c r="D98" s="396"/>
      <c r="E98" s="396"/>
      <c r="F98" s="396"/>
      <c r="G98" s="424"/>
      <c r="H98" s="424"/>
      <c r="I98" s="424"/>
      <c r="J98" s="424"/>
      <c r="K98" s="422"/>
      <c r="L98" s="426"/>
      <c r="M98" s="427"/>
      <c r="N98" s="427"/>
    </row>
    <row r="99" spans="1:30" ht="15" outlineLevel="1" thickBot="1">
      <c r="B99" s="428" t="s">
        <v>367</v>
      </c>
      <c r="C99" s="429"/>
      <c r="D99" s="429"/>
      <c r="E99" s="429"/>
      <c r="F99" s="429"/>
      <c r="G99" s="424"/>
      <c r="H99" s="424"/>
      <c r="I99" s="424"/>
      <c r="J99" s="424"/>
      <c r="K99" s="422"/>
      <c r="L99" s="426"/>
      <c r="M99" s="427"/>
      <c r="N99" s="427"/>
    </row>
    <row r="100" spans="1:30" ht="15" outlineLevel="1" thickBot="1">
      <c r="B100" s="430" t="s">
        <v>654</v>
      </c>
      <c r="C100" s="431"/>
      <c r="D100" s="402"/>
      <c r="E100" s="402"/>
      <c r="F100" s="432"/>
      <c r="G100" s="433"/>
      <c r="H100" s="405"/>
      <c r="I100" s="405"/>
      <c r="J100" s="405"/>
      <c r="K100" s="406"/>
      <c r="L100" s="407"/>
      <c r="M100" s="427"/>
      <c r="N100" s="427"/>
    </row>
    <row r="101" spans="1:30" ht="26.4" outlineLevel="1">
      <c r="A101" s="434"/>
      <c r="B101" s="435" t="s">
        <v>873</v>
      </c>
      <c r="C101" s="550">
        <f>0.8712*(1+0.1+0.1)</f>
        <v>1.0454400000000001</v>
      </c>
      <c r="D101" s="646">
        <f>0.7788*(1+0.1+0.1)</f>
        <v>0.93456000000000017</v>
      </c>
      <c r="E101" s="646">
        <f>0.73*(1+0.1+0.1)</f>
        <v>0.87600000000000011</v>
      </c>
      <c r="F101" s="512">
        <f>0.7*(1+0.1+0.1)</f>
        <v>0.84000000000000008</v>
      </c>
      <c r="G101" s="424"/>
      <c r="H101" s="424"/>
      <c r="I101" s="424"/>
      <c r="J101" s="424"/>
      <c r="K101" s="425" t="s">
        <v>25</v>
      </c>
      <c r="L101" s="439" t="s">
        <v>864</v>
      </c>
      <c r="M101" s="419"/>
      <c r="N101" s="419"/>
    </row>
    <row r="102" spans="1:30" outlineLevel="1">
      <c r="B102" s="440" t="s">
        <v>802</v>
      </c>
      <c r="C102" s="441">
        <v>40</v>
      </c>
      <c r="D102" s="441">
        <v>40</v>
      </c>
      <c r="E102" s="441">
        <v>40</v>
      </c>
      <c r="F102" s="441">
        <v>40</v>
      </c>
      <c r="G102" s="424"/>
      <c r="H102" s="424"/>
      <c r="I102" s="424"/>
      <c r="J102" s="424"/>
      <c r="K102" s="443"/>
      <c r="L102" s="372">
        <v>4</v>
      </c>
      <c r="M102" s="71"/>
      <c r="N102" s="419"/>
    </row>
    <row r="103" spans="1:30" outlineLevel="1">
      <c r="B103" s="440" t="s">
        <v>803</v>
      </c>
      <c r="C103" s="441">
        <v>60</v>
      </c>
      <c r="D103" s="441">
        <v>60</v>
      </c>
      <c r="E103" s="441">
        <v>60</v>
      </c>
      <c r="F103" s="441">
        <v>60</v>
      </c>
      <c r="G103" s="424"/>
      <c r="H103" s="424"/>
      <c r="I103" s="424"/>
      <c r="J103" s="424"/>
      <c r="K103" s="443"/>
      <c r="L103" s="372">
        <v>4</v>
      </c>
      <c r="M103" s="419"/>
      <c r="N103" s="419"/>
    </row>
    <row r="104" spans="1:30" outlineLevel="1">
      <c r="B104" s="382" t="s">
        <v>804</v>
      </c>
      <c r="C104" s="444">
        <v>970</v>
      </c>
      <c r="D104" s="445">
        <v>870</v>
      </c>
      <c r="E104" s="445">
        <v>800</v>
      </c>
      <c r="F104" s="446">
        <v>720</v>
      </c>
      <c r="G104" s="424"/>
      <c r="H104" s="424"/>
      <c r="I104" s="424"/>
      <c r="J104" s="424"/>
      <c r="K104" s="447"/>
      <c r="L104" s="372">
        <v>5</v>
      </c>
      <c r="M104" s="419"/>
      <c r="N104" s="419"/>
    </row>
    <row r="105" spans="1:30" outlineLevel="1">
      <c r="B105" s="382" t="s">
        <v>659</v>
      </c>
      <c r="C105" s="448">
        <f>SUM(C106:C107)</f>
        <v>3.26</v>
      </c>
      <c r="D105" s="448">
        <f>SUM(D106:D107)</f>
        <v>3.2</v>
      </c>
      <c r="E105" s="448">
        <f>SUM(E106:E107)</f>
        <v>3.2199999999999998</v>
      </c>
      <c r="F105" s="448">
        <f>SUM(F106:F107)</f>
        <v>3.12</v>
      </c>
      <c r="G105" s="424"/>
      <c r="H105" s="424"/>
      <c r="I105" s="424"/>
      <c r="J105" s="424"/>
      <c r="K105" s="447"/>
      <c r="L105" s="372"/>
      <c r="M105" s="449"/>
      <c r="N105" s="360"/>
      <c r="P105" s="1139">
        <f>C105</f>
        <v>3.26</v>
      </c>
      <c r="Q105" s="1140"/>
      <c r="R105" s="1140"/>
      <c r="S105" s="1140"/>
      <c r="T105" s="1140"/>
      <c r="U105" s="1141"/>
    </row>
    <row r="106" spans="1:30" ht="15" outlineLevel="1" thickBot="1">
      <c r="B106" s="499" t="s">
        <v>721</v>
      </c>
      <c r="C106" s="513">
        <f>C85/100*73</f>
        <v>1.46</v>
      </c>
      <c r="D106" s="513">
        <f>D85/100*75</f>
        <v>1.5</v>
      </c>
      <c r="E106" s="513">
        <f>E85/100*76</f>
        <v>1.52</v>
      </c>
      <c r="F106" s="513">
        <f>F85/100*76</f>
        <v>1.52</v>
      </c>
      <c r="G106" s="514"/>
      <c r="H106" s="514"/>
      <c r="I106" s="514"/>
      <c r="J106" s="514"/>
      <c r="K106" s="502" t="s">
        <v>33</v>
      </c>
      <c r="L106" s="503">
        <v>3</v>
      </c>
      <c r="M106" s="449"/>
      <c r="N106" s="360"/>
      <c r="P106" s="1131">
        <f>C106</f>
        <v>1.46</v>
      </c>
      <c r="Q106" s="1132"/>
      <c r="R106" s="1132"/>
      <c r="S106" s="1132"/>
      <c r="T106" s="1132"/>
      <c r="U106" s="1133"/>
    </row>
    <row r="107" spans="1:30" outlineLevel="1">
      <c r="B107" s="499" t="s">
        <v>722</v>
      </c>
      <c r="C107" s="515">
        <v>1.8</v>
      </c>
      <c r="D107" s="515">
        <v>1.7</v>
      </c>
      <c r="E107" s="515">
        <v>1.7</v>
      </c>
      <c r="F107" s="515">
        <v>1.6</v>
      </c>
      <c r="G107" s="514"/>
      <c r="H107" s="514"/>
      <c r="I107" s="514"/>
      <c r="J107" s="514"/>
      <c r="K107" s="516"/>
      <c r="L107" s="503">
        <v>2</v>
      </c>
      <c r="M107" s="362"/>
      <c r="N107" s="362"/>
      <c r="P107" s="53" t="s">
        <v>357</v>
      </c>
    </row>
    <row r="108" spans="1:30" ht="27.6" outlineLevel="1">
      <c r="B108" s="440"/>
      <c r="C108" s="517"/>
      <c r="D108" s="517"/>
      <c r="E108" s="517"/>
      <c r="F108" s="517"/>
      <c r="G108" s="424"/>
      <c r="H108" s="424"/>
      <c r="I108" s="424"/>
      <c r="J108" s="424"/>
      <c r="K108" s="443"/>
      <c r="L108" s="423"/>
      <c r="M108" s="366"/>
      <c r="N108" s="366"/>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4.6" outlineLevel="1" thickBot="1">
      <c r="B109" s="518"/>
      <c r="C109" s="441"/>
      <c r="D109" s="519"/>
      <c r="E109" s="519"/>
      <c r="F109" s="520"/>
      <c r="G109" s="424"/>
      <c r="H109" s="424"/>
      <c r="I109" s="424"/>
      <c r="J109" s="424"/>
      <c r="K109" s="447"/>
      <c r="L109" s="423"/>
      <c r="M109" s="362"/>
      <c r="N109" s="362"/>
      <c r="P109" s="50"/>
      <c r="Q109" s="50"/>
      <c r="R109" s="51"/>
      <c r="S109" s="51"/>
      <c r="T109" s="51"/>
      <c r="U109" s="51" t="s">
        <v>723</v>
      </c>
      <c r="V109" s="50" t="s">
        <v>724</v>
      </c>
      <c r="W109" s="50"/>
      <c r="X109" s="50"/>
      <c r="Y109" s="50"/>
      <c r="Z109" s="50"/>
      <c r="AA109" s="50"/>
      <c r="AB109" s="50"/>
      <c r="AC109" s="50"/>
      <c r="AD109" s="50"/>
    </row>
    <row r="110" spans="1:30" ht="43.8" outlineLevel="1" thickBot="1">
      <c r="B110" s="400" t="s">
        <v>662</v>
      </c>
      <c r="C110" s="401"/>
      <c r="D110" s="402"/>
      <c r="E110" s="403"/>
      <c r="F110" s="404"/>
      <c r="G110" s="405"/>
      <c r="H110" s="405"/>
      <c r="I110" s="405"/>
      <c r="J110" s="405"/>
      <c r="K110" s="458"/>
      <c r="L110" s="459"/>
      <c r="M110" s="362"/>
      <c r="N110" s="362"/>
      <c r="O110" s="460" t="s">
        <v>695</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521" t="s">
        <v>725</v>
      </c>
      <c r="C111" s="669">
        <f>C101*0.2</f>
        <v>0.20908800000000005</v>
      </c>
      <c r="D111" s="669">
        <f>D101*0.2</f>
        <v>0.18691200000000005</v>
      </c>
      <c r="E111" s="669">
        <f>E101*0.2</f>
        <v>0.17520000000000002</v>
      </c>
      <c r="F111" s="669">
        <f>F101*0.2</f>
        <v>0.16800000000000004</v>
      </c>
      <c r="G111" s="670"/>
      <c r="H111" s="670"/>
      <c r="I111" s="670"/>
      <c r="J111" s="670"/>
      <c r="K111" s="670" t="s">
        <v>51</v>
      </c>
      <c r="L111" s="524"/>
      <c r="M111" s="362"/>
      <c r="N111" s="362"/>
      <c r="O111" s="464">
        <f>C84</f>
        <v>295</v>
      </c>
      <c r="P111" s="465">
        <f>C80</f>
        <v>2020</v>
      </c>
      <c r="Q111" s="58">
        <f>P111</f>
        <v>2020</v>
      </c>
      <c r="R111" s="465">
        <f>O111/100</f>
        <v>2.95</v>
      </c>
      <c r="S111" s="58"/>
      <c r="T111" s="465">
        <f>C88</f>
        <v>20</v>
      </c>
      <c r="U111" s="466">
        <f>C118</f>
        <v>7788.5280000000012</v>
      </c>
      <c r="V111" s="466">
        <f>C120</f>
        <v>7.2264999999999997</v>
      </c>
      <c r="W111" s="466">
        <f>C121</f>
        <v>6.7463888888888883</v>
      </c>
      <c r="X111" s="58"/>
      <c r="Y111" s="58"/>
      <c r="Z111" s="465" t="str">
        <f>C95</f>
        <v>Cf. the utilized electricity</v>
      </c>
      <c r="AA111" s="467">
        <f>C97</f>
        <v>0</v>
      </c>
      <c r="AB111" s="467">
        <f>C98</f>
        <v>0</v>
      </c>
      <c r="AC111" s="467">
        <f>C99</f>
        <v>0</v>
      </c>
      <c r="AD111" s="467">
        <f>C96</f>
        <v>0</v>
      </c>
    </row>
    <row r="112" spans="1:30" outlineLevel="1">
      <c r="B112" s="499" t="s">
        <v>726</v>
      </c>
      <c r="C112" s="525" t="s">
        <v>36</v>
      </c>
      <c r="D112" s="526" t="s">
        <v>36</v>
      </c>
      <c r="E112" s="526" t="s">
        <v>36</v>
      </c>
      <c r="F112" s="527" t="s">
        <v>36</v>
      </c>
      <c r="G112" s="527"/>
      <c r="H112" s="527"/>
      <c r="I112" s="527"/>
      <c r="J112" s="527"/>
      <c r="K112" s="528"/>
      <c r="L112" s="524"/>
      <c r="M112" s="362"/>
      <c r="N112" s="362"/>
      <c r="O112" s="464">
        <f>D84</f>
        <v>305</v>
      </c>
      <c r="P112" s="465">
        <f>D80</f>
        <v>2030</v>
      </c>
      <c r="Q112" s="58"/>
      <c r="R112" s="465">
        <f>O112/100</f>
        <v>3.05</v>
      </c>
      <c r="S112" s="58"/>
      <c r="T112" s="465">
        <f>D88</f>
        <v>20</v>
      </c>
      <c r="U112" s="466">
        <f>D118</f>
        <v>6962.4720000000016</v>
      </c>
      <c r="V112" s="466">
        <f>D120</f>
        <v>6.4814999999999996</v>
      </c>
      <c r="W112" s="466">
        <f>D121</f>
        <v>6.6222222222222227</v>
      </c>
      <c r="X112" s="58"/>
      <c r="Y112" s="58"/>
      <c r="Z112" s="465">
        <f>D95</f>
        <v>0</v>
      </c>
      <c r="AA112" s="467">
        <f>D97</f>
        <v>0</v>
      </c>
      <c r="AB112" s="467">
        <f>D98</f>
        <v>0</v>
      </c>
      <c r="AC112" s="467">
        <f>D99</f>
        <v>0</v>
      </c>
      <c r="AD112" s="467">
        <f>D96</f>
        <v>0</v>
      </c>
    </row>
    <row r="113" spans="2:30" outlineLevel="1">
      <c r="B113" s="499" t="s">
        <v>727</v>
      </c>
      <c r="C113" s="525" t="s">
        <v>36</v>
      </c>
      <c r="D113" s="526" t="s">
        <v>36</v>
      </c>
      <c r="E113" s="526" t="s">
        <v>36</v>
      </c>
      <c r="F113" s="527" t="s">
        <v>36</v>
      </c>
      <c r="G113" s="514"/>
      <c r="H113" s="514"/>
      <c r="I113" s="514"/>
      <c r="J113" s="514"/>
      <c r="K113" s="514"/>
      <c r="L113" s="503"/>
      <c r="M113" s="362"/>
      <c r="N113" s="362"/>
      <c r="O113" s="464">
        <f>E84</f>
        <v>315</v>
      </c>
      <c r="P113" s="465">
        <f>E80</f>
        <v>2040</v>
      </c>
      <c r="Q113" s="58"/>
      <c r="R113" s="465">
        <f>O113/100</f>
        <v>3.15</v>
      </c>
      <c r="S113" s="58"/>
      <c r="T113" s="465">
        <f>E88</f>
        <v>20</v>
      </c>
      <c r="U113" s="466">
        <f>E118</f>
        <v>6526.2000000000007</v>
      </c>
      <c r="V113" s="466">
        <f>E120</f>
        <v>5.96</v>
      </c>
      <c r="W113" s="466">
        <f>E121</f>
        <v>6.66361111111111</v>
      </c>
      <c r="X113" s="58"/>
      <c r="Y113" s="58"/>
      <c r="Z113" s="465">
        <f>E95</f>
        <v>0</v>
      </c>
      <c r="AA113" s="467">
        <f>E97</f>
        <v>0</v>
      </c>
      <c r="AB113" s="467">
        <f>E98</f>
        <v>0</v>
      </c>
      <c r="AC113" s="467">
        <f>E99</f>
        <v>0</v>
      </c>
      <c r="AD113" s="467">
        <f>E96</f>
        <v>0</v>
      </c>
    </row>
    <row r="114" spans="2:30" outlineLevel="1">
      <c r="B114" s="499" t="s">
        <v>728</v>
      </c>
      <c r="C114" s="529" t="s">
        <v>649</v>
      </c>
      <c r="D114" s="529"/>
      <c r="E114" s="529"/>
      <c r="F114" s="529"/>
      <c r="G114" s="530"/>
      <c r="H114" s="530"/>
      <c r="I114" s="530"/>
      <c r="J114" s="530"/>
      <c r="K114" s="530"/>
      <c r="L114" s="503"/>
      <c r="M114" s="362"/>
      <c r="N114" s="362"/>
      <c r="O114" s="464">
        <f>F84</f>
        <v>320</v>
      </c>
      <c r="P114" s="465">
        <f>F80</f>
        <v>2050</v>
      </c>
      <c r="Q114" s="58"/>
      <c r="R114" s="465">
        <f>O114/100</f>
        <v>3.2</v>
      </c>
      <c r="S114" s="58"/>
      <c r="T114" s="465">
        <f>F88</f>
        <v>20</v>
      </c>
      <c r="U114" s="466">
        <f>F118</f>
        <v>6258.0000000000009</v>
      </c>
      <c r="V114" s="466">
        <f>F120</f>
        <v>5.3639999999999999</v>
      </c>
      <c r="W114" s="466">
        <f>F121</f>
        <v>6.4566666666666661</v>
      </c>
      <c r="X114" s="58"/>
      <c r="Y114" s="58"/>
      <c r="Z114" s="465">
        <f>F95</f>
        <v>0</v>
      </c>
      <c r="AA114" s="467">
        <f>F97</f>
        <v>0</v>
      </c>
      <c r="AB114" s="467">
        <f>F98</f>
        <v>0</v>
      </c>
      <c r="AC114" s="467">
        <f>F99</f>
        <v>0</v>
      </c>
      <c r="AD114" s="467">
        <f>F96</f>
        <v>0</v>
      </c>
    </row>
    <row r="115" spans="2:30" outlineLevel="1">
      <c r="B115" s="531" t="s">
        <v>729</v>
      </c>
      <c r="C115" s="525">
        <v>80</v>
      </c>
      <c r="D115" s="526">
        <v>80</v>
      </c>
      <c r="E115" s="526">
        <v>80</v>
      </c>
      <c r="F115" s="527">
        <v>80</v>
      </c>
      <c r="G115" s="530"/>
      <c r="H115" s="530"/>
      <c r="I115" s="530"/>
      <c r="J115" s="530"/>
      <c r="K115" s="530" t="s">
        <v>52</v>
      </c>
      <c r="L115" s="532"/>
      <c r="M115" s="366"/>
      <c r="N115" s="366"/>
    </row>
    <row r="116" spans="2:30" outlineLevel="1">
      <c r="B116" s="531" t="s">
        <v>730</v>
      </c>
      <c r="C116" s="525">
        <v>50</v>
      </c>
      <c r="D116" s="526">
        <v>50</v>
      </c>
      <c r="E116" s="526">
        <v>50</v>
      </c>
      <c r="F116" s="527">
        <v>50</v>
      </c>
      <c r="G116" s="530"/>
      <c r="H116" s="530"/>
      <c r="I116" s="530"/>
      <c r="J116" s="530"/>
      <c r="K116" s="530" t="s">
        <v>52</v>
      </c>
      <c r="L116" s="532"/>
      <c r="M116" s="362"/>
      <c r="N116" s="362"/>
    </row>
    <row r="117" spans="2:30" ht="15" outlineLevel="1" thickBot="1">
      <c r="B117" s="533" t="s">
        <v>731</v>
      </c>
      <c r="C117" s="534" t="s">
        <v>36</v>
      </c>
      <c r="D117" s="535" t="s">
        <v>36</v>
      </c>
      <c r="E117" s="535" t="s">
        <v>36</v>
      </c>
      <c r="F117" s="536" t="s">
        <v>36</v>
      </c>
      <c r="G117" s="537"/>
      <c r="H117" s="537"/>
      <c r="I117" s="537"/>
      <c r="J117" s="537"/>
      <c r="K117" s="537"/>
      <c r="L117" s="538"/>
      <c r="M117" s="362"/>
      <c r="N117" s="362"/>
    </row>
    <row r="118" spans="2:30" ht="57.6" outlineLevel="1">
      <c r="B118" s="460" t="s">
        <v>874</v>
      </c>
      <c r="C118" s="482">
        <f>C101*$F$4*1000</f>
        <v>7788.5280000000012</v>
      </c>
      <c r="D118" s="482">
        <f t="shared" ref="D118:F118" si="5">D101*$F$4*1000</f>
        <v>6962.4720000000016</v>
      </c>
      <c r="E118" s="482">
        <f t="shared" si="5"/>
        <v>6526.2000000000007</v>
      </c>
      <c r="F118" s="482">
        <f t="shared" si="5"/>
        <v>6258.0000000000009</v>
      </c>
      <c r="G118" s="482"/>
      <c r="H118" s="483"/>
      <c r="I118" s="419" t="s">
        <v>332</v>
      </c>
      <c r="J118" s="419"/>
      <c r="K118" s="483"/>
      <c r="L118" s="483"/>
      <c r="N118" s="419"/>
    </row>
    <row r="119" spans="2:30" outlineLevel="1">
      <c r="B119" s="484" t="s">
        <v>875</v>
      </c>
      <c r="C119" s="485">
        <f>C118*$I119</f>
        <v>3894264.0000000005</v>
      </c>
      <c r="D119" s="485">
        <f>D118*$I119</f>
        <v>3481236.0000000009</v>
      </c>
      <c r="E119" s="485">
        <f>E118*$I119</f>
        <v>3263100.0000000005</v>
      </c>
      <c r="F119" s="485">
        <f>F118*$I119</f>
        <v>3129000.0000000005</v>
      </c>
      <c r="G119" s="485"/>
      <c r="H119" s="483"/>
      <c r="I119" s="71">
        <v>500</v>
      </c>
      <c r="J119" s="419" t="s">
        <v>330</v>
      </c>
      <c r="K119" s="483"/>
      <c r="L119" s="483"/>
      <c r="N119" s="419"/>
    </row>
    <row r="120" spans="2:30" ht="43.2" outlineLevel="1">
      <c r="B120" s="460" t="s">
        <v>876</v>
      </c>
      <c r="C120" s="358">
        <f>C104*$F$4/1000</f>
        <v>7.2264999999999997</v>
      </c>
      <c r="D120" s="358">
        <f t="shared" ref="D120:F120" si="6">D104*$F$4/1000</f>
        <v>6.4814999999999996</v>
      </c>
      <c r="E120" s="358">
        <f t="shared" si="6"/>
        <v>5.96</v>
      </c>
      <c r="F120" s="358">
        <f t="shared" si="6"/>
        <v>5.3639999999999999</v>
      </c>
      <c r="G120" s="358"/>
      <c r="I120" s="419" t="s">
        <v>333</v>
      </c>
      <c r="J120" s="419"/>
      <c r="N120" s="419"/>
    </row>
    <row r="121" spans="2:30" ht="43.2" outlineLevel="1">
      <c r="B121" s="460" t="s">
        <v>877</v>
      </c>
      <c r="C121" s="486">
        <f>C105*$F$4/3.6</f>
        <v>6.7463888888888883</v>
      </c>
      <c r="D121" s="486">
        <f t="shared" ref="D121:F121" si="7">D105*$F$4/3.6</f>
        <v>6.6222222222222227</v>
      </c>
      <c r="E121" s="486">
        <f t="shared" si="7"/>
        <v>6.66361111111111</v>
      </c>
      <c r="F121" s="486">
        <f t="shared" si="7"/>
        <v>6.4566666666666661</v>
      </c>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94" t="s">
        <v>736</v>
      </c>
      <c r="H127" s="489"/>
    </row>
    <row r="128" spans="2:30" outlineLevel="1">
      <c r="B128" s="357">
        <v>1</v>
      </c>
      <c r="C128" s="489" t="s">
        <v>841</v>
      </c>
      <c r="D128" s="357"/>
      <c r="E128" s="489"/>
      <c r="H128" s="489"/>
    </row>
    <row r="129" spans="2:8" outlineLevel="1">
      <c r="B129" s="357">
        <v>2</v>
      </c>
      <c r="C129" s="635" t="s">
        <v>865</v>
      </c>
      <c r="D129" s="357"/>
      <c r="E129" s="489"/>
      <c r="F129" s="489"/>
      <c r="G129" s="489"/>
      <c r="H129" s="489"/>
    </row>
    <row r="130" spans="2:8" outlineLevel="1">
      <c r="B130" s="665">
        <v>3</v>
      </c>
      <c r="C130" s="666" t="s">
        <v>866</v>
      </c>
      <c r="D130" s="357"/>
      <c r="E130" s="489"/>
      <c r="F130" s="489"/>
      <c r="G130" s="489"/>
      <c r="H130" s="489"/>
    </row>
    <row r="131" spans="2:8" outlineLevel="1">
      <c r="B131" s="489">
        <v>4</v>
      </c>
      <c r="C131" s="666" t="s">
        <v>867</v>
      </c>
      <c r="D131" s="357"/>
      <c r="E131" s="489"/>
      <c r="F131" s="489"/>
      <c r="G131" s="489"/>
      <c r="H131" s="489"/>
    </row>
    <row r="132" spans="2:8" outlineLevel="1">
      <c r="B132" s="489">
        <v>5</v>
      </c>
      <c r="C132" s="492" t="s">
        <v>868</v>
      </c>
      <c r="D132" s="357"/>
      <c r="E132" s="489"/>
      <c r="F132" s="489"/>
      <c r="G132" s="489"/>
      <c r="H132" s="489"/>
    </row>
    <row r="133" spans="2:8" outlineLevel="1">
      <c r="B133" s="94" t="s">
        <v>746</v>
      </c>
      <c r="D133" s="357"/>
      <c r="E133" s="489"/>
      <c r="F133" s="489"/>
      <c r="G133" s="489"/>
      <c r="H133" s="489"/>
    </row>
    <row r="134" spans="2:8" outlineLevel="1">
      <c r="B134" s="636" t="s">
        <v>6</v>
      </c>
      <c r="C134" s="357" t="s">
        <v>816</v>
      </c>
      <c r="D134" s="357"/>
      <c r="E134" s="489"/>
      <c r="F134" s="489"/>
      <c r="G134" s="489"/>
      <c r="H134" s="489"/>
    </row>
    <row r="135" spans="2:8" outlineLevel="1">
      <c r="B135" s="636" t="s">
        <v>59</v>
      </c>
      <c r="C135" s="357" t="s">
        <v>869</v>
      </c>
      <c r="D135" s="357"/>
      <c r="E135" s="489"/>
      <c r="F135" s="489"/>
      <c r="G135" s="489"/>
      <c r="H135" s="489"/>
    </row>
    <row r="136" spans="2:8" outlineLevel="1">
      <c r="B136" s="636" t="s">
        <v>16</v>
      </c>
      <c r="C136" s="357" t="s">
        <v>819</v>
      </c>
      <c r="D136" s="357"/>
      <c r="E136" s="489"/>
      <c r="F136" s="489"/>
      <c r="G136" s="489"/>
      <c r="H136" s="489"/>
    </row>
    <row r="137" spans="2:8" outlineLevel="1">
      <c r="B137" s="636" t="s">
        <v>20</v>
      </c>
      <c r="C137" s="357" t="s">
        <v>870</v>
      </c>
      <c r="F137" s="489"/>
      <c r="G137" s="489"/>
      <c r="H137" s="489"/>
    </row>
    <row r="138" spans="2:8" outlineLevel="1">
      <c r="B138" s="665" t="s">
        <v>76</v>
      </c>
      <c r="C138" s="357" t="s">
        <v>871</v>
      </c>
      <c r="D138" s="357"/>
      <c r="E138" s="489"/>
      <c r="F138" s="489"/>
      <c r="G138" s="489"/>
      <c r="H138" s="489"/>
    </row>
    <row r="139" spans="2:8" outlineLevel="1">
      <c r="B139" s="665" t="s">
        <v>25</v>
      </c>
      <c r="C139" s="357" t="s">
        <v>880</v>
      </c>
      <c r="D139" s="357"/>
      <c r="E139" s="489"/>
      <c r="F139" s="489"/>
      <c r="G139" s="489"/>
      <c r="H139" s="489"/>
    </row>
    <row r="140" spans="2:8" outlineLevel="1">
      <c r="B140" s="636" t="s">
        <v>33</v>
      </c>
      <c r="C140" s="357" t="s">
        <v>751</v>
      </c>
      <c r="E140" s="489"/>
      <c r="F140" s="489"/>
      <c r="G140" s="489"/>
      <c r="H140" s="489"/>
    </row>
    <row r="141" spans="2:8" outlineLevel="1">
      <c r="B141" s="655" t="s">
        <v>51</v>
      </c>
      <c r="C141" s="489" t="s">
        <v>822</v>
      </c>
      <c r="E141" s="489"/>
      <c r="F141" s="489"/>
      <c r="G141" s="489"/>
      <c r="H141" s="489"/>
    </row>
    <row r="142" spans="2:8" outlineLevel="1">
      <c r="B142" s="636" t="s">
        <v>52</v>
      </c>
      <c r="C142" s="489" t="s">
        <v>823</v>
      </c>
      <c r="E142" s="489"/>
      <c r="F142" s="489"/>
      <c r="G142" s="489"/>
      <c r="H142" s="489"/>
    </row>
    <row r="143" spans="2:8" outlineLevel="1">
      <c r="E143" s="489"/>
      <c r="F143" s="489"/>
      <c r="G143" s="489"/>
      <c r="H143" s="489"/>
    </row>
    <row r="144" spans="2:8" outlineLevel="1"/>
    <row r="145" spans="1:44" outlineLevel="1">
      <c r="M145" s="214"/>
    </row>
    <row r="146" spans="1:44" outlineLevel="1"/>
    <row r="149" spans="1:44">
      <c r="A149" s="359"/>
      <c r="B149" s="1204"/>
      <c r="C149" s="1140"/>
      <c r="D149" s="1140"/>
      <c r="E149" s="1140"/>
      <c r="F149" s="1140"/>
      <c r="G149" s="1140"/>
      <c r="H149" s="1140"/>
      <c r="I149" s="1140"/>
      <c r="J149" s="1140"/>
      <c r="K149" s="1140"/>
      <c r="L149" s="1140"/>
      <c r="M149" s="1140"/>
      <c r="N149" s="360"/>
      <c r="P149" s="1140"/>
      <c r="Q149" s="1140"/>
      <c r="R149" s="1140"/>
      <c r="S149" s="1140"/>
      <c r="T149" s="1140"/>
      <c r="U149" s="1140"/>
    </row>
    <row r="150" spans="1:44" ht="15" outlineLevel="1" thickBot="1">
      <c r="B150" s="1204"/>
      <c r="C150" s="1140"/>
      <c r="D150" s="1140"/>
      <c r="E150" s="1140"/>
      <c r="F150" s="1140"/>
      <c r="G150" s="1140"/>
      <c r="H150" s="1140"/>
      <c r="I150" s="1140"/>
      <c r="J150" s="1140"/>
      <c r="K150" s="1140"/>
      <c r="L150" s="1140"/>
      <c r="M150" s="1140"/>
      <c r="N150" s="360"/>
      <c r="P150" s="1140"/>
      <c r="Q150" s="1140"/>
      <c r="R150" s="1140"/>
      <c r="S150" s="1140"/>
      <c r="T150" s="1140"/>
      <c r="U150" s="1140"/>
    </row>
    <row r="151" spans="1:44" ht="20.55" customHeight="1" outlineLevel="1" thickBot="1">
      <c r="B151" s="361"/>
      <c r="C151" s="1183"/>
      <c r="D151" s="1202"/>
      <c r="E151" s="1202"/>
      <c r="F151" s="1202"/>
      <c r="G151" s="1202"/>
      <c r="H151" s="1202"/>
      <c r="I151" s="1202"/>
      <c r="J151" s="1202"/>
      <c r="K151" s="1202"/>
      <c r="L151" s="1203"/>
      <c r="M151" s="362"/>
      <c r="N151" s="362"/>
      <c r="P151" s="363"/>
      <c r="Q151" s="364"/>
      <c r="R151" s="365"/>
      <c r="S151" s="1173"/>
      <c r="T151" s="1157"/>
      <c r="U151" s="1158"/>
      <c r="V151" s="1157"/>
      <c r="W151" s="1158"/>
      <c r="X151" s="1157"/>
      <c r="Y151" s="1158"/>
      <c r="Z151" s="1157"/>
      <c r="AA151" s="1158"/>
      <c r="AB151" s="1157"/>
      <c r="AC151" s="1158"/>
      <c r="AE151" s="363"/>
      <c r="AF151" s="364"/>
      <c r="AG151" s="365"/>
      <c r="AH151" s="1173"/>
      <c r="AI151" s="1157"/>
      <c r="AJ151" s="1158"/>
      <c r="AK151" s="1157"/>
      <c r="AL151" s="1158"/>
      <c r="AM151" s="1157"/>
      <c r="AN151" s="1158"/>
      <c r="AO151" s="1157"/>
      <c r="AP151" s="1158"/>
      <c r="AQ151" s="1157"/>
      <c r="AR151" s="1158"/>
    </row>
    <row r="152" spans="1:44" ht="15" customHeight="1" outlineLevel="1" thickBot="1">
      <c r="B152" s="1161"/>
      <c r="C152" s="1163"/>
      <c r="D152" s="1163"/>
      <c r="E152" s="1163"/>
      <c r="F152" s="1163"/>
      <c r="G152" s="1218"/>
      <c r="H152" s="1219"/>
      <c r="I152" s="1218"/>
      <c r="J152" s="1219"/>
      <c r="K152" s="1186"/>
      <c r="L152" s="1186"/>
      <c r="M152" s="366"/>
      <c r="N152" s="366"/>
      <c r="P152" s="1177"/>
      <c r="Q152" s="367"/>
      <c r="R152" s="367"/>
      <c r="S152" s="1174"/>
      <c r="T152" s="1159"/>
      <c r="U152" s="1160"/>
      <c r="V152" s="1159"/>
      <c r="W152" s="1160"/>
      <c r="X152" s="1159"/>
      <c r="Y152" s="1160"/>
      <c r="Z152" s="1159"/>
      <c r="AA152" s="1160"/>
      <c r="AB152" s="1159"/>
      <c r="AC152" s="1160"/>
      <c r="AE152" s="1177"/>
      <c r="AF152" s="367"/>
      <c r="AG152" s="367"/>
      <c r="AH152" s="1174"/>
      <c r="AI152" s="1159"/>
      <c r="AJ152" s="1160"/>
      <c r="AK152" s="1159"/>
      <c r="AL152" s="1160"/>
      <c r="AM152" s="1159"/>
      <c r="AN152" s="1160"/>
      <c r="AO152" s="1159"/>
      <c r="AP152" s="1160"/>
      <c r="AQ152" s="1159"/>
      <c r="AR152" s="1160"/>
    </row>
    <row r="153" spans="1:44" ht="15" customHeight="1" outlineLevel="1" thickBot="1">
      <c r="B153" s="1162"/>
      <c r="C153" s="1164"/>
      <c r="D153" s="1164"/>
      <c r="E153" s="1164"/>
      <c r="F153" s="1164"/>
      <c r="G153" s="539"/>
      <c r="H153" s="539"/>
      <c r="I153" s="539"/>
      <c r="J153" s="539"/>
      <c r="K153" s="1187"/>
      <c r="L153" s="1187"/>
      <c r="M153" s="369"/>
      <c r="N153" s="369"/>
      <c r="P153" s="1178"/>
      <c r="Q153" s="1180"/>
      <c r="R153" s="1181"/>
      <c r="S153" s="1175"/>
      <c r="T153" s="1159"/>
      <c r="U153" s="1160"/>
      <c r="V153" s="1159"/>
      <c r="W153" s="1160"/>
      <c r="X153" s="1159"/>
      <c r="Y153" s="1160"/>
      <c r="Z153" s="1159"/>
      <c r="AA153" s="1160"/>
      <c r="AB153" s="1159"/>
      <c r="AC153" s="1160"/>
      <c r="AE153" s="1178"/>
      <c r="AF153" s="1194"/>
      <c r="AG153" s="1181"/>
      <c r="AH153" s="1175"/>
      <c r="AI153" s="1159"/>
      <c r="AJ153" s="1160"/>
      <c r="AK153" s="1159"/>
      <c r="AL153" s="1160"/>
      <c r="AM153" s="1159"/>
      <c r="AN153" s="1160"/>
      <c r="AO153" s="1159"/>
      <c r="AP153" s="1160"/>
      <c r="AQ153" s="1159"/>
      <c r="AR153" s="1160"/>
    </row>
    <row r="154" spans="1:44" ht="15" outlineLevel="1" thickBot="1">
      <c r="B154" s="370"/>
      <c r="C154" s="371"/>
      <c r="D154" s="371"/>
      <c r="E154" s="371"/>
      <c r="F154" s="371"/>
      <c r="G154" s="371"/>
      <c r="H154" s="371"/>
      <c r="I154" s="371"/>
      <c r="J154" s="371"/>
      <c r="K154" s="371"/>
      <c r="L154" s="372"/>
      <c r="M154" s="369"/>
      <c r="N154" s="369"/>
      <c r="O154" s="74"/>
      <c r="P154" s="1179"/>
      <c r="Q154" s="1176"/>
      <c r="R154" s="1182"/>
      <c r="S154" s="1176"/>
      <c r="T154" s="373"/>
      <c r="U154" s="374"/>
      <c r="V154" s="373"/>
      <c r="W154" s="374"/>
      <c r="X154" s="373"/>
      <c r="Y154" s="374"/>
      <c r="Z154" s="373"/>
      <c r="AA154" s="374"/>
      <c r="AB154" s="373"/>
      <c r="AC154" s="374"/>
      <c r="AE154" s="1179"/>
      <c r="AF154" s="1195"/>
      <c r="AG154" s="1182"/>
      <c r="AH154" s="1176"/>
      <c r="AI154" s="373"/>
      <c r="AJ154" s="374"/>
      <c r="AK154" s="373"/>
      <c r="AL154" s="374"/>
      <c r="AM154" s="373"/>
      <c r="AN154" s="374"/>
      <c r="AO154" s="373"/>
      <c r="AP154" s="374"/>
      <c r="AQ154" s="373"/>
      <c r="AR154" s="374"/>
    </row>
    <row r="155" spans="1:44" ht="14.55" customHeight="1" outlineLevel="1">
      <c r="B155" s="540"/>
      <c r="C155" s="541"/>
      <c r="D155" s="541"/>
      <c r="E155" s="542"/>
      <c r="F155" s="541"/>
      <c r="G155" s="541"/>
      <c r="H155" s="541"/>
      <c r="I155" s="541"/>
      <c r="J155" s="541"/>
      <c r="K155" s="371"/>
      <c r="L155" s="372"/>
      <c r="M155" s="369"/>
      <c r="N155" s="369"/>
      <c r="P155" s="1145"/>
      <c r="Q155" s="1151"/>
      <c r="R155" s="380"/>
      <c r="S155" s="381"/>
      <c r="T155" s="1134"/>
      <c r="U155" s="1148"/>
      <c r="V155" s="1134"/>
      <c r="W155" s="1148"/>
      <c r="X155" s="1134"/>
      <c r="Y155" s="1148"/>
      <c r="Z155" s="1134"/>
      <c r="AA155" s="1148"/>
      <c r="AB155" s="1134"/>
      <c r="AC155" s="1148"/>
      <c r="AE155" s="1145"/>
      <c r="AF155" s="1151"/>
      <c r="AG155" s="380"/>
      <c r="AH155" s="381"/>
      <c r="AI155" s="1134"/>
      <c r="AJ155" s="1148"/>
      <c r="AK155" s="1134"/>
      <c r="AL155" s="1148"/>
      <c r="AM155" s="1134"/>
      <c r="AN155" s="1148"/>
      <c r="AO155" s="1134"/>
      <c r="AP155" s="1148"/>
      <c r="AQ155" s="1134"/>
      <c r="AR155" s="1148"/>
    </row>
    <row r="156" spans="1:44" outlineLevel="1">
      <c r="B156" s="382"/>
      <c r="C156" s="383"/>
      <c r="D156" s="383"/>
      <c r="E156" s="383"/>
      <c r="F156" s="383"/>
      <c r="G156" s="504"/>
      <c r="H156" s="504"/>
      <c r="I156" s="504"/>
      <c r="J156" s="504"/>
      <c r="K156" s="371"/>
      <c r="L156" s="372"/>
      <c r="M156" s="369"/>
      <c r="N156" s="369"/>
      <c r="O156" s="71"/>
      <c r="P156" s="1192"/>
      <c r="Q156" s="1152"/>
      <c r="R156" s="387"/>
      <c r="S156" s="388"/>
      <c r="T156" s="1137"/>
      <c r="U156" s="1149"/>
      <c r="V156" s="1137"/>
      <c r="W156" s="1149"/>
      <c r="X156" s="1137"/>
      <c r="Y156" s="1149"/>
      <c r="Z156" s="1137"/>
      <c r="AA156" s="1149"/>
      <c r="AB156" s="1137"/>
      <c r="AC156" s="1149"/>
      <c r="AE156" s="1192"/>
      <c r="AF156" s="1152"/>
      <c r="AG156" s="387"/>
      <c r="AH156" s="388"/>
      <c r="AI156" s="1137"/>
      <c r="AJ156" s="1149"/>
      <c r="AK156" s="1137"/>
      <c r="AL156" s="1149"/>
      <c r="AM156" s="1137"/>
      <c r="AN156" s="1149"/>
      <c r="AO156" s="1137"/>
      <c r="AP156" s="1149"/>
      <c r="AQ156" s="1137"/>
      <c r="AR156" s="1149"/>
    </row>
    <row r="157" spans="1:44" ht="15" outlineLevel="1" thickBot="1">
      <c r="B157" s="540"/>
      <c r="C157" s="543"/>
      <c r="D157" s="544"/>
      <c r="E157" s="544"/>
      <c r="F157" s="545"/>
      <c r="G157" s="544"/>
      <c r="H157" s="544"/>
      <c r="I157" s="544"/>
      <c r="J157" s="544"/>
      <c r="K157" s="546"/>
      <c r="L157" s="547"/>
      <c r="M157" s="369"/>
      <c r="N157" s="369"/>
      <c r="O157" s="71"/>
      <c r="P157" s="1192"/>
      <c r="Q157" s="1153"/>
      <c r="R157" s="392"/>
      <c r="S157" s="393"/>
      <c r="T157" s="1138"/>
      <c r="U157" s="1150"/>
      <c r="V157" s="1138"/>
      <c r="W157" s="1150"/>
      <c r="X157" s="1138"/>
      <c r="Y157" s="1150"/>
      <c r="Z157" s="1138"/>
      <c r="AA157" s="1150"/>
      <c r="AB157" s="1138"/>
      <c r="AC157" s="1150"/>
      <c r="AE157" s="1192"/>
      <c r="AF157" s="1153"/>
      <c r="AG157" s="392"/>
      <c r="AH157" s="393"/>
      <c r="AI157" s="1138"/>
      <c r="AJ157" s="1150"/>
      <c r="AK157" s="1138"/>
      <c r="AL157" s="1150"/>
      <c r="AM157" s="1138"/>
      <c r="AN157" s="1150"/>
      <c r="AO157" s="1138"/>
      <c r="AP157" s="1150"/>
      <c r="AQ157" s="1138"/>
      <c r="AR157" s="1150"/>
    </row>
    <row r="158" spans="1:44" ht="14.55" customHeight="1" outlineLevel="1">
      <c r="B158" s="540"/>
      <c r="C158" s="543"/>
      <c r="D158" s="543"/>
      <c r="E158" s="543"/>
      <c r="F158" s="543"/>
      <c r="G158" s="543"/>
      <c r="H158" s="543"/>
      <c r="I158" s="543"/>
      <c r="J158" s="543"/>
      <c r="K158" s="546"/>
      <c r="L158" s="547"/>
      <c r="M158" s="369"/>
      <c r="N158" s="369"/>
      <c r="O158" s="71"/>
      <c r="P158" s="1192"/>
      <c r="Q158" s="1151"/>
      <c r="R158" s="394"/>
      <c r="S158" s="395"/>
      <c r="T158" s="1134"/>
      <c r="U158" s="1134"/>
      <c r="V158" s="1134"/>
      <c r="W158" s="1134"/>
      <c r="X158" s="1134"/>
      <c r="Y158" s="1134"/>
      <c r="Z158" s="1134"/>
      <c r="AA158" s="1134"/>
      <c r="AB158" s="1134"/>
      <c r="AC158" s="1134"/>
      <c r="AE158" s="1192"/>
      <c r="AF158" s="1151"/>
      <c r="AG158" s="394"/>
      <c r="AH158" s="395"/>
      <c r="AI158" s="1134"/>
      <c r="AJ158" s="1134"/>
      <c r="AK158" s="1134"/>
      <c r="AL158" s="1134"/>
      <c r="AM158" s="1134"/>
      <c r="AN158" s="1134"/>
      <c r="AO158" s="1134"/>
      <c r="AP158" s="1134"/>
      <c r="AQ158" s="1134"/>
      <c r="AR158" s="1134"/>
    </row>
    <row r="159" spans="1:44" outlineLevel="1">
      <c r="B159" s="540"/>
      <c r="C159" s="543"/>
      <c r="D159" s="543"/>
      <c r="E159" s="543"/>
      <c r="F159" s="543"/>
      <c r="G159" s="543"/>
      <c r="H159" s="543"/>
      <c r="I159" s="543"/>
      <c r="J159" s="543"/>
      <c r="K159" s="546"/>
      <c r="L159" s="547"/>
      <c r="M159" s="366"/>
      <c r="N159" s="366"/>
      <c r="O159" s="71"/>
      <c r="P159" s="1192"/>
      <c r="Q159" s="1152"/>
      <c r="R159" s="394"/>
      <c r="S159" s="395"/>
      <c r="T159" s="1135"/>
      <c r="U159" s="1135"/>
      <c r="V159" s="1135"/>
      <c r="W159" s="1135"/>
      <c r="X159" s="1135"/>
      <c r="Y159" s="1135"/>
      <c r="Z159" s="1135"/>
      <c r="AA159" s="1135"/>
      <c r="AB159" s="1135"/>
      <c r="AC159" s="1135"/>
      <c r="AE159" s="1192"/>
      <c r="AF159" s="1152"/>
      <c r="AG159" s="394"/>
      <c r="AH159" s="395"/>
      <c r="AI159" s="1135"/>
      <c r="AJ159" s="1135"/>
      <c r="AK159" s="1135"/>
      <c r="AL159" s="1135"/>
      <c r="AM159" s="1135"/>
      <c r="AN159" s="1135"/>
      <c r="AO159" s="1135"/>
      <c r="AP159" s="1135"/>
      <c r="AQ159" s="1135"/>
      <c r="AR159" s="1135"/>
    </row>
    <row r="160" spans="1:44" outlineLevel="1">
      <c r="B160" s="382"/>
      <c r="C160" s="396"/>
      <c r="D160" s="396"/>
      <c r="E160" s="396"/>
      <c r="F160" s="398"/>
      <c r="G160" s="398"/>
      <c r="H160" s="398"/>
      <c r="I160" s="398"/>
      <c r="J160" s="398"/>
      <c r="K160" s="371"/>
      <c r="L160" s="372"/>
      <c r="M160" s="362"/>
      <c r="N160" s="362"/>
      <c r="P160" s="1192"/>
      <c r="Q160" s="1152"/>
      <c r="R160" s="394"/>
      <c r="S160" s="395"/>
      <c r="T160" s="1135"/>
      <c r="U160" s="1135"/>
      <c r="V160" s="1135"/>
      <c r="W160" s="1135"/>
      <c r="X160" s="1135"/>
      <c r="Y160" s="1135"/>
      <c r="Z160" s="1135"/>
      <c r="AA160" s="1135"/>
      <c r="AB160" s="1135"/>
      <c r="AC160" s="1135"/>
      <c r="AE160" s="1192"/>
      <c r="AF160" s="1152"/>
      <c r="AG160" s="394"/>
      <c r="AH160" s="395"/>
      <c r="AI160" s="1135"/>
      <c r="AJ160" s="1135"/>
      <c r="AK160" s="1135"/>
      <c r="AL160" s="1135"/>
      <c r="AM160" s="1135"/>
      <c r="AN160" s="1135"/>
      <c r="AO160" s="1135"/>
      <c r="AP160" s="1135"/>
      <c r="AQ160" s="1135"/>
      <c r="AR160" s="1135"/>
    </row>
    <row r="161" spans="1:44" ht="15" outlineLevel="1" thickBot="1">
      <c r="B161" s="540"/>
      <c r="C161" s="543"/>
      <c r="D161" s="543"/>
      <c r="E161" s="543"/>
      <c r="F161" s="543"/>
      <c r="G161" s="543"/>
      <c r="H161" s="543"/>
      <c r="I161" s="543"/>
      <c r="J161" s="543"/>
      <c r="K161" s="371"/>
      <c r="L161" s="399"/>
      <c r="M161" s="362"/>
      <c r="N161" s="362"/>
      <c r="P161" s="1192"/>
      <c r="Q161" s="1152"/>
      <c r="R161" s="394"/>
      <c r="S161" s="395"/>
      <c r="T161" s="1135"/>
      <c r="U161" s="1135"/>
      <c r="V161" s="1135"/>
      <c r="W161" s="1135"/>
      <c r="X161" s="1135"/>
      <c r="Y161" s="1135"/>
      <c r="Z161" s="1135"/>
      <c r="AA161" s="1135"/>
      <c r="AB161" s="1135"/>
      <c r="AC161" s="1135"/>
      <c r="AE161" s="1192"/>
      <c r="AF161" s="1152"/>
      <c r="AG161" s="394"/>
      <c r="AH161" s="395"/>
      <c r="AI161" s="1135"/>
      <c r="AJ161" s="1135"/>
      <c r="AK161" s="1135"/>
      <c r="AL161" s="1135"/>
      <c r="AM161" s="1135"/>
      <c r="AN161" s="1135"/>
      <c r="AO161" s="1135"/>
      <c r="AP161" s="1135"/>
      <c r="AQ161" s="1135"/>
      <c r="AR161" s="1135"/>
    </row>
    <row r="162" spans="1:44" ht="15" outlineLevel="1" thickBot="1">
      <c r="B162" s="400"/>
      <c r="C162" s="401"/>
      <c r="D162" s="402"/>
      <c r="E162" s="403"/>
      <c r="F162" s="404"/>
      <c r="G162" s="405"/>
      <c r="H162" s="405"/>
      <c r="I162" s="405"/>
      <c r="J162" s="405"/>
      <c r="K162" s="406"/>
      <c r="L162" s="407"/>
      <c r="M162" s="362"/>
      <c r="N162" s="362"/>
      <c r="P162" s="1192"/>
      <c r="Q162" s="1152"/>
      <c r="R162" s="408"/>
      <c r="S162" s="409"/>
      <c r="T162" s="1136"/>
      <c r="U162" s="1136"/>
      <c r="V162" s="1136"/>
      <c r="W162" s="1136"/>
      <c r="X162" s="1136"/>
      <c r="Y162" s="1136"/>
      <c r="Z162" s="1136"/>
      <c r="AA162" s="1136"/>
      <c r="AB162" s="1136"/>
      <c r="AC162" s="1136"/>
      <c r="AE162" s="1192"/>
      <c r="AF162" s="1152"/>
      <c r="AG162" s="408"/>
      <c r="AH162" s="409"/>
      <c r="AI162" s="1136"/>
      <c r="AJ162" s="1136"/>
      <c r="AK162" s="1136"/>
      <c r="AL162" s="1136"/>
      <c r="AM162" s="1136"/>
      <c r="AN162" s="1136"/>
      <c r="AO162" s="1136"/>
      <c r="AP162" s="1136"/>
      <c r="AQ162" s="1136"/>
      <c r="AR162" s="1136"/>
    </row>
    <row r="163" spans="1:44" ht="15" outlineLevel="1" thickBot="1">
      <c r="B163" s="540"/>
      <c r="C163" s="543"/>
      <c r="D163" s="543"/>
      <c r="E163" s="543"/>
      <c r="F163" s="543"/>
      <c r="G163" s="544"/>
      <c r="H163" s="544"/>
      <c r="I163" s="544"/>
      <c r="J163" s="544"/>
      <c r="K163" s="546"/>
      <c r="L163" s="547"/>
      <c r="M163" s="362"/>
      <c r="N163" s="362"/>
      <c r="P163" s="1193"/>
      <c r="Q163" s="410"/>
      <c r="R163" s="411"/>
      <c r="S163" s="412"/>
      <c r="T163" s="413"/>
      <c r="U163" s="414"/>
      <c r="V163" s="415"/>
      <c r="W163" s="414"/>
      <c r="X163" s="415"/>
      <c r="Y163" s="414"/>
      <c r="Z163" s="415"/>
      <c r="AA163" s="414"/>
      <c r="AB163" s="415"/>
      <c r="AC163" s="416"/>
      <c r="AE163" s="1193"/>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5" outlineLevel="1" thickBot="1">
      <c r="B171" s="428"/>
      <c r="C171" s="429"/>
      <c r="D171" s="429"/>
      <c r="E171" s="429"/>
      <c r="F171" s="429"/>
      <c r="G171" s="424"/>
      <c r="H171" s="424"/>
      <c r="I171" s="424"/>
      <c r="J171" s="424"/>
      <c r="K171" s="422"/>
      <c r="L171" s="426"/>
      <c r="M171" s="427"/>
      <c r="N171" s="427"/>
    </row>
    <row r="172" spans="1:44" ht="15"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39"/>
      <c r="Q177" s="1140"/>
      <c r="R177" s="1140"/>
      <c r="S177" s="1140"/>
      <c r="T177" s="1140"/>
      <c r="U177" s="1141"/>
    </row>
    <row r="178" spans="2:30" ht="15" outlineLevel="1" thickBot="1">
      <c r="B178" s="540"/>
      <c r="C178" s="551"/>
      <c r="D178" s="551"/>
      <c r="E178" s="551"/>
      <c r="F178" s="551"/>
      <c r="G178" s="552"/>
      <c r="H178" s="552"/>
      <c r="I178" s="552"/>
      <c r="J178" s="552"/>
      <c r="K178" s="546"/>
      <c r="L178" s="547"/>
      <c r="M178" s="449"/>
      <c r="N178" s="360"/>
      <c r="P178" s="1131"/>
      <c r="Q178" s="1132"/>
      <c r="R178" s="1132"/>
      <c r="S178" s="1132"/>
      <c r="T178" s="1132"/>
      <c r="U178" s="1133"/>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5"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5"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5"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5" thickBot="1">
      <c r="A217" s="359"/>
    </row>
    <row r="218" spans="1:44" ht="20.55" customHeight="1" outlineLevel="1" thickBot="1">
      <c r="B218" s="361"/>
      <c r="C218" s="1183"/>
      <c r="D218" s="1202"/>
      <c r="E218" s="1202"/>
      <c r="F218" s="1202"/>
      <c r="G218" s="1202"/>
      <c r="H218" s="1202"/>
      <c r="I218" s="1202"/>
      <c r="J218" s="1202"/>
      <c r="K218" s="1202"/>
      <c r="L218" s="1203"/>
      <c r="M218" s="362"/>
      <c r="N218" s="362"/>
      <c r="P218" s="363"/>
      <c r="Q218" s="364"/>
      <c r="R218" s="365"/>
      <c r="S218" s="1173"/>
      <c r="T218" s="1157"/>
      <c r="U218" s="1158"/>
      <c r="V218" s="1157"/>
      <c r="W218" s="1158"/>
      <c r="X218" s="1157"/>
      <c r="Y218" s="1158"/>
      <c r="Z218" s="1157"/>
      <c r="AA218" s="1158"/>
      <c r="AB218" s="1157"/>
      <c r="AC218" s="1158"/>
      <c r="AE218" s="363"/>
      <c r="AF218" s="364"/>
      <c r="AG218" s="365"/>
      <c r="AH218" s="1173"/>
      <c r="AI218" s="1157"/>
      <c r="AJ218" s="1158"/>
      <c r="AK218" s="1157"/>
      <c r="AL218" s="1158"/>
      <c r="AM218" s="1157"/>
      <c r="AN218" s="1158"/>
      <c r="AO218" s="1157"/>
      <c r="AP218" s="1158"/>
      <c r="AQ218" s="1157"/>
      <c r="AR218" s="1158"/>
    </row>
    <row r="219" spans="1:44" ht="15" customHeight="1" outlineLevel="1" thickBot="1">
      <c r="B219" s="1161"/>
      <c r="C219" s="1163"/>
      <c r="D219" s="1163"/>
      <c r="E219" s="1163"/>
      <c r="F219" s="1163"/>
      <c r="G219" s="1165"/>
      <c r="H219" s="1166"/>
      <c r="I219" s="1165"/>
      <c r="J219" s="1166"/>
      <c r="K219" s="1186"/>
      <c r="L219" s="1186"/>
      <c r="M219" s="366"/>
      <c r="N219" s="366"/>
      <c r="P219" s="1177"/>
      <c r="Q219" s="367"/>
      <c r="R219" s="367"/>
      <c r="S219" s="1174"/>
      <c r="T219" s="1159"/>
      <c r="U219" s="1160"/>
      <c r="V219" s="1159"/>
      <c r="W219" s="1160"/>
      <c r="X219" s="1159"/>
      <c r="Y219" s="1160"/>
      <c r="Z219" s="1159"/>
      <c r="AA219" s="1160"/>
      <c r="AB219" s="1159"/>
      <c r="AC219" s="1160"/>
      <c r="AE219" s="1177"/>
      <c r="AF219" s="367"/>
      <c r="AG219" s="367"/>
      <c r="AH219" s="1174"/>
      <c r="AI219" s="1159"/>
      <c r="AJ219" s="1160"/>
      <c r="AK219" s="1159"/>
      <c r="AL219" s="1160"/>
      <c r="AM219" s="1159"/>
      <c r="AN219" s="1160"/>
      <c r="AO219" s="1159"/>
      <c r="AP219" s="1160"/>
      <c r="AQ219" s="1159"/>
      <c r="AR219" s="1160"/>
    </row>
    <row r="220" spans="1:44" ht="15" customHeight="1" outlineLevel="1" thickBot="1">
      <c r="B220" s="1162"/>
      <c r="C220" s="1164"/>
      <c r="D220" s="1164"/>
      <c r="E220" s="1164"/>
      <c r="F220" s="1164"/>
      <c r="G220" s="405"/>
      <c r="H220" s="405"/>
      <c r="I220" s="405"/>
      <c r="J220" s="405"/>
      <c r="K220" s="1187"/>
      <c r="L220" s="1187"/>
      <c r="M220" s="369"/>
      <c r="N220" s="369"/>
      <c r="P220" s="1178"/>
      <c r="Q220" s="1180"/>
      <c r="R220" s="1181"/>
      <c r="S220" s="1175"/>
      <c r="T220" s="1159"/>
      <c r="U220" s="1160"/>
      <c r="V220" s="1159"/>
      <c r="W220" s="1160"/>
      <c r="X220" s="1159"/>
      <c r="Y220" s="1160"/>
      <c r="Z220" s="1159"/>
      <c r="AA220" s="1160"/>
      <c r="AB220" s="1159"/>
      <c r="AC220" s="1160"/>
      <c r="AE220" s="1178"/>
      <c r="AF220" s="1194"/>
      <c r="AG220" s="1181"/>
      <c r="AH220" s="1175"/>
      <c r="AI220" s="1159"/>
      <c r="AJ220" s="1160"/>
      <c r="AK220" s="1159"/>
      <c r="AL220" s="1160"/>
      <c r="AM220" s="1159"/>
      <c r="AN220" s="1160"/>
      <c r="AO220" s="1159"/>
      <c r="AP220" s="1160"/>
      <c r="AQ220" s="1159"/>
      <c r="AR220" s="1160"/>
    </row>
    <row r="221" spans="1:44" ht="15" outlineLevel="1" thickBot="1">
      <c r="B221" s="370"/>
      <c r="C221" s="371"/>
      <c r="D221" s="371"/>
      <c r="E221" s="371"/>
      <c r="F221" s="371"/>
      <c r="G221" s="371"/>
      <c r="H221" s="371"/>
      <c r="I221" s="371"/>
      <c r="J221" s="371"/>
      <c r="K221" s="371"/>
      <c r="L221" s="372"/>
      <c r="M221" s="369"/>
      <c r="N221" s="369"/>
      <c r="O221" s="74"/>
      <c r="P221" s="1179"/>
      <c r="Q221" s="1176"/>
      <c r="R221" s="1182"/>
      <c r="S221" s="1176"/>
      <c r="T221" s="373"/>
      <c r="U221" s="374"/>
      <c r="V221" s="373"/>
      <c r="W221" s="374"/>
      <c r="X221" s="373"/>
      <c r="Y221" s="374"/>
      <c r="Z221" s="373"/>
      <c r="AA221" s="374"/>
      <c r="AB221" s="373"/>
      <c r="AC221" s="374"/>
      <c r="AE221" s="1179"/>
      <c r="AF221" s="1195"/>
      <c r="AG221" s="1182"/>
      <c r="AH221" s="1176"/>
      <c r="AI221" s="373"/>
      <c r="AJ221" s="374"/>
      <c r="AK221" s="373"/>
      <c r="AL221" s="374"/>
      <c r="AM221" s="373"/>
      <c r="AN221" s="374"/>
      <c r="AO221" s="373"/>
      <c r="AP221" s="374"/>
      <c r="AQ221" s="373"/>
      <c r="AR221" s="374"/>
    </row>
    <row r="222" spans="1:44" ht="14.55" customHeight="1" outlineLevel="1">
      <c r="B222" s="540"/>
      <c r="C222" s="541"/>
      <c r="D222" s="541"/>
      <c r="E222" s="542"/>
      <c r="F222" s="541"/>
      <c r="G222" s="541"/>
      <c r="H222" s="541"/>
      <c r="I222" s="541"/>
      <c r="J222" s="541"/>
      <c r="K222" s="546"/>
      <c r="L222" s="547"/>
      <c r="M222" s="369"/>
      <c r="N222" s="369"/>
      <c r="P222" s="1145"/>
      <c r="Q222" s="1151"/>
      <c r="R222" s="380"/>
      <c r="S222" s="381"/>
      <c r="T222" s="1134"/>
      <c r="U222" s="1148"/>
      <c r="V222" s="1134"/>
      <c r="W222" s="1148"/>
      <c r="X222" s="1134"/>
      <c r="Y222" s="1148"/>
      <c r="Z222" s="1134"/>
      <c r="AA222" s="1148"/>
      <c r="AB222" s="1134"/>
      <c r="AC222" s="1148"/>
      <c r="AE222" s="1145"/>
      <c r="AF222" s="1151"/>
      <c r="AG222" s="380"/>
      <c r="AH222" s="381"/>
      <c r="AI222" s="1134"/>
      <c r="AJ222" s="1148"/>
      <c r="AK222" s="1134"/>
      <c r="AL222" s="1148"/>
      <c r="AM222" s="1134"/>
      <c r="AN222" s="1148"/>
      <c r="AO222" s="1134"/>
      <c r="AP222" s="1148"/>
      <c r="AQ222" s="1134"/>
      <c r="AR222" s="1148"/>
    </row>
    <row r="223" spans="1:44" outlineLevel="1">
      <c r="B223" s="382"/>
      <c r="C223" s="383"/>
      <c r="D223" s="383"/>
      <c r="E223" s="383"/>
      <c r="F223" s="383"/>
      <c r="G223" s="504"/>
      <c r="H223" s="504"/>
      <c r="I223" s="504"/>
      <c r="J223" s="504"/>
      <c r="K223" s="371"/>
      <c r="L223" s="372"/>
      <c r="M223" s="369"/>
      <c r="N223" s="369"/>
      <c r="O223" s="71"/>
      <c r="P223" s="1192"/>
      <c r="Q223" s="1152"/>
      <c r="R223" s="387"/>
      <c r="S223" s="388"/>
      <c r="T223" s="1137"/>
      <c r="U223" s="1149"/>
      <c r="V223" s="1137"/>
      <c r="W223" s="1149"/>
      <c r="X223" s="1137"/>
      <c r="Y223" s="1149"/>
      <c r="Z223" s="1137"/>
      <c r="AA223" s="1149"/>
      <c r="AB223" s="1137"/>
      <c r="AC223" s="1149"/>
      <c r="AE223" s="1192"/>
      <c r="AF223" s="1152"/>
      <c r="AG223" s="387"/>
      <c r="AH223" s="388"/>
      <c r="AI223" s="1137"/>
      <c r="AJ223" s="1149"/>
      <c r="AK223" s="1137"/>
      <c r="AL223" s="1149"/>
      <c r="AM223" s="1137"/>
      <c r="AN223" s="1149"/>
      <c r="AO223" s="1137"/>
      <c r="AP223" s="1149"/>
      <c r="AQ223" s="1137"/>
      <c r="AR223" s="1149"/>
    </row>
    <row r="224" spans="1:44" ht="15" outlineLevel="1" thickBot="1">
      <c r="B224" s="540"/>
      <c r="C224" s="543"/>
      <c r="D224" s="544"/>
      <c r="E224" s="544"/>
      <c r="F224" s="545"/>
      <c r="G224" s="544"/>
      <c r="H224" s="544"/>
      <c r="I224" s="544"/>
      <c r="J224" s="544"/>
      <c r="K224" s="546"/>
      <c r="L224" s="547"/>
      <c r="M224" s="369"/>
      <c r="N224" s="369"/>
      <c r="O224" s="71"/>
      <c r="P224" s="1192"/>
      <c r="Q224" s="1153"/>
      <c r="R224" s="392"/>
      <c r="S224" s="393"/>
      <c r="T224" s="1138"/>
      <c r="U224" s="1150"/>
      <c r="V224" s="1138"/>
      <c r="W224" s="1150"/>
      <c r="X224" s="1138"/>
      <c r="Y224" s="1150"/>
      <c r="Z224" s="1138"/>
      <c r="AA224" s="1150"/>
      <c r="AB224" s="1138"/>
      <c r="AC224" s="1150"/>
      <c r="AE224" s="1192"/>
      <c r="AF224" s="1153"/>
      <c r="AG224" s="392"/>
      <c r="AH224" s="393"/>
      <c r="AI224" s="1138"/>
      <c r="AJ224" s="1150"/>
      <c r="AK224" s="1138"/>
      <c r="AL224" s="1150"/>
      <c r="AM224" s="1138"/>
      <c r="AN224" s="1150"/>
      <c r="AO224" s="1138"/>
      <c r="AP224" s="1150"/>
      <c r="AQ224" s="1138"/>
      <c r="AR224" s="1150"/>
    </row>
    <row r="225" spans="1:44" ht="14.55" customHeight="1" outlineLevel="1">
      <c r="B225" s="540"/>
      <c r="C225" s="543"/>
      <c r="D225" s="543"/>
      <c r="E225" s="543"/>
      <c r="F225" s="543"/>
      <c r="G225" s="543"/>
      <c r="H225" s="543"/>
      <c r="I225" s="543"/>
      <c r="J225" s="543"/>
      <c r="K225" s="546"/>
      <c r="L225" s="547"/>
      <c r="M225" s="369"/>
      <c r="N225" s="369"/>
      <c r="O225" s="71"/>
      <c r="P225" s="1192"/>
      <c r="Q225" s="1151"/>
      <c r="R225" s="394"/>
      <c r="S225" s="395"/>
      <c r="T225" s="1134"/>
      <c r="U225" s="1134"/>
      <c r="V225" s="1134"/>
      <c r="W225" s="1134"/>
      <c r="X225" s="1134"/>
      <c r="Y225" s="1134"/>
      <c r="Z225" s="1134"/>
      <c r="AA225" s="1134"/>
      <c r="AB225" s="1134"/>
      <c r="AC225" s="1134"/>
      <c r="AE225" s="1192"/>
      <c r="AF225" s="1151"/>
      <c r="AG225" s="394"/>
      <c r="AH225" s="395"/>
      <c r="AI225" s="1134"/>
      <c r="AJ225" s="1134"/>
      <c r="AK225" s="1134"/>
      <c r="AL225" s="1134"/>
      <c r="AM225" s="1134"/>
      <c r="AN225" s="1134"/>
      <c r="AO225" s="1134"/>
      <c r="AP225" s="1134"/>
      <c r="AQ225" s="1134"/>
      <c r="AR225" s="1134"/>
    </row>
    <row r="226" spans="1:44" outlineLevel="1">
      <c r="B226" s="540"/>
      <c r="C226" s="543"/>
      <c r="D226" s="543"/>
      <c r="E226" s="543"/>
      <c r="F226" s="543"/>
      <c r="G226" s="543"/>
      <c r="H226" s="543"/>
      <c r="I226" s="543"/>
      <c r="J226" s="543"/>
      <c r="K226" s="546"/>
      <c r="L226" s="547"/>
      <c r="M226" s="366"/>
      <c r="N226" s="366"/>
      <c r="O226" s="71"/>
      <c r="P226" s="1192"/>
      <c r="Q226" s="1152"/>
      <c r="R226" s="394"/>
      <c r="S226" s="395"/>
      <c r="T226" s="1135"/>
      <c r="U226" s="1135"/>
      <c r="V226" s="1135"/>
      <c r="W226" s="1135"/>
      <c r="X226" s="1135"/>
      <c r="Y226" s="1135"/>
      <c r="Z226" s="1135"/>
      <c r="AA226" s="1135"/>
      <c r="AB226" s="1135"/>
      <c r="AC226" s="1135"/>
      <c r="AE226" s="1192"/>
      <c r="AF226" s="1152"/>
      <c r="AG226" s="394"/>
      <c r="AH226" s="395"/>
      <c r="AI226" s="1135"/>
      <c r="AJ226" s="1135"/>
      <c r="AK226" s="1135"/>
      <c r="AL226" s="1135"/>
      <c r="AM226" s="1135"/>
      <c r="AN226" s="1135"/>
      <c r="AO226" s="1135"/>
      <c r="AP226" s="1135"/>
      <c r="AQ226" s="1135"/>
      <c r="AR226" s="1135"/>
    </row>
    <row r="227" spans="1:44" outlineLevel="1">
      <c r="B227" s="382"/>
      <c r="C227" s="396"/>
      <c r="D227" s="396"/>
      <c r="E227" s="396"/>
      <c r="F227" s="396"/>
      <c r="G227" s="398"/>
      <c r="H227" s="398"/>
      <c r="I227" s="398"/>
      <c r="J227" s="398"/>
      <c r="K227" s="371"/>
      <c r="L227" s="372"/>
      <c r="M227" s="362"/>
      <c r="N227" s="362"/>
      <c r="P227" s="1192"/>
      <c r="Q227" s="1152"/>
      <c r="R227" s="394"/>
      <c r="S227" s="395"/>
      <c r="T227" s="1135"/>
      <c r="U227" s="1135"/>
      <c r="V227" s="1135"/>
      <c r="W227" s="1135"/>
      <c r="X227" s="1135"/>
      <c r="Y227" s="1135"/>
      <c r="Z227" s="1135"/>
      <c r="AA227" s="1135"/>
      <c r="AB227" s="1135"/>
      <c r="AC227" s="1135"/>
      <c r="AE227" s="1192"/>
      <c r="AF227" s="1152"/>
      <c r="AG227" s="394"/>
      <c r="AH227" s="395"/>
      <c r="AI227" s="1135"/>
      <c r="AJ227" s="1135"/>
      <c r="AK227" s="1135"/>
      <c r="AL227" s="1135"/>
      <c r="AM227" s="1135"/>
      <c r="AN227" s="1135"/>
      <c r="AO227" s="1135"/>
      <c r="AP227" s="1135"/>
      <c r="AQ227" s="1135"/>
      <c r="AR227" s="1135"/>
    </row>
    <row r="228" spans="1:44" ht="15" outlineLevel="1" thickBot="1">
      <c r="B228" s="540"/>
      <c r="C228" s="543"/>
      <c r="D228" s="543"/>
      <c r="E228" s="543"/>
      <c r="F228" s="543"/>
      <c r="G228" s="543"/>
      <c r="H228" s="543"/>
      <c r="I228" s="543"/>
      <c r="J228" s="543"/>
      <c r="K228" s="546"/>
      <c r="L228" s="558"/>
      <c r="M228" s="362"/>
      <c r="N228" s="362"/>
      <c r="P228" s="1192"/>
      <c r="Q228" s="1152"/>
      <c r="R228" s="394"/>
      <c r="S228" s="395"/>
      <c r="T228" s="1135"/>
      <c r="U228" s="1135"/>
      <c r="V228" s="1135"/>
      <c r="W228" s="1135"/>
      <c r="X228" s="1135"/>
      <c r="Y228" s="1135"/>
      <c r="Z228" s="1135"/>
      <c r="AA228" s="1135"/>
      <c r="AB228" s="1135"/>
      <c r="AC228" s="1135"/>
      <c r="AE228" s="1192"/>
      <c r="AF228" s="1152"/>
      <c r="AG228" s="394"/>
      <c r="AH228" s="395"/>
      <c r="AI228" s="1135"/>
      <c r="AJ228" s="1135"/>
      <c r="AK228" s="1135"/>
      <c r="AL228" s="1135"/>
      <c r="AM228" s="1135"/>
      <c r="AN228" s="1135"/>
      <c r="AO228" s="1135"/>
      <c r="AP228" s="1135"/>
      <c r="AQ228" s="1135"/>
      <c r="AR228" s="1135"/>
    </row>
    <row r="229" spans="1:44" ht="15" outlineLevel="1" thickBot="1">
      <c r="B229" s="400"/>
      <c r="C229" s="401"/>
      <c r="D229" s="402"/>
      <c r="E229" s="403"/>
      <c r="F229" s="404"/>
      <c r="G229" s="405"/>
      <c r="H229" s="405"/>
      <c r="I229" s="405"/>
      <c r="J229" s="405"/>
      <c r="K229" s="406"/>
      <c r="L229" s="407"/>
      <c r="M229" s="362"/>
      <c r="N229" s="362"/>
      <c r="P229" s="1192"/>
      <c r="Q229" s="1152"/>
      <c r="R229" s="408"/>
      <c r="S229" s="409"/>
      <c r="T229" s="1136"/>
      <c r="U229" s="1136"/>
      <c r="V229" s="1136"/>
      <c r="W229" s="1136"/>
      <c r="X229" s="1136"/>
      <c r="Y229" s="1136"/>
      <c r="Z229" s="1136"/>
      <c r="AA229" s="1136"/>
      <c r="AB229" s="1136"/>
      <c r="AC229" s="1136"/>
      <c r="AE229" s="1192"/>
      <c r="AF229" s="1152"/>
      <c r="AG229" s="408"/>
      <c r="AH229" s="409"/>
      <c r="AI229" s="1136"/>
      <c r="AJ229" s="1136"/>
      <c r="AK229" s="1136"/>
      <c r="AL229" s="1136"/>
      <c r="AM229" s="1136"/>
      <c r="AN229" s="1136"/>
      <c r="AO229" s="1136"/>
      <c r="AP229" s="1136"/>
      <c r="AQ229" s="1136"/>
      <c r="AR229" s="1136"/>
    </row>
    <row r="230" spans="1:44" ht="15" outlineLevel="1" thickBot="1">
      <c r="B230" s="540"/>
      <c r="C230" s="543"/>
      <c r="D230" s="543"/>
      <c r="E230" s="543"/>
      <c r="F230" s="543"/>
      <c r="G230" s="544"/>
      <c r="H230" s="544"/>
      <c r="I230" s="544"/>
      <c r="J230" s="544"/>
      <c r="K230" s="546"/>
      <c r="L230" s="547"/>
      <c r="M230" s="362"/>
      <c r="N230" s="362"/>
      <c r="P230" s="1193"/>
      <c r="Q230" s="410"/>
      <c r="R230" s="411"/>
      <c r="S230" s="412"/>
      <c r="T230" s="413"/>
      <c r="U230" s="414"/>
      <c r="V230" s="413"/>
      <c r="W230" s="414"/>
      <c r="X230" s="413"/>
      <c r="Y230" s="414"/>
      <c r="Z230" s="413"/>
      <c r="AA230" s="414"/>
      <c r="AB230" s="413"/>
      <c r="AC230" s="416"/>
      <c r="AE230" s="1193"/>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5" outlineLevel="1" thickBot="1">
      <c r="B238" s="428"/>
      <c r="C238" s="429"/>
      <c r="D238" s="429"/>
      <c r="E238" s="429"/>
      <c r="F238" s="429"/>
      <c r="G238" s="424"/>
      <c r="H238" s="424"/>
      <c r="I238" s="424"/>
      <c r="J238" s="424"/>
      <c r="K238" s="422"/>
      <c r="L238" s="426"/>
      <c r="M238" s="427"/>
      <c r="N238" s="427"/>
    </row>
    <row r="239" spans="1:44" ht="15"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39"/>
      <c r="Q244" s="1140"/>
      <c r="R244" s="1140"/>
      <c r="S244" s="1140"/>
      <c r="T244" s="1140"/>
      <c r="U244" s="1141"/>
    </row>
    <row r="245" spans="2:30" ht="15" outlineLevel="1" thickBot="1">
      <c r="B245" s="540"/>
      <c r="C245" s="551"/>
      <c r="D245" s="551"/>
      <c r="E245" s="551"/>
      <c r="F245" s="551"/>
      <c r="G245" s="424"/>
      <c r="H245" s="424"/>
      <c r="I245" s="424"/>
      <c r="J245" s="424"/>
      <c r="K245" s="443"/>
      <c r="L245" s="372"/>
      <c r="M245" s="449"/>
      <c r="N245" s="360"/>
      <c r="P245" s="1131"/>
      <c r="Q245" s="1132"/>
      <c r="R245" s="1132"/>
      <c r="S245" s="1132"/>
      <c r="T245" s="1132"/>
      <c r="U245" s="1133"/>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5"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5"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5"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5" thickBot="1">
      <c r="A283" s="359"/>
    </row>
    <row r="284" spans="1:44" ht="20.55" customHeight="1" thickBot="1">
      <c r="B284" s="361"/>
      <c r="C284" s="1183"/>
      <c r="D284" s="1184"/>
      <c r="E284" s="1184"/>
      <c r="F284" s="1184"/>
      <c r="G284" s="1184"/>
      <c r="H284" s="1184"/>
      <c r="I284" s="1184"/>
      <c r="J284" s="1184"/>
      <c r="K284" s="1184"/>
      <c r="L284" s="1185"/>
      <c r="M284" s="362"/>
      <c r="N284" s="362"/>
      <c r="P284" s="363"/>
      <c r="Q284" s="364"/>
      <c r="R284" s="365"/>
      <c r="S284" s="1173"/>
      <c r="T284" s="1157"/>
      <c r="U284" s="1158"/>
      <c r="V284" s="1157"/>
      <c r="W284" s="1158"/>
      <c r="X284" s="1157"/>
      <c r="Y284" s="1158"/>
      <c r="Z284" s="1157"/>
      <c r="AA284" s="1158"/>
      <c r="AB284" s="1157"/>
      <c r="AC284" s="1158"/>
      <c r="AE284" s="363"/>
      <c r="AF284" s="364"/>
      <c r="AG284" s="365"/>
      <c r="AH284" s="1173"/>
      <c r="AI284" s="1157"/>
      <c r="AJ284" s="1158"/>
      <c r="AK284" s="1157"/>
      <c r="AL284" s="1158"/>
      <c r="AM284" s="1157"/>
      <c r="AN284" s="1158"/>
      <c r="AO284" s="1157"/>
      <c r="AP284" s="1158"/>
      <c r="AQ284" s="1157"/>
      <c r="AR284" s="1158"/>
    </row>
    <row r="285" spans="1:44" ht="15" customHeight="1" thickBot="1">
      <c r="B285" s="1161"/>
      <c r="C285" s="1163"/>
      <c r="D285" s="1163"/>
      <c r="E285" s="1163"/>
      <c r="F285" s="1163"/>
      <c r="G285" s="1165"/>
      <c r="H285" s="1166"/>
      <c r="I285" s="1165"/>
      <c r="J285" s="1166"/>
      <c r="K285" s="1186"/>
      <c r="L285" s="1186"/>
      <c r="M285" s="366"/>
      <c r="N285" s="366"/>
      <c r="P285" s="1177"/>
      <c r="Q285" s="367"/>
      <c r="R285" s="367"/>
      <c r="S285" s="1174"/>
      <c r="T285" s="1159"/>
      <c r="U285" s="1160"/>
      <c r="V285" s="1159"/>
      <c r="W285" s="1160"/>
      <c r="X285" s="1159"/>
      <c r="Y285" s="1160"/>
      <c r="Z285" s="1159"/>
      <c r="AA285" s="1160"/>
      <c r="AB285" s="1159"/>
      <c r="AC285" s="1160"/>
      <c r="AE285" s="1177"/>
      <c r="AF285" s="367"/>
      <c r="AG285" s="367"/>
      <c r="AH285" s="1174"/>
      <c r="AI285" s="1159"/>
      <c r="AJ285" s="1160"/>
      <c r="AK285" s="1159"/>
      <c r="AL285" s="1160"/>
      <c r="AM285" s="1159"/>
      <c r="AN285" s="1160"/>
      <c r="AO285" s="1159"/>
      <c r="AP285" s="1160"/>
      <c r="AQ285" s="1159"/>
      <c r="AR285" s="1160"/>
    </row>
    <row r="286" spans="1:44" ht="15" customHeight="1" thickBot="1">
      <c r="B286" s="1162"/>
      <c r="C286" s="1164"/>
      <c r="D286" s="1164"/>
      <c r="E286" s="1164"/>
      <c r="F286" s="1164"/>
      <c r="G286" s="405"/>
      <c r="H286" s="405"/>
      <c r="I286" s="405"/>
      <c r="J286" s="405"/>
      <c r="K286" s="1187"/>
      <c r="L286" s="1187"/>
      <c r="M286" s="369"/>
      <c r="N286" s="369"/>
      <c r="P286" s="1178"/>
      <c r="Q286" s="1180"/>
      <c r="R286" s="1181"/>
      <c r="S286" s="1175"/>
      <c r="T286" s="1159"/>
      <c r="U286" s="1160"/>
      <c r="V286" s="1159"/>
      <c r="W286" s="1160"/>
      <c r="X286" s="1159"/>
      <c r="Y286" s="1160"/>
      <c r="Z286" s="1159"/>
      <c r="AA286" s="1160"/>
      <c r="AB286" s="1159"/>
      <c r="AC286" s="1160"/>
      <c r="AE286" s="1178"/>
      <c r="AF286" s="1180"/>
      <c r="AG286" s="1181"/>
      <c r="AH286" s="1175"/>
      <c r="AI286" s="1159"/>
      <c r="AJ286" s="1160"/>
      <c r="AK286" s="1159"/>
      <c r="AL286" s="1160"/>
      <c r="AM286" s="1159"/>
      <c r="AN286" s="1160"/>
      <c r="AO286" s="1159"/>
      <c r="AP286" s="1160"/>
      <c r="AQ286" s="1159"/>
      <c r="AR286" s="1160"/>
    </row>
    <row r="287" spans="1:44" ht="15" thickBot="1">
      <c r="B287" s="370"/>
      <c r="C287" s="371"/>
      <c r="D287" s="371"/>
      <c r="E287" s="371"/>
      <c r="F287" s="371"/>
      <c r="G287" s="371"/>
      <c r="H287" s="371"/>
      <c r="I287" s="371"/>
      <c r="J287" s="371"/>
      <c r="K287" s="371"/>
      <c r="L287" s="372"/>
      <c r="M287" s="369"/>
      <c r="N287" s="369"/>
      <c r="O287" s="74"/>
      <c r="P287" s="1179"/>
      <c r="Q287" s="1176"/>
      <c r="R287" s="1182"/>
      <c r="S287" s="1176"/>
      <c r="T287" s="373"/>
      <c r="U287" s="374"/>
      <c r="V287" s="373"/>
      <c r="W287" s="374"/>
      <c r="X287" s="373"/>
      <c r="Y287" s="374"/>
      <c r="Z287" s="373"/>
      <c r="AA287" s="374"/>
      <c r="AB287" s="373"/>
      <c r="AC287" s="374"/>
      <c r="AE287" s="1179"/>
      <c r="AF287" s="1176"/>
      <c r="AG287" s="1182"/>
      <c r="AH287" s="1176"/>
      <c r="AI287" s="373"/>
      <c r="AJ287" s="374"/>
      <c r="AK287" s="373"/>
      <c r="AL287" s="374"/>
      <c r="AM287" s="373"/>
      <c r="AN287" s="374"/>
      <c r="AO287" s="373"/>
      <c r="AP287" s="374"/>
      <c r="AQ287" s="373"/>
      <c r="AR287" s="374"/>
    </row>
    <row r="288" spans="1:44" ht="14.55" customHeight="1">
      <c r="B288" s="573"/>
      <c r="C288" s="574"/>
      <c r="D288" s="574"/>
      <c r="E288" s="574"/>
      <c r="F288" s="574"/>
      <c r="G288" s="575"/>
      <c r="H288" s="575"/>
      <c r="I288" s="575"/>
      <c r="J288" s="575"/>
      <c r="K288" s="371"/>
      <c r="L288" s="372"/>
      <c r="M288" s="369"/>
      <c r="N288" s="369"/>
      <c r="P288" s="1145"/>
      <c r="Q288" s="1151"/>
      <c r="R288" s="380"/>
      <c r="S288" s="381"/>
      <c r="T288" s="1134"/>
      <c r="U288" s="1148"/>
      <c r="V288" s="1134"/>
      <c r="W288" s="1148"/>
      <c r="X288" s="1134"/>
      <c r="Y288" s="1148"/>
      <c r="Z288" s="1134"/>
      <c r="AA288" s="1148"/>
      <c r="AB288" s="1154"/>
      <c r="AC288" s="1148"/>
      <c r="AE288" s="1145"/>
      <c r="AF288" s="1151"/>
      <c r="AG288" s="380"/>
      <c r="AH288" s="381"/>
      <c r="AI288" s="1134"/>
      <c r="AJ288" s="1148"/>
      <c r="AK288" s="1134"/>
      <c r="AL288" s="1148"/>
      <c r="AM288" s="1134"/>
      <c r="AN288" s="1148"/>
      <c r="AO288" s="1134"/>
      <c r="AP288" s="1148"/>
      <c r="AQ288" s="1154"/>
      <c r="AR288" s="1148"/>
    </row>
    <row r="289" spans="2:44">
      <c r="B289" s="382"/>
      <c r="C289" s="576"/>
      <c r="D289" s="576"/>
      <c r="E289" s="576"/>
      <c r="F289" s="576"/>
      <c r="G289" s="575"/>
      <c r="H289" s="575"/>
      <c r="I289" s="575"/>
      <c r="J289" s="575"/>
      <c r="K289" s="371"/>
      <c r="L289" s="372"/>
      <c r="M289" s="369"/>
      <c r="N289" s="369"/>
      <c r="O289" s="71"/>
      <c r="P289" s="1146"/>
      <c r="Q289" s="1152"/>
      <c r="R289" s="387"/>
      <c r="S289" s="388"/>
      <c r="T289" s="1137"/>
      <c r="U289" s="1149"/>
      <c r="V289" s="1137"/>
      <c r="W289" s="1149"/>
      <c r="X289" s="1137"/>
      <c r="Y289" s="1149"/>
      <c r="Z289" s="1137"/>
      <c r="AA289" s="1149"/>
      <c r="AB289" s="1155"/>
      <c r="AC289" s="1149"/>
      <c r="AE289" s="1146"/>
      <c r="AF289" s="1152"/>
      <c r="AG289" s="387"/>
      <c r="AH289" s="388"/>
      <c r="AI289" s="1137"/>
      <c r="AJ289" s="1149"/>
      <c r="AK289" s="1137"/>
      <c r="AL289" s="1149"/>
      <c r="AM289" s="1137"/>
      <c r="AN289" s="1149"/>
      <c r="AO289" s="1137"/>
      <c r="AP289" s="1149"/>
      <c r="AQ289" s="1155"/>
      <c r="AR289" s="1149"/>
    </row>
    <row r="290" spans="2:44" ht="15" thickBot="1">
      <c r="B290" s="573"/>
      <c r="C290" s="577"/>
      <c r="D290" s="577"/>
      <c r="E290" s="577"/>
      <c r="F290" s="577"/>
      <c r="G290" s="577"/>
      <c r="H290" s="577"/>
      <c r="I290" s="577"/>
      <c r="J290" s="577"/>
      <c r="K290" s="578"/>
      <c r="L290" s="579"/>
      <c r="M290" s="369"/>
      <c r="N290" s="369"/>
      <c r="O290" s="71"/>
      <c r="P290" s="1146"/>
      <c r="Q290" s="1153"/>
      <c r="R290" s="392"/>
      <c r="S290" s="393"/>
      <c r="T290" s="1138"/>
      <c r="U290" s="1150"/>
      <c r="V290" s="1138"/>
      <c r="W290" s="1150"/>
      <c r="X290" s="1138"/>
      <c r="Y290" s="1150"/>
      <c r="Z290" s="1138"/>
      <c r="AA290" s="1150"/>
      <c r="AB290" s="1156"/>
      <c r="AC290" s="1150"/>
      <c r="AE290" s="1146"/>
      <c r="AF290" s="1153"/>
      <c r="AG290" s="392"/>
      <c r="AH290" s="393"/>
      <c r="AI290" s="1138"/>
      <c r="AJ290" s="1150"/>
      <c r="AK290" s="1138"/>
      <c r="AL290" s="1150"/>
      <c r="AM290" s="1138"/>
      <c r="AN290" s="1150"/>
      <c r="AO290" s="1138"/>
      <c r="AP290" s="1150"/>
      <c r="AQ290" s="1156"/>
      <c r="AR290" s="1150"/>
    </row>
    <row r="291" spans="2:44" ht="14.55" customHeight="1">
      <c r="B291" s="573"/>
      <c r="C291" s="580"/>
      <c r="D291" s="580"/>
      <c r="E291" s="580"/>
      <c r="F291" s="580"/>
      <c r="G291" s="580"/>
      <c r="H291" s="580"/>
      <c r="I291" s="580"/>
      <c r="J291" s="580"/>
      <c r="K291" s="578"/>
      <c r="L291" s="579"/>
      <c r="M291" s="369"/>
      <c r="N291" s="369"/>
      <c r="O291" s="71"/>
      <c r="P291" s="1146"/>
      <c r="Q291" s="1142"/>
      <c r="R291" s="394"/>
      <c r="S291" s="395"/>
      <c r="T291" s="1134"/>
      <c r="U291" s="1134"/>
      <c r="V291" s="1134"/>
      <c r="W291" s="1134"/>
      <c r="X291" s="1134"/>
      <c r="Y291" s="1134"/>
      <c r="Z291" s="1134"/>
      <c r="AA291" s="1134"/>
      <c r="AB291" s="1134"/>
      <c r="AC291" s="1134"/>
      <c r="AE291" s="1146"/>
      <c r="AF291" s="1142"/>
      <c r="AG291" s="394"/>
      <c r="AH291" s="395"/>
      <c r="AI291" s="1134"/>
      <c r="AJ291" s="1134"/>
      <c r="AK291" s="1134"/>
      <c r="AL291" s="1134"/>
      <c r="AM291" s="1134"/>
      <c r="AN291" s="1134"/>
      <c r="AO291" s="1134"/>
      <c r="AP291" s="1134"/>
      <c r="AQ291" s="1134"/>
      <c r="AR291" s="1134"/>
    </row>
    <row r="292" spans="2:44">
      <c r="B292" s="573"/>
      <c r="C292" s="581"/>
      <c r="D292" s="581"/>
      <c r="E292" s="581"/>
      <c r="F292" s="581"/>
      <c r="G292" s="581"/>
      <c r="H292" s="581"/>
      <c r="I292" s="581"/>
      <c r="J292" s="581"/>
      <c r="K292" s="578"/>
      <c r="L292" s="579"/>
      <c r="M292" s="366"/>
      <c r="N292" s="366"/>
      <c r="O292" s="71"/>
      <c r="P292" s="1146"/>
      <c r="Q292" s="1143"/>
      <c r="R292" s="394"/>
      <c r="S292" s="395"/>
      <c r="T292" s="1135"/>
      <c r="U292" s="1135"/>
      <c r="V292" s="1135"/>
      <c r="W292" s="1135"/>
      <c r="X292" s="1135"/>
      <c r="Y292" s="1135"/>
      <c r="Z292" s="1135"/>
      <c r="AA292" s="1135"/>
      <c r="AB292" s="1137"/>
      <c r="AC292" s="1135"/>
      <c r="AE292" s="1146"/>
      <c r="AF292" s="1143"/>
      <c r="AG292" s="394"/>
      <c r="AH292" s="395"/>
      <c r="AI292" s="1135"/>
      <c r="AJ292" s="1135"/>
      <c r="AK292" s="1135"/>
      <c r="AL292" s="1135"/>
      <c r="AM292" s="1135"/>
      <c r="AN292" s="1135"/>
      <c r="AO292" s="1135"/>
      <c r="AP292" s="1135"/>
      <c r="AQ292" s="1137"/>
      <c r="AR292" s="1135"/>
    </row>
    <row r="293" spans="2:44">
      <c r="B293" s="382"/>
      <c r="C293" s="396"/>
      <c r="D293" s="396"/>
      <c r="E293" s="396"/>
      <c r="F293" s="396"/>
      <c r="G293" s="397"/>
      <c r="H293" s="397"/>
      <c r="I293" s="397"/>
      <c r="J293" s="397"/>
      <c r="K293" s="371"/>
      <c r="L293" s="372"/>
      <c r="M293" s="362"/>
      <c r="N293" s="362"/>
      <c r="P293" s="1146"/>
      <c r="Q293" s="1143"/>
      <c r="R293" s="394"/>
      <c r="S293" s="395"/>
      <c r="T293" s="1135"/>
      <c r="U293" s="1135"/>
      <c r="V293" s="1135"/>
      <c r="W293" s="1135"/>
      <c r="X293" s="1135"/>
      <c r="Y293" s="1135"/>
      <c r="Z293" s="1135"/>
      <c r="AA293" s="1135"/>
      <c r="AB293" s="1137"/>
      <c r="AC293" s="1135"/>
      <c r="AE293" s="1146"/>
      <c r="AF293" s="1143"/>
      <c r="AG293" s="394"/>
      <c r="AH293" s="395"/>
      <c r="AI293" s="1135"/>
      <c r="AJ293" s="1135"/>
      <c r="AK293" s="1135"/>
      <c r="AL293" s="1135"/>
      <c r="AM293" s="1135"/>
      <c r="AN293" s="1135"/>
      <c r="AO293" s="1135"/>
      <c r="AP293" s="1135"/>
      <c r="AQ293" s="1137"/>
      <c r="AR293" s="1135"/>
    </row>
    <row r="294" spans="2:44" ht="15" thickBot="1">
      <c r="B294" s="573"/>
      <c r="C294" s="581"/>
      <c r="D294" s="581"/>
      <c r="E294" s="581"/>
      <c r="F294" s="581"/>
      <c r="G294" s="581"/>
      <c r="H294" s="581"/>
      <c r="I294" s="581"/>
      <c r="J294" s="581"/>
      <c r="K294" s="371"/>
      <c r="L294" s="372"/>
      <c r="M294" s="362"/>
      <c r="N294" s="362"/>
      <c r="P294" s="1146"/>
      <c r="Q294" s="1143"/>
      <c r="R294" s="394"/>
      <c r="S294" s="395"/>
      <c r="T294" s="1135"/>
      <c r="U294" s="1135"/>
      <c r="V294" s="1135"/>
      <c r="W294" s="1135"/>
      <c r="X294" s="1135"/>
      <c r="Y294" s="1135"/>
      <c r="Z294" s="1135"/>
      <c r="AA294" s="1135"/>
      <c r="AB294" s="1137"/>
      <c r="AC294" s="1135"/>
      <c r="AE294" s="1146"/>
      <c r="AF294" s="1143"/>
      <c r="AG294" s="394"/>
      <c r="AH294" s="395"/>
      <c r="AI294" s="1135"/>
      <c r="AJ294" s="1135"/>
      <c r="AK294" s="1135"/>
      <c r="AL294" s="1135"/>
      <c r="AM294" s="1135"/>
      <c r="AN294" s="1135"/>
      <c r="AO294" s="1135"/>
      <c r="AP294" s="1135"/>
      <c r="AQ294" s="1137"/>
      <c r="AR294" s="1135"/>
    </row>
    <row r="295" spans="2:44" ht="15" thickBot="1">
      <c r="B295" s="400"/>
      <c r="C295" s="582"/>
      <c r="D295" s="583"/>
      <c r="E295" s="584"/>
      <c r="F295" s="585"/>
      <c r="G295" s="405"/>
      <c r="H295" s="405"/>
      <c r="I295" s="405"/>
      <c r="J295" s="405"/>
      <c r="K295" s="406"/>
      <c r="L295" s="586"/>
      <c r="M295" s="362"/>
      <c r="N295" s="362"/>
      <c r="P295" s="1146"/>
      <c r="Q295" s="1144"/>
      <c r="R295" s="408"/>
      <c r="S295" s="409"/>
      <c r="T295" s="1136"/>
      <c r="U295" s="1136"/>
      <c r="V295" s="1136"/>
      <c r="W295" s="1136"/>
      <c r="X295" s="1136"/>
      <c r="Y295" s="1136"/>
      <c r="Z295" s="1136"/>
      <c r="AA295" s="1136"/>
      <c r="AB295" s="1138"/>
      <c r="AC295" s="1136"/>
      <c r="AE295" s="1146"/>
      <c r="AF295" s="1144"/>
      <c r="AG295" s="408"/>
      <c r="AH295" s="409"/>
      <c r="AI295" s="1136"/>
      <c r="AJ295" s="1136"/>
      <c r="AK295" s="1136"/>
      <c r="AL295" s="1136"/>
      <c r="AM295" s="1136"/>
      <c r="AN295" s="1136"/>
      <c r="AO295" s="1136"/>
      <c r="AP295" s="1136"/>
      <c r="AQ295" s="1138"/>
      <c r="AR295" s="1136"/>
    </row>
    <row r="296" spans="2:44" ht="15" thickBot="1">
      <c r="B296" s="573"/>
      <c r="C296" s="587"/>
      <c r="D296" s="587"/>
      <c r="E296" s="587"/>
      <c r="F296" s="587"/>
      <c r="G296" s="588"/>
      <c r="H296" s="588"/>
      <c r="I296" s="589"/>
      <c r="J296" s="589"/>
      <c r="K296" s="578"/>
      <c r="L296" s="579"/>
      <c r="M296" s="362"/>
      <c r="N296" s="362"/>
      <c r="P296" s="1147"/>
      <c r="Q296" s="410"/>
      <c r="R296" s="411"/>
      <c r="S296" s="412"/>
      <c r="T296" s="590"/>
      <c r="U296" s="591"/>
      <c r="V296" s="592"/>
      <c r="W296" s="591"/>
      <c r="X296" s="592"/>
      <c r="Y296" s="591"/>
      <c r="Z296" s="592"/>
      <c r="AA296" s="591"/>
      <c r="AB296" s="592"/>
      <c r="AC296" s="593"/>
      <c r="AE296" s="1147"/>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5" thickBot="1">
      <c r="B304" s="428"/>
      <c r="C304" s="396"/>
      <c r="D304" s="396"/>
      <c r="E304" s="396"/>
      <c r="F304" s="396"/>
      <c r="G304" s="424"/>
      <c r="H304" s="424"/>
      <c r="I304" s="424"/>
      <c r="J304" s="424"/>
      <c r="K304" s="422"/>
      <c r="L304" s="426"/>
      <c r="M304" s="427"/>
      <c r="N304" s="427"/>
    </row>
    <row r="305" spans="1:30" ht="15"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39"/>
      <c r="Q310" s="1140"/>
      <c r="R310" s="1140"/>
      <c r="S310" s="1140"/>
      <c r="T310" s="1140"/>
      <c r="U310" s="1141"/>
    </row>
    <row r="311" spans="1:30" ht="15" thickBot="1">
      <c r="B311" s="540"/>
      <c r="C311" s="551"/>
      <c r="D311" s="551"/>
      <c r="E311" s="551"/>
      <c r="F311" s="551"/>
      <c r="G311" s="552"/>
      <c r="H311" s="552"/>
      <c r="I311" s="552"/>
      <c r="J311" s="552"/>
      <c r="K311" s="546"/>
      <c r="L311" s="547"/>
      <c r="M311" s="449"/>
      <c r="N311" s="360"/>
      <c r="P311" s="1131"/>
      <c r="Q311" s="1132"/>
      <c r="R311" s="1132"/>
      <c r="S311" s="1132"/>
      <c r="T311" s="1132"/>
      <c r="U311" s="1133"/>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5"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5"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5"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57" r:id="rId1" xr:uid="{FCFA3928-FFA5-43A1-AE5D-5AB0F2CA2750}"/>
    <hyperlink ref="C129" r:id="rId2" xr:uid="{332C3EDC-FB5B-481E-8917-7720FAD39F1B}"/>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339-46CF-4919-A2AD-EFD5CDD24628}">
  <sheetPr>
    <tabColor theme="3"/>
  </sheetPr>
  <dimension ref="A2:AR345"/>
  <sheetViews>
    <sheetView topLeftCell="M4" zoomScale="85" zoomScaleNormal="85" workbookViewId="0">
      <selection activeCell="V29" sqref="V29"/>
    </sheetView>
  </sheetViews>
  <sheetFormatPr defaultColWidth="8.77734375" defaultRowHeight="14.4" outlineLevelRow="1"/>
  <cols>
    <col min="1" max="1" width="27.3320312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Booster heat pump, up to 150 °C, Temp lift = 130 K, steam</v>
      </c>
    </row>
    <row r="4" spans="1:44" ht="25.05" customHeight="1">
      <c r="E4" s="224" t="s">
        <v>358</v>
      </c>
      <c r="F4" s="358">
        <v>7.45</v>
      </c>
      <c r="G4" s="358" t="s">
        <v>328</v>
      </c>
    </row>
    <row r="5" spans="1:44" ht="15" customHeight="1">
      <c r="A5" s="359" t="s">
        <v>862</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848</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4</v>
      </c>
      <c r="D10" s="371">
        <v>4</v>
      </c>
      <c r="E10" s="371">
        <v>4</v>
      </c>
      <c r="F10" s="371">
        <v>4</v>
      </c>
      <c r="G10" s="371">
        <v>1</v>
      </c>
      <c r="H10" s="371">
        <v>10</v>
      </c>
      <c r="I10" s="371">
        <v>1</v>
      </c>
      <c r="J10" s="371">
        <v>15</v>
      </c>
      <c r="K10" s="371" t="s">
        <v>6</v>
      </c>
      <c r="L10" s="372"/>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198</v>
      </c>
      <c r="D11" s="638">
        <v>203.94</v>
      </c>
      <c r="E11" s="639">
        <v>208.0188</v>
      </c>
      <c r="F11" s="638">
        <v>210.09898799999999</v>
      </c>
      <c r="G11" s="376">
        <v>198</v>
      </c>
      <c r="H11" s="638">
        <v>207.9</v>
      </c>
      <c r="I11" s="638">
        <v>203.79601835999998</v>
      </c>
      <c r="J11" s="638">
        <v>214.30096775999999</v>
      </c>
      <c r="K11" s="378" t="s">
        <v>801</v>
      </c>
      <c r="L11" s="379"/>
      <c r="M11" s="369"/>
      <c r="N11" s="369"/>
      <c r="P11" s="1196" t="str">
        <f>C7</f>
        <v>Booster heat pump, up to 150 °C, Temp lift = 130 K, steam</v>
      </c>
      <c r="Q11" s="1151" t="s">
        <v>693</v>
      </c>
      <c r="R11" s="380" t="s">
        <v>694</v>
      </c>
      <c r="S11" s="381" t="s">
        <v>805</v>
      </c>
      <c r="T11" s="1134">
        <v>0</v>
      </c>
      <c r="U11" s="1148">
        <v>0</v>
      </c>
      <c r="V11" s="1154">
        <v>0</v>
      </c>
      <c r="W11" s="1148">
        <v>0</v>
      </c>
      <c r="X11" s="1154">
        <v>0</v>
      </c>
      <c r="Y11" s="1148">
        <v>0</v>
      </c>
      <c r="Z11" s="1154">
        <v>0</v>
      </c>
      <c r="AA11" s="1148">
        <v>0</v>
      </c>
      <c r="AB11" s="1154">
        <v>0</v>
      </c>
      <c r="AC11" s="1148">
        <v>0</v>
      </c>
      <c r="AE11" s="1145" t="str">
        <f>P11</f>
        <v>Booster heat pump, up to 150 °C, Temp lift = 130 K, steam</v>
      </c>
      <c r="AF11" s="1151" t="s">
        <v>693</v>
      </c>
      <c r="AG11" s="380" t="s">
        <v>694</v>
      </c>
      <c r="AH11" s="381" t="str">
        <f t="shared" ref="AH11:AH13" si="0">S11</f>
        <v/>
      </c>
      <c r="AI11" s="1134">
        <v>0</v>
      </c>
      <c r="AJ11" s="1148">
        <v>0</v>
      </c>
      <c r="AK11" s="1154">
        <v>0</v>
      </c>
      <c r="AL11" s="1148">
        <v>0</v>
      </c>
      <c r="AM11" s="1154">
        <v>0</v>
      </c>
      <c r="AN11" s="1148">
        <v>0</v>
      </c>
      <c r="AO11" s="1154">
        <v>0</v>
      </c>
      <c r="AP11" s="1148">
        <v>0</v>
      </c>
      <c r="AQ11" s="1154">
        <v>0</v>
      </c>
      <c r="AR11" s="1148">
        <v>0</v>
      </c>
    </row>
    <row r="12" spans="1:44" ht="32.549999999999997" customHeight="1" outlineLevel="1">
      <c r="B12" s="382" t="s">
        <v>695</v>
      </c>
      <c r="C12" s="576">
        <v>193</v>
      </c>
      <c r="D12" s="576">
        <v>198.94</v>
      </c>
      <c r="E12" s="576">
        <v>203.0188</v>
      </c>
      <c r="F12" s="576">
        <v>205.09898799999999</v>
      </c>
      <c r="G12" s="640">
        <v>193</v>
      </c>
      <c r="H12" s="640">
        <v>202.9</v>
      </c>
      <c r="I12" s="640">
        <v>198.79601835999998</v>
      </c>
      <c r="J12" s="640">
        <v>209.30096775999999</v>
      </c>
      <c r="K12" s="385" t="s">
        <v>20</v>
      </c>
      <c r="L12" s="386"/>
      <c r="M12" s="369"/>
      <c r="N12" s="369"/>
      <c r="O12" s="71"/>
      <c r="P12" s="1192"/>
      <c r="Q12" s="1152"/>
      <c r="R12" s="387" t="s">
        <v>696</v>
      </c>
      <c r="S12" s="388" t="s">
        <v>805</v>
      </c>
      <c r="T12" s="1137"/>
      <c r="U12" s="1149"/>
      <c r="V12" s="1155"/>
      <c r="W12" s="1149"/>
      <c r="X12" s="1155"/>
      <c r="Y12" s="1149"/>
      <c r="Z12" s="1155"/>
      <c r="AA12" s="1149"/>
      <c r="AB12" s="1155"/>
      <c r="AC12" s="1149"/>
      <c r="AE12" s="1192"/>
      <c r="AF12" s="1152"/>
      <c r="AG12" s="387" t="s">
        <v>696</v>
      </c>
      <c r="AH12" s="388" t="str">
        <f t="shared" si="0"/>
        <v/>
      </c>
      <c r="AI12" s="1137"/>
      <c r="AJ12" s="1149"/>
      <c r="AK12" s="1155"/>
      <c r="AL12" s="1149"/>
      <c r="AM12" s="1155"/>
      <c r="AN12" s="1149"/>
      <c r="AO12" s="1155"/>
      <c r="AP12" s="1149"/>
      <c r="AQ12" s="1155"/>
      <c r="AR12" s="1149"/>
    </row>
    <row r="13" spans="1:44" ht="15" outlineLevel="1" thickBot="1">
      <c r="B13" s="375" t="s">
        <v>697</v>
      </c>
      <c r="C13" s="389">
        <v>2</v>
      </c>
      <c r="D13" s="390">
        <v>2</v>
      </c>
      <c r="E13" s="390">
        <v>2</v>
      </c>
      <c r="F13" s="391">
        <v>2</v>
      </c>
      <c r="G13" s="390">
        <v>1</v>
      </c>
      <c r="H13" s="390">
        <v>4</v>
      </c>
      <c r="I13" s="390">
        <v>1</v>
      </c>
      <c r="J13" s="390">
        <v>4</v>
      </c>
      <c r="K13" s="378" t="s">
        <v>76</v>
      </c>
      <c r="L13" s="379"/>
      <c r="M13" s="369"/>
      <c r="N13" s="369"/>
      <c r="O13" s="71"/>
      <c r="P13" s="1192"/>
      <c r="Q13" s="1153"/>
      <c r="R13" s="392" t="s">
        <v>698</v>
      </c>
      <c r="S13" s="393" t="s">
        <v>805</v>
      </c>
      <c r="T13" s="1138"/>
      <c r="U13" s="1150"/>
      <c r="V13" s="1156"/>
      <c r="W13" s="1150"/>
      <c r="X13" s="1156"/>
      <c r="Y13" s="1150"/>
      <c r="Z13" s="1156"/>
      <c r="AA13" s="1150"/>
      <c r="AB13" s="1156"/>
      <c r="AC13" s="1150"/>
      <c r="AE13" s="1192"/>
      <c r="AF13" s="1153"/>
      <c r="AG13" s="392" t="s">
        <v>698</v>
      </c>
      <c r="AH13" s="393" t="str">
        <f t="shared" si="0"/>
        <v/>
      </c>
      <c r="AI13" s="1138"/>
      <c r="AJ13" s="1150"/>
      <c r="AK13" s="1156"/>
      <c r="AL13" s="1150"/>
      <c r="AM13" s="1156"/>
      <c r="AN13" s="1150"/>
      <c r="AO13" s="1156"/>
      <c r="AP13" s="1150"/>
      <c r="AQ13" s="1156"/>
      <c r="AR13" s="1150"/>
    </row>
    <row r="14" spans="1:44" ht="15" customHeight="1" outlineLevel="1">
      <c r="B14" s="375" t="s">
        <v>637</v>
      </c>
      <c r="C14" s="389">
        <v>0</v>
      </c>
      <c r="D14" s="389">
        <v>0</v>
      </c>
      <c r="E14" s="389">
        <v>0</v>
      </c>
      <c r="F14" s="389">
        <v>0</v>
      </c>
      <c r="G14" s="389">
        <v>0</v>
      </c>
      <c r="H14" s="389">
        <v>1</v>
      </c>
      <c r="I14" s="389">
        <v>0</v>
      </c>
      <c r="J14" s="389">
        <v>1</v>
      </c>
      <c r="K14" s="378" t="s">
        <v>76</v>
      </c>
      <c r="L14" s="379"/>
      <c r="M14" s="369"/>
      <c r="N14" s="369"/>
      <c r="O14" s="71"/>
      <c r="P14" s="1192"/>
      <c r="Q14" s="1151" t="s">
        <v>699</v>
      </c>
      <c r="R14" s="394" t="s">
        <v>700</v>
      </c>
      <c r="S14" s="395" t="s">
        <v>701</v>
      </c>
      <c r="T14" s="1134">
        <v>0</v>
      </c>
      <c r="U14" s="1134">
        <v>0.63</v>
      </c>
      <c r="V14" s="1134">
        <v>0</v>
      </c>
      <c r="W14" s="1134">
        <v>0.36</v>
      </c>
      <c r="X14" s="1134">
        <v>0</v>
      </c>
      <c r="Y14" s="1134">
        <v>0.23</v>
      </c>
      <c r="Z14" s="1134">
        <v>0</v>
      </c>
      <c r="AA14" s="1134">
        <v>0.66</v>
      </c>
      <c r="AB14" s="1134">
        <v>0</v>
      </c>
      <c r="AC14" s="1148">
        <v>0.47</v>
      </c>
      <c r="AE14" s="1192"/>
      <c r="AF14" s="1151" t="s">
        <v>699</v>
      </c>
      <c r="AG14" s="394" t="s">
        <v>700</v>
      </c>
      <c r="AH14" s="395" t="str">
        <f>S14</f>
        <v>x</v>
      </c>
      <c r="AI14" s="1134">
        <v>0</v>
      </c>
      <c r="AJ14" s="1134">
        <f>U14/4</f>
        <v>0.1575</v>
      </c>
      <c r="AK14" s="1134">
        <v>0</v>
      </c>
      <c r="AL14" s="1134">
        <f>W14/4</f>
        <v>0.09</v>
      </c>
      <c r="AM14" s="1134">
        <v>0</v>
      </c>
      <c r="AN14" s="1134">
        <f>Y14/4</f>
        <v>5.7500000000000002E-2</v>
      </c>
      <c r="AO14" s="1134">
        <v>0</v>
      </c>
      <c r="AP14" s="1134">
        <f>AA14/4</f>
        <v>0.16500000000000001</v>
      </c>
      <c r="AQ14" s="1134">
        <v>0</v>
      </c>
      <c r="AR14" s="1148">
        <f>AC14/4</f>
        <v>0.11749999999999999</v>
      </c>
    </row>
    <row r="15" spans="1:44" outlineLevel="1">
      <c r="B15" s="375" t="s">
        <v>638</v>
      </c>
      <c r="C15" s="389">
        <v>1</v>
      </c>
      <c r="D15" s="389">
        <v>1</v>
      </c>
      <c r="E15" s="389">
        <v>1</v>
      </c>
      <c r="F15" s="389">
        <v>1</v>
      </c>
      <c r="G15" s="389">
        <v>0.5</v>
      </c>
      <c r="H15" s="389">
        <v>2</v>
      </c>
      <c r="I15" s="389">
        <v>0.5</v>
      </c>
      <c r="J15" s="389">
        <v>2</v>
      </c>
      <c r="K15" s="378" t="s">
        <v>76</v>
      </c>
      <c r="L15" s="379"/>
      <c r="M15" s="366"/>
      <c r="N15" s="366"/>
      <c r="O15" s="71"/>
      <c r="P15" s="1192"/>
      <c r="Q15" s="1152"/>
      <c r="R15" s="394" t="s">
        <v>702</v>
      </c>
      <c r="S15" s="395" t="s">
        <v>701</v>
      </c>
      <c r="T15" s="1188"/>
      <c r="U15" s="1188"/>
      <c r="V15" s="1188"/>
      <c r="W15" s="1188"/>
      <c r="X15" s="1188"/>
      <c r="Y15" s="1188"/>
      <c r="Z15" s="1188"/>
      <c r="AA15" s="1188"/>
      <c r="AB15" s="1188"/>
      <c r="AC15" s="1190"/>
      <c r="AE15" s="1192"/>
      <c r="AF15" s="1152"/>
      <c r="AG15" s="394" t="s">
        <v>702</v>
      </c>
      <c r="AH15" s="395" t="str">
        <f>S15</f>
        <v>x</v>
      </c>
      <c r="AI15" s="1188"/>
      <c r="AJ15" s="1188"/>
      <c r="AK15" s="1188"/>
      <c r="AL15" s="1188"/>
      <c r="AM15" s="1188"/>
      <c r="AN15" s="1188"/>
      <c r="AO15" s="1188"/>
      <c r="AP15" s="1188"/>
      <c r="AQ15" s="1188"/>
      <c r="AR15" s="1190"/>
    </row>
    <row r="16" spans="1:44" outlineLevel="1">
      <c r="B16" s="382" t="s">
        <v>11</v>
      </c>
      <c r="C16" s="396">
        <v>20</v>
      </c>
      <c r="D16" s="396">
        <v>20</v>
      </c>
      <c r="E16" s="396">
        <v>20</v>
      </c>
      <c r="F16" s="396">
        <v>20</v>
      </c>
      <c r="G16" s="397">
        <v>15</v>
      </c>
      <c r="H16" s="397">
        <v>30</v>
      </c>
      <c r="I16" s="397">
        <v>15</v>
      </c>
      <c r="J16" s="397">
        <v>30</v>
      </c>
      <c r="K16" s="371" t="s">
        <v>76</v>
      </c>
      <c r="L16" s="372"/>
      <c r="M16" s="362"/>
      <c r="N16" s="362"/>
      <c r="P16" s="1192"/>
      <c r="Q16" s="1152"/>
      <c r="R16" s="394" t="s">
        <v>704</v>
      </c>
      <c r="S16" s="395" t="s">
        <v>701</v>
      </c>
      <c r="T16" s="1188"/>
      <c r="U16" s="1188"/>
      <c r="V16" s="1188"/>
      <c r="W16" s="1188"/>
      <c r="X16" s="1188"/>
      <c r="Y16" s="1188"/>
      <c r="Z16" s="1188"/>
      <c r="AA16" s="1188"/>
      <c r="AB16" s="1188"/>
      <c r="AC16" s="1190"/>
      <c r="AE16" s="1192"/>
      <c r="AF16" s="1152"/>
      <c r="AG16" s="394" t="s">
        <v>704</v>
      </c>
      <c r="AH16" s="628" t="str">
        <f>S16</f>
        <v>x</v>
      </c>
      <c r="AI16" s="1188"/>
      <c r="AJ16" s="1188"/>
      <c r="AK16" s="1188"/>
      <c r="AL16" s="1188"/>
      <c r="AM16" s="1188"/>
      <c r="AN16" s="1188"/>
      <c r="AO16" s="1188"/>
      <c r="AP16" s="1188"/>
      <c r="AQ16" s="1188"/>
      <c r="AR16" s="1190"/>
    </row>
    <row r="17" spans="1:44" ht="15" outlineLevel="1" thickBot="1">
      <c r="B17" s="375" t="s">
        <v>273</v>
      </c>
      <c r="C17" s="398">
        <v>0.6</v>
      </c>
      <c r="D17" s="398">
        <v>0.6</v>
      </c>
      <c r="E17" s="398">
        <v>0.6</v>
      </c>
      <c r="F17" s="398">
        <v>0.6</v>
      </c>
      <c r="G17" s="398">
        <v>0.4</v>
      </c>
      <c r="H17" s="398">
        <v>0.8</v>
      </c>
      <c r="I17" s="398">
        <v>0.4</v>
      </c>
      <c r="J17" s="398">
        <v>0.8</v>
      </c>
      <c r="K17" s="371" t="s">
        <v>25</v>
      </c>
      <c r="L17" s="399"/>
      <c r="M17" s="362"/>
      <c r="N17" s="362"/>
      <c r="P17" s="1192"/>
      <c r="Q17" s="1152"/>
      <c r="R17" s="394" t="s">
        <v>705</v>
      </c>
      <c r="S17" s="395" t="s">
        <v>701</v>
      </c>
      <c r="T17" s="1188"/>
      <c r="U17" s="1188"/>
      <c r="V17" s="1188"/>
      <c r="W17" s="1188"/>
      <c r="X17" s="1188"/>
      <c r="Y17" s="1188"/>
      <c r="Z17" s="1188"/>
      <c r="AA17" s="1188"/>
      <c r="AB17" s="1188"/>
      <c r="AC17" s="1190"/>
      <c r="AE17" s="1192"/>
      <c r="AF17" s="1152"/>
      <c r="AG17" s="394" t="s">
        <v>705</v>
      </c>
      <c r="AH17" s="395" t="str">
        <f>S17</f>
        <v>x</v>
      </c>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t="s">
        <v>701</v>
      </c>
      <c r="T18" s="1189"/>
      <c r="U18" s="1189"/>
      <c r="V18" s="1189"/>
      <c r="W18" s="1189"/>
      <c r="X18" s="1189"/>
      <c r="Y18" s="1189"/>
      <c r="Z18" s="1189"/>
      <c r="AA18" s="1189"/>
      <c r="AB18" s="1189"/>
      <c r="AC18" s="1191"/>
      <c r="AE18" s="1192"/>
      <c r="AF18" s="1153"/>
      <c r="AG18" s="408" t="s">
        <v>826</v>
      </c>
      <c r="AH18" s="409" t="str">
        <f>S18</f>
        <v>x</v>
      </c>
      <c r="AI18" s="1189"/>
      <c r="AJ18" s="1189"/>
      <c r="AK18" s="1189"/>
      <c r="AL18" s="1189"/>
      <c r="AM18" s="1189"/>
      <c r="AN18" s="1189"/>
      <c r="AO18" s="1189"/>
      <c r="AP18" s="1189"/>
      <c r="AQ18" s="1189"/>
      <c r="AR18" s="1191"/>
    </row>
    <row r="19" spans="1:44" ht="29.4" outlineLevel="1" thickBot="1">
      <c r="B19" s="375" t="s">
        <v>643</v>
      </c>
      <c r="C19" s="389"/>
      <c r="D19" s="389"/>
      <c r="E19" s="389"/>
      <c r="F19" s="389"/>
      <c r="G19" s="390"/>
      <c r="H19" s="390"/>
      <c r="I19" s="390"/>
      <c r="J19" s="390"/>
      <c r="K19" s="378"/>
      <c r="L19" s="379">
        <v>1</v>
      </c>
      <c r="M19" s="362"/>
      <c r="N19" s="362"/>
      <c r="P19" s="1193"/>
      <c r="Q19" s="410" t="s">
        <v>708</v>
      </c>
      <c r="R19" s="411" t="s">
        <v>709</v>
      </c>
      <c r="S19" s="629" t="s">
        <v>701</v>
      </c>
      <c r="T19" s="415">
        <v>1</v>
      </c>
      <c r="U19" s="414">
        <v>1</v>
      </c>
      <c r="V19" s="415">
        <v>1</v>
      </c>
      <c r="W19" s="414">
        <v>1</v>
      </c>
      <c r="X19" s="415">
        <v>1</v>
      </c>
      <c r="Y19" s="414">
        <v>1</v>
      </c>
      <c r="Z19" s="415">
        <v>1</v>
      </c>
      <c r="AA19" s="414">
        <v>1</v>
      </c>
      <c r="AB19" s="415">
        <v>1</v>
      </c>
      <c r="AC19" s="416">
        <v>1</v>
      </c>
      <c r="AE19" s="1193"/>
      <c r="AF19" s="410" t="s">
        <v>708</v>
      </c>
      <c r="AG19" s="1246" t="s">
        <v>709</v>
      </c>
      <c r="AH19" s="1247" t="s">
        <v>701</v>
      </c>
      <c r="AI19" s="415">
        <v>1</v>
      </c>
      <c r="AJ19" s="414">
        <v>1</v>
      </c>
      <c r="AK19" s="415">
        <v>1</v>
      </c>
      <c r="AL19" s="414">
        <v>1</v>
      </c>
      <c r="AM19" s="415">
        <v>1</v>
      </c>
      <c r="AN19" s="414">
        <v>1</v>
      </c>
      <c r="AO19" s="415">
        <v>1</v>
      </c>
      <c r="AP19" s="414">
        <v>1</v>
      </c>
      <c r="AQ19" s="415">
        <v>1</v>
      </c>
      <c r="AR19" s="416">
        <v>1</v>
      </c>
    </row>
    <row r="20" spans="1:44" outlineLevel="1">
      <c r="B20" s="375" t="s">
        <v>644</v>
      </c>
      <c r="C20" s="389">
        <v>0.5</v>
      </c>
      <c r="D20" s="389">
        <v>0.5</v>
      </c>
      <c r="E20" s="389">
        <v>0.5</v>
      </c>
      <c r="F20" s="389">
        <v>0.5</v>
      </c>
      <c r="G20" s="417"/>
      <c r="H20" s="417"/>
      <c r="I20" s="417"/>
      <c r="J20" s="417"/>
      <c r="K20" s="418" t="s">
        <v>76</v>
      </c>
      <c r="L20" s="379"/>
      <c r="M20" s="362"/>
      <c r="N20" s="362"/>
    </row>
    <row r="21" spans="1:44" outlineLevel="1">
      <c r="B21" s="375" t="s">
        <v>646</v>
      </c>
      <c r="C21" s="389">
        <v>1</v>
      </c>
      <c r="D21" s="389">
        <v>1</v>
      </c>
      <c r="E21" s="389">
        <v>1</v>
      </c>
      <c r="F21" s="389">
        <v>1</v>
      </c>
      <c r="G21" s="417"/>
      <c r="H21" s="417"/>
      <c r="I21" s="417"/>
      <c r="J21" s="417"/>
      <c r="K21" s="418" t="s">
        <v>76</v>
      </c>
      <c r="L21" s="379"/>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t="s">
        <v>649</v>
      </c>
      <c r="D23" s="1229"/>
      <c r="E23" s="1229"/>
      <c r="F23" s="1230"/>
      <c r="G23" s="421"/>
      <c r="H23" s="424"/>
      <c r="I23" s="424"/>
      <c r="J23" s="424"/>
      <c r="K23" s="425"/>
      <c r="L23" s="426"/>
      <c r="M23" s="427"/>
      <c r="N23" s="427"/>
    </row>
    <row r="24" spans="1:44" outlineLevel="1">
      <c r="B24" s="382" t="s">
        <v>712</v>
      </c>
      <c r="C24" s="1231"/>
      <c r="D24" s="1232"/>
      <c r="E24" s="1232"/>
      <c r="F24" s="1233"/>
      <c r="G24" s="424"/>
      <c r="H24" s="424"/>
      <c r="I24" s="424"/>
      <c r="J24" s="424"/>
      <c r="K24" s="422"/>
      <c r="L24" s="426"/>
      <c r="M24" s="427"/>
      <c r="N24" s="427"/>
    </row>
    <row r="25" spans="1:44" outlineLevel="1">
      <c r="B25" s="382" t="s">
        <v>807</v>
      </c>
      <c r="C25" s="1231"/>
      <c r="D25" s="1232"/>
      <c r="E25" s="1232"/>
      <c r="F25" s="1233"/>
      <c r="G25" s="424"/>
      <c r="H25" s="424"/>
      <c r="I25" s="424"/>
      <c r="J25" s="424"/>
      <c r="K25" s="422"/>
      <c r="L25" s="426"/>
      <c r="M25" s="427"/>
      <c r="N25" s="427"/>
    </row>
    <row r="26" spans="1:44" outlineLevel="1">
      <c r="B26" s="382" t="s">
        <v>366</v>
      </c>
      <c r="C26" s="1231"/>
      <c r="D26" s="1232"/>
      <c r="E26" s="1232"/>
      <c r="F26" s="1233"/>
      <c r="G26" s="424"/>
      <c r="H26" s="424"/>
      <c r="I26" s="424"/>
      <c r="J26" s="424"/>
      <c r="K26" s="422"/>
      <c r="L26" s="426"/>
      <c r="M26" s="427"/>
      <c r="N26" s="427"/>
    </row>
    <row r="27" spans="1:44" ht="15" outlineLevel="1" thickBot="1">
      <c r="B27" s="428" t="s">
        <v>367</v>
      </c>
      <c r="C27" s="1234"/>
      <c r="D27" s="1235"/>
      <c r="E27" s="1235"/>
      <c r="F27" s="1236"/>
      <c r="G27" s="424"/>
      <c r="H27" s="424"/>
      <c r="I27" s="424"/>
      <c r="J27" s="424"/>
      <c r="K27" s="422"/>
      <c r="L27" s="426"/>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550">
        <v>1.6320658640726422</v>
      </c>
      <c r="D29" s="646">
        <v>1.3230944850997819</v>
      </c>
      <c r="E29" s="646">
        <v>1.0369854809541614</v>
      </c>
      <c r="F29" s="647">
        <v>0.93368259858177483</v>
      </c>
      <c r="G29" s="424"/>
      <c r="H29" s="424"/>
      <c r="I29" s="424"/>
      <c r="J29" s="424"/>
      <c r="K29" s="425" t="s">
        <v>33</v>
      </c>
      <c r="L29" s="439"/>
      <c r="M29" s="419"/>
      <c r="N29" s="419"/>
    </row>
    <row r="30" spans="1:44" outlineLevel="1">
      <c r="B30" s="440" t="s">
        <v>802</v>
      </c>
      <c r="C30" s="441">
        <v>50</v>
      </c>
      <c r="D30" s="441">
        <v>50</v>
      </c>
      <c r="E30" s="441">
        <v>50</v>
      </c>
      <c r="F30" s="441">
        <v>50</v>
      </c>
      <c r="G30" s="424"/>
      <c r="H30" s="424"/>
      <c r="I30" s="424"/>
      <c r="J30" s="424"/>
      <c r="K30" s="443" t="s">
        <v>51</v>
      </c>
      <c r="L30" s="372"/>
      <c r="M30" s="71"/>
      <c r="N30" s="419"/>
    </row>
    <row r="31" spans="1:44" outlineLevel="1">
      <c r="B31" s="440" t="s">
        <v>803</v>
      </c>
      <c r="C31" s="441">
        <v>50</v>
      </c>
      <c r="D31" s="441">
        <v>50</v>
      </c>
      <c r="E31" s="441">
        <v>50</v>
      </c>
      <c r="F31" s="441">
        <v>50</v>
      </c>
      <c r="G31" s="424"/>
      <c r="H31" s="424"/>
      <c r="I31" s="424"/>
      <c r="J31" s="424"/>
      <c r="K31" s="443" t="s">
        <v>52</v>
      </c>
      <c r="L31" s="372"/>
      <c r="M31" s="419"/>
      <c r="N31" s="419"/>
    </row>
    <row r="32" spans="1:44" outlineLevel="1">
      <c r="B32" s="382" t="s">
        <v>804</v>
      </c>
      <c r="C32" s="444">
        <v>2000</v>
      </c>
      <c r="D32" s="445">
        <v>2000</v>
      </c>
      <c r="E32" s="445">
        <v>2000</v>
      </c>
      <c r="F32" s="446">
        <v>2000</v>
      </c>
      <c r="G32" s="424"/>
      <c r="H32" s="424"/>
      <c r="I32" s="424"/>
      <c r="J32" s="424"/>
      <c r="K32" s="447" t="s">
        <v>76</v>
      </c>
      <c r="L32" s="372"/>
      <c r="M32" s="419"/>
      <c r="N32" s="419"/>
    </row>
    <row r="33" spans="2:30" ht="37.049999999999997" customHeight="1" outlineLevel="1" thickBot="1">
      <c r="B33" s="382" t="s">
        <v>659</v>
      </c>
      <c r="C33" s="448">
        <f>C34+C35</f>
        <v>3.4400000000000004</v>
      </c>
      <c r="D33" s="448">
        <f t="shared" ref="D33:F33" si="1">D34+D35</f>
        <v>3.37</v>
      </c>
      <c r="E33" s="448">
        <f t="shared" si="1"/>
        <v>3.335</v>
      </c>
      <c r="F33" s="448">
        <f t="shared" si="1"/>
        <v>3.2800000000000002</v>
      </c>
      <c r="G33" s="424"/>
      <c r="H33" s="424"/>
      <c r="I33" s="424"/>
      <c r="J33" s="424"/>
      <c r="K33" s="447"/>
      <c r="L33" s="372"/>
      <c r="M33" s="449"/>
      <c r="N33" s="360"/>
      <c r="P33" s="1139">
        <f>C33</f>
        <v>3.4400000000000004</v>
      </c>
      <c r="Q33" s="1140"/>
      <c r="R33" s="1140"/>
      <c r="S33" s="1140"/>
      <c r="T33" s="1140"/>
      <c r="U33" s="1141"/>
    </row>
    <row r="34" spans="2:30" ht="15.75" customHeight="1" outlineLevel="1" thickBot="1">
      <c r="B34" s="450" t="s">
        <v>721</v>
      </c>
      <c r="C34" s="451">
        <f>C13/100*73</f>
        <v>1.46</v>
      </c>
      <c r="D34" s="451">
        <f>D13/100*75</f>
        <v>1.5</v>
      </c>
      <c r="E34" s="451">
        <f>E13/100*76</f>
        <v>1.52</v>
      </c>
      <c r="F34" s="451">
        <f>F13/100*76</f>
        <v>1.52</v>
      </c>
      <c r="G34" s="452"/>
      <c r="H34" s="452"/>
      <c r="I34" s="452"/>
      <c r="J34" s="452"/>
      <c r="K34" s="378" t="s">
        <v>55</v>
      </c>
      <c r="L34" s="379"/>
      <c r="M34" s="449"/>
      <c r="N34" s="360"/>
      <c r="P34" s="1131">
        <f>C34</f>
        <v>1.46</v>
      </c>
      <c r="Q34" s="1132"/>
      <c r="R34" s="1132"/>
      <c r="S34" s="1132"/>
      <c r="T34" s="1132"/>
      <c r="U34" s="1133"/>
    </row>
    <row r="35" spans="2:30" outlineLevel="1">
      <c r="B35" s="450" t="s">
        <v>722</v>
      </c>
      <c r="C35" s="453">
        <v>1.9800000000000002</v>
      </c>
      <c r="D35" s="453">
        <v>1.87</v>
      </c>
      <c r="E35" s="453">
        <v>1.8149999999999999</v>
      </c>
      <c r="F35" s="453">
        <v>1.7600000000000002</v>
      </c>
      <c r="G35" s="452"/>
      <c r="H35" s="452"/>
      <c r="I35" s="452"/>
      <c r="J35" s="452"/>
      <c r="K35" s="454" t="s">
        <v>49</v>
      </c>
      <c r="L35" s="379"/>
      <c r="M35" s="362"/>
      <c r="N35" s="362"/>
      <c r="P35" s="53" t="s">
        <v>357</v>
      </c>
    </row>
    <row r="36" spans="2:30" ht="27.6"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v>0.32641317281452847</v>
      </c>
      <c r="D39" s="632">
        <v>0.26461889701995639</v>
      </c>
      <c r="E39" s="632">
        <v>0.2073970961908323</v>
      </c>
      <c r="F39" s="632">
        <v>0.18673651971635497</v>
      </c>
      <c r="G39" s="642"/>
      <c r="H39" s="642"/>
      <c r="I39" s="642"/>
      <c r="J39" s="642"/>
      <c r="K39" s="642" t="s">
        <v>374</v>
      </c>
      <c r="L39" s="463"/>
      <c r="M39" s="362"/>
      <c r="N39" s="362"/>
      <c r="O39" s="464">
        <f>C12</f>
        <v>193</v>
      </c>
      <c r="P39" s="465">
        <f>C8</f>
        <v>2020</v>
      </c>
      <c r="Q39" s="58">
        <f>P39</f>
        <v>2020</v>
      </c>
      <c r="R39" s="465">
        <f>O39/100</f>
        <v>1.93</v>
      </c>
      <c r="S39" s="58"/>
      <c r="T39" s="465">
        <f>C16</f>
        <v>20</v>
      </c>
      <c r="U39" s="466">
        <f>C46</f>
        <v>12158.890687341185</v>
      </c>
      <c r="V39" s="466">
        <f>C48</f>
        <v>14.9</v>
      </c>
      <c r="W39" s="466">
        <f>C49</f>
        <v>7.1188888888888897</v>
      </c>
      <c r="X39" s="58"/>
      <c r="Y39" s="58"/>
      <c r="Z39" s="465" t="str">
        <f>C23</f>
        <v>Cf. the utilized electricity</v>
      </c>
      <c r="AA39" s="467">
        <f>C25</f>
        <v>0</v>
      </c>
      <c r="AB39" s="467">
        <f>C26</f>
        <v>0</v>
      </c>
      <c r="AC39" s="467">
        <f>C27</f>
        <v>0</v>
      </c>
      <c r="AD39" s="467">
        <f>C24</f>
        <v>0</v>
      </c>
    </row>
    <row r="40" spans="2:30" ht="14.55" customHeight="1" outlineLevel="1">
      <c r="B40" s="375" t="s">
        <v>726</v>
      </c>
      <c r="C40" s="468" t="s">
        <v>36</v>
      </c>
      <c r="D40" s="469" t="s">
        <v>36</v>
      </c>
      <c r="E40" s="469" t="s">
        <v>36</v>
      </c>
      <c r="F40" s="470" t="s">
        <v>36</v>
      </c>
      <c r="G40" s="470"/>
      <c r="H40" s="470"/>
      <c r="I40" s="470"/>
      <c r="J40" s="470"/>
      <c r="K40" s="471" t="s">
        <v>849</v>
      </c>
      <c r="L40" s="463"/>
      <c r="M40" s="362"/>
      <c r="N40" s="362"/>
      <c r="O40" s="464">
        <f>D12</f>
        <v>198.94</v>
      </c>
      <c r="P40" s="465">
        <f>D8</f>
        <v>2030</v>
      </c>
      <c r="Q40" s="58"/>
      <c r="R40" s="465">
        <f>O40/100</f>
        <v>1.9894000000000001</v>
      </c>
      <c r="S40" s="58"/>
      <c r="T40" s="465">
        <f>D16</f>
        <v>20</v>
      </c>
      <c r="U40" s="466">
        <f>D46</f>
        <v>9857.0539139933753</v>
      </c>
      <c r="V40" s="466">
        <f>D48</f>
        <v>14.9</v>
      </c>
      <c r="W40" s="466">
        <f>D49</f>
        <v>6.9740277777777777</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203.0188</v>
      </c>
      <c r="P41" s="465">
        <f>E8</f>
        <v>2040</v>
      </c>
      <c r="Q41" s="58"/>
      <c r="R41" s="465">
        <f>O41/100</f>
        <v>2.0301879999999999</v>
      </c>
      <c r="S41" s="58"/>
      <c r="T41" s="465">
        <f>E16</f>
        <v>20</v>
      </c>
      <c r="U41" s="466">
        <f>E46</f>
        <v>7725.5418331085029</v>
      </c>
      <c r="V41" s="466">
        <f>E48</f>
        <v>14.9</v>
      </c>
      <c r="W41" s="466">
        <f>E49</f>
        <v>6.9015972222222217</v>
      </c>
      <c r="X41" s="58"/>
      <c r="Y41" s="58"/>
      <c r="Z41" s="465">
        <f>E23</f>
        <v>0</v>
      </c>
      <c r="AA41" s="467">
        <f>E25</f>
        <v>0</v>
      </c>
      <c r="AB41" s="467">
        <f>E26</f>
        <v>0</v>
      </c>
      <c r="AC41" s="467">
        <f>E27</f>
        <v>0</v>
      </c>
      <c r="AD41" s="467">
        <f>E24</f>
        <v>0</v>
      </c>
    </row>
    <row r="42" spans="2:30" ht="14.55" customHeight="1" outlineLevel="1">
      <c r="B42" s="375" t="s">
        <v>728</v>
      </c>
      <c r="C42" s="1237" t="s">
        <v>649</v>
      </c>
      <c r="D42" s="1238"/>
      <c r="E42" s="1238"/>
      <c r="F42" s="1239"/>
      <c r="G42" s="473"/>
      <c r="H42" s="473"/>
      <c r="I42" s="473"/>
      <c r="J42" s="473"/>
      <c r="K42" s="473"/>
      <c r="L42" s="379"/>
      <c r="M42" s="362"/>
      <c r="N42" s="362"/>
      <c r="O42" s="464">
        <f>F12</f>
        <v>205.09898799999999</v>
      </c>
      <c r="P42" s="465">
        <f>F8</f>
        <v>2050</v>
      </c>
      <c r="Q42" s="58"/>
      <c r="R42" s="465">
        <f>O42/100</f>
        <v>2.0509898799999999</v>
      </c>
      <c r="S42" s="58"/>
      <c r="T42" s="465">
        <f>F16</f>
        <v>20</v>
      </c>
      <c r="U42" s="466">
        <f>F46</f>
        <v>6955.9353594342228</v>
      </c>
      <c r="V42" s="466">
        <f>F48</f>
        <v>14.9</v>
      </c>
      <c r="W42" s="466">
        <f>F49</f>
        <v>6.7877777777777784</v>
      </c>
      <c r="X42" s="58"/>
      <c r="Y42" s="58"/>
      <c r="Z42" s="465">
        <f>F23</f>
        <v>0</v>
      </c>
      <c r="AA42" s="467">
        <f>F25</f>
        <v>0</v>
      </c>
      <c r="AB42" s="467">
        <f>F26</f>
        <v>0</v>
      </c>
      <c r="AC42" s="467">
        <f>F27</f>
        <v>0</v>
      </c>
      <c r="AD42" s="467">
        <f>F24</f>
        <v>0</v>
      </c>
    </row>
    <row r="43" spans="2:30" outlineLevel="1">
      <c r="B43" s="474" t="s">
        <v>729</v>
      </c>
      <c r="C43" s="468">
        <v>30</v>
      </c>
      <c r="D43" s="469">
        <v>30</v>
      </c>
      <c r="E43" s="469">
        <v>30</v>
      </c>
      <c r="F43" s="470">
        <v>30</v>
      </c>
      <c r="G43" s="473"/>
      <c r="H43" s="473"/>
      <c r="I43" s="473"/>
      <c r="J43" s="473"/>
      <c r="K43" s="473" t="s">
        <v>850</v>
      </c>
      <c r="L43" s="475"/>
      <c r="M43" s="366"/>
      <c r="N43" s="366"/>
    </row>
    <row r="44" spans="2:30" outlineLevel="1">
      <c r="B44" s="474" t="s">
        <v>730</v>
      </c>
      <c r="C44" s="468">
        <v>20</v>
      </c>
      <c r="D44" s="469">
        <v>20</v>
      </c>
      <c r="E44" s="469">
        <v>20</v>
      </c>
      <c r="F44" s="470">
        <v>20</v>
      </c>
      <c r="G44" s="473"/>
      <c r="H44" s="473"/>
      <c r="I44" s="473"/>
      <c r="J44" s="473"/>
      <c r="K44" s="473" t="s">
        <v>850</v>
      </c>
      <c r="L44" s="475"/>
      <c r="M44" s="362"/>
      <c r="N44" s="362"/>
    </row>
    <row r="45" spans="2:30" ht="15" outlineLevel="1" thickBot="1">
      <c r="B45" s="476" t="s">
        <v>731</v>
      </c>
      <c r="C45" s="643" t="s">
        <v>36</v>
      </c>
      <c r="D45" s="644" t="s">
        <v>36</v>
      </c>
      <c r="E45" s="644" t="s">
        <v>36</v>
      </c>
      <c r="F45" s="645" t="s">
        <v>36</v>
      </c>
      <c r="G45" s="480"/>
      <c r="H45" s="480"/>
      <c r="I45" s="480"/>
      <c r="J45" s="480"/>
      <c r="K45" s="480"/>
      <c r="L45" s="481"/>
      <c r="M45" s="362"/>
      <c r="N45" s="362"/>
    </row>
    <row r="46" spans="2:30" ht="57.6" outlineLevel="1">
      <c r="B46" s="460" t="s">
        <v>732</v>
      </c>
      <c r="C46" s="482">
        <f>C29*$F$4*1000</f>
        <v>12158.890687341185</v>
      </c>
      <c r="D46" s="482">
        <f t="shared" ref="D46:F46" si="2">D29*$F$4*1000</f>
        <v>9857.0539139933753</v>
      </c>
      <c r="E46" s="482">
        <f t="shared" si="2"/>
        <v>7725.5418331085029</v>
      </c>
      <c r="F46" s="482">
        <f t="shared" si="2"/>
        <v>6955.9353594342228</v>
      </c>
      <c r="G46" s="482"/>
      <c r="H46" s="483"/>
      <c r="I46" s="419" t="s">
        <v>332</v>
      </c>
      <c r="J46" s="419"/>
      <c r="K46" s="483"/>
      <c r="L46" s="483"/>
      <c r="N46" s="419"/>
    </row>
    <row r="47" spans="2:30" outlineLevel="1">
      <c r="B47" s="484" t="s">
        <v>733</v>
      </c>
      <c r="C47" s="485">
        <f>C46*$I47</f>
        <v>6079445.3436705926</v>
      </c>
      <c r="D47" s="485">
        <f>D46*$I47</f>
        <v>4928526.9569966877</v>
      </c>
      <c r="E47" s="485">
        <f>E46*$I47</f>
        <v>3862770.9165542517</v>
      </c>
      <c r="F47" s="485">
        <f>F46*$I47</f>
        <v>3477967.6797171114</v>
      </c>
      <c r="G47" s="485"/>
      <c r="H47" s="483"/>
      <c r="I47" s="71">
        <v>500</v>
      </c>
      <c r="J47" s="419" t="s">
        <v>330</v>
      </c>
      <c r="K47" s="483"/>
      <c r="L47" s="483"/>
      <c r="N47" s="419"/>
    </row>
    <row r="48" spans="2:30" ht="43.2" outlineLevel="1">
      <c r="B48" s="460" t="s">
        <v>808</v>
      </c>
      <c r="C48" s="358">
        <f>C32*$F$4/1000</f>
        <v>14.9</v>
      </c>
      <c r="D48" s="358">
        <f t="shared" ref="D48:F48" si="3">D32*$F$4/1000</f>
        <v>14.9</v>
      </c>
      <c r="E48" s="358">
        <f t="shared" si="3"/>
        <v>14.9</v>
      </c>
      <c r="F48" s="358">
        <f t="shared" si="3"/>
        <v>14.9</v>
      </c>
      <c r="G48" s="358"/>
      <c r="I48" s="419" t="s">
        <v>333</v>
      </c>
      <c r="J48" s="419"/>
      <c r="N48" s="419"/>
    </row>
    <row r="49" spans="2:14" ht="43.2" outlineLevel="1">
      <c r="B49" s="460" t="s">
        <v>809</v>
      </c>
      <c r="C49" s="486">
        <f>C33*$F$4/3.6</f>
        <v>7.1188888888888897</v>
      </c>
      <c r="D49" s="486">
        <f t="shared" ref="D49:F49" si="4">D33*$F$4/3.6</f>
        <v>6.9740277777777777</v>
      </c>
      <c r="E49" s="486">
        <f t="shared" si="4"/>
        <v>6.9015972222222217</v>
      </c>
      <c r="F49" s="486">
        <f t="shared" si="4"/>
        <v>6.7877777777777784</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63" t="s">
        <v>736</v>
      </c>
      <c r="E55" s="357"/>
      <c r="F55" s="357"/>
      <c r="G55" s="357"/>
      <c r="H55" s="357"/>
      <c r="I55" s="357"/>
      <c r="J55" s="357"/>
      <c r="K55" s="357"/>
      <c r="L55" s="357"/>
    </row>
    <row r="56" spans="2:14" outlineLevel="1">
      <c r="B56" s="489">
        <v>1</v>
      </c>
      <c r="C56" s="635" t="s">
        <v>851</v>
      </c>
      <c r="D56" s="489"/>
      <c r="F56" s="357"/>
      <c r="G56" s="357"/>
      <c r="H56" s="357"/>
      <c r="I56" s="357"/>
      <c r="J56" s="357"/>
      <c r="K56" s="357"/>
      <c r="L56" s="357"/>
    </row>
    <row r="57" spans="2:14" outlineLevel="1">
      <c r="B57" s="489">
        <v>2</v>
      </c>
      <c r="C57" s="489" t="s">
        <v>813</v>
      </c>
      <c r="D57" s="489"/>
      <c r="F57" s="357"/>
      <c r="G57" s="357"/>
      <c r="H57" s="357"/>
      <c r="I57" s="357"/>
      <c r="J57" s="357"/>
      <c r="K57" s="357"/>
      <c r="L57" s="357"/>
    </row>
    <row r="58" spans="2:14" outlineLevel="1">
      <c r="B58" s="489">
        <v>3</v>
      </c>
      <c r="C58" s="489" t="s">
        <v>852</v>
      </c>
      <c r="D58" s="489"/>
      <c r="F58" s="357"/>
      <c r="G58" s="357"/>
      <c r="H58" s="357"/>
      <c r="I58" s="357"/>
      <c r="J58" s="357"/>
      <c r="K58" s="357"/>
      <c r="L58" s="357"/>
    </row>
    <row r="59" spans="2:14" outlineLevel="1">
      <c r="B59" s="224" t="s">
        <v>746</v>
      </c>
      <c r="F59" s="357"/>
      <c r="G59" s="357"/>
      <c r="H59" s="357"/>
      <c r="I59" s="357"/>
      <c r="J59" s="357"/>
      <c r="K59" s="357"/>
      <c r="L59" s="357"/>
    </row>
    <row r="60" spans="2:14" outlineLevel="1">
      <c r="B60" s="664" t="s">
        <v>6</v>
      </c>
      <c r="C60" s="489" t="s">
        <v>853</v>
      </c>
      <c r="D60" s="489"/>
      <c r="F60" s="357"/>
      <c r="G60" s="357"/>
      <c r="H60" s="357"/>
      <c r="I60" s="357"/>
      <c r="J60" s="357"/>
      <c r="K60" s="357"/>
      <c r="L60" s="357"/>
    </row>
    <row r="61" spans="2:14" outlineLevel="1">
      <c r="B61" s="664" t="s">
        <v>59</v>
      </c>
      <c r="C61" s="489" t="s">
        <v>854</v>
      </c>
      <c r="D61" s="489"/>
      <c r="F61" s="357"/>
      <c r="G61" s="357"/>
      <c r="H61" s="357"/>
      <c r="I61" s="357"/>
      <c r="J61" s="357"/>
      <c r="K61" s="357"/>
      <c r="L61" s="357"/>
    </row>
    <row r="62" spans="2:14" outlineLevel="1">
      <c r="B62" s="665" t="s">
        <v>16</v>
      </c>
      <c r="C62" s="489" t="s">
        <v>855</v>
      </c>
      <c r="D62" s="489"/>
      <c r="F62" s="357"/>
      <c r="G62" s="357"/>
      <c r="H62" s="357"/>
      <c r="I62" s="357"/>
      <c r="J62" s="357"/>
      <c r="K62" s="357"/>
      <c r="L62" s="357"/>
    </row>
    <row r="63" spans="2:14" outlineLevel="1">
      <c r="B63" s="664" t="s">
        <v>20</v>
      </c>
      <c r="C63" s="489" t="s">
        <v>835</v>
      </c>
      <c r="D63" s="489"/>
      <c r="F63" s="357"/>
      <c r="G63" s="357"/>
      <c r="H63" s="357"/>
      <c r="I63" s="357"/>
      <c r="J63" s="357"/>
      <c r="K63" s="357"/>
      <c r="L63" s="357"/>
    </row>
    <row r="64" spans="2:14" outlineLevel="1">
      <c r="B64" s="664" t="s">
        <v>76</v>
      </c>
      <c r="C64" s="489" t="s">
        <v>856</v>
      </c>
      <c r="D64" s="489"/>
      <c r="F64" s="357"/>
      <c r="G64" s="357"/>
      <c r="H64" s="357"/>
      <c r="I64" s="357"/>
      <c r="J64" s="357"/>
      <c r="K64" s="357"/>
      <c r="L64" s="357"/>
    </row>
    <row r="65" spans="1:44" outlineLevel="1">
      <c r="B65" s="664" t="s">
        <v>25</v>
      </c>
      <c r="C65" s="489" t="s">
        <v>857</v>
      </c>
      <c r="D65" s="489"/>
      <c r="F65" s="357"/>
      <c r="G65" s="357"/>
      <c r="H65" s="357"/>
      <c r="I65" s="357"/>
      <c r="J65" s="357"/>
      <c r="K65" s="357"/>
      <c r="L65" s="357"/>
    </row>
    <row r="66" spans="1:44" outlineLevel="1">
      <c r="B66" s="664" t="s">
        <v>33</v>
      </c>
      <c r="C66" s="489" t="str">
        <f>"From ["&amp;B57&amp;"], cost correlations and learing curves ["&amp;B58&amp;"] (Not commercially avaiable at the moment)"</f>
        <v>From [2], cost correlations and learing curves [3] (Not commercially avaiable at the moment)</v>
      </c>
      <c r="D66" s="489"/>
      <c r="F66" s="357"/>
      <c r="G66" s="357"/>
      <c r="H66" s="357"/>
      <c r="I66" s="357"/>
      <c r="J66" s="357"/>
      <c r="K66" s="357"/>
      <c r="L66" s="357"/>
    </row>
    <row r="67" spans="1:44" outlineLevel="1">
      <c r="B67" s="664" t="s">
        <v>51</v>
      </c>
      <c r="C67" s="489" t="s">
        <v>858</v>
      </c>
      <c r="D67" s="489"/>
      <c r="F67" s="357"/>
      <c r="G67" s="357"/>
      <c r="H67" s="357"/>
      <c r="I67" s="357"/>
      <c r="J67" s="357"/>
      <c r="K67" s="357"/>
      <c r="L67" s="357"/>
    </row>
    <row r="68" spans="1:44" outlineLevel="1">
      <c r="B68" s="664" t="s">
        <v>52</v>
      </c>
      <c r="C68" s="489" t="s">
        <v>859</v>
      </c>
      <c r="D68" s="489"/>
      <c r="F68" s="357"/>
      <c r="G68" s="357"/>
      <c r="H68" s="357"/>
      <c r="I68" s="357"/>
      <c r="J68" s="357"/>
      <c r="K68" s="357"/>
      <c r="L68" s="357"/>
    </row>
    <row r="69" spans="1:44" outlineLevel="1">
      <c r="B69" s="664" t="s">
        <v>55</v>
      </c>
      <c r="C69" s="497" t="s">
        <v>751</v>
      </c>
      <c r="D69" s="489"/>
      <c r="F69" s="357"/>
      <c r="G69" s="357"/>
      <c r="H69" s="357"/>
      <c r="I69" s="357"/>
      <c r="J69" s="357"/>
      <c r="K69" s="357"/>
      <c r="L69" s="357"/>
    </row>
    <row r="70" spans="1:44" outlineLevel="1">
      <c r="B70" s="664" t="s">
        <v>49</v>
      </c>
      <c r="C70" s="497" t="s">
        <v>860</v>
      </c>
      <c r="D70" s="489"/>
      <c r="G70" s="357"/>
      <c r="H70" s="357"/>
      <c r="I70" s="357"/>
      <c r="J70" s="357"/>
      <c r="K70" s="357"/>
      <c r="L70" s="357"/>
    </row>
    <row r="71" spans="1:44" outlineLevel="1">
      <c r="B71" s="664" t="s">
        <v>374</v>
      </c>
      <c r="C71" s="489" t="s">
        <v>861</v>
      </c>
      <c r="E71" s="489"/>
      <c r="F71" s="489"/>
    </row>
    <row r="72" spans="1:44" outlineLevel="1">
      <c r="B72" s="664" t="s">
        <v>849</v>
      </c>
      <c r="C72" s="489" t="s">
        <v>752</v>
      </c>
    </row>
    <row r="73" spans="1:44" outlineLevel="1">
      <c r="B73" s="636" t="s">
        <v>850</v>
      </c>
      <c r="C73" s="489" t="s">
        <v>823</v>
      </c>
    </row>
    <row r="74" spans="1:44" outlineLevel="1"/>
    <row r="77" spans="1:44">
      <c r="A77" s="359"/>
      <c r="B77" s="1204"/>
      <c r="C77" s="1140"/>
      <c r="D77" s="1140"/>
      <c r="E77" s="1140"/>
      <c r="F77" s="1140"/>
      <c r="G77" s="1140"/>
      <c r="H77" s="1140"/>
      <c r="I77" s="1140"/>
      <c r="J77" s="1140"/>
      <c r="K77" s="1140"/>
      <c r="L77" s="1140"/>
      <c r="M77" s="1140"/>
      <c r="N77" s="360"/>
      <c r="P77" s="1140"/>
      <c r="Q77" s="1140"/>
      <c r="R77" s="1140"/>
      <c r="S77" s="1140"/>
      <c r="T77" s="1140"/>
      <c r="U77" s="1140"/>
    </row>
    <row r="78" spans="1:44" ht="15" outlineLevel="1" thickBot="1">
      <c r="B78" s="1204"/>
      <c r="C78" s="1140"/>
      <c r="D78" s="1140"/>
      <c r="E78" s="1140"/>
      <c r="F78" s="1140"/>
      <c r="G78" s="1140"/>
      <c r="H78" s="1140"/>
      <c r="I78" s="1140"/>
      <c r="J78" s="1140"/>
      <c r="K78" s="1140"/>
      <c r="L78" s="1140"/>
      <c r="M78" s="1140"/>
      <c r="N78" s="360"/>
      <c r="P78" s="1140"/>
      <c r="Q78" s="1140"/>
      <c r="R78" s="1140"/>
      <c r="S78" s="1140"/>
      <c r="T78" s="1140"/>
      <c r="U78" s="1140"/>
    </row>
    <row r="79" spans="1:44" ht="20.55" customHeight="1" outlineLevel="1" thickBot="1">
      <c r="B79" s="361"/>
      <c r="C79" s="1183"/>
      <c r="D79" s="1202"/>
      <c r="E79" s="1202"/>
      <c r="F79" s="1202"/>
      <c r="G79" s="1202"/>
      <c r="H79" s="1202"/>
      <c r="I79" s="1202"/>
      <c r="J79" s="1202"/>
      <c r="K79" s="1202"/>
      <c r="L79" s="1203"/>
      <c r="M79" s="362"/>
      <c r="N79" s="362"/>
      <c r="P79" s="363"/>
      <c r="Q79" s="364"/>
      <c r="R79" s="365"/>
      <c r="S79" s="1173"/>
      <c r="T79" s="1157"/>
      <c r="U79" s="1158"/>
      <c r="V79" s="1157"/>
      <c r="W79" s="1158"/>
      <c r="X79" s="1157"/>
      <c r="Y79" s="1158"/>
      <c r="Z79" s="1157"/>
      <c r="AA79" s="1158"/>
      <c r="AB79" s="1157"/>
      <c r="AC79" s="1158"/>
      <c r="AE79" s="363"/>
      <c r="AF79" s="364"/>
      <c r="AG79" s="365"/>
      <c r="AH79" s="1173"/>
      <c r="AI79" s="1157"/>
      <c r="AJ79" s="1158"/>
      <c r="AK79" s="1157"/>
      <c r="AL79" s="1158"/>
      <c r="AM79" s="1157"/>
      <c r="AN79" s="1158"/>
      <c r="AO79" s="1157"/>
      <c r="AP79" s="1158"/>
      <c r="AQ79" s="1157"/>
      <c r="AR79" s="1158"/>
    </row>
    <row r="80" spans="1:44" ht="15" customHeight="1" outlineLevel="1" thickBot="1">
      <c r="B80" s="1161"/>
      <c r="C80" s="1163"/>
      <c r="D80" s="1163"/>
      <c r="E80" s="1163"/>
      <c r="F80" s="1163"/>
      <c r="G80" s="1197"/>
      <c r="H80" s="1198"/>
      <c r="I80" s="1197"/>
      <c r="J80" s="1198"/>
      <c r="K80" s="1199"/>
      <c r="L80" s="1199"/>
      <c r="M80" s="366"/>
      <c r="N80" s="366"/>
      <c r="P80" s="1177"/>
      <c r="Q80" s="367"/>
      <c r="R80" s="367"/>
      <c r="S80" s="1174"/>
      <c r="T80" s="1159"/>
      <c r="U80" s="1160"/>
      <c r="V80" s="1159"/>
      <c r="W80" s="1160"/>
      <c r="X80" s="1159"/>
      <c r="Y80" s="1160"/>
      <c r="Z80" s="1159"/>
      <c r="AA80" s="1160"/>
      <c r="AB80" s="1159"/>
      <c r="AC80" s="1160"/>
      <c r="AE80" s="1177"/>
      <c r="AF80" s="367"/>
      <c r="AG80" s="367"/>
      <c r="AH80" s="1174"/>
      <c r="AI80" s="1159"/>
      <c r="AJ80" s="1160"/>
      <c r="AK80" s="1159"/>
      <c r="AL80" s="1160"/>
      <c r="AM80" s="1159"/>
      <c r="AN80" s="1160"/>
      <c r="AO80" s="1159"/>
      <c r="AP80" s="1160"/>
      <c r="AQ80" s="1159"/>
      <c r="AR80" s="1160"/>
    </row>
    <row r="81" spans="2:44" ht="15" customHeight="1" outlineLevel="1" thickBot="1">
      <c r="B81" s="1162"/>
      <c r="C81" s="1164"/>
      <c r="D81" s="1164"/>
      <c r="E81" s="1164"/>
      <c r="F81" s="1164"/>
      <c r="G81" s="498"/>
      <c r="H81" s="498"/>
      <c r="I81" s="498"/>
      <c r="J81" s="498"/>
      <c r="K81" s="1200"/>
      <c r="L81" s="1200"/>
      <c r="M81" s="369"/>
      <c r="N81" s="369"/>
      <c r="P81" s="1178"/>
      <c r="Q81" s="1180"/>
      <c r="R81" s="1181"/>
      <c r="S81" s="1175"/>
      <c r="T81" s="1159"/>
      <c r="U81" s="1160"/>
      <c r="V81" s="1159"/>
      <c r="W81" s="1160"/>
      <c r="X81" s="1159"/>
      <c r="Y81" s="1160"/>
      <c r="Z81" s="1159"/>
      <c r="AA81" s="1160"/>
      <c r="AB81" s="1159"/>
      <c r="AC81" s="1160"/>
      <c r="AE81" s="1178"/>
      <c r="AF81" s="1194"/>
      <c r="AG81" s="1181"/>
      <c r="AH81" s="1175"/>
      <c r="AI81" s="1159"/>
      <c r="AJ81" s="1160"/>
      <c r="AK81" s="1159"/>
      <c r="AL81" s="1160"/>
      <c r="AM81" s="1159"/>
      <c r="AN81" s="1160"/>
      <c r="AO81" s="1159"/>
      <c r="AP81" s="1160"/>
      <c r="AQ81" s="1159"/>
      <c r="AR81" s="1160"/>
    </row>
    <row r="82" spans="2:44" ht="15" outlineLevel="1" thickBot="1">
      <c r="B82" s="370"/>
      <c r="C82" s="371"/>
      <c r="D82" s="371"/>
      <c r="E82" s="371"/>
      <c r="F82" s="371"/>
      <c r="G82" s="371"/>
      <c r="H82" s="371"/>
      <c r="I82" s="371"/>
      <c r="J82" s="371"/>
      <c r="K82" s="371"/>
      <c r="L82" s="372"/>
      <c r="M82" s="369"/>
      <c r="N82" s="369"/>
      <c r="O82" s="74"/>
      <c r="P82" s="1179"/>
      <c r="Q82" s="1176"/>
      <c r="R82" s="1182"/>
      <c r="S82" s="1176"/>
      <c r="T82" s="373"/>
      <c r="U82" s="374"/>
      <c r="V82" s="373"/>
      <c r="W82" s="374"/>
      <c r="X82" s="373"/>
      <c r="Y82" s="374"/>
      <c r="Z82" s="373"/>
      <c r="AA82" s="374"/>
      <c r="AB82" s="373"/>
      <c r="AC82" s="374"/>
      <c r="AE82" s="1179"/>
      <c r="AF82" s="1195"/>
      <c r="AG82" s="1182"/>
      <c r="AH82" s="1176"/>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45"/>
      <c r="Q83" s="1151"/>
      <c r="R83" s="380"/>
      <c r="S83" s="381"/>
      <c r="T83" s="1134"/>
      <c r="U83" s="1148"/>
      <c r="V83" s="1134"/>
      <c r="W83" s="1148"/>
      <c r="X83" s="1134"/>
      <c r="Y83" s="1148"/>
      <c r="Z83" s="1134"/>
      <c r="AA83" s="1148"/>
      <c r="AB83" s="1134"/>
      <c r="AC83" s="1148"/>
      <c r="AE83" s="1145"/>
      <c r="AF83" s="1151"/>
      <c r="AG83" s="380"/>
      <c r="AH83" s="381"/>
      <c r="AI83" s="1134"/>
      <c r="AJ83" s="1148"/>
      <c r="AK83" s="1134"/>
      <c r="AL83" s="1148"/>
      <c r="AM83" s="1134"/>
      <c r="AN83" s="1148"/>
      <c r="AO83" s="1134"/>
      <c r="AP83" s="1148"/>
      <c r="AQ83" s="1134"/>
      <c r="AR83" s="1148"/>
    </row>
    <row r="84" spans="2:44" outlineLevel="1">
      <c r="B84" s="382"/>
      <c r="C84" s="383"/>
      <c r="D84" s="383"/>
      <c r="E84" s="383"/>
      <c r="F84" s="383"/>
      <c r="G84" s="504"/>
      <c r="H84" s="504"/>
      <c r="I84" s="504"/>
      <c r="J84" s="504"/>
      <c r="K84" s="371"/>
      <c r="L84" s="372"/>
      <c r="M84" s="369"/>
      <c r="N84" s="369"/>
      <c r="O84" s="71"/>
      <c r="P84" s="1192"/>
      <c r="Q84" s="1152"/>
      <c r="R84" s="387"/>
      <c r="S84" s="388"/>
      <c r="T84" s="1137"/>
      <c r="U84" s="1149"/>
      <c r="V84" s="1137"/>
      <c r="W84" s="1149"/>
      <c r="X84" s="1137"/>
      <c r="Y84" s="1149"/>
      <c r="Z84" s="1137"/>
      <c r="AA84" s="1149"/>
      <c r="AB84" s="1137"/>
      <c r="AC84" s="1149"/>
      <c r="AE84" s="1192"/>
      <c r="AF84" s="1152"/>
      <c r="AG84" s="387"/>
      <c r="AH84" s="388"/>
      <c r="AI84" s="1137"/>
      <c r="AJ84" s="1149"/>
      <c r="AK84" s="1137"/>
      <c r="AL84" s="1149"/>
      <c r="AM84" s="1137"/>
      <c r="AN84" s="1149"/>
      <c r="AO84" s="1137"/>
      <c r="AP84" s="1149"/>
      <c r="AQ84" s="1137"/>
      <c r="AR84" s="1149"/>
    </row>
    <row r="85" spans="2:44" ht="15" outlineLevel="1" thickBot="1">
      <c r="B85" s="499"/>
      <c r="C85" s="505"/>
      <c r="D85" s="506"/>
      <c r="E85" s="506"/>
      <c r="F85" s="507"/>
      <c r="G85" s="506"/>
      <c r="H85" s="506"/>
      <c r="I85" s="506"/>
      <c r="J85" s="506"/>
      <c r="K85" s="502"/>
      <c r="L85" s="503"/>
      <c r="M85" s="369"/>
      <c r="N85" s="369"/>
      <c r="O85" s="71"/>
      <c r="P85" s="1192"/>
      <c r="Q85" s="1153"/>
      <c r="R85" s="392"/>
      <c r="S85" s="393"/>
      <c r="T85" s="1138"/>
      <c r="U85" s="1150"/>
      <c r="V85" s="1138"/>
      <c r="W85" s="1150"/>
      <c r="X85" s="1138"/>
      <c r="Y85" s="1150"/>
      <c r="Z85" s="1138"/>
      <c r="AA85" s="1150"/>
      <c r="AB85" s="1138"/>
      <c r="AC85" s="1150"/>
      <c r="AE85" s="1192"/>
      <c r="AF85" s="1153"/>
      <c r="AG85" s="392"/>
      <c r="AH85" s="393"/>
      <c r="AI85" s="1138"/>
      <c r="AJ85" s="1150"/>
      <c r="AK85" s="1138"/>
      <c r="AL85" s="1150"/>
      <c r="AM85" s="1138"/>
      <c r="AN85" s="1150"/>
      <c r="AO85" s="1138"/>
      <c r="AP85" s="1150"/>
      <c r="AQ85" s="1138"/>
      <c r="AR85" s="1150"/>
    </row>
    <row r="86" spans="2:44" ht="15" customHeight="1" outlineLevel="1">
      <c r="B86" s="499"/>
      <c r="C86" s="505"/>
      <c r="D86" s="505"/>
      <c r="E86" s="505"/>
      <c r="F86" s="505"/>
      <c r="G86" s="505"/>
      <c r="H86" s="505"/>
      <c r="I86" s="505"/>
      <c r="J86" s="505"/>
      <c r="K86" s="502"/>
      <c r="L86" s="503"/>
      <c r="M86" s="369"/>
      <c r="N86" s="369"/>
      <c r="O86" s="71"/>
      <c r="P86" s="1192"/>
      <c r="Q86" s="1151"/>
      <c r="R86" s="394"/>
      <c r="S86" s="395"/>
      <c r="T86" s="1134"/>
      <c r="U86" s="1134"/>
      <c r="V86" s="1134"/>
      <c r="W86" s="1134"/>
      <c r="X86" s="1134"/>
      <c r="Y86" s="1134"/>
      <c r="Z86" s="1134"/>
      <c r="AA86" s="1134"/>
      <c r="AB86" s="1134"/>
      <c r="AC86" s="1134"/>
      <c r="AE86" s="1192"/>
      <c r="AF86" s="1151"/>
      <c r="AG86" s="394"/>
      <c r="AH86" s="395"/>
      <c r="AI86" s="1134"/>
      <c r="AJ86" s="1134"/>
      <c r="AK86" s="1134"/>
      <c r="AL86" s="1134"/>
      <c r="AM86" s="1134"/>
      <c r="AN86" s="1134"/>
      <c r="AO86" s="1134"/>
      <c r="AP86" s="1134"/>
      <c r="AQ86" s="1134"/>
      <c r="AR86" s="1134"/>
    </row>
    <row r="87" spans="2:44" outlineLevel="1">
      <c r="B87" s="499"/>
      <c r="C87" s="505"/>
      <c r="D87" s="505"/>
      <c r="E87" s="505"/>
      <c r="F87" s="505"/>
      <c r="G87" s="505"/>
      <c r="H87" s="505"/>
      <c r="I87" s="505"/>
      <c r="J87" s="505"/>
      <c r="K87" s="502"/>
      <c r="L87" s="503"/>
      <c r="M87" s="366"/>
      <c r="N87" s="366"/>
      <c r="O87" s="71"/>
      <c r="P87" s="1192"/>
      <c r="Q87" s="1152"/>
      <c r="R87" s="394"/>
      <c r="S87" s="395"/>
      <c r="T87" s="1135"/>
      <c r="U87" s="1135"/>
      <c r="V87" s="1135"/>
      <c r="W87" s="1135"/>
      <c r="X87" s="1135"/>
      <c r="Y87" s="1135"/>
      <c r="Z87" s="1135"/>
      <c r="AA87" s="1135"/>
      <c r="AB87" s="1135"/>
      <c r="AC87" s="1135"/>
      <c r="AE87" s="1192"/>
      <c r="AF87" s="1152"/>
      <c r="AG87" s="394"/>
      <c r="AH87" s="395"/>
      <c r="AI87" s="1135"/>
      <c r="AJ87" s="1135"/>
      <c r="AK87" s="1135"/>
      <c r="AL87" s="1135"/>
      <c r="AM87" s="1135"/>
      <c r="AN87" s="1135"/>
      <c r="AO87" s="1135"/>
      <c r="AP87" s="1135"/>
      <c r="AQ87" s="1135"/>
      <c r="AR87" s="1135"/>
    </row>
    <row r="88" spans="2:44" outlineLevel="1">
      <c r="B88" s="382"/>
      <c r="C88" s="396"/>
      <c r="D88" s="396"/>
      <c r="E88" s="396"/>
      <c r="F88" s="396"/>
      <c r="G88" s="398"/>
      <c r="H88" s="398"/>
      <c r="I88" s="398"/>
      <c r="J88" s="398"/>
      <c r="K88" s="371"/>
      <c r="L88" s="372"/>
      <c r="M88" s="362"/>
      <c r="N88" s="362"/>
      <c r="P88" s="1192"/>
      <c r="Q88" s="1152"/>
      <c r="R88" s="394"/>
      <c r="S88" s="395"/>
      <c r="T88" s="1135"/>
      <c r="U88" s="1135"/>
      <c r="V88" s="1135"/>
      <c r="W88" s="1135"/>
      <c r="X88" s="1135"/>
      <c r="Y88" s="1135"/>
      <c r="Z88" s="1135"/>
      <c r="AA88" s="1135"/>
      <c r="AB88" s="1135"/>
      <c r="AC88" s="1135"/>
      <c r="AE88" s="1192"/>
      <c r="AF88" s="1152"/>
      <c r="AG88" s="394"/>
      <c r="AH88" s="395"/>
      <c r="AI88" s="1135"/>
      <c r="AJ88" s="1135"/>
      <c r="AK88" s="1135"/>
      <c r="AL88" s="1135"/>
      <c r="AM88" s="1135"/>
      <c r="AN88" s="1135"/>
      <c r="AO88" s="1135"/>
      <c r="AP88" s="1135"/>
      <c r="AQ88" s="1135"/>
      <c r="AR88" s="1135"/>
    </row>
    <row r="89" spans="2:44" ht="15" outlineLevel="1" thickBot="1">
      <c r="B89" s="499"/>
      <c r="C89" s="505"/>
      <c r="D89" s="505"/>
      <c r="E89" s="505"/>
      <c r="F89" s="505"/>
      <c r="G89" s="505"/>
      <c r="H89" s="505"/>
      <c r="I89" s="505"/>
      <c r="J89" s="505"/>
      <c r="K89" s="371"/>
      <c r="L89" s="399"/>
      <c r="M89" s="362"/>
      <c r="N89" s="362"/>
      <c r="P89" s="1192"/>
      <c r="Q89" s="1152"/>
      <c r="R89" s="394"/>
      <c r="S89" s="395"/>
      <c r="T89" s="1135"/>
      <c r="U89" s="1135"/>
      <c r="V89" s="1135"/>
      <c r="W89" s="1135"/>
      <c r="X89" s="1135"/>
      <c r="Y89" s="1135"/>
      <c r="Z89" s="1135"/>
      <c r="AA89" s="1135"/>
      <c r="AB89" s="1135"/>
      <c r="AC89" s="1135"/>
      <c r="AE89" s="1192"/>
      <c r="AF89" s="1152"/>
      <c r="AG89" s="394"/>
      <c r="AH89" s="395"/>
      <c r="AI89" s="1135"/>
      <c r="AJ89" s="1135"/>
      <c r="AK89" s="1135"/>
      <c r="AL89" s="1135"/>
      <c r="AM89" s="1135"/>
      <c r="AN89" s="1135"/>
      <c r="AO89" s="1135"/>
      <c r="AP89" s="1135"/>
      <c r="AQ89" s="1135"/>
      <c r="AR89" s="1135"/>
    </row>
    <row r="90" spans="2:44" ht="15" outlineLevel="1" thickBot="1">
      <c r="B90" s="400"/>
      <c r="C90" s="401"/>
      <c r="D90" s="402"/>
      <c r="E90" s="403"/>
      <c r="F90" s="404"/>
      <c r="G90" s="405"/>
      <c r="H90" s="405"/>
      <c r="I90" s="405"/>
      <c r="J90" s="405"/>
      <c r="K90" s="406"/>
      <c r="L90" s="407"/>
      <c r="M90" s="362"/>
      <c r="N90" s="362"/>
      <c r="P90" s="1192"/>
      <c r="Q90" s="1152"/>
      <c r="R90" s="408"/>
      <c r="S90" s="409"/>
      <c r="T90" s="1136"/>
      <c r="U90" s="1136"/>
      <c r="V90" s="1136"/>
      <c r="W90" s="1136"/>
      <c r="X90" s="1136"/>
      <c r="Y90" s="1136"/>
      <c r="Z90" s="1136"/>
      <c r="AA90" s="1136"/>
      <c r="AB90" s="1136"/>
      <c r="AC90" s="1136"/>
      <c r="AE90" s="1192"/>
      <c r="AF90" s="1152"/>
      <c r="AG90" s="408"/>
      <c r="AH90" s="409"/>
      <c r="AI90" s="1136"/>
      <c r="AJ90" s="1136"/>
      <c r="AK90" s="1136"/>
      <c r="AL90" s="1136"/>
      <c r="AM90" s="1136"/>
      <c r="AN90" s="1136"/>
      <c r="AO90" s="1136"/>
      <c r="AP90" s="1136"/>
      <c r="AQ90" s="1136"/>
      <c r="AR90" s="1136"/>
    </row>
    <row r="91" spans="2:44" ht="15" outlineLevel="1" thickBot="1">
      <c r="B91" s="499"/>
      <c r="C91" s="505"/>
      <c r="D91" s="505"/>
      <c r="E91" s="505"/>
      <c r="F91" s="505"/>
      <c r="G91" s="506"/>
      <c r="H91" s="506"/>
      <c r="I91" s="506"/>
      <c r="J91" s="506"/>
      <c r="K91" s="502"/>
      <c r="L91" s="503"/>
      <c r="M91" s="362"/>
      <c r="N91" s="362"/>
      <c r="P91" s="1193"/>
      <c r="Q91" s="410"/>
      <c r="R91" s="411"/>
      <c r="S91" s="412"/>
      <c r="T91" s="413"/>
      <c r="U91" s="414"/>
      <c r="V91" s="415"/>
      <c r="W91" s="414"/>
      <c r="X91" s="415"/>
      <c r="Y91" s="414"/>
      <c r="Z91" s="415"/>
      <c r="AA91" s="414"/>
      <c r="AB91" s="415"/>
      <c r="AC91" s="416"/>
      <c r="AE91" s="1193"/>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5" outlineLevel="1" thickBot="1">
      <c r="B99" s="428"/>
      <c r="C99" s="429"/>
      <c r="D99" s="429"/>
      <c r="E99" s="429"/>
      <c r="F99" s="429"/>
      <c r="G99" s="424"/>
      <c r="H99" s="424"/>
      <c r="I99" s="424"/>
      <c r="J99" s="424"/>
      <c r="K99" s="422"/>
      <c r="L99" s="426"/>
      <c r="M99" s="427"/>
      <c r="N99" s="427"/>
    </row>
    <row r="100" spans="1:30" ht="15"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39"/>
      <c r="Q105" s="1140"/>
      <c r="R105" s="1140"/>
      <c r="S105" s="1140"/>
      <c r="T105" s="1140"/>
      <c r="U105" s="1141"/>
    </row>
    <row r="106" spans="1:30" ht="15" outlineLevel="1" thickBot="1">
      <c r="B106" s="499"/>
      <c r="C106" s="513"/>
      <c r="D106" s="513"/>
      <c r="E106" s="513"/>
      <c r="F106" s="513"/>
      <c r="G106" s="514"/>
      <c r="H106" s="514"/>
      <c r="I106" s="514"/>
      <c r="J106" s="514"/>
      <c r="K106" s="502"/>
      <c r="L106" s="503"/>
      <c r="M106" s="449"/>
      <c r="N106" s="360"/>
      <c r="P106" s="1131"/>
      <c r="Q106" s="1132"/>
      <c r="R106" s="1132"/>
      <c r="S106" s="1132"/>
      <c r="T106" s="1132"/>
      <c r="U106" s="1133"/>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5"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5"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5"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204"/>
      <c r="C149" s="1140"/>
      <c r="D149" s="1140"/>
      <c r="E149" s="1140"/>
      <c r="F149" s="1140"/>
      <c r="G149" s="1140"/>
      <c r="H149" s="1140"/>
      <c r="I149" s="1140"/>
      <c r="J149" s="1140"/>
      <c r="K149" s="1140"/>
      <c r="L149" s="1140"/>
      <c r="M149" s="1140"/>
      <c r="N149" s="360"/>
      <c r="P149" s="1140"/>
      <c r="Q149" s="1140"/>
      <c r="R149" s="1140"/>
      <c r="S149" s="1140"/>
      <c r="T149" s="1140"/>
      <c r="U149" s="1140"/>
    </row>
    <row r="150" spans="1:44" ht="15" outlineLevel="1" thickBot="1">
      <c r="B150" s="1204"/>
      <c r="C150" s="1140"/>
      <c r="D150" s="1140"/>
      <c r="E150" s="1140"/>
      <c r="F150" s="1140"/>
      <c r="G150" s="1140"/>
      <c r="H150" s="1140"/>
      <c r="I150" s="1140"/>
      <c r="J150" s="1140"/>
      <c r="K150" s="1140"/>
      <c r="L150" s="1140"/>
      <c r="M150" s="1140"/>
      <c r="N150" s="360"/>
      <c r="P150" s="1140"/>
      <c r="Q150" s="1140"/>
      <c r="R150" s="1140"/>
      <c r="S150" s="1140"/>
      <c r="T150" s="1140"/>
      <c r="U150" s="1140"/>
    </row>
    <row r="151" spans="1:44" ht="20.55" customHeight="1" outlineLevel="1" thickBot="1">
      <c r="B151" s="361"/>
      <c r="C151" s="1183"/>
      <c r="D151" s="1202"/>
      <c r="E151" s="1202"/>
      <c r="F151" s="1202"/>
      <c r="G151" s="1202"/>
      <c r="H151" s="1202"/>
      <c r="I151" s="1202"/>
      <c r="J151" s="1202"/>
      <c r="K151" s="1202"/>
      <c r="L151" s="1203"/>
      <c r="M151" s="362"/>
      <c r="N151" s="362"/>
      <c r="P151" s="363"/>
      <c r="Q151" s="364"/>
      <c r="R151" s="365"/>
      <c r="S151" s="1173"/>
      <c r="T151" s="1157"/>
      <c r="U151" s="1158"/>
      <c r="V151" s="1157"/>
      <c r="W151" s="1158"/>
      <c r="X151" s="1157"/>
      <c r="Y151" s="1158"/>
      <c r="Z151" s="1157"/>
      <c r="AA151" s="1158"/>
      <c r="AB151" s="1157"/>
      <c r="AC151" s="1158"/>
      <c r="AE151" s="363"/>
      <c r="AF151" s="364"/>
      <c r="AG151" s="365"/>
      <c r="AH151" s="1173"/>
      <c r="AI151" s="1157"/>
      <c r="AJ151" s="1158"/>
      <c r="AK151" s="1157"/>
      <c r="AL151" s="1158"/>
      <c r="AM151" s="1157"/>
      <c r="AN151" s="1158"/>
      <c r="AO151" s="1157"/>
      <c r="AP151" s="1158"/>
      <c r="AQ151" s="1157"/>
      <c r="AR151" s="1158"/>
    </row>
    <row r="152" spans="1:44" ht="15" customHeight="1" outlineLevel="1" thickBot="1">
      <c r="B152" s="1161"/>
      <c r="C152" s="1163"/>
      <c r="D152" s="1163"/>
      <c r="E152" s="1163"/>
      <c r="F152" s="1163"/>
      <c r="G152" s="1218"/>
      <c r="H152" s="1219"/>
      <c r="I152" s="1218"/>
      <c r="J152" s="1219"/>
      <c r="K152" s="1186"/>
      <c r="L152" s="1186"/>
      <c r="M152" s="366"/>
      <c r="N152" s="366"/>
      <c r="P152" s="1177"/>
      <c r="Q152" s="367"/>
      <c r="R152" s="367"/>
      <c r="S152" s="1174"/>
      <c r="T152" s="1159"/>
      <c r="U152" s="1160"/>
      <c r="V152" s="1159"/>
      <c r="W152" s="1160"/>
      <c r="X152" s="1159"/>
      <c r="Y152" s="1160"/>
      <c r="Z152" s="1159"/>
      <c r="AA152" s="1160"/>
      <c r="AB152" s="1159"/>
      <c r="AC152" s="1160"/>
      <c r="AE152" s="1177"/>
      <c r="AF152" s="367"/>
      <c r="AG152" s="367"/>
      <c r="AH152" s="1174"/>
      <c r="AI152" s="1159"/>
      <c r="AJ152" s="1160"/>
      <c r="AK152" s="1159"/>
      <c r="AL152" s="1160"/>
      <c r="AM152" s="1159"/>
      <c r="AN152" s="1160"/>
      <c r="AO152" s="1159"/>
      <c r="AP152" s="1160"/>
      <c r="AQ152" s="1159"/>
      <c r="AR152" s="1160"/>
    </row>
    <row r="153" spans="1:44" ht="15" customHeight="1" outlineLevel="1" thickBot="1">
      <c r="B153" s="1162"/>
      <c r="C153" s="1164"/>
      <c r="D153" s="1164"/>
      <c r="E153" s="1164"/>
      <c r="F153" s="1164"/>
      <c r="G153" s="539"/>
      <c r="H153" s="539"/>
      <c r="I153" s="539"/>
      <c r="J153" s="539"/>
      <c r="K153" s="1187"/>
      <c r="L153" s="1187"/>
      <c r="M153" s="369"/>
      <c r="N153" s="369"/>
      <c r="P153" s="1178"/>
      <c r="Q153" s="1180"/>
      <c r="R153" s="1181"/>
      <c r="S153" s="1175"/>
      <c r="T153" s="1159"/>
      <c r="U153" s="1160"/>
      <c r="V153" s="1159"/>
      <c r="W153" s="1160"/>
      <c r="X153" s="1159"/>
      <c r="Y153" s="1160"/>
      <c r="Z153" s="1159"/>
      <c r="AA153" s="1160"/>
      <c r="AB153" s="1159"/>
      <c r="AC153" s="1160"/>
      <c r="AE153" s="1178"/>
      <c r="AF153" s="1194"/>
      <c r="AG153" s="1181"/>
      <c r="AH153" s="1175"/>
      <c r="AI153" s="1159"/>
      <c r="AJ153" s="1160"/>
      <c r="AK153" s="1159"/>
      <c r="AL153" s="1160"/>
      <c r="AM153" s="1159"/>
      <c r="AN153" s="1160"/>
      <c r="AO153" s="1159"/>
      <c r="AP153" s="1160"/>
      <c r="AQ153" s="1159"/>
      <c r="AR153" s="1160"/>
    </row>
    <row r="154" spans="1:44" ht="15" outlineLevel="1" thickBot="1">
      <c r="B154" s="370"/>
      <c r="C154" s="371"/>
      <c r="D154" s="371"/>
      <c r="E154" s="371"/>
      <c r="F154" s="371"/>
      <c r="G154" s="371"/>
      <c r="H154" s="371"/>
      <c r="I154" s="371"/>
      <c r="J154" s="371"/>
      <c r="K154" s="371"/>
      <c r="L154" s="372"/>
      <c r="M154" s="369"/>
      <c r="N154" s="369"/>
      <c r="O154" s="74"/>
      <c r="P154" s="1179"/>
      <c r="Q154" s="1176"/>
      <c r="R154" s="1182"/>
      <c r="S154" s="1176"/>
      <c r="T154" s="373"/>
      <c r="U154" s="374"/>
      <c r="V154" s="373"/>
      <c r="W154" s="374"/>
      <c r="X154" s="373"/>
      <c r="Y154" s="374"/>
      <c r="Z154" s="373"/>
      <c r="AA154" s="374"/>
      <c r="AB154" s="373"/>
      <c r="AC154" s="374"/>
      <c r="AE154" s="1179"/>
      <c r="AF154" s="1195"/>
      <c r="AG154" s="1182"/>
      <c r="AH154" s="1176"/>
      <c r="AI154" s="373"/>
      <c r="AJ154" s="374"/>
      <c r="AK154" s="373"/>
      <c r="AL154" s="374"/>
      <c r="AM154" s="373"/>
      <c r="AN154" s="374"/>
      <c r="AO154" s="373"/>
      <c r="AP154" s="374"/>
      <c r="AQ154" s="373"/>
      <c r="AR154" s="374"/>
    </row>
    <row r="155" spans="1:44" ht="14.55" customHeight="1" outlineLevel="1">
      <c r="B155" s="540"/>
      <c r="C155" s="541"/>
      <c r="D155" s="541"/>
      <c r="E155" s="542"/>
      <c r="F155" s="541"/>
      <c r="G155" s="541"/>
      <c r="H155" s="541"/>
      <c r="I155" s="541"/>
      <c r="J155" s="541"/>
      <c r="K155" s="371"/>
      <c r="L155" s="372"/>
      <c r="M155" s="369"/>
      <c r="N155" s="369"/>
      <c r="P155" s="1145"/>
      <c r="Q155" s="1151"/>
      <c r="R155" s="380"/>
      <c r="S155" s="381"/>
      <c r="T155" s="1134"/>
      <c r="U155" s="1148"/>
      <c r="V155" s="1134"/>
      <c r="W155" s="1148"/>
      <c r="X155" s="1134"/>
      <c r="Y155" s="1148"/>
      <c r="Z155" s="1134"/>
      <c r="AA155" s="1148"/>
      <c r="AB155" s="1134"/>
      <c r="AC155" s="1148"/>
      <c r="AE155" s="1145"/>
      <c r="AF155" s="1151"/>
      <c r="AG155" s="380"/>
      <c r="AH155" s="381"/>
      <c r="AI155" s="1134"/>
      <c r="AJ155" s="1148"/>
      <c r="AK155" s="1134"/>
      <c r="AL155" s="1148"/>
      <c r="AM155" s="1134"/>
      <c r="AN155" s="1148"/>
      <c r="AO155" s="1134"/>
      <c r="AP155" s="1148"/>
      <c r="AQ155" s="1134"/>
      <c r="AR155" s="1148"/>
    </row>
    <row r="156" spans="1:44" outlineLevel="1">
      <c r="B156" s="382"/>
      <c r="C156" s="383"/>
      <c r="D156" s="383"/>
      <c r="E156" s="383"/>
      <c r="F156" s="383"/>
      <c r="G156" s="504"/>
      <c r="H156" s="504"/>
      <c r="I156" s="504"/>
      <c r="J156" s="504"/>
      <c r="K156" s="371"/>
      <c r="L156" s="372"/>
      <c r="M156" s="369"/>
      <c r="N156" s="369"/>
      <c r="O156" s="71"/>
      <c r="P156" s="1192"/>
      <c r="Q156" s="1152"/>
      <c r="R156" s="387"/>
      <c r="S156" s="388"/>
      <c r="T156" s="1137"/>
      <c r="U156" s="1149"/>
      <c r="V156" s="1137"/>
      <c r="W156" s="1149"/>
      <c r="X156" s="1137"/>
      <c r="Y156" s="1149"/>
      <c r="Z156" s="1137"/>
      <c r="AA156" s="1149"/>
      <c r="AB156" s="1137"/>
      <c r="AC156" s="1149"/>
      <c r="AE156" s="1192"/>
      <c r="AF156" s="1152"/>
      <c r="AG156" s="387"/>
      <c r="AH156" s="388"/>
      <c r="AI156" s="1137"/>
      <c r="AJ156" s="1149"/>
      <c r="AK156" s="1137"/>
      <c r="AL156" s="1149"/>
      <c r="AM156" s="1137"/>
      <c r="AN156" s="1149"/>
      <c r="AO156" s="1137"/>
      <c r="AP156" s="1149"/>
      <c r="AQ156" s="1137"/>
      <c r="AR156" s="1149"/>
    </row>
    <row r="157" spans="1:44" ht="15" outlineLevel="1" thickBot="1">
      <c r="B157" s="540"/>
      <c r="C157" s="543"/>
      <c r="D157" s="544"/>
      <c r="E157" s="544"/>
      <c r="F157" s="545"/>
      <c r="G157" s="544"/>
      <c r="H157" s="544"/>
      <c r="I157" s="544"/>
      <c r="J157" s="544"/>
      <c r="K157" s="546"/>
      <c r="L157" s="547"/>
      <c r="M157" s="369"/>
      <c r="N157" s="369"/>
      <c r="O157" s="71"/>
      <c r="P157" s="1192"/>
      <c r="Q157" s="1153"/>
      <c r="R157" s="392"/>
      <c r="S157" s="393"/>
      <c r="T157" s="1138"/>
      <c r="U157" s="1150"/>
      <c r="V157" s="1138"/>
      <c r="W157" s="1150"/>
      <c r="X157" s="1138"/>
      <c r="Y157" s="1150"/>
      <c r="Z157" s="1138"/>
      <c r="AA157" s="1150"/>
      <c r="AB157" s="1138"/>
      <c r="AC157" s="1150"/>
      <c r="AE157" s="1192"/>
      <c r="AF157" s="1153"/>
      <c r="AG157" s="392"/>
      <c r="AH157" s="393"/>
      <c r="AI157" s="1138"/>
      <c r="AJ157" s="1150"/>
      <c r="AK157" s="1138"/>
      <c r="AL157" s="1150"/>
      <c r="AM157" s="1138"/>
      <c r="AN157" s="1150"/>
      <c r="AO157" s="1138"/>
      <c r="AP157" s="1150"/>
      <c r="AQ157" s="1138"/>
      <c r="AR157" s="1150"/>
    </row>
    <row r="158" spans="1:44" ht="14.55" customHeight="1" outlineLevel="1">
      <c r="B158" s="540"/>
      <c r="C158" s="543"/>
      <c r="D158" s="543"/>
      <c r="E158" s="543"/>
      <c r="F158" s="543"/>
      <c r="G158" s="543"/>
      <c r="H158" s="543"/>
      <c r="I158" s="543"/>
      <c r="J158" s="543"/>
      <c r="K158" s="546"/>
      <c r="L158" s="547"/>
      <c r="M158" s="369"/>
      <c r="N158" s="369"/>
      <c r="O158" s="71"/>
      <c r="P158" s="1192"/>
      <c r="Q158" s="1151"/>
      <c r="R158" s="394"/>
      <c r="S158" s="395"/>
      <c r="T158" s="1134"/>
      <c r="U158" s="1134"/>
      <c r="V158" s="1134"/>
      <c r="W158" s="1134"/>
      <c r="X158" s="1134"/>
      <c r="Y158" s="1134"/>
      <c r="Z158" s="1134"/>
      <c r="AA158" s="1134"/>
      <c r="AB158" s="1134"/>
      <c r="AC158" s="1134"/>
      <c r="AE158" s="1192"/>
      <c r="AF158" s="1151"/>
      <c r="AG158" s="394"/>
      <c r="AH158" s="395"/>
      <c r="AI158" s="1134"/>
      <c r="AJ158" s="1134"/>
      <c r="AK158" s="1134"/>
      <c r="AL158" s="1134"/>
      <c r="AM158" s="1134"/>
      <c r="AN158" s="1134"/>
      <c r="AO158" s="1134"/>
      <c r="AP158" s="1134"/>
      <c r="AQ158" s="1134"/>
      <c r="AR158" s="1134"/>
    </row>
    <row r="159" spans="1:44" outlineLevel="1">
      <c r="B159" s="540"/>
      <c r="C159" s="543"/>
      <c r="D159" s="543"/>
      <c r="E159" s="543"/>
      <c r="F159" s="543"/>
      <c r="G159" s="543"/>
      <c r="H159" s="543"/>
      <c r="I159" s="543"/>
      <c r="J159" s="543"/>
      <c r="K159" s="546"/>
      <c r="L159" s="547"/>
      <c r="M159" s="366"/>
      <c r="N159" s="366"/>
      <c r="O159" s="71"/>
      <c r="P159" s="1192"/>
      <c r="Q159" s="1152"/>
      <c r="R159" s="394"/>
      <c r="S159" s="395"/>
      <c r="T159" s="1135"/>
      <c r="U159" s="1135"/>
      <c r="V159" s="1135"/>
      <c r="W159" s="1135"/>
      <c r="X159" s="1135"/>
      <c r="Y159" s="1135"/>
      <c r="Z159" s="1135"/>
      <c r="AA159" s="1135"/>
      <c r="AB159" s="1135"/>
      <c r="AC159" s="1135"/>
      <c r="AE159" s="1192"/>
      <c r="AF159" s="1152"/>
      <c r="AG159" s="394"/>
      <c r="AH159" s="395"/>
      <c r="AI159" s="1135"/>
      <c r="AJ159" s="1135"/>
      <c r="AK159" s="1135"/>
      <c r="AL159" s="1135"/>
      <c r="AM159" s="1135"/>
      <c r="AN159" s="1135"/>
      <c r="AO159" s="1135"/>
      <c r="AP159" s="1135"/>
      <c r="AQ159" s="1135"/>
      <c r="AR159" s="1135"/>
    </row>
    <row r="160" spans="1:44" outlineLevel="1">
      <c r="B160" s="382"/>
      <c r="C160" s="396"/>
      <c r="D160" s="396"/>
      <c r="E160" s="396"/>
      <c r="F160" s="398"/>
      <c r="G160" s="398"/>
      <c r="H160" s="398"/>
      <c r="I160" s="398"/>
      <c r="J160" s="398"/>
      <c r="K160" s="371"/>
      <c r="L160" s="372"/>
      <c r="M160" s="362"/>
      <c r="N160" s="362"/>
      <c r="P160" s="1192"/>
      <c r="Q160" s="1152"/>
      <c r="R160" s="394"/>
      <c r="S160" s="395"/>
      <c r="T160" s="1135"/>
      <c r="U160" s="1135"/>
      <c r="V160" s="1135"/>
      <c r="W160" s="1135"/>
      <c r="X160" s="1135"/>
      <c r="Y160" s="1135"/>
      <c r="Z160" s="1135"/>
      <c r="AA160" s="1135"/>
      <c r="AB160" s="1135"/>
      <c r="AC160" s="1135"/>
      <c r="AE160" s="1192"/>
      <c r="AF160" s="1152"/>
      <c r="AG160" s="394"/>
      <c r="AH160" s="395"/>
      <c r="AI160" s="1135"/>
      <c r="AJ160" s="1135"/>
      <c r="AK160" s="1135"/>
      <c r="AL160" s="1135"/>
      <c r="AM160" s="1135"/>
      <c r="AN160" s="1135"/>
      <c r="AO160" s="1135"/>
      <c r="AP160" s="1135"/>
      <c r="AQ160" s="1135"/>
      <c r="AR160" s="1135"/>
    </row>
    <row r="161" spans="1:44" ht="15" outlineLevel="1" thickBot="1">
      <c r="B161" s="540"/>
      <c r="C161" s="543"/>
      <c r="D161" s="543"/>
      <c r="E161" s="543"/>
      <c r="F161" s="543"/>
      <c r="G161" s="543"/>
      <c r="H161" s="543"/>
      <c r="I161" s="543"/>
      <c r="J161" s="543"/>
      <c r="K161" s="371"/>
      <c r="L161" s="399"/>
      <c r="M161" s="362"/>
      <c r="N161" s="362"/>
      <c r="P161" s="1192"/>
      <c r="Q161" s="1152"/>
      <c r="R161" s="394"/>
      <c r="S161" s="395"/>
      <c r="T161" s="1135"/>
      <c r="U161" s="1135"/>
      <c r="V161" s="1135"/>
      <c r="W161" s="1135"/>
      <c r="X161" s="1135"/>
      <c r="Y161" s="1135"/>
      <c r="Z161" s="1135"/>
      <c r="AA161" s="1135"/>
      <c r="AB161" s="1135"/>
      <c r="AC161" s="1135"/>
      <c r="AE161" s="1192"/>
      <c r="AF161" s="1152"/>
      <c r="AG161" s="394"/>
      <c r="AH161" s="395"/>
      <c r="AI161" s="1135"/>
      <c r="AJ161" s="1135"/>
      <c r="AK161" s="1135"/>
      <c r="AL161" s="1135"/>
      <c r="AM161" s="1135"/>
      <c r="AN161" s="1135"/>
      <c r="AO161" s="1135"/>
      <c r="AP161" s="1135"/>
      <c r="AQ161" s="1135"/>
      <c r="AR161" s="1135"/>
    </row>
    <row r="162" spans="1:44" ht="15" outlineLevel="1" thickBot="1">
      <c r="B162" s="400"/>
      <c r="C162" s="401"/>
      <c r="D162" s="402"/>
      <c r="E162" s="403"/>
      <c r="F162" s="404"/>
      <c r="G162" s="405"/>
      <c r="H162" s="405"/>
      <c r="I162" s="405"/>
      <c r="J162" s="405"/>
      <c r="K162" s="406"/>
      <c r="L162" s="407"/>
      <c r="M162" s="362"/>
      <c r="N162" s="362"/>
      <c r="P162" s="1192"/>
      <c r="Q162" s="1152"/>
      <c r="R162" s="408"/>
      <c r="S162" s="409"/>
      <c r="T162" s="1136"/>
      <c r="U162" s="1136"/>
      <c r="V162" s="1136"/>
      <c r="W162" s="1136"/>
      <c r="X162" s="1136"/>
      <c r="Y162" s="1136"/>
      <c r="Z162" s="1136"/>
      <c r="AA162" s="1136"/>
      <c r="AB162" s="1136"/>
      <c r="AC162" s="1136"/>
      <c r="AE162" s="1192"/>
      <c r="AF162" s="1152"/>
      <c r="AG162" s="408"/>
      <c r="AH162" s="409"/>
      <c r="AI162" s="1136"/>
      <c r="AJ162" s="1136"/>
      <c r="AK162" s="1136"/>
      <c r="AL162" s="1136"/>
      <c r="AM162" s="1136"/>
      <c r="AN162" s="1136"/>
      <c r="AO162" s="1136"/>
      <c r="AP162" s="1136"/>
      <c r="AQ162" s="1136"/>
      <c r="AR162" s="1136"/>
    </row>
    <row r="163" spans="1:44" ht="15" outlineLevel="1" thickBot="1">
      <c r="B163" s="540"/>
      <c r="C163" s="543"/>
      <c r="D163" s="543"/>
      <c r="E163" s="543"/>
      <c r="F163" s="543"/>
      <c r="G163" s="544"/>
      <c r="H163" s="544"/>
      <c r="I163" s="544"/>
      <c r="J163" s="544"/>
      <c r="K163" s="546"/>
      <c r="L163" s="547"/>
      <c r="M163" s="362"/>
      <c r="N163" s="362"/>
      <c r="P163" s="1193"/>
      <c r="Q163" s="410"/>
      <c r="R163" s="411"/>
      <c r="S163" s="412"/>
      <c r="T163" s="413"/>
      <c r="U163" s="414"/>
      <c r="V163" s="415"/>
      <c r="W163" s="414"/>
      <c r="X163" s="415"/>
      <c r="Y163" s="414"/>
      <c r="Z163" s="415"/>
      <c r="AA163" s="414"/>
      <c r="AB163" s="415"/>
      <c r="AC163" s="416"/>
      <c r="AE163" s="1193"/>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5" outlineLevel="1" thickBot="1">
      <c r="B171" s="428"/>
      <c r="C171" s="429"/>
      <c r="D171" s="429"/>
      <c r="E171" s="429"/>
      <c r="F171" s="429"/>
      <c r="G171" s="424"/>
      <c r="H171" s="424"/>
      <c r="I171" s="424"/>
      <c r="J171" s="424"/>
      <c r="K171" s="422"/>
      <c r="L171" s="426"/>
      <c r="M171" s="427"/>
      <c r="N171" s="427"/>
    </row>
    <row r="172" spans="1:44" ht="15"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39"/>
      <c r="Q177" s="1140"/>
      <c r="R177" s="1140"/>
      <c r="S177" s="1140"/>
      <c r="T177" s="1140"/>
      <c r="U177" s="1141"/>
    </row>
    <row r="178" spans="2:30" ht="15" outlineLevel="1" thickBot="1">
      <c r="B178" s="540"/>
      <c r="C178" s="551"/>
      <c r="D178" s="551"/>
      <c r="E178" s="551"/>
      <c r="F178" s="551"/>
      <c r="G178" s="552"/>
      <c r="H178" s="552"/>
      <c r="I178" s="552"/>
      <c r="J178" s="552"/>
      <c r="K178" s="546"/>
      <c r="L178" s="547"/>
      <c r="M178" s="449"/>
      <c r="N178" s="360"/>
      <c r="P178" s="1131"/>
      <c r="Q178" s="1132"/>
      <c r="R178" s="1132"/>
      <c r="S178" s="1132"/>
      <c r="T178" s="1132"/>
      <c r="U178" s="1133"/>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5"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5"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5"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5" thickBot="1">
      <c r="A217" s="359"/>
    </row>
    <row r="218" spans="1:44" ht="20.55" customHeight="1" outlineLevel="1" thickBot="1">
      <c r="B218" s="361"/>
      <c r="C218" s="1183"/>
      <c r="D218" s="1202"/>
      <c r="E218" s="1202"/>
      <c r="F218" s="1202"/>
      <c r="G218" s="1202"/>
      <c r="H218" s="1202"/>
      <c r="I218" s="1202"/>
      <c r="J218" s="1202"/>
      <c r="K218" s="1202"/>
      <c r="L218" s="1203"/>
      <c r="M218" s="362"/>
      <c r="N218" s="362"/>
      <c r="P218" s="363"/>
      <c r="Q218" s="364"/>
      <c r="R218" s="365"/>
      <c r="S218" s="1173"/>
      <c r="T218" s="1157"/>
      <c r="U218" s="1158"/>
      <c r="V218" s="1157"/>
      <c r="W218" s="1158"/>
      <c r="X218" s="1157"/>
      <c r="Y218" s="1158"/>
      <c r="Z218" s="1157"/>
      <c r="AA218" s="1158"/>
      <c r="AB218" s="1157"/>
      <c r="AC218" s="1158"/>
      <c r="AE218" s="363"/>
      <c r="AF218" s="364"/>
      <c r="AG218" s="365"/>
      <c r="AH218" s="1173"/>
      <c r="AI218" s="1157"/>
      <c r="AJ218" s="1158"/>
      <c r="AK218" s="1157"/>
      <c r="AL218" s="1158"/>
      <c r="AM218" s="1157"/>
      <c r="AN218" s="1158"/>
      <c r="AO218" s="1157"/>
      <c r="AP218" s="1158"/>
      <c r="AQ218" s="1157"/>
      <c r="AR218" s="1158"/>
    </row>
    <row r="219" spans="1:44" ht="15" customHeight="1" outlineLevel="1" thickBot="1">
      <c r="B219" s="1161"/>
      <c r="C219" s="1163"/>
      <c r="D219" s="1163"/>
      <c r="E219" s="1163"/>
      <c r="F219" s="1163"/>
      <c r="G219" s="1165"/>
      <c r="H219" s="1166"/>
      <c r="I219" s="1165"/>
      <c r="J219" s="1166"/>
      <c r="K219" s="1186"/>
      <c r="L219" s="1186"/>
      <c r="M219" s="366"/>
      <c r="N219" s="366"/>
      <c r="P219" s="1177"/>
      <c r="Q219" s="367"/>
      <c r="R219" s="367"/>
      <c r="S219" s="1174"/>
      <c r="T219" s="1159"/>
      <c r="U219" s="1160"/>
      <c r="V219" s="1159"/>
      <c r="W219" s="1160"/>
      <c r="X219" s="1159"/>
      <c r="Y219" s="1160"/>
      <c r="Z219" s="1159"/>
      <c r="AA219" s="1160"/>
      <c r="AB219" s="1159"/>
      <c r="AC219" s="1160"/>
      <c r="AE219" s="1177"/>
      <c r="AF219" s="367"/>
      <c r="AG219" s="367"/>
      <c r="AH219" s="1174"/>
      <c r="AI219" s="1159"/>
      <c r="AJ219" s="1160"/>
      <c r="AK219" s="1159"/>
      <c r="AL219" s="1160"/>
      <c r="AM219" s="1159"/>
      <c r="AN219" s="1160"/>
      <c r="AO219" s="1159"/>
      <c r="AP219" s="1160"/>
      <c r="AQ219" s="1159"/>
      <c r="AR219" s="1160"/>
    </row>
    <row r="220" spans="1:44" ht="15" customHeight="1" outlineLevel="1" thickBot="1">
      <c r="B220" s="1162"/>
      <c r="C220" s="1164"/>
      <c r="D220" s="1164"/>
      <c r="E220" s="1164"/>
      <c r="F220" s="1164"/>
      <c r="G220" s="405"/>
      <c r="H220" s="405"/>
      <c r="I220" s="405"/>
      <c r="J220" s="405"/>
      <c r="K220" s="1187"/>
      <c r="L220" s="1187"/>
      <c r="M220" s="369"/>
      <c r="N220" s="369"/>
      <c r="P220" s="1178"/>
      <c r="Q220" s="1180"/>
      <c r="R220" s="1181"/>
      <c r="S220" s="1175"/>
      <c r="T220" s="1159"/>
      <c r="U220" s="1160"/>
      <c r="V220" s="1159"/>
      <c r="W220" s="1160"/>
      <c r="X220" s="1159"/>
      <c r="Y220" s="1160"/>
      <c r="Z220" s="1159"/>
      <c r="AA220" s="1160"/>
      <c r="AB220" s="1159"/>
      <c r="AC220" s="1160"/>
      <c r="AE220" s="1178"/>
      <c r="AF220" s="1194"/>
      <c r="AG220" s="1181"/>
      <c r="AH220" s="1175"/>
      <c r="AI220" s="1159"/>
      <c r="AJ220" s="1160"/>
      <c r="AK220" s="1159"/>
      <c r="AL220" s="1160"/>
      <c r="AM220" s="1159"/>
      <c r="AN220" s="1160"/>
      <c r="AO220" s="1159"/>
      <c r="AP220" s="1160"/>
      <c r="AQ220" s="1159"/>
      <c r="AR220" s="1160"/>
    </row>
    <row r="221" spans="1:44" ht="15" outlineLevel="1" thickBot="1">
      <c r="B221" s="370"/>
      <c r="C221" s="371"/>
      <c r="D221" s="371"/>
      <c r="E221" s="371"/>
      <c r="F221" s="371"/>
      <c r="G221" s="371"/>
      <c r="H221" s="371"/>
      <c r="I221" s="371"/>
      <c r="J221" s="371"/>
      <c r="K221" s="371"/>
      <c r="L221" s="372"/>
      <c r="M221" s="369"/>
      <c r="N221" s="369"/>
      <c r="O221" s="74"/>
      <c r="P221" s="1179"/>
      <c r="Q221" s="1176"/>
      <c r="R221" s="1182"/>
      <c r="S221" s="1176"/>
      <c r="T221" s="373"/>
      <c r="U221" s="374"/>
      <c r="V221" s="373"/>
      <c r="W221" s="374"/>
      <c r="X221" s="373"/>
      <c r="Y221" s="374"/>
      <c r="Z221" s="373"/>
      <c r="AA221" s="374"/>
      <c r="AB221" s="373"/>
      <c r="AC221" s="374"/>
      <c r="AE221" s="1179"/>
      <c r="AF221" s="1195"/>
      <c r="AG221" s="1182"/>
      <c r="AH221" s="1176"/>
      <c r="AI221" s="373"/>
      <c r="AJ221" s="374"/>
      <c r="AK221" s="373"/>
      <c r="AL221" s="374"/>
      <c r="AM221" s="373"/>
      <c r="AN221" s="374"/>
      <c r="AO221" s="373"/>
      <c r="AP221" s="374"/>
      <c r="AQ221" s="373"/>
      <c r="AR221" s="374"/>
    </row>
    <row r="222" spans="1:44" ht="14.55" customHeight="1" outlineLevel="1">
      <c r="B222" s="540"/>
      <c r="C222" s="541"/>
      <c r="D222" s="541"/>
      <c r="E222" s="542"/>
      <c r="F222" s="541"/>
      <c r="G222" s="541"/>
      <c r="H222" s="541"/>
      <c r="I222" s="541"/>
      <c r="J222" s="541"/>
      <c r="K222" s="546"/>
      <c r="L222" s="547"/>
      <c r="M222" s="369"/>
      <c r="N222" s="369"/>
      <c r="P222" s="1145"/>
      <c r="Q222" s="1151"/>
      <c r="R222" s="380"/>
      <c r="S222" s="381"/>
      <c r="T222" s="1134"/>
      <c r="U222" s="1148"/>
      <c r="V222" s="1134"/>
      <c r="W222" s="1148"/>
      <c r="X222" s="1134"/>
      <c r="Y222" s="1148"/>
      <c r="Z222" s="1134"/>
      <c r="AA222" s="1148"/>
      <c r="AB222" s="1134"/>
      <c r="AC222" s="1148"/>
      <c r="AE222" s="1145"/>
      <c r="AF222" s="1151"/>
      <c r="AG222" s="380"/>
      <c r="AH222" s="381"/>
      <c r="AI222" s="1134"/>
      <c r="AJ222" s="1148"/>
      <c r="AK222" s="1134"/>
      <c r="AL222" s="1148"/>
      <c r="AM222" s="1134"/>
      <c r="AN222" s="1148"/>
      <c r="AO222" s="1134"/>
      <c r="AP222" s="1148"/>
      <c r="AQ222" s="1134"/>
      <c r="AR222" s="1148"/>
    </row>
    <row r="223" spans="1:44" outlineLevel="1">
      <c r="B223" s="382"/>
      <c r="C223" s="383"/>
      <c r="D223" s="383"/>
      <c r="E223" s="383"/>
      <c r="F223" s="383"/>
      <c r="G223" s="504"/>
      <c r="H223" s="504"/>
      <c r="I223" s="504"/>
      <c r="J223" s="504"/>
      <c r="K223" s="371"/>
      <c r="L223" s="372"/>
      <c r="M223" s="369"/>
      <c r="N223" s="369"/>
      <c r="O223" s="71"/>
      <c r="P223" s="1192"/>
      <c r="Q223" s="1152"/>
      <c r="R223" s="387"/>
      <c r="S223" s="388"/>
      <c r="T223" s="1137"/>
      <c r="U223" s="1149"/>
      <c r="V223" s="1137"/>
      <c r="W223" s="1149"/>
      <c r="X223" s="1137"/>
      <c r="Y223" s="1149"/>
      <c r="Z223" s="1137"/>
      <c r="AA223" s="1149"/>
      <c r="AB223" s="1137"/>
      <c r="AC223" s="1149"/>
      <c r="AE223" s="1192"/>
      <c r="AF223" s="1152"/>
      <c r="AG223" s="387"/>
      <c r="AH223" s="388"/>
      <c r="AI223" s="1137"/>
      <c r="AJ223" s="1149"/>
      <c r="AK223" s="1137"/>
      <c r="AL223" s="1149"/>
      <c r="AM223" s="1137"/>
      <c r="AN223" s="1149"/>
      <c r="AO223" s="1137"/>
      <c r="AP223" s="1149"/>
      <c r="AQ223" s="1137"/>
      <c r="AR223" s="1149"/>
    </row>
    <row r="224" spans="1:44" ht="15" outlineLevel="1" thickBot="1">
      <c r="B224" s="540"/>
      <c r="C224" s="543"/>
      <c r="D224" s="544"/>
      <c r="E224" s="544"/>
      <c r="F224" s="545"/>
      <c r="G224" s="544"/>
      <c r="H224" s="544"/>
      <c r="I224" s="544"/>
      <c r="J224" s="544"/>
      <c r="K224" s="546"/>
      <c r="L224" s="547"/>
      <c r="M224" s="369"/>
      <c r="N224" s="369"/>
      <c r="O224" s="71"/>
      <c r="P224" s="1192"/>
      <c r="Q224" s="1153"/>
      <c r="R224" s="392"/>
      <c r="S224" s="393"/>
      <c r="T224" s="1138"/>
      <c r="U224" s="1150"/>
      <c r="V224" s="1138"/>
      <c r="W224" s="1150"/>
      <c r="X224" s="1138"/>
      <c r="Y224" s="1150"/>
      <c r="Z224" s="1138"/>
      <c r="AA224" s="1150"/>
      <c r="AB224" s="1138"/>
      <c r="AC224" s="1150"/>
      <c r="AE224" s="1192"/>
      <c r="AF224" s="1153"/>
      <c r="AG224" s="392"/>
      <c r="AH224" s="393"/>
      <c r="AI224" s="1138"/>
      <c r="AJ224" s="1150"/>
      <c r="AK224" s="1138"/>
      <c r="AL224" s="1150"/>
      <c r="AM224" s="1138"/>
      <c r="AN224" s="1150"/>
      <c r="AO224" s="1138"/>
      <c r="AP224" s="1150"/>
      <c r="AQ224" s="1138"/>
      <c r="AR224" s="1150"/>
    </row>
    <row r="225" spans="1:44" ht="14.55" customHeight="1" outlineLevel="1">
      <c r="B225" s="540"/>
      <c r="C225" s="543"/>
      <c r="D225" s="543"/>
      <c r="E225" s="543"/>
      <c r="F225" s="543"/>
      <c r="G225" s="543"/>
      <c r="H225" s="543"/>
      <c r="I225" s="543"/>
      <c r="J225" s="543"/>
      <c r="K225" s="546"/>
      <c r="L225" s="547"/>
      <c r="M225" s="369"/>
      <c r="N225" s="369"/>
      <c r="O225" s="71"/>
      <c r="P225" s="1192"/>
      <c r="Q225" s="1151"/>
      <c r="R225" s="394"/>
      <c r="S225" s="395"/>
      <c r="T225" s="1134"/>
      <c r="U225" s="1134"/>
      <c r="V225" s="1134"/>
      <c r="W225" s="1134"/>
      <c r="X225" s="1134"/>
      <c r="Y225" s="1134"/>
      <c r="Z225" s="1134"/>
      <c r="AA225" s="1134"/>
      <c r="AB225" s="1134"/>
      <c r="AC225" s="1134"/>
      <c r="AE225" s="1192"/>
      <c r="AF225" s="1151"/>
      <c r="AG225" s="394"/>
      <c r="AH225" s="395"/>
      <c r="AI225" s="1134"/>
      <c r="AJ225" s="1134"/>
      <c r="AK225" s="1134"/>
      <c r="AL225" s="1134"/>
      <c r="AM225" s="1134"/>
      <c r="AN225" s="1134"/>
      <c r="AO225" s="1134"/>
      <c r="AP225" s="1134"/>
      <c r="AQ225" s="1134"/>
      <c r="AR225" s="1134"/>
    </row>
    <row r="226" spans="1:44" outlineLevel="1">
      <c r="B226" s="540"/>
      <c r="C226" s="543"/>
      <c r="D226" s="543"/>
      <c r="E226" s="543"/>
      <c r="F226" s="543"/>
      <c r="G226" s="543"/>
      <c r="H226" s="543"/>
      <c r="I226" s="543"/>
      <c r="J226" s="543"/>
      <c r="K226" s="546"/>
      <c r="L226" s="547"/>
      <c r="M226" s="366"/>
      <c r="N226" s="366"/>
      <c r="O226" s="71"/>
      <c r="P226" s="1192"/>
      <c r="Q226" s="1152"/>
      <c r="R226" s="394"/>
      <c r="S226" s="395"/>
      <c r="T226" s="1135"/>
      <c r="U226" s="1135"/>
      <c r="V226" s="1135"/>
      <c r="W226" s="1135"/>
      <c r="X226" s="1135"/>
      <c r="Y226" s="1135"/>
      <c r="Z226" s="1135"/>
      <c r="AA226" s="1135"/>
      <c r="AB226" s="1135"/>
      <c r="AC226" s="1135"/>
      <c r="AE226" s="1192"/>
      <c r="AF226" s="1152"/>
      <c r="AG226" s="394"/>
      <c r="AH226" s="395"/>
      <c r="AI226" s="1135"/>
      <c r="AJ226" s="1135"/>
      <c r="AK226" s="1135"/>
      <c r="AL226" s="1135"/>
      <c r="AM226" s="1135"/>
      <c r="AN226" s="1135"/>
      <c r="AO226" s="1135"/>
      <c r="AP226" s="1135"/>
      <c r="AQ226" s="1135"/>
      <c r="AR226" s="1135"/>
    </row>
    <row r="227" spans="1:44" outlineLevel="1">
      <c r="B227" s="382"/>
      <c r="C227" s="396"/>
      <c r="D227" s="396"/>
      <c r="E227" s="396"/>
      <c r="F227" s="396"/>
      <c r="G227" s="398"/>
      <c r="H227" s="398"/>
      <c r="I227" s="398"/>
      <c r="J227" s="398"/>
      <c r="K227" s="371"/>
      <c r="L227" s="372"/>
      <c r="M227" s="362"/>
      <c r="N227" s="362"/>
      <c r="P227" s="1192"/>
      <c r="Q227" s="1152"/>
      <c r="R227" s="394"/>
      <c r="S227" s="395"/>
      <c r="T227" s="1135"/>
      <c r="U227" s="1135"/>
      <c r="V227" s="1135"/>
      <c r="W227" s="1135"/>
      <c r="X227" s="1135"/>
      <c r="Y227" s="1135"/>
      <c r="Z227" s="1135"/>
      <c r="AA227" s="1135"/>
      <c r="AB227" s="1135"/>
      <c r="AC227" s="1135"/>
      <c r="AE227" s="1192"/>
      <c r="AF227" s="1152"/>
      <c r="AG227" s="394"/>
      <c r="AH227" s="395"/>
      <c r="AI227" s="1135"/>
      <c r="AJ227" s="1135"/>
      <c r="AK227" s="1135"/>
      <c r="AL227" s="1135"/>
      <c r="AM227" s="1135"/>
      <c r="AN227" s="1135"/>
      <c r="AO227" s="1135"/>
      <c r="AP227" s="1135"/>
      <c r="AQ227" s="1135"/>
      <c r="AR227" s="1135"/>
    </row>
    <row r="228" spans="1:44" ht="15" outlineLevel="1" thickBot="1">
      <c r="B228" s="540"/>
      <c r="C228" s="543"/>
      <c r="D228" s="543"/>
      <c r="E228" s="543"/>
      <c r="F228" s="543"/>
      <c r="G228" s="543"/>
      <c r="H228" s="543"/>
      <c r="I228" s="543"/>
      <c r="J228" s="543"/>
      <c r="K228" s="546"/>
      <c r="L228" s="558"/>
      <c r="M228" s="362"/>
      <c r="N228" s="362"/>
      <c r="P228" s="1192"/>
      <c r="Q228" s="1152"/>
      <c r="R228" s="394"/>
      <c r="S228" s="395"/>
      <c r="T228" s="1135"/>
      <c r="U228" s="1135"/>
      <c r="V228" s="1135"/>
      <c r="W228" s="1135"/>
      <c r="X228" s="1135"/>
      <c r="Y228" s="1135"/>
      <c r="Z228" s="1135"/>
      <c r="AA228" s="1135"/>
      <c r="AB228" s="1135"/>
      <c r="AC228" s="1135"/>
      <c r="AE228" s="1192"/>
      <c r="AF228" s="1152"/>
      <c r="AG228" s="394"/>
      <c r="AH228" s="395"/>
      <c r="AI228" s="1135"/>
      <c r="AJ228" s="1135"/>
      <c r="AK228" s="1135"/>
      <c r="AL228" s="1135"/>
      <c r="AM228" s="1135"/>
      <c r="AN228" s="1135"/>
      <c r="AO228" s="1135"/>
      <c r="AP228" s="1135"/>
      <c r="AQ228" s="1135"/>
      <c r="AR228" s="1135"/>
    </row>
    <row r="229" spans="1:44" ht="15" outlineLevel="1" thickBot="1">
      <c r="B229" s="400"/>
      <c r="C229" s="401"/>
      <c r="D229" s="402"/>
      <c r="E229" s="403"/>
      <c r="F229" s="404"/>
      <c r="G229" s="405"/>
      <c r="H229" s="405"/>
      <c r="I229" s="405"/>
      <c r="J229" s="405"/>
      <c r="K229" s="406"/>
      <c r="L229" s="407"/>
      <c r="M229" s="362"/>
      <c r="N229" s="362"/>
      <c r="P229" s="1192"/>
      <c r="Q229" s="1152"/>
      <c r="R229" s="408"/>
      <c r="S229" s="409"/>
      <c r="T229" s="1136"/>
      <c r="U229" s="1136"/>
      <c r="V229" s="1136"/>
      <c r="W229" s="1136"/>
      <c r="X229" s="1136"/>
      <c r="Y229" s="1136"/>
      <c r="Z229" s="1136"/>
      <c r="AA229" s="1136"/>
      <c r="AB229" s="1136"/>
      <c r="AC229" s="1136"/>
      <c r="AE229" s="1192"/>
      <c r="AF229" s="1152"/>
      <c r="AG229" s="408"/>
      <c r="AH229" s="409"/>
      <c r="AI229" s="1136"/>
      <c r="AJ229" s="1136"/>
      <c r="AK229" s="1136"/>
      <c r="AL229" s="1136"/>
      <c r="AM229" s="1136"/>
      <c r="AN229" s="1136"/>
      <c r="AO229" s="1136"/>
      <c r="AP229" s="1136"/>
      <c r="AQ229" s="1136"/>
      <c r="AR229" s="1136"/>
    </row>
    <row r="230" spans="1:44" ht="15" outlineLevel="1" thickBot="1">
      <c r="B230" s="540"/>
      <c r="C230" s="543"/>
      <c r="D230" s="543"/>
      <c r="E230" s="543"/>
      <c r="F230" s="543"/>
      <c r="G230" s="544"/>
      <c r="H230" s="544"/>
      <c r="I230" s="544"/>
      <c r="J230" s="544"/>
      <c r="K230" s="546"/>
      <c r="L230" s="547"/>
      <c r="M230" s="362"/>
      <c r="N230" s="362"/>
      <c r="P230" s="1193"/>
      <c r="Q230" s="410"/>
      <c r="R230" s="411"/>
      <c r="S230" s="412"/>
      <c r="T230" s="413"/>
      <c r="U230" s="414"/>
      <c r="V230" s="413"/>
      <c r="W230" s="414"/>
      <c r="X230" s="413"/>
      <c r="Y230" s="414"/>
      <c r="Z230" s="413"/>
      <c r="AA230" s="414"/>
      <c r="AB230" s="413"/>
      <c r="AC230" s="416"/>
      <c r="AE230" s="1193"/>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5" outlineLevel="1" thickBot="1">
      <c r="B238" s="428"/>
      <c r="C238" s="429"/>
      <c r="D238" s="429"/>
      <c r="E238" s="429"/>
      <c r="F238" s="429"/>
      <c r="G238" s="424"/>
      <c r="H238" s="424"/>
      <c r="I238" s="424"/>
      <c r="J238" s="424"/>
      <c r="K238" s="422"/>
      <c r="L238" s="426"/>
      <c r="M238" s="427"/>
      <c r="N238" s="427"/>
    </row>
    <row r="239" spans="1:44" ht="15"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39"/>
      <c r="Q244" s="1140"/>
      <c r="R244" s="1140"/>
      <c r="S244" s="1140"/>
      <c r="T244" s="1140"/>
      <c r="U244" s="1141"/>
    </row>
    <row r="245" spans="2:30" ht="15" outlineLevel="1" thickBot="1">
      <c r="B245" s="540"/>
      <c r="C245" s="551"/>
      <c r="D245" s="551"/>
      <c r="E245" s="551"/>
      <c r="F245" s="551"/>
      <c r="G245" s="424"/>
      <c r="H245" s="424"/>
      <c r="I245" s="424"/>
      <c r="J245" s="424"/>
      <c r="K245" s="443"/>
      <c r="L245" s="372"/>
      <c r="M245" s="449"/>
      <c r="N245" s="360"/>
      <c r="P245" s="1131"/>
      <c r="Q245" s="1132"/>
      <c r="R245" s="1132"/>
      <c r="S245" s="1132"/>
      <c r="T245" s="1132"/>
      <c r="U245" s="1133"/>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5"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5"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5"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5" thickBot="1">
      <c r="A283" s="359"/>
    </row>
    <row r="284" spans="1:44" ht="20.55" customHeight="1" thickBot="1">
      <c r="B284" s="361"/>
      <c r="C284" s="1183"/>
      <c r="D284" s="1184"/>
      <c r="E284" s="1184"/>
      <c r="F284" s="1184"/>
      <c r="G284" s="1184"/>
      <c r="H284" s="1184"/>
      <c r="I284" s="1184"/>
      <c r="J284" s="1184"/>
      <c r="K284" s="1184"/>
      <c r="L284" s="1185"/>
      <c r="M284" s="362"/>
      <c r="N284" s="362"/>
      <c r="P284" s="363"/>
      <c r="Q284" s="364"/>
      <c r="R284" s="365"/>
      <c r="S284" s="1173"/>
      <c r="T284" s="1157"/>
      <c r="U284" s="1158"/>
      <c r="V284" s="1157"/>
      <c r="W284" s="1158"/>
      <c r="X284" s="1157"/>
      <c r="Y284" s="1158"/>
      <c r="Z284" s="1157"/>
      <c r="AA284" s="1158"/>
      <c r="AB284" s="1157"/>
      <c r="AC284" s="1158"/>
      <c r="AE284" s="363"/>
      <c r="AF284" s="364"/>
      <c r="AG284" s="365"/>
      <c r="AH284" s="1173"/>
      <c r="AI284" s="1157"/>
      <c r="AJ284" s="1158"/>
      <c r="AK284" s="1157"/>
      <c r="AL284" s="1158"/>
      <c r="AM284" s="1157"/>
      <c r="AN284" s="1158"/>
      <c r="AO284" s="1157"/>
      <c r="AP284" s="1158"/>
      <c r="AQ284" s="1157"/>
      <c r="AR284" s="1158"/>
    </row>
    <row r="285" spans="1:44" ht="15" customHeight="1" thickBot="1">
      <c r="B285" s="1161"/>
      <c r="C285" s="1163"/>
      <c r="D285" s="1163"/>
      <c r="E285" s="1163"/>
      <c r="F285" s="1163"/>
      <c r="G285" s="1165"/>
      <c r="H285" s="1166"/>
      <c r="I285" s="1165"/>
      <c r="J285" s="1166"/>
      <c r="K285" s="1186"/>
      <c r="L285" s="1186"/>
      <c r="M285" s="366"/>
      <c r="N285" s="366"/>
      <c r="P285" s="1177"/>
      <c r="Q285" s="367"/>
      <c r="R285" s="367"/>
      <c r="S285" s="1174"/>
      <c r="T285" s="1159"/>
      <c r="U285" s="1160"/>
      <c r="V285" s="1159"/>
      <c r="W285" s="1160"/>
      <c r="X285" s="1159"/>
      <c r="Y285" s="1160"/>
      <c r="Z285" s="1159"/>
      <c r="AA285" s="1160"/>
      <c r="AB285" s="1159"/>
      <c r="AC285" s="1160"/>
      <c r="AE285" s="1177"/>
      <c r="AF285" s="367"/>
      <c r="AG285" s="367"/>
      <c r="AH285" s="1174"/>
      <c r="AI285" s="1159"/>
      <c r="AJ285" s="1160"/>
      <c r="AK285" s="1159"/>
      <c r="AL285" s="1160"/>
      <c r="AM285" s="1159"/>
      <c r="AN285" s="1160"/>
      <c r="AO285" s="1159"/>
      <c r="AP285" s="1160"/>
      <c r="AQ285" s="1159"/>
      <c r="AR285" s="1160"/>
    </row>
    <row r="286" spans="1:44" ht="15" customHeight="1" thickBot="1">
      <c r="B286" s="1162"/>
      <c r="C286" s="1164"/>
      <c r="D286" s="1164"/>
      <c r="E286" s="1164"/>
      <c r="F286" s="1164"/>
      <c r="G286" s="405"/>
      <c r="H286" s="405"/>
      <c r="I286" s="405"/>
      <c r="J286" s="405"/>
      <c r="K286" s="1187"/>
      <c r="L286" s="1187"/>
      <c r="M286" s="369"/>
      <c r="N286" s="369"/>
      <c r="P286" s="1178"/>
      <c r="Q286" s="1180"/>
      <c r="R286" s="1181"/>
      <c r="S286" s="1175"/>
      <c r="T286" s="1159"/>
      <c r="U286" s="1160"/>
      <c r="V286" s="1159"/>
      <c r="W286" s="1160"/>
      <c r="X286" s="1159"/>
      <c r="Y286" s="1160"/>
      <c r="Z286" s="1159"/>
      <c r="AA286" s="1160"/>
      <c r="AB286" s="1159"/>
      <c r="AC286" s="1160"/>
      <c r="AE286" s="1178"/>
      <c r="AF286" s="1180"/>
      <c r="AG286" s="1181"/>
      <c r="AH286" s="1175"/>
      <c r="AI286" s="1159"/>
      <c r="AJ286" s="1160"/>
      <c r="AK286" s="1159"/>
      <c r="AL286" s="1160"/>
      <c r="AM286" s="1159"/>
      <c r="AN286" s="1160"/>
      <c r="AO286" s="1159"/>
      <c r="AP286" s="1160"/>
      <c r="AQ286" s="1159"/>
      <c r="AR286" s="1160"/>
    </row>
    <row r="287" spans="1:44" ht="15" thickBot="1">
      <c r="B287" s="370"/>
      <c r="C287" s="371"/>
      <c r="D287" s="371"/>
      <c r="E287" s="371"/>
      <c r="F287" s="371"/>
      <c r="G287" s="371"/>
      <c r="H287" s="371"/>
      <c r="I287" s="371"/>
      <c r="J287" s="371"/>
      <c r="K287" s="371"/>
      <c r="L287" s="372"/>
      <c r="M287" s="369"/>
      <c r="N287" s="369"/>
      <c r="O287" s="74"/>
      <c r="P287" s="1179"/>
      <c r="Q287" s="1176"/>
      <c r="R287" s="1182"/>
      <c r="S287" s="1176"/>
      <c r="T287" s="373"/>
      <c r="U287" s="374"/>
      <c r="V287" s="373"/>
      <c r="W287" s="374"/>
      <c r="X287" s="373"/>
      <c r="Y287" s="374"/>
      <c r="Z287" s="373"/>
      <c r="AA287" s="374"/>
      <c r="AB287" s="373"/>
      <c r="AC287" s="374"/>
      <c r="AE287" s="1179"/>
      <c r="AF287" s="1176"/>
      <c r="AG287" s="1182"/>
      <c r="AH287" s="1176"/>
      <c r="AI287" s="373"/>
      <c r="AJ287" s="374"/>
      <c r="AK287" s="373"/>
      <c r="AL287" s="374"/>
      <c r="AM287" s="373"/>
      <c r="AN287" s="374"/>
      <c r="AO287" s="373"/>
      <c r="AP287" s="374"/>
      <c r="AQ287" s="373"/>
      <c r="AR287" s="374"/>
    </row>
    <row r="288" spans="1:44" ht="14.55" customHeight="1">
      <c r="B288" s="573"/>
      <c r="C288" s="574"/>
      <c r="D288" s="574"/>
      <c r="E288" s="574"/>
      <c r="F288" s="574"/>
      <c r="G288" s="575"/>
      <c r="H288" s="575"/>
      <c r="I288" s="575"/>
      <c r="J288" s="575"/>
      <c r="K288" s="371"/>
      <c r="L288" s="372"/>
      <c r="M288" s="369"/>
      <c r="N288" s="369"/>
      <c r="P288" s="1145"/>
      <c r="Q288" s="1151"/>
      <c r="R288" s="380"/>
      <c r="S288" s="381"/>
      <c r="T288" s="1134"/>
      <c r="U288" s="1148"/>
      <c r="V288" s="1134"/>
      <c r="W288" s="1148"/>
      <c r="X288" s="1134"/>
      <c r="Y288" s="1148"/>
      <c r="Z288" s="1134"/>
      <c r="AA288" s="1148"/>
      <c r="AB288" s="1154"/>
      <c r="AC288" s="1148"/>
      <c r="AE288" s="1145"/>
      <c r="AF288" s="1151"/>
      <c r="AG288" s="380"/>
      <c r="AH288" s="381"/>
      <c r="AI288" s="1134"/>
      <c r="AJ288" s="1148"/>
      <c r="AK288" s="1134"/>
      <c r="AL288" s="1148"/>
      <c r="AM288" s="1134"/>
      <c r="AN288" s="1148"/>
      <c r="AO288" s="1134"/>
      <c r="AP288" s="1148"/>
      <c r="AQ288" s="1154"/>
      <c r="AR288" s="1148"/>
    </row>
    <row r="289" spans="2:44">
      <c r="B289" s="382"/>
      <c r="C289" s="576"/>
      <c r="D289" s="576"/>
      <c r="E289" s="576"/>
      <c r="F289" s="576"/>
      <c r="G289" s="575"/>
      <c r="H289" s="575"/>
      <c r="I289" s="575"/>
      <c r="J289" s="575"/>
      <c r="K289" s="371"/>
      <c r="L289" s="372"/>
      <c r="M289" s="369"/>
      <c r="N289" s="369"/>
      <c r="O289" s="71"/>
      <c r="P289" s="1146"/>
      <c r="Q289" s="1152"/>
      <c r="R289" s="387"/>
      <c r="S289" s="388"/>
      <c r="T289" s="1137"/>
      <c r="U289" s="1149"/>
      <c r="V289" s="1137"/>
      <c r="W289" s="1149"/>
      <c r="X289" s="1137"/>
      <c r="Y289" s="1149"/>
      <c r="Z289" s="1137"/>
      <c r="AA289" s="1149"/>
      <c r="AB289" s="1155"/>
      <c r="AC289" s="1149"/>
      <c r="AE289" s="1146"/>
      <c r="AF289" s="1152"/>
      <c r="AG289" s="387"/>
      <c r="AH289" s="388"/>
      <c r="AI289" s="1137"/>
      <c r="AJ289" s="1149"/>
      <c r="AK289" s="1137"/>
      <c r="AL289" s="1149"/>
      <c r="AM289" s="1137"/>
      <c r="AN289" s="1149"/>
      <c r="AO289" s="1137"/>
      <c r="AP289" s="1149"/>
      <c r="AQ289" s="1155"/>
      <c r="AR289" s="1149"/>
    </row>
    <row r="290" spans="2:44" ht="15" thickBot="1">
      <c r="B290" s="573"/>
      <c r="C290" s="577"/>
      <c r="D290" s="577"/>
      <c r="E290" s="577"/>
      <c r="F290" s="577"/>
      <c r="G290" s="577"/>
      <c r="H290" s="577"/>
      <c r="I290" s="577"/>
      <c r="J290" s="577"/>
      <c r="K290" s="578"/>
      <c r="L290" s="579"/>
      <c r="M290" s="369"/>
      <c r="N290" s="369"/>
      <c r="O290" s="71"/>
      <c r="P290" s="1146"/>
      <c r="Q290" s="1153"/>
      <c r="R290" s="392"/>
      <c r="S290" s="393"/>
      <c r="T290" s="1138"/>
      <c r="U290" s="1150"/>
      <c r="V290" s="1138"/>
      <c r="W290" s="1150"/>
      <c r="X290" s="1138"/>
      <c r="Y290" s="1150"/>
      <c r="Z290" s="1138"/>
      <c r="AA290" s="1150"/>
      <c r="AB290" s="1156"/>
      <c r="AC290" s="1150"/>
      <c r="AE290" s="1146"/>
      <c r="AF290" s="1153"/>
      <c r="AG290" s="392"/>
      <c r="AH290" s="393"/>
      <c r="AI290" s="1138"/>
      <c r="AJ290" s="1150"/>
      <c r="AK290" s="1138"/>
      <c r="AL290" s="1150"/>
      <c r="AM290" s="1138"/>
      <c r="AN290" s="1150"/>
      <c r="AO290" s="1138"/>
      <c r="AP290" s="1150"/>
      <c r="AQ290" s="1156"/>
      <c r="AR290" s="1150"/>
    </row>
    <row r="291" spans="2:44" ht="14.55" customHeight="1">
      <c r="B291" s="573"/>
      <c r="C291" s="580"/>
      <c r="D291" s="580"/>
      <c r="E291" s="580"/>
      <c r="F291" s="580"/>
      <c r="G291" s="580"/>
      <c r="H291" s="580"/>
      <c r="I291" s="580"/>
      <c r="J291" s="580"/>
      <c r="K291" s="578"/>
      <c r="L291" s="579"/>
      <c r="M291" s="369"/>
      <c r="N291" s="369"/>
      <c r="O291" s="71"/>
      <c r="P291" s="1146"/>
      <c r="Q291" s="1142"/>
      <c r="R291" s="394"/>
      <c r="S291" s="395"/>
      <c r="T291" s="1134"/>
      <c r="U291" s="1134"/>
      <c r="V291" s="1134"/>
      <c r="W291" s="1134"/>
      <c r="X291" s="1134"/>
      <c r="Y291" s="1134"/>
      <c r="Z291" s="1134"/>
      <c r="AA291" s="1134"/>
      <c r="AB291" s="1134"/>
      <c r="AC291" s="1134"/>
      <c r="AE291" s="1146"/>
      <c r="AF291" s="1142"/>
      <c r="AG291" s="394"/>
      <c r="AH291" s="395"/>
      <c r="AI291" s="1134"/>
      <c r="AJ291" s="1134"/>
      <c r="AK291" s="1134"/>
      <c r="AL291" s="1134"/>
      <c r="AM291" s="1134"/>
      <c r="AN291" s="1134"/>
      <c r="AO291" s="1134"/>
      <c r="AP291" s="1134"/>
      <c r="AQ291" s="1134"/>
      <c r="AR291" s="1134"/>
    </row>
    <row r="292" spans="2:44">
      <c r="B292" s="573"/>
      <c r="C292" s="581"/>
      <c r="D292" s="581"/>
      <c r="E292" s="581"/>
      <c r="F292" s="581"/>
      <c r="G292" s="581"/>
      <c r="H292" s="581"/>
      <c r="I292" s="581"/>
      <c r="J292" s="581"/>
      <c r="K292" s="578"/>
      <c r="L292" s="579"/>
      <c r="M292" s="366"/>
      <c r="N292" s="366"/>
      <c r="O292" s="71"/>
      <c r="P292" s="1146"/>
      <c r="Q292" s="1143"/>
      <c r="R292" s="394"/>
      <c r="S292" s="395"/>
      <c r="T292" s="1135"/>
      <c r="U292" s="1135"/>
      <c r="V292" s="1135"/>
      <c r="W292" s="1135"/>
      <c r="X292" s="1135"/>
      <c r="Y292" s="1135"/>
      <c r="Z292" s="1135"/>
      <c r="AA292" s="1135"/>
      <c r="AB292" s="1137"/>
      <c r="AC292" s="1135"/>
      <c r="AE292" s="1146"/>
      <c r="AF292" s="1143"/>
      <c r="AG292" s="394"/>
      <c r="AH292" s="395"/>
      <c r="AI292" s="1135"/>
      <c r="AJ292" s="1135"/>
      <c r="AK292" s="1135"/>
      <c r="AL292" s="1135"/>
      <c r="AM292" s="1135"/>
      <c r="AN292" s="1135"/>
      <c r="AO292" s="1135"/>
      <c r="AP292" s="1135"/>
      <c r="AQ292" s="1137"/>
      <c r="AR292" s="1135"/>
    </row>
    <row r="293" spans="2:44">
      <c r="B293" s="382"/>
      <c r="C293" s="396"/>
      <c r="D293" s="396"/>
      <c r="E293" s="396"/>
      <c r="F293" s="396"/>
      <c r="G293" s="397"/>
      <c r="H293" s="397"/>
      <c r="I293" s="397"/>
      <c r="J293" s="397"/>
      <c r="K293" s="371"/>
      <c r="L293" s="372"/>
      <c r="M293" s="362"/>
      <c r="N293" s="362"/>
      <c r="P293" s="1146"/>
      <c r="Q293" s="1143"/>
      <c r="R293" s="394"/>
      <c r="S293" s="395"/>
      <c r="T293" s="1135"/>
      <c r="U293" s="1135"/>
      <c r="V293" s="1135"/>
      <c r="W293" s="1135"/>
      <c r="X293" s="1135"/>
      <c r="Y293" s="1135"/>
      <c r="Z293" s="1135"/>
      <c r="AA293" s="1135"/>
      <c r="AB293" s="1137"/>
      <c r="AC293" s="1135"/>
      <c r="AE293" s="1146"/>
      <c r="AF293" s="1143"/>
      <c r="AG293" s="394"/>
      <c r="AH293" s="395"/>
      <c r="AI293" s="1135"/>
      <c r="AJ293" s="1135"/>
      <c r="AK293" s="1135"/>
      <c r="AL293" s="1135"/>
      <c r="AM293" s="1135"/>
      <c r="AN293" s="1135"/>
      <c r="AO293" s="1135"/>
      <c r="AP293" s="1135"/>
      <c r="AQ293" s="1137"/>
      <c r="AR293" s="1135"/>
    </row>
    <row r="294" spans="2:44" ht="15" thickBot="1">
      <c r="B294" s="573"/>
      <c r="C294" s="581"/>
      <c r="D294" s="581"/>
      <c r="E294" s="581"/>
      <c r="F294" s="581"/>
      <c r="G294" s="581"/>
      <c r="H294" s="581"/>
      <c r="I294" s="581"/>
      <c r="J294" s="581"/>
      <c r="K294" s="371"/>
      <c r="L294" s="372"/>
      <c r="M294" s="362"/>
      <c r="N294" s="362"/>
      <c r="P294" s="1146"/>
      <c r="Q294" s="1143"/>
      <c r="R294" s="394"/>
      <c r="S294" s="395"/>
      <c r="T294" s="1135"/>
      <c r="U294" s="1135"/>
      <c r="V294" s="1135"/>
      <c r="W294" s="1135"/>
      <c r="X294" s="1135"/>
      <c r="Y294" s="1135"/>
      <c r="Z294" s="1135"/>
      <c r="AA294" s="1135"/>
      <c r="AB294" s="1137"/>
      <c r="AC294" s="1135"/>
      <c r="AE294" s="1146"/>
      <c r="AF294" s="1143"/>
      <c r="AG294" s="394"/>
      <c r="AH294" s="395"/>
      <c r="AI294" s="1135"/>
      <c r="AJ294" s="1135"/>
      <c r="AK294" s="1135"/>
      <c r="AL294" s="1135"/>
      <c r="AM294" s="1135"/>
      <c r="AN294" s="1135"/>
      <c r="AO294" s="1135"/>
      <c r="AP294" s="1135"/>
      <c r="AQ294" s="1137"/>
      <c r="AR294" s="1135"/>
    </row>
    <row r="295" spans="2:44" ht="15" thickBot="1">
      <c r="B295" s="400"/>
      <c r="C295" s="582"/>
      <c r="D295" s="583"/>
      <c r="E295" s="584"/>
      <c r="F295" s="585"/>
      <c r="G295" s="405"/>
      <c r="H295" s="405"/>
      <c r="I295" s="405"/>
      <c r="J295" s="405"/>
      <c r="K295" s="406"/>
      <c r="L295" s="586"/>
      <c r="M295" s="362"/>
      <c r="N295" s="362"/>
      <c r="P295" s="1146"/>
      <c r="Q295" s="1144"/>
      <c r="R295" s="408"/>
      <c r="S295" s="409"/>
      <c r="T295" s="1136"/>
      <c r="U295" s="1136"/>
      <c r="V295" s="1136"/>
      <c r="W295" s="1136"/>
      <c r="X295" s="1136"/>
      <c r="Y295" s="1136"/>
      <c r="Z295" s="1136"/>
      <c r="AA295" s="1136"/>
      <c r="AB295" s="1138"/>
      <c r="AC295" s="1136"/>
      <c r="AE295" s="1146"/>
      <c r="AF295" s="1144"/>
      <c r="AG295" s="408"/>
      <c r="AH295" s="409"/>
      <c r="AI295" s="1136"/>
      <c r="AJ295" s="1136"/>
      <c r="AK295" s="1136"/>
      <c r="AL295" s="1136"/>
      <c r="AM295" s="1136"/>
      <c r="AN295" s="1136"/>
      <c r="AO295" s="1136"/>
      <c r="AP295" s="1136"/>
      <c r="AQ295" s="1138"/>
      <c r="AR295" s="1136"/>
    </row>
    <row r="296" spans="2:44" ht="15" thickBot="1">
      <c r="B296" s="573"/>
      <c r="C296" s="587"/>
      <c r="D296" s="587"/>
      <c r="E296" s="587"/>
      <c r="F296" s="587"/>
      <c r="G296" s="588"/>
      <c r="H296" s="588"/>
      <c r="I296" s="589"/>
      <c r="J296" s="589"/>
      <c r="K296" s="578"/>
      <c r="L296" s="579"/>
      <c r="M296" s="362"/>
      <c r="N296" s="362"/>
      <c r="P296" s="1147"/>
      <c r="Q296" s="410"/>
      <c r="R296" s="411"/>
      <c r="S296" s="412"/>
      <c r="T296" s="590"/>
      <c r="U296" s="591"/>
      <c r="V296" s="592"/>
      <c r="W296" s="591"/>
      <c r="X296" s="592"/>
      <c r="Y296" s="591"/>
      <c r="Z296" s="592"/>
      <c r="AA296" s="591"/>
      <c r="AB296" s="592"/>
      <c r="AC296" s="593"/>
      <c r="AE296" s="1147"/>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5" thickBot="1">
      <c r="B304" s="428"/>
      <c r="C304" s="396"/>
      <c r="D304" s="396"/>
      <c r="E304" s="396"/>
      <c r="F304" s="396"/>
      <c r="G304" s="424"/>
      <c r="H304" s="424"/>
      <c r="I304" s="424"/>
      <c r="J304" s="424"/>
      <c r="K304" s="422"/>
      <c r="L304" s="426"/>
      <c r="M304" s="427"/>
      <c r="N304" s="427"/>
    </row>
    <row r="305" spans="1:30" ht="15"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39"/>
      <c r="Q310" s="1140"/>
      <c r="R310" s="1140"/>
      <c r="S310" s="1140"/>
      <c r="T310" s="1140"/>
      <c r="U310" s="1141"/>
    </row>
    <row r="311" spans="1:30" ht="15" thickBot="1">
      <c r="B311" s="540"/>
      <c r="C311" s="551"/>
      <c r="D311" s="551"/>
      <c r="E311" s="551"/>
      <c r="F311" s="551"/>
      <c r="G311" s="552"/>
      <c r="H311" s="552"/>
      <c r="I311" s="552"/>
      <c r="J311" s="552"/>
      <c r="K311" s="546"/>
      <c r="L311" s="547"/>
      <c r="M311" s="449"/>
      <c r="N311" s="360"/>
      <c r="P311" s="1131"/>
      <c r="Q311" s="1132"/>
      <c r="R311" s="1132"/>
      <c r="S311" s="1132"/>
      <c r="T311" s="1132"/>
      <c r="U311" s="1133"/>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5"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5"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5"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7">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56" r:id="rId1" xr:uid="{5740F5FA-C62E-41E9-9228-DEBCAB387C1F}"/>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7F0A-5F9E-462F-9A60-8EB5A73D7FC2}">
  <sheetPr>
    <tabColor theme="3"/>
  </sheetPr>
  <dimension ref="A2:AR345"/>
  <sheetViews>
    <sheetView topLeftCell="M1" zoomScale="85" zoomScaleNormal="85" workbookViewId="0">
      <selection activeCell="AL26" sqref="AL26"/>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 xml:space="preserve"> Mechanical vapor recompression</v>
      </c>
    </row>
    <row r="4" spans="1:44" ht="25.05" customHeight="1">
      <c r="E4" s="224" t="s">
        <v>358</v>
      </c>
      <c r="F4" s="358">
        <v>7.45</v>
      </c>
      <c r="G4" s="358" t="s">
        <v>328</v>
      </c>
    </row>
    <row r="5" spans="1:44" ht="15" customHeight="1">
      <c r="A5" s="359" t="s">
        <v>832</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830</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20</v>
      </c>
      <c r="D10" s="371">
        <v>20</v>
      </c>
      <c r="E10" s="371">
        <v>20</v>
      </c>
      <c r="F10" s="371">
        <v>20</v>
      </c>
      <c r="G10" s="371">
        <v>5</v>
      </c>
      <c r="H10" s="371">
        <v>50</v>
      </c>
      <c r="I10" s="371">
        <v>5</v>
      </c>
      <c r="J10" s="371">
        <v>50</v>
      </c>
      <c r="K10" s="371" t="s">
        <v>6</v>
      </c>
      <c r="L10" s="372">
        <v>1</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1260</v>
      </c>
      <c r="D11" s="376">
        <v>1320</v>
      </c>
      <c r="E11" s="377">
        <v>1380</v>
      </c>
      <c r="F11" s="376">
        <v>1430</v>
      </c>
      <c r="G11" s="376">
        <v>1000</v>
      </c>
      <c r="H11" s="376">
        <v>1512</v>
      </c>
      <c r="I11" s="376">
        <v>1056</v>
      </c>
      <c r="J11" s="376">
        <v>1716</v>
      </c>
      <c r="K11" s="378" t="s">
        <v>59</v>
      </c>
      <c r="L11" s="379">
        <v>1</v>
      </c>
      <c r="M11" s="369"/>
      <c r="N11" s="369"/>
      <c r="P11" s="1196" t="str">
        <f>C7</f>
        <v xml:space="preserve"> Mechanical vapor recompression</v>
      </c>
      <c r="Q11" s="1151" t="s">
        <v>693</v>
      </c>
      <c r="R11" s="380" t="s">
        <v>694</v>
      </c>
      <c r="S11" s="381"/>
      <c r="T11" s="1134">
        <v>0</v>
      </c>
      <c r="U11" s="1148">
        <v>0</v>
      </c>
      <c r="V11" s="1154">
        <v>0</v>
      </c>
      <c r="W11" s="1148">
        <v>0</v>
      </c>
      <c r="X11" s="1154">
        <v>0</v>
      </c>
      <c r="Y11" s="1148">
        <v>0</v>
      </c>
      <c r="Z11" s="1154">
        <v>0</v>
      </c>
      <c r="AA11" s="1148">
        <v>0</v>
      </c>
      <c r="AB11" s="1154">
        <v>0</v>
      </c>
      <c r="AC11" s="1148">
        <v>0</v>
      </c>
      <c r="AE11" s="1145" t="str">
        <f>P11</f>
        <v xml:space="preserve"> Mechanical vapor recompression</v>
      </c>
      <c r="AF11" s="1151" t="s">
        <v>693</v>
      </c>
      <c r="AG11" s="380" t="s">
        <v>694</v>
      </c>
      <c r="AH11" s="381"/>
      <c r="AI11" s="1134">
        <v>0</v>
      </c>
      <c r="AJ11" s="1148">
        <v>0</v>
      </c>
      <c r="AK11" s="1154">
        <v>0</v>
      </c>
      <c r="AL11" s="1148">
        <v>0</v>
      </c>
      <c r="AM11" s="1154">
        <v>0</v>
      </c>
      <c r="AN11" s="1148">
        <v>0</v>
      </c>
      <c r="AO11" s="1154">
        <v>0</v>
      </c>
      <c r="AP11" s="1148">
        <v>0</v>
      </c>
      <c r="AQ11" s="1154">
        <v>0</v>
      </c>
      <c r="AR11" s="1148">
        <v>0</v>
      </c>
    </row>
    <row r="12" spans="1:44" ht="32.549999999999997" customHeight="1" outlineLevel="1">
      <c r="B12" s="382" t="s">
        <v>695</v>
      </c>
      <c r="C12" s="383">
        <f t="shared" ref="C12:J12" si="0">C11-50</f>
        <v>1210</v>
      </c>
      <c r="D12" s="383">
        <f t="shared" si="0"/>
        <v>1270</v>
      </c>
      <c r="E12" s="383">
        <f t="shared" si="0"/>
        <v>1330</v>
      </c>
      <c r="F12" s="383">
        <f t="shared" si="0"/>
        <v>1380</v>
      </c>
      <c r="G12" s="384">
        <f t="shared" si="0"/>
        <v>950</v>
      </c>
      <c r="H12" s="384">
        <f t="shared" si="0"/>
        <v>1462</v>
      </c>
      <c r="I12" s="384">
        <f t="shared" si="0"/>
        <v>1006</v>
      </c>
      <c r="J12" s="384">
        <f t="shared" si="0"/>
        <v>1666</v>
      </c>
      <c r="K12" s="385"/>
      <c r="L12" s="386"/>
      <c r="M12" s="369"/>
      <c r="N12" s="369"/>
      <c r="O12" s="71"/>
      <c r="P12" s="1192"/>
      <c r="Q12" s="1152"/>
      <c r="R12" s="387" t="s">
        <v>696</v>
      </c>
      <c r="S12" s="388"/>
      <c r="T12" s="1137"/>
      <c r="U12" s="1149"/>
      <c r="V12" s="1155"/>
      <c r="W12" s="1149"/>
      <c r="X12" s="1155"/>
      <c r="Y12" s="1149"/>
      <c r="Z12" s="1155"/>
      <c r="AA12" s="1149"/>
      <c r="AB12" s="1155"/>
      <c r="AC12" s="1149"/>
      <c r="AE12" s="1192"/>
      <c r="AF12" s="1152"/>
      <c r="AG12" s="387" t="s">
        <v>696</v>
      </c>
      <c r="AH12" s="388"/>
      <c r="AI12" s="1137"/>
      <c r="AJ12" s="1149"/>
      <c r="AK12" s="1155"/>
      <c r="AL12" s="1149"/>
      <c r="AM12" s="1155"/>
      <c r="AN12" s="1149"/>
      <c r="AO12" s="1155"/>
      <c r="AP12" s="1149"/>
      <c r="AQ12" s="1155"/>
      <c r="AR12" s="1149"/>
    </row>
    <row r="13" spans="1:44" ht="15" outlineLevel="1" thickBot="1">
      <c r="B13" s="375" t="s">
        <v>697</v>
      </c>
      <c r="C13" s="389">
        <v>1</v>
      </c>
      <c r="D13" s="390">
        <v>1</v>
      </c>
      <c r="E13" s="390">
        <v>1</v>
      </c>
      <c r="F13" s="391">
        <v>1</v>
      </c>
      <c r="G13" s="390">
        <v>0</v>
      </c>
      <c r="H13" s="390">
        <v>2</v>
      </c>
      <c r="I13" s="390">
        <v>0</v>
      </c>
      <c r="J13" s="390">
        <v>2</v>
      </c>
      <c r="K13" s="378"/>
      <c r="L13" s="379">
        <v>3</v>
      </c>
      <c r="M13" s="369"/>
      <c r="N13" s="369"/>
      <c r="O13" s="71"/>
      <c r="P13" s="1192"/>
      <c r="Q13" s="1153"/>
      <c r="R13" s="392" t="s">
        <v>698</v>
      </c>
      <c r="S13" s="393"/>
      <c r="T13" s="1138"/>
      <c r="U13" s="1150"/>
      <c r="V13" s="1156"/>
      <c r="W13" s="1150"/>
      <c r="X13" s="1156"/>
      <c r="Y13" s="1150"/>
      <c r="Z13" s="1156"/>
      <c r="AA13" s="1150"/>
      <c r="AB13" s="1156"/>
      <c r="AC13" s="1150"/>
      <c r="AE13" s="1192"/>
      <c r="AF13" s="1153"/>
      <c r="AG13" s="392" t="s">
        <v>698</v>
      </c>
      <c r="AH13" s="393"/>
      <c r="AI13" s="1138"/>
      <c r="AJ13" s="1150"/>
      <c r="AK13" s="1156"/>
      <c r="AL13" s="1150"/>
      <c r="AM13" s="1156"/>
      <c r="AN13" s="1150"/>
      <c r="AO13" s="1156"/>
      <c r="AP13" s="1150"/>
      <c r="AQ13" s="1156"/>
      <c r="AR13" s="1150"/>
    </row>
    <row r="14" spans="1:44" ht="15" customHeight="1" outlineLevel="1">
      <c r="B14" s="375" t="s">
        <v>637</v>
      </c>
      <c r="C14" s="389">
        <v>0</v>
      </c>
      <c r="D14" s="389">
        <v>0</v>
      </c>
      <c r="E14" s="389">
        <v>0</v>
      </c>
      <c r="F14" s="389">
        <v>0</v>
      </c>
      <c r="G14" s="389">
        <v>0</v>
      </c>
      <c r="H14" s="389">
        <v>1</v>
      </c>
      <c r="I14" s="389">
        <v>0</v>
      </c>
      <c r="J14" s="389">
        <v>1</v>
      </c>
      <c r="K14" s="378"/>
      <c r="L14" s="379">
        <v>2</v>
      </c>
      <c r="M14" s="369"/>
      <c r="N14" s="369"/>
      <c r="O14" s="71"/>
      <c r="P14" s="1192"/>
      <c r="Q14" s="1151" t="s">
        <v>831</v>
      </c>
      <c r="R14" s="394" t="s">
        <v>700</v>
      </c>
      <c r="S14" s="395" t="s">
        <v>701</v>
      </c>
      <c r="T14" s="1134">
        <v>0</v>
      </c>
      <c r="U14" s="1134">
        <v>0.31</v>
      </c>
      <c r="V14" s="1134">
        <v>0</v>
      </c>
      <c r="W14" s="1134">
        <v>0.05</v>
      </c>
      <c r="X14" s="1134">
        <v>0</v>
      </c>
      <c r="Y14" s="1134">
        <v>0.37</v>
      </c>
      <c r="Z14" s="1134">
        <v>0</v>
      </c>
      <c r="AA14" s="1134">
        <v>0.41</v>
      </c>
      <c r="AB14" s="1134">
        <v>0</v>
      </c>
      <c r="AC14" s="1148">
        <v>0.06</v>
      </c>
      <c r="AE14" s="1192"/>
      <c r="AF14" s="1151" t="s">
        <v>831</v>
      </c>
      <c r="AG14" s="394" t="s">
        <v>700</v>
      </c>
      <c r="AH14" s="395" t="s">
        <v>701</v>
      </c>
      <c r="AI14" s="1134">
        <v>0</v>
      </c>
      <c r="AJ14" s="1134">
        <v>0.31</v>
      </c>
      <c r="AK14" s="1134">
        <v>0</v>
      </c>
      <c r="AL14" s="1134">
        <v>0.05</v>
      </c>
      <c r="AM14" s="1134">
        <v>0</v>
      </c>
      <c r="AN14" s="1134">
        <v>0.37</v>
      </c>
      <c r="AO14" s="1134">
        <v>0</v>
      </c>
      <c r="AP14" s="1134">
        <v>0.41</v>
      </c>
      <c r="AQ14" s="1134">
        <v>0</v>
      </c>
      <c r="AR14" s="1148">
        <v>0.06</v>
      </c>
    </row>
    <row r="15" spans="1:44" outlineLevel="1">
      <c r="B15" s="375" t="s">
        <v>638</v>
      </c>
      <c r="C15" s="389">
        <v>0.5</v>
      </c>
      <c r="D15" s="389">
        <v>0.5</v>
      </c>
      <c r="E15" s="389">
        <v>0.5</v>
      </c>
      <c r="F15" s="389">
        <v>0.5</v>
      </c>
      <c r="G15" s="389">
        <v>0</v>
      </c>
      <c r="H15" s="389">
        <v>1</v>
      </c>
      <c r="I15" s="389">
        <v>0</v>
      </c>
      <c r="J15" s="389">
        <v>1</v>
      </c>
      <c r="K15" s="378"/>
      <c r="L15" s="379">
        <v>2</v>
      </c>
      <c r="M15" s="366"/>
      <c r="N15" s="366"/>
      <c r="O15" s="71"/>
      <c r="P15" s="1192"/>
      <c r="Q15" s="1152"/>
      <c r="R15" s="394" t="s">
        <v>702</v>
      </c>
      <c r="S15" s="395" t="s">
        <v>701</v>
      </c>
      <c r="T15" s="1137"/>
      <c r="U15" s="1188"/>
      <c r="V15" s="1137"/>
      <c r="W15" s="1188"/>
      <c r="X15" s="1137"/>
      <c r="Y15" s="1188"/>
      <c r="Z15" s="1137"/>
      <c r="AA15" s="1188"/>
      <c r="AB15" s="1137"/>
      <c r="AC15" s="1190"/>
      <c r="AE15" s="1192"/>
      <c r="AF15" s="1152"/>
      <c r="AG15" s="394" t="s">
        <v>702</v>
      </c>
      <c r="AH15" s="395" t="s">
        <v>701</v>
      </c>
      <c r="AI15" s="1137"/>
      <c r="AJ15" s="1188"/>
      <c r="AK15" s="1137"/>
      <c r="AL15" s="1188"/>
      <c r="AM15" s="1137"/>
      <c r="AN15" s="1188"/>
      <c r="AO15" s="1137"/>
      <c r="AP15" s="1188"/>
      <c r="AQ15" s="1137"/>
      <c r="AR15" s="1190"/>
    </row>
    <row r="16" spans="1:44" outlineLevel="1">
      <c r="B16" s="382" t="s">
        <v>11</v>
      </c>
      <c r="C16" s="396">
        <v>25</v>
      </c>
      <c r="D16" s="396">
        <v>25</v>
      </c>
      <c r="E16" s="396">
        <v>25</v>
      </c>
      <c r="F16" s="396">
        <v>25</v>
      </c>
      <c r="G16" s="397">
        <v>15</v>
      </c>
      <c r="H16" s="397">
        <v>35</v>
      </c>
      <c r="I16" s="397">
        <v>15</v>
      </c>
      <c r="J16" s="397">
        <v>35</v>
      </c>
      <c r="K16" s="371"/>
      <c r="L16" s="372">
        <v>1.2</v>
      </c>
      <c r="M16" s="362"/>
      <c r="N16" s="362"/>
      <c r="P16" s="1192"/>
      <c r="Q16" s="1152"/>
      <c r="R16" s="394" t="s">
        <v>704</v>
      </c>
      <c r="S16" s="395" t="s">
        <v>701</v>
      </c>
      <c r="T16" s="1137"/>
      <c r="U16" s="1188"/>
      <c r="V16" s="1137"/>
      <c r="W16" s="1188"/>
      <c r="X16" s="1137"/>
      <c r="Y16" s="1188"/>
      <c r="Z16" s="1137"/>
      <c r="AA16" s="1188"/>
      <c r="AB16" s="1137"/>
      <c r="AC16" s="1190"/>
      <c r="AE16" s="1192"/>
      <c r="AF16" s="1152"/>
      <c r="AG16" s="394" t="s">
        <v>704</v>
      </c>
      <c r="AH16" s="628" t="s">
        <v>701</v>
      </c>
      <c r="AI16" s="1137"/>
      <c r="AJ16" s="1188"/>
      <c r="AK16" s="1137"/>
      <c r="AL16" s="1188"/>
      <c r="AM16" s="1137"/>
      <c r="AN16" s="1188"/>
      <c r="AO16" s="1137"/>
      <c r="AP16" s="1188"/>
      <c r="AQ16" s="1137"/>
      <c r="AR16" s="1190"/>
    </row>
    <row r="17" spans="1:44" ht="15" outlineLevel="1" thickBot="1">
      <c r="B17" s="375" t="s">
        <v>273</v>
      </c>
      <c r="C17" s="398">
        <v>0.1</v>
      </c>
      <c r="D17" s="398">
        <v>0.1</v>
      </c>
      <c r="E17" s="398">
        <v>0.1</v>
      </c>
      <c r="F17" s="398">
        <v>0.1</v>
      </c>
      <c r="G17" s="398">
        <v>0.05</v>
      </c>
      <c r="H17" s="398">
        <v>0.2</v>
      </c>
      <c r="I17" s="398">
        <v>0.05</v>
      </c>
      <c r="J17" s="398">
        <v>0.2</v>
      </c>
      <c r="K17" s="371"/>
      <c r="L17" s="399">
        <v>1.3</v>
      </c>
      <c r="M17" s="362"/>
      <c r="N17" s="362"/>
      <c r="P17" s="1192"/>
      <c r="Q17" s="1152"/>
      <c r="R17" s="394" t="s">
        <v>705</v>
      </c>
      <c r="S17" s="395" t="s">
        <v>701</v>
      </c>
      <c r="T17" s="1137"/>
      <c r="U17" s="1188"/>
      <c r="V17" s="1137"/>
      <c r="W17" s="1188"/>
      <c r="X17" s="1137"/>
      <c r="Y17" s="1188"/>
      <c r="Z17" s="1137"/>
      <c r="AA17" s="1188"/>
      <c r="AB17" s="1137"/>
      <c r="AC17" s="1190"/>
      <c r="AE17" s="1192"/>
      <c r="AF17" s="1152"/>
      <c r="AG17" s="394" t="s">
        <v>705</v>
      </c>
      <c r="AH17" s="395" t="s">
        <v>701</v>
      </c>
      <c r="AI17" s="1137"/>
      <c r="AJ17" s="1188"/>
      <c r="AK17" s="1137"/>
      <c r="AL17" s="1188"/>
      <c r="AM17" s="1137"/>
      <c r="AN17" s="1188"/>
      <c r="AO17" s="1137"/>
      <c r="AP17" s="1188"/>
      <c r="AQ17" s="1137"/>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t="s">
        <v>701</v>
      </c>
      <c r="T18" s="1138"/>
      <c r="U18" s="1189"/>
      <c r="V18" s="1138"/>
      <c r="W18" s="1189"/>
      <c r="X18" s="1138"/>
      <c r="Y18" s="1189"/>
      <c r="Z18" s="1138"/>
      <c r="AA18" s="1189"/>
      <c r="AB18" s="1138"/>
      <c r="AC18" s="1191"/>
      <c r="AE18" s="1192"/>
      <c r="AF18" s="1153"/>
      <c r="AG18" s="408" t="s">
        <v>826</v>
      </c>
      <c r="AH18" s="409" t="s">
        <v>701</v>
      </c>
      <c r="AI18" s="1138"/>
      <c r="AJ18" s="1189"/>
      <c r="AK18" s="1138"/>
      <c r="AL18" s="1189"/>
      <c r="AM18" s="1138"/>
      <c r="AN18" s="1189"/>
      <c r="AO18" s="1138"/>
      <c r="AP18" s="1189"/>
      <c r="AQ18" s="1138"/>
      <c r="AR18" s="1191"/>
    </row>
    <row r="19" spans="1:44" ht="29.4" outlineLevel="1" thickBot="1">
      <c r="B19" s="375" t="s">
        <v>643</v>
      </c>
      <c r="C19" s="389">
        <v>15</v>
      </c>
      <c r="D19" s="389">
        <v>15</v>
      </c>
      <c r="E19" s="389">
        <v>15</v>
      </c>
      <c r="F19" s="389">
        <v>15</v>
      </c>
      <c r="G19" s="390"/>
      <c r="H19" s="390"/>
      <c r="I19" s="390"/>
      <c r="J19" s="390"/>
      <c r="K19" s="378"/>
      <c r="L19" s="379">
        <v>4</v>
      </c>
      <c r="M19" s="362"/>
      <c r="N19" s="362"/>
      <c r="P19" s="1193"/>
      <c r="Q19" s="410" t="s">
        <v>708</v>
      </c>
      <c r="R19" s="411" t="s">
        <v>709</v>
      </c>
      <c r="S19" s="629"/>
      <c r="T19" s="415">
        <v>0</v>
      </c>
      <c r="U19" s="414">
        <f>T19</f>
        <v>0</v>
      </c>
      <c r="V19" s="415">
        <v>0</v>
      </c>
      <c r="W19" s="414">
        <f>V19</f>
        <v>0</v>
      </c>
      <c r="X19" s="415">
        <v>0</v>
      </c>
      <c r="Y19" s="414">
        <f>X19</f>
        <v>0</v>
      </c>
      <c r="Z19" s="415">
        <v>0</v>
      </c>
      <c r="AA19" s="414">
        <f>Z19</f>
        <v>0</v>
      </c>
      <c r="AB19" s="415">
        <v>0</v>
      </c>
      <c r="AC19" s="416">
        <f>AB19</f>
        <v>0</v>
      </c>
      <c r="AE19" s="1193"/>
      <c r="AF19" s="410" t="s">
        <v>708</v>
      </c>
      <c r="AG19" s="630" t="s">
        <v>709</v>
      </c>
      <c r="AH19" s="631"/>
      <c r="AI19" s="415">
        <v>0</v>
      </c>
      <c r="AJ19" s="414">
        <f>AI19</f>
        <v>0</v>
      </c>
      <c r="AK19" s="415">
        <v>0</v>
      </c>
      <c r="AL19" s="414">
        <f>AK19</f>
        <v>0</v>
      </c>
      <c r="AM19" s="415">
        <v>0</v>
      </c>
      <c r="AN19" s="414">
        <f>AM19</f>
        <v>0</v>
      </c>
      <c r="AO19" s="415">
        <v>0</v>
      </c>
      <c r="AP19" s="414">
        <f>AO19</f>
        <v>0</v>
      </c>
      <c r="AQ19" s="415">
        <v>0</v>
      </c>
      <c r="AR19" s="416">
        <f>AQ19</f>
        <v>0</v>
      </c>
    </row>
    <row r="20" spans="1:44" outlineLevel="1">
      <c r="B20" s="375" t="s">
        <v>644</v>
      </c>
      <c r="C20" s="389">
        <v>0.5</v>
      </c>
      <c r="D20" s="389">
        <v>0.5</v>
      </c>
      <c r="E20" s="389">
        <v>0.5</v>
      </c>
      <c r="F20" s="389">
        <v>0.5</v>
      </c>
      <c r="G20" s="417"/>
      <c r="H20" s="417"/>
      <c r="I20" s="417"/>
      <c r="J20" s="417"/>
      <c r="K20" s="418"/>
      <c r="L20" s="379">
        <v>3</v>
      </c>
      <c r="M20" s="362"/>
      <c r="N20" s="362"/>
    </row>
    <row r="21" spans="1:44" outlineLevel="1">
      <c r="B21" s="375" t="s">
        <v>646</v>
      </c>
      <c r="C21" s="389">
        <v>1</v>
      </c>
      <c r="D21" s="389">
        <v>1</v>
      </c>
      <c r="E21" s="389">
        <v>1</v>
      </c>
      <c r="F21" s="389">
        <v>1</v>
      </c>
      <c r="G21" s="417"/>
      <c r="H21" s="417"/>
      <c r="I21" s="417"/>
      <c r="J21" s="417"/>
      <c r="K21" s="418"/>
      <c r="L21" s="379">
        <v>3</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t="s">
        <v>649</v>
      </c>
      <c r="D23" s="1229"/>
      <c r="E23" s="1229"/>
      <c r="F23" s="1230"/>
      <c r="G23" s="421"/>
      <c r="H23" s="424"/>
      <c r="I23" s="424"/>
      <c r="J23" s="424"/>
      <c r="K23" s="425"/>
      <c r="L23" s="426"/>
      <c r="M23" s="427"/>
      <c r="N23" s="427"/>
    </row>
    <row r="24" spans="1:44" outlineLevel="1">
      <c r="B24" s="382" t="s">
        <v>712</v>
      </c>
      <c r="C24" s="1231"/>
      <c r="D24" s="1232"/>
      <c r="E24" s="1232"/>
      <c r="F24" s="1233"/>
      <c r="G24" s="424"/>
      <c r="H24" s="424"/>
      <c r="I24" s="424"/>
      <c r="J24" s="424"/>
      <c r="K24" s="422"/>
      <c r="L24" s="426"/>
      <c r="M24" s="427"/>
      <c r="N24" s="427"/>
    </row>
    <row r="25" spans="1:44" outlineLevel="1">
      <c r="B25" s="382" t="s">
        <v>807</v>
      </c>
      <c r="C25" s="1231"/>
      <c r="D25" s="1232"/>
      <c r="E25" s="1232"/>
      <c r="F25" s="1233"/>
      <c r="G25" s="424"/>
      <c r="H25" s="424"/>
      <c r="I25" s="424"/>
      <c r="J25" s="424"/>
      <c r="K25" s="422"/>
      <c r="L25" s="426"/>
      <c r="M25" s="427"/>
      <c r="N25" s="427"/>
    </row>
    <row r="26" spans="1:44" outlineLevel="1">
      <c r="B26" s="382" t="s">
        <v>366</v>
      </c>
      <c r="C26" s="1231"/>
      <c r="D26" s="1232"/>
      <c r="E26" s="1232"/>
      <c r="F26" s="1233"/>
      <c r="G26" s="424"/>
      <c r="H26" s="424"/>
      <c r="I26" s="424"/>
      <c r="J26" s="424"/>
      <c r="K26" s="422"/>
      <c r="L26" s="426"/>
      <c r="M26" s="427"/>
      <c r="N26" s="427"/>
    </row>
    <row r="27" spans="1:44" ht="15" outlineLevel="1" thickBot="1">
      <c r="B27" s="428" t="s">
        <v>367</v>
      </c>
      <c r="C27" s="1234"/>
      <c r="D27" s="1235"/>
      <c r="E27" s="1235"/>
      <c r="F27" s="1236"/>
      <c r="G27" s="424"/>
      <c r="H27" s="424"/>
      <c r="I27" s="424"/>
      <c r="J27" s="424"/>
      <c r="K27" s="422"/>
      <c r="L27" s="426"/>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550">
        <v>0.35</v>
      </c>
      <c r="D29" s="646">
        <v>0.33</v>
      </c>
      <c r="E29" s="646">
        <v>0.32</v>
      </c>
      <c r="F29" s="647">
        <v>0.31</v>
      </c>
      <c r="G29" s="424"/>
      <c r="H29" s="424"/>
      <c r="I29" s="424"/>
      <c r="J29" s="424"/>
      <c r="K29" s="425"/>
      <c r="L29" s="439">
        <v>1.5</v>
      </c>
      <c r="M29" s="419"/>
      <c r="N29" s="419"/>
    </row>
    <row r="30" spans="1:44" outlineLevel="1">
      <c r="B30" s="440" t="s">
        <v>802</v>
      </c>
      <c r="C30" s="441">
        <v>60</v>
      </c>
      <c r="D30" s="441">
        <v>60</v>
      </c>
      <c r="E30" s="441">
        <v>60</v>
      </c>
      <c r="F30" s="441">
        <v>60</v>
      </c>
      <c r="G30" s="424"/>
      <c r="H30" s="424"/>
      <c r="I30" s="424"/>
      <c r="J30" s="424"/>
      <c r="K30" s="443"/>
      <c r="L30" s="372">
        <v>1.5</v>
      </c>
      <c r="M30" s="71"/>
      <c r="N30" s="419"/>
    </row>
    <row r="31" spans="1:44" outlineLevel="1">
      <c r="B31" s="440" t="s">
        <v>803</v>
      </c>
      <c r="C31" s="442">
        <v>40</v>
      </c>
      <c r="D31" s="442">
        <v>40</v>
      </c>
      <c r="E31" s="442">
        <v>40</v>
      </c>
      <c r="F31" s="442">
        <v>40</v>
      </c>
      <c r="G31" s="424"/>
      <c r="H31" s="424"/>
      <c r="I31" s="424"/>
      <c r="J31" s="424"/>
      <c r="K31" s="443"/>
      <c r="L31" s="372">
        <v>1.5</v>
      </c>
      <c r="M31" s="419"/>
      <c r="N31" s="419"/>
    </row>
    <row r="32" spans="1:44" outlineLevel="1">
      <c r="B32" s="382" t="s">
        <v>804</v>
      </c>
      <c r="C32" s="444">
        <v>2000</v>
      </c>
      <c r="D32" s="445">
        <v>2000</v>
      </c>
      <c r="E32" s="445">
        <v>200</v>
      </c>
      <c r="F32" s="446">
        <v>2000</v>
      </c>
      <c r="G32" s="424"/>
      <c r="H32" s="424"/>
      <c r="I32" s="424"/>
      <c r="J32" s="424"/>
      <c r="K32" s="447"/>
      <c r="L32" s="372">
        <v>2</v>
      </c>
      <c r="M32" s="419"/>
      <c r="N32" s="419"/>
    </row>
    <row r="33" spans="2:30" ht="37.049999999999997" customHeight="1" outlineLevel="1" thickBot="1">
      <c r="B33" s="382" t="s">
        <v>659</v>
      </c>
      <c r="C33" s="448">
        <f>C34+C35</f>
        <v>2.5300000000000002</v>
      </c>
      <c r="D33" s="448">
        <f t="shared" ref="D33:F33" si="1">D34+D35</f>
        <v>2.4500000000000002</v>
      </c>
      <c r="E33" s="448">
        <f t="shared" si="1"/>
        <v>2.46</v>
      </c>
      <c r="F33" s="448">
        <f t="shared" si="1"/>
        <v>2.3600000000000003</v>
      </c>
      <c r="G33" s="424"/>
      <c r="H33" s="424"/>
      <c r="I33" s="424"/>
      <c r="J33" s="424"/>
      <c r="K33" s="447"/>
      <c r="L33" s="372">
        <v>2</v>
      </c>
      <c r="M33" s="449"/>
      <c r="N33" s="360"/>
      <c r="P33" s="1139">
        <f>C33</f>
        <v>2.5300000000000002</v>
      </c>
      <c r="Q33" s="1140"/>
      <c r="R33" s="1140"/>
      <c r="S33" s="1140"/>
      <c r="T33" s="1140"/>
      <c r="U33" s="1141"/>
    </row>
    <row r="34" spans="2:30" ht="15.75" customHeight="1" outlineLevel="1" thickBot="1">
      <c r="B34" s="450" t="s">
        <v>721</v>
      </c>
      <c r="C34" s="451">
        <f>C13/100*73</f>
        <v>0.73</v>
      </c>
      <c r="D34" s="451">
        <f>D13/100*75</f>
        <v>0.75</v>
      </c>
      <c r="E34" s="451">
        <f>E13/100*76</f>
        <v>0.76</v>
      </c>
      <c r="F34" s="451">
        <f>F13/100*76</f>
        <v>0.76</v>
      </c>
      <c r="G34" s="452"/>
      <c r="H34" s="452"/>
      <c r="I34" s="452"/>
      <c r="J34" s="452"/>
      <c r="K34" s="378" t="s">
        <v>16</v>
      </c>
      <c r="L34" s="379">
        <v>2</v>
      </c>
      <c r="M34" s="449"/>
      <c r="N34" s="360"/>
      <c r="P34" s="1131">
        <f>C34</f>
        <v>0.73</v>
      </c>
      <c r="Q34" s="1132"/>
      <c r="R34" s="1132"/>
      <c r="S34" s="1132"/>
      <c r="T34" s="1132"/>
      <c r="U34" s="1133"/>
    </row>
    <row r="35" spans="2:30" outlineLevel="1">
      <c r="B35" s="450" t="s">
        <v>722</v>
      </c>
      <c r="C35" s="453">
        <v>1.8</v>
      </c>
      <c r="D35" s="453">
        <v>1.7</v>
      </c>
      <c r="E35" s="453">
        <v>1.7</v>
      </c>
      <c r="F35" s="453">
        <v>1.6</v>
      </c>
      <c r="G35" s="452"/>
      <c r="H35" s="452"/>
      <c r="I35" s="452"/>
      <c r="J35" s="452"/>
      <c r="K35" s="454"/>
      <c r="L35" s="379">
        <v>2</v>
      </c>
      <c r="M35" s="362"/>
      <c r="N35" s="362"/>
      <c r="P35" s="53" t="s">
        <v>357</v>
      </c>
    </row>
    <row r="36" spans="2:30" ht="27.6"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42" t="s">
        <v>36</v>
      </c>
      <c r="D39" s="642" t="s">
        <v>36</v>
      </c>
      <c r="E39" s="642" t="s">
        <v>36</v>
      </c>
      <c r="F39" s="642" t="s">
        <v>36</v>
      </c>
      <c r="G39" s="642"/>
      <c r="H39" s="642"/>
      <c r="I39" s="642"/>
      <c r="J39" s="642"/>
      <c r="K39" s="642" t="s">
        <v>20</v>
      </c>
      <c r="L39" s="463"/>
      <c r="M39" s="362"/>
      <c r="N39" s="362"/>
      <c r="O39" s="464">
        <f>C12</f>
        <v>1210</v>
      </c>
      <c r="P39" s="465">
        <f>C8</f>
        <v>2020</v>
      </c>
      <c r="Q39" s="58">
        <f>P39</f>
        <v>2020</v>
      </c>
      <c r="R39" s="465">
        <f>O39/100</f>
        <v>12.1</v>
      </c>
      <c r="S39" s="58"/>
      <c r="T39" s="465">
        <f>C16</f>
        <v>25</v>
      </c>
      <c r="U39" s="466">
        <f>C46</f>
        <v>2607.5</v>
      </c>
      <c r="V39" s="466">
        <f>C48</f>
        <v>14.9</v>
      </c>
      <c r="W39" s="466">
        <f>C49</f>
        <v>5.2356944444444444</v>
      </c>
      <c r="X39" s="58"/>
      <c r="Y39" s="58"/>
      <c r="Z39" s="465" t="str">
        <f>C23</f>
        <v>Cf. the utilized electricity</v>
      </c>
      <c r="AA39" s="467">
        <f>C25</f>
        <v>0</v>
      </c>
      <c r="AB39" s="467">
        <f>C26</f>
        <v>0</v>
      </c>
      <c r="AC39" s="467">
        <f>C27</f>
        <v>0</v>
      </c>
      <c r="AD39" s="467">
        <f>C24</f>
        <v>0</v>
      </c>
    </row>
    <row r="40" spans="2:30" ht="14.55" customHeight="1" outlineLevel="1">
      <c r="B40" s="375" t="s">
        <v>726</v>
      </c>
      <c r="C40" s="468" t="s">
        <v>36</v>
      </c>
      <c r="D40" s="469" t="s">
        <v>36</v>
      </c>
      <c r="E40" s="469" t="s">
        <v>36</v>
      </c>
      <c r="F40" s="470" t="s">
        <v>36</v>
      </c>
      <c r="G40" s="470"/>
      <c r="H40" s="470"/>
      <c r="I40" s="470"/>
      <c r="J40" s="470"/>
      <c r="K40" s="471" t="s">
        <v>20</v>
      </c>
      <c r="L40" s="463"/>
      <c r="M40" s="362"/>
      <c r="N40" s="362"/>
      <c r="O40" s="464">
        <f>D12</f>
        <v>1270</v>
      </c>
      <c r="P40" s="465">
        <f>D8</f>
        <v>2030</v>
      </c>
      <c r="Q40" s="58"/>
      <c r="R40" s="465">
        <f>O40/100</f>
        <v>12.7</v>
      </c>
      <c r="S40" s="58"/>
      <c r="T40" s="465">
        <f>D16</f>
        <v>25</v>
      </c>
      <c r="U40" s="466">
        <f>D46</f>
        <v>2458.5000000000005</v>
      </c>
      <c r="V40" s="466">
        <f>D48</f>
        <v>14.9</v>
      </c>
      <c r="W40" s="466">
        <f>D49</f>
        <v>5.0701388888888888</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1330</v>
      </c>
      <c r="P41" s="465">
        <f>E8</f>
        <v>2040</v>
      </c>
      <c r="Q41" s="58"/>
      <c r="R41" s="465">
        <f>O41/100</f>
        <v>13.3</v>
      </c>
      <c r="S41" s="58"/>
      <c r="T41" s="465">
        <f>E16</f>
        <v>25</v>
      </c>
      <c r="U41" s="466">
        <f>E46</f>
        <v>2384</v>
      </c>
      <c r="V41" s="466">
        <f>E48</f>
        <v>1.49</v>
      </c>
      <c r="W41" s="466">
        <f>E49</f>
        <v>5.0908333333333333</v>
      </c>
      <c r="X41" s="58"/>
      <c r="Y41" s="58"/>
      <c r="Z41" s="465">
        <f>E23</f>
        <v>0</v>
      </c>
      <c r="AA41" s="467">
        <f>E25</f>
        <v>0</v>
      </c>
      <c r="AB41" s="467">
        <f>E26</f>
        <v>0</v>
      </c>
      <c r="AC41" s="467">
        <f>E27</f>
        <v>0</v>
      </c>
      <c r="AD41" s="467">
        <f>E24</f>
        <v>0</v>
      </c>
    </row>
    <row r="42" spans="2:30" ht="14.55" customHeight="1" outlineLevel="1">
      <c r="B42" s="375" t="s">
        <v>728</v>
      </c>
      <c r="C42" s="1237" t="s">
        <v>649</v>
      </c>
      <c r="D42" s="1238"/>
      <c r="E42" s="1238"/>
      <c r="F42" s="1239"/>
      <c r="G42" s="473"/>
      <c r="H42" s="473"/>
      <c r="I42" s="473"/>
      <c r="J42" s="473"/>
      <c r="K42" s="473"/>
      <c r="L42" s="379"/>
      <c r="M42" s="362"/>
      <c r="N42" s="362"/>
      <c r="O42" s="464">
        <f>F12</f>
        <v>1380</v>
      </c>
      <c r="P42" s="465">
        <f>F8</f>
        <v>2050</v>
      </c>
      <c r="Q42" s="58"/>
      <c r="R42" s="465">
        <f>O42/100</f>
        <v>13.8</v>
      </c>
      <c r="S42" s="58"/>
      <c r="T42" s="465">
        <f>F16</f>
        <v>25</v>
      </c>
      <c r="U42" s="466">
        <f>F46</f>
        <v>2309.5</v>
      </c>
      <c r="V42" s="466">
        <f>F48</f>
        <v>14.9</v>
      </c>
      <c r="W42" s="466">
        <f>F49</f>
        <v>4.8838888888888903</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477" t="s">
        <v>36</v>
      </c>
      <c r="D45" s="478" t="s">
        <v>36</v>
      </c>
      <c r="E45" s="478" t="s">
        <v>36</v>
      </c>
      <c r="F45" s="479" t="s">
        <v>36</v>
      </c>
      <c r="G45" s="480"/>
      <c r="H45" s="480"/>
      <c r="I45" s="480"/>
      <c r="J45" s="480"/>
      <c r="K45" s="480"/>
      <c r="L45" s="481"/>
      <c r="M45" s="362"/>
      <c r="N45" s="362"/>
    </row>
    <row r="46" spans="2:30" ht="57.6" outlineLevel="1">
      <c r="B46" s="460" t="s">
        <v>732</v>
      </c>
      <c r="C46" s="482">
        <f>C29*$F$4*1000</f>
        <v>2607.5</v>
      </c>
      <c r="D46" s="482">
        <f t="shared" ref="D46:F46" si="2">D29*$F$4*1000</f>
        <v>2458.5000000000005</v>
      </c>
      <c r="E46" s="482">
        <f t="shared" si="2"/>
        <v>2384</v>
      </c>
      <c r="F46" s="482">
        <f t="shared" si="2"/>
        <v>2309.5</v>
      </c>
      <c r="G46" s="482"/>
      <c r="H46" s="483"/>
      <c r="I46" s="419" t="s">
        <v>332</v>
      </c>
      <c r="J46" s="419"/>
      <c r="K46" s="483"/>
      <c r="L46" s="483"/>
      <c r="N46" s="419"/>
    </row>
    <row r="47" spans="2:30" outlineLevel="1">
      <c r="B47" s="484" t="s">
        <v>733</v>
      </c>
      <c r="C47" s="485">
        <f>C46*$I47</f>
        <v>1303750</v>
      </c>
      <c r="D47" s="485">
        <f>D46*$I47</f>
        <v>1229250.0000000002</v>
      </c>
      <c r="E47" s="485">
        <f>E46*$I47</f>
        <v>1192000</v>
      </c>
      <c r="F47" s="485">
        <f>F46*$I47</f>
        <v>1154750</v>
      </c>
      <c r="G47" s="485"/>
      <c r="H47" s="483"/>
      <c r="I47" s="71">
        <v>500</v>
      </c>
      <c r="J47" s="419" t="s">
        <v>330</v>
      </c>
      <c r="K47" s="483"/>
      <c r="L47" s="483"/>
      <c r="N47" s="419"/>
    </row>
    <row r="48" spans="2:30" ht="43.2" outlineLevel="1">
      <c r="B48" s="460" t="s">
        <v>808</v>
      </c>
      <c r="C48" s="358">
        <f>C32*$F$4/1000</f>
        <v>14.9</v>
      </c>
      <c r="D48" s="358">
        <f t="shared" ref="D48:F48" si="3">D32*$F$4/1000</f>
        <v>14.9</v>
      </c>
      <c r="E48" s="358">
        <f t="shared" si="3"/>
        <v>1.49</v>
      </c>
      <c r="F48" s="358">
        <f t="shared" si="3"/>
        <v>14.9</v>
      </c>
      <c r="G48" s="358"/>
      <c r="I48" s="419" t="s">
        <v>333</v>
      </c>
      <c r="J48" s="419"/>
      <c r="N48" s="419"/>
    </row>
    <row r="49" spans="2:14" ht="43.2" outlineLevel="1">
      <c r="B49" s="460" t="s">
        <v>809</v>
      </c>
      <c r="C49" s="486">
        <f>C33*$F$4/3.6</f>
        <v>5.2356944444444444</v>
      </c>
      <c r="D49" s="486">
        <f t="shared" ref="D49:F49" si="4">D33*$F$4/3.6</f>
        <v>5.0701388888888888</v>
      </c>
      <c r="E49" s="486">
        <f t="shared" si="4"/>
        <v>5.0908333333333333</v>
      </c>
      <c r="F49" s="486">
        <f t="shared" si="4"/>
        <v>4.8838888888888903</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56" t="s">
        <v>736</v>
      </c>
      <c r="C55" s="627"/>
      <c r="D55" s="489"/>
      <c r="E55" s="357"/>
      <c r="F55" s="357"/>
      <c r="G55" s="357"/>
      <c r="H55" s="357"/>
      <c r="I55" s="357"/>
      <c r="J55" s="357"/>
      <c r="K55" s="357"/>
      <c r="L55" s="357"/>
    </row>
    <row r="56" spans="2:14" outlineLevel="1">
      <c r="B56" s="627">
        <v>1</v>
      </c>
      <c r="C56" s="657" t="s">
        <v>839</v>
      </c>
      <c r="D56" s="489"/>
      <c r="F56" s="357"/>
      <c r="G56" s="357"/>
      <c r="H56" s="357"/>
      <c r="I56" s="357"/>
      <c r="J56" s="357"/>
      <c r="K56" s="357"/>
      <c r="L56" s="357"/>
    </row>
    <row r="57" spans="2:14" outlineLevel="1">
      <c r="B57" s="658">
        <v>2</v>
      </c>
      <c r="C57" s="657" t="s">
        <v>840</v>
      </c>
      <c r="D57" s="489"/>
      <c r="F57" s="357"/>
      <c r="G57" s="357"/>
      <c r="H57" s="357"/>
      <c r="I57" s="357"/>
      <c r="J57" s="357"/>
      <c r="K57" s="357"/>
      <c r="L57" s="357"/>
    </row>
    <row r="58" spans="2:14" outlineLevel="1">
      <c r="B58" s="659">
        <v>3</v>
      </c>
      <c r="C58" s="659" t="s">
        <v>841</v>
      </c>
      <c r="D58" s="489"/>
      <c r="F58" s="357"/>
      <c r="G58" s="357"/>
      <c r="H58" s="357"/>
      <c r="I58" s="357"/>
      <c r="J58" s="357"/>
      <c r="K58" s="357"/>
      <c r="L58" s="357"/>
    </row>
    <row r="59" spans="2:14" outlineLevel="1">
      <c r="B59" s="659">
        <v>4</v>
      </c>
      <c r="C59" s="659" t="s">
        <v>842</v>
      </c>
      <c r="D59" s="489"/>
      <c r="F59" s="357"/>
      <c r="G59" s="357"/>
      <c r="H59" s="357"/>
      <c r="I59" s="357"/>
      <c r="J59" s="357"/>
      <c r="K59" s="357"/>
      <c r="L59" s="357"/>
    </row>
    <row r="60" spans="2:14" outlineLevel="1">
      <c r="B60" s="659">
        <v>5</v>
      </c>
      <c r="C60" s="627" t="s">
        <v>843</v>
      </c>
      <c r="D60" s="489"/>
      <c r="F60" s="357"/>
      <c r="G60" s="357"/>
      <c r="H60" s="357"/>
      <c r="I60" s="357"/>
      <c r="J60" s="357"/>
      <c r="K60" s="357"/>
      <c r="L60" s="357"/>
    </row>
    <row r="61" spans="2:14" outlineLevel="1">
      <c r="B61" s="627" t="s">
        <v>746</v>
      </c>
      <c r="C61" s="627"/>
      <c r="D61" s="489"/>
      <c r="F61" s="357"/>
      <c r="G61" s="357"/>
      <c r="H61" s="357"/>
      <c r="I61" s="357"/>
      <c r="J61" s="357"/>
      <c r="K61" s="357"/>
      <c r="L61" s="357"/>
    </row>
    <row r="62" spans="2:14" outlineLevel="1">
      <c r="B62" s="660" t="s">
        <v>6</v>
      </c>
      <c r="C62" s="624" t="s">
        <v>844</v>
      </c>
      <c r="D62" s="489"/>
      <c r="F62" s="357"/>
      <c r="G62" s="357"/>
      <c r="H62" s="357"/>
      <c r="I62" s="357"/>
      <c r="J62" s="357"/>
      <c r="K62" s="357"/>
      <c r="L62" s="357"/>
    </row>
    <row r="63" spans="2:14" outlineLevel="1">
      <c r="B63" s="661" t="s">
        <v>59</v>
      </c>
      <c r="C63" s="624" t="s">
        <v>845</v>
      </c>
      <c r="D63" s="489"/>
      <c r="F63" s="357"/>
      <c r="G63" s="357"/>
      <c r="H63" s="357"/>
      <c r="I63" s="357"/>
      <c r="J63" s="357"/>
      <c r="K63" s="357"/>
      <c r="L63" s="357"/>
    </row>
    <row r="64" spans="2:14" outlineLevel="1">
      <c r="B64" s="661" t="s">
        <v>16</v>
      </c>
      <c r="C64" s="627" t="s">
        <v>751</v>
      </c>
      <c r="D64" s="489"/>
      <c r="F64" s="357"/>
      <c r="G64" s="357"/>
      <c r="H64" s="357"/>
      <c r="I64" s="357"/>
      <c r="J64" s="357"/>
      <c r="K64" s="357"/>
      <c r="L64" s="357"/>
    </row>
    <row r="65" spans="1:44" outlineLevel="1">
      <c r="B65" s="662" t="s">
        <v>20</v>
      </c>
      <c r="C65" s="627" t="s">
        <v>846</v>
      </c>
      <c r="D65" s="489"/>
      <c r="F65" s="357"/>
      <c r="G65" s="357"/>
      <c r="H65" s="357"/>
      <c r="I65" s="357"/>
      <c r="J65" s="357"/>
      <c r="K65" s="357"/>
      <c r="L65" s="357"/>
    </row>
    <row r="66" spans="1:44" outlineLevel="1">
      <c r="B66" s="636"/>
      <c r="C66" s="357"/>
      <c r="D66" s="489"/>
      <c r="F66" s="357"/>
      <c r="G66" s="357"/>
      <c r="H66" s="357"/>
      <c r="I66" s="357"/>
      <c r="J66" s="357"/>
      <c r="K66" s="357"/>
      <c r="L66" s="357"/>
    </row>
    <row r="67" spans="1:44" outlineLevel="1">
      <c r="B67" s="636"/>
      <c r="C67" s="489"/>
      <c r="D67" s="489"/>
      <c r="F67" s="357"/>
      <c r="G67" s="357"/>
      <c r="H67" s="357"/>
      <c r="I67" s="357"/>
      <c r="J67" s="357"/>
      <c r="K67" s="357"/>
      <c r="L67" s="357"/>
    </row>
    <row r="68" spans="1:44" outlineLevel="1">
      <c r="B68" s="636"/>
      <c r="C68" s="489"/>
      <c r="D68" s="357"/>
      <c r="F68" s="357"/>
      <c r="G68" s="357"/>
      <c r="H68" s="357"/>
      <c r="I68" s="357"/>
      <c r="J68" s="357"/>
      <c r="K68" s="357"/>
      <c r="L68" s="357"/>
    </row>
    <row r="69" spans="1:44" outlineLevel="1">
      <c r="B69" s="636"/>
      <c r="C69" s="488"/>
      <c r="D69" s="357"/>
      <c r="F69" s="357"/>
      <c r="G69" s="357"/>
      <c r="H69" s="357"/>
      <c r="I69" s="357"/>
      <c r="J69" s="357"/>
      <c r="K69" s="357"/>
      <c r="L69" s="357"/>
    </row>
    <row r="70" spans="1:44" outlineLevel="1">
      <c r="B70" s="636"/>
      <c r="C70" s="489"/>
      <c r="D70" s="357"/>
      <c r="G70" s="357"/>
      <c r="H70" s="357"/>
      <c r="I70" s="357"/>
      <c r="J70" s="357"/>
      <c r="K70" s="357"/>
      <c r="L70" s="357"/>
    </row>
    <row r="71" spans="1:44" outlineLevel="1">
      <c r="B71" s="636"/>
      <c r="C71" s="489"/>
      <c r="E71" s="489"/>
      <c r="F71" s="489"/>
    </row>
    <row r="72" spans="1:44" outlineLevel="1"/>
    <row r="73" spans="1:44" outlineLevel="1"/>
    <row r="74" spans="1:44" outlineLevel="1"/>
    <row r="77" spans="1:44">
      <c r="A77" s="359"/>
      <c r="B77" s="1204"/>
      <c r="C77" s="1140"/>
      <c r="D77" s="1140"/>
      <c r="E77" s="1140"/>
      <c r="F77" s="1140"/>
      <c r="G77" s="1140"/>
      <c r="H77" s="1140"/>
      <c r="I77" s="1140"/>
      <c r="J77" s="1140"/>
      <c r="K77" s="1140"/>
      <c r="L77" s="1140"/>
      <c r="M77" s="1140"/>
      <c r="N77" s="360"/>
      <c r="P77" s="1140"/>
      <c r="Q77" s="1140"/>
      <c r="R77" s="1140"/>
      <c r="S77" s="1140"/>
      <c r="T77" s="1140"/>
      <c r="U77" s="1140"/>
    </row>
    <row r="78" spans="1:44" ht="15" outlineLevel="1" thickBot="1">
      <c r="B78" s="1204"/>
      <c r="C78" s="1140"/>
      <c r="D78" s="1140"/>
      <c r="E78" s="1140"/>
      <c r="F78" s="1140"/>
      <c r="G78" s="1140"/>
      <c r="H78" s="1140"/>
      <c r="I78" s="1140"/>
      <c r="J78" s="1140"/>
      <c r="K78" s="1140"/>
      <c r="L78" s="1140"/>
      <c r="M78" s="1140"/>
      <c r="N78" s="360"/>
      <c r="P78" s="1140"/>
      <c r="Q78" s="1140"/>
      <c r="R78" s="1140"/>
      <c r="S78" s="1140"/>
      <c r="T78" s="1140"/>
      <c r="U78" s="1140"/>
    </row>
    <row r="79" spans="1:44" ht="20.55" customHeight="1" outlineLevel="1" thickBot="1">
      <c r="B79" s="361"/>
      <c r="C79" s="1183"/>
      <c r="D79" s="1202"/>
      <c r="E79" s="1202"/>
      <c r="F79" s="1202"/>
      <c r="G79" s="1202"/>
      <c r="H79" s="1202"/>
      <c r="I79" s="1202"/>
      <c r="J79" s="1202"/>
      <c r="K79" s="1202"/>
      <c r="L79" s="1203"/>
      <c r="M79" s="362"/>
      <c r="N79" s="362"/>
      <c r="P79" s="363"/>
      <c r="Q79" s="364"/>
      <c r="R79" s="365"/>
      <c r="S79" s="1173"/>
      <c r="T79" s="1157"/>
      <c r="U79" s="1158"/>
      <c r="V79" s="1157"/>
      <c r="W79" s="1158"/>
      <c r="X79" s="1157"/>
      <c r="Y79" s="1158"/>
      <c r="Z79" s="1157"/>
      <c r="AA79" s="1158"/>
      <c r="AB79" s="1157"/>
      <c r="AC79" s="1158"/>
      <c r="AE79" s="363"/>
      <c r="AF79" s="364"/>
      <c r="AG79" s="365"/>
      <c r="AH79" s="1173"/>
      <c r="AI79" s="1157"/>
      <c r="AJ79" s="1158"/>
      <c r="AK79" s="1157"/>
      <c r="AL79" s="1158"/>
      <c r="AM79" s="1157"/>
      <c r="AN79" s="1158"/>
      <c r="AO79" s="1157"/>
      <c r="AP79" s="1158"/>
      <c r="AQ79" s="1157"/>
      <c r="AR79" s="1158"/>
    </row>
    <row r="80" spans="1:44" ht="15" customHeight="1" outlineLevel="1" thickBot="1">
      <c r="B80" s="1161"/>
      <c r="C80" s="1163"/>
      <c r="D80" s="1163"/>
      <c r="E80" s="1163"/>
      <c r="F80" s="1163"/>
      <c r="G80" s="1197"/>
      <c r="H80" s="1198"/>
      <c r="I80" s="1197"/>
      <c r="J80" s="1198"/>
      <c r="K80" s="1199"/>
      <c r="L80" s="1199"/>
      <c r="M80" s="366"/>
      <c r="N80" s="366"/>
      <c r="P80" s="1177"/>
      <c r="Q80" s="367"/>
      <c r="R80" s="367"/>
      <c r="S80" s="1174"/>
      <c r="T80" s="1159"/>
      <c r="U80" s="1160"/>
      <c r="V80" s="1159"/>
      <c r="W80" s="1160"/>
      <c r="X80" s="1159"/>
      <c r="Y80" s="1160"/>
      <c r="Z80" s="1159"/>
      <c r="AA80" s="1160"/>
      <c r="AB80" s="1159"/>
      <c r="AC80" s="1160"/>
      <c r="AE80" s="1177"/>
      <c r="AF80" s="367"/>
      <c r="AG80" s="367"/>
      <c r="AH80" s="1174"/>
      <c r="AI80" s="1159"/>
      <c r="AJ80" s="1160"/>
      <c r="AK80" s="1159"/>
      <c r="AL80" s="1160"/>
      <c r="AM80" s="1159"/>
      <c r="AN80" s="1160"/>
      <c r="AO80" s="1159"/>
      <c r="AP80" s="1160"/>
      <c r="AQ80" s="1159"/>
      <c r="AR80" s="1160"/>
    </row>
    <row r="81" spans="2:44" ht="15" customHeight="1" outlineLevel="1" thickBot="1">
      <c r="B81" s="1162"/>
      <c r="C81" s="1164"/>
      <c r="D81" s="1164"/>
      <c r="E81" s="1164"/>
      <c r="F81" s="1164"/>
      <c r="G81" s="498"/>
      <c r="H81" s="498"/>
      <c r="I81" s="498"/>
      <c r="J81" s="498"/>
      <c r="K81" s="1200"/>
      <c r="L81" s="1200"/>
      <c r="M81" s="369"/>
      <c r="N81" s="369"/>
      <c r="P81" s="1178"/>
      <c r="Q81" s="1180"/>
      <c r="R81" s="1181"/>
      <c r="S81" s="1175"/>
      <c r="T81" s="1159"/>
      <c r="U81" s="1160"/>
      <c r="V81" s="1159"/>
      <c r="W81" s="1160"/>
      <c r="X81" s="1159"/>
      <c r="Y81" s="1160"/>
      <c r="Z81" s="1159"/>
      <c r="AA81" s="1160"/>
      <c r="AB81" s="1159"/>
      <c r="AC81" s="1160"/>
      <c r="AE81" s="1178"/>
      <c r="AF81" s="1194"/>
      <c r="AG81" s="1181"/>
      <c r="AH81" s="1175"/>
      <c r="AI81" s="1159"/>
      <c r="AJ81" s="1160"/>
      <c r="AK81" s="1159"/>
      <c r="AL81" s="1160"/>
      <c r="AM81" s="1159"/>
      <c r="AN81" s="1160"/>
      <c r="AO81" s="1159"/>
      <c r="AP81" s="1160"/>
      <c r="AQ81" s="1159"/>
      <c r="AR81" s="1160"/>
    </row>
    <row r="82" spans="2:44" ht="15" outlineLevel="1" thickBot="1">
      <c r="B82" s="370"/>
      <c r="C82" s="371"/>
      <c r="D82" s="371"/>
      <c r="E82" s="371"/>
      <c r="F82" s="371"/>
      <c r="G82" s="371"/>
      <c r="H82" s="371"/>
      <c r="I82" s="371"/>
      <c r="J82" s="371"/>
      <c r="K82" s="371"/>
      <c r="L82" s="372"/>
      <c r="M82" s="369"/>
      <c r="N82" s="369"/>
      <c r="O82" s="74"/>
      <c r="P82" s="1179"/>
      <c r="Q82" s="1176"/>
      <c r="R82" s="1182"/>
      <c r="S82" s="1176"/>
      <c r="T82" s="373"/>
      <c r="U82" s="374"/>
      <c r="V82" s="373"/>
      <c r="W82" s="374"/>
      <c r="X82" s="373"/>
      <c r="Y82" s="374"/>
      <c r="Z82" s="373"/>
      <c r="AA82" s="374"/>
      <c r="AB82" s="373"/>
      <c r="AC82" s="374"/>
      <c r="AE82" s="1179"/>
      <c r="AF82" s="1195"/>
      <c r="AG82" s="1182"/>
      <c r="AH82" s="1176"/>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45"/>
      <c r="Q83" s="1151"/>
      <c r="R83" s="380"/>
      <c r="S83" s="381"/>
      <c r="T83" s="1134"/>
      <c r="U83" s="1148"/>
      <c r="V83" s="1134"/>
      <c r="W83" s="1148"/>
      <c r="X83" s="1134"/>
      <c r="Y83" s="1148"/>
      <c r="Z83" s="1134"/>
      <c r="AA83" s="1148"/>
      <c r="AB83" s="1134"/>
      <c r="AC83" s="1148"/>
      <c r="AE83" s="1145"/>
      <c r="AF83" s="1151"/>
      <c r="AG83" s="380"/>
      <c r="AH83" s="381"/>
      <c r="AI83" s="1134"/>
      <c r="AJ83" s="1148"/>
      <c r="AK83" s="1134"/>
      <c r="AL83" s="1148"/>
      <c r="AM83" s="1134"/>
      <c r="AN83" s="1148"/>
      <c r="AO83" s="1134"/>
      <c r="AP83" s="1148"/>
      <c r="AQ83" s="1134"/>
      <c r="AR83" s="1148"/>
    </row>
    <row r="84" spans="2:44" outlineLevel="1">
      <c r="B84" s="382"/>
      <c r="C84" s="383"/>
      <c r="D84" s="383"/>
      <c r="E84" s="383"/>
      <c r="F84" s="383"/>
      <c r="G84" s="504"/>
      <c r="H84" s="504"/>
      <c r="I84" s="504"/>
      <c r="J84" s="504"/>
      <c r="K84" s="371"/>
      <c r="L84" s="372"/>
      <c r="M84" s="369"/>
      <c r="N84" s="369"/>
      <c r="O84" s="71"/>
      <c r="P84" s="1192"/>
      <c r="Q84" s="1152"/>
      <c r="R84" s="387"/>
      <c r="S84" s="388"/>
      <c r="T84" s="1137"/>
      <c r="U84" s="1149"/>
      <c r="V84" s="1137"/>
      <c r="W84" s="1149"/>
      <c r="X84" s="1137"/>
      <c r="Y84" s="1149"/>
      <c r="Z84" s="1137"/>
      <c r="AA84" s="1149"/>
      <c r="AB84" s="1137"/>
      <c r="AC84" s="1149"/>
      <c r="AE84" s="1192"/>
      <c r="AF84" s="1152"/>
      <c r="AG84" s="387"/>
      <c r="AH84" s="388"/>
      <c r="AI84" s="1137"/>
      <c r="AJ84" s="1149"/>
      <c r="AK84" s="1137"/>
      <c r="AL84" s="1149"/>
      <c r="AM84" s="1137"/>
      <c r="AN84" s="1149"/>
      <c r="AO84" s="1137"/>
      <c r="AP84" s="1149"/>
      <c r="AQ84" s="1137"/>
      <c r="AR84" s="1149"/>
    </row>
    <row r="85" spans="2:44" ht="15" outlineLevel="1" thickBot="1">
      <c r="B85" s="499"/>
      <c r="C85" s="505"/>
      <c r="D85" s="506"/>
      <c r="E85" s="506"/>
      <c r="F85" s="507"/>
      <c r="G85" s="506"/>
      <c r="H85" s="506"/>
      <c r="I85" s="506"/>
      <c r="J85" s="506"/>
      <c r="K85" s="502"/>
      <c r="L85" s="503"/>
      <c r="M85" s="369"/>
      <c r="N85" s="369"/>
      <c r="O85" s="71"/>
      <c r="P85" s="1192"/>
      <c r="Q85" s="1153"/>
      <c r="R85" s="392"/>
      <c r="S85" s="393"/>
      <c r="T85" s="1138"/>
      <c r="U85" s="1150"/>
      <c r="V85" s="1138"/>
      <c r="W85" s="1150"/>
      <c r="X85" s="1138"/>
      <c r="Y85" s="1150"/>
      <c r="Z85" s="1138"/>
      <c r="AA85" s="1150"/>
      <c r="AB85" s="1138"/>
      <c r="AC85" s="1150"/>
      <c r="AE85" s="1192"/>
      <c r="AF85" s="1153"/>
      <c r="AG85" s="392"/>
      <c r="AH85" s="393"/>
      <c r="AI85" s="1138"/>
      <c r="AJ85" s="1150"/>
      <c r="AK85" s="1138"/>
      <c r="AL85" s="1150"/>
      <c r="AM85" s="1138"/>
      <c r="AN85" s="1150"/>
      <c r="AO85" s="1138"/>
      <c r="AP85" s="1150"/>
      <c r="AQ85" s="1138"/>
      <c r="AR85" s="1150"/>
    </row>
    <row r="86" spans="2:44" ht="15" customHeight="1" outlineLevel="1">
      <c r="B86" s="499"/>
      <c r="C86" s="505"/>
      <c r="D86" s="505"/>
      <c r="E86" s="505"/>
      <c r="F86" s="505"/>
      <c r="G86" s="505"/>
      <c r="H86" s="505"/>
      <c r="I86" s="505"/>
      <c r="J86" s="505"/>
      <c r="K86" s="502"/>
      <c r="L86" s="503"/>
      <c r="M86" s="369"/>
      <c r="N86" s="369"/>
      <c r="O86" s="71"/>
      <c r="P86" s="1192"/>
      <c r="Q86" s="1151"/>
      <c r="R86" s="394"/>
      <c r="S86" s="395"/>
      <c r="T86" s="1134"/>
      <c r="U86" s="1134"/>
      <c r="V86" s="1134"/>
      <c r="W86" s="1134"/>
      <c r="X86" s="1134"/>
      <c r="Y86" s="1134"/>
      <c r="Z86" s="1134"/>
      <c r="AA86" s="1134"/>
      <c r="AB86" s="1134"/>
      <c r="AC86" s="1134"/>
      <c r="AE86" s="1192"/>
      <c r="AF86" s="1151"/>
      <c r="AG86" s="394"/>
      <c r="AH86" s="395"/>
      <c r="AI86" s="1134"/>
      <c r="AJ86" s="1134"/>
      <c r="AK86" s="1134"/>
      <c r="AL86" s="1134"/>
      <c r="AM86" s="1134"/>
      <c r="AN86" s="1134"/>
      <c r="AO86" s="1134"/>
      <c r="AP86" s="1134"/>
      <c r="AQ86" s="1134"/>
      <c r="AR86" s="1134"/>
    </row>
    <row r="87" spans="2:44" outlineLevel="1">
      <c r="B87" s="499"/>
      <c r="C87" s="505"/>
      <c r="D87" s="505"/>
      <c r="E87" s="505"/>
      <c r="F87" s="505"/>
      <c r="G87" s="505"/>
      <c r="H87" s="505"/>
      <c r="I87" s="505"/>
      <c r="J87" s="505"/>
      <c r="K87" s="502"/>
      <c r="L87" s="503"/>
      <c r="M87" s="366"/>
      <c r="N87" s="366"/>
      <c r="O87" s="71"/>
      <c r="P87" s="1192"/>
      <c r="Q87" s="1152"/>
      <c r="R87" s="394"/>
      <c r="S87" s="395"/>
      <c r="T87" s="1135"/>
      <c r="U87" s="1135"/>
      <c r="V87" s="1135"/>
      <c r="W87" s="1135"/>
      <c r="X87" s="1135"/>
      <c r="Y87" s="1135"/>
      <c r="Z87" s="1135"/>
      <c r="AA87" s="1135"/>
      <c r="AB87" s="1135"/>
      <c r="AC87" s="1135"/>
      <c r="AE87" s="1192"/>
      <c r="AF87" s="1152"/>
      <c r="AG87" s="394"/>
      <c r="AH87" s="395"/>
      <c r="AI87" s="1135"/>
      <c r="AJ87" s="1135"/>
      <c r="AK87" s="1135"/>
      <c r="AL87" s="1135"/>
      <c r="AM87" s="1135"/>
      <c r="AN87" s="1135"/>
      <c r="AO87" s="1135"/>
      <c r="AP87" s="1135"/>
      <c r="AQ87" s="1135"/>
      <c r="AR87" s="1135"/>
    </row>
    <row r="88" spans="2:44" outlineLevel="1">
      <c r="B88" s="382"/>
      <c r="C88" s="396"/>
      <c r="D88" s="396"/>
      <c r="E88" s="396"/>
      <c r="F88" s="396"/>
      <c r="G88" s="398"/>
      <c r="H88" s="398"/>
      <c r="I88" s="398"/>
      <c r="J88" s="398"/>
      <c r="K88" s="371"/>
      <c r="L88" s="372"/>
      <c r="M88" s="362"/>
      <c r="N88" s="362"/>
      <c r="P88" s="1192"/>
      <c r="Q88" s="1152"/>
      <c r="R88" s="394"/>
      <c r="S88" s="395"/>
      <c r="T88" s="1135"/>
      <c r="U88" s="1135"/>
      <c r="V88" s="1135"/>
      <c r="W88" s="1135"/>
      <c r="X88" s="1135"/>
      <c r="Y88" s="1135"/>
      <c r="Z88" s="1135"/>
      <c r="AA88" s="1135"/>
      <c r="AB88" s="1135"/>
      <c r="AC88" s="1135"/>
      <c r="AE88" s="1192"/>
      <c r="AF88" s="1152"/>
      <c r="AG88" s="394"/>
      <c r="AH88" s="395"/>
      <c r="AI88" s="1135"/>
      <c r="AJ88" s="1135"/>
      <c r="AK88" s="1135"/>
      <c r="AL88" s="1135"/>
      <c r="AM88" s="1135"/>
      <c r="AN88" s="1135"/>
      <c r="AO88" s="1135"/>
      <c r="AP88" s="1135"/>
      <c r="AQ88" s="1135"/>
      <c r="AR88" s="1135"/>
    </row>
    <row r="89" spans="2:44" ht="15" outlineLevel="1" thickBot="1">
      <c r="B89" s="499"/>
      <c r="C89" s="505"/>
      <c r="D89" s="505"/>
      <c r="E89" s="505"/>
      <c r="F89" s="505"/>
      <c r="G89" s="505"/>
      <c r="H89" s="505"/>
      <c r="I89" s="505"/>
      <c r="J89" s="505"/>
      <c r="K89" s="371"/>
      <c r="L89" s="399"/>
      <c r="M89" s="362"/>
      <c r="N89" s="362"/>
      <c r="P89" s="1192"/>
      <c r="Q89" s="1152"/>
      <c r="R89" s="394"/>
      <c r="S89" s="395"/>
      <c r="T89" s="1135"/>
      <c r="U89" s="1135"/>
      <c r="V89" s="1135"/>
      <c r="W89" s="1135"/>
      <c r="X89" s="1135"/>
      <c r="Y89" s="1135"/>
      <c r="Z89" s="1135"/>
      <c r="AA89" s="1135"/>
      <c r="AB89" s="1135"/>
      <c r="AC89" s="1135"/>
      <c r="AE89" s="1192"/>
      <c r="AF89" s="1152"/>
      <c r="AG89" s="394"/>
      <c r="AH89" s="395"/>
      <c r="AI89" s="1135"/>
      <c r="AJ89" s="1135"/>
      <c r="AK89" s="1135"/>
      <c r="AL89" s="1135"/>
      <c r="AM89" s="1135"/>
      <c r="AN89" s="1135"/>
      <c r="AO89" s="1135"/>
      <c r="AP89" s="1135"/>
      <c r="AQ89" s="1135"/>
      <c r="AR89" s="1135"/>
    </row>
    <row r="90" spans="2:44" ht="15" outlineLevel="1" thickBot="1">
      <c r="B90" s="400"/>
      <c r="C90" s="401"/>
      <c r="D90" s="402"/>
      <c r="E90" s="403"/>
      <c r="F90" s="404"/>
      <c r="G90" s="405"/>
      <c r="H90" s="405"/>
      <c r="I90" s="405"/>
      <c r="J90" s="405"/>
      <c r="K90" s="406"/>
      <c r="L90" s="407"/>
      <c r="M90" s="362"/>
      <c r="N90" s="362"/>
      <c r="P90" s="1192"/>
      <c r="Q90" s="1152"/>
      <c r="R90" s="408"/>
      <c r="S90" s="409"/>
      <c r="T90" s="1136"/>
      <c r="U90" s="1136"/>
      <c r="V90" s="1136"/>
      <c r="W90" s="1136"/>
      <c r="X90" s="1136"/>
      <c r="Y90" s="1136"/>
      <c r="Z90" s="1136"/>
      <c r="AA90" s="1136"/>
      <c r="AB90" s="1136"/>
      <c r="AC90" s="1136"/>
      <c r="AE90" s="1192"/>
      <c r="AF90" s="1152"/>
      <c r="AG90" s="408"/>
      <c r="AH90" s="409"/>
      <c r="AI90" s="1136"/>
      <c r="AJ90" s="1136"/>
      <c r="AK90" s="1136"/>
      <c r="AL90" s="1136"/>
      <c r="AM90" s="1136"/>
      <c r="AN90" s="1136"/>
      <c r="AO90" s="1136"/>
      <c r="AP90" s="1136"/>
      <c r="AQ90" s="1136"/>
      <c r="AR90" s="1136"/>
    </row>
    <row r="91" spans="2:44" ht="15" outlineLevel="1" thickBot="1">
      <c r="B91" s="499"/>
      <c r="C91" s="505"/>
      <c r="D91" s="505"/>
      <c r="E91" s="505"/>
      <c r="F91" s="505"/>
      <c r="G91" s="506"/>
      <c r="H91" s="506"/>
      <c r="I91" s="506"/>
      <c r="J91" s="506"/>
      <c r="K91" s="502"/>
      <c r="L91" s="503"/>
      <c r="M91" s="362"/>
      <c r="N91" s="362"/>
      <c r="P91" s="1193"/>
      <c r="Q91" s="410"/>
      <c r="R91" s="411"/>
      <c r="S91" s="412"/>
      <c r="T91" s="413"/>
      <c r="U91" s="414"/>
      <c r="V91" s="415"/>
      <c r="W91" s="414"/>
      <c r="X91" s="415"/>
      <c r="Y91" s="414"/>
      <c r="Z91" s="415"/>
      <c r="AA91" s="414"/>
      <c r="AB91" s="415"/>
      <c r="AC91" s="416"/>
      <c r="AE91" s="1193"/>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5" outlineLevel="1" thickBot="1">
      <c r="B99" s="428"/>
      <c r="C99" s="429"/>
      <c r="D99" s="429"/>
      <c r="E99" s="429"/>
      <c r="F99" s="429"/>
      <c r="G99" s="424"/>
      <c r="H99" s="424"/>
      <c r="I99" s="424"/>
      <c r="J99" s="424"/>
      <c r="K99" s="422"/>
      <c r="L99" s="426"/>
      <c r="M99" s="427"/>
      <c r="N99" s="427"/>
    </row>
    <row r="100" spans="1:30" ht="15"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39"/>
      <c r="Q105" s="1140"/>
      <c r="R105" s="1140"/>
      <c r="S105" s="1140"/>
      <c r="T105" s="1140"/>
      <c r="U105" s="1141"/>
    </row>
    <row r="106" spans="1:30" ht="15" outlineLevel="1" thickBot="1">
      <c r="B106" s="499"/>
      <c r="C106" s="513"/>
      <c r="D106" s="513"/>
      <c r="E106" s="513"/>
      <c r="F106" s="513"/>
      <c r="G106" s="514"/>
      <c r="H106" s="514"/>
      <c r="I106" s="514"/>
      <c r="J106" s="514"/>
      <c r="K106" s="502"/>
      <c r="L106" s="503"/>
      <c r="M106" s="449"/>
      <c r="N106" s="360"/>
      <c r="P106" s="1131"/>
      <c r="Q106" s="1132"/>
      <c r="R106" s="1132"/>
      <c r="S106" s="1132"/>
      <c r="T106" s="1132"/>
      <c r="U106" s="1133"/>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5"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5"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5"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204"/>
      <c r="C149" s="1140"/>
      <c r="D149" s="1140"/>
      <c r="E149" s="1140"/>
      <c r="F149" s="1140"/>
      <c r="G149" s="1140"/>
      <c r="H149" s="1140"/>
      <c r="I149" s="1140"/>
      <c r="J149" s="1140"/>
      <c r="K149" s="1140"/>
      <c r="L149" s="1140"/>
      <c r="M149" s="1140"/>
      <c r="N149" s="360"/>
      <c r="P149" s="1140"/>
      <c r="Q149" s="1140"/>
      <c r="R149" s="1140"/>
      <c r="S149" s="1140"/>
      <c r="T149" s="1140"/>
      <c r="U149" s="1140"/>
    </row>
    <row r="150" spans="1:44" ht="15" outlineLevel="1" thickBot="1">
      <c r="B150" s="1204"/>
      <c r="C150" s="1140"/>
      <c r="D150" s="1140"/>
      <c r="E150" s="1140"/>
      <c r="F150" s="1140"/>
      <c r="G150" s="1140"/>
      <c r="H150" s="1140"/>
      <c r="I150" s="1140"/>
      <c r="J150" s="1140"/>
      <c r="K150" s="1140"/>
      <c r="L150" s="1140"/>
      <c r="M150" s="1140"/>
      <c r="N150" s="360"/>
      <c r="P150" s="1140"/>
      <c r="Q150" s="1140"/>
      <c r="R150" s="1140"/>
      <c r="S150" s="1140"/>
      <c r="T150" s="1140"/>
      <c r="U150" s="1140"/>
    </row>
    <row r="151" spans="1:44" ht="20.55" customHeight="1" outlineLevel="1" thickBot="1">
      <c r="B151" s="361"/>
      <c r="C151" s="1183"/>
      <c r="D151" s="1202"/>
      <c r="E151" s="1202"/>
      <c r="F151" s="1202"/>
      <c r="G151" s="1202"/>
      <c r="H151" s="1202"/>
      <c r="I151" s="1202"/>
      <c r="J151" s="1202"/>
      <c r="K151" s="1202"/>
      <c r="L151" s="1203"/>
      <c r="M151" s="362"/>
      <c r="N151" s="362"/>
      <c r="P151" s="363"/>
      <c r="Q151" s="364"/>
      <c r="R151" s="365"/>
      <c r="S151" s="1173"/>
      <c r="T151" s="1157"/>
      <c r="U151" s="1158"/>
      <c r="V151" s="1157"/>
      <c r="W151" s="1158"/>
      <c r="X151" s="1157"/>
      <c r="Y151" s="1158"/>
      <c r="Z151" s="1157"/>
      <c r="AA151" s="1158"/>
      <c r="AB151" s="1157"/>
      <c r="AC151" s="1158"/>
      <c r="AE151" s="363"/>
      <c r="AF151" s="364"/>
      <c r="AG151" s="365"/>
      <c r="AH151" s="1173"/>
      <c r="AI151" s="1157"/>
      <c r="AJ151" s="1158"/>
      <c r="AK151" s="1157"/>
      <c r="AL151" s="1158"/>
      <c r="AM151" s="1157"/>
      <c r="AN151" s="1158"/>
      <c r="AO151" s="1157"/>
      <c r="AP151" s="1158"/>
      <c r="AQ151" s="1157"/>
      <c r="AR151" s="1158"/>
    </row>
    <row r="152" spans="1:44" ht="15" customHeight="1" outlineLevel="1" thickBot="1">
      <c r="B152" s="1161"/>
      <c r="C152" s="1163"/>
      <c r="D152" s="1163"/>
      <c r="E152" s="1163"/>
      <c r="F152" s="1163"/>
      <c r="G152" s="1218"/>
      <c r="H152" s="1219"/>
      <c r="I152" s="1218"/>
      <c r="J152" s="1219"/>
      <c r="K152" s="1186"/>
      <c r="L152" s="1186"/>
      <c r="M152" s="366"/>
      <c r="N152" s="366"/>
      <c r="P152" s="1177"/>
      <c r="Q152" s="367"/>
      <c r="R152" s="367"/>
      <c r="S152" s="1174"/>
      <c r="T152" s="1159"/>
      <c r="U152" s="1160"/>
      <c r="V152" s="1159"/>
      <c r="W152" s="1160"/>
      <c r="X152" s="1159"/>
      <c r="Y152" s="1160"/>
      <c r="Z152" s="1159"/>
      <c r="AA152" s="1160"/>
      <c r="AB152" s="1159"/>
      <c r="AC152" s="1160"/>
      <c r="AE152" s="1177"/>
      <c r="AF152" s="367"/>
      <c r="AG152" s="367"/>
      <c r="AH152" s="1174"/>
      <c r="AI152" s="1159"/>
      <c r="AJ152" s="1160"/>
      <c r="AK152" s="1159"/>
      <c r="AL152" s="1160"/>
      <c r="AM152" s="1159"/>
      <c r="AN152" s="1160"/>
      <c r="AO152" s="1159"/>
      <c r="AP152" s="1160"/>
      <c r="AQ152" s="1159"/>
      <c r="AR152" s="1160"/>
    </row>
    <row r="153" spans="1:44" ht="15" customHeight="1" outlineLevel="1" thickBot="1">
      <c r="B153" s="1162"/>
      <c r="C153" s="1164"/>
      <c r="D153" s="1164"/>
      <c r="E153" s="1164"/>
      <c r="F153" s="1164"/>
      <c r="G153" s="539"/>
      <c r="H153" s="539"/>
      <c r="I153" s="539"/>
      <c r="J153" s="539"/>
      <c r="K153" s="1187"/>
      <c r="L153" s="1187"/>
      <c r="M153" s="369"/>
      <c r="N153" s="369"/>
      <c r="P153" s="1178"/>
      <c r="Q153" s="1180"/>
      <c r="R153" s="1181"/>
      <c r="S153" s="1175"/>
      <c r="T153" s="1159"/>
      <c r="U153" s="1160"/>
      <c r="V153" s="1159"/>
      <c r="W153" s="1160"/>
      <c r="X153" s="1159"/>
      <c r="Y153" s="1160"/>
      <c r="Z153" s="1159"/>
      <c r="AA153" s="1160"/>
      <c r="AB153" s="1159"/>
      <c r="AC153" s="1160"/>
      <c r="AE153" s="1178"/>
      <c r="AF153" s="1194"/>
      <c r="AG153" s="1181"/>
      <c r="AH153" s="1175"/>
      <c r="AI153" s="1159"/>
      <c r="AJ153" s="1160"/>
      <c r="AK153" s="1159"/>
      <c r="AL153" s="1160"/>
      <c r="AM153" s="1159"/>
      <c r="AN153" s="1160"/>
      <c r="AO153" s="1159"/>
      <c r="AP153" s="1160"/>
      <c r="AQ153" s="1159"/>
      <c r="AR153" s="1160"/>
    </row>
    <row r="154" spans="1:44" ht="15" outlineLevel="1" thickBot="1">
      <c r="B154" s="370"/>
      <c r="C154" s="371"/>
      <c r="D154" s="371"/>
      <c r="E154" s="371"/>
      <c r="F154" s="371"/>
      <c r="G154" s="371"/>
      <c r="H154" s="371"/>
      <c r="I154" s="371"/>
      <c r="J154" s="371"/>
      <c r="K154" s="371"/>
      <c r="L154" s="372"/>
      <c r="M154" s="369"/>
      <c r="N154" s="369"/>
      <c r="O154" s="74"/>
      <c r="P154" s="1179"/>
      <c r="Q154" s="1176"/>
      <c r="R154" s="1182"/>
      <c r="S154" s="1176"/>
      <c r="T154" s="373"/>
      <c r="U154" s="374"/>
      <c r="V154" s="373"/>
      <c r="W154" s="374"/>
      <c r="X154" s="373"/>
      <c r="Y154" s="374"/>
      <c r="Z154" s="373"/>
      <c r="AA154" s="374"/>
      <c r="AB154" s="373"/>
      <c r="AC154" s="374"/>
      <c r="AE154" s="1179"/>
      <c r="AF154" s="1195"/>
      <c r="AG154" s="1182"/>
      <c r="AH154" s="1176"/>
      <c r="AI154" s="373"/>
      <c r="AJ154" s="374"/>
      <c r="AK154" s="373"/>
      <c r="AL154" s="374"/>
      <c r="AM154" s="373"/>
      <c r="AN154" s="374"/>
      <c r="AO154" s="373"/>
      <c r="AP154" s="374"/>
      <c r="AQ154" s="373"/>
      <c r="AR154" s="374"/>
    </row>
    <row r="155" spans="1:44" ht="14.55" customHeight="1" outlineLevel="1">
      <c r="B155" s="540"/>
      <c r="C155" s="541"/>
      <c r="D155" s="541"/>
      <c r="E155" s="542"/>
      <c r="F155" s="541"/>
      <c r="G155" s="541"/>
      <c r="H155" s="541"/>
      <c r="I155" s="541"/>
      <c r="J155" s="541"/>
      <c r="K155" s="371"/>
      <c r="L155" s="372"/>
      <c r="M155" s="369"/>
      <c r="N155" s="369"/>
      <c r="P155" s="1145"/>
      <c r="Q155" s="1151"/>
      <c r="R155" s="380"/>
      <c r="S155" s="381"/>
      <c r="T155" s="1134"/>
      <c r="U155" s="1148"/>
      <c r="V155" s="1134"/>
      <c r="W155" s="1148"/>
      <c r="X155" s="1134"/>
      <c r="Y155" s="1148"/>
      <c r="Z155" s="1134"/>
      <c r="AA155" s="1148"/>
      <c r="AB155" s="1134"/>
      <c r="AC155" s="1148"/>
      <c r="AE155" s="1145"/>
      <c r="AF155" s="1151"/>
      <c r="AG155" s="380"/>
      <c r="AH155" s="381"/>
      <c r="AI155" s="1134"/>
      <c r="AJ155" s="1148"/>
      <c r="AK155" s="1134"/>
      <c r="AL155" s="1148"/>
      <c r="AM155" s="1134"/>
      <c r="AN155" s="1148"/>
      <c r="AO155" s="1134"/>
      <c r="AP155" s="1148"/>
      <c r="AQ155" s="1134"/>
      <c r="AR155" s="1148"/>
    </row>
    <row r="156" spans="1:44" outlineLevel="1">
      <c r="B156" s="382"/>
      <c r="C156" s="383"/>
      <c r="D156" s="383"/>
      <c r="E156" s="383"/>
      <c r="F156" s="383"/>
      <c r="G156" s="504"/>
      <c r="H156" s="504"/>
      <c r="I156" s="504"/>
      <c r="J156" s="504"/>
      <c r="K156" s="371"/>
      <c r="L156" s="372"/>
      <c r="M156" s="369"/>
      <c r="N156" s="369"/>
      <c r="O156" s="71"/>
      <c r="P156" s="1192"/>
      <c r="Q156" s="1152"/>
      <c r="R156" s="387"/>
      <c r="S156" s="388"/>
      <c r="T156" s="1137"/>
      <c r="U156" s="1149"/>
      <c r="V156" s="1137"/>
      <c r="W156" s="1149"/>
      <c r="X156" s="1137"/>
      <c r="Y156" s="1149"/>
      <c r="Z156" s="1137"/>
      <c r="AA156" s="1149"/>
      <c r="AB156" s="1137"/>
      <c r="AC156" s="1149"/>
      <c r="AE156" s="1192"/>
      <c r="AF156" s="1152"/>
      <c r="AG156" s="387"/>
      <c r="AH156" s="388"/>
      <c r="AI156" s="1137"/>
      <c r="AJ156" s="1149"/>
      <c r="AK156" s="1137"/>
      <c r="AL156" s="1149"/>
      <c r="AM156" s="1137"/>
      <c r="AN156" s="1149"/>
      <c r="AO156" s="1137"/>
      <c r="AP156" s="1149"/>
      <c r="AQ156" s="1137"/>
      <c r="AR156" s="1149"/>
    </row>
    <row r="157" spans="1:44" ht="15" outlineLevel="1" thickBot="1">
      <c r="B157" s="540"/>
      <c r="C157" s="543"/>
      <c r="D157" s="544"/>
      <c r="E157" s="544"/>
      <c r="F157" s="545"/>
      <c r="G157" s="544"/>
      <c r="H157" s="544"/>
      <c r="I157" s="544"/>
      <c r="J157" s="544"/>
      <c r="K157" s="546"/>
      <c r="L157" s="547"/>
      <c r="M157" s="369"/>
      <c r="N157" s="369"/>
      <c r="O157" s="71"/>
      <c r="P157" s="1192"/>
      <c r="Q157" s="1153"/>
      <c r="R157" s="392"/>
      <c r="S157" s="393"/>
      <c r="T157" s="1138"/>
      <c r="U157" s="1150"/>
      <c r="V157" s="1138"/>
      <c r="W157" s="1150"/>
      <c r="X157" s="1138"/>
      <c r="Y157" s="1150"/>
      <c r="Z157" s="1138"/>
      <c r="AA157" s="1150"/>
      <c r="AB157" s="1138"/>
      <c r="AC157" s="1150"/>
      <c r="AE157" s="1192"/>
      <c r="AF157" s="1153"/>
      <c r="AG157" s="392"/>
      <c r="AH157" s="393"/>
      <c r="AI157" s="1138"/>
      <c r="AJ157" s="1150"/>
      <c r="AK157" s="1138"/>
      <c r="AL157" s="1150"/>
      <c r="AM157" s="1138"/>
      <c r="AN157" s="1150"/>
      <c r="AO157" s="1138"/>
      <c r="AP157" s="1150"/>
      <c r="AQ157" s="1138"/>
      <c r="AR157" s="1150"/>
    </row>
    <row r="158" spans="1:44" ht="14.55" customHeight="1" outlineLevel="1">
      <c r="B158" s="540"/>
      <c r="C158" s="543"/>
      <c r="D158" s="543"/>
      <c r="E158" s="543"/>
      <c r="F158" s="543"/>
      <c r="G158" s="543"/>
      <c r="H158" s="543"/>
      <c r="I158" s="543"/>
      <c r="J158" s="543"/>
      <c r="K158" s="546"/>
      <c r="L158" s="547"/>
      <c r="M158" s="369"/>
      <c r="N158" s="369"/>
      <c r="O158" s="71"/>
      <c r="P158" s="1192"/>
      <c r="Q158" s="1151"/>
      <c r="R158" s="394"/>
      <c r="S158" s="395"/>
      <c r="T158" s="1134"/>
      <c r="U158" s="1134"/>
      <c r="V158" s="1134"/>
      <c r="W158" s="1134"/>
      <c r="X158" s="1134"/>
      <c r="Y158" s="1134"/>
      <c r="Z158" s="1134"/>
      <c r="AA158" s="1134"/>
      <c r="AB158" s="1134"/>
      <c r="AC158" s="1134"/>
      <c r="AE158" s="1192"/>
      <c r="AF158" s="1151"/>
      <c r="AG158" s="394"/>
      <c r="AH158" s="395"/>
      <c r="AI158" s="1134"/>
      <c r="AJ158" s="1134"/>
      <c r="AK158" s="1134"/>
      <c r="AL158" s="1134"/>
      <c r="AM158" s="1134"/>
      <c r="AN158" s="1134"/>
      <c r="AO158" s="1134"/>
      <c r="AP158" s="1134"/>
      <c r="AQ158" s="1134"/>
      <c r="AR158" s="1134"/>
    </row>
    <row r="159" spans="1:44" outlineLevel="1">
      <c r="B159" s="540"/>
      <c r="C159" s="543"/>
      <c r="D159" s="543"/>
      <c r="E159" s="543"/>
      <c r="F159" s="543"/>
      <c r="G159" s="543"/>
      <c r="H159" s="543"/>
      <c r="I159" s="543"/>
      <c r="J159" s="543"/>
      <c r="K159" s="546"/>
      <c r="L159" s="547"/>
      <c r="M159" s="366"/>
      <c r="N159" s="366"/>
      <c r="O159" s="71"/>
      <c r="P159" s="1192"/>
      <c r="Q159" s="1152"/>
      <c r="R159" s="394"/>
      <c r="S159" s="395"/>
      <c r="T159" s="1135"/>
      <c r="U159" s="1135"/>
      <c r="V159" s="1135"/>
      <c r="W159" s="1135"/>
      <c r="X159" s="1135"/>
      <c r="Y159" s="1135"/>
      <c r="Z159" s="1135"/>
      <c r="AA159" s="1135"/>
      <c r="AB159" s="1135"/>
      <c r="AC159" s="1135"/>
      <c r="AE159" s="1192"/>
      <c r="AF159" s="1152"/>
      <c r="AG159" s="394"/>
      <c r="AH159" s="395"/>
      <c r="AI159" s="1135"/>
      <c r="AJ159" s="1135"/>
      <c r="AK159" s="1135"/>
      <c r="AL159" s="1135"/>
      <c r="AM159" s="1135"/>
      <c r="AN159" s="1135"/>
      <c r="AO159" s="1135"/>
      <c r="AP159" s="1135"/>
      <c r="AQ159" s="1135"/>
      <c r="AR159" s="1135"/>
    </row>
    <row r="160" spans="1:44" outlineLevel="1">
      <c r="B160" s="382"/>
      <c r="C160" s="396"/>
      <c r="D160" s="396"/>
      <c r="E160" s="396"/>
      <c r="F160" s="398"/>
      <c r="G160" s="398"/>
      <c r="H160" s="398"/>
      <c r="I160" s="398"/>
      <c r="J160" s="398"/>
      <c r="K160" s="371"/>
      <c r="L160" s="372"/>
      <c r="M160" s="362"/>
      <c r="N160" s="362"/>
      <c r="P160" s="1192"/>
      <c r="Q160" s="1152"/>
      <c r="R160" s="394"/>
      <c r="S160" s="395"/>
      <c r="T160" s="1135"/>
      <c r="U160" s="1135"/>
      <c r="V160" s="1135"/>
      <c r="W160" s="1135"/>
      <c r="X160" s="1135"/>
      <c r="Y160" s="1135"/>
      <c r="Z160" s="1135"/>
      <c r="AA160" s="1135"/>
      <c r="AB160" s="1135"/>
      <c r="AC160" s="1135"/>
      <c r="AE160" s="1192"/>
      <c r="AF160" s="1152"/>
      <c r="AG160" s="394"/>
      <c r="AH160" s="395"/>
      <c r="AI160" s="1135"/>
      <c r="AJ160" s="1135"/>
      <c r="AK160" s="1135"/>
      <c r="AL160" s="1135"/>
      <c r="AM160" s="1135"/>
      <c r="AN160" s="1135"/>
      <c r="AO160" s="1135"/>
      <c r="AP160" s="1135"/>
      <c r="AQ160" s="1135"/>
      <c r="AR160" s="1135"/>
    </row>
    <row r="161" spans="1:44" ht="15" outlineLevel="1" thickBot="1">
      <c r="B161" s="540"/>
      <c r="C161" s="543"/>
      <c r="D161" s="543"/>
      <c r="E161" s="543"/>
      <c r="F161" s="543"/>
      <c r="G161" s="543"/>
      <c r="H161" s="543"/>
      <c r="I161" s="543"/>
      <c r="J161" s="543"/>
      <c r="K161" s="371"/>
      <c r="L161" s="399"/>
      <c r="M161" s="362"/>
      <c r="N161" s="362"/>
      <c r="P161" s="1192"/>
      <c r="Q161" s="1152"/>
      <c r="R161" s="394"/>
      <c r="S161" s="395"/>
      <c r="T161" s="1135"/>
      <c r="U161" s="1135"/>
      <c r="V161" s="1135"/>
      <c r="W161" s="1135"/>
      <c r="X161" s="1135"/>
      <c r="Y161" s="1135"/>
      <c r="Z161" s="1135"/>
      <c r="AA161" s="1135"/>
      <c r="AB161" s="1135"/>
      <c r="AC161" s="1135"/>
      <c r="AE161" s="1192"/>
      <c r="AF161" s="1152"/>
      <c r="AG161" s="394"/>
      <c r="AH161" s="395"/>
      <c r="AI161" s="1135"/>
      <c r="AJ161" s="1135"/>
      <c r="AK161" s="1135"/>
      <c r="AL161" s="1135"/>
      <c r="AM161" s="1135"/>
      <c r="AN161" s="1135"/>
      <c r="AO161" s="1135"/>
      <c r="AP161" s="1135"/>
      <c r="AQ161" s="1135"/>
      <c r="AR161" s="1135"/>
    </row>
    <row r="162" spans="1:44" ht="15" outlineLevel="1" thickBot="1">
      <c r="B162" s="400"/>
      <c r="C162" s="401"/>
      <c r="D162" s="402"/>
      <c r="E162" s="403"/>
      <c r="F162" s="404"/>
      <c r="G162" s="405"/>
      <c r="H162" s="405"/>
      <c r="I162" s="405"/>
      <c r="J162" s="405"/>
      <c r="K162" s="406"/>
      <c r="L162" s="407"/>
      <c r="M162" s="362"/>
      <c r="N162" s="362"/>
      <c r="P162" s="1192"/>
      <c r="Q162" s="1152"/>
      <c r="R162" s="408"/>
      <c r="S162" s="409"/>
      <c r="T162" s="1136"/>
      <c r="U162" s="1136"/>
      <c r="V162" s="1136"/>
      <c r="W162" s="1136"/>
      <c r="X162" s="1136"/>
      <c r="Y162" s="1136"/>
      <c r="Z162" s="1136"/>
      <c r="AA162" s="1136"/>
      <c r="AB162" s="1136"/>
      <c r="AC162" s="1136"/>
      <c r="AE162" s="1192"/>
      <c r="AF162" s="1152"/>
      <c r="AG162" s="408"/>
      <c r="AH162" s="409"/>
      <c r="AI162" s="1136"/>
      <c r="AJ162" s="1136"/>
      <c r="AK162" s="1136"/>
      <c r="AL162" s="1136"/>
      <c r="AM162" s="1136"/>
      <c r="AN162" s="1136"/>
      <c r="AO162" s="1136"/>
      <c r="AP162" s="1136"/>
      <c r="AQ162" s="1136"/>
      <c r="AR162" s="1136"/>
    </row>
    <row r="163" spans="1:44" ht="15" outlineLevel="1" thickBot="1">
      <c r="B163" s="540"/>
      <c r="C163" s="543"/>
      <c r="D163" s="543"/>
      <c r="E163" s="543"/>
      <c r="F163" s="543"/>
      <c r="G163" s="544"/>
      <c r="H163" s="544"/>
      <c r="I163" s="544"/>
      <c r="J163" s="544"/>
      <c r="K163" s="546"/>
      <c r="L163" s="547"/>
      <c r="M163" s="362"/>
      <c r="N163" s="362"/>
      <c r="P163" s="1193"/>
      <c r="Q163" s="410"/>
      <c r="R163" s="411"/>
      <c r="S163" s="412"/>
      <c r="T163" s="413"/>
      <c r="U163" s="414"/>
      <c r="V163" s="415"/>
      <c r="W163" s="414"/>
      <c r="X163" s="415"/>
      <c r="Y163" s="414"/>
      <c r="Z163" s="415"/>
      <c r="AA163" s="414"/>
      <c r="AB163" s="415"/>
      <c r="AC163" s="416"/>
      <c r="AE163" s="1193"/>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5" outlineLevel="1" thickBot="1">
      <c r="B171" s="428"/>
      <c r="C171" s="429"/>
      <c r="D171" s="429"/>
      <c r="E171" s="429"/>
      <c r="F171" s="429"/>
      <c r="G171" s="424"/>
      <c r="H171" s="424"/>
      <c r="I171" s="424"/>
      <c r="J171" s="424"/>
      <c r="K171" s="422"/>
      <c r="L171" s="426"/>
      <c r="M171" s="427"/>
      <c r="N171" s="427"/>
    </row>
    <row r="172" spans="1:44" ht="15"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39"/>
      <c r="Q177" s="1140"/>
      <c r="R177" s="1140"/>
      <c r="S177" s="1140"/>
      <c r="T177" s="1140"/>
      <c r="U177" s="1141"/>
    </row>
    <row r="178" spans="2:30" ht="15" outlineLevel="1" thickBot="1">
      <c r="B178" s="540"/>
      <c r="C178" s="551"/>
      <c r="D178" s="551"/>
      <c r="E178" s="551"/>
      <c r="F178" s="551"/>
      <c r="G178" s="552"/>
      <c r="H178" s="552"/>
      <c r="I178" s="552"/>
      <c r="J178" s="552"/>
      <c r="K178" s="546"/>
      <c r="L178" s="547"/>
      <c r="M178" s="449"/>
      <c r="N178" s="360"/>
      <c r="P178" s="1131"/>
      <c r="Q178" s="1132"/>
      <c r="R178" s="1132"/>
      <c r="S178" s="1132"/>
      <c r="T178" s="1132"/>
      <c r="U178" s="1133"/>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5"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5"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5"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5" thickBot="1">
      <c r="A217" s="359"/>
    </row>
    <row r="218" spans="1:44" ht="20.55" customHeight="1" outlineLevel="1" thickBot="1">
      <c r="B218" s="361"/>
      <c r="C218" s="1183"/>
      <c r="D218" s="1202"/>
      <c r="E218" s="1202"/>
      <c r="F218" s="1202"/>
      <c r="G218" s="1202"/>
      <c r="H218" s="1202"/>
      <c r="I218" s="1202"/>
      <c r="J218" s="1202"/>
      <c r="K218" s="1202"/>
      <c r="L218" s="1203"/>
      <c r="M218" s="362"/>
      <c r="N218" s="362"/>
      <c r="P218" s="363"/>
      <c r="Q218" s="364"/>
      <c r="R218" s="365"/>
      <c r="S218" s="1173"/>
      <c r="T218" s="1157"/>
      <c r="U218" s="1158"/>
      <c r="V218" s="1157"/>
      <c r="W218" s="1158"/>
      <c r="X218" s="1157"/>
      <c r="Y218" s="1158"/>
      <c r="Z218" s="1157"/>
      <c r="AA218" s="1158"/>
      <c r="AB218" s="1157"/>
      <c r="AC218" s="1158"/>
      <c r="AE218" s="363"/>
      <c r="AF218" s="364"/>
      <c r="AG218" s="365"/>
      <c r="AH218" s="1173"/>
      <c r="AI218" s="1157"/>
      <c r="AJ218" s="1158"/>
      <c r="AK218" s="1157"/>
      <c r="AL218" s="1158"/>
      <c r="AM218" s="1157"/>
      <c r="AN218" s="1158"/>
      <c r="AO218" s="1157"/>
      <c r="AP218" s="1158"/>
      <c r="AQ218" s="1157"/>
      <c r="AR218" s="1158"/>
    </row>
    <row r="219" spans="1:44" ht="15" customHeight="1" outlineLevel="1" thickBot="1">
      <c r="B219" s="1161"/>
      <c r="C219" s="1163"/>
      <c r="D219" s="1163"/>
      <c r="E219" s="1163"/>
      <c r="F219" s="1163"/>
      <c r="G219" s="1165"/>
      <c r="H219" s="1166"/>
      <c r="I219" s="1165"/>
      <c r="J219" s="1166"/>
      <c r="K219" s="1186"/>
      <c r="L219" s="1186"/>
      <c r="M219" s="366"/>
      <c r="N219" s="366"/>
      <c r="P219" s="1177"/>
      <c r="Q219" s="367"/>
      <c r="R219" s="367"/>
      <c r="S219" s="1174"/>
      <c r="T219" s="1159"/>
      <c r="U219" s="1160"/>
      <c r="V219" s="1159"/>
      <c r="W219" s="1160"/>
      <c r="X219" s="1159"/>
      <c r="Y219" s="1160"/>
      <c r="Z219" s="1159"/>
      <c r="AA219" s="1160"/>
      <c r="AB219" s="1159"/>
      <c r="AC219" s="1160"/>
      <c r="AE219" s="1177"/>
      <c r="AF219" s="367"/>
      <c r="AG219" s="367"/>
      <c r="AH219" s="1174"/>
      <c r="AI219" s="1159"/>
      <c r="AJ219" s="1160"/>
      <c r="AK219" s="1159"/>
      <c r="AL219" s="1160"/>
      <c r="AM219" s="1159"/>
      <c r="AN219" s="1160"/>
      <c r="AO219" s="1159"/>
      <c r="AP219" s="1160"/>
      <c r="AQ219" s="1159"/>
      <c r="AR219" s="1160"/>
    </row>
    <row r="220" spans="1:44" ht="15" customHeight="1" outlineLevel="1" thickBot="1">
      <c r="B220" s="1162"/>
      <c r="C220" s="1164"/>
      <c r="D220" s="1164"/>
      <c r="E220" s="1164"/>
      <c r="F220" s="1164"/>
      <c r="G220" s="405"/>
      <c r="H220" s="405"/>
      <c r="I220" s="405"/>
      <c r="J220" s="405"/>
      <c r="K220" s="1187"/>
      <c r="L220" s="1187"/>
      <c r="M220" s="369"/>
      <c r="N220" s="369"/>
      <c r="P220" s="1178"/>
      <c r="Q220" s="1180"/>
      <c r="R220" s="1181"/>
      <c r="S220" s="1175"/>
      <c r="T220" s="1159"/>
      <c r="U220" s="1160"/>
      <c r="V220" s="1159"/>
      <c r="W220" s="1160"/>
      <c r="X220" s="1159"/>
      <c r="Y220" s="1160"/>
      <c r="Z220" s="1159"/>
      <c r="AA220" s="1160"/>
      <c r="AB220" s="1159"/>
      <c r="AC220" s="1160"/>
      <c r="AE220" s="1178"/>
      <c r="AF220" s="1194"/>
      <c r="AG220" s="1181"/>
      <c r="AH220" s="1175"/>
      <c r="AI220" s="1159"/>
      <c r="AJ220" s="1160"/>
      <c r="AK220" s="1159"/>
      <c r="AL220" s="1160"/>
      <c r="AM220" s="1159"/>
      <c r="AN220" s="1160"/>
      <c r="AO220" s="1159"/>
      <c r="AP220" s="1160"/>
      <c r="AQ220" s="1159"/>
      <c r="AR220" s="1160"/>
    </row>
    <row r="221" spans="1:44" ht="15" outlineLevel="1" thickBot="1">
      <c r="B221" s="370"/>
      <c r="C221" s="371"/>
      <c r="D221" s="371"/>
      <c r="E221" s="371"/>
      <c r="F221" s="371"/>
      <c r="G221" s="371"/>
      <c r="H221" s="371"/>
      <c r="I221" s="371"/>
      <c r="J221" s="371"/>
      <c r="K221" s="371"/>
      <c r="L221" s="372"/>
      <c r="M221" s="369"/>
      <c r="N221" s="369"/>
      <c r="O221" s="74"/>
      <c r="P221" s="1179"/>
      <c r="Q221" s="1176"/>
      <c r="R221" s="1182"/>
      <c r="S221" s="1176"/>
      <c r="T221" s="373"/>
      <c r="U221" s="374"/>
      <c r="V221" s="373"/>
      <c r="W221" s="374"/>
      <c r="X221" s="373"/>
      <c r="Y221" s="374"/>
      <c r="Z221" s="373"/>
      <c r="AA221" s="374"/>
      <c r="AB221" s="373"/>
      <c r="AC221" s="374"/>
      <c r="AE221" s="1179"/>
      <c r="AF221" s="1195"/>
      <c r="AG221" s="1182"/>
      <c r="AH221" s="1176"/>
      <c r="AI221" s="373"/>
      <c r="AJ221" s="374"/>
      <c r="AK221" s="373"/>
      <c r="AL221" s="374"/>
      <c r="AM221" s="373"/>
      <c r="AN221" s="374"/>
      <c r="AO221" s="373"/>
      <c r="AP221" s="374"/>
      <c r="AQ221" s="373"/>
      <c r="AR221" s="374"/>
    </row>
    <row r="222" spans="1:44" ht="14.55" customHeight="1" outlineLevel="1">
      <c r="B222" s="540"/>
      <c r="C222" s="541"/>
      <c r="D222" s="541"/>
      <c r="E222" s="542"/>
      <c r="F222" s="541"/>
      <c r="G222" s="541"/>
      <c r="H222" s="541"/>
      <c r="I222" s="541"/>
      <c r="J222" s="541"/>
      <c r="K222" s="546"/>
      <c r="L222" s="547"/>
      <c r="M222" s="369"/>
      <c r="N222" s="369"/>
      <c r="P222" s="1145"/>
      <c r="Q222" s="1151"/>
      <c r="R222" s="380"/>
      <c r="S222" s="381"/>
      <c r="T222" s="1134"/>
      <c r="U222" s="1148"/>
      <c r="V222" s="1134"/>
      <c r="W222" s="1148"/>
      <c r="X222" s="1134"/>
      <c r="Y222" s="1148"/>
      <c r="Z222" s="1134"/>
      <c r="AA222" s="1148"/>
      <c r="AB222" s="1134"/>
      <c r="AC222" s="1148"/>
      <c r="AE222" s="1145"/>
      <c r="AF222" s="1151"/>
      <c r="AG222" s="380"/>
      <c r="AH222" s="381"/>
      <c r="AI222" s="1134"/>
      <c r="AJ222" s="1148"/>
      <c r="AK222" s="1134"/>
      <c r="AL222" s="1148"/>
      <c r="AM222" s="1134"/>
      <c r="AN222" s="1148"/>
      <c r="AO222" s="1134"/>
      <c r="AP222" s="1148"/>
      <c r="AQ222" s="1134"/>
      <c r="AR222" s="1148"/>
    </row>
    <row r="223" spans="1:44" outlineLevel="1">
      <c r="B223" s="382"/>
      <c r="C223" s="383"/>
      <c r="D223" s="383"/>
      <c r="E223" s="383"/>
      <c r="F223" s="383"/>
      <c r="G223" s="504"/>
      <c r="H223" s="504"/>
      <c r="I223" s="504"/>
      <c r="J223" s="504"/>
      <c r="K223" s="371"/>
      <c r="L223" s="372"/>
      <c r="M223" s="369"/>
      <c r="N223" s="369"/>
      <c r="O223" s="71"/>
      <c r="P223" s="1192"/>
      <c r="Q223" s="1152"/>
      <c r="R223" s="387"/>
      <c r="S223" s="388"/>
      <c r="T223" s="1137"/>
      <c r="U223" s="1149"/>
      <c r="V223" s="1137"/>
      <c r="W223" s="1149"/>
      <c r="X223" s="1137"/>
      <c r="Y223" s="1149"/>
      <c r="Z223" s="1137"/>
      <c r="AA223" s="1149"/>
      <c r="AB223" s="1137"/>
      <c r="AC223" s="1149"/>
      <c r="AE223" s="1192"/>
      <c r="AF223" s="1152"/>
      <c r="AG223" s="387"/>
      <c r="AH223" s="388"/>
      <c r="AI223" s="1137"/>
      <c r="AJ223" s="1149"/>
      <c r="AK223" s="1137"/>
      <c r="AL223" s="1149"/>
      <c r="AM223" s="1137"/>
      <c r="AN223" s="1149"/>
      <c r="AO223" s="1137"/>
      <c r="AP223" s="1149"/>
      <c r="AQ223" s="1137"/>
      <c r="AR223" s="1149"/>
    </row>
    <row r="224" spans="1:44" ht="15" outlineLevel="1" thickBot="1">
      <c r="B224" s="540"/>
      <c r="C224" s="543"/>
      <c r="D224" s="544"/>
      <c r="E224" s="544"/>
      <c r="F224" s="545"/>
      <c r="G224" s="544"/>
      <c r="H224" s="544"/>
      <c r="I224" s="544"/>
      <c r="J224" s="544"/>
      <c r="K224" s="546"/>
      <c r="L224" s="547"/>
      <c r="M224" s="369"/>
      <c r="N224" s="369"/>
      <c r="O224" s="71"/>
      <c r="P224" s="1192"/>
      <c r="Q224" s="1153"/>
      <c r="R224" s="392"/>
      <c r="S224" s="393"/>
      <c r="T224" s="1138"/>
      <c r="U224" s="1150"/>
      <c r="V224" s="1138"/>
      <c r="W224" s="1150"/>
      <c r="X224" s="1138"/>
      <c r="Y224" s="1150"/>
      <c r="Z224" s="1138"/>
      <c r="AA224" s="1150"/>
      <c r="AB224" s="1138"/>
      <c r="AC224" s="1150"/>
      <c r="AE224" s="1192"/>
      <c r="AF224" s="1153"/>
      <c r="AG224" s="392"/>
      <c r="AH224" s="393"/>
      <c r="AI224" s="1138"/>
      <c r="AJ224" s="1150"/>
      <c r="AK224" s="1138"/>
      <c r="AL224" s="1150"/>
      <c r="AM224" s="1138"/>
      <c r="AN224" s="1150"/>
      <c r="AO224" s="1138"/>
      <c r="AP224" s="1150"/>
      <c r="AQ224" s="1138"/>
      <c r="AR224" s="1150"/>
    </row>
    <row r="225" spans="1:44" ht="14.55" customHeight="1" outlineLevel="1">
      <c r="B225" s="540"/>
      <c r="C225" s="543"/>
      <c r="D225" s="543"/>
      <c r="E225" s="543"/>
      <c r="F225" s="543"/>
      <c r="G225" s="543"/>
      <c r="H225" s="543"/>
      <c r="I225" s="543"/>
      <c r="J225" s="543"/>
      <c r="K225" s="546"/>
      <c r="L225" s="547"/>
      <c r="M225" s="369"/>
      <c r="N225" s="369"/>
      <c r="O225" s="71"/>
      <c r="P225" s="1192"/>
      <c r="Q225" s="1151"/>
      <c r="R225" s="394"/>
      <c r="S225" s="395"/>
      <c r="T225" s="1134"/>
      <c r="U225" s="1134"/>
      <c r="V225" s="1134"/>
      <c r="W225" s="1134"/>
      <c r="X225" s="1134"/>
      <c r="Y225" s="1134"/>
      <c r="Z225" s="1134"/>
      <c r="AA225" s="1134"/>
      <c r="AB225" s="1134"/>
      <c r="AC225" s="1134"/>
      <c r="AE225" s="1192"/>
      <c r="AF225" s="1151"/>
      <c r="AG225" s="394"/>
      <c r="AH225" s="395"/>
      <c r="AI225" s="1134"/>
      <c r="AJ225" s="1134"/>
      <c r="AK225" s="1134"/>
      <c r="AL225" s="1134"/>
      <c r="AM225" s="1134"/>
      <c r="AN225" s="1134"/>
      <c r="AO225" s="1134"/>
      <c r="AP225" s="1134"/>
      <c r="AQ225" s="1134"/>
      <c r="AR225" s="1134"/>
    </row>
    <row r="226" spans="1:44" outlineLevel="1">
      <c r="B226" s="540"/>
      <c r="C226" s="543"/>
      <c r="D226" s="543"/>
      <c r="E226" s="543"/>
      <c r="F226" s="543"/>
      <c r="G226" s="543"/>
      <c r="H226" s="543"/>
      <c r="I226" s="543"/>
      <c r="J226" s="543"/>
      <c r="K226" s="546"/>
      <c r="L226" s="547"/>
      <c r="M226" s="366"/>
      <c r="N226" s="366"/>
      <c r="O226" s="71"/>
      <c r="P226" s="1192"/>
      <c r="Q226" s="1152"/>
      <c r="R226" s="394"/>
      <c r="S226" s="395"/>
      <c r="T226" s="1135"/>
      <c r="U226" s="1135"/>
      <c r="V226" s="1135"/>
      <c r="W226" s="1135"/>
      <c r="X226" s="1135"/>
      <c r="Y226" s="1135"/>
      <c r="Z226" s="1135"/>
      <c r="AA226" s="1135"/>
      <c r="AB226" s="1135"/>
      <c r="AC226" s="1135"/>
      <c r="AE226" s="1192"/>
      <c r="AF226" s="1152"/>
      <c r="AG226" s="394"/>
      <c r="AH226" s="395"/>
      <c r="AI226" s="1135"/>
      <c r="AJ226" s="1135"/>
      <c r="AK226" s="1135"/>
      <c r="AL226" s="1135"/>
      <c r="AM226" s="1135"/>
      <c r="AN226" s="1135"/>
      <c r="AO226" s="1135"/>
      <c r="AP226" s="1135"/>
      <c r="AQ226" s="1135"/>
      <c r="AR226" s="1135"/>
    </row>
    <row r="227" spans="1:44" outlineLevel="1">
      <c r="B227" s="382"/>
      <c r="C227" s="396"/>
      <c r="D227" s="396"/>
      <c r="E227" s="396"/>
      <c r="F227" s="396"/>
      <c r="G227" s="398"/>
      <c r="H227" s="398"/>
      <c r="I227" s="398"/>
      <c r="J227" s="398"/>
      <c r="K227" s="371"/>
      <c r="L227" s="372"/>
      <c r="M227" s="362"/>
      <c r="N227" s="362"/>
      <c r="P227" s="1192"/>
      <c r="Q227" s="1152"/>
      <c r="R227" s="394"/>
      <c r="S227" s="395"/>
      <c r="T227" s="1135"/>
      <c r="U227" s="1135"/>
      <c r="V227" s="1135"/>
      <c r="W227" s="1135"/>
      <c r="X227" s="1135"/>
      <c r="Y227" s="1135"/>
      <c r="Z227" s="1135"/>
      <c r="AA227" s="1135"/>
      <c r="AB227" s="1135"/>
      <c r="AC227" s="1135"/>
      <c r="AE227" s="1192"/>
      <c r="AF227" s="1152"/>
      <c r="AG227" s="394"/>
      <c r="AH227" s="395"/>
      <c r="AI227" s="1135"/>
      <c r="AJ227" s="1135"/>
      <c r="AK227" s="1135"/>
      <c r="AL227" s="1135"/>
      <c r="AM227" s="1135"/>
      <c r="AN227" s="1135"/>
      <c r="AO227" s="1135"/>
      <c r="AP227" s="1135"/>
      <c r="AQ227" s="1135"/>
      <c r="AR227" s="1135"/>
    </row>
    <row r="228" spans="1:44" ht="15" outlineLevel="1" thickBot="1">
      <c r="B228" s="540"/>
      <c r="C228" s="543"/>
      <c r="D228" s="543"/>
      <c r="E228" s="543"/>
      <c r="F228" s="543"/>
      <c r="G228" s="543"/>
      <c r="H228" s="543"/>
      <c r="I228" s="543"/>
      <c r="J228" s="543"/>
      <c r="K228" s="546"/>
      <c r="L228" s="558"/>
      <c r="M228" s="362"/>
      <c r="N228" s="362"/>
      <c r="P228" s="1192"/>
      <c r="Q228" s="1152"/>
      <c r="R228" s="394"/>
      <c r="S228" s="395"/>
      <c r="T228" s="1135"/>
      <c r="U228" s="1135"/>
      <c r="V228" s="1135"/>
      <c r="W228" s="1135"/>
      <c r="X228" s="1135"/>
      <c r="Y228" s="1135"/>
      <c r="Z228" s="1135"/>
      <c r="AA228" s="1135"/>
      <c r="AB228" s="1135"/>
      <c r="AC228" s="1135"/>
      <c r="AE228" s="1192"/>
      <c r="AF228" s="1152"/>
      <c r="AG228" s="394"/>
      <c r="AH228" s="395"/>
      <c r="AI228" s="1135"/>
      <c r="AJ228" s="1135"/>
      <c r="AK228" s="1135"/>
      <c r="AL228" s="1135"/>
      <c r="AM228" s="1135"/>
      <c r="AN228" s="1135"/>
      <c r="AO228" s="1135"/>
      <c r="AP228" s="1135"/>
      <c r="AQ228" s="1135"/>
      <c r="AR228" s="1135"/>
    </row>
    <row r="229" spans="1:44" ht="15" outlineLevel="1" thickBot="1">
      <c r="B229" s="400"/>
      <c r="C229" s="401"/>
      <c r="D229" s="402"/>
      <c r="E229" s="403"/>
      <c r="F229" s="404"/>
      <c r="G229" s="405"/>
      <c r="H229" s="405"/>
      <c r="I229" s="405"/>
      <c r="J229" s="405"/>
      <c r="K229" s="406"/>
      <c r="L229" s="407"/>
      <c r="M229" s="362"/>
      <c r="N229" s="362"/>
      <c r="P229" s="1192"/>
      <c r="Q229" s="1152"/>
      <c r="R229" s="408"/>
      <c r="S229" s="409"/>
      <c r="T229" s="1136"/>
      <c r="U229" s="1136"/>
      <c r="V229" s="1136"/>
      <c r="W229" s="1136"/>
      <c r="X229" s="1136"/>
      <c r="Y229" s="1136"/>
      <c r="Z229" s="1136"/>
      <c r="AA229" s="1136"/>
      <c r="AB229" s="1136"/>
      <c r="AC229" s="1136"/>
      <c r="AE229" s="1192"/>
      <c r="AF229" s="1152"/>
      <c r="AG229" s="408"/>
      <c r="AH229" s="409"/>
      <c r="AI229" s="1136"/>
      <c r="AJ229" s="1136"/>
      <c r="AK229" s="1136"/>
      <c r="AL229" s="1136"/>
      <c r="AM229" s="1136"/>
      <c r="AN229" s="1136"/>
      <c r="AO229" s="1136"/>
      <c r="AP229" s="1136"/>
      <c r="AQ229" s="1136"/>
      <c r="AR229" s="1136"/>
    </row>
    <row r="230" spans="1:44" ht="15" outlineLevel="1" thickBot="1">
      <c r="B230" s="540"/>
      <c r="C230" s="543"/>
      <c r="D230" s="543"/>
      <c r="E230" s="543"/>
      <c r="F230" s="543"/>
      <c r="G230" s="544"/>
      <c r="H230" s="544"/>
      <c r="I230" s="544"/>
      <c r="J230" s="544"/>
      <c r="K230" s="546"/>
      <c r="L230" s="547"/>
      <c r="M230" s="362"/>
      <c r="N230" s="362"/>
      <c r="P230" s="1193"/>
      <c r="Q230" s="410"/>
      <c r="R230" s="411"/>
      <c r="S230" s="412"/>
      <c r="T230" s="413"/>
      <c r="U230" s="414"/>
      <c r="V230" s="413"/>
      <c r="W230" s="414"/>
      <c r="X230" s="413"/>
      <c r="Y230" s="414"/>
      <c r="Z230" s="413"/>
      <c r="AA230" s="414"/>
      <c r="AB230" s="413"/>
      <c r="AC230" s="416"/>
      <c r="AE230" s="1193"/>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5" outlineLevel="1" thickBot="1">
      <c r="B238" s="428"/>
      <c r="C238" s="429"/>
      <c r="D238" s="429"/>
      <c r="E238" s="429"/>
      <c r="F238" s="429"/>
      <c r="G238" s="424"/>
      <c r="H238" s="424"/>
      <c r="I238" s="424"/>
      <c r="J238" s="424"/>
      <c r="K238" s="422"/>
      <c r="L238" s="426"/>
      <c r="M238" s="427"/>
      <c r="N238" s="427"/>
    </row>
    <row r="239" spans="1:44" ht="15"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39"/>
      <c r="Q244" s="1140"/>
      <c r="R244" s="1140"/>
      <c r="S244" s="1140"/>
      <c r="T244" s="1140"/>
      <c r="U244" s="1141"/>
    </row>
    <row r="245" spans="2:30" ht="15" outlineLevel="1" thickBot="1">
      <c r="B245" s="540"/>
      <c r="C245" s="551"/>
      <c r="D245" s="551"/>
      <c r="E245" s="551"/>
      <c r="F245" s="551"/>
      <c r="G245" s="424"/>
      <c r="H245" s="424"/>
      <c r="I245" s="424"/>
      <c r="J245" s="424"/>
      <c r="K245" s="443"/>
      <c r="L245" s="372"/>
      <c r="M245" s="449"/>
      <c r="N245" s="360"/>
      <c r="P245" s="1131"/>
      <c r="Q245" s="1132"/>
      <c r="R245" s="1132"/>
      <c r="S245" s="1132"/>
      <c r="T245" s="1132"/>
      <c r="U245" s="1133"/>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5"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5"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5"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5" thickBot="1">
      <c r="A283" s="359"/>
    </row>
    <row r="284" spans="1:44" ht="20.55" customHeight="1" thickBot="1">
      <c r="B284" s="361"/>
      <c r="C284" s="1183"/>
      <c r="D284" s="1184"/>
      <c r="E284" s="1184"/>
      <c r="F284" s="1184"/>
      <c r="G284" s="1184"/>
      <c r="H284" s="1184"/>
      <c r="I284" s="1184"/>
      <c r="J284" s="1184"/>
      <c r="K284" s="1184"/>
      <c r="L284" s="1185"/>
      <c r="M284" s="362"/>
      <c r="N284" s="362"/>
      <c r="P284" s="363"/>
      <c r="Q284" s="364"/>
      <c r="R284" s="365"/>
      <c r="S284" s="1173"/>
      <c r="T284" s="1157"/>
      <c r="U284" s="1158"/>
      <c r="V284" s="1157"/>
      <c r="W284" s="1158"/>
      <c r="X284" s="1157"/>
      <c r="Y284" s="1158"/>
      <c r="Z284" s="1157"/>
      <c r="AA284" s="1158"/>
      <c r="AB284" s="1157"/>
      <c r="AC284" s="1158"/>
      <c r="AE284" s="363"/>
      <c r="AF284" s="364"/>
      <c r="AG284" s="365"/>
      <c r="AH284" s="1173"/>
      <c r="AI284" s="1157"/>
      <c r="AJ284" s="1158"/>
      <c r="AK284" s="1157"/>
      <c r="AL284" s="1158"/>
      <c r="AM284" s="1157"/>
      <c r="AN284" s="1158"/>
      <c r="AO284" s="1157"/>
      <c r="AP284" s="1158"/>
      <c r="AQ284" s="1157"/>
      <c r="AR284" s="1158"/>
    </row>
    <row r="285" spans="1:44" ht="15" customHeight="1" thickBot="1">
      <c r="B285" s="1161"/>
      <c r="C285" s="1163"/>
      <c r="D285" s="1163"/>
      <c r="E285" s="1163"/>
      <c r="F285" s="1163"/>
      <c r="G285" s="1165"/>
      <c r="H285" s="1166"/>
      <c r="I285" s="1165"/>
      <c r="J285" s="1166"/>
      <c r="K285" s="1186"/>
      <c r="L285" s="1186"/>
      <c r="M285" s="366"/>
      <c r="N285" s="366"/>
      <c r="P285" s="1177"/>
      <c r="Q285" s="367"/>
      <c r="R285" s="367"/>
      <c r="S285" s="1174"/>
      <c r="T285" s="1159"/>
      <c r="U285" s="1160"/>
      <c r="V285" s="1159"/>
      <c r="W285" s="1160"/>
      <c r="X285" s="1159"/>
      <c r="Y285" s="1160"/>
      <c r="Z285" s="1159"/>
      <c r="AA285" s="1160"/>
      <c r="AB285" s="1159"/>
      <c r="AC285" s="1160"/>
      <c r="AE285" s="1177"/>
      <c r="AF285" s="367"/>
      <c r="AG285" s="367"/>
      <c r="AH285" s="1174"/>
      <c r="AI285" s="1159"/>
      <c r="AJ285" s="1160"/>
      <c r="AK285" s="1159"/>
      <c r="AL285" s="1160"/>
      <c r="AM285" s="1159"/>
      <c r="AN285" s="1160"/>
      <c r="AO285" s="1159"/>
      <c r="AP285" s="1160"/>
      <c r="AQ285" s="1159"/>
      <c r="AR285" s="1160"/>
    </row>
    <row r="286" spans="1:44" ht="15" customHeight="1" thickBot="1">
      <c r="B286" s="1162"/>
      <c r="C286" s="1164"/>
      <c r="D286" s="1164"/>
      <c r="E286" s="1164"/>
      <c r="F286" s="1164"/>
      <c r="G286" s="405"/>
      <c r="H286" s="405"/>
      <c r="I286" s="405"/>
      <c r="J286" s="405"/>
      <c r="K286" s="1187"/>
      <c r="L286" s="1187"/>
      <c r="M286" s="369"/>
      <c r="N286" s="369"/>
      <c r="P286" s="1178"/>
      <c r="Q286" s="1180"/>
      <c r="R286" s="1181"/>
      <c r="S286" s="1175"/>
      <c r="T286" s="1159"/>
      <c r="U286" s="1160"/>
      <c r="V286" s="1159"/>
      <c r="W286" s="1160"/>
      <c r="X286" s="1159"/>
      <c r="Y286" s="1160"/>
      <c r="Z286" s="1159"/>
      <c r="AA286" s="1160"/>
      <c r="AB286" s="1159"/>
      <c r="AC286" s="1160"/>
      <c r="AE286" s="1178"/>
      <c r="AF286" s="1180"/>
      <c r="AG286" s="1181"/>
      <c r="AH286" s="1175"/>
      <c r="AI286" s="1159"/>
      <c r="AJ286" s="1160"/>
      <c r="AK286" s="1159"/>
      <c r="AL286" s="1160"/>
      <c r="AM286" s="1159"/>
      <c r="AN286" s="1160"/>
      <c r="AO286" s="1159"/>
      <c r="AP286" s="1160"/>
      <c r="AQ286" s="1159"/>
      <c r="AR286" s="1160"/>
    </row>
    <row r="287" spans="1:44" ht="15" thickBot="1">
      <c r="B287" s="370"/>
      <c r="C287" s="371"/>
      <c r="D287" s="371"/>
      <c r="E287" s="371"/>
      <c r="F287" s="371"/>
      <c r="G287" s="371"/>
      <c r="H287" s="371"/>
      <c r="I287" s="371"/>
      <c r="J287" s="371"/>
      <c r="K287" s="371"/>
      <c r="L287" s="372"/>
      <c r="M287" s="369"/>
      <c r="N287" s="369"/>
      <c r="O287" s="74"/>
      <c r="P287" s="1179"/>
      <c r="Q287" s="1176"/>
      <c r="R287" s="1182"/>
      <c r="S287" s="1176"/>
      <c r="T287" s="373"/>
      <c r="U287" s="374"/>
      <c r="V287" s="373"/>
      <c r="W287" s="374"/>
      <c r="X287" s="373"/>
      <c r="Y287" s="374"/>
      <c r="Z287" s="373"/>
      <c r="AA287" s="374"/>
      <c r="AB287" s="373"/>
      <c r="AC287" s="374"/>
      <c r="AE287" s="1179"/>
      <c r="AF287" s="1176"/>
      <c r="AG287" s="1182"/>
      <c r="AH287" s="1176"/>
      <c r="AI287" s="373"/>
      <c r="AJ287" s="374"/>
      <c r="AK287" s="373"/>
      <c r="AL287" s="374"/>
      <c r="AM287" s="373"/>
      <c r="AN287" s="374"/>
      <c r="AO287" s="373"/>
      <c r="AP287" s="374"/>
      <c r="AQ287" s="373"/>
      <c r="AR287" s="374"/>
    </row>
    <row r="288" spans="1:44" ht="14.55" customHeight="1">
      <c r="B288" s="573"/>
      <c r="C288" s="574"/>
      <c r="D288" s="574"/>
      <c r="E288" s="574"/>
      <c r="F288" s="574"/>
      <c r="G288" s="575"/>
      <c r="H288" s="575"/>
      <c r="I288" s="575"/>
      <c r="J288" s="575"/>
      <c r="K288" s="371"/>
      <c r="L288" s="372"/>
      <c r="M288" s="369"/>
      <c r="N288" s="369"/>
      <c r="P288" s="1145"/>
      <c r="Q288" s="1151"/>
      <c r="R288" s="380"/>
      <c r="S288" s="381"/>
      <c r="T288" s="1134"/>
      <c r="U288" s="1148"/>
      <c r="V288" s="1134"/>
      <c r="W288" s="1148"/>
      <c r="X288" s="1134"/>
      <c r="Y288" s="1148"/>
      <c r="Z288" s="1134"/>
      <c r="AA288" s="1148"/>
      <c r="AB288" s="1154"/>
      <c r="AC288" s="1148"/>
      <c r="AE288" s="1145"/>
      <c r="AF288" s="1151"/>
      <c r="AG288" s="380"/>
      <c r="AH288" s="381"/>
      <c r="AI288" s="1134"/>
      <c r="AJ288" s="1148"/>
      <c r="AK288" s="1134"/>
      <c r="AL288" s="1148"/>
      <c r="AM288" s="1134"/>
      <c r="AN288" s="1148"/>
      <c r="AO288" s="1134"/>
      <c r="AP288" s="1148"/>
      <c r="AQ288" s="1154"/>
      <c r="AR288" s="1148"/>
    </row>
    <row r="289" spans="2:44">
      <c r="B289" s="382"/>
      <c r="C289" s="576"/>
      <c r="D289" s="576"/>
      <c r="E289" s="576"/>
      <c r="F289" s="576"/>
      <c r="G289" s="575"/>
      <c r="H289" s="575"/>
      <c r="I289" s="575"/>
      <c r="J289" s="575"/>
      <c r="K289" s="371"/>
      <c r="L289" s="372"/>
      <c r="M289" s="369"/>
      <c r="N289" s="369"/>
      <c r="O289" s="71"/>
      <c r="P289" s="1146"/>
      <c r="Q289" s="1152"/>
      <c r="R289" s="387"/>
      <c r="S289" s="388"/>
      <c r="T289" s="1137"/>
      <c r="U289" s="1149"/>
      <c r="V289" s="1137"/>
      <c r="W289" s="1149"/>
      <c r="X289" s="1137"/>
      <c r="Y289" s="1149"/>
      <c r="Z289" s="1137"/>
      <c r="AA289" s="1149"/>
      <c r="AB289" s="1155"/>
      <c r="AC289" s="1149"/>
      <c r="AE289" s="1146"/>
      <c r="AF289" s="1152"/>
      <c r="AG289" s="387"/>
      <c r="AH289" s="388"/>
      <c r="AI289" s="1137"/>
      <c r="AJ289" s="1149"/>
      <c r="AK289" s="1137"/>
      <c r="AL289" s="1149"/>
      <c r="AM289" s="1137"/>
      <c r="AN289" s="1149"/>
      <c r="AO289" s="1137"/>
      <c r="AP289" s="1149"/>
      <c r="AQ289" s="1155"/>
      <c r="AR289" s="1149"/>
    </row>
    <row r="290" spans="2:44" ht="15" thickBot="1">
      <c r="B290" s="573"/>
      <c r="C290" s="577"/>
      <c r="D290" s="577"/>
      <c r="E290" s="577"/>
      <c r="F290" s="577"/>
      <c r="G290" s="577"/>
      <c r="H290" s="577"/>
      <c r="I290" s="577"/>
      <c r="J290" s="577"/>
      <c r="K290" s="578"/>
      <c r="L290" s="579"/>
      <c r="M290" s="369"/>
      <c r="N290" s="369"/>
      <c r="O290" s="71"/>
      <c r="P290" s="1146"/>
      <c r="Q290" s="1153"/>
      <c r="R290" s="392"/>
      <c r="S290" s="393"/>
      <c r="T290" s="1138"/>
      <c r="U290" s="1150"/>
      <c r="V290" s="1138"/>
      <c r="W290" s="1150"/>
      <c r="X290" s="1138"/>
      <c r="Y290" s="1150"/>
      <c r="Z290" s="1138"/>
      <c r="AA290" s="1150"/>
      <c r="AB290" s="1156"/>
      <c r="AC290" s="1150"/>
      <c r="AE290" s="1146"/>
      <c r="AF290" s="1153"/>
      <c r="AG290" s="392"/>
      <c r="AH290" s="393"/>
      <c r="AI290" s="1138"/>
      <c r="AJ290" s="1150"/>
      <c r="AK290" s="1138"/>
      <c r="AL290" s="1150"/>
      <c r="AM290" s="1138"/>
      <c r="AN290" s="1150"/>
      <c r="AO290" s="1138"/>
      <c r="AP290" s="1150"/>
      <c r="AQ290" s="1156"/>
      <c r="AR290" s="1150"/>
    </row>
    <row r="291" spans="2:44" ht="14.55" customHeight="1">
      <c r="B291" s="573"/>
      <c r="C291" s="580"/>
      <c r="D291" s="580"/>
      <c r="E291" s="580"/>
      <c r="F291" s="580"/>
      <c r="G291" s="580"/>
      <c r="H291" s="580"/>
      <c r="I291" s="580"/>
      <c r="J291" s="580"/>
      <c r="K291" s="578"/>
      <c r="L291" s="579"/>
      <c r="M291" s="369"/>
      <c r="N291" s="369"/>
      <c r="O291" s="71"/>
      <c r="P291" s="1146"/>
      <c r="Q291" s="1142"/>
      <c r="R291" s="394"/>
      <c r="S291" s="395"/>
      <c r="T291" s="1134"/>
      <c r="U291" s="1134"/>
      <c r="V291" s="1134"/>
      <c r="W291" s="1134"/>
      <c r="X291" s="1134"/>
      <c r="Y291" s="1134"/>
      <c r="Z291" s="1134"/>
      <c r="AA291" s="1134"/>
      <c r="AB291" s="1134"/>
      <c r="AC291" s="1134"/>
      <c r="AE291" s="1146"/>
      <c r="AF291" s="1142"/>
      <c r="AG291" s="394"/>
      <c r="AH291" s="395"/>
      <c r="AI291" s="1134"/>
      <c r="AJ291" s="1134"/>
      <c r="AK291" s="1134"/>
      <c r="AL291" s="1134"/>
      <c r="AM291" s="1134"/>
      <c r="AN291" s="1134"/>
      <c r="AO291" s="1134"/>
      <c r="AP291" s="1134"/>
      <c r="AQ291" s="1134"/>
      <c r="AR291" s="1134"/>
    </row>
    <row r="292" spans="2:44">
      <c r="B292" s="573"/>
      <c r="C292" s="581"/>
      <c r="D292" s="581"/>
      <c r="E292" s="581"/>
      <c r="F292" s="581"/>
      <c r="G292" s="581"/>
      <c r="H292" s="581"/>
      <c r="I292" s="581"/>
      <c r="J292" s="581"/>
      <c r="K292" s="578"/>
      <c r="L292" s="579"/>
      <c r="M292" s="366"/>
      <c r="N292" s="366"/>
      <c r="O292" s="71"/>
      <c r="P292" s="1146"/>
      <c r="Q292" s="1143"/>
      <c r="R292" s="394"/>
      <c r="S292" s="395"/>
      <c r="T292" s="1135"/>
      <c r="U292" s="1135"/>
      <c r="V292" s="1135"/>
      <c r="W292" s="1135"/>
      <c r="X292" s="1135"/>
      <c r="Y292" s="1135"/>
      <c r="Z292" s="1135"/>
      <c r="AA292" s="1135"/>
      <c r="AB292" s="1137"/>
      <c r="AC292" s="1135"/>
      <c r="AE292" s="1146"/>
      <c r="AF292" s="1143"/>
      <c r="AG292" s="394"/>
      <c r="AH292" s="395"/>
      <c r="AI292" s="1135"/>
      <c r="AJ292" s="1135"/>
      <c r="AK292" s="1135"/>
      <c r="AL292" s="1135"/>
      <c r="AM292" s="1135"/>
      <c r="AN292" s="1135"/>
      <c r="AO292" s="1135"/>
      <c r="AP292" s="1135"/>
      <c r="AQ292" s="1137"/>
      <c r="AR292" s="1135"/>
    </row>
    <row r="293" spans="2:44">
      <c r="B293" s="382"/>
      <c r="C293" s="396"/>
      <c r="D293" s="396"/>
      <c r="E293" s="396"/>
      <c r="F293" s="396"/>
      <c r="G293" s="397"/>
      <c r="H293" s="397"/>
      <c r="I293" s="397"/>
      <c r="J293" s="397"/>
      <c r="K293" s="371"/>
      <c r="L293" s="372"/>
      <c r="M293" s="362"/>
      <c r="N293" s="362"/>
      <c r="P293" s="1146"/>
      <c r="Q293" s="1143"/>
      <c r="R293" s="394"/>
      <c r="S293" s="395"/>
      <c r="T293" s="1135"/>
      <c r="U293" s="1135"/>
      <c r="V293" s="1135"/>
      <c r="W293" s="1135"/>
      <c r="X293" s="1135"/>
      <c r="Y293" s="1135"/>
      <c r="Z293" s="1135"/>
      <c r="AA293" s="1135"/>
      <c r="AB293" s="1137"/>
      <c r="AC293" s="1135"/>
      <c r="AE293" s="1146"/>
      <c r="AF293" s="1143"/>
      <c r="AG293" s="394"/>
      <c r="AH293" s="395"/>
      <c r="AI293" s="1135"/>
      <c r="AJ293" s="1135"/>
      <c r="AK293" s="1135"/>
      <c r="AL293" s="1135"/>
      <c r="AM293" s="1135"/>
      <c r="AN293" s="1135"/>
      <c r="AO293" s="1135"/>
      <c r="AP293" s="1135"/>
      <c r="AQ293" s="1137"/>
      <c r="AR293" s="1135"/>
    </row>
    <row r="294" spans="2:44" ht="15" thickBot="1">
      <c r="B294" s="573"/>
      <c r="C294" s="581"/>
      <c r="D294" s="581"/>
      <c r="E294" s="581"/>
      <c r="F294" s="581"/>
      <c r="G294" s="581"/>
      <c r="H294" s="581"/>
      <c r="I294" s="581"/>
      <c r="J294" s="581"/>
      <c r="K294" s="371"/>
      <c r="L294" s="372"/>
      <c r="M294" s="362"/>
      <c r="N294" s="362"/>
      <c r="P294" s="1146"/>
      <c r="Q294" s="1143"/>
      <c r="R294" s="394"/>
      <c r="S294" s="395"/>
      <c r="T294" s="1135"/>
      <c r="U294" s="1135"/>
      <c r="V294" s="1135"/>
      <c r="W294" s="1135"/>
      <c r="X294" s="1135"/>
      <c r="Y294" s="1135"/>
      <c r="Z294" s="1135"/>
      <c r="AA294" s="1135"/>
      <c r="AB294" s="1137"/>
      <c r="AC294" s="1135"/>
      <c r="AE294" s="1146"/>
      <c r="AF294" s="1143"/>
      <c r="AG294" s="394"/>
      <c r="AH294" s="395"/>
      <c r="AI294" s="1135"/>
      <c r="AJ294" s="1135"/>
      <c r="AK294" s="1135"/>
      <c r="AL294" s="1135"/>
      <c r="AM294" s="1135"/>
      <c r="AN294" s="1135"/>
      <c r="AO294" s="1135"/>
      <c r="AP294" s="1135"/>
      <c r="AQ294" s="1137"/>
      <c r="AR294" s="1135"/>
    </row>
    <row r="295" spans="2:44" ht="15" thickBot="1">
      <c r="B295" s="400"/>
      <c r="C295" s="582"/>
      <c r="D295" s="583"/>
      <c r="E295" s="584"/>
      <c r="F295" s="585"/>
      <c r="G295" s="405"/>
      <c r="H295" s="405"/>
      <c r="I295" s="405"/>
      <c r="J295" s="405"/>
      <c r="K295" s="406"/>
      <c r="L295" s="586"/>
      <c r="M295" s="362"/>
      <c r="N295" s="362"/>
      <c r="P295" s="1146"/>
      <c r="Q295" s="1144"/>
      <c r="R295" s="408"/>
      <c r="S295" s="409"/>
      <c r="T295" s="1136"/>
      <c r="U295" s="1136"/>
      <c r="V295" s="1136"/>
      <c r="W295" s="1136"/>
      <c r="X295" s="1136"/>
      <c r="Y295" s="1136"/>
      <c r="Z295" s="1136"/>
      <c r="AA295" s="1136"/>
      <c r="AB295" s="1138"/>
      <c r="AC295" s="1136"/>
      <c r="AE295" s="1146"/>
      <c r="AF295" s="1144"/>
      <c r="AG295" s="408"/>
      <c r="AH295" s="409"/>
      <c r="AI295" s="1136"/>
      <c r="AJ295" s="1136"/>
      <c r="AK295" s="1136"/>
      <c r="AL295" s="1136"/>
      <c r="AM295" s="1136"/>
      <c r="AN295" s="1136"/>
      <c r="AO295" s="1136"/>
      <c r="AP295" s="1136"/>
      <c r="AQ295" s="1138"/>
      <c r="AR295" s="1136"/>
    </row>
    <row r="296" spans="2:44" ht="15" thickBot="1">
      <c r="B296" s="573"/>
      <c r="C296" s="587"/>
      <c r="D296" s="587"/>
      <c r="E296" s="587"/>
      <c r="F296" s="587"/>
      <c r="G296" s="588"/>
      <c r="H296" s="588"/>
      <c r="I296" s="589"/>
      <c r="J296" s="589"/>
      <c r="K296" s="578"/>
      <c r="L296" s="579"/>
      <c r="M296" s="362"/>
      <c r="N296" s="362"/>
      <c r="P296" s="1147"/>
      <c r="Q296" s="410"/>
      <c r="R296" s="411"/>
      <c r="S296" s="412"/>
      <c r="T296" s="590"/>
      <c r="U296" s="591"/>
      <c r="V296" s="592"/>
      <c r="W296" s="591"/>
      <c r="X296" s="592"/>
      <c r="Y296" s="591"/>
      <c r="Z296" s="592"/>
      <c r="AA296" s="591"/>
      <c r="AB296" s="592"/>
      <c r="AC296" s="593"/>
      <c r="AE296" s="1147"/>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5" thickBot="1">
      <c r="B304" s="428"/>
      <c r="C304" s="396"/>
      <c r="D304" s="396"/>
      <c r="E304" s="396"/>
      <c r="F304" s="396"/>
      <c r="G304" s="424"/>
      <c r="H304" s="424"/>
      <c r="I304" s="424"/>
      <c r="J304" s="424"/>
      <c r="K304" s="422"/>
      <c r="L304" s="426"/>
      <c r="M304" s="427"/>
      <c r="N304" s="427"/>
    </row>
    <row r="305" spans="1:30" ht="15"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39"/>
      <c r="Q310" s="1140"/>
      <c r="R310" s="1140"/>
      <c r="S310" s="1140"/>
      <c r="T310" s="1140"/>
      <c r="U310" s="1141"/>
    </row>
    <row r="311" spans="1:30" ht="15" thickBot="1">
      <c r="B311" s="540"/>
      <c r="C311" s="551"/>
      <c r="D311" s="551"/>
      <c r="E311" s="551"/>
      <c r="F311" s="551"/>
      <c r="G311" s="552"/>
      <c r="H311" s="552"/>
      <c r="I311" s="552"/>
      <c r="J311" s="552"/>
      <c r="K311" s="546"/>
      <c r="L311" s="547"/>
      <c r="M311" s="449"/>
      <c r="N311" s="360"/>
      <c r="P311" s="1131"/>
      <c r="Q311" s="1132"/>
      <c r="R311" s="1132"/>
      <c r="S311" s="1132"/>
      <c r="T311" s="1132"/>
      <c r="U311" s="1133"/>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5"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5"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5"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75FB9-0252-4A71-8065-78144AA0A5A9}">
  <sheetPr>
    <tabColor theme="3"/>
  </sheetPr>
  <dimension ref="A2:AR345"/>
  <sheetViews>
    <sheetView topLeftCell="M10" zoomScale="85" zoomScaleNormal="85" workbookViewId="0">
      <selection activeCell="AE29" sqref="AE29"/>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Hotdisc</v>
      </c>
    </row>
    <row r="4" spans="1:44" ht="25.05" customHeight="1">
      <c r="E4" s="224" t="s">
        <v>358</v>
      </c>
      <c r="F4" s="358">
        <v>7.45</v>
      </c>
      <c r="G4" s="358" t="s">
        <v>328</v>
      </c>
    </row>
    <row r="5" spans="1:44" ht="15" customHeight="1">
      <c r="A5" s="359" t="s">
        <v>933</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883</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50</v>
      </c>
      <c r="D10" s="371">
        <v>50</v>
      </c>
      <c r="E10" s="371">
        <v>50</v>
      </c>
      <c r="F10" s="371">
        <v>50</v>
      </c>
      <c r="G10" s="371">
        <v>10</v>
      </c>
      <c r="H10" s="371">
        <v>100</v>
      </c>
      <c r="I10" s="371">
        <v>10</v>
      </c>
      <c r="J10" s="371">
        <v>100</v>
      </c>
      <c r="K10" s="371" t="s">
        <v>6</v>
      </c>
      <c r="L10" s="372">
        <v>1</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90</v>
      </c>
      <c r="D11" s="376">
        <v>91</v>
      </c>
      <c r="E11" s="377">
        <v>92</v>
      </c>
      <c r="F11" s="376">
        <v>93</v>
      </c>
      <c r="G11" s="376">
        <v>90</v>
      </c>
      <c r="H11" s="638">
        <v>98</v>
      </c>
      <c r="I11" s="376">
        <v>90</v>
      </c>
      <c r="J11" s="638">
        <v>98</v>
      </c>
      <c r="K11" s="378"/>
      <c r="L11" s="379">
        <v>1</v>
      </c>
      <c r="M11" s="369"/>
      <c r="N11" s="369"/>
      <c r="P11" s="1196" t="str">
        <f>C7</f>
        <v>Hotdisc</v>
      </c>
      <c r="Q11" s="1151" t="s">
        <v>693</v>
      </c>
      <c r="R11" s="380" t="s">
        <v>694</v>
      </c>
      <c r="S11" s="381" t="s">
        <v>701</v>
      </c>
      <c r="T11" s="1134">
        <v>0</v>
      </c>
      <c r="U11" s="1148">
        <v>0</v>
      </c>
      <c r="V11" s="1154">
        <v>0</v>
      </c>
      <c r="W11" s="1148">
        <v>0</v>
      </c>
      <c r="X11" s="1154">
        <v>0.15</v>
      </c>
      <c r="Y11" s="1148">
        <v>0</v>
      </c>
      <c r="Z11" s="1154">
        <v>0</v>
      </c>
      <c r="AA11" s="1148">
        <v>0</v>
      </c>
      <c r="AB11" s="1154">
        <v>0</v>
      </c>
      <c r="AC11" s="1148">
        <v>0</v>
      </c>
      <c r="AE11" s="1145" t="str">
        <f>P11</f>
        <v>Hotdisc</v>
      </c>
      <c r="AF11" s="1151" t="s">
        <v>693</v>
      </c>
      <c r="AG11" s="380" t="s">
        <v>694</v>
      </c>
      <c r="AH11" s="381" t="s">
        <v>701</v>
      </c>
      <c r="AI11" s="1134">
        <v>0</v>
      </c>
      <c r="AJ11" s="1148">
        <v>0</v>
      </c>
      <c r="AK11" s="1154">
        <v>0</v>
      </c>
      <c r="AL11" s="1148">
        <v>0</v>
      </c>
      <c r="AM11" s="1154">
        <v>0</v>
      </c>
      <c r="AN11" s="1148">
        <v>0</v>
      </c>
      <c r="AO11" s="1154">
        <v>0</v>
      </c>
      <c r="AP11" s="1148">
        <v>0</v>
      </c>
      <c r="AQ11" s="1154">
        <v>0</v>
      </c>
      <c r="AR11" s="1148">
        <v>0</v>
      </c>
    </row>
    <row r="12" spans="1:44" ht="32.549999999999997" customHeight="1" outlineLevel="1">
      <c r="B12" s="382" t="s">
        <v>695</v>
      </c>
      <c r="C12" s="576">
        <v>90</v>
      </c>
      <c r="D12" s="576">
        <v>91</v>
      </c>
      <c r="E12" s="576">
        <v>92</v>
      </c>
      <c r="F12" s="576">
        <v>93</v>
      </c>
      <c r="G12" s="640">
        <v>90</v>
      </c>
      <c r="H12" s="640">
        <v>98</v>
      </c>
      <c r="I12" s="640">
        <v>90</v>
      </c>
      <c r="J12" s="640">
        <v>98</v>
      </c>
      <c r="K12" s="385"/>
      <c r="L12" s="386">
        <v>1</v>
      </c>
      <c r="M12" s="369"/>
      <c r="N12" s="369"/>
      <c r="O12" s="71"/>
      <c r="P12" s="1192"/>
      <c r="Q12" s="1152"/>
      <c r="R12" s="387" t="s">
        <v>696</v>
      </c>
      <c r="S12" s="388"/>
      <c r="T12" s="1137"/>
      <c r="U12" s="1149"/>
      <c r="V12" s="1155"/>
      <c r="W12" s="1149"/>
      <c r="X12" s="1155"/>
      <c r="Y12" s="1149"/>
      <c r="Z12" s="1155"/>
      <c r="AA12" s="1149"/>
      <c r="AB12" s="1155"/>
      <c r="AC12" s="1149"/>
      <c r="AE12" s="1192"/>
      <c r="AF12" s="1152"/>
      <c r="AG12" s="387" t="s">
        <v>696</v>
      </c>
      <c r="AH12" s="388"/>
      <c r="AI12" s="1137"/>
      <c r="AJ12" s="1149"/>
      <c r="AK12" s="1155"/>
      <c r="AL12" s="1149"/>
      <c r="AM12" s="1155"/>
      <c r="AN12" s="1149"/>
      <c r="AO12" s="1155"/>
      <c r="AP12" s="1149"/>
      <c r="AQ12" s="1155"/>
      <c r="AR12" s="1149"/>
    </row>
    <row r="13" spans="1:44" ht="15" outlineLevel="1" thickBot="1">
      <c r="B13" s="375" t="s">
        <v>697</v>
      </c>
      <c r="C13" s="389">
        <v>1</v>
      </c>
      <c r="D13" s="390">
        <v>1</v>
      </c>
      <c r="E13" s="390">
        <v>1</v>
      </c>
      <c r="F13" s="391">
        <v>1</v>
      </c>
      <c r="G13" s="390">
        <v>1</v>
      </c>
      <c r="H13" s="390">
        <v>1</v>
      </c>
      <c r="I13" s="390">
        <v>1</v>
      </c>
      <c r="J13" s="390">
        <v>1</v>
      </c>
      <c r="K13" s="378"/>
      <c r="L13" s="379">
        <v>1</v>
      </c>
      <c r="M13" s="369"/>
      <c r="N13" s="369"/>
      <c r="O13" s="71"/>
      <c r="P13" s="1192"/>
      <c r="Q13" s="1153"/>
      <c r="R13" s="392" t="s">
        <v>698</v>
      </c>
      <c r="S13" s="393"/>
      <c r="T13" s="1138"/>
      <c r="U13" s="1150"/>
      <c r="V13" s="1156"/>
      <c r="W13" s="1150"/>
      <c r="X13" s="1156"/>
      <c r="Y13" s="1150"/>
      <c r="Z13" s="1156"/>
      <c r="AA13" s="1150"/>
      <c r="AB13" s="1156"/>
      <c r="AC13" s="1150"/>
      <c r="AE13" s="1192"/>
      <c r="AF13" s="1153"/>
      <c r="AG13" s="392" t="s">
        <v>698</v>
      </c>
      <c r="AH13" s="393"/>
      <c r="AI13" s="1138"/>
      <c r="AJ13" s="1150"/>
      <c r="AK13" s="1156"/>
      <c r="AL13" s="1150"/>
      <c r="AM13" s="1156"/>
      <c r="AN13" s="1150"/>
      <c r="AO13" s="1156"/>
      <c r="AP13" s="1150"/>
      <c r="AQ13" s="1156"/>
      <c r="AR13" s="1150"/>
    </row>
    <row r="14" spans="1:44" ht="15" customHeight="1" outlineLevel="1">
      <c r="B14" s="375" t="s">
        <v>637</v>
      </c>
      <c r="C14" s="389">
        <v>0</v>
      </c>
      <c r="D14" s="389">
        <v>0</v>
      </c>
      <c r="E14" s="389">
        <v>0</v>
      </c>
      <c r="F14" s="389">
        <v>0</v>
      </c>
      <c r="G14" s="389">
        <v>0</v>
      </c>
      <c r="H14" s="389">
        <v>1</v>
      </c>
      <c r="I14" s="389">
        <v>0</v>
      </c>
      <c r="J14" s="389">
        <v>1</v>
      </c>
      <c r="K14" s="378"/>
      <c r="L14" s="379">
        <v>1</v>
      </c>
      <c r="M14" s="369"/>
      <c r="N14" s="369"/>
      <c r="O14" s="71"/>
      <c r="P14" s="1192"/>
      <c r="Q14" s="1151" t="s">
        <v>699</v>
      </c>
      <c r="R14" s="394" t="s">
        <v>700</v>
      </c>
      <c r="S14" s="395"/>
      <c r="T14" s="1134">
        <v>0</v>
      </c>
      <c r="U14" s="1134">
        <v>0</v>
      </c>
      <c r="V14" s="1134">
        <v>0</v>
      </c>
      <c r="W14" s="1134">
        <v>0</v>
      </c>
      <c r="X14" s="1134">
        <v>0</v>
      </c>
      <c r="Y14" s="1134">
        <v>0</v>
      </c>
      <c r="Z14" s="1134">
        <v>0</v>
      </c>
      <c r="AA14" s="1134">
        <v>0</v>
      </c>
      <c r="AB14" s="1134">
        <v>0</v>
      </c>
      <c r="AC14" s="1148">
        <v>0</v>
      </c>
      <c r="AE14" s="1192"/>
      <c r="AF14" s="1151" t="s">
        <v>699</v>
      </c>
      <c r="AG14" s="394" t="s">
        <v>700</v>
      </c>
      <c r="AH14" s="395"/>
      <c r="AI14" s="1134">
        <v>0</v>
      </c>
      <c r="AJ14" s="1134">
        <f>U14/4</f>
        <v>0</v>
      </c>
      <c r="AK14" s="1134">
        <v>0</v>
      </c>
      <c r="AL14" s="1134">
        <f>W14/4</f>
        <v>0</v>
      </c>
      <c r="AM14" s="1134">
        <v>0</v>
      </c>
      <c r="AN14" s="1134">
        <f>Y14/4</f>
        <v>0</v>
      </c>
      <c r="AO14" s="1134">
        <v>0</v>
      </c>
      <c r="AP14" s="1134">
        <f>AA14/4</f>
        <v>0</v>
      </c>
      <c r="AQ14" s="1134">
        <v>0</v>
      </c>
      <c r="AR14" s="1148">
        <f>AC14/4</f>
        <v>0</v>
      </c>
    </row>
    <row r="15" spans="1:44" outlineLevel="1">
      <c r="B15" s="375" t="s">
        <v>638</v>
      </c>
      <c r="C15" s="389">
        <v>4</v>
      </c>
      <c r="D15" s="389">
        <v>4</v>
      </c>
      <c r="E15" s="389">
        <v>4</v>
      </c>
      <c r="F15" s="389">
        <v>4</v>
      </c>
      <c r="G15" s="389">
        <v>4</v>
      </c>
      <c r="H15" s="389">
        <v>4</v>
      </c>
      <c r="I15" s="389">
        <v>4</v>
      </c>
      <c r="J15" s="389">
        <v>4</v>
      </c>
      <c r="K15" s="378"/>
      <c r="L15" s="379">
        <v>1</v>
      </c>
      <c r="M15" s="366"/>
      <c r="N15" s="366"/>
      <c r="O15" s="71"/>
      <c r="P15" s="1192"/>
      <c r="Q15" s="1152"/>
      <c r="R15" s="394" t="s">
        <v>702</v>
      </c>
      <c r="S15" s="395"/>
      <c r="T15" s="1188"/>
      <c r="U15" s="1188"/>
      <c r="V15" s="1188"/>
      <c r="W15" s="1188"/>
      <c r="X15" s="1188"/>
      <c r="Y15" s="1188"/>
      <c r="Z15" s="1188"/>
      <c r="AA15" s="1188"/>
      <c r="AB15" s="1188"/>
      <c r="AC15" s="1190"/>
      <c r="AE15" s="1192"/>
      <c r="AF15" s="1152"/>
      <c r="AG15" s="394" t="s">
        <v>702</v>
      </c>
      <c r="AH15" s="395"/>
      <c r="AI15" s="1188"/>
      <c r="AJ15" s="1188"/>
      <c r="AK15" s="1188"/>
      <c r="AL15" s="1188"/>
      <c r="AM15" s="1188"/>
      <c r="AN15" s="1188"/>
      <c r="AO15" s="1188"/>
      <c r="AP15" s="1188"/>
      <c r="AQ15" s="1188"/>
      <c r="AR15" s="1190"/>
    </row>
    <row r="16" spans="1:44" outlineLevel="1">
      <c r="B16" s="382" t="s">
        <v>11</v>
      </c>
      <c r="C16" s="396">
        <v>20</v>
      </c>
      <c r="D16" s="396">
        <v>20</v>
      </c>
      <c r="E16" s="396">
        <v>20</v>
      </c>
      <c r="F16" s="396">
        <v>20</v>
      </c>
      <c r="G16" s="397">
        <v>20</v>
      </c>
      <c r="H16" s="397">
        <v>30</v>
      </c>
      <c r="I16" s="397">
        <v>20</v>
      </c>
      <c r="J16" s="397">
        <v>30</v>
      </c>
      <c r="K16" s="371"/>
      <c r="L16" s="372">
        <v>1</v>
      </c>
      <c r="M16" s="362"/>
      <c r="N16" s="362"/>
      <c r="P16" s="1192"/>
      <c r="Q16" s="1152"/>
      <c r="R16" s="394" t="s">
        <v>704</v>
      </c>
      <c r="S16" s="395"/>
      <c r="T16" s="1188"/>
      <c r="U16" s="1188"/>
      <c r="V16" s="1188"/>
      <c r="W16" s="1188"/>
      <c r="X16" s="1188"/>
      <c r="Y16" s="1188"/>
      <c r="Z16" s="1188"/>
      <c r="AA16" s="1188"/>
      <c r="AB16" s="1188"/>
      <c r="AC16" s="1190"/>
      <c r="AE16" s="1192"/>
      <c r="AF16" s="1152"/>
      <c r="AG16" s="394" t="s">
        <v>704</v>
      </c>
      <c r="AH16" s="628"/>
      <c r="AI16" s="1188"/>
      <c r="AJ16" s="1188"/>
      <c r="AK16" s="1188"/>
      <c r="AL16" s="1188"/>
      <c r="AM16" s="1188"/>
      <c r="AN16" s="1188"/>
      <c r="AO16" s="1188"/>
      <c r="AP16" s="1188"/>
      <c r="AQ16" s="1188"/>
      <c r="AR16" s="1190"/>
    </row>
    <row r="17" spans="1:44" ht="15" outlineLevel="1" thickBot="1">
      <c r="B17" s="375" t="s">
        <v>273</v>
      </c>
      <c r="C17" s="398">
        <v>0.75</v>
      </c>
      <c r="D17" s="398">
        <v>0.75</v>
      </c>
      <c r="E17" s="398">
        <v>0.75</v>
      </c>
      <c r="F17" s="398">
        <v>0.75</v>
      </c>
      <c r="G17" s="398">
        <v>0.75</v>
      </c>
      <c r="H17" s="398">
        <v>1</v>
      </c>
      <c r="I17" s="398">
        <v>0.75</v>
      </c>
      <c r="J17" s="398">
        <v>1</v>
      </c>
      <c r="K17" s="371"/>
      <c r="L17" s="399">
        <v>1</v>
      </c>
      <c r="M17" s="362"/>
      <c r="N17" s="362"/>
      <c r="P17" s="1192"/>
      <c r="Q17" s="1152"/>
      <c r="R17" s="394" t="s">
        <v>705</v>
      </c>
      <c r="S17" s="395"/>
      <c r="T17" s="1188"/>
      <c r="U17" s="1188"/>
      <c r="V17" s="1188"/>
      <c r="W17" s="1188"/>
      <c r="X17" s="1188"/>
      <c r="Y17" s="1188"/>
      <c r="Z17" s="1188"/>
      <c r="AA17" s="1188"/>
      <c r="AB17" s="1188"/>
      <c r="AC17" s="1190"/>
      <c r="AE17" s="1192"/>
      <c r="AF17" s="1152"/>
      <c r="AG17" s="394" t="s">
        <v>705</v>
      </c>
      <c r="AH17" s="395"/>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c r="T18" s="1189"/>
      <c r="U18" s="1189"/>
      <c r="V18" s="1189"/>
      <c r="W18" s="1189"/>
      <c r="X18" s="1189"/>
      <c r="Y18" s="1189"/>
      <c r="Z18" s="1189"/>
      <c r="AA18" s="1189"/>
      <c r="AB18" s="1189"/>
      <c r="AC18" s="1191"/>
      <c r="AE18" s="1192"/>
      <c r="AF18" s="1153"/>
      <c r="AG18" s="408" t="s">
        <v>826</v>
      </c>
      <c r="AH18" s="409"/>
      <c r="AI18" s="1189"/>
      <c r="AJ18" s="1189"/>
      <c r="AK18" s="1189"/>
      <c r="AL18" s="1189"/>
      <c r="AM18" s="1189"/>
      <c r="AN18" s="1189"/>
      <c r="AO18" s="1189"/>
      <c r="AP18" s="1189"/>
      <c r="AQ18" s="1189"/>
      <c r="AR18" s="1191"/>
    </row>
    <row r="19" spans="1:44" ht="29.4" outlineLevel="1" thickBot="1">
      <c r="B19" s="375" t="s">
        <v>643</v>
      </c>
      <c r="C19" s="389">
        <v>10</v>
      </c>
      <c r="D19" s="389">
        <v>10</v>
      </c>
      <c r="E19" s="389">
        <v>10</v>
      </c>
      <c r="F19" s="389">
        <v>10</v>
      </c>
      <c r="G19" s="390"/>
      <c r="H19" s="390"/>
      <c r="I19" s="390"/>
      <c r="J19" s="390"/>
      <c r="K19" s="378"/>
      <c r="L19" s="379">
        <v>1</v>
      </c>
      <c r="M19" s="362"/>
      <c r="N19" s="362"/>
      <c r="P19" s="1193"/>
      <c r="Q19" s="410" t="s">
        <v>708</v>
      </c>
      <c r="R19" s="411" t="s">
        <v>709</v>
      </c>
      <c r="S19" s="629"/>
      <c r="T19" s="415">
        <v>0</v>
      </c>
      <c r="U19" s="414">
        <v>0</v>
      </c>
      <c r="V19" s="415">
        <v>0</v>
      </c>
      <c r="W19" s="414">
        <v>0</v>
      </c>
      <c r="X19" s="415">
        <v>0</v>
      </c>
      <c r="Y19" s="414">
        <v>0</v>
      </c>
      <c r="Z19" s="415">
        <v>0</v>
      </c>
      <c r="AA19" s="414">
        <v>0</v>
      </c>
      <c r="AB19" s="415">
        <v>0</v>
      </c>
      <c r="AC19" s="416">
        <v>0</v>
      </c>
      <c r="AE19" s="1193"/>
      <c r="AF19" s="410" t="s">
        <v>708</v>
      </c>
      <c r="AG19" s="630" t="s">
        <v>709</v>
      </c>
      <c r="AH19" s="631"/>
      <c r="AI19" s="415">
        <v>0</v>
      </c>
      <c r="AJ19" s="414">
        <v>0</v>
      </c>
      <c r="AK19" s="415">
        <v>0</v>
      </c>
      <c r="AL19" s="414">
        <v>0</v>
      </c>
      <c r="AM19" s="415">
        <v>0</v>
      </c>
      <c r="AN19" s="414">
        <v>0</v>
      </c>
      <c r="AO19" s="415">
        <v>0</v>
      </c>
      <c r="AP19" s="414">
        <v>0</v>
      </c>
      <c r="AQ19" s="415">
        <v>0</v>
      </c>
      <c r="AR19" s="416">
        <v>0</v>
      </c>
    </row>
    <row r="20" spans="1:44" outlineLevel="1">
      <c r="B20" s="375" t="s">
        <v>644</v>
      </c>
      <c r="C20" s="389">
        <v>0</v>
      </c>
      <c r="D20" s="389">
        <v>0</v>
      </c>
      <c r="E20" s="389">
        <v>0</v>
      </c>
      <c r="F20" s="389">
        <v>0</v>
      </c>
      <c r="G20" s="417"/>
      <c r="H20" s="417"/>
      <c r="I20" s="417"/>
      <c r="J20" s="417"/>
      <c r="K20" s="418"/>
      <c r="L20" s="379">
        <v>1</v>
      </c>
      <c r="M20" s="362"/>
      <c r="N20" s="362"/>
    </row>
    <row r="21" spans="1:44" outlineLevel="1">
      <c r="B21" s="375" t="s">
        <v>646</v>
      </c>
      <c r="C21" s="389">
        <v>54</v>
      </c>
      <c r="D21" s="389">
        <v>54</v>
      </c>
      <c r="E21" s="389">
        <v>54</v>
      </c>
      <c r="F21" s="389">
        <v>54</v>
      </c>
      <c r="G21" s="417"/>
      <c r="H21" s="417"/>
      <c r="I21" s="417"/>
      <c r="J21" s="417"/>
      <c r="K21" s="418" t="s">
        <v>59</v>
      </c>
      <c r="L21" s="379">
        <v>1</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v>8.3000000000000007</v>
      </c>
      <c r="D23" s="1229">
        <v>8.3000000000000007</v>
      </c>
      <c r="E23" s="1229">
        <v>8.3000000000000007</v>
      </c>
      <c r="F23" s="1230">
        <v>8.3000000000000007</v>
      </c>
      <c r="G23" s="421"/>
      <c r="H23" s="424"/>
      <c r="I23" s="424"/>
      <c r="J23" s="424"/>
      <c r="K23" s="425" t="s">
        <v>16</v>
      </c>
      <c r="L23" s="426">
        <v>2</v>
      </c>
      <c r="M23" s="427"/>
      <c r="N23" s="427"/>
    </row>
    <row r="24" spans="1:44" outlineLevel="1">
      <c r="B24" s="382" t="s">
        <v>712</v>
      </c>
      <c r="C24" s="1231">
        <v>0.28999999999999998</v>
      </c>
      <c r="D24" s="1232">
        <v>0.28999999999999998</v>
      </c>
      <c r="E24" s="1232">
        <v>0.28999999999999998</v>
      </c>
      <c r="F24" s="1233">
        <v>0.28999999999999998</v>
      </c>
      <c r="G24" s="424"/>
      <c r="H24" s="424"/>
      <c r="I24" s="424"/>
      <c r="J24" s="424"/>
      <c r="K24" s="422" t="s">
        <v>16</v>
      </c>
      <c r="L24" s="426">
        <v>2</v>
      </c>
      <c r="M24" s="427"/>
      <c r="N24" s="427"/>
    </row>
    <row r="25" spans="1:44" outlineLevel="1">
      <c r="B25" s="382" t="s">
        <v>807</v>
      </c>
      <c r="C25" s="1231">
        <v>56</v>
      </c>
      <c r="D25" s="1232">
        <v>45</v>
      </c>
      <c r="E25" s="1232">
        <v>28</v>
      </c>
      <c r="F25" s="1233">
        <v>11</v>
      </c>
      <c r="G25" s="424"/>
      <c r="H25" s="424"/>
      <c r="I25" s="424"/>
      <c r="J25" s="424"/>
      <c r="K25" s="422" t="s">
        <v>16</v>
      </c>
      <c r="L25" s="426">
        <v>3</v>
      </c>
      <c r="M25" s="427"/>
      <c r="N25" s="427"/>
    </row>
    <row r="26" spans="1:44" outlineLevel="1">
      <c r="B26" s="382" t="s">
        <v>366</v>
      </c>
      <c r="C26" s="1231">
        <v>0.1</v>
      </c>
      <c r="D26" s="1232">
        <v>0.1</v>
      </c>
      <c r="E26" s="1232">
        <v>0.1</v>
      </c>
      <c r="F26" s="1233">
        <v>0.1</v>
      </c>
      <c r="G26" s="424"/>
      <c r="H26" s="424"/>
      <c r="I26" s="424"/>
      <c r="J26" s="424"/>
      <c r="K26" s="422" t="s">
        <v>16</v>
      </c>
      <c r="L26" s="426">
        <v>3</v>
      </c>
      <c r="M26" s="427"/>
      <c r="N26" s="427"/>
    </row>
    <row r="27" spans="1:44" ht="15" outlineLevel="1" thickBot="1">
      <c r="B27" s="428" t="s">
        <v>367</v>
      </c>
      <c r="C27" s="1234">
        <v>1</v>
      </c>
      <c r="D27" s="1235">
        <v>1</v>
      </c>
      <c r="E27" s="1235">
        <v>1</v>
      </c>
      <c r="F27" s="1236">
        <v>1</v>
      </c>
      <c r="G27" s="424"/>
      <c r="H27" s="424"/>
      <c r="I27" s="424"/>
      <c r="J27" s="424"/>
      <c r="K27" s="422" t="s">
        <v>16</v>
      </c>
      <c r="L27" s="426">
        <v>3</v>
      </c>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550">
        <v>0.5</v>
      </c>
      <c r="D29" s="646">
        <v>0.46500000000000002</v>
      </c>
      <c r="E29" s="646">
        <v>0.48499999999999999</v>
      </c>
      <c r="F29" s="647">
        <v>0.45</v>
      </c>
      <c r="G29" s="424"/>
      <c r="H29" s="424"/>
      <c r="I29" s="424"/>
      <c r="J29" s="424"/>
      <c r="K29" s="425" t="s">
        <v>20</v>
      </c>
      <c r="L29" s="439"/>
      <c r="M29" s="419"/>
      <c r="N29" s="419"/>
    </row>
    <row r="30" spans="1:44" outlineLevel="1">
      <c r="B30" s="440" t="s">
        <v>802</v>
      </c>
      <c r="C30" s="441">
        <v>50</v>
      </c>
      <c r="D30" s="441">
        <v>50</v>
      </c>
      <c r="E30" s="441">
        <v>50</v>
      </c>
      <c r="F30" s="441">
        <v>50</v>
      </c>
      <c r="G30" s="424"/>
      <c r="H30" s="424"/>
      <c r="I30" s="424"/>
      <c r="J30" s="424"/>
      <c r="K30" s="443"/>
      <c r="L30" s="372"/>
      <c r="M30" s="71"/>
      <c r="N30" s="419"/>
    </row>
    <row r="31" spans="1:44" outlineLevel="1">
      <c r="B31" s="440" t="s">
        <v>803</v>
      </c>
      <c r="C31" s="441">
        <v>50</v>
      </c>
      <c r="D31" s="441">
        <v>50</v>
      </c>
      <c r="E31" s="441">
        <v>50</v>
      </c>
      <c r="F31" s="441">
        <v>50</v>
      </c>
      <c r="G31" s="424"/>
      <c r="H31" s="424"/>
      <c r="I31" s="424"/>
      <c r="J31" s="424"/>
      <c r="K31" s="443"/>
      <c r="L31" s="372"/>
      <c r="M31" s="419"/>
      <c r="N31" s="419"/>
    </row>
    <row r="32" spans="1:44" outlineLevel="1">
      <c r="B32" s="382" t="s">
        <v>804</v>
      </c>
      <c r="C32" s="444">
        <v>400</v>
      </c>
      <c r="D32" s="445">
        <v>400</v>
      </c>
      <c r="E32" s="445">
        <v>400</v>
      </c>
      <c r="F32" s="446">
        <v>400</v>
      </c>
      <c r="G32" s="424"/>
      <c r="H32" s="424"/>
      <c r="I32" s="424"/>
      <c r="J32" s="424"/>
      <c r="K32" s="447"/>
      <c r="L32" s="372"/>
      <c r="M32" s="419"/>
      <c r="N32" s="419"/>
    </row>
    <row r="33" spans="2:30" ht="37.049999999999997" customHeight="1" outlineLevel="1" thickBot="1">
      <c r="B33" s="382" t="s">
        <v>659</v>
      </c>
      <c r="C33" s="448">
        <f>C34+C35</f>
        <v>1.175</v>
      </c>
      <c r="D33" s="448">
        <f t="shared" ref="D33:F33" si="0">D34+D35</f>
        <v>1.1950000000000001</v>
      </c>
      <c r="E33" s="448">
        <f t="shared" si="0"/>
        <v>1.2050000000000001</v>
      </c>
      <c r="F33" s="448">
        <f t="shared" si="0"/>
        <v>1.2050000000000001</v>
      </c>
      <c r="G33" s="424"/>
      <c r="H33" s="424"/>
      <c r="I33" s="424"/>
      <c r="J33" s="424"/>
      <c r="K33" s="447"/>
      <c r="L33" s="372"/>
      <c r="M33" s="449"/>
      <c r="N33" s="360"/>
      <c r="P33" s="1139">
        <f>C33</f>
        <v>1.175</v>
      </c>
      <c r="Q33" s="1140"/>
      <c r="R33" s="1140"/>
      <c r="S33" s="1140"/>
      <c r="T33" s="1140"/>
      <c r="U33" s="1141"/>
    </row>
    <row r="34" spans="2:30" ht="15.75" customHeight="1" outlineLevel="1" thickBot="1">
      <c r="B34" s="450" t="s">
        <v>721</v>
      </c>
      <c r="C34" s="451">
        <f>C13/100*73</f>
        <v>0.73</v>
      </c>
      <c r="D34" s="451">
        <f>D13/100*75</f>
        <v>0.75</v>
      </c>
      <c r="E34" s="451">
        <f>E13/100*76</f>
        <v>0.76</v>
      </c>
      <c r="F34" s="451">
        <f>F13/100*76</f>
        <v>0.76</v>
      </c>
      <c r="G34" s="452"/>
      <c r="H34" s="452"/>
      <c r="I34" s="452"/>
      <c r="J34" s="452"/>
      <c r="K34" s="378"/>
      <c r="L34" s="379"/>
      <c r="M34" s="449"/>
      <c r="N34" s="360"/>
      <c r="P34" s="1131">
        <f>C34</f>
        <v>0.73</v>
      </c>
      <c r="Q34" s="1132"/>
      <c r="R34" s="1132"/>
      <c r="S34" s="1132"/>
      <c r="T34" s="1132"/>
      <c r="U34" s="1133"/>
    </row>
    <row r="35" spans="2:30" outlineLevel="1">
      <c r="B35" s="450" t="s">
        <v>722</v>
      </c>
      <c r="C35" s="654">
        <v>0.44500000000000001</v>
      </c>
      <c r="D35" s="654">
        <v>0.44500000000000001</v>
      </c>
      <c r="E35" s="654">
        <v>0.44500000000000001</v>
      </c>
      <c r="F35" s="654">
        <v>0.44500000000000001</v>
      </c>
      <c r="G35" s="452"/>
      <c r="H35" s="452"/>
      <c r="I35" s="452"/>
      <c r="J35" s="452"/>
      <c r="K35" s="454"/>
      <c r="L35" s="379"/>
      <c r="M35" s="362"/>
      <c r="N35" s="362"/>
      <c r="P35" s="53" t="s">
        <v>357</v>
      </c>
    </row>
    <row r="36" spans="2:30" ht="27.6"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42">
        <v>0.18</v>
      </c>
      <c r="D39" s="642">
        <v>0.18</v>
      </c>
      <c r="E39" s="642">
        <v>0.18</v>
      </c>
      <c r="F39" s="642">
        <v>0.18</v>
      </c>
      <c r="G39" s="642"/>
      <c r="H39" s="642"/>
      <c r="I39" s="642"/>
      <c r="J39" s="642"/>
      <c r="K39" s="642" t="s">
        <v>76</v>
      </c>
      <c r="L39" s="463"/>
      <c r="M39" s="362"/>
      <c r="N39" s="362"/>
      <c r="O39" s="464">
        <f>C12</f>
        <v>90</v>
      </c>
      <c r="P39" s="465">
        <f>C8</f>
        <v>2020</v>
      </c>
      <c r="Q39" s="58">
        <f>P39</f>
        <v>2020</v>
      </c>
      <c r="R39" s="465">
        <f>O39/100</f>
        <v>0.9</v>
      </c>
      <c r="S39" s="58"/>
      <c r="T39" s="465">
        <f>C16</f>
        <v>20</v>
      </c>
      <c r="U39" s="466">
        <f>C46</f>
        <v>3725</v>
      </c>
      <c r="V39" s="466">
        <f>C48</f>
        <v>2.98</v>
      </c>
      <c r="W39" s="466">
        <f>C49</f>
        <v>2.4315972222222224</v>
      </c>
      <c r="X39" s="58"/>
      <c r="Y39" s="58"/>
      <c r="Z39" s="465">
        <f>C23</f>
        <v>8.3000000000000007</v>
      </c>
      <c r="AA39" s="467">
        <f>C25</f>
        <v>56</v>
      </c>
      <c r="AB39" s="467">
        <f>C26</f>
        <v>0.1</v>
      </c>
      <c r="AC39" s="467">
        <f>C27</f>
        <v>1</v>
      </c>
      <c r="AD39" s="467">
        <f>C24</f>
        <v>0.28999999999999998</v>
      </c>
    </row>
    <row r="40" spans="2:30" ht="14.55" customHeight="1" outlineLevel="1">
      <c r="B40" s="375" t="s">
        <v>726</v>
      </c>
      <c r="C40" s="468" t="s">
        <v>36</v>
      </c>
      <c r="D40" s="469" t="s">
        <v>36</v>
      </c>
      <c r="E40" s="469" t="s">
        <v>36</v>
      </c>
      <c r="F40" s="470" t="s">
        <v>36</v>
      </c>
      <c r="G40" s="470"/>
      <c r="H40" s="470"/>
      <c r="I40" s="470"/>
      <c r="J40" s="470"/>
      <c r="K40" s="471"/>
      <c r="L40" s="463"/>
      <c r="M40" s="362"/>
      <c r="N40" s="362"/>
      <c r="O40" s="464">
        <f>D12</f>
        <v>91</v>
      </c>
      <c r="P40" s="465">
        <f>D8</f>
        <v>2030</v>
      </c>
      <c r="Q40" s="58"/>
      <c r="R40" s="465">
        <f>O40/100</f>
        <v>0.91</v>
      </c>
      <c r="S40" s="58"/>
      <c r="T40" s="465">
        <f>D16</f>
        <v>20</v>
      </c>
      <c r="U40" s="466">
        <f>D46</f>
        <v>3464.2500000000005</v>
      </c>
      <c r="V40" s="466">
        <f>D48</f>
        <v>2.98</v>
      </c>
      <c r="W40" s="466">
        <f>D49</f>
        <v>2.4729861111111116</v>
      </c>
      <c r="X40" s="58"/>
      <c r="Y40" s="58"/>
      <c r="Z40" s="465">
        <f>D23</f>
        <v>8.3000000000000007</v>
      </c>
      <c r="AA40" s="467">
        <f>D25</f>
        <v>45</v>
      </c>
      <c r="AB40" s="467">
        <f>D26</f>
        <v>0.1</v>
      </c>
      <c r="AC40" s="467">
        <f>D27</f>
        <v>1</v>
      </c>
      <c r="AD40" s="467">
        <f>D24</f>
        <v>0.28999999999999998</v>
      </c>
    </row>
    <row r="41" spans="2:30" outlineLevel="1">
      <c r="B41" s="375" t="s">
        <v>727</v>
      </c>
      <c r="C41" s="468"/>
      <c r="D41" s="469"/>
      <c r="E41" s="469"/>
      <c r="F41" s="470"/>
      <c r="G41" s="452"/>
      <c r="H41" s="452"/>
      <c r="I41" s="452"/>
      <c r="J41" s="452"/>
      <c r="K41" s="452"/>
      <c r="L41" s="379"/>
      <c r="M41" s="362"/>
      <c r="N41" s="362"/>
      <c r="O41" s="464">
        <f>E12</f>
        <v>92</v>
      </c>
      <c r="P41" s="465">
        <f>E8</f>
        <v>2040</v>
      </c>
      <c r="Q41" s="58"/>
      <c r="R41" s="465">
        <f>O41/100</f>
        <v>0.92</v>
      </c>
      <c r="S41" s="58"/>
      <c r="T41" s="465">
        <f>E16</f>
        <v>20</v>
      </c>
      <c r="U41" s="466">
        <f>E46</f>
        <v>3613.25</v>
      </c>
      <c r="V41" s="466">
        <f>E48</f>
        <v>2.98</v>
      </c>
      <c r="W41" s="466">
        <f>E49</f>
        <v>2.4936805555555561</v>
      </c>
      <c r="X41" s="58"/>
      <c r="Y41" s="58"/>
      <c r="Z41" s="465">
        <f>E23</f>
        <v>8.3000000000000007</v>
      </c>
      <c r="AA41" s="467">
        <f>E25</f>
        <v>28</v>
      </c>
      <c r="AB41" s="467">
        <f>E26</f>
        <v>0.1</v>
      </c>
      <c r="AC41" s="467">
        <f>E27</f>
        <v>1</v>
      </c>
      <c r="AD41" s="467">
        <f>E24</f>
        <v>0.28999999999999998</v>
      </c>
    </row>
    <row r="42" spans="2:30" ht="14.55" customHeight="1" outlineLevel="1">
      <c r="B42" s="375" t="s">
        <v>728</v>
      </c>
      <c r="C42" s="1237">
        <v>90</v>
      </c>
      <c r="D42" s="1238">
        <v>90</v>
      </c>
      <c r="E42" s="1238">
        <v>90</v>
      </c>
      <c r="F42" s="1239">
        <v>90</v>
      </c>
      <c r="G42" s="473"/>
      <c r="H42" s="473"/>
      <c r="I42" s="473"/>
      <c r="J42" s="473"/>
      <c r="K42" s="473" t="s">
        <v>25</v>
      </c>
      <c r="L42" s="379" t="s">
        <v>884</v>
      </c>
      <c r="M42" s="362"/>
      <c r="N42" s="362"/>
      <c r="O42" s="464">
        <f>F12</f>
        <v>93</v>
      </c>
      <c r="P42" s="465">
        <f>F8</f>
        <v>2050</v>
      </c>
      <c r="Q42" s="58"/>
      <c r="R42" s="465">
        <f>O42/100</f>
        <v>0.93</v>
      </c>
      <c r="S42" s="58"/>
      <c r="T42" s="465">
        <f>F16</f>
        <v>20</v>
      </c>
      <c r="U42" s="466">
        <f>F46</f>
        <v>3352.5</v>
      </c>
      <c r="V42" s="466">
        <f>F48</f>
        <v>2.98</v>
      </c>
      <c r="W42" s="466">
        <f>F49</f>
        <v>2.4936805555555561</v>
      </c>
      <c r="X42" s="58"/>
      <c r="Y42" s="58"/>
      <c r="Z42" s="465">
        <f>F23</f>
        <v>8.3000000000000007</v>
      </c>
      <c r="AA42" s="467">
        <f>F25</f>
        <v>11</v>
      </c>
      <c r="AB42" s="467">
        <f>F26</f>
        <v>0.1</v>
      </c>
      <c r="AC42" s="467">
        <f>F27</f>
        <v>1</v>
      </c>
      <c r="AD42" s="467">
        <f>F24</f>
        <v>0.28999999999999998</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477" t="s">
        <v>36</v>
      </c>
      <c r="D45" s="478" t="s">
        <v>36</v>
      </c>
      <c r="E45" s="478" t="s">
        <v>36</v>
      </c>
      <c r="F45" s="479" t="s">
        <v>36</v>
      </c>
      <c r="G45" s="480"/>
      <c r="H45" s="480"/>
      <c r="I45" s="480"/>
      <c r="J45" s="480"/>
      <c r="K45" s="480"/>
      <c r="L45" s="481"/>
      <c r="M45" s="362"/>
      <c r="N45" s="362"/>
    </row>
    <row r="46" spans="2:30" ht="57.6" outlineLevel="1">
      <c r="B46" s="460" t="s">
        <v>732</v>
      </c>
      <c r="C46" s="482">
        <f>C29*$F$4*1000</f>
        <v>3725</v>
      </c>
      <c r="D46" s="482">
        <f t="shared" ref="D46:F46" si="1">D29*$F$4*1000</f>
        <v>3464.2500000000005</v>
      </c>
      <c r="E46" s="482">
        <f t="shared" si="1"/>
        <v>3613.25</v>
      </c>
      <c r="F46" s="482">
        <f t="shared" si="1"/>
        <v>3352.5</v>
      </c>
      <c r="G46" s="482"/>
      <c r="H46" s="483"/>
      <c r="I46" s="419" t="s">
        <v>332</v>
      </c>
      <c r="J46" s="419"/>
      <c r="K46" s="483"/>
      <c r="L46" s="483"/>
      <c r="N46" s="419"/>
    </row>
    <row r="47" spans="2:30" outlineLevel="1">
      <c r="B47" s="484" t="s">
        <v>733</v>
      </c>
      <c r="C47" s="485">
        <f>C46*$I47</f>
        <v>1862500</v>
      </c>
      <c r="D47" s="485">
        <f>D46*$I47</f>
        <v>1732125.0000000002</v>
      </c>
      <c r="E47" s="485">
        <f>E46*$I47</f>
        <v>1806625</v>
      </c>
      <c r="F47" s="485">
        <f>F46*$I47</f>
        <v>1676250</v>
      </c>
      <c r="G47" s="485"/>
      <c r="H47" s="483"/>
      <c r="I47" s="71">
        <v>500</v>
      </c>
      <c r="J47" s="419" t="s">
        <v>330</v>
      </c>
      <c r="K47" s="483"/>
      <c r="L47" s="483"/>
      <c r="N47" s="419"/>
    </row>
    <row r="48" spans="2:30" ht="43.2" outlineLevel="1">
      <c r="B48" s="460" t="s">
        <v>808</v>
      </c>
      <c r="C48" s="358">
        <f>C32*$F$4/1000</f>
        <v>2.98</v>
      </c>
      <c r="D48" s="358">
        <f t="shared" ref="D48:F48" si="2">D32*$F$4/1000</f>
        <v>2.98</v>
      </c>
      <c r="E48" s="358">
        <f t="shared" si="2"/>
        <v>2.98</v>
      </c>
      <c r="F48" s="358">
        <f t="shared" si="2"/>
        <v>2.98</v>
      </c>
      <c r="G48" s="358"/>
      <c r="I48" s="419" t="s">
        <v>333</v>
      </c>
      <c r="J48" s="419"/>
      <c r="N48" s="419"/>
    </row>
    <row r="49" spans="2:14" ht="43.2" outlineLevel="1">
      <c r="B49" s="460" t="s">
        <v>809</v>
      </c>
      <c r="C49" s="486">
        <f>C33*$F$4/3.6</f>
        <v>2.4315972222222224</v>
      </c>
      <c r="D49" s="486">
        <f t="shared" ref="D49:F49" si="3">D33*$F$4/3.6</f>
        <v>2.4729861111111116</v>
      </c>
      <c r="E49" s="486">
        <f t="shared" si="3"/>
        <v>2.4936805555555561</v>
      </c>
      <c r="F49" s="486">
        <f t="shared" si="3"/>
        <v>2.4936805555555561</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E55" s="357"/>
      <c r="F55" s="357"/>
      <c r="G55" s="357"/>
      <c r="H55" s="357"/>
      <c r="I55" s="357"/>
      <c r="J55" s="357"/>
      <c r="K55" s="357"/>
      <c r="L55" s="357"/>
    </row>
    <row r="56" spans="2:14" outlineLevel="1">
      <c r="B56" s="357">
        <v>1</v>
      </c>
      <c r="C56" s="659" t="s">
        <v>903</v>
      </c>
      <c r="F56" s="357"/>
      <c r="G56" s="357"/>
      <c r="H56" s="357"/>
      <c r="I56" s="357"/>
      <c r="J56" s="357"/>
      <c r="K56" s="357"/>
      <c r="L56" s="357"/>
    </row>
    <row r="57" spans="2:14" outlineLevel="1">
      <c r="B57" s="357">
        <v>2</v>
      </c>
      <c r="C57" s="657" t="s">
        <v>744</v>
      </c>
      <c r="F57" s="357"/>
      <c r="G57" s="357"/>
      <c r="H57" s="357"/>
      <c r="I57" s="357"/>
      <c r="J57" s="357"/>
      <c r="K57" s="357"/>
      <c r="L57" s="357"/>
    </row>
    <row r="58" spans="2:14" outlineLevel="1">
      <c r="B58" s="357">
        <v>3</v>
      </c>
      <c r="C58" s="659" t="s">
        <v>813</v>
      </c>
      <c r="F58" s="357"/>
      <c r="G58" s="357"/>
      <c r="H58" s="357"/>
      <c r="I58" s="357"/>
      <c r="J58" s="357"/>
      <c r="K58" s="357"/>
      <c r="L58" s="357"/>
    </row>
    <row r="59" spans="2:14" outlineLevel="1">
      <c r="B59" s="357">
        <v>4</v>
      </c>
      <c r="C59" s="657" t="s">
        <v>904</v>
      </c>
      <c r="F59" s="357"/>
      <c r="G59" s="357"/>
      <c r="H59" s="357"/>
      <c r="I59" s="357"/>
      <c r="J59" s="357"/>
      <c r="K59" s="357"/>
      <c r="L59" s="357"/>
    </row>
    <row r="60" spans="2:14" outlineLevel="1">
      <c r="B60" s="357">
        <v>5</v>
      </c>
      <c r="C60" s="657" t="s">
        <v>905</v>
      </c>
      <c r="D60" s="488"/>
      <c r="F60" s="357"/>
      <c r="G60" s="357"/>
      <c r="H60" s="357"/>
      <c r="I60" s="357"/>
      <c r="J60" s="357"/>
      <c r="K60" s="357"/>
      <c r="L60" s="357"/>
    </row>
    <row r="61" spans="2:14" outlineLevel="1">
      <c r="B61" s="487" t="s">
        <v>746</v>
      </c>
      <c r="C61" s="624"/>
      <c r="D61" s="488"/>
      <c r="F61" s="357"/>
      <c r="G61" s="357"/>
      <c r="H61" s="357"/>
      <c r="I61" s="357"/>
      <c r="J61" s="357"/>
      <c r="K61" s="357"/>
      <c r="L61" s="357"/>
    </row>
    <row r="62" spans="2:14" outlineLevel="1">
      <c r="B62" s="495" t="s">
        <v>6</v>
      </c>
      <c r="C62" s="659" t="s">
        <v>906</v>
      </c>
      <c r="D62" s="488"/>
      <c r="F62" s="357"/>
      <c r="G62" s="357"/>
      <c r="H62" s="357"/>
      <c r="I62" s="357"/>
      <c r="J62" s="357"/>
      <c r="K62" s="357"/>
      <c r="L62" s="357"/>
    </row>
    <row r="63" spans="2:14" outlineLevel="1">
      <c r="B63" s="495" t="s">
        <v>59</v>
      </c>
      <c r="C63" s="659" t="s">
        <v>907</v>
      </c>
      <c r="D63" s="488"/>
      <c r="F63" s="357"/>
      <c r="G63" s="357"/>
      <c r="H63" s="357"/>
      <c r="I63" s="357"/>
      <c r="J63" s="357"/>
      <c r="K63" s="357"/>
      <c r="L63" s="357"/>
    </row>
    <row r="64" spans="2:14" outlineLevel="1">
      <c r="B64" s="495" t="s">
        <v>16</v>
      </c>
      <c r="C64" s="657" t="s">
        <v>908</v>
      </c>
      <c r="D64" s="488"/>
      <c r="F64" s="357"/>
      <c r="G64" s="357"/>
      <c r="H64" s="357"/>
      <c r="I64" s="357"/>
      <c r="J64" s="357"/>
      <c r="K64" s="357"/>
      <c r="L64" s="357"/>
    </row>
    <row r="65" spans="1:44" outlineLevel="1">
      <c r="B65" s="495" t="s">
        <v>20</v>
      </c>
      <c r="C65" s="657" t="s">
        <v>909</v>
      </c>
      <c r="D65" s="488"/>
      <c r="F65" s="357"/>
      <c r="G65" s="357"/>
      <c r="H65" s="357"/>
      <c r="I65" s="357"/>
      <c r="J65" s="357"/>
      <c r="K65" s="357"/>
      <c r="L65" s="357"/>
    </row>
    <row r="66" spans="1:44" outlineLevel="1">
      <c r="B66" s="495" t="s">
        <v>76</v>
      </c>
      <c r="C66" s="627" t="s">
        <v>910</v>
      </c>
      <c r="D66" s="489"/>
      <c r="F66" s="357"/>
      <c r="G66" s="357"/>
      <c r="H66" s="357"/>
      <c r="I66" s="357"/>
      <c r="J66" s="357"/>
      <c r="K66" s="357"/>
      <c r="L66" s="357"/>
    </row>
    <row r="67" spans="1:44" outlineLevel="1">
      <c r="B67" s="495" t="s">
        <v>25</v>
      </c>
      <c r="C67" s="659" t="s">
        <v>911</v>
      </c>
      <c r="D67" s="489"/>
      <c r="F67" s="357"/>
      <c r="G67" s="357"/>
      <c r="H67" s="357"/>
      <c r="I67" s="357"/>
      <c r="J67" s="357"/>
      <c r="K67" s="357"/>
      <c r="L67" s="357"/>
    </row>
    <row r="68" spans="1:44" outlineLevel="1">
      <c r="B68" s="495" t="s">
        <v>33</v>
      </c>
      <c r="C68" s="624" t="s">
        <v>912</v>
      </c>
      <c r="D68" s="357"/>
      <c r="F68" s="357"/>
      <c r="G68" s="357"/>
      <c r="H68" s="357"/>
      <c r="I68" s="357"/>
      <c r="J68" s="357"/>
      <c r="K68" s="357"/>
      <c r="L68" s="357"/>
    </row>
    <row r="69" spans="1:44" outlineLevel="1">
      <c r="B69" s="636"/>
      <c r="C69" s="488"/>
      <c r="D69" s="357"/>
      <c r="F69" s="357"/>
      <c r="G69" s="357"/>
      <c r="H69" s="357"/>
      <c r="I69" s="357"/>
      <c r="J69" s="357"/>
      <c r="K69" s="357"/>
      <c r="L69" s="357"/>
    </row>
    <row r="70" spans="1:44" outlineLevel="1">
      <c r="B70" s="636"/>
      <c r="C70" s="489"/>
      <c r="D70" s="357"/>
      <c r="G70" s="357"/>
      <c r="H70" s="357"/>
      <c r="I70" s="357"/>
      <c r="J70" s="357"/>
      <c r="K70" s="357"/>
      <c r="L70" s="357"/>
    </row>
    <row r="71" spans="1:44" outlineLevel="1">
      <c r="B71" s="636"/>
      <c r="C71" s="489"/>
      <c r="E71" s="489"/>
      <c r="F71" s="489"/>
    </row>
    <row r="72" spans="1:44" outlineLevel="1"/>
    <row r="73" spans="1:44" outlineLevel="1"/>
    <row r="74" spans="1:44" outlineLevel="1"/>
    <row r="77" spans="1:44">
      <c r="A77" s="359"/>
      <c r="B77" s="1204"/>
      <c r="C77" s="1140"/>
      <c r="D77" s="1140"/>
      <c r="E77" s="1140"/>
      <c r="F77" s="1140"/>
      <c r="G77" s="1140"/>
      <c r="H77" s="1140"/>
      <c r="I77" s="1140"/>
      <c r="J77" s="1140"/>
      <c r="K77" s="1140"/>
      <c r="L77" s="1140"/>
      <c r="M77" s="1140"/>
      <c r="N77" s="360"/>
      <c r="P77" s="1140"/>
      <c r="Q77" s="1140"/>
      <c r="R77" s="1140"/>
      <c r="S77" s="1140"/>
      <c r="T77" s="1140"/>
      <c r="U77" s="1140"/>
    </row>
    <row r="78" spans="1:44" ht="15" outlineLevel="1" thickBot="1">
      <c r="B78" s="1204"/>
      <c r="C78" s="1140"/>
      <c r="D78" s="1140"/>
      <c r="E78" s="1140"/>
      <c r="F78" s="1140"/>
      <c r="G78" s="1140"/>
      <c r="H78" s="1140"/>
      <c r="I78" s="1140"/>
      <c r="J78" s="1140"/>
      <c r="K78" s="1140"/>
      <c r="L78" s="1140"/>
      <c r="M78" s="1140"/>
      <c r="N78" s="360"/>
      <c r="P78" s="1140"/>
      <c r="Q78" s="1140"/>
      <c r="R78" s="1140"/>
      <c r="S78" s="1140"/>
      <c r="T78" s="1140"/>
      <c r="U78" s="1140"/>
    </row>
    <row r="79" spans="1:44" ht="20.55" customHeight="1" outlineLevel="1" thickBot="1">
      <c r="B79" s="361"/>
      <c r="C79" s="1183"/>
      <c r="D79" s="1202"/>
      <c r="E79" s="1202"/>
      <c r="F79" s="1202"/>
      <c r="G79" s="1202"/>
      <c r="H79" s="1202"/>
      <c r="I79" s="1202"/>
      <c r="J79" s="1202"/>
      <c r="K79" s="1202"/>
      <c r="L79" s="1203"/>
      <c r="M79" s="362"/>
      <c r="N79" s="362"/>
      <c r="P79" s="363"/>
      <c r="Q79" s="364"/>
      <c r="R79" s="365"/>
      <c r="S79" s="1173"/>
      <c r="T79" s="1157"/>
      <c r="U79" s="1158"/>
      <c r="V79" s="1157"/>
      <c r="W79" s="1158"/>
      <c r="X79" s="1157"/>
      <c r="Y79" s="1158"/>
      <c r="Z79" s="1157"/>
      <c r="AA79" s="1158"/>
      <c r="AB79" s="1157"/>
      <c r="AC79" s="1158"/>
      <c r="AE79" s="363"/>
      <c r="AF79" s="364"/>
      <c r="AG79" s="365"/>
      <c r="AH79" s="1173"/>
      <c r="AI79" s="1157"/>
      <c r="AJ79" s="1158"/>
      <c r="AK79" s="1157"/>
      <c r="AL79" s="1158"/>
      <c r="AM79" s="1157"/>
      <c r="AN79" s="1158"/>
      <c r="AO79" s="1157"/>
      <c r="AP79" s="1158"/>
      <c r="AQ79" s="1157"/>
      <c r="AR79" s="1158"/>
    </row>
    <row r="80" spans="1:44" ht="15" customHeight="1" outlineLevel="1" thickBot="1">
      <c r="B80" s="1161"/>
      <c r="C80" s="1163"/>
      <c r="D80" s="1163"/>
      <c r="E80" s="1163"/>
      <c r="F80" s="1163"/>
      <c r="G80" s="1197"/>
      <c r="H80" s="1198"/>
      <c r="I80" s="1197"/>
      <c r="J80" s="1198"/>
      <c r="K80" s="1199"/>
      <c r="L80" s="1199"/>
      <c r="M80" s="366"/>
      <c r="N80" s="366"/>
      <c r="P80" s="1177"/>
      <c r="Q80" s="367"/>
      <c r="R80" s="367"/>
      <c r="S80" s="1174"/>
      <c r="T80" s="1159"/>
      <c r="U80" s="1160"/>
      <c r="V80" s="1159"/>
      <c r="W80" s="1160"/>
      <c r="X80" s="1159"/>
      <c r="Y80" s="1160"/>
      <c r="Z80" s="1159"/>
      <c r="AA80" s="1160"/>
      <c r="AB80" s="1159"/>
      <c r="AC80" s="1160"/>
      <c r="AE80" s="1177"/>
      <c r="AF80" s="367"/>
      <c r="AG80" s="367"/>
      <c r="AH80" s="1174"/>
      <c r="AI80" s="1159"/>
      <c r="AJ80" s="1160"/>
      <c r="AK80" s="1159"/>
      <c r="AL80" s="1160"/>
      <c r="AM80" s="1159"/>
      <c r="AN80" s="1160"/>
      <c r="AO80" s="1159"/>
      <c r="AP80" s="1160"/>
      <c r="AQ80" s="1159"/>
      <c r="AR80" s="1160"/>
    </row>
    <row r="81" spans="2:44" ht="15" customHeight="1" outlineLevel="1" thickBot="1">
      <c r="B81" s="1162"/>
      <c r="C81" s="1164"/>
      <c r="D81" s="1164"/>
      <c r="E81" s="1164"/>
      <c r="F81" s="1164"/>
      <c r="G81" s="498"/>
      <c r="H81" s="498"/>
      <c r="I81" s="498"/>
      <c r="J81" s="498"/>
      <c r="K81" s="1200"/>
      <c r="L81" s="1200"/>
      <c r="M81" s="369"/>
      <c r="N81" s="369"/>
      <c r="P81" s="1178"/>
      <c r="Q81" s="1180"/>
      <c r="R81" s="1181"/>
      <c r="S81" s="1175"/>
      <c r="T81" s="1159"/>
      <c r="U81" s="1160"/>
      <c r="V81" s="1159"/>
      <c r="W81" s="1160"/>
      <c r="X81" s="1159"/>
      <c r="Y81" s="1160"/>
      <c r="Z81" s="1159"/>
      <c r="AA81" s="1160"/>
      <c r="AB81" s="1159"/>
      <c r="AC81" s="1160"/>
      <c r="AE81" s="1178"/>
      <c r="AF81" s="1194"/>
      <c r="AG81" s="1181"/>
      <c r="AH81" s="1175"/>
      <c r="AI81" s="1159"/>
      <c r="AJ81" s="1160"/>
      <c r="AK81" s="1159"/>
      <c r="AL81" s="1160"/>
      <c r="AM81" s="1159"/>
      <c r="AN81" s="1160"/>
      <c r="AO81" s="1159"/>
      <c r="AP81" s="1160"/>
      <c r="AQ81" s="1159"/>
      <c r="AR81" s="1160"/>
    </row>
    <row r="82" spans="2:44" ht="15" outlineLevel="1" thickBot="1">
      <c r="B82" s="370"/>
      <c r="C82" s="371"/>
      <c r="D82" s="371"/>
      <c r="E82" s="371"/>
      <c r="F82" s="371"/>
      <c r="G82" s="371"/>
      <c r="H82" s="371"/>
      <c r="I82" s="371"/>
      <c r="J82" s="371"/>
      <c r="K82" s="371"/>
      <c r="L82" s="372"/>
      <c r="M82" s="369"/>
      <c r="N82" s="369"/>
      <c r="O82" s="74"/>
      <c r="P82" s="1179"/>
      <c r="Q82" s="1176"/>
      <c r="R82" s="1182"/>
      <c r="S82" s="1176"/>
      <c r="T82" s="373"/>
      <c r="U82" s="374"/>
      <c r="V82" s="373"/>
      <c r="W82" s="374"/>
      <c r="X82" s="373"/>
      <c r="Y82" s="374"/>
      <c r="Z82" s="373"/>
      <c r="AA82" s="374"/>
      <c r="AB82" s="373"/>
      <c r="AC82" s="374"/>
      <c r="AE82" s="1179"/>
      <c r="AF82" s="1195"/>
      <c r="AG82" s="1182"/>
      <c r="AH82" s="1176"/>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45"/>
      <c r="Q83" s="1151"/>
      <c r="R83" s="380"/>
      <c r="S83" s="381"/>
      <c r="T83" s="1134"/>
      <c r="U83" s="1148"/>
      <c r="V83" s="1134"/>
      <c r="W83" s="1148"/>
      <c r="X83" s="1134"/>
      <c r="Y83" s="1148"/>
      <c r="Z83" s="1134"/>
      <c r="AA83" s="1148"/>
      <c r="AB83" s="1134"/>
      <c r="AC83" s="1148"/>
      <c r="AE83" s="1145"/>
      <c r="AF83" s="1151"/>
      <c r="AG83" s="380"/>
      <c r="AH83" s="381"/>
      <c r="AI83" s="1134"/>
      <c r="AJ83" s="1148"/>
      <c r="AK83" s="1134"/>
      <c r="AL83" s="1148"/>
      <c r="AM83" s="1134"/>
      <c r="AN83" s="1148"/>
      <c r="AO83" s="1134"/>
      <c r="AP83" s="1148"/>
      <c r="AQ83" s="1134"/>
      <c r="AR83" s="1148"/>
    </row>
    <row r="84" spans="2:44" outlineLevel="1">
      <c r="B84" s="382"/>
      <c r="C84" s="383"/>
      <c r="D84" s="383"/>
      <c r="E84" s="383"/>
      <c r="F84" s="383"/>
      <c r="G84" s="504"/>
      <c r="H84" s="504"/>
      <c r="I84" s="504"/>
      <c r="J84" s="504"/>
      <c r="K84" s="371"/>
      <c r="L84" s="372"/>
      <c r="M84" s="369"/>
      <c r="N84" s="369"/>
      <c r="O84" s="71"/>
      <c r="P84" s="1192"/>
      <c r="Q84" s="1152"/>
      <c r="R84" s="387"/>
      <c r="S84" s="388"/>
      <c r="T84" s="1137"/>
      <c r="U84" s="1149"/>
      <c r="V84" s="1137"/>
      <c r="W84" s="1149"/>
      <c r="X84" s="1137"/>
      <c r="Y84" s="1149"/>
      <c r="Z84" s="1137"/>
      <c r="AA84" s="1149"/>
      <c r="AB84" s="1137"/>
      <c r="AC84" s="1149"/>
      <c r="AE84" s="1192"/>
      <c r="AF84" s="1152"/>
      <c r="AG84" s="387"/>
      <c r="AH84" s="388"/>
      <c r="AI84" s="1137"/>
      <c r="AJ84" s="1149"/>
      <c r="AK84" s="1137"/>
      <c r="AL84" s="1149"/>
      <c r="AM84" s="1137"/>
      <c r="AN84" s="1149"/>
      <c r="AO84" s="1137"/>
      <c r="AP84" s="1149"/>
      <c r="AQ84" s="1137"/>
      <c r="AR84" s="1149"/>
    </row>
    <row r="85" spans="2:44" ht="15" outlineLevel="1" thickBot="1">
      <c r="B85" s="499"/>
      <c r="C85" s="505"/>
      <c r="D85" s="506"/>
      <c r="E85" s="506"/>
      <c r="F85" s="507"/>
      <c r="G85" s="506"/>
      <c r="H85" s="506"/>
      <c r="I85" s="506"/>
      <c r="J85" s="506"/>
      <c r="K85" s="502"/>
      <c r="L85" s="503"/>
      <c r="M85" s="369"/>
      <c r="N85" s="369"/>
      <c r="O85" s="71"/>
      <c r="P85" s="1192"/>
      <c r="Q85" s="1153"/>
      <c r="R85" s="392"/>
      <c r="S85" s="393"/>
      <c r="T85" s="1138"/>
      <c r="U85" s="1150"/>
      <c r="V85" s="1138"/>
      <c r="W85" s="1150"/>
      <c r="X85" s="1138"/>
      <c r="Y85" s="1150"/>
      <c r="Z85" s="1138"/>
      <c r="AA85" s="1150"/>
      <c r="AB85" s="1138"/>
      <c r="AC85" s="1150"/>
      <c r="AE85" s="1192"/>
      <c r="AF85" s="1153"/>
      <c r="AG85" s="392"/>
      <c r="AH85" s="393"/>
      <c r="AI85" s="1138"/>
      <c r="AJ85" s="1150"/>
      <c r="AK85" s="1138"/>
      <c r="AL85" s="1150"/>
      <c r="AM85" s="1138"/>
      <c r="AN85" s="1150"/>
      <c r="AO85" s="1138"/>
      <c r="AP85" s="1150"/>
      <c r="AQ85" s="1138"/>
      <c r="AR85" s="1150"/>
    </row>
    <row r="86" spans="2:44" ht="15" customHeight="1" outlineLevel="1">
      <c r="B86" s="499"/>
      <c r="C86" s="505"/>
      <c r="D86" s="505"/>
      <c r="E86" s="505"/>
      <c r="F86" s="505"/>
      <c r="G86" s="505"/>
      <c r="H86" s="505"/>
      <c r="I86" s="505"/>
      <c r="J86" s="505"/>
      <c r="K86" s="502"/>
      <c r="L86" s="503"/>
      <c r="M86" s="369"/>
      <c r="N86" s="369"/>
      <c r="O86" s="71"/>
      <c r="P86" s="1192"/>
      <c r="Q86" s="1151"/>
      <c r="R86" s="394"/>
      <c r="S86" s="395"/>
      <c r="T86" s="1134"/>
      <c r="U86" s="1134"/>
      <c r="V86" s="1134"/>
      <c r="W86" s="1134"/>
      <c r="X86" s="1134"/>
      <c r="Y86" s="1134"/>
      <c r="Z86" s="1134"/>
      <c r="AA86" s="1134"/>
      <c r="AB86" s="1134"/>
      <c r="AC86" s="1134"/>
      <c r="AE86" s="1192"/>
      <c r="AF86" s="1151"/>
      <c r="AG86" s="394"/>
      <c r="AH86" s="395"/>
      <c r="AI86" s="1134"/>
      <c r="AJ86" s="1134"/>
      <c r="AK86" s="1134"/>
      <c r="AL86" s="1134"/>
      <c r="AM86" s="1134"/>
      <c r="AN86" s="1134"/>
      <c r="AO86" s="1134"/>
      <c r="AP86" s="1134"/>
      <c r="AQ86" s="1134"/>
      <c r="AR86" s="1134"/>
    </row>
    <row r="87" spans="2:44" outlineLevel="1">
      <c r="B87" s="499"/>
      <c r="C87" s="505"/>
      <c r="D87" s="505"/>
      <c r="E87" s="505"/>
      <c r="F87" s="505"/>
      <c r="G87" s="505"/>
      <c r="H87" s="505"/>
      <c r="I87" s="505"/>
      <c r="J87" s="505"/>
      <c r="K87" s="502"/>
      <c r="L87" s="503"/>
      <c r="M87" s="366"/>
      <c r="N87" s="366"/>
      <c r="O87" s="71"/>
      <c r="P87" s="1192"/>
      <c r="Q87" s="1152"/>
      <c r="R87" s="394"/>
      <c r="S87" s="395"/>
      <c r="T87" s="1135"/>
      <c r="U87" s="1135"/>
      <c r="V87" s="1135"/>
      <c r="W87" s="1135"/>
      <c r="X87" s="1135"/>
      <c r="Y87" s="1135"/>
      <c r="Z87" s="1135"/>
      <c r="AA87" s="1135"/>
      <c r="AB87" s="1135"/>
      <c r="AC87" s="1135"/>
      <c r="AE87" s="1192"/>
      <c r="AF87" s="1152"/>
      <c r="AG87" s="394"/>
      <c r="AH87" s="395"/>
      <c r="AI87" s="1135"/>
      <c r="AJ87" s="1135"/>
      <c r="AK87" s="1135"/>
      <c r="AL87" s="1135"/>
      <c r="AM87" s="1135"/>
      <c r="AN87" s="1135"/>
      <c r="AO87" s="1135"/>
      <c r="AP87" s="1135"/>
      <c r="AQ87" s="1135"/>
      <c r="AR87" s="1135"/>
    </row>
    <row r="88" spans="2:44" outlineLevel="1">
      <c r="B88" s="382"/>
      <c r="C88" s="396"/>
      <c r="D88" s="396"/>
      <c r="E88" s="396"/>
      <c r="F88" s="396"/>
      <c r="G88" s="398"/>
      <c r="H88" s="398"/>
      <c r="I88" s="398"/>
      <c r="J88" s="398"/>
      <c r="K88" s="371"/>
      <c r="L88" s="372"/>
      <c r="M88" s="362"/>
      <c r="N88" s="362"/>
      <c r="P88" s="1192"/>
      <c r="Q88" s="1152"/>
      <c r="R88" s="394"/>
      <c r="S88" s="395"/>
      <c r="T88" s="1135"/>
      <c r="U88" s="1135"/>
      <c r="V88" s="1135"/>
      <c r="W88" s="1135"/>
      <c r="X88" s="1135"/>
      <c r="Y88" s="1135"/>
      <c r="Z88" s="1135"/>
      <c r="AA88" s="1135"/>
      <c r="AB88" s="1135"/>
      <c r="AC88" s="1135"/>
      <c r="AE88" s="1192"/>
      <c r="AF88" s="1152"/>
      <c r="AG88" s="394"/>
      <c r="AH88" s="395"/>
      <c r="AI88" s="1135"/>
      <c r="AJ88" s="1135"/>
      <c r="AK88" s="1135"/>
      <c r="AL88" s="1135"/>
      <c r="AM88" s="1135"/>
      <c r="AN88" s="1135"/>
      <c r="AO88" s="1135"/>
      <c r="AP88" s="1135"/>
      <c r="AQ88" s="1135"/>
      <c r="AR88" s="1135"/>
    </row>
    <row r="89" spans="2:44" ht="15" outlineLevel="1" thickBot="1">
      <c r="B89" s="499"/>
      <c r="C89" s="505"/>
      <c r="D89" s="505"/>
      <c r="E89" s="505"/>
      <c r="F89" s="505"/>
      <c r="G89" s="505"/>
      <c r="H89" s="505"/>
      <c r="I89" s="505"/>
      <c r="J89" s="505"/>
      <c r="K89" s="371"/>
      <c r="L89" s="399"/>
      <c r="M89" s="362"/>
      <c r="N89" s="362"/>
      <c r="P89" s="1192"/>
      <c r="Q89" s="1152"/>
      <c r="R89" s="394"/>
      <c r="S89" s="395"/>
      <c r="T89" s="1135"/>
      <c r="U89" s="1135"/>
      <c r="V89" s="1135"/>
      <c r="W89" s="1135"/>
      <c r="X89" s="1135"/>
      <c r="Y89" s="1135"/>
      <c r="Z89" s="1135"/>
      <c r="AA89" s="1135"/>
      <c r="AB89" s="1135"/>
      <c r="AC89" s="1135"/>
      <c r="AE89" s="1192"/>
      <c r="AF89" s="1152"/>
      <c r="AG89" s="394"/>
      <c r="AH89" s="395"/>
      <c r="AI89" s="1135"/>
      <c r="AJ89" s="1135"/>
      <c r="AK89" s="1135"/>
      <c r="AL89" s="1135"/>
      <c r="AM89" s="1135"/>
      <c r="AN89" s="1135"/>
      <c r="AO89" s="1135"/>
      <c r="AP89" s="1135"/>
      <c r="AQ89" s="1135"/>
      <c r="AR89" s="1135"/>
    </row>
    <row r="90" spans="2:44" ht="15" outlineLevel="1" thickBot="1">
      <c r="B90" s="400"/>
      <c r="C90" s="401"/>
      <c r="D90" s="402"/>
      <c r="E90" s="403"/>
      <c r="F90" s="404"/>
      <c r="G90" s="405"/>
      <c r="H90" s="405"/>
      <c r="I90" s="405"/>
      <c r="J90" s="405"/>
      <c r="K90" s="406"/>
      <c r="L90" s="407"/>
      <c r="M90" s="362"/>
      <c r="N90" s="362"/>
      <c r="P90" s="1192"/>
      <c r="Q90" s="1152"/>
      <c r="R90" s="408"/>
      <c r="S90" s="409"/>
      <c r="T90" s="1136"/>
      <c r="U90" s="1136"/>
      <c r="V90" s="1136"/>
      <c r="W90" s="1136"/>
      <c r="X90" s="1136"/>
      <c r="Y90" s="1136"/>
      <c r="Z90" s="1136"/>
      <c r="AA90" s="1136"/>
      <c r="AB90" s="1136"/>
      <c r="AC90" s="1136"/>
      <c r="AE90" s="1192"/>
      <c r="AF90" s="1152"/>
      <c r="AG90" s="408"/>
      <c r="AH90" s="409"/>
      <c r="AI90" s="1136"/>
      <c r="AJ90" s="1136"/>
      <c r="AK90" s="1136"/>
      <c r="AL90" s="1136"/>
      <c r="AM90" s="1136"/>
      <c r="AN90" s="1136"/>
      <c r="AO90" s="1136"/>
      <c r="AP90" s="1136"/>
      <c r="AQ90" s="1136"/>
      <c r="AR90" s="1136"/>
    </row>
    <row r="91" spans="2:44" ht="15" outlineLevel="1" thickBot="1">
      <c r="B91" s="499"/>
      <c r="C91" s="505"/>
      <c r="D91" s="505"/>
      <c r="E91" s="505"/>
      <c r="F91" s="505"/>
      <c r="G91" s="506"/>
      <c r="H91" s="506"/>
      <c r="I91" s="506"/>
      <c r="J91" s="506"/>
      <c r="K91" s="502"/>
      <c r="L91" s="503"/>
      <c r="M91" s="362"/>
      <c r="N91" s="362"/>
      <c r="P91" s="1193"/>
      <c r="Q91" s="410"/>
      <c r="R91" s="411"/>
      <c r="S91" s="412"/>
      <c r="T91" s="413"/>
      <c r="U91" s="414"/>
      <c r="V91" s="415"/>
      <c r="W91" s="414"/>
      <c r="X91" s="415"/>
      <c r="Y91" s="414"/>
      <c r="Z91" s="415"/>
      <c r="AA91" s="414"/>
      <c r="AB91" s="415"/>
      <c r="AC91" s="416"/>
      <c r="AE91" s="1193"/>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5" outlineLevel="1" thickBot="1">
      <c r="B99" s="428"/>
      <c r="C99" s="429"/>
      <c r="D99" s="429"/>
      <c r="E99" s="429"/>
      <c r="F99" s="429"/>
      <c r="G99" s="424"/>
      <c r="H99" s="424"/>
      <c r="I99" s="424"/>
      <c r="J99" s="424"/>
      <c r="K99" s="422"/>
      <c r="L99" s="426"/>
      <c r="M99" s="427"/>
      <c r="N99" s="427"/>
    </row>
    <row r="100" spans="1:30" ht="15"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39"/>
      <c r="Q105" s="1140"/>
      <c r="R105" s="1140"/>
      <c r="S105" s="1140"/>
      <c r="T105" s="1140"/>
      <c r="U105" s="1141"/>
    </row>
    <row r="106" spans="1:30" ht="15" outlineLevel="1" thickBot="1">
      <c r="B106" s="499"/>
      <c r="C106" s="513"/>
      <c r="D106" s="513"/>
      <c r="E106" s="513"/>
      <c r="F106" s="513"/>
      <c r="G106" s="514"/>
      <c r="H106" s="514"/>
      <c r="I106" s="514"/>
      <c r="J106" s="514"/>
      <c r="K106" s="502"/>
      <c r="L106" s="503"/>
      <c r="M106" s="449"/>
      <c r="N106" s="360"/>
      <c r="P106" s="1131"/>
      <c r="Q106" s="1132"/>
      <c r="R106" s="1132"/>
      <c r="S106" s="1132"/>
      <c r="T106" s="1132"/>
      <c r="U106" s="1133"/>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5"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5"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5"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204"/>
      <c r="C149" s="1140"/>
      <c r="D149" s="1140"/>
      <c r="E149" s="1140"/>
      <c r="F149" s="1140"/>
      <c r="G149" s="1140"/>
      <c r="H149" s="1140"/>
      <c r="I149" s="1140"/>
      <c r="J149" s="1140"/>
      <c r="K149" s="1140"/>
      <c r="L149" s="1140"/>
      <c r="M149" s="1140"/>
      <c r="N149" s="360"/>
      <c r="P149" s="1140"/>
      <c r="Q149" s="1140"/>
      <c r="R149" s="1140"/>
      <c r="S149" s="1140"/>
      <c r="T149" s="1140"/>
      <c r="U149" s="1140"/>
    </row>
    <row r="150" spans="1:44" ht="15" outlineLevel="1" thickBot="1">
      <c r="B150" s="1204"/>
      <c r="C150" s="1140"/>
      <c r="D150" s="1140"/>
      <c r="E150" s="1140"/>
      <c r="F150" s="1140"/>
      <c r="G150" s="1140"/>
      <c r="H150" s="1140"/>
      <c r="I150" s="1140"/>
      <c r="J150" s="1140"/>
      <c r="K150" s="1140"/>
      <c r="L150" s="1140"/>
      <c r="M150" s="1140"/>
      <c r="N150" s="360"/>
      <c r="P150" s="1140"/>
      <c r="Q150" s="1140"/>
      <c r="R150" s="1140"/>
      <c r="S150" s="1140"/>
      <c r="T150" s="1140"/>
      <c r="U150" s="1140"/>
    </row>
    <row r="151" spans="1:44" ht="20.55" customHeight="1" outlineLevel="1" thickBot="1">
      <c r="B151" s="361"/>
      <c r="C151" s="1183"/>
      <c r="D151" s="1202"/>
      <c r="E151" s="1202"/>
      <c r="F151" s="1202"/>
      <c r="G151" s="1202"/>
      <c r="H151" s="1202"/>
      <c r="I151" s="1202"/>
      <c r="J151" s="1202"/>
      <c r="K151" s="1202"/>
      <c r="L151" s="1203"/>
      <c r="M151" s="362"/>
      <c r="N151" s="362"/>
      <c r="P151" s="363"/>
      <c r="Q151" s="364"/>
      <c r="R151" s="365"/>
      <c r="S151" s="1173"/>
      <c r="T151" s="1157"/>
      <c r="U151" s="1158"/>
      <c r="V151" s="1157"/>
      <c r="W151" s="1158"/>
      <c r="X151" s="1157"/>
      <c r="Y151" s="1158"/>
      <c r="Z151" s="1157"/>
      <c r="AA151" s="1158"/>
      <c r="AB151" s="1157"/>
      <c r="AC151" s="1158"/>
      <c r="AE151" s="363"/>
      <c r="AF151" s="364"/>
      <c r="AG151" s="365"/>
      <c r="AH151" s="1173"/>
      <c r="AI151" s="1157"/>
      <c r="AJ151" s="1158"/>
      <c r="AK151" s="1157"/>
      <c r="AL151" s="1158"/>
      <c r="AM151" s="1157"/>
      <c r="AN151" s="1158"/>
      <c r="AO151" s="1157"/>
      <c r="AP151" s="1158"/>
      <c r="AQ151" s="1157"/>
      <c r="AR151" s="1158"/>
    </row>
    <row r="152" spans="1:44" ht="15" customHeight="1" outlineLevel="1" thickBot="1">
      <c r="B152" s="1161"/>
      <c r="C152" s="1163"/>
      <c r="D152" s="1163"/>
      <c r="E152" s="1163"/>
      <c r="F152" s="1163"/>
      <c r="G152" s="1218"/>
      <c r="H152" s="1219"/>
      <c r="I152" s="1218"/>
      <c r="J152" s="1219"/>
      <c r="K152" s="1186"/>
      <c r="L152" s="1186"/>
      <c r="M152" s="366"/>
      <c r="N152" s="366"/>
      <c r="P152" s="1177"/>
      <c r="Q152" s="367"/>
      <c r="R152" s="367"/>
      <c r="S152" s="1174"/>
      <c r="T152" s="1159"/>
      <c r="U152" s="1160"/>
      <c r="V152" s="1159"/>
      <c r="W152" s="1160"/>
      <c r="X152" s="1159"/>
      <c r="Y152" s="1160"/>
      <c r="Z152" s="1159"/>
      <c r="AA152" s="1160"/>
      <c r="AB152" s="1159"/>
      <c r="AC152" s="1160"/>
      <c r="AE152" s="1177"/>
      <c r="AF152" s="367"/>
      <c r="AG152" s="367"/>
      <c r="AH152" s="1174"/>
      <c r="AI152" s="1159"/>
      <c r="AJ152" s="1160"/>
      <c r="AK152" s="1159"/>
      <c r="AL152" s="1160"/>
      <c r="AM152" s="1159"/>
      <c r="AN152" s="1160"/>
      <c r="AO152" s="1159"/>
      <c r="AP152" s="1160"/>
      <c r="AQ152" s="1159"/>
      <c r="AR152" s="1160"/>
    </row>
    <row r="153" spans="1:44" ht="15" customHeight="1" outlineLevel="1" thickBot="1">
      <c r="B153" s="1162"/>
      <c r="C153" s="1164"/>
      <c r="D153" s="1164"/>
      <c r="E153" s="1164"/>
      <c r="F153" s="1164"/>
      <c r="G153" s="539"/>
      <c r="H153" s="539"/>
      <c r="I153" s="539"/>
      <c r="J153" s="539"/>
      <c r="K153" s="1187"/>
      <c r="L153" s="1187"/>
      <c r="M153" s="369"/>
      <c r="N153" s="369"/>
      <c r="P153" s="1178"/>
      <c r="Q153" s="1180"/>
      <c r="R153" s="1181"/>
      <c r="S153" s="1175"/>
      <c r="T153" s="1159"/>
      <c r="U153" s="1160"/>
      <c r="V153" s="1159"/>
      <c r="W153" s="1160"/>
      <c r="X153" s="1159"/>
      <c r="Y153" s="1160"/>
      <c r="Z153" s="1159"/>
      <c r="AA153" s="1160"/>
      <c r="AB153" s="1159"/>
      <c r="AC153" s="1160"/>
      <c r="AE153" s="1178"/>
      <c r="AF153" s="1194"/>
      <c r="AG153" s="1181"/>
      <c r="AH153" s="1175"/>
      <c r="AI153" s="1159"/>
      <c r="AJ153" s="1160"/>
      <c r="AK153" s="1159"/>
      <c r="AL153" s="1160"/>
      <c r="AM153" s="1159"/>
      <c r="AN153" s="1160"/>
      <c r="AO153" s="1159"/>
      <c r="AP153" s="1160"/>
      <c r="AQ153" s="1159"/>
      <c r="AR153" s="1160"/>
    </row>
    <row r="154" spans="1:44" ht="15" outlineLevel="1" thickBot="1">
      <c r="B154" s="370"/>
      <c r="C154" s="371"/>
      <c r="D154" s="371"/>
      <c r="E154" s="371"/>
      <c r="F154" s="371"/>
      <c r="G154" s="371"/>
      <c r="H154" s="371"/>
      <c r="I154" s="371"/>
      <c r="J154" s="371"/>
      <c r="K154" s="371"/>
      <c r="L154" s="372"/>
      <c r="M154" s="369"/>
      <c r="N154" s="369"/>
      <c r="O154" s="74"/>
      <c r="P154" s="1179"/>
      <c r="Q154" s="1176"/>
      <c r="R154" s="1182"/>
      <c r="S154" s="1176"/>
      <c r="T154" s="373"/>
      <c r="U154" s="374"/>
      <c r="V154" s="373"/>
      <c r="W154" s="374"/>
      <c r="X154" s="373"/>
      <c r="Y154" s="374"/>
      <c r="Z154" s="373"/>
      <c r="AA154" s="374"/>
      <c r="AB154" s="373"/>
      <c r="AC154" s="374"/>
      <c r="AE154" s="1179"/>
      <c r="AF154" s="1195"/>
      <c r="AG154" s="1182"/>
      <c r="AH154" s="1176"/>
      <c r="AI154" s="373"/>
      <c r="AJ154" s="374"/>
      <c r="AK154" s="373"/>
      <c r="AL154" s="374"/>
      <c r="AM154" s="373"/>
      <c r="AN154" s="374"/>
      <c r="AO154" s="373"/>
      <c r="AP154" s="374"/>
      <c r="AQ154" s="373"/>
      <c r="AR154" s="374"/>
    </row>
    <row r="155" spans="1:44" ht="14.55" customHeight="1" outlineLevel="1">
      <c r="B155" s="540"/>
      <c r="C155" s="541"/>
      <c r="D155" s="541"/>
      <c r="E155" s="542"/>
      <c r="F155" s="541"/>
      <c r="G155" s="541"/>
      <c r="H155" s="541"/>
      <c r="I155" s="541"/>
      <c r="J155" s="541"/>
      <c r="K155" s="371"/>
      <c r="L155" s="372"/>
      <c r="M155" s="369"/>
      <c r="N155" s="369"/>
      <c r="P155" s="1145"/>
      <c r="Q155" s="1151"/>
      <c r="R155" s="380"/>
      <c r="S155" s="381"/>
      <c r="T155" s="1134"/>
      <c r="U155" s="1148"/>
      <c r="V155" s="1134"/>
      <c r="W155" s="1148"/>
      <c r="X155" s="1134"/>
      <c r="Y155" s="1148"/>
      <c r="Z155" s="1134"/>
      <c r="AA155" s="1148"/>
      <c r="AB155" s="1134"/>
      <c r="AC155" s="1148"/>
      <c r="AE155" s="1145"/>
      <c r="AF155" s="1151"/>
      <c r="AG155" s="380"/>
      <c r="AH155" s="381"/>
      <c r="AI155" s="1134"/>
      <c r="AJ155" s="1148"/>
      <c r="AK155" s="1134"/>
      <c r="AL155" s="1148"/>
      <c r="AM155" s="1134"/>
      <c r="AN155" s="1148"/>
      <c r="AO155" s="1134"/>
      <c r="AP155" s="1148"/>
      <c r="AQ155" s="1134"/>
      <c r="AR155" s="1148"/>
    </row>
    <row r="156" spans="1:44" outlineLevel="1">
      <c r="B156" s="382"/>
      <c r="C156" s="383"/>
      <c r="D156" s="383"/>
      <c r="E156" s="383"/>
      <c r="F156" s="383"/>
      <c r="G156" s="504"/>
      <c r="H156" s="504"/>
      <c r="I156" s="504"/>
      <c r="J156" s="504"/>
      <c r="K156" s="371"/>
      <c r="L156" s="372"/>
      <c r="M156" s="369"/>
      <c r="N156" s="369"/>
      <c r="O156" s="71"/>
      <c r="P156" s="1192"/>
      <c r="Q156" s="1152"/>
      <c r="R156" s="387"/>
      <c r="S156" s="388"/>
      <c r="T156" s="1137"/>
      <c r="U156" s="1149"/>
      <c r="V156" s="1137"/>
      <c r="W156" s="1149"/>
      <c r="X156" s="1137"/>
      <c r="Y156" s="1149"/>
      <c r="Z156" s="1137"/>
      <c r="AA156" s="1149"/>
      <c r="AB156" s="1137"/>
      <c r="AC156" s="1149"/>
      <c r="AE156" s="1192"/>
      <c r="AF156" s="1152"/>
      <c r="AG156" s="387"/>
      <c r="AH156" s="388"/>
      <c r="AI156" s="1137"/>
      <c r="AJ156" s="1149"/>
      <c r="AK156" s="1137"/>
      <c r="AL156" s="1149"/>
      <c r="AM156" s="1137"/>
      <c r="AN156" s="1149"/>
      <c r="AO156" s="1137"/>
      <c r="AP156" s="1149"/>
      <c r="AQ156" s="1137"/>
      <c r="AR156" s="1149"/>
    </row>
    <row r="157" spans="1:44" ht="15" outlineLevel="1" thickBot="1">
      <c r="B157" s="540"/>
      <c r="C157" s="543"/>
      <c r="D157" s="544"/>
      <c r="E157" s="544"/>
      <c r="F157" s="545"/>
      <c r="G157" s="544"/>
      <c r="H157" s="544"/>
      <c r="I157" s="544"/>
      <c r="J157" s="544"/>
      <c r="K157" s="546"/>
      <c r="L157" s="547"/>
      <c r="M157" s="369"/>
      <c r="N157" s="369"/>
      <c r="O157" s="71"/>
      <c r="P157" s="1192"/>
      <c r="Q157" s="1153"/>
      <c r="R157" s="392"/>
      <c r="S157" s="393"/>
      <c r="T157" s="1138"/>
      <c r="U157" s="1150"/>
      <c r="V157" s="1138"/>
      <c r="W157" s="1150"/>
      <c r="X157" s="1138"/>
      <c r="Y157" s="1150"/>
      <c r="Z157" s="1138"/>
      <c r="AA157" s="1150"/>
      <c r="AB157" s="1138"/>
      <c r="AC157" s="1150"/>
      <c r="AE157" s="1192"/>
      <c r="AF157" s="1153"/>
      <c r="AG157" s="392"/>
      <c r="AH157" s="393"/>
      <c r="AI157" s="1138"/>
      <c r="AJ157" s="1150"/>
      <c r="AK157" s="1138"/>
      <c r="AL157" s="1150"/>
      <c r="AM157" s="1138"/>
      <c r="AN157" s="1150"/>
      <c r="AO157" s="1138"/>
      <c r="AP157" s="1150"/>
      <c r="AQ157" s="1138"/>
      <c r="AR157" s="1150"/>
    </row>
    <row r="158" spans="1:44" ht="14.55" customHeight="1" outlineLevel="1">
      <c r="B158" s="540"/>
      <c r="C158" s="543"/>
      <c r="D158" s="543"/>
      <c r="E158" s="543"/>
      <c r="F158" s="543"/>
      <c r="G158" s="543"/>
      <c r="H158" s="543"/>
      <c r="I158" s="543"/>
      <c r="J158" s="543"/>
      <c r="K158" s="546"/>
      <c r="L158" s="547"/>
      <c r="M158" s="369"/>
      <c r="N158" s="369"/>
      <c r="O158" s="71"/>
      <c r="P158" s="1192"/>
      <c r="Q158" s="1151"/>
      <c r="R158" s="394"/>
      <c r="S158" s="395"/>
      <c r="T158" s="1134"/>
      <c r="U158" s="1134"/>
      <c r="V158" s="1134"/>
      <c r="W158" s="1134"/>
      <c r="X158" s="1134"/>
      <c r="Y158" s="1134"/>
      <c r="Z158" s="1134"/>
      <c r="AA158" s="1134"/>
      <c r="AB158" s="1134"/>
      <c r="AC158" s="1134"/>
      <c r="AE158" s="1192"/>
      <c r="AF158" s="1151"/>
      <c r="AG158" s="394"/>
      <c r="AH158" s="395"/>
      <c r="AI158" s="1134"/>
      <c r="AJ158" s="1134"/>
      <c r="AK158" s="1134"/>
      <c r="AL158" s="1134"/>
      <c r="AM158" s="1134"/>
      <c r="AN158" s="1134"/>
      <c r="AO158" s="1134"/>
      <c r="AP158" s="1134"/>
      <c r="AQ158" s="1134"/>
      <c r="AR158" s="1134"/>
    </row>
    <row r="159" spans="1:44" outlineLevel="1">
      <c r="B159" s="540"/>
      <c r="C159" s="543"/>
      <c r="D159" s="543"/>
      <c r="E159" s="543"/>
      <c r="F159" s="543"/>
      <c r="G159" s="543"/>
      <c r="H159" s="543"/>
      <c r="I159" s="543"/>
      <c r="J159" s="543"/>
      <c r="K159" s="546"/>
      <c r="L159" s="547"/>
      <c r="M159" s="366"/>
      <c r="N159" s="366"/>
      <c r="O159" s="71"/>
      <c r="P159" s="1192"/>
      <c r="Q159" s="1152"/>
      <c r="R159" s="394"/>
      <c r="S159" s="395"/>
      <c r="T159" s="1135"/>
      <c r="U159" s="1135"/>
      <c r="V159" s="1135"/>
      <c r="W159" s="1135"/>
      <c r="X159" s="1135"/>
      <c r="Y159" s="1135"/>
      <c r="Z159" s="1135"/>
      <c r="AA159" s="1135"/>
      <c r="AB159" s="1135"/>
      <c r="AC159" s="1135"/>
      <c r="AE159" s="1192"/>
      <c r="AF159" s="1152"/>
      <c r="AG159" s="394"/>
      <c r="AH159" s="395"/>
      <c r="AI159" s="1135"/>
      <c r="AJ159" s="1135"/>
      <c r="AK159" s="1135"/>
      <c r="AL159" s="1135"/>
      <c r="AM159" s="1135"/>
      <c r="AN159" s="1135"/>
      <c r="AO159" s="1135"/>
      <c r="AP159" s="1135"/>
      <c r="AQ159" s="1135"/>
      <c r="AR159" s="1135"/>
    </row>
    <row r="160" spans="1:44" outlineLevel="1">
      <c r="B160" s="382"/>
      <c r="C160" s="396"/>
      <c r="D160" s="396"/>
      <c r="E160" s="396"/>
      <c r="F160" s="398"/>
      <c r="G160" s="398"/>
      <c r="H160" s="398"/>
      <c r="I160" s="398"/>
      <c r="J160" s="398"/>
      <c r="K160" s="371"/>
      <c r="L160" s="372"/>
      <c r="M160" s="362"/>
      <c r="N160" s="362"/>
      <c r="P160" s="1192"/>
      <c r="Q160" s="1152"/>
      <c r="R160" s="394"/>
      <c r="S160" s="395"/>
      <c r="T160" s="1135"/>
      <c r="U160" s="1135"/>
      <c r="V160" s="1135"/>
      <c r="W160" s="1135"/>
      <c r="X160" s="1135"/>
      <c r="Y160" s="1135"/>
      <c r="Z160" s="1135"/>
      <c r="AA160" s="1135"/>
      <c r="AB160" s="1135"/>
      <c r="AC160" s="1135"/>
      <c r="AE160" s="1192"/>
      <c r="AF160" s="1152"/>
      <c r="AG160" s="394"/>
      <c r="AH160" s="395"/>
      <c r="AI160" s="1135"/>
      <c r="AJ160" s="1135"/>
      <c r="AK160" s="1135"/>
      <c r="AL160" s="1135"/>
      <c r="AM160" s="1135"/>
      <c r="AN160" s="1135"/>
      <c r="AO160" s="1135"/>
      <c r="AP160" s="1135"/>
      <c r="AQ160" s="1135"/>
      <c r="AR160" s="1135"/>
    </row>
    <row r="161" spans="1:44" ht="15" outlineLevel="1" thickBot="1">
      <c r="B161" s="540"/>
      <c r="C161" s="543"/>
      <c r="D161" s="543"/>
      <c r="E161" s="543"/>
      <c r="F161" s="543"/>
      <c r="G161" s="543"/>
      <c r="H161" s="543"/>
      <c r="I161" s="543"/>
      <c r="J161" s="543"/>
      <c r="K161" s="371"/>
      <c r="L161" s="399"/>
      <c r="M161" s="362"/>
      <c r="N161" s="362"/>
      <c r="P161" s="1192"/>
      <c r="Q161" s="1152"/>
      <c r="R161" s="394"/>
      <c r="S161" s="395"/>
      <c r="T161" s="1135"/>
      <c r="U161" s="1135"/>
      <c r="V161" s="1135"/>
      <c r="W161" s="1135"/>
      <c r="X161" s="1135"/>
      <c r="Y161" s="1135"/>
      <c r="Z161" s="1135"/>
      <c r="AA161" s="1135"/>
      <c r="AB161" s="1135"/>
      <c r="AC161" s="1135"/>
      <c r="AE161" s="1192"/>
      <c r="AF161" s="1152"/>
      <c r="AG161" s="394"/>
      <c r="AH161" s="395"/>
      <c r="AI161" s="1135"/>
      <c r="AJ161" s="1135"/>
      <c r="AK161" s="1135"/>
      <c r="AL161" s="1135"/>
      <c r="AM161" s="1135"/>
      <c r="AN161" s="1135"/>
      <c r="AO161" s="1135"/>
      <c r="AP161" s="1135"/>
      <c r="AQ161" s="1135"/>
      <c r="AR161" s="1135"/>
    </row>
    <row r="162" spans="1:44" ht="15" outlineLevel="1" thickBot="1">
      <c r="B162" s="400"/>
      <c r="C162" s="401"/>
      <c r="D162" s="402"/>
      <c r="E162" s="403"/>
      <c r="F162" s="404"/>
      <c r="G162" s="405"/>
      <c r="H162" s="405"/>
      <c r="I162" s="405"/>
      <c r="J162" s="405"/>
      <c r="K162" s="406"/>
      <c r="L162" s="407"/>
      <c r="M162" s="362"/>
      <c r="N162" s="362"/>
      <c r="P162" s="1192"/>
      <c r="Q162" s="1152"/>
      <c r="R162" s="408"/>
      <c r="S162" s="409"/>
      <c r="T162" s="1136"/>
      <c r="U162" s="1136"/>
      <c r="V162" s="1136"/>
      <c r="W162" s="1136"/>
      <c r="X162" s="1136"/>
      <c r="Y162" s="1136"/>
      <c r="Z162" s="1136"/>
      <c r="AA162" s="1136"/>
      <c r="AB162" s="1136"/>
      <c r="AC162" s="1136"/>
      <c r="AE162" s="1192"/>
      <c r="AF162" s="1152"/>
      <c r="AG162" s="408"/>
      <c r="AH162" s="409"/>
      <c r="AI162" s="1136"/>
      <c r="AJ162" s="1136"/>
      <c r="AK162" s="1136"/>
      <c r="AL162" s="1136"/>
      <c r="AM162" s="1136"/>
      <c r="AN162" s="1136"/>
      <c r="AO162" s="1136"/>
      <c r="AP162" s="1136"/>
      <c r="AQ162" s="1136"/>
      <c r="AR162" s="1136"/>
    </row>
    <row r="163" spans="1:44" ht="15" outlineLevel="1" thickBot="1">
      <c r="B163" s="540"/>
      <c r="C163" s="543"/>
      <c r="D163" s="543"/>
      <c r="E163" s="543"/>
      <c r="F163" s="543"/>
      <c r="G163" s="544"/>
      <c r="H163" s="544"/>
      <c r="I163" s="544"/>
      <c r="J163" s="544"/>
      <c r="K163" s="546"/>
      <c r="L163" s="547"/>
      <c r="M163" s="362"/>
      <c r="N163" s="362"/>
      <c r="P163" s="1193"/>
      <c r="Q163" s="410"/>
      <c r="R163" s="411"/>
      <c r="S163" s="412"/>
      <c r="T163" s="413"/>
      <c r="U163" s="414"/>
      <c r="V163" s="415"/>
      <c r="W163" s="414"/>
      <c r="X163" s="415"/>
      <c r="Y163" s="414"/>
      <c r="Z163" s="415"/>
      <c r="AA163" s="414"/>
      <c r="AB163" s="415"/>
      <c r="AC163" s="416"/>
      <c r="AE163" s="1193"/>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5" outlineLevel="1" thickBot="1">
      <c r="B171" s="428"/>
      <c r="C171" s="429"/>
      <c r="D171" s="429"/>
      <c r="E171" s="429"/>
      <c r="F171" s="429"/>
      <c r="G171" s="424"/>
      <c r="H171" s="424"/>
      <c r="I171" s="424"/>
      <c r="J171" s="424"/>
      <c r="K171" s="422"/>
      <c r="L171" s="426"/>
      <c r="M171" s="427"/>
      <c r="N171" s="427"/>
    </row>
    <row r="172" spans="1:44" ht="15"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39"/>
      <c r="Q177" s="1140"/>
      <c r="R177" s="1140"/>
      <c r="S177" s="1140"/>
      <c r="T177" s="1140"/>
      <c r="U177" s="1141"/>
    </row>
    <row r="178" spans="2:30" ht="15" outlineLevel="1" thickBot="1">
      <c r="B178" s="540"/>
      <c r="C178" s="551"/>
      <c r="D178" s="551"/>
      <c r="E178" s="551"/>
      <c r="F178" s="551"/>
      <c r="G178" s="552"/>
      <c r="H178" s="552"/>
      <c r="I178" s="552"/>
      <c r="J178" s="552"/>
      <c r="K178" s="546"/>
      <c r="L178" s="547"/>
      <c r="M178" s="449"/>
      <c r="N178" s="360"/>
      <c r="P178" s="1131"/>
      <c r="Q178" s="1132"/>
      <c r="R178" s="1132"/>
      <c r="S178" s="1132"/>
      <c r="T178" s="1132"/>
      <c r="U178" s="1133"/>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5"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5"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5"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5" thickBot="1">
      <c r="A217" s="359"/>
    </row>
    <row r="218" spans="1:44" ht="20.55" customHeight="1" outlineLevel="1" thickBot="1">
      <c r="B218" s="361"/>
      <c r="C218" s="1183"/>
      <c r="D218" s="1202"/>
      <c r="E218" s="1202"/>
      <c r="F218" s="1202"/>
      <c r="G218" s="1202"/>
      <c r="H218" s="1202"/>
      <c r="I218" s="1202"/>
      <c r="J218" s="1202"/>
      <c r="K218" s="1202"/>
      <c r="L218" s="1203"/>
      <c r="M218" s="362"/>
      <c r="N218" s="362"/>
      <c r="P218" s="363"/>
      <c r="Q218" s="364"/>
      <c r="R218" s="365"/>
      <c r="S218" s="1173"/>
      <c r="T218" s="1157"/>
      <c r="U218" s="1158"/>
      <c r="V218" s="1157"/>
      <c r="W218" s="1158"/>
      <c r="X218" s="1157"/>
      <c r="Y218" s="1158"/>
      <c r="Z218" s="1157"/>
      <c r="AA218" s="1158"/>
      <c r="AB218" s="1157"/>
      <c r="AC218" s="1158"/>
      <c r="AE218" s="363"/>
      <c r="AF218" s="364"/>
      <c r="AG218" s="365"/>
      <c r="AH218" s="1173"/>
      <c r="AI218" s="1157"/>
      <c r="AJ218" s="1158"/>
      <c r="AK218" s="1157"/>
      <c r="AL218" s="1158"/>
      <c r="AM218" s="1157"/>
      <c r="AN218" s="1158"/>
      <c r="AO218" s="1157"/>
      <c r="AP218" s="1158"/>
      <c r="AQ218" s="1157"/>
      <c r="AR218" s="1158"/>
    </row>
    <row r="219" spans="1:44" ht="15" customHeight="1" outlineLevel="1" thickBot="1">
      <c r="B219" s="1161"/>
      <c r="C219" s="1163"/>
      <c r="D219" s="1163"/>
      <c r="E219" s="1163"/>
      <c r="F219" s="1163"/>
      <c r="G219" s="1165"/>
      <c r="H219" s="1166"/>
      <c r="I219" s="1165"/>
      <c r="J219" s="1166"/>
      <c r="K219" s="1186"/>
      <c r="L219" s="1186"/>
      <c r="M219" s="366"/>
      <c r="N219" s="366"/>
      <c r="P219" s="1177"/>
      <c r="Q219" s="367"/>
      <c r="R219" s="367"/>
      <c r="S219" s="1174"/>
      <c r="T219" s="1159"/>
      <c r="U219" s="1160"/>
      <c r="V219" s="1159"/>
      <c r="W219" s="1160"/>
      <c r="X219" s="1159"/>
      <c r="Y219" s="1160"/>
      <c r="Z219" s="1159"/>
      <c r="AA219" s="1160"/>
      <c r="AB219" s="1159"/>
      <c r="AC219" s="1160"/>
      <c r="AE219" s="1177"/>
      <c r="AF219" s="367"/>
      <c r="AG219" s="367"/>
      <c r="AH219" s="1174"/>
      <c r="AI219" s="1159"/>
      <c r="AJ219" s="1160"/>
      <c r="AK219" s="1159"/>
      <c r="AL219" s="1160"/>
      <c r="AM219" s="1159"/>
      <c r="AN219" s="1160"/>
      <c r="AO219" s="1159"/>
      <c r="AP219" s="1160"/>
      <c r="AQ219" s="1159"/>
      <c r="AR219" s="1160"/>
    </row>
    <row r="220" spans="1:44" ht="15" customHeight="1" outlineLevel="1" thickBot="1">
      <c r="B220" s="1162"/>
      <c r="C220" s="1164"/>
      <c r="D220" s="1164"/>
      <c r="E220" s="1164"/>
      <c r="F220" s="1164"/>
      <c r="G220" s="405"/>
      <c r="H220" s="405"/>
      <c r="I220" s="405"/>
      <c r="J220" s="405"/>
      <c r="K220" s="1187"/>
      <c r="L220" s="1187"/>
      <c r="M220" s="369"/>
      <c r="N220" s="369"/>
      <c r="P220" s="1178"/>
      <c r="Q220" s="1180"/>
      <c r="R220" s="1181"/>
      <c r="S220" s="1175"/>
      <c r="T220" s="1159"/>
      <c r="U220" s="1160"/>
      <c r="V220" s="1159"/>
      <c r="W220" s="1160"/>
      <c r="X220" s="1159"/>
      <c r="Y220" s="1160"/>
      <c r="Z220" s="1159"/>
      <c r="AA220" s="1160"/>
      <c r="AB220" s="1159"/>
      <c r="AC220" s="1160"/>
      <c r="AE220" s="1178"/>
      <c r="AF220" s="1194"/>
      <c r="AG220" s="1181"/>
      <c r="AH220" s="1175"/>
      <c r="AI220" s="1159"/>
      <c r="AJ220" s="1160"/>
      <c r="AK220" s="1159"/>
      <c r="AL220" s="1160"/>
      <c r="AM220" s="1159"/>
      <c r="AN220" s="1160"/>
      <c r="AO220" s="1159"/>
      <c r="AP220" s="1160"/>
      <c r="AQ220" s="1159"/>
      <c r="AR220" s="1160"/>
    </row>
    <row r="221" spans="1:44" ht="15" outlineLevel="1" thickBot="1">
      <c r="B221" s="370"/>
      <c r="C221" s="371"/>
      <c r="D221" s="371"/>
      <c r="E221" s="371"/>
      <c r="F221" s="371"/>
      <c r="G221" s="371"/>
      <c r="H221" s="371"/>
      <c r="I221" s="371"/>
      <c r="J221" s="371"/>
      <c r="K221" s="371"/>
      <c r="L221" s="372"/>
      <c r="M221" s="369"/>
      <c r="N221" s="369"/>
      <c r="O221" s="74"/>
      <c r="P221" s="1179"/>
      <c r="Q221" s="1176"/>
      <c r="R221" s="1182"/>
      <c r="S221" s="1176"/>
      <c r="T221" s="373"/>
      <c r="U221" s="374"/>
      <c r="V221" s="373"/>
      <c r="W221" s="374"/>
      <c r="X221" s="373"/>
      <c r="Y221" s="374"/>
      <c r="Z221" s="373"/>
      <c r="AA221" s="374"/>
      <c r="AB221" s="373"/>
      <c r="AC221" s="374"/>
      <c r="AE221" s="1179"/>
      <c r="AF221" s="1195"/>
      <c r="AG221" s="1182"/>
      <c r="AH221" s="1176"/>
      <c r="AI221" s="373"/>
      <c r="AJ221" s="374"/>
      <c r="AK221" s="373"/>
      <c r="AL221" s="374"/>
      <c r="AM221" s="373"/>
      <c r="AN221" s="374"/>
      <c r="AO221" s="373"/>
      <c r="AP221" s="374"/>
      <c r="AQ221" s="373"/>
      <c r="AR221" s="374"/>
    </row>
    <row r="222" spans="1:44" ht="14.55" customHeight="1" outlineLevel="1">
      <c r="B222" s="540"/>
      <c r="C222" s="541"/>
      <c r="D222" s="541"/>
      <c r="E222" s="542"/>
      <c r="F222" s="541"/>
      <c r="G222" s="541"/>
      <c r="H222" s="541"/>
      <c r="I222" s="541"/>
      <c r="J222" s="541"/>
      <c r="K222" s="546"/>
      <c r="L222" s="547"/>
      <c r="M222" s="369"/>
      <c r="N222" s="369"/>
      <c r="P222" s="1145"/>
      <c r="Q222" s="1151"/>
      <c r="R222" s="380"/>
      <c r="S222" s="381"/>
      <c r="T222" s="1134"/>
      <c r="U222" s="1148"/>
      <c r="V222" s="1134"/>
      <c r="W222" s="1148"/>
      <c r="X222" s="1134"/>
      <c r="Y222" s="1148"/>
      <c r="Z222" s="1134"/>
      <c r="AA222" s="1148"/>
      <c r="AB222" s="1134"/>
      <c r="AC222" s="1148"/>
      <c r="AE222" s="1145"/>
      <c r="AF222" s="1151"/>
      <c r="AG222" s="380"/>
      <c r="AH222" s="381"/>
      <c r="AI222" s="1134"/>
      <c r="AJ222" s="1148"/>
      <c r="AK222" s="1134"/>
      <c r="AL222" s="1148"/>
      <c r="AM222" s="1134"/>
      <c r="AN222" s="1148"/>
      <c r="AO222" s="1134"/>
      <c r="AP222" s="1148"/>
      <c r="AQ222" s="1134"/>
      <c r="AR222" s="1148"/>
    </row>
    <row r="223" spans="1:44" outlineLevel="1">
      <c r="B223" s="382"/>
      <c r="C223" s="383"/>
      <c r="D223" s="383"/>
      <c r="E223" s="383"/>
      <c r="F223" s="383"/>
      <c r="G223" s="504"/>
      <c r="H223" s="504"/>
      <c r="I223" s="504"/>
      <c r="J223" s="504"/>
      <c r="K223" s="371"/>
      <c r="L223" s="372"/>
      <c r="M223" s="369"/>
      <c r="N223" s="369"/>
      <c r="O223" s="71"/>
      <c r="P223" s="1192"/>
      <c r="Q223" s="1152"/>
      <c r="R223" s="387"/>
      <c r="S223" s="388"/>
      <c r="T223" s="1137"/>
      <c r="U223" s="1149"/>
      <c r="V223" s="1137"/>
      <c r="W223" s="1149"/>
      <c r="X223" s="1137"/>
      <c r="Y223" s="1149"/>
      <c r="Z223" s="1137"/>
      <c r="AA223" s="1149"/>
      <c r="AB223" s="1137"/>
      <c r="AC223" s="1149"/>
      <c r="AE223" s="1192"/>
      <c r="AF223" s="1152"/>
      <c r="AG223" s="387"/>
      <c r="AH223" s="388"/>
      <c r="AI223" s="1137"/>
      <c r="AJ223" s="1149"/>
      <c r="AK223" s="1137"/>
      <c r="AL223" s="1149"/>
      <c r="AM223" s="1137"/>
      <c r="AN223" s="1149"/>
      <c r="AO223" s="1137"/>
      <c r="AP223" s="1149"/>
      <c r="AQ223" s="1137"/>
      <c r="AR223" s="1149"/>
    </row>
    <row r="224" spans="1:44" ht="15" outlineLevel="1" thickBot="1">
      <c r="B224" s="540"/>
      <c r="C224" s="543"/>
      <c r="D224" s="544"/>
      <c r="E224" s="544"/>
      <c r="F224" s="545"/>
      <c r="G224" s="544"/>
      <c r="H224" s="544"/>
      <c r="I224" s="544"/>
      <c r="J224" s="544"/>
      <c r="K224" s="546"/>
      <c r="L224" s="547"/>
      <c r="M224" s="369"/>
      <c r="N224" s="369"/>
      <c r="O224" s="71"/>
      <c r="P224" s="1192"/>
      <c r="Q224" s="1153"/>
      <c r="R224" s="392"/>
      <c r="S224" s="393"/>
      <c r="T224" s="1138"/>
      <c r="U224" s="1150"/>
      <c r="V224" s="1138"/>
      <c r="W224" s="1150"/>
      <c r="X224" s="1138"/>
      <c r="Y224" s="1150"/>
      <c r="Z224" s="1138"/>
      <c r="AA224" s="1150"/>
      <c r="AB224" s="1138"/>
      <c r="AC224" s="1150"/>
      <c r="AE224" s="1192"/>
      <c r="AF224" s="1153"/>
      <c r="AG224" s="392"/>
      <c r="AH224" s="393"/>
      <c r="AI224" s="1138"/>
      <c r="AJ224" s="1150"/>
      <c r="AK224" s="1138"/>
      <c r="AL224" s="1150"/>
      <c r="AM224" s="1138"/>
      <c r="AN224" s="1150"/>
      <c r="AO224" s="1138"/>
      <c r="AP224" s="1150"/>
      <c r="AQ224" s="1138"/>
      <c r="AR224" s="1150"/>
    </row>
    <row r="225" spans="1:44" ht="14.55" customHeight="1" outlineLevel="1">
      <c r="B225" s="540"/>
      <c r="C225" s="543"/>
      <c r="D225" s="543"/>
      <c r="E225" s="543"/>
      <c r="F225" s="543"/>
      <c r="G225" s="543"/>
      <c r="H225" s="543"/>
      <c r="I225" s="543"/>
      <c r="J225" s="543"/>
      <c r="K225" s="546"/>
      <c r="L225" s="547"/>
      <c r="M225" s="369"/>
      <c r="N225" s="369"/>
      <c r="O225" s="71"/>
      <c r="P225" s="1192"/>
      <c r="Q225" s="1151"/>
      <c r="R225" s="394"/>
      <c r="S225" s="395"/>
      <c r="T225" s="1134"/>
      <c r="U225" s="1134"/>
      <c r="V225" s="1134"/>
      <c r="W225" s="1134"/>
      <c r="X225" s="1134"/>
      <c r="Y225" s="1134"/>
      <c r="Z225" s="1134"/>
      <c r="AA225" s="1134"/>
      <c r="AB225" s="1134"/>
      <c r="AC225" s="1134"/>
      <c r="AE225" s="1192"/>
      <c r="AF225" s="1151"/>
      <c r="AG225" s="394"/>
      <c r="AH225" s="395"/>
      <c r="AI225" s="1134"/>
      <c r="AJ225" s="1134"/>
      <c r="AK225" s="1134"/>
      <c r="AL225" s="1134"/>
      <c r="AM225" s="1134"/>
      <c r="AN225" s="1134"/>
      <c r="AO225" s="1134"/>
      <c r="AP225" s="1134"/>
      <c r="AQ225" s="1134"/>
      <c r="AR225" s="1134"/>
    </row>
    <row r="226" spans="1:44" outlineLevel="1">
      <c r="B226" s="540"/>
      <c r="C226" s="543"/>
      <c r="D226" s="543"/>
      <c r="E226" s="543"/>
      <c r="F226" s="543"/>
      <c r="G226" s="543"/>
      <c r="H226" s="543"/>
      <c r="I226" s="543"/>
      <c r="J226" s="543"/>
      <c r="K226" s="546"/>
      <c r="L226" s="547"/>
      <c r="M226" s="366"/>
      <c r="N226" s="366"/>
      <c r="O226" s="71"/>
      <c r="P226" s="1192"/>
      <c r="Q226" s="1152"/>
      <c r="R226" s="394"/>
      <c r="S226" s="395"/>
      <c r="T226" s="1135"/>
      <c r="U226" s="1135"/>
      <c r="V226" s="1135"/>
      <c r="W226" s="1135"/>
      <c r="X226" s="1135"/>
      <c r="Y226" s="1135"/>
      <c r="Z226" s="1135"/>
      <c r="AA226" s="1135"/>
      <c r="AB226" s="1135"/>
      <c r="AC226" s="1135"/>
      <c r="AE226" s="1192"/>
      <c r="AF226" s="1152"/>
      <c r="AG226" s="394"/>
      <c r="AH226" s="395"/>
      <c r="AI226" s="1135"/>
      <c r="AJ226" s="1135"/>
      <c r="AK226" s="1135"/>
      <c r="AL226" s="1135"/>
      <c r="AM226" s="1135"/>
      <c r="AN226" s="1135"/>
      <c r="AO226" s="1135"/>
      <c r="AP226" s="1135"/>
      <c r="AQ226" s="1135"/>
      <c r="AR226" s="1135"/>
    </row>
    <row r="227" spans="1:44" outlineLevel="1">
      <c r="B227" s="382"/>
      <c r="C227" s="396"/>
      <c r="D227" s="396"/>
      <c r="E227" s="396"/>
      <c r="F227" s="396"/>
      <c r="G227" s="398"/>
      <c r="H227" s="398"/>
      <c r="I227" s="398"/>
      <c r="J227" s="398"/>
      <c r="K227" s="371"/>
      <c r="L227" s="372"/>
      <c r="M227" s="362"/>
      <c r="N227" s="362"/>
      <c r="P227" s="1192"/>
      <c r="Q227" s="1152"/>
      <c r="R227" s="394"/>
      <c r="S227" s="395"/>
      <c r="T227" s="1135"/>
      <c r="U227" s="1135"/>
      <c r="V227" s="1135"/>
      <c r="W227" s="1135"/>
      <c r="X227" s="1135"/>
      <c r="Y227" s="1135"/>
      <c r="Z227" s="1135"/>
      <c r="AA227" s="1135"/>
      <c r="AB227" s="1135"/>
      <c r="AC227" s="1135"/>
      <c r="AE227" s="1192"/>
      <c r="AF227" s="1152"/>
      <c r="AG227" s="394"/>
      <c r="AH227" s="395"/>
      <c r="AI227" s="1135"/>
      <c r="AJ227" s="1135"/>
      <c r="AK227" s="1135"/>
      <c r="AL227" s="1135"/>
      <c r="AM227" s="1135"/>
      <c r="AN227" s="1135"/>
      <c r="AO227" s="1135"/>
      <c r="AP227" s="1135"/>
      <c r="AQ227" s="1135"/>
      <c r="AR227" s="1135"/>
    </row>
    <row r="228" spans="1:44" ht="15" outlineLevel="1" thickBot="1">
      <c r="B228" s="540"/>
      <c r="C228" s="543"/>
      <c r="D228" s="543"/>
      <c r="E228" s="543"/>
      <c r="F228" s="543"/>
      <c r="G228" s="543"/>
      <c r="H228" s="543"/>
      <c r="I228" s="543"/>
      <c r="J228" s="543"/>
      <c r="K228" s="546"/>
      <c r="L228" s="558"/>
      <c r="M228" s="362"/>
      <c r="N228" s="362"/>
      <c r="P228" s="1192"/>
      <c r="Q228" s="1152"/>
      <c r="R228" s="394"/>
      <c r="S228" s="395"/>
      <c r="T228" s="1135"/>
      <c r="U228" s="1135"/>
      <c r="V228" s="1135"/>
      <c r="W228" s="1135"/>
      <c r="X228" s="1135"/>
      <c r="Y228" s="1135"/>
      <c r="Z228" s="1135"/>
      <c r="AA228" s="1135"/>
      <c r="AB228" s="1135"/>
      <c r="AC228" s="1135"/>
      <c r="AE228" s="1192"/>
      <c r="AF228" s="1152"/>
      <c r="AG228" s="394"/>
      <c r="AH228" s="395"/>
      <c r="AI228" s="1135"/>
      <c r="AJ228" s="1135"/>
      <c r="AK228" s="1135"/>
      <c r="AL228" s="1135"/>
      <c r="AM228" s="1135"/>
      <c r="AN228" s="1135"/>
      <c r="AO228" s="1135"/>
      <c r="AP228" s="1135"/>
      <c r="AQ228" s="1135"/>
      <c r="AR228" s="1135"/>
    </row>
    <row r="229" spans="1:44" ht="15" outlineLevel="1" thickBot="1">
      <c r="B229" s="400"/>
      <c r="C229" s="401"/>
      <c r="D229" s="402"/>
      <c r="E229" s="403"/>
      <c r="F229" s="404"/>
      <c r="G229" s="405"/>
      <c r="H229" s="405"/>
      <c r="I229" s="405"/>
      <c r="J229" s="405"/>
      <c r="K229" s="406"/>
      <c r="L229" s="407"/>
      <c r="M229" s="362"/>
      <c r="N229" s="362"/>
      <c r="P229" s="1192"/>
      <c r="Q229" s="1152"/>
      <c r="R229" s="408"/>
      <c r="S229" s="409"/>
      <c r="T229" s="1136"/>
      <c r="U229" s="1136"/>
      <c r="V229" s="1136"/>
      <c r="W229" s="1136"/>
      <c r="X229" s="1136"/>
      <c r="Y229" s="1136"/>
      <c r="Z229" s="1136"/>
      <c r="AA229" s="1136"/>
      <c r="AB229" s="1136"/>
      <c r="AC229" s="1136"/>
      <c r="AE229" s="1192"/>
      <c r="AF229" s="1152"/>
      <c r="AG229" s="408"/>
      <c r="AH229" s="409"/>
      <c r="AI229" s="1136"/>
      <c r="AJ229" s="1136"/>
      <c r="AK229" s="1136"/>
      <c r="AL229" s="1136"/>
      <c r="AM229" s="1136"/>
      <c r="AN229" s="1136"/>
      <c r="AO229" s="1136"/>
      <c r="AP229" s="1136"/>
      <c r="AQ229" s="1136"/>
      <c r="AR229" s="1136"/>
    </row>
    <row r="230" spans="1:44" ht="15" outlineLevel="1" thickBot="1">
      <c r="B230" s="540"/>
      <c r="C230" s="543"/>
      <c r="D230" s="543"/>
      <c r="E230" s="543"/>
      <c r="F230" s="543"/>
      <c r="G230" s="544"/>
      <c r="H230" s="544"/>
      <c r="I230" s="544"/>
      <c r="J230" s="544"/>
      <c r="K230" s="546"/>
      <c r="L230" s="547"/>
      <c r="M230" s="362"/>
      <c r="N230" s="362"/>
      <c r="P230" s="1193"/>
      <c r="Q230" s="410"/>
      <c r="R230" s="411"/>
      <c r="S230" s="412"/>
      <c r="T230" s="413"/>
      <c r="U230" s="414"/>
      <c r="V230" s="413"/>
      <c r="W230" s="414"/>
      <c r="X230" s="413"/>
      <c r="Y230" s="414"/>
      <c r="Z230" s="413"/>
      <c r="AA230" s="414"/>
      <c r="AB230" s="413"/>
      <c r="AC230" s="416"/>
      <c r="AE230" s="1193"/>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5" outlineLevel="1" thickBot="1">
      <c r="B238" s="428"/>
      <c r="C238" s="429"/>
      <c r="D238" s="429"/>
      <c r="E238" s="429"/>
      <c r="F238" s="429"/>
      <c r="G238" s="424"/>
      <c r="H238" s="424"/>
      <c r="I238" s="424"/>
      <c r="J238" s="424"/>
      <c r="K238" s="422"/>
      <c r="L238" s="426"/>
      <c r="M238" s="427"/>
      <c r="N238" s="427"/>
    </row>
    <row r="239" spans="1:44" ht="15"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39"/>
      <c r="Q244" s="1140"/>
      <c r="R244" s="1140"/>
      <c r="S244" s="1140"/>
      <c r="T244" s="1140"/>
      <c r="U244" s="1141"/>
    </row>
    <row r="245" spans="2:30" ht="15" outlineLevel="1" thickBot="1">
      <c r="B245" s="540"/>
      <c r="C245" s="551"/>
      <c r="D245" s="551"/>
      <c r="E245" s="551"/>
      <c r="F245" s="551"/>
      <c r="G245" s="424"/>
      <c r="H245" s="424"/>
      <c r="I245" s="424"/>
      <c r="J245" s="424"/>
      <c r="K245" s="443"/>
      <c r="L245" s="372"/>
      <c r="M245" s="449"/>
      <c r="N245" s="360"/>
      <c r="P245" s="1131"/>
      <c r="Q245" s="1132"/>
      <c r="R245" s="1132"/>
      <c r="S245" s="1132"/>
      <c r="T245" s="1132"/>
      <c r="U245" s="1133"/>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5"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5"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5"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5" thickBot="1">
      <c r="A283" s="359"/>
    </row>
    <row r="284" spans="1:44" ht="20.55" customHeight="1" thickBot="1">
      <c r="B284" s="361"/>
      <c r="C284" s="1183"/>
      <c r="D284" s="1184"/>
      <c r="E284" s="1184"/>
      <c r="F284" s="1184"/>
      <c r="G284" s="1184"/>
      <c r="H284" s="1184"/>
      <c r="I284" s="1184"/>
      <c r="J284" s="1184"/>
      <c r="K284" s="1184"/>
      <c r="L284" s="1185"/>
      <c r="M284" s="362"/>
      <c r="N284" s="362"/>
      <c r="P284" s="363"/>
      <c r="Q284" s="364"/>
      <c r="R284" s="365"/>
      <c r="S284" s="1173"/>
      <c r="T284" s="1157"/>
      <c r="U284" s="1158"/>
      <c r="V284" s="1157"/>
      <c r="W284" s="1158"/>
      <c r="X284" s="1157"/>
      <c r="Y284" s="1158"/>
      <c r="Z284" s="1157"/>
      <c r="AA284" s="1158"/>
      <c r="AB284" s="1157"/>
      <c r="AC284" s="1158"/>
      <c r="AE284" s="363"/>
      <c r="AF284" s="364"/>
      <c r="AG284" s="365"/>
      <c r="AH284" s="1173"/>
      <c r="AI284" s="1157"/>
      <c r="AJ284" s="1158"/>
      <c r="AK284" s="1157"/>
      <c r="AL284" s="1158"/>
      <c r="AM284" s="1157"/>
      <c r="AN284" s="1158"/>
      <c r="AO284" s="1157"/>
      <c r="AP284" s="1158"/>
      <c r="AQ284" s="1157"/>
      <c r="AR284" s="1158"/>
    </row>
    <row r="285" spans="1:44" ht="15" customHeight="1" thickBot="1">
      <c r="B285" s="1161"/>
      <c r="C285" s="1163"/>
      <c r="D285" s="1163"/>
      <c r="E285" s="1163"/>
      <c r="F285" s="1163"/>
      <c r="G285" s="1165"/>
      <c r="H285" s="1166"/>
      <c r="I285" s="1165"/>
      <c r="J285" s="1166"/>
      <c r="K285" s="1186"/>
      <c r="L285" s="1186"/>
      <c r="M285" s="366"/>
      <c r="N285" s="366"/>
      <c r="P285" s="1177"/>
      <c r="Q285" s="367"/>
      <c r="R285" s="367"/>
      <c r="S285" s="1174"/>
      <c r="T285" s="1159"/>
      <c r="U285" s="1160"/>
      <c r="V285" s="1159"/>
      <c r="W285" s="1160"/>
      <c r="X285" s="1159"/>
      <c r="Y285" s="1160"/>
      <c r="Z285" s="1159"/>
      <c r="AA285" s="1160"/>
      <c r="AB285" s="1159"/>
      <c r="AC285" s="1160"/>
      <c r="AE285" s="1177"/>
      <c r="AF285" s="367"/>
      <c r="AG285" s="367"/>
      <c r="AH285" s="1174"/>
      <c r="AI285" s="1159"/>
      <c r="AJ285" s="1160"/>
      <c r="AK285" s="1159"/>
      <c r="AL285" s="1160"/>
      <c r="AM285" s="1159"/>
      <c r="AN285" s="1160"/>
      <c r="AO285" s="1159"/>
      <c r="AP285" s="1160"/>
      <c r="AQ285" s="1159"/>
      <c r="AR285" s="1160"/>
    </row>
    <row r="286" spans="1:44" ht="15" customHeight="1" thickBot="1">
      <c r="B286" s="1162"/>
      <c r="C286" s="1164"/>
      <c r="D286" s="1164"/>
      <c r="E286" s="1164"/>
      <c r="F286" s="1164"/>
      <c r="G286" s="405"/>
      <c r="H286" s="405"/>
      <c r="I286" s="405"/>
      <c r="J286" s="405"/>
      <c r="K286" s="1187"/>
      <c r="L286" s="1187"/>
      <c r="M286" s="369"/>
      <c r="N286" s="369"/>
      <c r="P286" s="1178"/>
      <c r="Q286" s="1180"/>
      <c r="R286" s="1181"/>
      <c r="S286" s="1175"/>
      <c r="T286" s="1159"/>
      <c r="U286" s="1160"/>
      <c r="V286" s="1159"/>
      <c r="W286" s="1160"/>
      <c r="X286" s="1159"/>
      <c r="Y286" s="1160"/>
      <c r="Z286" s="1159"/>
      <c r="AA286" s="1160"/>
      <c r="AB286" s="1159"/>
      <c r="AC286" s="1160"/>
      <c r="AE286" s="1178"/>
      <c r="AF286" s="1180"/>
      <c r="AG286" s="1181"/>
      <c r="AH286" s="1175"/>
      <c r="AI286" s="1159"/>
      <c r="AJ286" s="1160"/>
      <c r="AK286" s="1159"/>
      <c r="AL286" s="1160"/>
      <c r="AM286" s="1159"/>
      <c r="AN286" s="1160"/>
      <c r="AO286" s="1159"/>
      <c r="AP286" s="1160"/>
      <c r="AQ286" s="1159"/>
      <c r="AR286" s="1160"/>
    </row>
    <row r="287" spans="1:44" ht="15" thickBot="1">
      <c r="B287" s="370"/>
      <c r="C287" s="371"/>
      <c r="D287" s="371"/>
      <c r="E287" s="371"/>
      <c r="F287" s="371"/>
      <c r="G287" s="371"/>
      <c r="H287" s="371"/>
      <c r="I287" s="371"/>
      <c r="J287" s="371"/>
      <c r="K287" s="371"/>
      <c r="L287" s="372"/>
      <c r="M287" s="369"/>
      <c r="N287" s="369"/>
      <c r="O287" s="74"/>
      <c r="P287" s="1179"/>
      <c r="Q287" s="1176"/>
      <c r="R287" s="1182"/>
      <c r="S287" s="1176"/>
      <c r="T287" s="373"/>
      <c r="U287" s="374"/>
      <c r="V287" s="373"/>
      <c r="W287" s="374"/>
      <c r="X287" s="373"/>
      <c r="Y287" s="374"/>
      <c r="Z287" s="373"/>
      <c r="AA287" s="374"/>
      <c r="AB287" s="373"/>
      <c r="AC287" s="374"/>
      <c r="AE287" s="1179"/>
      <c r="AF287" s="1176"/>
      <c r="AG287" s="1182"/>
      <c r="AH287" s="1176"/>
      <c r="AI287" s="373"/>
      <c r="AJ287" s="374"/>
      <c r="AK287" s="373"/>
      <c r="AL287" s="374"/>
      <c r="AM287" s="373"/>
      <c r="AN287" s="374"/>
      <c r="AO287" s="373"/>
      <c r="AP287" s="374"/>
      <c r="AQ287" s="373"/>
      <c r="AR287" s="374"/>
    </row>
    <row r="288" spans="1:44" ht="14.55" customHeight="1">
      <c r="B288" s="573"/>
      <c r="C288" s="574"/>
      <c r="D288" s="574"/>
      <c r="E288" s="574"/>
      <c r="F288" s="574"/>
      <c r="G288" s="575"/>
      <c r="H288" s="575"/>
      <c r="I288" s="575"/>
      <c r="J288" s="575"/>
      <c r="K288" s="371"/>
      <c r="L288" s="372"/>
      <c r="M288" s="369"/>
      <c r="N288" s="369"/>
      <c r="P288" s="1145"/>
      <c r="Q288" s="1151"/>
      <c r="R288" s="380"/>
      <c r="S288" s="381"/>
      <c r="T288" s="1134"/>
      <c r="U288" s="1148"/>
      <c r="V288" s="1134"/>
      <c r="W288" s="1148"/>
      <c r="X288" s="1134"/>
      <c r="Y288" s="1148"/>
      <c r="Z288" s="1134"/>
      <c r="AA288" s="1148"/>
      <c r="AB288" s="1154"/>
      <c r="AC288" s="1148"/>
      <c r="AE288" s="1145"/>
      <c r="AF288" s="1151"/>
      <c r="AG288" s="380"/>
      <c r="AH288" s="381"/>
      <c r="AI288" s="1134"/>
      <c r="AJ288" s="1148"/>
      <c r="AK288" s="1134"/>
      <c r="AL288" s="1148"/>
      <c r="AM288" s="1134"/>
      <c r="AN288" s="1148"/>
      <c r="AO288" s="1134"/>
      <c r="AP288" s="1148"/>
      <c r="AQ288" s="1154"/>
      <c r="AR288" s="1148"/>
    </row>
    <row r="289" spans="2:44">
      <c r="B289" s="382"/>
      <c r="C289" s="576"/>
      <c r="D289" s="576"/>
      <c r="E289" s="576"/>
      <c r="F289" s="576"/>
      <c r="G289" s="575"/>
      <c r="H289" s="575"/>
      <c r="I289" s="575"/>
      <c r="J289" s="575"/>
      <c r="K289" s="371"/>
      <c r="L289" s="372"/>
      <c r="M289" s="369"/>
      <c r="N289" s="369"/>
      <c r="O289" s="71"/>
      <c r="P289" s="1146"/>
      <c r="Q289" s="1152"/>
      <c r="R289" s="387"/>
      <c r="S289" s="388"/>
      <c r="T289" s="1137"/>
      <c r="U289" s="1149"/>
      <c r="V289" s="1137"/>
      <c r="W289" s="1149"/>
      <c r="X289" s="1137"/>
      <c r="Y289" s="1149"/>
      <c r="Z289" s="1137"/>
      <c r="AA289" s="1149"/>
      <c r="AB289" s="1155"/>
      <c r="AC289" s="1149"/>
      <c r="AE289" s="1146"/>
      <c r="AF289" s="1152"/>
      <c r="AG289" s="387"/>
      <c r="AH289" s="388"/>
      <c r="AI289" s="1137"/>
      <c r="AJ289" s="1149"/>
      <c r="AK289" s="1137"/>
      <c r="AL289" s="1149"/>
      <c r="AM289" s="1137"/>
      <c r="AN289" s="1149"/>
      <c r="AO289" s="1137"/>
      <c r="AP289" s="1149"/>
      <c r="AQ289" s="1155"/>
      <c r="AR289" s="1149"/>
    </row>
    <row r="290" spans="2:44" ht="15" thickBot="1">
      <c r="B290" s="573"/>
      <c r="C290" s="577"/>
      <c r="D290" s="577"/>
      <c r="E290" s="577"/>
      <c r="F290" s="577"/>
      <c r="G290" s="577"/>
      <c r="H290" s="577"/>
      <c r="I290" s="577"/>
      <c r="J290" s="577"/>
      <c r="K290" s="578"/>
      <c r="L290" s="579"/>
      <c r="M290" s="369"/>
      <c r="N290" s="369"/>
      <c r="O290" s="71"/>
      <c r="P290" s="1146"/>
      <c r="Q290" s="1153"/>
      <c r="R290" s="392"/>
      <c r="S290" s="393"/>
      <c r="T290" s="1138"/>
      <c r="U290" s="1150"/>
      <c r="V290" s="1138"/>
      <c r="W290" s="1150"/>
      <c r="X290" s="1138"/>
      <c r="Y290" s="1150"/>
      <c r="Z290" s="1138"/>
      <c r="AA290" s="1150"/>
      <c r="AB290" s="1156"/>
      <c r="AC290" s="1150"/>
      <c r="AE290" s="1146"/>
      <c r="AF290" s="1153"/>
      <c r="AG290" s="392"/>
      <c r="AH290" s="393"/>
      <c r="AI290" s="1138"/>
      <c r="AJ290" s="1150"/>
      <c r="AK290" s="1138"/>
      <c r="AL290" s="1150"/>
      <c r="AM290" s="1138"/>
      <c r="AN290" s="1150"/>
      <c r="AO290" s="1138"/>
      <c r="AP290" s="1150"/>
      <c r="AQ290" s="1156"/>
      <c r="AR290" s="1150"/>
    </row>
    <row r="291" spans="2:44" ht="14.55" customHeight="1">
      <c r="B291" s="573"/>
      <c r="C291" s="580"/>
      <c r="D291" s="580"/>
      <c r="E291" s="580"/>
      <c r="F291" s="580"/>
      <c r="G291" s="580"/>
      <c r="H291" s="580"/>
      <c r="I291" s="580"/>
      <c r="J291" s="580"/>
      <c r="K291" s="578"/>
      <c r="L291" s="579"/>
      <c r="M291" s="369"/>
      <c r="N291" s="369"/>
      <c r="O291" s="71"/>
      <c r="P291" s="1146"/>
      <c r="Q291" s="1142"/>
      <c r="R291" s="394"/>
      <c r="S291" s="395"/>
      <c r="T291" s="1134"/>
      <c r="U291" s="1134"/>
      <c r="V291" s="1134"/>
      <c r="W291" s="1134"/>
      <c r="X291" s="1134"/>
      <c r="Y291" s="1134"/>
      <c r="Z291" s="1134"/>
      <c r="AA291" s="1134"/>
      <c r="AB291" s="1134"/>
      <c r="AC291" s="1134"/>
      <c r="AE291" s="1146"/>
      <c r="AF291" s="1142"/>
      <c r="AG291" s="394"/>
      <c r="AH291" s="395"/>
      <c r="AI291" s="1134"/>
      <c r="AJ291" s="1134"/>
      <c r="AK291" s="1134"/>
      <c r="AL291" s="1134"/>
      <c r="AM291" s="1134"/>
      <c r="AN291" s="1134"/>
      <c r="AO291" s="1134"/>
      <c r="AP291" s="1134"/>
      <c r="AQ291" s="1134"/>
      <c r="AR291" s="1134"/>
    </row>
    <row r="292" spans="2:44">
      <c r="B292" s="573"/>
      <c r="C292" s="581"/>
      <c r="D292" s="581"/>
      <c r="E292" s="581"/>
      <c r="F292" s="581"/>
      <c r="G292" s="581"/>
      <c r="H292" s="581"/>
      <c r="I292" s="581"/>
      <c r="J292" s="581"/>
      <c r="K292" s="578"/>
      <c r="L292" s="579"/>
      <c r="M292" s="366"/>
      <c r="N292" s="366"/>
      <c r="O292" s="71"/>
      <c r="P292" s="1146"/>
      <c r="Q292" s="1143"/>
      <c r="R292" s="394"/>
      <c r="S292" s="395"/>
      <c r="T292" s="1135"/>
      <c r="U292" s="1135"/>
      <c r="V292" s="1135"/>
      <c r="W292" s="1135"/>
      <c r="X292" s="1135"/>
      <c r="Y292" s="1135"/>
      <c r="Z292" s="1135"/>
      <c r="AA292" s="1135"/>
      <c r="AB292" s="1137"/>
      <c r="AC292" s="1135"/>
      <c r="AE292" s="1146"/>
      <c r="AF292" s="1143"/>
      <c r="AG292" s="394"/>
      <c r="AH292" s="395"/>
      <c r="AI292" s="1135"/>
      <c r="AJ292" s="1135"/>
      <c r="AK292" s="1135"/>
      <c r="AL292" s="1135"/>
      <c r="AM292" s="1135"/>
      <c r="AN292" s="1135"/>
      <c r="AO292" s="1135"/>
      <c r="AP292" s="1135"/>
      <c r="AQ292" s="1137"/>
      <c r="AR292" s="1135"/>
    </row>
    <row r="293" spans="2:44">
      <c r="B293" s="382"/>
      <c r="C293" s="396"/>
      <c r="D293" s="396"/>
      <c r="E293" s="396"/>
      <c r="F293" s="396"/>
      <c r="G293" s="397"/>
      <c r="H293" s="397"/>
      <c r="I293" s="397"/>
      <c r="J293" s="397"/>
      <c r="K293" s="371"/>
      <c r="L293" s="372"/>
      <c r="M293" s="362"/>
      <c r="N293" s="362"/>
      <c r="P293" s="1146"/>
      <c r="Q293" s="1143"/>
      <c r="R293" s="394"/>
      <c r="S293" s="395"/>
      <c r="T293" s="1135"/>
      <c r="U293" s="1135"/>
      <c r="V293" s="1135"/>
      <c r="W293" s="1135"/>
      <c r="X293" s="1135"/>
      <c r="Y293" s="1135"/>
      <c r="Z293" s="1135"/>
      <c r="AA293" s="1135"/>
      <c r="AB293" s="1137"/>
      <c r="AC293" s="1135"/>
      <c r="AE293" s="1146"/>
      <c r="AF293" s="1143"/>
      <c r="AG293" s="394"/>
      <c r="AH293" s="395"/>
      <c r="AI293" s="1135"/>
      <c r="AJ293" s="1135"/>
      <c r="AK293" s="1135"/>
      <c r="AL293" s="1135"/>
      <c r="AM293" s="1135"/>
      <c r="AN293" s="1135"/>
      <c r="AO293" s="1135"/>
      <c r="AP293" s="1135"/>
      <c r="AQ293" s="1137"/>
      <c r="AR293" s="1135"/>
    </row>
    <row r="294" spans="2:44" ht="15" thickBot="1">
      <c r="B294" s="573"/>
      <c r="C294" s="581"/>
      <c r="D294" s="581"/>
      <c r="E294" s="581"/>
      <c r="F294" s="581"/>
      <c r="G294" s="581"/>
      <c r="H294" s="581"/>
      <c r="I294" s="581"/>
      <c r="J294" s="581"/>
      <c r="K294" s="371"/>
      <c r="L294" s="372"/>
      <c r="M294" s="362"/>
      <c r="N294" s="362"/>
      <c r="P294" s="1146"/>
      <c r="Q294" s="1143"/>
      <c r="R294" s="394"/>
      <c r="S294" s="395"/>
      <c r="T294" s="1135"/>
      <c r="U294" s="1135"/>
      <c r="V294" s="1135"/>
      <c r="W294" s="1135"/>
      <c r="X294" s="1135"/>
      <c r="Y294" s="1135"/>
      <c r="Z294" s="1135"/>
      <c r="AA294" s="1135"/>
      <c r="AB294" s="1137"/>
      <c r="AC294" s="1135"/>
      <c r="AE294" s="1146"/>
      <c r="AF294" s="1143"/>
      <c r="AG294" s="394"/>
      <c r="AH294" s="395"/>
      <c r="AI294" s="1135"/>
      <c r="AJ294" s="1135"/>
      <c r="AK294" s="1135"/>
      <c r="AL294" s="1135"/>
      <c r="AM294" s="1135"/>
      <c r="AN294" s="1135"/>
      <c r="AO294" s="1135"/>
      <c r="AP294" s="1135"/>
      <c r="AQ294" s="1137"/>
      <c r="AR294" s="1135"/>
    </row>
    <row r="295" spans="2:44" ht="15" thickBot="1">
      <c r="B295" s="400"/>
      <c r="C295" s="582"/>
      <c r="D295" s="583"/>
      <c r="E295" s="584"/>
      <c r="F295" s="585"/>
      <c r="G295" s="405"/>
      <c r="H295" s="405"/>
      <c r="I295" s="405"/>
      <c r="J295" s="405"/>
      <c r="K295" s="406"/>
      <c r="L295" s="586"/>
      <c r="M295" s="362"/>
      <c r="N295" s="362"/>
      <c r="P295" s="1146"/>
      <c r="Q295" s="1144"/>
      <c r="R295" s="408"/>
      <c r="S295" s="409"/>
      <c r="T295" s="1136"/>
      <c r="U295" s="1136"/>
      <c r="V295" s="1136"/>
      <c r="W295" s="1136"/>
      <c r="X295" s="1136"/>
      <c r="Y295" s="1136"/>
      <c r="Z295" s="1136"/>
      <c r="AA295" s="1136"/>
      <c r="AB295" s="1138"/>
      <c r="AC295" s="1136"/>
      <c r="AE295" s="1146"/>
      <c r="AF295" s="1144"/>
      <c r="AG295" s="408"/>
      <c r="AH295" s="409"/>
      <c r="AI295" s="1136"/>
      <c r="AJ295" s="1136"/>
      <c r="AK295" s="1136"/>
      <c r="AL295" s="1136"/>
      <c r="AM295" s="1136"/>
      <c r="AN295" s="1136"/>
      <c r="AO295" s="1136"/>
      <c r="AP295" s="1136"/>
      <c r="AQ295" s="1138"/>
      <c r="AR295" s="1136"/>
    </row>
    <row r="296" spans="2:44" ht="15" thickBot="1">
      <c r="B296" s="573"/>
      <c r="C296" s="587"/>
      <c r="D296" s="587"/>
      <c r="E296" s="587"/>
      <c r="F296" s="587"/>
      <c r="G296" s="588"/>
      <c r="H296" s="588"/>
      <c r="I296" s="589"/>
      <c r="J296" s="589"/>
      <c r="K296" s="578"/>
      <c r="L296" s="579"/>
      <c r="M296" s="362"/>
      <c r="N296" s="362"/>
      <c r="P296" s="1147"/>
      <c r="Q296" s="410"/>
      <c r="R296" s="411"/>
      <c r="S296" s="412"/>
      <c r="T296" s="590"/>
      <c r="U296" s="591"/>
      <c r="V296" s="592"/>
      <c r="W296" s="591"/>
      <c r="X296" s="592"/>
      <c r="Y296" s="591"/>
      <c r="Z296" s="592"/>
      <c r="AA296" s="591"/>
      <c r="AB296" s="592"/>
      <c r="AC296" s="593"/>
      <c r="AE296" s="1147"/>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5" thickBot="1">
      <c r="B304" s="428"/>
      <c r="C304" s="396"/>
      <c r="D304" s="396"/>
      <c r="E304" s="396"/>
      <c r="F304" s="396"/>
      <c r="G304" s="424"/>
      <c r="H304" s="424"/>
      <c r="I304" s="424"/>
      <c r="J304" s="424"/>
      <c r="K304" s="422"/>
      <c r="L304" s="426"/>
      <c r="M304" s="427"/>
      <c r="N304" s="427"/>
    </row>
    <row r="305" spans="1:30" ht="15"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39"/>
      <c r="Q310" s="1140"/>
      <c r="R310" s="1140"/>
      <c r="S310" s="1140"/>
      <c r="T310" s="1140"/>
      <c r="U310" s="1141"/>
    </row>
    <row r="311" spans="1:30" ht="15" thickBot="1">
      <c r="B311" s="540"/>
      <c r="C311" s="551"/>
      <c r="D311" s="551"/>
      <c r="E311" s="551"/>
      <c r="F311" s="551"/>
      <c r="G311" s="552"/>
      <c r="H311" s="552"/>
      <c r="I311" s="552"/>
      <c r="J311" s="552"/>
      <c r="K311" s="546"/>
      <c r="L311" s="547"/>
      <c r="M311" s="449"/>
      <c r="N311" s="360"/>
      <c r="P311" s="1131"/>
      <c r="Q311" s="1132"/>
      <c r="R311" s="1132"/>
      <c r="S311" s="1132"/>
      <c r="T311" s="1132"/>
      <c r="U311" s="1133"/>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5"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5"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5"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09F6-21BA-4777-B9D5-C80108D8D2BF}">
  <sheetPr>
    <tabColor theme="3"/>
  </sheetPr>
  <dimension ref="A2:AR345"/>
  <sheetViews>
    <sheetView topLeftCell="D1" zoomScale="85" zoomScaleNormal="85" workbookViewId="0">
      <selection activeCell="AA11" sqref="AA11:AA13"/>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Dielectric heating</v>
      </c>
    </row>
    <row r="4" spans="1:44" ht="25.05" customHeight="1">
      <c r="E4" s="224" t="s">
        <v>358</v>
      </c>
      <c r="F4" s="358">
        <v>7.45</v>
      </c>
      <c r="G4" s="358" t="s">
        <v>328</v>
      </c>
    </row>
    <row r="5" spans="1:44" ht="15" customHeight="1">
      <c r="A5" s="359" t="s">
        <v>932</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885</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0.1</v>
      </c>
      <c r="D10" s="371">
        <v>0.1</v>
      </c>
      <c r="E10" s="371">
        <v>0.1</v>
      </c>
      <c r="F10" s="371">
        <v>0.1</v>
      </c>
      <c r="G10" s="371">
        <v>0.01</v>
      </c>
      <c r="H10" s="371">
        <v>0.2</v>
      </c>
      <c r="I10" s="371">
        <v>0.01</v>
      </c>
      <c r="J10" s="371">
        <v>0.2</v>
      </c>
      <c r="K10" s="371" t="s">
        <v>6</v>
      </c>
      <c r="L10" s="372">
        <v>1</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95</v>
      </c>
      <c r="D11" s="376">
        <v>95</v>
      </c>
      <c r="E11" s="377">
        <v>95</v>
      </c>
      <c r="F11" s="376">
        <v>95</v>
      </c>
      <c r="G11" s="376">
        <v>85</v>
      </c>
      <c r="H11" s="376">
        <v>100</v>
      </c>
      <c r="I11" s="376">
        <v>85</v>
      </c>
      <c r="J11" s="376">
        <v>100</v>
      </c>
      <c r="K11" s="378" t="s">
        <v>59</v>
      </c>
      <c r="L11" s="379">
        <v>2</v>
      </c>
      <c r="M11" s="369"/>
      <c r="N11" s="369"/>
      <c r="P11" s="1196" t="str">
        <f>C7</f>
        <v>Dielectric heating</v>
      </c>
      <c r="Q11" s="1151" t="s">
        <v>693</v>
      </c>
      <c r="R11" s="380" t="s">
        <v>694</v>
      </c>
      <c r="S11" s="381"/>
      <c r="T11" s="1134">
        <v>0</v>
      </c>
      <c r="U11" s="1148">
        <v>0</v>
      </c>
      <c r="V11" s="1154">
        <v>0</v>
      </c>
      <c r="W11" s="1148">
        <v>0</v>
      </c>
      <c r="X11" s="1154">
        <v>0</v>
      </c>
      <c r="Y11" s="1148">
        <v>0</v>
      </c>
      <c r="Z11" s="1154">
        <v>0</v>
      </c>
      <c r="AA11" s="1148">
        <v>0</v>
      </c>
      <c r="AB11" s="1154">
        <v>0</v>
      </c>
      <c r="AC11" s="1148">
        <v>0</v>
      </c>
      <c r="AE11" s="1145" t="str">
        <f>P11</f>
        <v>Dielectric heating</v>
      </c>
      <c r="AF11" s="1151" t="s">
        <v>693</v>
      </c>
      <c r="AG11" s="380" t="s">
        <v>694</v>
      </c>
      <c r="AH11" s="381"/>
      <c r="AI11" s="1134">
        <v>0</v>
      </c>
      <c r="AJ11" s="1148">
        <v>0</v>
      </c>
      <c r="AK11" s="1154">
        <v>0</v>
      </c>
      <c r="AL11" s="1148">
        <v>0</v>
      </c>
      <c r="AM11" s="1154">
        <v>0</v>
      </c>
      <c r="AN11" s="1148">
        <v>0</v>
      </c>
      <c r="AO11" s="1154">
        <v>0</v>
      </c>
      <c r="AP11" s="1148">
        <v>0</v>
      </c>
      <c r="AQ11" s="1154">
        <v>0</v>
      </c>
      <c r="AR11" s="1148">
        <v>0</v>
      </c>
    </row>
    <row r="12" spans="1:44" ht="32.549999999999997" customHeight="1" outlineLevel="1">
      <c r="B12" s="382" t="s">
        <v>695</v>
      </c>
      <c r="C12" s="383">
        <v>95</v>
      </c>
      <c r="D12" s="383">
        <v>95</v>
      </c>
      <c r="E12" s="383">
        <v>95</v>
      </c>
      <c r="F12" s="383">
        <v>95</v>
      </c>
      <c r="G12" s="384">
        <v>85</v>
      </c>
      <c r="H12" s="384">
        <v>100</v>
      </c>
      <c r="I12" s="384">
        <v>85</v>
      </c>
      <c r="J12" s="384">
        <v>100</v>
      </c>
      <c r="K12" s="385"/>
      <c r="L12" s="386"/>
      <c r="M12" s="369"/>
      <c r="N12" s="369"/>
      <c r="O12" s="71"/>
      <c r="P12" s="1192"/>
      <c r="Q12" s="1152"/>
      <c r="R12" s="387" t="s">
        <v>696</v>
      </c>
      <c r="S12" s="388"/>
      <c r="T12" s="1137"/>
      <c r="U12" s="1149"/>
      <c r="V12" s="1155"/>
      <c r="W12" s="1149"/>
      <c r="X12" s="1155"/>
      <c r="Y12" s="1149"/>
      <c r="Z12" s="1155"/>
      <c r="AA12" s="1149"/>
      <c r="AB12" s="1155"/>
      <c r="AC12" s="1149"/>
      <c r="AE12" s="1192"/>
      <c r="AF12" s="1152"/>
      <c r="AG12" s="387" t="s">
        <v>696</v>
      </c>
      <c r="AH12" s="388"/>
      <c r="AI12" s="1137"/>
      <c r="AJ12" s="1149"/>
      <c r="AK12" s="1155"/>
      <c r="AL12" s="1149"/>
      <c r="AM12" s="1155"/>
      <c r="AN12" s="1149"/>
      <c r="AO12" s="1155"/>
      <c r="AP12" s="1149"/>
      <c r="AQ12" s="1155"/>
      <c r="AR12" s="1149"/>
    </row>
    <row r="13" spans="1:44" ht="15" outlineLevel="1" thickBot="1">
      <c r="B13" s="375" t="s">
        <v>697</v>
      </c>
      <c r="C13" s="389">
        <v>0.1</v>
      </c>
      <c r="D13" s="390">
        <v>0.1</v>
      </c>
      <c r="E13" s="390">
        <v>0.1</v>
      </c>
      <c r="F13" s="391">
        <v>0.1</v>
      </c>
      <c r="G13" s="390">
        <v>0</v>
      </c>
      <c r="H13" s="390">
        <v>0.2</v>
      </c>
      <c r="I13" s="390">
        <v>0</v>
      </c>
      <c r="J13" s="390">
        <v>0.2</v>
      </c>
      <c r="K13" s="378"/>
      <c r="L13" s="379">
        <v>3</v>
      </c>
      <c r="M13" s="369"/>
      <c r="N13" s="369"/>
      <c r="O13" s="71"/>
      <c r="P13" s="1192"/>
      <c r="Q13" s="1153"/>
      <c r="R13" s="392" t="s">
        <v>698</v>
      </c>
      <c r="S13" s="393"/>
      <c r="T13" s="1138"/>
      <c r="U13" s="1150"/>
      <c r="V13" s="1156"/>
      <c r="W13" s="1150"/>
      <c r="X13" s="1156"/>
      <c r="Y13" s="1150"/>
      <c r="Z13" s="1156"/>
      <c r="AA13" s="1150"/>
      <c r="AB13" s="1156"/>
      <c r="AC13" s="1150"/>
      <c r="AE13" s="1192"/>
      <c r="AF13" s="1153"/>
      <c r="AG13" s="392" t="s">
        <v>698</v>
      </c>
      <c r="AH13" s="393"/>
      <c r="AI13" s="1138"/>
      <c r="AJ13" s="1150"/>
      <c r="AK13" s="1156"/>
      <c r="AL13" s="1150"/>
      <c r="AM13" s="1156"/>
      <c r="AN13" s="1150"/>
      <c r="AO13" s="1156"/>
      <c r="AP13" s="1150"/>
      <c r="AQ13" s="1156"/>
      <c r="AR13" s="1150"/>
    </row>
    <row r="14" spans="1:44" ht="15" customHeight="1" outlineLevel="1">
      <c r="B14" s="375" t="s">
        <v>637</v>
      </c>
      <c r="C14" s="389">
        <v>0.1</v>
      </c>
      <c r="D14" s="389">
        <v>0.1</v>
      </c>
      <c r="E14" s="389">
        <v>0.1</v>
      </c>
      <c r="F14" s="389">
        <v>0.1</v>
      </c>
      <c r="G14" s="389">
        <v>0</v>
      </c>
      <c r="H14" s="389">
        <v>0.2</v>
      </c>
      <c r="I14" s="389">
        <v>0</v>
      </c>
      <c r="J14" s="389">
        <v>0.2</v>
      </c>
      <c r="K14" s="378"/>
      <c r="L14" s="379">
        <v>3</v>
      </c>
      <c r="M14" s="369"/>
      <c r="N14" s="369"/>
      <c r="O14" s="71"/>
      <c r="P14" s="1192"/>
      <c r="Q14" s="1151" t="s">
        <v>699</v>
      </c>
      <c r="R14" s="394" t="s">
        <v>700</v>
      </c>
      <c r="S14" s="395" t="s">
        <v>701</v>
      </c>
      <c r="T14" s="1134">
        <v>0.05</v>
      </c>
      <c r="U14" s="1134">
        <v>0.04</v>
      </c>
      <c r="V14" s="1134">
        <v>0.05</v>
      </c>
      <c r="W14" s="1134">
        <v>0.05</v>
      </c>
      <c r="X14" s="1134">
        <v>0.05</v>
      </c>
      <c r="Y14" s="1134">
        <v>0.02</v>
      </c>
      <c r="Z14" s="1134">
        <v>0.03</v>
      </c>
      <c r="AA14" s="1134">
        <v>0.01</v>
      </c>
      <c r="AB14" s="1134">
        <v>0</v>
      </c>
      <c r="AC14" s="1148">
        <v>0</v>
      </c>
      <c r="AE14" s="1192"/>
      <c r="AF14" s="1151" t="s">
        <v>699</v>
      </c>
      <c r="AG14" s="394" t="s">
        <v>700</v>
      </c>
      <c r="AH14" s="395" t="s">
        <v>701</v>
      </c>
      <c r="AI14" s="1134">
        <v>0.05</v>
      </c>
      <c r="AJ14" s="1134">
        <v>0.04</v>
      </c>
      <c r="AK14" s="1134">
        <v>0.05</v>
      </c>
      <c r="AL14" s="1134">
        <v>0.05</v>
      </c>
      <c r="AM14" s="1134">
        <v>0.05</v>
      </c>
      <c r="AN14" s="1134">
        <v>0.02</v>
      </c>
      <c r="AO14" s="1134">
        <v>0.03</v>
      </c>
      <c r="AP14" s="1134">
        <v>0.01</v>
      </c>
      <c r="AQ14" s="1134">
        <v>0</v>
      </c>
      <c r="AR14" s="1148">
        <v>0</v>
      </c>
    </row>
    <row r="15" spans="1:44" outlineLevel="1">
      <c r="B15" s="375" t="s">
        <v>638</v>
      </c>
      <c r="C15" s="389">
        <v>0</v>
      </c>
      <c r="D15" s="389">
        <v>0</v>
      </c>
      <c r="E15" s="389">
        <v>0</v>
      </c>
      <c r="F15" s="389">
        <v>0</v>
      </c>
      <c r="G15" s="389">
        <v>0</v>
      </c>
      <c r="H15" s="389">
        <v>0.1</v>
      </c>
      <c r="I15" s="389">
        <v>0</v>
      </c>
      <c r="J15" s="389">
        <v>0.1</v>
      </c>
      <c r="K15" s="378"/>
      <c r="L15" s="379">
        <v>3</v>
      </c>
      <c r="M15" s="366"/>
      <c r="N15" s="366"/>
      <c r="O15" s="71"/>
      <c r="P15" s="1192"/>
      <c r="Q15" s="1152"/>
      <c r="R15" s="394" t="s">
        <v>702</v>
      </c>
      <c r="S15" s="395" t="s">
        <v>701</v>
      </c>
      <c r="T15" s="1188"/>
      <c r="U15" s="1188"/>
      <c r="V15" s="1188"/>
      <c r="W15" s="1188"/>
      <c r="X15" s="1188"/>
      <c r="Y15" s="1188"/>
      <c r="Z15" s="1188"/>
      <c r="AA15" s="1188"/>
      <c r="AB15" s="1188"/>
      <c r="AC15" s="1190"/>
      <c r="AE15" s="1192"/>
      <c r="AF15" s="1152"/>
      <c r="AG15" s="394" t="s">
        <v>702</v>
      </c>
      <c r="AH15" s="395" t="s">
        <v>701</v>
      </c>
      <c r="AI15" s="1188"/>
      <c r="AJ15" s="1188"/>
      <c r="AK15" s="1188"/>
      <c r="AL15" s="1188"/>
      <c r="AM15" s="1188"/>
      <c r="AN15" s="1188"/>
      <c r="AO15" s="1188"/>
      <c r="AP15" s="1188"/>
      <c r="AQ15" s="1188"/>
      <c r="AR15" s="1190"/>
    </row>
    <row r="16" spans="1:44" outlineLevel="1">
      <c r="B16" s="382" t="s">
        <v>11</v>
      </c>
      <c r="C16" s="396">
        <v>30</v>
      </c>
      <c r="D16" s="396">
        <v>30</v>
      </c>
      <c r="E16" s="396">
        <v>30</v>
      </c>
      <c r="F16" s="396">
        <v>30</v>
      </c>
      <c r="G16" s="397">
        <v>20</v>
      </c>
      <c r="H16" s="397">
        <v>35</v>
      </c>
      <c r="I16" s="397">
        <v>20</v>
      </c>
      <c r="J16" s="397">
        <v>35</v>
      </c>
      <c r="K16" s="371"/>
      <c r="L16" s="372">
        <v>4</v>
      </c>
      <c r="M16" s="362"/>
      <c r="N16" s="362"/>
      <c r="P16" s="1192"/>
      <c r="Q16" s="1152"/>
      <c r="R16" s="394" t="s">
        <v>704</v>
      </c>
      <c r="S16" s="395"/>
      <c r="T16" s="1188"/>
      <c r="U16" s="1188"/>
      <c r="V16" s="1188"/>
      <c r="W16" s="1188"/>
      <c r="X16" s="1188"/>
      <c r="Y16" s="1188"/>
      <c r="Z16" s="1188"/>
      <c r="AA16" s="1188"/>
      <c r="AB16" s="1188"/>
      <c r="AC16" s="1190"/>
      <c r="AE16" s="1192"/>
      <c r="AF16" s="1152"/>
      <c r="AG16" s="394" t="s">
        <v>704</v>
      </c>
      <c r="AH16" s="628"/>
      <c r="AI16" s="1188"/>
      <c r="AJ16" s="1188"/>
      <c r="AK16" s="1188"/>
      <c r="AL16" s="1188"/>
      <c r="AM16" s="1188"/>
      <c r="AN16" s="1188"/>
      <c r="AO16" s="1188"/>
      <c r="AP16" s="1188"/>
      <c r="AQ16" s="1188"/>
      <c r="AR16" s="1190"/>
    </row>
    <row r="17" spans="1:44" ht="15" outlineLevel="1" thickBot="1">
      <c r="B17" s="375" t="s">
        <v>273</v>
      </c>
      <c r="C17" s="398">
        <v>0.1</v>
      </c>
      <c r="D17" s="398">
        <v>0.1</v>
      </c>
      <c r="E17" s="398">
        <v>0.1</v>
      </c>
      <c r="F17" s="398">
        <v>0.1</v>
      </c>
      <c r="G17" s="398">
        <v>0.05</v>
      </c>
      <c r="H17" s="398">
        <v>0.1</v>
      </c>
      <c r="I17" s="398">
        <v>0.05</v>
      </c>
      <c r="J17" s="398">
        <v>0.1</v>
      </c>
      <c r="K17" s="371"/>
      <c r="L17" s="399">
        <v>3</v>
      </c>
      <c r="M17" s="362"/>
      <c r="N17" s="362"/>
      <c r="P17" s="1192"/>
      <c r="Q17" s="1152"/>
      <c r="R17" s="394" t="s">
        <v>705</v>
      </c>
      <c r="S17" s="395"/>
      <c r="T17" s="1188"/>
      <c r="U17" s="1188"/>
      <c r="V17" s="1188"/>
      <c r="W17" s="1188"/>
      <c r="X17" s="1188"/>
      <c r="Y17" s="1188"/>
      <c r="Z17" s="1188"/>
      <c r="AA17" s="1188"/>
      <c r="AB17" s="1188"/>
      <c r="AC17" s="1190"/>
      <c r="AE17" s="1192"/>
      <c r="AF17" s="1152"/>
      <c r="AG17" s="394" t="s">
        <v>705</v>
      </c>
      <c r="AH17" s="395"/>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c r="T18" s="1189"/>
      <c r="U18" s="1189"/>
      <c r="V18" s="1189"/>
      <c r="W18" s="1189"/>
      <c r="X18" s="1189"/>
      <c r="Y18" s="1189"/>
      <c r="Z18" s="1189"/>
      <c r="AA18" s="1189"/>
      <c r="AB18" s="1189"/>
      <c r="AC18" s="1191"/>
      <c r="AE18" s="1192"/>
      <c r="AF18" s="1153"/>
      <c r="AG18" s="408" t="s">
        <v>826</v>
      </c>
      <c r="AH18" s="409"/>
      <c r="AI18" s="1189"/>
      <c r="AJ18" s="1189"/>
      <c r="AK18" s="1189"/>
      <c r="AL18" s="1189"/>
      <c r="AM18" s="1189"/>
      <c r="AN18" s="1189"/>
      <c r="AO18" s="1189"/>
      <c r="AP18" s="1189"/>
      <c r="AQ18" s="1189"/>
      <c r="AR18" s="1191"/>
    </row>
    <row r="19" spans="1:44" ht="29.4" outlineLevel="1" thickBot="1">
      <c r="B19" s="375" t="s">
        <v>643</v>
      </c>
      <c r="C19" s="389">
        <v>10</v>
      </c>
      <c r="D19" s="389">
        <v>10</v>
      </c>
      <c r="E19" s="389">
        <v>10</v>
      </c>
      <c r="F19" s="389">
        <v>10</v>
      </c>
      <c r="G19" s="390"/>
      <c r="H19" s="390"/>
      <c r="I19" s="390"/>
      <c r="J19" s="390"/>
      <c r="K19" s="378" t="s">
        <v>16</v>
      </c>
      <c r="L19" s="379">
        <v>5</v>
      </c>
      <c r="M19" s="362"/>
      <c r="N19" s="362"/>
      <c r="P19" s="1193"/>
      <c r="Q19" s="410" t="s">
        <v>708</v>
      </c>
      <c r="R19" s="411" t="s">
        <v>709</v>
      </c>
      <c r="S19" s="629"/>
      <c r="T19" s="415">
        <v>0</v>
      </c>
      <c r="U19" s="414">
        <v>0</v>
      </c>
      <c r="V19" s="415">
        <v>0</v>
      </c>
      <c r="W19" s="414">
        <v>0</v>
      </c>
      <c r="X19" s="415">
        <v>0</v>
      </c>
      <c r="Y19" s="414">
        <v>0</v>
      </c>
      <c r="Z19" s="415">
        <v>0</v>
      </c>
      <c r="AA19" s="414">
        <v>0</v>
      </c>
      <c r="AB19" s="415">
        <v>0</v>
      </c>
      <c r="AC19" s="416">
        <v>0</v>
      </c>
      <c r="AE19" s="1193"/>
      <c r="AF19" s="410" t="s">
        <v>708</v>
      </c>
      <c r="AG19" s="630" t="s">
        <v>709</v>
      </c>
      <c r="AH19" s="631"/>
      <c r="AI19" s="415">
        <v>0</v>
      </c>
      <c r="AJ19" s="414">
        <v>0</v>
      </c>
      <c r="AK19" s="415">
        <v>0</v>
      </c>
      <c r="AL19" s="414">
        <v>0</v>
      </c>
      <c r="AM19" s="415">
        <v>0</v>
      </c>
      <c r="AN19" s="414">
        <v>0</v>
      </c>
      <c r="AO19" s="415">
        <v>0</v>
      </c>
      <c r="AP19" s="414">
        <v>0</v>
      </c>
      <c r="AQ19" s="415">
        <v>0</v>
      </c>
      <c r="AR19" s="416">
        <v>0</v>
      </c>
    </row>
    <row r="20" spans="1:44" outlineLevel="1">
      <c r="B20" s="375" t="s">
        <v>644</v>
      </c>
      <c r="C20" s="389">
        <v>0</v>
      </c>
      <c r="D20" s="389">
        <v>0</v>
      </c>
      <c r="E20" s="389">
        <v>0</v>
      </c>
      <c r="F20" s="389">
        <v>0</v>
      </c>
      <c r="G20" s="417"/>
      <c r="H20" s="417"/>
      <c r="I20" s="417"/>
      <c r="J20" s="417"/>
      <c r="K20" s="418"/>
      <c r="L20" s="379">
        <v>5</v>
      </c>
      <c r="M20" s="362"/>
      <c r="N20" s="362"/>
    </row>
    <row r="21" spans="1:44" outlineLevel="1">
      <c r="B21" s="375" t="s">
        <v>646</v>
      </c>
      <c r="C21" s="389">
        <v>0</v>
      </c>
      <c r="D21" s="389">
        <v>0</v>
      </c>
      <c r="E21" s="389">
        <v>0</v>
      </c>
      <c r="F21" s="389">
        <v>0</v>
      </c>
      <c r="G21" s="417"/>
      <c r="H21" s="417"/>
      <c r="I21" s="417"/>
      <c r="J21" s="417"/>
      <c r="K21" s="418"/>
      <c r="L21" s="379">
        <v>5</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t="s">
        <v>649</v>
      </c>
      <c r="D23" s="1229"/>
      <c r="E23" s="1229"/>
      <c r="F23" s="1230"/>
      <c r="G23" s="421"/>
      <c r="H23" s="424"/>
      <c r="I23" s="424"/>
      <c r="J23" s="424"/>
      <c r="K23" s="425"/>
      <c r="L23" s="426"/>
      <c r="M23" s="427"/>
      <c r="N23" s="427"/>
    </row>
    <row r="24" spans="1:44" outlineLevel="1">
      <c r="B24" s="382" t="s">
        <v>712</v>
      </c>
      <c r="C24" s="1231"/>
      <c r="D24" s="1232"/>
      <c r="E24" s="1232"/>
      <c r="F24" s="1233"/>
      <c r="G24" s="424"/>
      <c r="H24" s="424"/>
      <c r="I24" s="424"/>
      <c r="J24" s="424"/>
      <c r="K24" s="422"/>
      <c r="L24" s="426"/>
      <c r="M24" s="427"/>
      <c r="N24" s="427"/>
    </row>
    <row r="25" spans="1:44" outlineLevel="1">
      <c r="B25" s="382" t="s">
        <v>807</v>
      </c>
      <c r="C25" s="1231"/>
      <c r="D25" s="1232"/>
      <c r="E25" s="1232"/>
      <c r="F25" s="1233"/>
      <c r="G25" s="424"/>
      <c r="H25" s="424"/>
      <c r="I25" s="424"/>
      <c r="J25" s="424"/>
      <c r="K25" s="422"/>
      <c r="L25" s="426"/>
      <c r="M25" s="427"/>
      <c r="N25" s="427"/>
    </row>
    <row r="26" spans="1:44" outlineLevel="1">
      <c r="B26" s="382" t="s">
        <v>366</v>
      </c>
      <c r="C26" s="1231"/>
      <c r="D26" s="1232"/>
      <c r="E26" s="1232"/>
      <c r="F26" s="1233"/>
      <c r="G26" s="424"/>
      <c r="H26" s="424"/>
      <c r="I26" s="424"/>
      <c r="J26" s="424"/>
      <c r="K26" s="422"/>
      <c r="L26" s="426"/>
      <c r="M26" s="427"/>
      <c r="N26" s="427"/>
    </row>
    <row r="27" spans="1:44" ht="15" outlineLevel="1" thickBot="1">
      <c r="B27" s="428" t="s">
        <v>367</v>
      </c>
      <c r="C27" s="1234"/>
      <c r="D27" s="1235"/>
      <c r="E27" s="1235"/>
      <c r="F27" s="1236"/>
      <c r="G27" s="424"/>
      <c r="H27" s="424"/>
      <c r="I27" s="424"/>
      <c r="J27" s="424"/>
      <c r="K27" s="422"/>
      <c r="L27" s="426"/>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550">
        <v>2.7</v>
      </c>
      <c r="D29" s="646">
        <v>2.6190000000000002</v>
      </c>
      <c r="E29" s="646">
        <v>2.5379999999999998</v>
      </c>
      <c r="F29" s="647">
        <v>2.4300000000000002</v>
      </c>
      <c r="G29" s="424"/>
      <c r="H29" s="424"/>
      <c r="I29" s="424"/>
      <c r="J29" s="424"/>
      <c r="K29" s="425" t="s">
        <v>20</v>
      </c>
      <c r="L29" s="439" t="s">
        <v>886</v>
      </c>
      <c r="M29" s="419"/>
      <c r="N29" s="419"/>
    </row>
    <row r="30" spans="1:44" outlineLevel="1">
      <c r="B30" s="440" t="s">
        <v>802</v>
      </c>
      <c r="C30" s="441">
        <v>85</v>
      </c>
      <c r="D30" s="441">
        <v>85</v>
      </c>
      <c r="E30" s="441">
        <v>85</v>
      </c>
      <c r="F30" s="441">
        <v>85</v>
      </c>
      <c r="G30" s="424"/>
      <c r="H30" s="424"/>
      <c r="I30" s="424"/>
      <c r="J30" s="424"/>
      <c r="K30" s="443"/>
      <c r="L30" s="372">
        <v>9</v>
      </c>
      <c r="M30" s="71"/>
      <c r="N30" s="419"/>
    </row>
    <row r="31" spans="1:44" outlineLevel="1">
      <c r="B31" s="440" t="s">
        <v>803</v>
      </c>
      <c r="C31" s="441">
        <v>15</v>
      </c>
      <c r="D31" s="441">
        <v>15</v>
      </c>
      <c r="E31" s="441">
        <v>15</v>
      </c>
      <c r="F31" s="441">
        <v>15</v>
      </c>
      <c r="G31" s="424"/>
      <c r="H31" s="424"/>
      <c r="I31" s="424"/>
      <c r="J31" s="424"/>
      <c r="K31" s="443"/>
      <c r="L31" s="372">
        <v>9</v>
      </c>
      <c r="M31" s="419"/>
      <c r="N31" s="419"/>
    </row>
    <row r="32" spans="1:44" outlineLevel="1">
      <c r="B32" s="382" t="s">
        <v>804</v>
      </c>
      <c r="C32" s="601">
        <v>0</v>
      </c>
      <c r="D32" s="602">
        <v>0</v>
      </c>
      <c r="E32" s="602">
        <v>0</v>
      </c>
      <c r="F32" s="603">
        <v>0</v>
      </c>
      <c r="G32" s="424"/>
      <c r="H32" s="424"/>
      <c r="I32" s="424"/>
      <c r="J32" s="424"/>
      <c r="K32" s="447"/>
      <c r="L32" s="372"/>
      <c r="M32" s="419"/>
      <c r="N32" s="419"/>
    </row>
    <row r="33" spans="2:30" ht="37.049999999999997" customHeight="1" outlineLevel="1" thickBot="1">
      <c r="B33" s="382" t="s">
        <v>659</v>
      </c>
      <c r="C33" s="448">
        <f>C34+C35</f>
        <v>45.823</v>
      </c>
      <c r="D33" s="448">
        <f t="shared" ref="D33:F33" si="0">D34+D35</f>
        <v>45.825000000000003</v>
      </c>
      <c r="E33" s="448">
        <f t="shared" si="0"/>
        <v>45.826000000000001</v>
      </c>
      <c r="F33" s="448">
        <f t="shared" si="0"/>
        <v>45.826000000000001</v>
      </c>
      <c r="G33" s="424"/>
      <c r="H33" s="424"/>
      <c r="I33" s="424"/>
      <c r="J33" s="424"/>
      <c r="K33" s="447"/>
      <c r="L33" s="372"/>
      <c r="M33" s="449"/>
      <c r="N33" s="360"/>
      <c r="P33" s="1139">
        <f>C33</f>
        <v>45.823</v>
      </c>
      <c r="Q33" s="1140"/>
      <c r="R33" s="1140"/>
      <c r="S33" s="1140"/>
      <c r="T33" s="1140"/>
      <c r="U33" s="1141"/>
    </row>
    <row r="34" spans="2:30" ht="15.75" customHeight="1" outlineLevel="1" thickBot="1">
      <c r="B34" s="450" t="s">
        <v>721</v>
      </c>
      <c r="C34" s="451">
        <f>C13/100*73</f>
        <v>7.2999999999999995E-2</v>
      </c>
      <c r="D34" s="451">
        <f>D13/100*75</f>
        <v>7.4999999999999997E-2</v>
      </c>
      <c r="E34" s="451">
        <f>E13/100*76</f>
        <v>7.5999999999999998E-2</v>
      </c>
      <c r="F34" s="451">
        <f>F13/100*76</f>
        <v>7.5999999999999998E-2</v>
      </c>
      <c r="G34" s="452"/>
      <c r="H34" s="452"/>
      <c r="I34" s="452"/>
      <c r="J34" s="452"/>
      <c r="K34" s="378" t="s">
        <v>76</v>
      </c>
      <c r="L34" s="379"/>
      <c r="M34" s="449"/>
      <c r="N34" s="360"/>
      <c r="P34" s="1131">
        <f>C34</f>
        <v>7.2999999999999995E-2</v>
      </c>
      <c r="Q34" s="1132"/>
      <c r="R34" s="1132"/>
      <c r="S34" s="1132"/>
      <c r="T34" s="1132"/>
      <c r="U34" s="1133"/>
    </row>
    <row r="35" spans="2:30" outlineLevel="1">
      <c r="B35" s="450" t="s">
        <v>722</v>
      </c>
      <c r="C35" s="453">
        <v>45.75</v>
      </c>
      <c r="D35" s="453">
        <v>45.75</v>
      </c>
      <c r="E35" s="453">
        <v>45.75</v>
      </c>
      <c r="F35" s="453">
        <v>45.75</v>
      </c>
      <c r="G35" s="452"/>
      <c r="H35" s="452"/>
      <c r="I35" s="452"/>
      <c r="J35" s="452"/>
      <c r="K35" s="454" t="s">
        <v>25</v>
      </c>
      <c r="L35" s="379">
        <v>6</v>
      </c>
      <c r="M35" s="362"/>
      <c r="N35" s="362"/>
      <c r="P35" s="53" t="s">
        <v>357</v>
      </c>
    </row>
    <row r="36" spans="2:30" ht="27.6"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t="s">
        <v>36</v>
      </c>
      <c r="D39" s="632" t="s">
        <v>36</v>
      </c>
      <c r="E39" s="632" t="s">
        <v>36</v>
      </c>
      <c r="F39" s="632" t="s">
        <v>36</v>
      </c>
      <c r="G39" s="462"/>
      <c r="H39" s="462"/>
      <c r="I39" s="462"/>
      <c r="J39" s="462"/>
      <c r="K39" s="462" t="s">
        <v>33</v>
      </c>
      <c r="L39" s="463"/>
      <c r="M39" s="362"/>
      <c r="N39" s="362"/>
      <c r="O39" s="464">
        <f>C12</f>
        <v>95</v>
      </c>
      <c r="P39" s="465">
        <f>C8</f>
        <v>2020</v>
      </c>
      <c r="Q39" s="58">
        <f>P39</f>
        <v>2020</v>
      </c>
      <c r="R39" s="465">
        <f>O39/100</f>
        <v>0.95</v>
      </c>
      <c r="S39" s="58"/>
      <c r="T39" s="465">
        <f>C16</f>
        <v>30</v>
      </c>
      <c r="U39" s="466">
        <f>C46</f>
        <v>20115.000000000004</v>
      </c>
      <c r="V39" s="466">
        <f>C48</f>
        <v>0</v>
      </c>
      <c r="W39" s="466">
        <f>C49</f>
        <v>94.828152777777774</v>
      </c>
      <c r="X39" s="58"/>
      <c r="Y39" s="58"/>
      <c r="Z39" s="465" t="str">
        <f>C23</f>
        <v>Cf. the utilized electricity</v>
      </c>
      <c r="AA39" s="467">
        <f>C25</f>
        <v>0</v>
      </c>
      <c r="AB39" s="467">
        <f>C26</f>
        <v>0</v>
      </c>
      <c r="AC39" s="467">
        <f>C27</f>
        <v>0</v>
      </c>
      <c r="AD39" s="467">
        <f>C24</f>
        <v>0</v>
      </c>
    </row>
    <row r="40" spans="2:30" ht="14.55" customHeight="1" outlineLevel="1">
      <c r="B40" s="375" t="s">
        <v>726</v>
      </c>
      <c r="C40" s="468" t="s">
        <v>36</v>
      </c>
      <c r="D40" s="469" t="s">
        <v>36</v>
      </c>
      <c r="E40" s="469" t="s">
        <v>36</v>
      </c>
      <c r="F40" s="470" t="s">
        <v>36</v>
      </c>
      <c r="G40" s="470"/>
      <c r="H40" s="470"/>
      <c r="I40" s="470"/>
      <c r="J40" s="470"/>
      <c r="K40" s="471" t="s">
        <v>887</v>
      </c>
      <c r="L40" s="463"/>
      <c r="M40" s="362"/>
      <c r="N40" s="362"/>
      <c r="O40" s="464">
        <f>D12</f>
        <v>95</v>
      </c>
      <c r="P40" s="465">
        <f>D8</f>
        <v>2030</v>
      </c>
      <c r="Q40" s="58"/>
      <c r="R40" s="465">
        <f>O40/100</f>
        <v>0.95</v>
      </c>
      <c r="S40" s="58"/>
      <c r="T40" s="465">
        <f>D16</f>
        <v>30</v>
      </c>
      <c r="U40" s="466">
        <f>D46</f>
        <v>19511.550000000003</v>
      </c>
      <c r="V40" s="466">
        <f>D48</f>
        <v>0</v>
      </c>
      <c r="W40" s="466">
        <f>D49</f>
        <v>94.832291666666663</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95</v>
      </c>
      <c r="P41" s="465">
        <f>E8</f>
        <v>2040</v>
      </c>
      <c r="Q41" s="58"/>
      <c r="R41" s="465">
        <f>O41/100</f>
        <v>0.95</v>
      </c>
      <c r="S41" s="58"/>
      <c r="T41" s="465">
        <f>E16</f>
        <v>30</v>
      </c>
      <c r="U41" s="466">
        <f>E46</f>
        <v>18908.099999999999</v>
      </c>
      <c r="V41" s="466">
        <f>E48</f>
        <v>0</v>
      </c>
      <c r="W41" s="466">
        <f>E49</f>
        <v>94.834361111111107</v>
      </c>
      <c r="X41" s="58"/>
      <c r="Y41" s="58"/>
      <c r="Z41" s="465">
        <f>E23</f>
        <v>0</v>
      </c>
      <c r="AA41" s="467">
        <f>E25</f>
        <v>0</v>
      </c>
      <c r="AB41" s="467">
        <f>E26</f>
        <v>0</v>
      </c>
      <c r="AC41" s="467">
        <f>E27</f>
        <v>0</v>
      </c>
      <c r="AD41" s="467">
        <f>E24</f>
        <v>0</v>
      </c>
    </row>
    <row r="42" spans="2:30" ht="14.55" customHeight="1" outlineLevel="1">
      <c r="B42" s="375" t="s">
        <v>728</v>
      </c>
      <c r="C42" s="1237" t="s">
        <v>649</v>
      </c>
      <c r="D42" s="1238"/>
      <c r="E42" s="1238"/>
      <c r="F42" s="1239"/>
      <c r="G42" s="473"/>
      <c r="H42" s="473"/>
      <c r="I42" s="473"/>
      <c r="J42" s="473"/>
      <c r="K42" s="473"/>
      <c r="L42" s="379"/>
      <c r="M42" s="362"/>
      <c r="N42" s="362"/>
      <c r="O42" s="464">
        <f>F12</f>
        <v>95</v>
      </c>
      <c r="P42" s="465">
        <f>F8</f>
        <v>2050</v>
      </c>
      <c r="Q42" s="58"/>
      <c r="R42" s="465">
        <f>O42/100</f>
        <v>0.95</v>
      </c>
      <c r="S42" s="58"/>
      <c r="T42" s="465">
        <f>F16</f>
        <v>30</v>
      </c>
      <c r="U42" s="466">
        <f>F46</f>
        <v>18103.5</v>
      </c>
      <c r="V42" s="466">
        <f>F48</f>
        <v>0</v>
      </c>
      <c r="W42" s="466">
        <f>F49</f>
        <v>94.834361111111107</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477" t="s">
        <v>36</v>
      </c>
      <c r="D45" s="478" t="s">
        <v>36</v>
      </c>
      <c r="E45" s="478" t="s">
        <v>36</v>
      </c>
      <c r="F45" s="479" t="s">
        <v>36</v>
      </c>
      <c r="G45" s="480"/>
      <c r="H45" s="480"/>
      <c r="I45" s="480"/>
      <c r="J45" s="480"/>
      <c r="K45" s="480"/>
      <c r="L45" s="481"/>
      <c r="M45" s="362"/>
      <c r="N45" s="362"/>
    </row>
    <row r="46" spans="2:30" ht="57.6" outlineLevel="1">
      <c r="B46" s="460" t="s">
        <v>732</v>
      </c>
      <c r="C46" s="482">
        <f>C29*$F$4*1000</f>
        <v>20115.000000000004</v>
      </c>
      <c r="D46" s="482">
        <f t="shared" ref="D46:F46" si="1">D29*$F$4*1000</f>
        <v>19511.550000000003</v>
      </c>
      <c r="E46" s="482">
        <f t="shared" si="1"/>
        <v>18908.099999999999</v>
      </c>
      <c r="F46" s="482">
        <f t="shared" si="1"/>
        <v>18103.5</v>
      </c>
      <c r="G46" s="482"/>
      <c r="H46" s="483"/>
      <c r="I46" s="419" t="s">
        <v>332</v>
      </c>
      <c r="J46" s="419"/>
      <c r="K46" s="483"/>
      <c r="L46" s="483"/>
      <c r="N46" s="419"/>
    </row>
    <row r="47" spans="2:30" outlineLevel="1">
      <c r="B47" s="484" t="s">
        <v>733</v>
      </c>
      <c r="C47" s="485">
        <f>C46*$I47</f>
        <v>10057500.000000002</v>
      </c>
      <c r="D47" s="485">
        <f>D46*$I47</f>
        <v>9755775.0000000019</v>
      </c>
      <c r="E47" s="485">
        <f>E46*$I47</f>
        <v>9454050</v>
      </c>
      <c r="F47" s="485">
        <f>F46*$I47</f>
        <v>9051750</v>
      </c>
      <c r="G47" s="485"/>
      <c r="H47" s="483"/>
      <c r="I47" s="71">
        <v>500</v>
      </c>
      <c r="J47" s="419" t="s">
        <v>330</v>
      </c>
      <c r="K47" s="483"/>
      <c r="L47" s="483"/>
      <c r="N47" s="419"/>
    </row>
    <row r="48" spans="2:30" ht="43.2" outlineLevel="1">
      <c r="B48" s="460" t="s">
        <v>808</v>
      </c>
      <c r="C48" s="358">
        <f>C32*$F$4/1000</f>
        <v>0</v>
      </c>
      <c r="D48" s="358">
        <f t="shared" ref="D48:F48" si="2">D32*$F$4/1000</f>
        <v>0</v>
      </c>
      <c r="E48" s="358">
        <f t="shared" si="2"/>
        <v>0</v>
      </c>
      <c r="F48" s="358">
        <f t="shared" si="2"/>
        <v>0</v>
      </c>
      <c r="G48" s="358"/>
      <c r="I48" s="419" t="s">
        <v>333</v>
      </c>
      <c r="J48" s="419"/>
      <c r="N48" s="419"/>
    </row>
    <row r="49" spans="2:14" ht="43.2" outlineLevel="1">
      <c r="B49" s="460" t="s">
        <v>809</v>
      </c>
      <c r="C49" s="486">
        <f>C33*$F$4/3.6</f>
        <v>94.828152777777774</v>
      </c>
      <c r="D49" s="486">
        <f t="shared" ref="D49:F49" si="3">D33*$F$4/3.6</f>
        <v>94.832291666666663</v>
      </c>
      <c r="E49" s="486">
        <f t="shared" si="3"/>
        <v>94.834361111111107</v>
      </c>
      <c r="F49" s="486">
        <f t="shared" si="3"/>
        <v>94.834361111111107</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E55" s="357"/>
      <c r="F55" s="357"/>
      <c r="G55" s="357"/>
      <c r="H55" s="357"/>
      <c r="I55" s="357"/>
      <c r="J55" s="357"/>
      <c r="K55" s="357"/>
      <c r="L55" s="357"/>
    </row>
    <row r="56" spans="2:14" outlineLevel="1">
      <c r="B56" s="357">
        <v>1</v>
      </c>
      <c r="C56" s="489" t="s">
        <v>888</v>
      </c>
      <c r="F56" s="357"/>
      <c r="G56" s="357"/>
      <c r="H56" s="357"/>
      <c r="I56" s="357"/>
      <c r="J56" s="357"/>
      <c r="K56" s="357"/>
      <c r="L56" s="357"/>
    </row>
    <row r="57" spans="2:14" outlineLevel="1">
      <c r="B57" s="357">
        <v>2</v>
      </c>
      <c r="C57" s="489" t="s">
        <v>889</v>
      </c>
      <c r="F57" s="357"/>
      <c r="G57" s="357"/>
      <c r="H57" s="357"/>
      <c r="I57" s="357"/>
      <c r="J57" s="357"/>
      <c r="K57" s="357"/>
      <c r="L57" s="357"/>
    </row>
    <row r="58" spans="2:14" outlineLevel="1">
      <c r="B58" s="357">
        <v>3</v>
      </c>
      <c r="C58" s="489" t="s">
        <v>841</v>
      </c>
      <c r="F58" s="357"/>
      <c r="G58" s="357"/>
      <c r="H58" s="357"/>
      <c r="I58" s="357"/>
      <c r="J58" s="357"/>
      <c r="K58" s="357"/>
      <c r="L58" s="357"/>
    </row>
    <row r="59" spans="2:14" outlineLevel="1">
      <c r="B59" s="357">
        <v>4</v>
      </c>
      <c r="C59" s="489" t="s">
        <v>890</v>
      </c>
      <c r="F59" s="357"/>
      <c r="G59" s="357"/>
      <c r="H59" s="357"/>
      <c r="I59" s="357"/>
      <c r="J59" s="357"/>
      <c r="K59" s="357"/>
      <c r="L59" s="357"/>
    </row>
    <row r="60" spans="2:14" outlineLevel="1">
      <c r="B60" s="357">
        <v>5</v>
      </c>
      <c r="C60" s="489" t="s">
        <v>891</v>
      </c>
      <c r="F60" s="357"/>
      <c r="G60" s="357"/>
      <c r="H60" s="357"/>
      <c r="I60" s="357"/>
      <c r="J60" s="357"/>
      <c r="K60" s="357"/>
      <c r="L60" s="357"/>
    </row>
    <row r="61" spans="2:14" outlineLevel="1">
      <c r="B61" s="357">
        <v>6</v>
      </c>
      <c r="C61" s="489" t="s">
        <v>892</v>
      </c>
      <c r="F61" s="357"/>
      <c r="G61" s="357"/>
      <c r="H61" s="357"/>
      <c r="I61" s="357"/>
      <c r="J61" s="357"/>
      <c r="K61" s="357"/>
      <c r="L61" s="357"/>
    </row>
    <row r="62" spans="2:14" outlineLevel="1">
      <c r="B62" s="357">
        <v>7</v>
      </c>
      <c r="C62" s="489" t="s">
        <v>893</v>
      </c>
      <c r="F62" s="357"/>
      <c r="G62" s="357"/>
      <c r="H62" s="357"/>
      <c r="I62" s="357"/>
      <c r="J62" s="357"/>
      <c r="K62" s="357"/>
      <c r="L62" s="357"/>
    </row>
    <row r="63" spans="2:14" outlineLevel="1">
      <c r="B63" s="357">
        <v>8</v>
      </c>
      <c r="C63" s="624" t="s">
        <v>894</v>
      </c>
      <c r="F63" s="357"/>
      <c r="G63" s="357"/>
      <c r="H63" s="357"/>
      <c r="I63" s="357"/>
      <c r="J63" s="357"/>
      <c r="K63" s="357"/>
      <c r="L63" s="357"/>
    </row>
    <row r="64" spans="2:14" outlineLevel="1">
      <c r="B64" s="357">
        <v>9</v>
      </c>
      <c r="C64" s="489" t="s">
        <v>895</v>
      </c>
      <c r="F64" s="357"/>
      <c r="G64" s="357"/>
      <c r="H64" s="357"/>
      <c r="I64" s="357"/>
      <c r="J64" s="357"/>
      <c r="K64" s="357"/>
      <c r="L64" s="357"/>
    </row>
    <row r="65" spans="1:44" outlineLevel="1">
      <c r="B65" s="487" t="s">
        <v>746</v>
      </c>
      <c r="C65" s="488"/>
      <c r="F65" s="357"/>
      <c r="G65" s="357"/>
      <c r="H65" s="357"/>
      <c r="I65" s="357"/>
      <c r="J65" s="357"/>
      <c r="K65" s="357"/>
      <c r="L65" s="357"/>
    </row>
    <row r="66" spans="1:44" outlineLevel="1">
      <c r="B66" s="495" t="s">
        <v>6</v>
      </c>
      <c r="C66" s="489" t="s">
        <v>896</v>
      </c>
      <c r="D66" s="488"/>
      <c r="F66" s="357"/>
      <c r="G66" s="357"/>
      <c r="H66" s="357"/>
      <c r="I66" s="357"/>
      <c r="J66" s="357"/>
      <c r="K66" s="357"/>
      <c r="L66" s="357"/>
    </row>
    <row r="67" spans="1:44" outlineLevel="1">
      <c r="B67" s="495" t="s">
        <v>59</v>
      </c>
      <c r="C67" s="489" t="s">
        <v>897</v>
      </c>
      <c r="D67" s="488"/>
      <c r="F67" s="357"/>
      <c r="G67" s="357"/>
      <c r="H67" s="357"/>
      <c r="I67" s="357"/>
      <c r="J67" s="357"/>
      <c r="K67" s="357"/>
      <c r="L67" s="357"/>
    </row>
    <row r="68" spans="1:44" outlineLevel="1">
      <c r="B68" s="495" t="s">
        <v>16</v>
      </c>
      <c r="C68" s="489" t="s">
        <v>898</v>
      </c>
      <c r="D68" s="488"/>
      <c r="F68" s="357"/>
      <c r="G68" s="357"/>
      <c r="H68" s="357"/>
      <c r="I68" s="357"/>
      <c r="J68" s="357"/>
      <c r="K68" s="357"/>
      <c r="L68" s="357"/>
    </row>
    <row r="69" spans="1:44" outlineLevel="1">
      <c r="B69" s="495" t="s">
        <v>20</v>
      </c>
      <c r="C69" s="489" t="s">
        <v>899</v>
      </c>
      <c r="D69" s="488"/>
      <c r="F69" s="357"/>
      <c r="G69" s="357"/>
      <c r="H69" s="357"/>
      <c r="I69" s="357"/>
      <c r="J69" s="357"/>
      <c r="K69" s="357"/>
      <c r="L69" s="357"/>
    </row>
    <row r="70" spans="1:44" outlineLevel="1">
      <c r="B70" s="495" t="s">
        <v>76</v>
      </c>
      <c r="C70" s="627" t="s">
        <v>751</v>
      </c>
      <c r="D70" s="488"/>
      <c r="G70" s="357"/>
      <c r="H70" s="357"/>
      <c r="I70" s="357"/>
      <c r="J70" s="357"/>
      <c r="K70" s="357"/>
      <c r="L70" s="357"/>
    </row>
    <row r="71" spans="1:44" outlineLevel="1">
      <c r="B71" s="495" t="s">
        <v>25</v>
      </c>
      <c r="C71" s="489" t="s">
        <v>900</v>
      </c>
      <c r="D71" s="488"/>
      <c r="E71" s="489"/>
      <c r="F71" s="489"/>
    </row>
    <row r="72" spans="1:44" outlineLevel="1">
      <c r="B72" s="495" t="s">
        <v>33</v>
      </c>
      <c r="C72" s="489" t="s">
        <v>846</v>
      </c>
      <c r="D72" s="488"/>
    </row>
    <row r="73" spans="1:44" outlineLevel="1">
      <c r="B73" s="495" t="s">
        <v>51</v>
      </c>
      <c r="C73" s="489" t="s">
        <v>901</v>
      </c>
      <c r="D73" s="488"/>
    </row>
    <row r="74" spans="1:44" outlineLevel="1">
      <c r="B74" s="495" t="s">
        <v>52</v>
      </c>
      <c r="C74" s="489" t="s">
        <v>902</v>
      </c>
      <c r="D74" s="488"/>
    </row>
    <row r="75" spans="1:44">
      <c r="B75" s="495"/>
      <c r="C75" s="497"/>
      <c r="D75" s="488"/>
    </row>
    <row r="77" spans="1:44">
      <c r="A77" s="359"/>
      <c r="B77" s="1204"/>
      <c r="C77" s="1140"/>
      <c r="D77" s="1140"/>
      <c r="E77" s="1140"/>
      <c r="F77" s="1140"/>
      <c r="G77" s="1140"/>
      <c r="H77" s="1140"/>
      <c r="I77" s="1140"/>
      <c r="J77" s="1140"/>
      <c r="K77" s="1140"/>
      <c r="L77" s="1140"/>
      <c r="M77" s="1140"/>
      <c r="N77" s="360"/>
      <c r="P77" s="1140"/>
      <c r="Q77" s="1140"/>
      <c r="R77" s="1140"/>
      <c r="S77" s="1140"/>
      <c r="T77" s="1140"/>
      <c r="U77" s="1140"/>
    </row>
    <row r="78" spans="1:44" ht="15" outlineLevel="1" thickBot="1">
      <c r="B78" s="1204"/>
      <c r="C78" s="1140"/>
      <c r="D78" s="1140"/>
      <c r="E78" s="1140"/>
      <c r="F78" s="1140"/>
      <c r="G78" s="1140"/>
      <c r="H78" s="1140"/>
      <c r="I78" s="1140"/>
      <c r="J78" s="1140"/>
      <c r="K78" s="1140"/>
      <c r="L78" s="1140"/>
      <c r="M78" s="1140"/>
      <c r="N78" s="360"/>
      <c r="P78" s="1140"/>
      <c r="Q78" s="1140"/>
      <c r="R78" s="1140"/>
      <c r="S78" s="1140"/>
      <c r="T78" s="1140"/>
      <c r="U78" s="1140"/>
    </row>
    <row r="79" spans="1:44" ht="20.55" customHeight="1" outlineLevel="1" thickBot="1">
      <c r="B79" s="361"/>
      <c r="C79" s="1183"/>
      <c r="D79" s="1202"/>
      <c r="E79" s="1202"/>
      <c r="F79" s="1202"/>
      <c r="G79" s="1202"/>
      <c r="H79" s="1202"/>
      <c r="I79" s="1202"/>
      <c r="J79" s="1202"/>
      <c r="K79" s="1202"/>
      <c r="L79" s="1203"/>
      <c r="M79" s="362"/>
      <c r="N79" s="362"/>
      <c r="P79" s="363"/>
      <c r="Q79" s="364"/>
      <c r="R79" s="365"/>
      <c r="S79" s="1173"/>
      <c r="T79" s="1157"/>
      <c r="U79" s="1158"/>
      <c r="V79" s="1157"/>
      <c r="W79" s="1158"/>
      <c r="X79" s="1157"/>
      <c r="Y79" s="1158"/>
      <c r="Z79" s="1157"/>
      <c r="AA79" s="1158"/>
      <c r="AB79" s="1157"/>
      <c r="AC79" s="1158"/>
      <c r="AE79" s="363"/>
      <c r="AF79" s="364"/>
      <c r="AG79" s="365"/>
      <c r="AH79" s="1173"/>
      <c r="AI79" s="1157"/>
      <c r="AJ79" s="1158"/>
      <c r="AK79" s="1157"/>
      <c r="AL79" s="1158"/>
      <c r="AM79" s="1157"/>
      <c r="AN79" s="1158"/>
      <c r="AO79" s="1157"/>
      <c r="AP79" s="1158"/>
      <c r="AQ79" s="1157"/>
      <c r="AR79" s="1158"/>
    </row>
    <row r="80" spans="1:44" ht="15" customHeight="1" outlineLevel="1" thickBot="1">
      <c r="B80" s="1161"/>
      <c r="C80" s="1163"/>
      <c r="D80" s="1163"/>
      <c r="E80" s="1163"/>
      <c r="F80" s="1163"/>
      <c r="G80" s="1197"/>
      <c r="H80" s="1198"/>
      <c r="I80" s="1197"/>
      <c r="J80" s="1198"/>
      <c r="K80" s="1199"/>
      <c r="L80" s="1199"/>
      <c r="M80" s="366"/>
      <c r="N80" s="366"/>
      <c r="P80" s="1177"/>
      <c r="Q80" s="367"/>
      <c r="R80" s="367"/>
      <c r="S80" s="1174"/>
      <c r="T80" s="1159"/>
      <c r="U80" s="1160"/>
      <c r="V80" s="1159"/>
      <c r="W80" s="1160"/>
      <c r="X80" s="1159"/>
      <c r="Y80" s="1160"/>
      <c r="Z80" s="1159"/>
      <c r="AA80" s="1160"/>
      <c r="AB80" s="1159"/>
      <c r="AC80" s="1160"/>
      <c r="AE80" s="1177"/>
      <c r="AF80" s="367"/>
      <c r="AG80" s="367"/>
      <c r="AH80" s="1174"/>
      <c r="AI80" s="1159"/>
      <c r="AJ80" s="1160"/>
      <c r="AK80" s="1159"/>
      <c r="AL80" s="1160"/>
      <c r="AM80" s="1159"/>
      <c r="AN80" s="1160"/>
      <c r="AO80" s="1159"/>
      <c r="AP80" s="1160"/>
      <c r="AQ80" s="1159"/>
      <c r="AR80" s="1160"/>
    </row>
    <row r="81" spans="2:44" ht="15" customHeight="1" outlineLevel="1" thickBot="1">
      <c r="B81" s="1162"/>
      <c r="C81" s="1164"/>
      <c r="D81" s="1164"/>
      <c r="E81" s="1164"/>
      <c r="F81" s="1164"/>
      <c r="G81" s="498"/>
      <c r="H81" s="498"/>
      <c r="I81" s="498"/>
      <c r="J81" s="498"/>
      <c r="K81" s="1200"/>
      <c r="L81" s="1200"/>
      <c r="M81" s="369"/>
      <c r="N81" s="369"/>
      <c r="P81" s="1178"/>
      <c r="Q81" s="1180"/>
      <c r="R81" s="1181"/>
      <c r="S81" s="1175"/>
      <c r="T81" s="1159"/>
      <c r="U81" s="1160"/>
      <c r="V81" s="1159"/>
      <c r="W81" s="1160"/>
      <c r="X81" s="1159"/>
      <c r="Y81" s="1160"/>
      <c r="Z81" s="1159"/>
      <c r="AA81" s="1160"/>
      <c r="AB81" s="1159"/>
      <c r="AC81" s="1160"/>
      <c r="AE81" s="1178"/>
      <c r="AF81" s="1194"/>
      <c r="AG81" s="1181"/>
      <c r="AH81" s="1175"/>
      <c r="AI81" s="1159"/>
      <c r="AJ81" s="1160"/>
      <c r="AK81" s="1159"/>
      <c r="AL81" s="1160"/>
      <c r="AM81" s="1159"/>
      <c r="AN81" s="1160"/>
      <c r="AO81" s="1159"/>
      <c r="AP81" s="1160"/>
      <c r="AQ81" s="1159"/>
      <c r="AR81" s="1160"/>
    </row>
    <row r="82" spans="2:44" ht="15" outlineLevel="1" thickBot="1">
      <c r="B82" s="370"/>
      <c r="C82" s="371"/>
      <c r="D82" s="371"/>
      <c r="E82" s="371"/>
      <c r="F82" s="371"/>
      <c r="G82" s="371"/>
      <c r="H82" s="371"/>
      <c r="I82" s="371"/>
      <c r="J82" s="371"/>
      <c r="K82" s="371"/>
      <c r="L82" s="372"/>
      <c r="M82" s="369"/>
      <c r="N82" s="369"/>
      <c r="O82" s="74"/>
      <c r="P82" s="1179"/>
      <c r="Q82" s="1176"/>
      <c r="R82" s="1182"/>
      <c r="S82" s="1176"/>
      <c r="T82" s="373"/>
      <c r="U82" s="374"/>
      <c r="V82" s="373"/>
      <c r="W82" s="374"/>
      <c r="X82" s="373"/>
      <c r="Y82" s="374"/>
      <c r="Z82" s="373"/>
      <c r="AA82" s="374"/>
      <c r="AB82" s="373"/>
      <c r="AC82" s="374"/>
      <c r="AE82" s="1179"/>
      <c r="AF82" s="1195"/>
      <c r="AG82" s="1182"/>
      <c r="AH82" s="1176"/>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45"/>
      <c r="Q83" s="1151"/>
      <c r="R83" s="380"/>
      <c r="S83" s="381"/>
      <c r="T83" s="1134"/>
      <c r="U83" s="1148"/>
      <c r="V83" s="1134"/>
      <c r="W83" s="1148"/>
      <c r="X83" s="1134"/>
      <c r="Y83" s="1148"/>
      <c r="Z83" s="1134"/>
      <c r="AA83" s="1148"/>
      <c r="AB83" s="1134"/>
      <c r="AC83" s="1148"/>
      <c r="AE83" s="1145"/>
      <c r="AF83" s="1151"/>
      <c r="AG83" s="380"/>
      <c r="AH83" s="381"/>
      <c r="AI83" s="1134"/>
      <c r="AJ83" s="1148"/>
      <c r="AK83" s="1134"/>
      <c r="AL83" s="1148"/>
      <c r="AM83" s="1134"/>
      <c r="AN83" s="1148"/>
      <c r="AO83" s="1134"/>
      <c r="AP83" s="1148"/>
      <c r="AQ83" s="1134"/>
      <c r="AR83" s="1148"/>
    </row>
    <row r="84" spans="2:44" outlineLevel="1">
      <c r="B84" s="382"/>
      <c r="C84" s="383"/>
      <c r="D84" s="383"/>
      <c r="E84" s="383"/>
      <c r="F84" s="383"/>
      <c r="G84" s="504"/>
      <c r="H84" s="504"/>
      <c r="I84" s="504"/>
      <c r="J84" s="504"/>
      <c r="K84" s="371"/>
      <c r="L84" s="372"/>
      <c r="M84" s="369"/>
      <c r="N84" s="369"/>
      <c r="O84" s="71"/>
      <c r="P84" s="1192"/>
      <c r="Q84" s="1152"/>
      <c r="R84" s="387"/>
      <c r="S84" s="388"/>
      <c r="T84" s="1137"/>
      <c r="U84" s="1149"/>
      <c r="V84" s="1137"/>
      <c r="W84" s="1149"/>
      <c r="X84" s="1137"/>
      <c r="Y84" s="1149"/>
      <c r="Z84" s="1137"/>
      <c r="AA84" s="1149"/>
      <c r="AB84" s="1137"/>
      <c r="AC84" s="1149"/>
      <c r="AE84" s="1192"/>
      <c r="AF84" s="1152"/>
      <c r="AG84" s="387"/>
      <c r="AH84" s="388"/>
      <c r="AI84" s="1137"/>
      <c r="AJ84" s="1149"/>
      <c r="AK84" s="1137"/>
      <c r="AL84" s="1149"/>
      <c r="AM84" s="1137"/>
      <c r="AN84" s="1149"/>
      <c r="AO84" s="1137"/>
      <c r="AP84" s="1149"/>
      <c r="AQ84" s="1137"/>
      <c r="AR84" s="1149"/>
    </row>
    <row r="85" spans="2:44" ht="15" outlineLevel="1" thickBot="1">
      <c r="B85" s="499"/>
      <c r="C85" s="505"/>
      <c r="D85" s="506"/>
      <c r="E85" s="506"/>
      <c r="F85" s="507"/>
      <c r="G85" s="506"/>
      <c r="H85" s="506"/>
      <c r="I85" s="506"/>
      <c r="J85" s="506"/>
      <c r="K85" s="502"/>
      <c r="L85" s="503"/>
      <c r="M85" s="369"/>
      <c r="N85" s="369"/>
      <c r="O85" s="71"/>
      <c r="P85" s="1192"/>
      <c r="Q85" s="1153"/>
      <c r="R85" s="392"/>
      <c r="S85" s="393"/>
      <c r="T85" s="1138"/>
      <c r="U85" s="1150"/>
      <c r="V85" s="1138"/>
      <c r="W85" s="1150"/>
      <c r="X85" s="1138"/>
      <c r="Y85" s="1150"/>
      <c r="Z85" s="1138"/>
      <c r="AA85" s="1150"/>
      <c r="AB85" s="1138"/>
      <c r="AC85" s="1150"/>
      <c r="AE85" s="1192"/>
      <c r="AF85" s="1153"/>
      <c r="AG85" s="392"/>
      <c r="AH85" s="393"/>
      <c r="AI85" s="1138"/>
      <c r="AJ85" s="1150"/>
      <c r="AK85" s="1138"/>
      <c r="AL85" s="1150"/>
      <c r="AM85" s="1138"/>
      <c r="AN85" s="1150"/>
      <c r="AO85" s="1138"/>
      <c r="AP85" s="1150"/>
      <c r="AQ85" s="1138"/>
      <c r="AR85" s="1150"/>
    </row>
    <row r="86" spans="2:44" ht="15" customHeight="1" outlineLevel="1">
      <c r="B86" s="499"/>
      <c r="C86" s="505"/>
      <c r="D86" s="505"/>
      <c r="E86" s="505"/>
      <c r="F86" s="505"/>
      <c r="G86" s="505"/>
      <c r="H86" s="505"/>
      <c r="I86" s="505"/>
      <c r="J86" s="505"/>
      <c r="K86" s="502"/>
      <c r="L86" s="503"/>
      <c r="M86" s="369"/>
      <c r="N86" s="369"/>
      <c r="O86" s="71"/>
      <c r="P86" s="1192"/>
      <c r="Q86" s="1151"/>
      <c r="R86" s="394"/>
      <c r="S86" s="395"/>
      <c r="T86" s="1134"/>
      <c r="U86" s="1134"/>
      <c r="V86" s="1134"/>
      <c r="W86" s="1134"/>
      <c r="X86" s="1134"/>
      <c r="Y86" s="1134"/>
      <c r="Z86" s="1134"/>
      <c r="AA86" s="1134"/>
      <c r="AB86" s="1134"/>
      <c r="AC86" s="1134"/>
      <c r="AE86" s="1192"/>
      <c r="AF86" s="1151"/>
      <c r="AG86" s="394"/>
      <c r="AH86" s="395"/>
      <c r="AI86" s="1134"/>
      <c r="AJ86" s="1134"/>
      <c r="AK86" s="1134"/>
      <c r="AL86" s="1134"/>
      <c r="AM86" s="1134"/>
      <c r="AN86" s="1134"/>
      <c r="AO86" s="1134"/>
      <c r="AP86" s="1134"/>
      <c r="AQ86" s="1134"/>
      <c r="AR86" s="1134"/>
    </row>
    <row r="87" spans="2:44" outlineLevel="1">
      <c r="B87" s="499"/>
      <c r="C87" s="505"/>
      <c r="D87" s="505"/>
      <c r="E87" s="505"/>
      <c r="F87" s="505"/>
      <c r="G87" s="505"/>
      <c r="H87" s="505"/>
      <c r="I87" s="505"/>
      <c r="J87" s="505"/>
      <c r="K87" s="502"/>
      <c r="L87" s="503"/>
      <c r="M87" s="366"/>
      <c r="N87" s="366"/>
      <c r="O87" s="71"/>
      <c r="P87" s="1192"/>
      <c r="Q87" s="1152"/>
      <c r="R87" s="394"/>
      <c r="S87" s="395"/>
      <c r="T87" s="1135"/>
      <c r="U87" s="1135"/>
      <c r="V87" s="1135"/>
      <c r="W87" s="1135"/>
      <c r="X87" s="1135"/>
      <c r="Y87" s="1135"/>
      <c r="Z87" s="1135"/>
      <c r="AA87" s="1135"/>
      <c r="AB87" s="1135"/>
      <c r="AC87" s="1135"/>
      <c r="AE87" s="1192"/>
      <c r="AF87" s="1152"/>
      <c r="AG87" s="394"/>
      <c r="AH87" s="395"/>
      <c r="AI87" s="1135"/>
      <c r="AJ87" s="1135"/>
      <c r="AK87" s="1135"/>
      <c r="AL87" s="1135"/>
      <c r="AM87" s="1135"/>
      <c r="AN87" s="1135"/>
      <c r="AO87" s="1135"/>
      <c r="AP87" s="1135"/>
      <c r="AQ87" s="1135"/>
      <c r="AR87" s="1135"/>
    </row>
    <row r="88" spans="2:44" outlineLevel="1">
      <c r="B88" s="382"/>
      <c r="C88" s="396"/>
      <c r="D88" s="396"/>
      <c r="E88" s="396"/>
      <c r="F88" s="396"/>
      <c r="G88" s="398"/>
      <c r="H88" s="398"/>
      <c r="I88" s="398"/>
      <c r="J88" s="398"/>
      <c r="K88" s="371"/>
      <c r="L88" s="372"/>
      <c r="M88" s="362"/>
      <c r="N88" s="362"/>
      <c r="P88" s="1192"/>
      <c r="Q88" s="1152"/>
      <c r="R88" s="394"/>
      <c r="S88" s="395"/>
      <c r="T88" s="1135"/>
      <c r="U88" s="1135"/>
      <c r="V88" s="1135"/>
      <c r="W88" s="1135"/>
      <c r="X88" s="1135"/>
      <c r="Y88" s="1135"/>
      <c r="Z88" s="1135"/>
      <c r="AA88" s="1135"/>
      <c r="AB88" s="1135"/>
      <c r="AC88" s="1135"/>
      <c r="AE88" s="1192"/>
      <c r="AF88" s="1152"/>
      <c r="AG88" s="394"/>
      <c r="AH88" s="395"/>
      <c r="AI88" s="1135"/>
      <c r="AJ88" s="1135"/>
      <c r="AK88" s="1135"/>
      <c r="AL88" s="1135"/>
      <c r="AM88" s="1135"/>
      <c r="AN88" s="1135"/>
      <c r="AO88" s="1135"/>
      <c r="AP88" s="1135"/>
      <c r="AQ88" s="1135"/>
      <c r="AR88" s="1135"/>
    </row>
    <row r="89" spans="2:44" ht="15" outlineLevel="1" thickBot="1">
      <c r="B89" s="499"/>
      <c r="C89" s="505"/>
      <c r="D89" s="505"/>
      <c r="E89" s="505"/>
      <c r="F89" s="505"/>
      <c r="G89" s="505"/>
      <c r="H89" s="505"/>
      <c r="I89" s="505"/>
      <c r="J89" s="505"/>
      <c r="K89" s="371"/>
      <c r="L89" s="399"/>
      <c r="M89" s="362"/>
      <c r="N89" s="362"/>
      <c r="P89" s="1192"/>
      <c r="Q89" s="1152"/>
      <c r="R89" s="394"/>
      <c r="S89" s="395"/>
      <c r="T89" s="1135"/>
      <c r="U89" s="1135"/>
      <c r="V89" s="1135"/>
      <c r="W89" s="1135"/>
      <c r="X89" s="1135"/>
      <c r="Y89" s="1135"/>
      <c r="Z89" s="1135"/>
      <c r="AA89" s="1135"/>
      <c r="AB89" s="1135"/>
      <c r="AC89" s="1135"/>
      <c r="AE89" s="1192"/>
      <c r="AF89" s="1152"/>
      <c r="AG89" s="394"/>
      <c r="AH89" s="395"/>
      <c r="AI89" s="1135"/>
      <c r="AJ89" s="1135"/>
      <c r="AK89" s="1135"/>
      <c r="AL89" s="1135"/>
      <c r="AM89" s="1135"/>
      <c r="AN89" s="1135"/>
      <c r="AO89" s="1135"/>
      <c r="AP89" s="1135"/>
      <c r="AQ89" s="1135"/>
      <c r="AR89" s="1135"/>
    </row>
    <row r="90" spans="2:44" ht="15" outlineLevel="1" thickBot="1">
      <c r="B90" s="400"/>
      <c r="C90" s="401"/>
      <c r="D90" s="402"/>
      <c r="E90" s="403"/>
      <c r="F90" s="404"/>
      <c r="G90" s="405"/>
      <c r="H90" s="405"/>
      <c r="I90" s="405"/>
      <c r="J90" s="405"/>
      <c r="K90" s="406"/>
      <c r="L90" s="407"/>
      <c r="M90" s="362"/>
      <c r="N90" s="362"/>
      <c r="P90" s="1192"/>
      <c r="Q90" s="1152"/>
      <c r="R90" s="408"/>
      <c r="S90" s="409"/>
      <c r="T90" s="1136"/>
      <c r="U90" s="1136"/>
      <c r="V90" s="1136"/>
      <c r="W90" s="1136"/>
      <c r="X90" s="1136"/>
      <c r="Y90" s="1136"/>
      <c r="Z90" s="1136"/>
      <c r="AA90" s="1136"/>
      <c r="AB90" s="1136"/>
      <c r="AC90" s="1136"/>
      <c r="AE90" s="1192"/>
      <c r="AF90" s="1152"/>
      <c r="AG90" s="408"/>
      <c r="AH90" s="409"/>
      <c r="AI90" s="1136"/>
      <c r="AJ90" s="1136"/>
      <c r="AK90" s="1136"/>
      <c r="AL90" s="1136"/>
      <c r="AM90" s="1136"/>
      <c r="AN90" s="1136"/>
      <c r="AO90" s="1136"/>
      <c r="AP90" s="1136"/>
      <c r="AQ90" s="1136"/>
      <c r="AR90" s="1136"/>
    </row>
    <row r="91" spans="2:44" ht="15" outlineLevel="1" thickBot="1">
      <c r="B91" s="499"/>
      <c r="C91" s="505"/>
      <c r="D91" s="505"/>
      <c r="E91" s="505"/>
      <c r="F91" s="505"/>
      <c r="G91" s="506"/>
      <c r="H91" s="506"/>
      <c r="I91" s="506"/>
      <c r="J91" s="506"/>
      <c r="K91" s="502"/>
      <c r="L91" s="503"/>
      <c r="M91" s="362"/>
      <c r="N91" s="362"/>
      <c r="P91" s="1193"/>
      <c r="Q91" s="410"/>
      <c r="R91" s="411"/>
      <c r="S91" s="412"/>
      <c r="T91" s="413"/>
      <c r="U91" s="414"/>
      <c r="V91" s="415"/>
      <c r="W91" s="414"/>
      <c r="X91" s="415"/>
      <c r="Y91" s="414"/>
      <c r="Z91" s="415"/>
      <c r="AA91" s="414"/>
      <c r="AB91" s="415"/>
      <c r="AC91" s="416"/>
      <c r="AE91" s="1193"/>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5" outlineLevel="1" thickBot="1">
      <c r="B99" s="428"/>
      <c r="C99" s="429"/>
      <c r="D99" s="429"/>
      <c r="E99" s="429"/>
      <c r="F99" s="429"/>
      <c r="G99" s="424"/>
      <c r="H99" s="424"/>
      <c r="I99" s="424"/>
      <c r="J99" s="424"/>
      <c r="K99" s="422"/>
      <c r="L99" s="426"/>
      <c r="M99" s="427"/>
      <c r="N99" s="427"/>
    </row>
    <row r="100" spans="1:30" ht="15"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39"/>
      <c r="Q105" s="1140"/>
      <c r="R105" s="1140"/>
      <c r="S105" s="1140"/>
      <c r="T105" s="1140"/>
      <c r="U105" s="1141"/>
    </row>
    <row r="106" spans="1:30" ht="15" outlineLevel="1" thickBot="1">
      <c r="B106" s="499"/>
      <c r="C106" s="513"/>
      <c r="D106" s="513"/>
      <c r="E106" s="513"/>
      <c r="F106" s="513"/>
      <c r="G106" s="514"/>
      <c r="H106" s="514"/>
      <c r="I106" s="514"/>
      <c r="J106" s="514"/>
      <c r="K106" s="502"/>
      <c r="L106" s="503"/>
      <c r="M106" s="449"/>
      <c r="N106" s="360"/>
      <c r="P106" s="1131"/>
      <c r="Q106" s="1132"/>
      <c r="R106" s="1132"/>
      <c r="S106" s="1132"/>
      <c r="T106" s="1132"/>
      <c r="U106" s="1133"/>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5"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5"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5"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204"/>
      <c r="C149" s="1140"/>
      <c r="D149" s="1140"/>
      <c r="E149" s="1140"/>
      <c r="F149" s="1140"/>
      <c r="G149" s="1140"/>
      <c r="H149" s="1140"/>
      <c r="I149" s="1140"/>
      <c r="J149" s="1140"/>
      <c r="K149" s="1140"/>
      <c r="L149" s="1140"/>
      <c r="M149" s="1140"/>
      <c r="N149" s="360"/>
      <c r="P149" s="1140"/>
      <c r="Q149" s="1140"/>
      <c r="R149" s="1140"/>
      <c r="S149" s="1140"/>
      <c r="T149" s="1140"/>
      <c r="U149" s="1140"/>
    </row>
    <row r="150" spans="1:44" ht="15" outlineLevel="1" thickBot="1">
      <c r="B150" s="1204"/>
      <c r="C150" s="1140"/>
      <c r="D150" s="1140"/>
      <c r="E150" s="1140"/>
      <c r="F150" s="1140"/>
      <c r="G150" s="1140"/>
      <c r="H150" s="1140"/>
      <c r="I150" s="1140"/>
      <c r="J150" s="1140"/>
      <c r="K150" s="1140"/>
      <c r="L150" s="1140"/>
      <c r="M150" s="1140"/>
      <c r="N150" s="360"/>
      <c r="P150" s="1140"/>
      <c r="Q150" s="1140"/>
      <c r="R150" s="1140"/>
      <c r="S150" s="1140"/>
      <c r="T150" s="1140"/>
      <c r="U150" s="1140"/>
    </row>
    <row r="151" spans="1:44" ht="20.55" customHeight="1" outlineLevel="1" thickBot="1">
      <c r="B151" s="361"/>
      <c r="C151" s="1183"/>
      <c r="D151" s="1202"/>
      <c r="E151" s="1202"/>
      <c r="F151" s="1202"/>
      <c r="G151" s="1202"/>
      <c r="H151" s="1202"/>
      <c r="I151" s="1202"/>
      <c r="J151" s="1202"/>
      <c r="K151" s="1202"/>
      <c r="L151" s="1203"/>
      <c r="M151" s="362"/>
      <c r="N151" s="362"/>
      <c r="P151" s="363"/>
      <c r="Q151" s="364"/>
      <c r="R151" s="365"/>
      <c r="S151" s="1173"/>
      <c r="T151" s="1157"/>
      <c r="U151" s="1158"/>
      <c r="V151" s="1157"/>
      <c r="W151" s="1158"/>
      <c r="X151" s="1157"/>
      <c r="Y151" s="1158"/>
      <c r="Z151" s="1157"/>
      <c r="AA151" s="1158"/>
      <c r="AB151" s="1157"/>
      <c r="AC151" s="1158"/>
      <c r="AE151" s="363"/>
      <c r="AF151" s="364"/>
      <c r="AG151" s="365"/>
      <c r="AH151" s="1173"/>
      <c r="AI151" s="1157"/>
      <c r="AJ151" s="1158"/>
      <c r="AK151" s="1157"/>
      <c r="AL151" s="1158"/>
      <c r="AM151" s="1157"/>
      <c r="AN151" s="1158"/>
      <c r="AO151" s="1157"/>
      <c r="AP151" s="1158"/>
      <c r="AQ151" s="1157"/>
      <c r="AR151" s="1158"/>
    </row>
    <row r="152" spans="1:44" ht="15" customHeight="1" outlineLevel="1" thickBot="1">
      <c r="B152" s="1161"/>
      <c r="C152" s="1163"/>
      <c r="D152" s="1163"/>
      <c r="E152" s="1163"/>
      <c r="F152" s="1163"/>
      <c r="G152" s="1218"/>
      <c r="H152" s="1219"/>
      <c r="I152" s="1218"/>
      <c r="J152" s="1219"/>
      <c r="K152" s="1186"/>
      <c r="L152" s="1186"/>
      <c r="M152" s="366"/>
      <c r="N152" s="366"/>
      <c r="P152" s="1177"/>
      <c r="Q152" s="367"/>
      <c r="R152" s="367"/>
      <c r="S152" s="1174"/>
      <c r="T152" s="1159"/>
      <c r="U152" s="1160"/>
      <c r="V152" s="1159"/>
      <c r="W152" s="1160"/>
      <c r="X152" s="1159"/>
      <c r="Y152" s="1160"/>
      <c r="Z152" s="1159"/>
      <c r="AA152" s="1160"/>
      <c r="AB152" s="1159"/>
      <c r="AC152" s="1160"/>
      <c r="AE152" s="1177"/>
      <c r="AF152" s="367"/>
      <c r="AG152" s="367"/>
      <c r="AH152" s="1174"/>
      <c r="AI152" s="1159"/>
      <c r="AJ152" s="1160"/>
      <c r="AK152" s="1159"/>
      <c r="AL152" s="1160"/>
      <c r="AM152" s="1159"/>
      <c r="AN152" s="1160"/>
      <c r="AO152" s="1159"/>
      <c r="AP152" s="1160"/>
      <c r="AQ152" s="1159"/>
      <c r="AR152" s="1160"/>
    </row>
    <row r="153" spans="1:44" ht="15" customHeight="1" outlineLevel="1" thickBot="1">
      <c r="B153" s="1162"/>
      <c r="C153" s="1164"/>
      <c r="D153" s="1164"/>
      <c r="E153" s="1164"/>
      <c r="F153" s="1164"/>
      <c r="G153" s="539"/>
      <c r="H153" s="539"/>
      <c r="I153" s="539"/>
      <c r="J153" s="539"/>
      <c r="K153" s="1187"/>
      <c r="L153" s="1187"/>
      <c r="M153" s="369"/>
      <c r="N153" s="369"/>
      <c r="P153" s="1178"/>
      <c r="Q153" s="1180"/>
      <c r="R153" s="1181"/>
      <c r="S153" s="1175"/>
      <c r="T153" s="1159"/>
      <c r="U153" s="1160"/>
      <c r="V153" s="1159"/>
      <c r="W153" s="1160"/>
      <c r="X153" s="1159"/>
      <c r="Y153" s="1160"/>
      <c r="Z153" s="1159"/>
      <c r="AA153" s="1160"/>
      <c r="AB153" s="1159"/>
      <c r="AC153" s="1160"/>
      <c r="AE153" s="1178"/>
      <c r="AF153" s="1194"/>
      <c r="AG153" s="1181"/>
      <c r="AH153" s="1175"/>
      <c r="AI153" s="1159"/>
      <c r="AJ153" s="1160"/>
      <c r="AK153" s="1159"/>
      <c r="AL153" s="1160"/>
      <c r="AM153" s="1159"/>
      <c r="AN153" s="1160"/>
      <c r="AO153" s="1159"/>
      <c r="AP153" s="1160"/>
      <c r="AQ153" s="1159"/>
      <c r="AR153" s="1160"/>
    </row>
    <row r="154" spans="1:44" ht="15" outlineLevel="1" thickBot="1">
      <c r="B154" s="370"/>
      <c r="C154" s="371"/>
      <c r="D154" s="371"/>
      <c r="E154" s="371"/>
      <c r="F154" s="371"/>
      <c r="G154" s="371"/>
      <c r="H154" s="371"/>
      <c r="I154" s="371"/>
      <c r="J154" s="371"/>
      <c r="K154" s="371"/>
      <c r="L154" s="372"/>
      <c r="M154" s="369"/>
      <c r="N154" s="369"/>
      <c r="O154" s="74"/>
      <c r="P154" s="1179"/>
      <c r="Q154" s="1176"/>
      <c r="R154" s="1182"/>
      <c r="S154" s="1176"/>
      <c r="T154" s="373"/>
      <c r="U154" s="374"/>
      <c r="V154" s="373"/>
      <c r="W154" s="374"/>
      <c r="X154" s="373"/>
      <c r="Y154" s="374"/>
      <c r="Z154" s="373"/>
      <c r="AA154" s="374"/>
      <c r="AB154" s="373"/>
      <c r="AC154" s="374"/>
      <c r="AE154" s="1179"/>
      <c r="AF154" s="1195"/>
      <c r="AG154" s="1182"/>
      <c r="AH154" s="1176"/>
      <c r="AI154" s="373"/>
      <c r="AJ154" s="374"/>
      <c r="AK154" s="373"/>
      <c r="AL154" s="374"/>
      <c r="AM154" s="373"/>
      <c r="AN154" s="374"/>
      <c r="AO154" s="373"/>
      <c r="AP154" s="374"/>
      <c r="AQ154" s="373"/>
      <c r="AR154" s="374"/>
    </row>
    <row r="155" spans="1:44" ht="14.55" customHeight="1" outlineLevel="1">
      <c r="B155" s="540"/>
      <c r="C155" s="541"/>
      <c r="D155" s="541"/>
      <c r="E155" s="542"/>
      <c r="F155" s="541"/>
      <c r="G155" s="541"/>
      <c r="H155" s="541"/>
      <c r="I155" s="541"/>
      <c r="J155" s="541"/>
      <c r="K155" s="371"/>
      <c r="L155" s="372"/>
      <c r="M155" s="369"/>
      <c r="N155" s="369"/>
      <c r="P155" s="1145"/>
      <c r="Q155" s="1151"/>
      <c r="R155" s="380"/>
      <c r="S155" s="381"/>
      <c r="T155" s="1134"/>
      <c r="U155" s="1148"/>
      <c r="V155" s="1134"/>
      <c r="W155" s="1148"/>
      <c r="X155" s="1134"/>
      <c r="Y155" s="1148"/>
      <c r="Z155" s="1134"/>
      <c r="AA155" s="1148"/>
      <c r="AB155" s="1134"/>
      <c r="AC155" s="1148"/>
      <c r="AE155" s="1145"/>
      <c r="AF155" s="1151"/>
      <c r="AG155" s="380"/>
      <c r="AH155" s="381"/>
      <c r="AI155" s="1134"/>
      <c r="AJ155" s="1148"/>
      <c r="AK155" s="1134"/>
      <c r="AL155" s="1148"/>
      <c r="AM155" s="1134"/>
      <c r="AN155" s="1148"/>
      <c r="AO155" s="1134"/>
      <c r="AP155" s="1148"/>
      <c r="AQ155" s="1134"/>
      <c r="AR155" s="1148"/>
    </row>
    <row r="156" spans="1:44" outlineLevel="1">
      <c r="B156" s="382"/>
      <c r="C156" s="383"/>
      <c r="D156" s="383"/>
      <c r="E156" s="383"/>
      <c r="F156" s="383"/>
      <c r="G156" s="504"/>
      <c r="H156" s="504"/>
      <c r="I156" s="504"/>
      <c r="J156" s="504"/>
      <c r="K156" s="371"/>
      <c r="L156" s="372"/>
      <c r="M156" s="369"/>
      <c r="N156" s="369"/>
      <c r="O156" s="71"/>
      <c r="P156" s="1192"/>
      <c r="Q156" s="1152"/>
      <c r="R156" s="387"/>
      <c r="S156" s="388"/>
      <c r="T156" s="1137"/>
      <c r="U156" s="1149"/>
      <c r="V156" s="1137"/>
      <c r="W156" s="1149"/>
      <c r="X156" s="1137"/>
      <c r="Y156" s="1149"/>
      <c r="Z156" s="1137"/>
      <c r="AA156" s="1149"/>
      <c r="AB156" s="1137"/>
      <c r="AC156" s="1149"/>
      <c r="AE156" s="1192"/>
      <c r="AF156" s="1152"/>
      <c r="AG156" s="387"/>
      <c r="AH156" s="388"/>
      <c r="AI156" s="1137"/>
      <c r="AJ156" s="1149"/>
      <c r="AK156" s="1137"/>
      <c r="AL156" s="1149"/>
      <c r="AM156" s="1137"/>
      <c r="AN156" s="1149"/>
      <c r="AO156" s="1137"/>
      <c r="AP156" s="1149"/>
      <c r="AQ156" s="1137"/>
      <c r="AR156" s="1149"/>
    </row>
    <row r="157" spans="1:44" ht="15" outlineLevel="1" thickBot="1">
      <c r="B157" s="540"/>
      <c r="C157" s="543"/>
      <c r="D157" s="544"/>
      <c r="E157" s="544"/>
      <c r="F157" s="545"/>
      <c r="G157" s="544"/>
      <c r="H157" s="544"/>
      <c r="I157" s="544"/>
      <c r="J157" s="544"/>
      <c r="K157" s="546"/>
      <c r="L157" s="547"/>
      <c r="M157" s="369"/>
      <c r="N157" s="369"/>
      <c r="O157" s="71"/>
      <c r="P157" s="1192"/>
      <c r="Q157" s="1153"/>
      <c r="R157" s="392"/>
      <c r="S157" s="393"/>
      <c r="T157" s="1138"/>
      <c r="U157" s="1150"/>
      <c r="V157" s="1138"/>
      <c r="W157" s="1150"/>
      <c r="X157" s="1138"/>
      <c r="Y157" s="1150"/>
      <c r="Z157" s="1138"/>
      <c r="AA157" s="1150"/>
      <c r="AB157" s="1138"/>
      <c r="AC157" s="1150"/>
      <c r="AE157" s="1192"/>
      <c r="AF157" s="1153"/>
      <c r="AG157" s="392"/>
      <c r="AH157" s="393"/>
      <c r="AI157" s="1138"/>
      <c r="AJ157" s="1150"/>
      <c r="AK157" s="1138"/>
      <c r="AL157" s="1150"/>
      <c r="AM157" s="1138"/>
      <c r="AN157" s="1150"/>
      <c r="AO157" s="1138"/>
      <c r="AP157" s="1150"/>
      <c r="AQ157" s="1138"/>
      <c r="AR157" s="1150"/>
    </row>
    <row r="158" spans="1:44" ht="14.55" customHeight="1" outlineLevel="1">
      <c r="B158" s="540"/>
      <c r="C158" s="543"/>
      <c r="D158" s="543"/>
      <c r="E158" s="543"/>
      <c r="F158" s="543"/>
      <c r="G158" s="543"/>
      <c r="H158" s="543"/>
      <c r="I158" s="543"/>
      <c r="J158" s="543"/>
      <c r="K158" s="546"/>
      <c r="L158" s="547"/>
      <c r="M158" s="369"/>
      <c r="N158" s="369"/>
      <c r="O158" s="71"/>
      <c r="P158" s="1192"/>
      <c r="Q158" s="1151"/>
      <c r="R158" s="394"/>
      <c r="S158" s="395"/>
      <c r="T158" s="1134"/>
      <c r="U158" s="1134"/>
      <c r="V158" s="1134"/>
      <c r="W158" s="1134"/>
      <c r="X158" s="1134"/>
      <c r="Y158" s="1134"/>
      <c r="Z158" s="1134"/>
      <c r="AA158" s="1134"/>
      <c r="AB158" s="1134"/>
      <c r="AC158" s="1134"/>
      <c r="AE158" s="1192"/>
      <c r="AF158" s="1151"/>
      <c r="AG158" s="394"/>
      <c r="AH158" s="395"/>
      <c r="AI158" s="1134"/>
      <c r="AJ158" s="1134"/>
      <c r="AK158" s="1134"/>
      <c r="AL158" s="1134"/>
      <c r="AM158" s="1134"/>
      <c r="AN158" s="1134"/>
      <c r="AO158" s="1134"/>
      <c r="AP158" s="1134"/>
      <c r="AQ158" s="1134"/>
      <c r="AR158" s="1134"/>
    </row>
    <row r="159" spans="1:44" outlineLevel="1">
      <c r="B159" s="540"/>
      <c r="C159" s="543"/>
      <c r="D159" s="543"/>
      <c r="E159" s="543"/>
      <c r="F159" s="543"/>
      <c r="G159" s="543"/>
      <c r="H159" s="543"/>
      <c r="I159" s="543"/>
      <c r="J159" s="543"/>
      <c r="K159" s="546"/>
      <c r="L159" s="547"/>
      <c r="M159" s="366"/>
      <c r="N159" s="366"/>
      <c r="O159" s="71"/>
      <c r="P159" s="1192"/>
      <c r="Q159" s="1152"/>
      <c r="R159" s="394"/>
      <c r="S159" s="395"/>
      <c r="T159" s="1135"/>
      <c r="U159" s="1135"/>
      <c r="V159" s="1135"/>
      <c r="W159" s="1135"/>
      <c r="X159" s="1135"/>
      <c r="Y159" s="1135"/>
      <c r="Z159" s="1135"/>
      <c r="AA159" s="1135"/>
      <c r="AB159" s="1135"/>
      <c r="AC159" s="1135"/>
      <c r="AE159" s="1192"/>
      <c r="AF159" s="1152"/>
      <c r="AG159" s="394"/>
      <c r="AH159" s="395"/>
      <c r="AI159" s="1135"/>
      <c r="AJ159" s="1135"/>
      <c r="AK159" s="1135"/>
      <c r="AL159" s="1135"/>
      <c r="AM159" s="1135"/>
      <c r="AN159" s="1135"/>
      <c r="AO159" s="1135"/>
      <c r="AP159" s="1135"/>
      <c r="AQ159" s="1135"/>
      <c r="AR159" s="1135"/>
    </row>
    <row r="160" spans="1:44" outlineLevel="1">
      <c r="B160" s="382"/>
      <c r="C160" s="396"/>
      <c r="D160" s="396"/>
      <c r="E160" s="396"/>
      <c r="F160" s="398"/>
      <c r="G160" s="398"/>
      <c r="H160" s="398"/>
      <c r="I160" s="398"/>
      <c r="J160" s="398"/>
      <c r="K160" s="371"/>
      <c r="L160" s="372"/>
      <c r="M160" s="362"/>
      <c r="N160" s="362"/>
      <c r="P160" s="1192"/>
      <c r="Q160" s="1152"/>
      <c r="R160" s="394"/>
      <c r="S160" s="395"/>
      <c r="T160" s="1135"/>
      <c r="U160" s="1135"/>
      <c r="V160" s="1135"/>
      <c r="W160" s="1135"/>
      <c r="X160" s="1135"/>
      <c r="Y160" s="1135"/>
      <c r="Z160" s="1135"/>
      <c r="AA160" s="1135"/>
      <c r="AB160" s="1135"/>
      <c r="AC160" s="1135"/>
      <c r="AE160" s="1192"/>
      <c r="AF160" s="1152"/>
      <c r="AG160" s="394"/>
      <c r="AH160" s="395"/>
      <c r="AI160" s="1135"/>
      <c r="AJ160" s="1135"/>
      <c r="AK160" s="1135"/>
      <c r="AL160" s="1135"/>
      <c r="AM160" s="1135"/>
      <c r="AN160" s="1135"/>
      <c r="AO160" s="1135"/>
      <c r="AP160" s="1135"/>
      <c r="AQ160" s="1135"/>
      <c r="AR160" s="1135"/>
    </row>
    <row r="161" spans="1:44" ht="15" outlineLevel="1" thickBot="1">
      <c r="B161" s="540"/>
      <c r="C161" s="543"/>
      <c r="D161" s="543"/>
      <c r="E161" s="543"/>
      <c r="F161" s="543"/>
      <c r="G161" s="543"/>
      <c r="H161" s="543"/>
      <c r="I161" s="543"/>
      <c r="J161" s="543"/>
      <c r="K161" s="371"/>
      <c r="L161" s="399"/>
      <c r="M161" s="362"/>
      <c r="N161" s="362"/>
      <c r="P161" s="1192"/>
      <c r="Q161" s="1152"/>
      <c r="R161" s="394"/>
      <c r="S161" s="395"/>
      <c r="T161" s="1135"/>
      <c r="U161" s="1135"/>
      <c r="V161" s="1135"/>
      <c r="W161" s="1135"/>
      <c r="X161" s="1135"/>
      <c r="Y161" s="1135"/>
      <c r="Z161" s="1135"/>
      <c r="AA161" s="1135"/>
      <c r="AB161" s="1135"/>
      <c r="AC161" s="1135"/>
      <c r="AE161" s="1192"/>
      <c r="AF161" s="1152"/>
      <c r="AG161" s="394"/>
      <c r="AH161" s="395"/>
      <c r="AI161" s="1135"/>
      <c r="AJ161" s="1135"/>
      <c r="AK161" s="1135"/>
      <c r="AL161" s="1135"/>
      <c r="AM161" s="1135"/>
      <c r="AN161" s="1135"/>
      <c r="AO161" s="1135"/>
      <c r="AP161" s="1135"/>
      <c r="AQ161" s="1135"/>
      <c r="AR161" s="1135"/>
    </row>
    <row r="162" spans="1:44" ht="15" outlineLevel="1" thickBot="1">
      <c r="B162" s="400"/>
      <c r="C162" s="401"/>
      <c r="D162" s="402"/>
      <c r="E162" s="403"/>
      <c r="F162" s="404"/>
      <c r="G162" s="405"/>
      <c r="H162" s="405"/>
      <c r="I162" s="405"/>
      <c r="J162" s="405"/>
      <c r="K162" s="406"/>
      <c r="L162" s="407"/>
      <c r="M162" s="362"/>
      <c r="N162" s="362"/>
      <c r="P162" s="1192"/>
      <c r="Q162" s="1152"/>
      <c r="R162" s="408"/>
      <c r="S162" s="409"/>
      <c r="T162" s="1136"/>
      <c r="U162" s="1136"/>
      <c r="V162" s="1136"/>
      <c r="W162" s="1136"/>
      <c r="X162" s="1136"/>
      <c r="Y162" s="1136"/>
      <c r="Z162" s="1136"/>
      <c r="AA162" s="1136"/>
      <c r="AB162" s="1136"/>
      <c r="AC162" s="1136"/>
      <c r="AE162" s="1192"/>
      <c r="AF162" s="1152"/>
      <c r="AG162" s="408"/>
      <c r="AH162" s="409"/>
      <c r="AI162" s="1136"/>
      <c r="AJ162" s="1136"/>
      <c r="AK162" s="1136"/>
      <c r="AL162" s="1136"/>
      <c r="AM162" s="1136"/>
      <c r="AN162" s="1136"/>
      <c r="AO162" s="1136"/>
      <c r="AP162" s="1136"/>
      <c r="AQ162" s="1136"/>
      <c r="AR162" s="1136"/>
    </row>
    <row r="163" spans="1:44" ht="15" outlineLevel="1" thickBot="1">
      <c r="B163" s="540"/>
      <c r="C163" s="543"/>
      <c r="D163" s="543"/>
      <c r="E163" s="543"/>
      <c r="F163" s="543"/>
      <c r="G163" s="544"/>
      <c r="H163" s="544"/>
      <c r="I163" s="544"/>
      <c r="J163" s="544"/>
      <c r="K163" s="546"/>
      <c r="L163" s="547"/>
      <c r="M163" s="362"/>
      <c r="N163" s="362"/>
      <c r="P163" s="1193"/>
      <c r="Q163" s="410"/>
      <c r="R163" s="411"/>
      <c r="S163" s="412"/>
      <c r="T163" s="413"/>
      <c r="U163" s="414"/>
      <c r="V163" s="415"/>
      <c r="W163" s="414"/>
      <c r="X163" s="415"/>
      <c r="Y163" s="414"/>
      <c r="Z163" s="415"/>
      <c r="AA163" s="414"/>
      <c r="AB163" s="415"/>
      <c r="AC163" s="416"/>
      <c r="AE163" s="1193"/>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5" outlineLevel="1" thickBot="1">
      <c r="B171" s="428"/>
      <c r="C171" s="429"/>
      <c r="D171" s="429"/>
      <c r="E171" s="429"/>
      <c r="F171" s="429"/>
      <c r="G171" s="424"/>
      <c r="H171" s="424"/>
      <c r="I171" s="424"/>
      <c r="J171" s="424"/>
      <c r="K171" s="422"/>
      <c r="L171" s="426"/>
      <c r="M171" s="427"/>
      <c r="N171" s="427"/>
    </row>
    <row r="172" spans="1:44" ht="15"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39"/>
      <c r="Q177" s="1140"/>
      <c r="R177" s="1140"/>
      <c r="S177" s="1140"/>
      <c r="T177" s="1140"/>
      <c r="U177" s="1141"/>
    </row>
    <row r="178" spans="2:30" ht="15" outlineLevel="1" thickBot="1">
      <c r="B178" s="540"/>
      <c r="C178" s="551"/>
      <c r="D178" s="551"/>
      <c r="E178" s="551"/>
      <c r="F178" s="551"/>
      <c r="G178" s="552"/>
      <c r="H178" s="552"/>
      <c r="I178" s="552"/>
      <c r="J178" s="552"/>
      <c r="K178" s="546"/>
      <c r="L178" s="547"/>
      <c r="M178" s="449"/>
      <c r="N178" s="360"/>
      <c r="P178" s="1131"/>
      <c r="Q178" s="1132"/>
      <c r="R178" s="1132"/>
      <c r="S178" s="1132"/>
      <c r="T178" s="1132"/>
      <c r="U178" s="1133"/>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5"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5"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5"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5" thickBot="1">
      <c r="A217" s="359"/>
    </row>
    <row r="218" spans="1:44" ht="20.55" customHeight="1" outlineLevel="1" thickBot="1">
      <c r="B218" s="361"/>
      <c r="C218" s="1183"/>
      <c r="D218" s="1202"/>
      <c r="E218" s="1202"/>
      <c r="F218" s="1202"/>
      <c r="G218" s="1202"/>
      <c r="H218" s="1202"/>
      <c r="I218" s="1202"/>
      <c r="J218" s="1202"/>
      <c r="K218" s="1202"/>
      <c r="L218" s="1203"/>
      <c r="M218" s="362"/>
      <c r="N218" s="362"/>
      <c r="P218" s="363"/>
      <c r="Q218" s="364"/>
      <c r="R218" s="365"/>
      <c r="S218" s="1173"/>
      <c r="T218" s="1157"/>
      <c r="U218" s="1158"/>
      <c r="V218" s="1157"/>
      <c r="W218" s="1158"/>
      <c r="X218" s="1157"/>
      <c r="Y218" s="1158"/>
      <c r="Z218" s="1157"/>
      <c r="AA218" s="1158"/>
      <c r="AB218" s="1157"/>
      <c r="AC218" s="1158"/>
      <c r="AE218" s="363"/>
      <c r="AF218" s="364"/>
      <c r="AG218" s="365"/>
      <c r="AH218" s="1173"/>
      <c r="AI218" s="1157"/>
      <c r="AJ218" s="1158"/>
      <c r="AK218" s="1157"/>
      <c r="AL218" s="1158"/>
      <c r="AM218" s="1157"/>
      <c r="AN218" s="1158"/>
      <c r="AO218" s="1157"/>
      <c r="AP218" s="1158"/>
      <c r="AQ218" s="1157"/>
      <c r="AR218" s="1158"/>
    </row>
    <row r="219" spans="1:44" ht="15" customHeight="1" outlineLevel="1" thickBot="1">
      <c r="B219" s="1161"/>
      <c r="C219" s="1163"/>
      <c r="D219" s="1163"/>
      <c r="E219" s="1163"/>
      <c r="F219" s="1163"/>
      <c r="G219" s="1165"/>
      <c r="H219" s="1166"/>
      <c r="I219" s="1165"/>
      <c r="J219" s="1166"/>
      <c r="K219" s="1186"/>
      <c r="L219" s="1186"/>
      <c r="M219" s="366"/>
      <c r="N219" s="366"/>
      <c r="P219" s="1177"/>
      <c r="Q219" s="367"/>
      <c r="R219" s="367"/>
      <c r="S219" s="1174"/>
      <c r="T219" s="1159"/>
      <c r="U219" s="1160"/>
      <c r="V219" s="1159"/>
      <c r="W219" s="1160"/>
      <c r="X219" s="1159"/>
      <c r="Y219" s="1160"/>
      <c r="Z219" s="1159"/>
      <c r="AA219" s="1160"/>
      <c r="AB219" s="1159"/>
      <c r="AC219" s="1160"/>
      <c r="AE219" s="1177"/>
      <c r="AF219" s="367"/>
      <c r="AG219" s="367"/>
      <c r="AH219" s="1174"/>
      <c r="AI219" s="1159"/>
      <c r="AJ219" s="1160"/>
      <c r="AK219" s="1159"/>
      <c r="AL219" s="1160"/>
      <c r="AM219" s="1159"/>
      <c r="AN219" s="1160"/>
      <c r="AO219" s="1159"/>
      <c r="AP219" s="1160"/>
      <c r="AQ219" s="1159"/>
      <c r="AR219" s="1160"/>
    </row>
    <row r="220" spans="1:44" ht="15" customHeight="1" outlineLevel="1" thickBot="1">
      <c r="B220" s="1162"/>
      <c r="C220" s="1164"/>
      <c r="D220" s="1164"/>
      <c r="E220" s="1164"/>
      <c r="F220" s="1164"/>
      <c r="G220" s="405"/>
      <c r="H220" s="405"/>
      <c r="I220" s="405"/>
      <c r="J220" s="405"/>
      <c r="K220" s="1187"/>
      <c r="L220" s="1187"/>
      <c r="M220" s="369"/>
      <c r="N220" s="369"/>
      <c r="P220" s="1178"/>
      <c r="Q220" s="1180"/>
      <c r="R220" s="1181"/>
      <c r="S220" s="1175"/>
      <c r="T220" s="1159"/>
      <c r="U220" s="1160"/>
      <c r="V220" s="1159"/>
      <c r="W220" s="1160"/>
      <c r="X220" s="1159"/>
      <c r="Y220" s="1160"/>
      <c r="Z220" s="1159"/>
      <c r="AA220" s="1160"/>
      <c r="AB220" s="1159"/>
      <c r="AC220" s="1160"/>
      <c r="AE220" s="1178"/>
      <c r="AF220" s="1194"/>
      <c r="AG220" s="1181"/>
      <c r="AH220" s="1175"/>
      <c r="AI220" s="1159"/>
      <c r="AJ220" s="1160"/>
      <c r="AK220" s="1159"/>
      <c r="AL220" s="1160"/>
      <c r="AM220" s="1159"/>
      <c r="AN220" s="1160"/>
      <c r="AO220" s="1159"/>
      <c r="AP220" s="1160"/>
      <c r="AQ220" s="1159"/>
      <c r="AR220" s="1160"/>
    </row>
    <row r="221" spans="1:44" ht="15" outlineLevel="1" thickBot="1">
      <c r="B221" s="370"/>
      <c r="C221" s="371"/>
      <c r="D221" s="371"/>
      <c r="E221" s="371"/>
      <c r="F221" s="371"/>
      <c r="G221" s="371"/>
      <c r="H221" s="371"/>
      <c r="I221" s="371"/>
      <c r="J221" s="371"/>
      <c r="K221" s="371"/>
      <c r="L221" s="372"/>
      <c r="M221" s="369"/>
      <c r="N221" s="369"/>
      <c r="O221" s="74"/>
      <c r="P221" s="1179"/>
      <c r="Q221" s="1176"/>
      <c r="R221" s="1182"/>
      <c r="S221" s="1176"/>
      <c r="T221" s="373"/>
      <c r="U221" s="374"/>
      <c r="V221" s="373"/>
      <c r="W221" s="374"/>
      <c r="X221" s="373"/>
      <c r="Y221" s="374"/>
      <c r="Z221" s="373"/>
      <c r="AA221" s="374"/>
      <c r="AB221" s="373"/>
      <c r="AC221" s="374"/>
      <c r="AE221" s="1179"/>
      <c r="AF221" s="1195"/>
      <c r="AG221" s="1182"/>
      <c r="AH221" s="1176"/>
      <c r="AI221" s="373"/>
      <c r="AJ221" s="374"/>
      <c r="AK221" s="373"/>
      <c r="AL221" s="374"/>
      <c r="AM221" s="373"/>
      <c r="AN221" s="374"/>
      <c r="AO221" s="373"/>
      <c r="AP221" s="374"/>
      <c r="AQ221" s="373"/>
      <c r="AR221" s="374"/>
    </row>
    <row r="222" spans="1:44" ht="14.55" customHeight="1" outlineLevel="1">
      <c r="B222" s="540"/>
      <c r="C222" s="541"/>
      <c r="D222" s="541"/>
      <c r="E222" s="542"/>
      <c r="F222" s="541"/>
      <c r="G222" s="541"/>
      <c r="H222" s="541"/>
      <c r="I222" s="541"/>
      <c r="J222" s="541"/>
      <c r="K222" s="546"/>
      <c r="L222" s="547"/>
      <c r="M222" s="369"/>
      <c r="N222" s="369"/>
      <c r="P222" s="1145"/>
      <c r="Q222" s="1151"/>
      <c r="R222" s="380"/>
      <c r="S222" s="381"/>
      <c r="T222" s="1134"/>
      <c r="U222" s="1148"/>
      <c r="V222" s="1134"/>
      <c r="W222" s="1148"/>
      <c r="X222" s="1134"/>
      <c r="Y222" s="1148"/>
      <c r="Z222" s="1134"/>
      <c r="AA222" s="1148"/>
      <c r="AB222" s="1134"/>
      <c r="AC222" s="1148"/>
      <c r="AE222" s="1145"/>
      <c r="AF222" s="1151"/>
      <c r="AG222" s="380"/>
      <c r="AH222" s="381"/>
      <c r="AI222" s="1134"/>
      <c r="AJ222" s="1148"/>
      <c r="AK222" s="1134"/>
      <c r="AL222" s="1148"/>
      <c r="AM222" s="1134"/>
      <c r="AN222" s="1148"/>
      <c r="AO222" s="1134"/>
      <c r="AP222" s="1148"/>
      <c r="AQ222" s="1134"/>
      <c r="AR222" s="1148"/>
    </row>
    <row r="223" spans="1:44" outlineLevel="1">
      <c r="B223" s="382"/>
      <c r="C223" s="383"/>
      <c r="D223" s="383"/>
      <c r="E223" s="383"/>
      <c r="F223" s="383"/>
      <c r="G223" s="504"/>
      <c r="H223" s="504"/>
      <c r="I223" s="504"/>
      <c r="J223" s="504"/>
      <c r="K223" s="371"/>
      <c r="L223" s="372"/>
      <c r="M223" s="369"/>
      <c r="N223" s="369"/>
      <c r="O223" s="71"/>
      <c r="P223" s="1192"/>
      <c r="Q223" s="1152"/>
      <c r="R223" s="387"/>
      <c r="S223" s="388"/>
      <c r="T223" s="1137"/>
      <c r="U223" s="1149"/>
      <c r="V223" s="1137"/>
      <c r="W223" s="1149"/>
      <c r="X223" s="1137"/>
      <c r="Y223" s="1149"/>
      <c r="Z223" s="1137"/>
      <c r="AA223" s="1149"/>
      <c r="AB223" s="1137"/>
      <c r="AC223" s="1149"/>
      <c r="AE223" s="1192"/>
      <c r="AF223" s="1152"/>
      <c r="AG223" s="387"/>
      <c r="AH223" s="388"/>
      <c r="AI223" s="1137"/>
      <c r="AJ223" s="1149"/>
      <c r="AK223" s="1137"/>
      <c r="AL223" s="1149"/>
      <c r="AM223" s="1137"/>
      <c r="AN223" s="1149"/>
      <c r="AO223" s="1137"/>
      <c r="AP223" s="1149"/>
      <c r="AQ223" s="1137"/>
      <c r="AR223" s="1149"/>
    </row>
    <row r="224" spans="1:44" ht="15" outlineLevel="1" thickBot="1">
      <c r="B224" s="540"/>
      <c r="C224" s="543"/>
      <c r="D224" s="544"/>
      <c r="E224" s="544"/>
      <c r="F224" s="545"/>
      <c r="G224" s="544"/>
      <c r="H224" s="544"/>
      <c r="I224" s="544"/>
      <c r="J224" s="544"/>
      <c r="K224" s="546"/>
      <c r="L224" s="547"/>
      <c r="M224" s="369"/>
      <c r="N224" s="369"/>
      <c r="O224" s="71"/>
      <c r="P224" s="1192"/>
      <c r="Q224" s="1153"/>
      <c r="R224" s="392"/>
      <c r="S224" s="393"/>
      <c r="T224" s="1138"/>
      <c r="U224" s="1150"/>
      <c r="V224" s="1138"/>
      <c r="W224" s="1150"/>
      <c r="X224" s="1138"/>
      <c r="Y224" s="1150"/>
      <c r="Z224" s="1138"/>
      <c r="AA224" s="1150"/>
      <c r="AB224" s="1138"/>
      <c r="AC224" s="1150"/>
      <c r="AE224" s="1192"/>
      <c r="AF224" s="1153"/>
      <c r="AG224" s="392"/>
      <c r="AH224" s="393"/>
      <c r="AI224" s="1138"/>
      <c r="AJ224" s="1150"/>
      <c r="AK224" s="1138"/>
      <c r="AL224" s="1150"/>
      <c r="AM224" s="1138"/>
      <c r="AN224" s="1150"/>
      <c r="AO224" s="1138"/>
      <c r="AP224" s="1150"/>
      <c r="AQ224" s="1138"/>
      <c r="AR224" s="1150"/>
    </row>
    <row r="225" spans="1:44" ht="14.55" customHeight="1" outlineLevel="1">
      <c r="B225" s="540"/>
      <c r="C225" s="543"/>
      <c r="D225" s="543"/>
      <c r="E225" s="543"/>
      <c r="F225" s="543"/>
      <c r="G225" s="543"/>
      <c r="H225" s="543"/>
      <c r="I225" s="543"/>
      <c r="J225" s="543"/>
      <c r="K225" s="546"/>
      <c r="L225" s="547"/>
      <c r="M225" s="369"/>
      <c r="N225" s="369"/>
      <c r="O225" s="71"/>
      <c r="P225" s="1192"/>
      <c r="Q225" s="1151"/>
      <c r="R225" s="394"/>
      <c r="S225" s="395"/>
      <c r="T225" s="1134"/>
      <c r="U225" s="1134"/>
      <c r="V225" s="1134"/>
      <c r="W225" s="1134"/>
      <c r="X225" s="1134"/>
      <c r="Y225" s="1134"/>
      <c r="Z225" s="1134"/>
      <c r="AA225" s="1134"/>
      <c r="AB225" s="1134"/>
      <c r="AC225" s="1134"/>
      <c r="AE225" s="1192"/>
      <c r="AF225" s="1151"/>
      <c r="AG225" s="394"/>
      <c r="AH225" s="395"/>
      <c r="AI225" s="1134"/>
      <c r="AJ225" s="1134"/>
      <c r="AK225" s="1134"/>
      <c r="AL225" s="1134"/>
      <c r="AM225" s="1134"/>
      <c r="AN225" s="1134"/>
      <c r="AO225" s="1134"/>
      <c r="AP225" s="1134"/>
      <c r="AQ225" s="1134"/>
      <c r="AR225" s="1134"/>
    </row>
    <row r="226" spans="1:44" outlineLevel="1">
      <c r="B226" s="540"/>
      <c r="C226" s="543"/>
      <c r="D226" s="543"/>
      <c r="E226" s="543"/>
      <c r="F226" s="543"/>
      <c r="G226" s="543"/>
      <c r="H226" s="543"/>
      <c r="I226" s="543"/>
      <c r="J226" s="543"/>
      <c r="K226" s="546"/>
      <c r="L226" s="547"/>
      <c r="M226" s="366"/>
      <c r="N226" s="366"/>
      <c r="O226" s="71"/>
      <c r="P226" s="1192"/>
      <c r="Q226" s="1152"/>
      <c r="R226" s="394"/>
      <c r="S226" s="395"/>
      <c r="T226" s="1135"/>
      <c r="U226" s="1135"/>
      <c r="V226" s="1135"/>
      <c r="W226" s="1135"/>
      <c r="X226" s="1135"/>
      <c r="Y226" s="1135"/>
      <c r="Z226" s="1135"/>
      <c r="AA226" s="1135"/>
      <c r="AB226" s="1135"/>
      <c r="AC226" s="1135"/>
      <c r="AE226" s="1192"/>
      <c r="AF226" s="1152"/>
      <c r="AG226" s="394"/>
      <c r="AH226" s="395"/>
      <c r="AI226" s="1135"/>
      <c r="AJ226" s="1135"/>
      <c r="AK226" s="1135"/>
      <c r="AL226" s="1135"/>
      <c r="AM226" s="1135"/>
      <c r="AN226" s="1135"/>
      <c r="AO226" s="1135"/>
      <c r="AP226" s="1135"/>
      <c r="AQ226" s="1135"/>
      <c r="AR226" s="1135"/>
    </row>
    <row r="227" spans="1:44" outlineLevel="1">
      <c r="B227" s="382"/>
      <c r="C227" s="396"/>
      <c r="D227" s="396"/>
      <c r="E227" s="396"/>
      <c r="F227" s="396"/>
      <c r="G227" s="398"/>
      <c r="H227" s="398"/>
      <c r="I227" s="398"/>
      <c r="J227" s="398"/>
      <c r="K227" s="371"/>
      <c r="L227" s="372"/>
      <c r="M227" s="362"/>
      <c r="N227" s="362"/>
      <c r="P227" s="1192"/>
      <c r="Q227" s="1152"/>
      <c r="R227" s="394"/>
      <c r="S227" s="395"/>
      <c r="T227" s="1135"/>
      <c r="U227" s="1135"/>
      <c r="V227" s="1135"/>
      <c r="W227" s="1135"/>
      <c r="X227" s="1135"/>
      <c r="Y227" s="1135"/>
      <c r="Z227" s="1135"/>
      <c r="AA227" s="1135"/>
      <c r="AB227" s="1135"/>
      <c r="AC227" s="1135"/>
      <c r="AE227" s="1192"/>
      <c r="AF227" s="1152"/>
      <c r="AG227" s="394"/>
      <c r="AH227" s="395"/>
      <c r="AI227" s="1135"/>
      <c r="AJ227" s="1135"/>
      <c r="AK227" s="1135"/>
      <c r="AL227" s="1135"/>
      <c r="AM227" s="1135"/>
      <c r="AN227" s="1135"/>
      <c r="AO227" s="1135"/>
      <c r="AP227" s="1135"/>
      <c r="AQ227" s="1135"/>
      <c r="AR227" s="1135"/>
    </row>
    <row r="228" spans="1:44" ht="15" outlineLevel="1" thickBot="1">
      <c r="B228" s="540"/>
      <c r="C228" s="543"/>
      <c r="D228" s="543"/>
      <c r="E228" s="543"/>
      <c r="F228" s="543"/>
      <c r="G228" s="543"/>
      <c r="H228" s="543"/>
      <c r="I228" s="543"/>
      <c r="J228" s="543"/>
      <c r="K228" s="546"/>
      <c r="L228" s="558"/>
      <c r="M228" s="362"/>
      <c r="N228" s="362"/>
      <c r="P228" s="1192"/>
      <c r="Q228" s="1152"/>
      <c r="R228" s="394"/>
      <c r="S228" s="395"/>
      <c r="T228" s="1135"/>
      <c r="U228" s="1135"/>
      <c r="V228" s="1135"/>
      <c r="W228" s="1135"/>
      <c r="X228" s="1135"/>
      <c r="Y228" s="1135"/>
      <c r="Z228" s="1135"/>
      <c r="AA228" s="1135"/>
      <c r="AB228" s="1135"/>
      <c r="AC228" s="1135"/>
      <c r="AE228" s="1192"/>
      <c r="AF228" s="1152"/>
      <c r="AG228" s="394"/>
      <c r="AH228" s="395"/>
      <c r="AI228" s="1135"/>
      <c r="AJ228" s="1135"/>
      <c r="AK228" s="1135"/>
      <c r="AL228" s="1135"/>
      <c r="AM228" s="1135"/>
      <c r="AN228" s="1135"/>
      <c r="AO228" s="1135"/>
      <c r="AP228" s="1135"/>
      <c r="AQ228" s="1135"/>
      <c r="AR228" s="1135"/>
    </row>
    <row r="229" spans="1:44" ht="15" outlineLevel="1" thickBot="1">
      <c r="B229" s="400"/>
      <c r="C229" s="401"/>
      <c r="D229" s="402"/>
      <c r="E229" s="403"/>
      <c r="F229" s="404"/>
      <c r="G229" s="405"/>
      <c r="H229" s="405"/>
      <c r="I229" s="405"/>
      <c r="J229" s="405"/>
      <c r="K229" s="406"/>
      <c r="L229" s="407"/>
      <c r="M229" s="362"/>
      <c r="N229" s="362"/>
      <c r="P229" s="1192"/>
      <c r="Q229" s="1152"/>
      <c r="R229" s="408"/>
      <c r="S229" s="409"/>
      <c r="T229" s="1136"/>
      <c r="U229" s="1136"/>
      <c r="V229" s="1136"/>
      <c r="W229" s="1136"/>
      <c r="X229" s="1136"/>
      <c r="Y229" s="1136"/>
      <c r="Z229" s="1136"/>
      <c r="AA229" s="1136"/>
      <c r="AB229" s="1136"/>
      <c r="AC229" s="1136"/>
      <c r="AE229" s="1192"/>
      <c r="AF229" s="1152"/>
      <c r="AG229" s="408"/>
      <c r="AH229" s="409"/>
      <c r="AI229" s="1136"/>
      <c r="AJ229" s="1136"/>
      <c r="AK229" s="1136"/>
      <c r="AL229" s="1136"/>
      <c r="AM229" s="1136"/>
      <c r="AN229" s="1136"/>
      <c r="AO229" s="1136"/>
      <c r="AP229" s="1136"/>
      <c r="AQ229" s="1136"/>
      <c r="AR229" s="1136"/>
    </row>
    <row r="230" spans="1:44" ht="15" outlineLevel="1" thickBot="1">
      <c r="B230" s="540"/>
      <c r="C230" s="543"/>
      <c r="D230" s="543"/>
      <c r="E230" s="543"/>
      <c r="F230" s="543"/>
      <c r="G230" s="544"/>
      <c r="H230" s="544"/>
      <c r="I230" s="544"/>
      <c r="J230" s="544"/>
      <c r="K230" s="546"/>
      <c r="L230" s="547"/>
      <c r="M230" s="362"/>
      <c r="N230" s="362"/>
      <c r="P230" s="1193"/>
      <c r="Q230" s="410"/>
      <c r="R230" s="411"/>
      <c r="S230" s="412"/>
      <c r="T230" s="413"/>
      <c r="U230" s="414"/>
      <c r="V230" s="413"/>
      <c r="W230" s="414"/>
      <c r="X230" s="413"/>
      <c r="Y230" s="414"/>
      <c r="Z230" s="413"/>
      <c r="AA230" s="414"/>
      <c r="AB230" s="413"/>
      <c r="AC230" s="416"/>
      <c r="AE230" s="1193"/>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5" outlineLevel="1" thickBot="1">
      <c r="B238" s="428"/>
      <c r="C238" s="429"/>
      <c r="D238" s="429"/>
      <c r="E238" s="429"/>
      <c r="F238" s="429"/>
      <c r="G238" s="424"/>
      <c r="H238" s="424"/>
      <c r="I238" s="424"/>
      <c r="J238" s="424"/>
      <c r="K238" s="422"/>
      <c r="L238" s="426"/>
      <c r="M238" s="427"/>
      <c r="N238" s="427"/>
    </row>
    <row r="239" spans="1:44" ht="15"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39"/>
      <c r="Q244" s="1140"/>
      <c r="R244" s="1140"/>
      <c r="S244" s="1140"/>
      <c r="T244" s="1140"/>
      <c r="U244" s="1141"/>
    </row>
    <row r="245" spans="2:30" ht="15" outlineLevel="1" thickBot="1">
      <c r="B245" s="540"/>
      <c r="C245" s="551"/>
      <c r="D245" s="551"/>
      <c r="E245" s="551"/>
      <c r="F245" s="551"/>
      <c r="G245" s="424"/>
      <c r="H245" s="424"/>
      <c r="I245" s="424"/>
      <c r="J245" s="424"/>
      <c r="K245" s="443"/>
      <c r="L245" s="372"/>
      <c r="M245" s="449"/>
      <c r="N245" s="360"/>
      <c r="P245" s="1131"/>
      <c r="Q245" s="1132"/>
      <c r="R245" s="1132"/>
      <c r="S245" s="1132"/>
      <c r="T245" s="1132"/>
      <c r="U245" s="1133"/>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5"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5"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5"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5" thickBot="1">
      <c r="A283" s="359"/>
    </row>
    <row r="284" spans="1:44" ht="20.55" customHeight="1" thickBot="1">
      <c r="B284" s="361"/>
      <c r="C284" s="1183"/>
      <c r="D284" s="1184"/>
      <c r="E284" s="1184"/>
      <c r="F284" s="1184"/>
      <c r="G284" s="1184"/>
      <c r="H284" s="1184"/>
      <c r="I284" s="1184"/>
      <c r="J284" s="1184"/>
      <c r="K284" s="1184"/>
      <c r="L284" s="1185"/>
      <c r="M284" s="362"/>
      <c r="N284" s="362"/>
      <c r="P284" s="363"/>
      <c r="Q284" s="364"/>
      <c r="R284" s="365"/>
      <c r="S284" s="1173"/>
      <c r="T284" s="1157"/>
      <c r="U284" s="1158"/>
      <c r="V284" s="1157"/>
      <c r="W284" s="1158"/>
      <c r="X284" s="1157"/>
      <c r="Y284" s="1158"/>
      <c r="Z284" s="1157"/>
      <c r="AA284" s="1158"/>
      <c r="AB284" s="1157"/>
      <c r="AC284" s="1158"/>
      <c r="AE284" s="363"/>
      <c r="AF284" s="364"/>
      <c r="AG284" s="365"/>
      <c r="AH284" s="1173"/>
      <c r="AI284" s="1157"/>
      <c r="AJ284" s="1158"/>
      <c r="AK284" s="1157"/>
      <c r="AL284" s="1158"/>
      <c r="AM284" s="1157"/>
      <c r="AN284" s="1158"/>
      <c r="AO284" s="1157"/>
      <c r="AP284" s="1158"/>
      <c r="AQ284" s="1157"/>
      <c r="AR284" s="1158"/>
    </row>
    <row r="285" spans="1:44" ht="15" customHeight="1" thickBot="1">
      <c r="B285" s="1161"/>
      <c r="C285" s="1163"/>
      <c r="D285" s="1163"/>
      <c r="E285" s="1163"/>
      <c r="F285" s="1163"/>
      <c r="G285" s="1165"/>
      <c r="H285" s="1166"/>
      <c r="I285" s="1165"/>
      <c r="J285" s="1166"/>
      <c r="K285" s="1186"/>
      <c r="L285" s="1186"/>
      <c r="M285" s="366"/>
      <c r="N285" s="366"/>
      <c r="P285" s="1177"/>
      <c r="Q285" s="367"/>
      <c r="R285" s="367"/>
      <c r="S285" s="1174"/>
      <c r="T285" s="1159"/>
      <c r="U285" s="1160"/>
      <c r="V285" s="1159"/>
      <c r="W285" s="1160"/>
      <c r="X285" s="1159"/>
      <c r="Y285" s="1160"/>
      <c r="Z285" s="1159"/>
      <c r="AA285" s="1160"/>
      <c r="AB285" s="1159"/>
      <c r="AC285" s="1160"/>
      <c r="AE285" s="1177"/>
      <c r="AF285" s="367"/>
      <c r="AG285" s="367"/>
      <c r="AH285" s="1174"/>
      <c r="AI285" s="1159"/>
      <c r="AJ285" s="1160"/>
      <c r="AK285" s="1159"/>
      <c r="AL285" s="1160"/>
      <c r="AM285" s="1159"/>
      <c r="AN285" s="1160"/>
      <c r="AO285" s="1159"/>
      <c r="AP285" s="1160"/>
      <c r="AQ285" s="1159"/>
      <c r="AR285" s="1160"/>
    </row>
    <row r="286" spans="1:44" ht="15" customHeight="1" thickBot="1">
      <c r="B286" s="1162"/>
      <c r="C286" s="1164"/>
      <c r="D286" s="1164"/>
      <c r="E286" s="1164"/>
      <c r="F286" s="1164"/>
      <c r="G286" s="405"/>
      <c r="H286" s="405"/>
      <c r="I286" s="405"/>
      <c r="J286" s="405"/>
      <c r="K286" s="1187"/>
      <c r="L286" s="1187"/>
      <c r="M286" s="369"/>
      <c r="N286" s="369"/>
      <c r="P286" s="1178"/>
      <c r="Q286" s="1180"/>
      <c r="R286" s="1181"/>
      <c r="S286" s="1175"/>
      <c r="T286" s="1159"/>
      <c r="U286" s="1160"/>
      <c r="V286" s="1159"/>
      <c r="W286" s="1160"/>
      <c r="X286" s="1159"/>
      <c r="Y286" s="1160"/>
      <c r="Z286" s="1159"/>
      <c r="AA286" s="1160"/>
      <c r="AB286" s="1159"/>
      <c r="AC286" s="1160"/>
      <c r="AE286" s="1178"/>
      <c r="AF286" s="1180"/>
      <c r="AG286" s="1181"/>
      <c r="AH286" s="1175"/>
      <c r="AI286" s="1159"/>
      <c r="AJ286" s="1160"/>
      <c r="AK286" s="1159"/>
      <c r="AL286" s="1160"/>
      <c r="AM286" s="1159"/>
      <c r="AN286" s="1160"/>
      <c r="AO286" s="1159"/>
      <c r="AP286" s="1160"/>
      <c r="AQ286" s="1159"/>
      <c r="AR286" s="1160"/>
    </row>
    <row r="287" spans="1:44" ht="15" thickBot="1">
      <c r="B287" s="370"/>
      <c r="C287" s="371"/>
      <c r="D287" s="371"/>
      <c r="E287" s="371"/>
      <c r="F287" s="371"/>
      <c r="G287" s="371"/>
      <c r="H287" s="371"/>
      <c r="I287" s="371"/>
      <c r="J287" s="371"/>
      <c r="K287" s="371"/>
      <c r="L287" s="372"/>
      <c r="M287" s="369"/>
      <c r="N287" s="369"/>
      <c r="O287" s="74"/>
      <c r="P287" s="1179"/>
      <c r="Q287" s="1176"/>
      <c r="R287" s="1182"/>
      <c r="S287" s="1176"/>
      <c r="T287" s="373"/>
      <c r="U287" s="374"/>
      <c r="V287" s="373"/>
      <c r="W287" s="374"/>
      <c r="X287" s="373"/>
      <c r="Y287" s="374"/>
      <c r="Z287" s="373"/>
      <c r="AA287" s="374"/>
      <c r="AB287" s="373"/>
      <c r="AC287" s="374"/>
      <c r="AE287" s="1179"/>
      <c r="AF287" s="1176"/>
      <c r="AG287" s="1182"/>
      <c r="AH287" s="1176"/>
      <c r="AI287" s="373"/>
      <c r="AJ287" s="374"/>
      <c r="AK287" s="373"/>
      <c r="AL287" s="374"/>
      <c r="AM287" s="373"/>
      <c r="AN287" s="374"/>
      <c r="AO287" s="373"/>
      <c r="AP287" s="374"/>
      <c r="AQ287" s="373"/>
      <c r="AR287" s="374"/>
    </row>
    <row r="288" spans="1:44" ht="14.55" customHeight="1">
      <c r="B288" s="573"/>
      <c r="C288" s="574"/>
      <c r="D288" s="574"/>
      <c r="E288" s="574"/>
      <c r="F288" s="574"/>
      <c r="G288" s="575"/>
      <c r="H288" s="575"/>
      <c r="I288" s="575"/>
      <c r="J288" s="575"/>
      <c r="K288" s="371"/>
      <c r="L288" s="372"/>
      <c r="M288" s="369"/>
      <c r="N288" s="369"/>
      <c r="P288" s="1145"/>
      <c r="Q288" s="1151"/>
      <c r="R288" s="380"/>
      <c r="S288" s="381"/>
      <c r="T288" s="1134"/>
      <c r="U288" s="1148"/>
      <c r="V288" s="1134"/>
      <c r="W288" s="1148"/>
      <c r="X288" s="1134"/>
      <c r="Y288" s="1148"/>
      <c r="Z288" s="1134"/>
      <c r="AA288" s="1148"/>
      <c r="AB288" s="1154"/>
      <c r="AC288" s="1148"/>
      <c r="AE288" s="1145"/>
      <c r="AF288" s="1151"/>
      <c r="AG288" s="380"/>
      <c r="AH288" s="381"/>
      <c r="AI288" s="1134"/>
      <c r="AJ288" s="1148"/>
      <c r="AK288" s="1134"/>
      <c r="AL288" s="1148"/>
      <c r="AM288" s="1134"/>
      <c r="AN288" s="1148"/>
      <c r="AO288" s="1134"/>
      <c r="AP288" s="1148"/>
      <c r="AQ288" s="1154"/>
      <c r="AR288" s="1148"/>
    </row>
    <row r="289" spans="2:44">
      <c r="B289" s="382"/>
      <c r="C289" s="576"/>
      <c r="D289" s="576"/>
      <c r="E289" s="576"/>
      <c r="F289" s="576"/>
      <c r="G289" s="575"/>
      <c r="H289" s="575"/>
      <c r="I289" s="575"/>
      <c r="J289" s="575"/>
      <c r="K289" s="371"/>
      <c r="L289" s="372"/>
      <c r="M289" s="369"/>
      <c r="N289" s="369"/>
      <c r="O289" s="71"/>
      <c r="P289" s="1146"/>
      <c r="Q289" s="1152"/>
      <c r="R289" s="387"/>
      <c r="S289" s="388"/>
      <c r="T289" s="1137"/>
      <c r="U289" s="1149"/>
      <c r="V289" s="1137"/>
      <c r="W289" s="1149"/>
      <c r="X289" s="1137"/>
      <c r="Y289" s="1149"/>
      <c r="Z289" s="1137"/>
      <c r="AA289" s="1149"/>
      <c r="AB289" s="1155"/>
      <c r="AC289" s="1149"/>
      <c r="AE289" s="1146"/>
      <c r="AF289" s="1152"/>
      <c r="AG289" s="387"/>
      <c r="AH289" s="388"/>
      <c r="AI289" s="1137"/>
      <c r="AJ289" s="1149"/>
      <c r="AK289" s="1137"/>
      <c r="AL289" s="1149"/>
      <c r="AM289" s="1137"/>
      <c r="AN289" s="1149"/>
      <c r="AO289" s="1137"/>
      <c r="AP289" s="1149"/>
      <c r="AQ289" s="1155"/>
      <c r="AR289" s="1149"/>
    </row>
    <row r="290" spans="2:44" ht="15" thickBot="1">
      <c r="B290" s="573"/>
      <c r="C290" s="577"/>
      <c r="D290" s="577"/>
      <c r="E290" s="577"/>
      <c r="F290" s="577"/>
      <c r="G290" s="577"/>
      <c r="H290" s="577"/>
      <c r="I290" s="577"/>
      <c r="J290" s="577"/>
      <c r="K290" s="578"/>
      <c r="L290" s="579"/>
      <c r="M290" s="369"/>
      <c r="N290" s="369"/>
      <c r="O290" s="71"/>
      <c r="P290" s="1146"/>
      <c r="Q290" s="1153"/>
      <c r="R290" s="392"/>
      <c r="S290" s="393"/>
      <c r="T290" s="1138"/>
      <c r="U290" s="1150"/>
      <c r="V290" s="1138"/>
      <c r="W290" s="1150"/>
      <c r="X290" s="1138"/>
      <c r="Y290" s="1150"/>
      <c r="Z290" s="1138"/>
      <c r="AA290" s="1150"/>
      <c r="AB290" s="1156"/>
      <c r="AC290" s="1150"/>
      <c r="AE290" s="1146"/>
      <c r="AF290" s="1153"/>
      <c r="AG290" s="392"/>
      <c r="AH290" s="393"/>
      <c r="AI290" s="1138"/>
      <c r="AJ290" s="1150"/>
      <c r="AK290" s="1138"/>
      <c r="AL290" s="1150"/>
      <c r="AM290" s="1138"/>
      <c r="AN290" s="1150"/>
      <c r="AO290" s="1138"/>
      <c r="AP290" s="1150"/>
      <c r="AQ290" s="1156"/>
      <c r="AR290" s="1150"/>
    </row>
    <row r="291" spans="2:44" ht="14.55" customHeight="1">
      <c r="B291" s="573"/>
      <c r="C291" s="580"/>
      <c r="D291" s="580"/>
      <c r="E291" s="580"/>
      <c r="F291" s="580"/>
      <c r="G291" s="580"/>
      <c r="H291" s="580"/>
      <c r="I291" s="580"/>
      <c r="J291" s="580"/>
      <c r="K291" s="578"/>
      <c r="L291" s="579"/>
      <c r="M291" s="369"/>
      <c r="N291" s="369"/>
      <c r="O291" s="71"/>
      <c r="P291" s="1146"/>
      <c r="Q291" s="1142"/>
      <c r="R291" s="394"/>
      <c r="S291" s="395"/>
      <c r="T291" s="1134"/>
      <c r="U291" s="1134"/>
      <c r="V291" s="1134"/>
      <c r="W291" s="1134"/>
      <c r="X291" s="1134"/>
      <c r="Y291" s="1134"/>
      <c r="Z291" s="1134"/>
      <c r="AA291" s="1134"/>
      <c r="AB291" s="1134"/>
      <c r="AC291" s="1134"/>
      <c r="AE291" s="1146"/>
      <c r="AF291" s="1142"/>
      <c r="AG291" s="394"/>
      <c r="AH291" s="395"/>
      <c r="AI291" s="1134"/>
      <c r="AJ291" s="1134"/>
      <c r="AK291" s="1134"/>
      <c r="AL291" s="1134"/>
      <c r="AM291" s="1134"/>
      <c r="AN291" s="1134"/>
      <c r="AO291" s="1134"/>
      <c r="AP291" s="1134"/>
      <c r="AQ291" s="1134"/>
      <c r="AR291" s="1134"/>
    </row>
    <row r="292" spans="2:44">
      <c r="B292" s="573"/>
      <c r="C292" s="581"/>
      <c r="D292" s="581"/>
      <c r="E292" s="581"/>
      <c r="F292" s="581"/>
      <c r="G292" s="581"/>
      <c r="H292" s="581"/>
      <c r="I292" s="581"/>
      <c r="J292" s="581"/>
      <c r="K292" s="578"/>
      <c r="L292" s="579"/>
      <c r="M292" s="366"/>
      <c r="N292" s="366"/>
      <c r="O292" s="71"/>
      <c r="P292" s="1146"/>
      <c r="Q292" s="1143"/>
      <c r="R292" s="394"/>
      <c r="S292" s="395"/>
      <c r="T292" s="1135"/>
      <c r="U292" s="1135"/>
      <c r="V292" s="1135"/>
      <c r="W292" s="1135"/>
      <c r="X292" s="1135"/>
      <c r="Y292" s="1135"/>
      <c r="Z292" s="1135"/>
      <c r="AA292" s="1135"/>
      <c r="AB292" s="1137"/>
      <c r="AC292" s="1135"/>
      <c r="AE292" s="1146"/>
      <c r="AF292" s="1143"/>
      <c r="AG292" s="394"/>
      <c r="AH292" s="395"/>
      <c r="AI292" s="1135"/>
      <c r="AJ292" s="1135"/>
      <c r="AK292" s="1135"/>
      <c r="AL292" s="1135"/>
      <c r="AM292" s="1135"/>
      <c r="AN292" s="1135"/>
      <c r="AO292" s="1135"/>
      <c r="AP292" s="1135"/>
      <c r="AQ292" s="1137"/>
      <c r="AR292" s="1135"/>
    </row>
    <row r="293" spans="2:44">
      <c r="B293" s="382"/>
      <c r="C293" s="396"/>
      <c r="D293" s="396"/>
      <c r="E293" s="396"/>
      <c r="F293" s="396"/>
      <c r="G293" s="397"/>
      <c r="H293" s="397"/>
      <c r="I293" s="397"/>
      <c r="J293" s="397"/>
      <c r="K293" s="371"/>
      <c r="L293" s="372"/>
      <c r="M293" s="362"/>
      <c r="N293" s="362"/>
      <c r="P293" s="1146"/>
      <c r="Q293" s="1143"/>
      <c r="R293" s="394"/>
      <c r="S293" s="395"/>
      <c r="T293" s="1135"/>
      <c r="U293" s="1135"/>
      <c r="V293" s="1135"/>
      <c r="W293" s="1135"/>
      <c r="X293" s="1135"/>
      <c r="Y293" s="1135"/>
      <c r="Z293" s="1135"/>
      <c r="AA293" s="1135"/>
      <c r="AB293" s="1137"/>
      <c r="AC293" s="1135"/>
      <c r="AE293" s="1146"/>
      <c r="AF293" s="1143"/>
      <c r="AG293" s="394"/>
      <c r="AH293" s="395"/>
      <c r="AI293" s="1135"/>
      <c r="AJ293" s="1135"/>
      <c r="AK293" s="1135"/>
      <c r="AL293" s="1135"/>
      <c r="AM293" s="1135"/>
      <c r="AN293" s="1135"/>
      <c r="AO293" s="1135"/>
      <c r="AP293" s="1135"/>
      <c r="AQ293" s="1137"/>
      <c r="AR293" s="1135"/>
    </row>
    <row r="294" spans="2:44" ht="15" thickBot="1">
      <c r="B294" s="573"/>
      <c r="C294" s="581"/>
      <c r="D294" s="581"/>
      <c r="E294" s="581"/>
      <c r="F294" s="581"/>
      <c r="G294" s="581"/>
      <c r="H294" s="581"/>
      <c r="I294" s="581"/>
      <c r="J294" s="581"/>
      <c r="K294" s="371"/>
      <c r="L294" s="372"/>
      <c r="M294" s="362"/>
      <c r="N294" s="362"/>
      <c r="P294" s="1146"/>
      <c r="Q294" s="1143"/>
      <c r="R294" s="394"/>
      <c r="S294" s="395"/>
      <c r="T294" s="1135"/>
      <c r="U294" s="1135"/>
      <c r="V294" s="1135"/>
      <c r="W294" s="1135"/>
      <c r="X294" s="1135"/>
      <c r="Y294" s="1135"/>
      <c r="Z294" s="1135"/>
      <c r="AA294" s="1135"/>
      <c r="AB294" s="1137"/>
      <c r="AC294" s="1135"/>
      <c r="AE294" s="1146"/>
      <c r="AF294" s="1143"/>
      <c r="AG294" s="394"/>
      <c r="AH294" s="395"/>
      <c r="AI294" s="1135"/>
      <c r="AJ294" s="1135"/>
      <c r="AK294" s="1135"/>
      <c r="AL294" s="1135"/>
      <c r="AM294" s="1135"/>
      <c r="AN294" s="1135"/>
      <c r="AO294" s="1135"/>
      <c r="AP294" s="1135"/>
      <c r="AQ294" s="1137"/>
      <c r="AR294" s="1135"/>
    </row>
    <row r="295" spans="2:44" ht="15" thickBot="1">
      <c r="B295" s="400"/>
      <c r="C295" s="582"/>
      <c r="D295" s="583"/>
      <c r="E295" s="584"/>
      <c r="F295" s="585"/>
      <c r="G295" s="405"/>
      <c r="H295" s="405"/>
      <c r="I295" s="405"/>
      <c r="J295" s="405"/>
      <c r="K295" s="406"/>
      <c r="L295" s="586"/>
      <c r="M295" s="362"/>
      <c r="N295" s="362"/>
      <c r="P295" s="1146"/>
      <c r="Q295" s="1144"/>
      <c r="R295" s="408"/>
      <c r="S295" s="409"/>
      <c r="T295" s="1136"/>
      <c r="U295" s="1136"/>
      <c r="V295" s="1136"/>
      <c r="W295" s="1136"/>
      <c r="X295" s="1136"/>
      <c r="Y295" s="1136"/>
      <c r="Z295" s="1136"/>
      <c r="AA295" s="1136"/>
      <c r="AB295" s="1138"/>
      <c r="AC295" s="1136"/>
      <c r="AE295" s="1146"/>
      <c r="AF295" s="1144"/>
      <c r="AG295" s="408"/>
      <c r="AH295" s="409"/>
      <c r="AI295" s="1136"/>
      <c r="AJ295" s="1136"/>
      <c r="AK295" s="1136"/>
      <c r="AL295" s="1136"/>
      <c r="AM295" s="1136"/>
      <c r="AN295" s="1136"/>
      <c r="AO295" s="1136"/>
      <c r="AP295" s="1136"/>
      <c r="AQ295" s="1138"/>
      <c r="AR295" s="1136"/>
    </row>
    <row r="296" spans="2:44" ht="15" thickBot="1">
      <c r="B296" s="573"/>
      <c r="C296" s="587"/>
      <c r="D296" s="587"/>
      <c r="E296" s="587"/>
      <c r="F296" s="587"/>
      <c r="G296" s="588"/>
      <c r="H296" s="588"/>
      <c r="I296" s="589"/>
      <c r="J296" s="589"/>
      <c r="K296" s="578"/>
      <c r="L296" s="579"/>
      <c r="M296" s="362"/>
      <c r="N296" s="362"/>
      <c r="P296" s="1147"/>
      <c r="Q296" s="410"/>
      <c r="R296" s="411"/>
      <c r="S296" s="412"/>
      <c r="T296" s="590"/>
      <c r="U296" s="591"/>
      <c r="V296" s="592"/>
      <c r="W296" s="591"/>
      <c r="X296" s="592"/>
      <c r="Y296" s="591"/>
      <c r="Z296" s="592"/>
      <c r="AA296" s="591"/>
      <c r="AB296" s="592"/>
      <c r="AC296" s="593"/>
      <c r="AE296" s="1147"/>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5" thickBot="1">
      <c r="B304" s="428"/>
      <c r="C304" s="396"/>
      <c r="D304" s="396"/>
      <c r="E304" s="396"/>
      <c r="F304" s="396"/>
      <c r="G304" s="424"/>
      <c r="H304" s="424"/>
      <c r="I304" s="424"/>
      <c r="J304" s="424"/>
      <c r="K304" s="422"/>
      <c r="L304" s="426"/>
      <c r="M304" s="427"/>
      <c r="N304" s="427"/>
    </row>
    <row r="305" spans="1:30" ht="15"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39"/>
      <c r="Q310" s="1140"/>
      <c r="R310" s="1140"/>
      <c r="S310" s="1140"/>
      <c r="T310" s="1140"/>
      <c r="U310" s="1141"/>
    </row>
    <row r="311" spans="1:30" ht="15" thickBot="1">
      <c r="B311" s="540"/>
      <c r="C311" s="551"/>
      <c r="D311" s="551"/>
      <c r="E311" s="551"/>
      <c r="F311" s="551"/>
      <c r="G311" s="552"/>
      <c r="H311" s="552"/>
      <c r="I311" s="552"/>
      <c r="J311" s="552"/>
      <c r="K311" s="546"/>
      <c r="L311" s="547"/>
      <c r="M311" s="449"/>
      <c r="N311" s="360"/>
      <c r="P311" s="1131"/>
      <c r="Q311" s="1132"/>
      <c r="R311" s="1132"/>
      <c r="S311" s="1132"/>
      <c r="T311" s="1132"/>
      <c r="U311" s="1133"/>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5"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5"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5"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27977-0B47-4F6B-B049-E5C915C334F5}">
  <sheetPr>
    <tabColor theme="3"/>
  </sheetPr>
  <dimension ref="A2:AR345"/>
  <sheetViews>
    <sheetView zoomScale="70" zoomScaleNormal="70" workbookViewId="0">
      <selection activeCell="C33" sqref="C33"/>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Infrared heating</v>
      </c>
    </row>
    <row r="4" spans="1:44" ht="25.05" customHeight="1">
      <c r="E4" s="224" t="s">
        <v>358</v>
      </c>
      <c r="F4" s="358">
        <v>7.45</v>
      </c>
      <c r="G4" s="358" t="s">
        <v>328</v>
      </c>
    </row>
    <row r="5" spans="1:44" ht="15" customHeight="1">
      <c r="A5" s="359" t="s">
        <v>931</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913</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0.1</v>
      </c>
      <c r="D10" s="371">
        <v>0.1</v>
      </c>
      <c r="E10" s="371">
        <v>0.1</v>
      </c>
      <c r="F10" s="371">
        <v>0.1</v>
      </c>
      <c r="G10" s="371">
        <v>0.01</v>
      </c>
      <c r="H10" s="371">
        <v>0.2</v>
      </c>
      <c r="I10" s="371">
        <v>0.01</v>
      </c>
      <c r="J10" s="371">
        <v>0.2</v>
      </c>
      <c r="K10" s="371" t="s">
        <v>6</v>
      </c>
      <c r="L10" s="372">
        <v>1</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96</v>
      </c>
      <c r="D11" s="376">
        <v>96</v>
      </c>
      <c r="E11" s="377">
        <v>96</v>
      </c>
      <c r="F11" s="376">
        <v>96</v>
      </c>
      <c r="G11" s="376">
        <v>90</v>
      </c>
      <c r="H11" s="376">
        <v>100</v>
      </c>
      <c r="I11" s="376">
        <v>90</v>
      </c>
      <c r="J11" s="376">
        <v>100</v>
      </c>
      <c r="K11" s="378" t="s">
        <v>801</v>
      </c>
      <c r="L11" s="379">
        <v>2</v>
      </c>
      <c r="M11" s="369"/>
      <c r="N11" s="369"/>
      <c r="P11" s="1196" t="str">
        <f>C7</f>
        <v>Infrared heating</v>
      </c>
      <c r="Q11" s="1151" t="s">
        <v>693</v>
      </c>
      <c r="R11" s="380" t="s">
        <v>694</v>
      </c>
      <c r="S11" s="381"/>
      <c r="T11" s="1134">
        <v>0</v>
      </c>
      <c r="U11" s="1148">
        <v>0</v>
      </c>
      <c r="V11" s="1154">
        <v>0</v>
      </c>
      <c r="W11" s="1148">
        <v>0</v>
      </c>
      <c r="X11" s="1154">
        <v>0</v>
      </c>
      <c r="Y11" s="1148">
        <v>0</v>
      </c>
      <c r="Z11" s="1154">
        <v>0</v>
      </c>
      <c r="AA11" s="1148">
        <v>0</v>
      </c>
      <c r="AB11" s="1154">
        <v>0</v>
      </c>
      <c r="AC11" s="1148">
        <v>0</v>
      </c>
      <c r="AE11" s="1145" t="str">
        <f>P11</f>
        <v>Infrared heating</v>
      </c>
      <c r="AF11" s="1151" t="s">
        <v>693</v>
      </c>
      <c r="AG11" s="380" t="s">
        <v>694</v>
      </c>
      <c r="AH11" s="381"/>
      <c r="AI11" s="1134">
        <v>0</v>
      </c>
      <c r="AJ11" s="1148">
        <v>0</v>
      </c>
      <c r="AK11" s="1154">
        <v>0</v>
      </c>
      <c r="AL11" s="1148">
        <v>0</v>
      </c>
      <c r="AM11" s="1154">
        <v>0</v>
      </c>
      <c r="AN11" s="1148">
        <v>0</v>
      </c>
      <c r="AO11" s="1154">
        <v>0</v>
      </c>
      <c r="AP11" s="1148">
        <v>0</v>
      </c>
      <c r="AQ11" s="1154">
        <v>0</v>
      </c>
      <c r="AR11" s="1148">
        <v>0</v>
      </c>
    </row>
    <row r="12" spans="1:44" ht="32.549999999999997" customHeight="1" outlineLevel="1">
      <c r="B12" s="382" t="s">
        <v>695</v>
      </c>
      <c r="C12" s="383">
        <v>96</v>
      </c>
      <c r="D12" s="383">
        <v>96</v>
      </c>
      <c r="E12" s="383">
        <v>96</v>
      </c>
      <c r="F12" s="383">
        <v>96</v>
      </c>
      <c r="G12" s="384">
        <v>90</v>
      </c>
      <c r="H12" s="384">
        <v>100</v>
      </c>
      <c r="I12" s="384">
        <v>90</v>
      </c>
      <c r="J12" s="384">
        <v>100</v>
      </c>
      <c r="K12" s="385"/>
      <c r="L12" s="386"/>
      <c r="M12" s="369"/>
      <c r="N12" s="369"/>
      <c r="O12" s="71"/>
      <c r="P12" s="1192"/>
      <c r="Q12" s="1152"/>
      <c r="R12" s="387" t="s">
        <v>696</v>
      </c>
      <c r="S12" s="388"/>
      <c r="T12" s="1137"/>
      <c r="U12" s="1149"/>
      <c r="V12" s="1155"/>
      <c r="W12" s="1149"/>
      <c r="X12" s="1155"/>
      <c r="Y12" s="1149"/>
      <c r="Z12" s="1155"/>
      <c r="AA12" s="1149"/>
      <c r="AB12" s="1155"/>
      <c r="AC12" s="1149"/>
      <c r="AE12" s="1192"/>
      <c r="AF12" s="1152"/>
      <c r="AG12" s="387" t="s">
        <v>696</v>
      </c>
      <c r="AH12" s="388"/>
      <c r="AI12" s="1137"/>
      <c r="AJ12" s="1149"/>
      <c r="AK12" s="1155"/>
      <c r="AL12" s="1149"/>
      <c r="AM12" s="1155"/>
      <c r="AN12" s="1149"/>
      <c r="AO12" s="1155"/>
      <c r="AP12" s="1149"/>
      <c r="AQ12" s="1155"/>
      <c r="AR12" s="1149"/>
    </row>
    <row r="13" spans="1:44" ht="15" outlineLevel="1" thickBot="1">
      <c r="B13" s="375" t="s">
        <v>697</v>
      </c>
      <c r="C13" s="389">
        <v>0.1</v>
      </c>
      <c r="D13" s="390">
        <v>0.1</v>
      </c>
      <c r="E13" s="390">
        <v>0.1</v>
      </c>
      <c r="F13" s="391">
        <v>0.1</v>
      </c>
      <c r="G13" s="390">
        <v>0</v>
      </c>
      <c r="H13" s="390">
        <v>0.2</v>
      </c>
      <c r="I13" s="390">
        <v>0</v>
      </c>
      <c r="J13" s="390">
        <v>0.2</v>
      </c>
      <c r="K13" s="378"/>
      <c r="L13" s="379">
        <v>3</v>
      </c>
      <c r="M13" s="369"/>
      <c r="N13" s="369"/>
      <c r="O13" s="71"/>
      <c r="P13" s="1192"/>
      <c r="Q13" s="1153"/>
      <c r="R13" s="392" t="s">
        <v>698</v>
      </c>
      <c r="S13" s="393"/>
      <c r="T13" s="1138"/>
      <c r="U13" s="1150"/>
      <c r="V13" s="1156"/>
      <c r="W13" s="1150"/>
      <c r="X13" s="1156"/>
      <c r="Y13" s="1150"/>
      <c r="Z13" s="1156"/>
      <c r="AA13" s="1150"/>
      <c r="AB13" s="1156"/>
      <c r="AC13" s="1150"/>
      <c r="AE13" s="1192"/>
      <c r="AF13" s="1153"/>
      <c r="AG13" s="392" t="s">
        <v>698</v>
      </c>
      <c r="AH13" s="393"/>
      <c r="AI13" s="1138"/>
      <c r="AJ13" s="1150"/>
      <c r="AK13" s="1156"/>
      <c r="AL13" s="1150"/>
      <c r="AM13" s="1156"/>
      <c r="AN13" s="1150"/>
      <c r="AO13" s="1156"/>
      <c r="AP13" s="1150"/>
      <c r="AQ13" s="1156"/>
      <c r="AR13" s="1150"/>
    </row>
    <row r="14" spans="1:44" ht="15" customHeight="1" outlineLevel="1">
      <c r="B14" s="375" t="s">
        <v>637</v>
      </c>
      <c r="C14" s="389">
        <v>0.1</v>
      </c>
      <c r="D14" s="389">
        <v>0.1</v>
      </c>
      <c r="E14" s="389">
        <v>0.1</v>
      </c>
      <c r="F14" s="389">
        <v>0.1</v>
      </c>
      <c r="G14" s="389">
        <v>0</v>
      </c>
      <c r="H14" s="389">
        <v>0.2</v>
      </c>
      <c r="I14" s="389">
        <v>0</v>
      </c>
      <c r="J14" s="389">
        <v>0.2</v>
      </c>
      <c r="K14" s="378"/>
      <c r="L14" s="379">
        <v>3</v>
      </c>
      <c r="M14" s="369"/>
      <c r="N14" s="369"/>
      <c r="O14" s="71"/>
      <c r="P14" s="1192"/>
      <c r="Q14" s="1151" t="s">
        <v>699</v>
      </c>
      <c r="R14" s="394" t="s">
        <v>700</v>
      </c>
      <c r="S14" s="395" t="s">
        <v>701</v>
      </c>
      <c r="T14" s="1134">
        <v>0.05</v>
      </c>
      <c r="U14" s="1134">
        <v>0.04</v>
      </c>
      <c r="V14" s="1134">
        <v>0.05</v>
      </c>
      <c r="W14" s="1134">
        <v>0.05</v>
      </c>
      <c r="X14" s="1134">
        <v>0.03</v>
      </c>
      <c r="Y14" s="1134">
        <v>0.02</v>
      </c>
      <c r="Z14" s="1134">
        <v>0.03</v>
      </c>
      <c r="AA14" s="1134">
        <v>0.01</v>
      </c>
      <c r="AB14" s="1134">
        <v>0</v>
      </c>
      <c r="AC14" s="1148">
        <v>0.05</v>
      </c>
      <c r="AE14" s="1192"/>
      <c r="AF14" s="1151" t="s">
        <v>699</v>
      </c>
      <c r="AG14" s="394" t="s">
        <v>700</v>
      </c>
      <c r="AH14" s="395" t="s">
        <v>701</v>
      </c>
      <c r="AI14" s="1134">
        <v>0.05</v>
      </c>
      <c r="AJ14" s="1134">
        <v>0.04</v>
      </c>
      <c r="AK14" s="1134">
        <v>0.05</v>
      </c>
      <c r="AL14" s="1134">
        <v>0.05</v>
      </c>
      <c r="AM14" s="1134">
        <v>0.03</v>
      </c>
      <c r="AN14" s="1134">
        <v>0.02</v>
      </c>
      <c r="AO14" s="1134">
        <v>0.03</v>
      </c>
      <c r="AP14" s="1134">
        <v>0.01</v>
      </c>
      <c r="AQ14" s="1134">
        <v>0</v>
      </c>
      <c r="AR14" s="1148">
        <v>0.05</v>
      </c>
    </row>
    <row r="15" spans="1:44" outlineLevel="1">
      <c r="B15" s="375" t="s">
        <v>638</v>
      </c>
      <c r="C15" s="389">
        <v>0</v>
      </c>
      <c r="D15" s="389">
        <v>0</v>
      </c>
      <c r="E15" s="389">
        <v>0</v>
      </c>
      <c r="F15" s="389">
        <v>0</v>
      </c>
      <c r="G15" s="389">
        <v>0</v>
      </c>
      <c r="H15" s="389">
        <v>0.1</v>
      </c>
      <c r="I15" s="389">
        <v>0</v>
      </c>
      <c r="J15" s="389">
        <v>0.1</v>
      </c>
      <c r="K15" s="378"/>
      <c r="L15" s="379">
        <v>3</v>
      </c>
      <c r="M15" s="366"/>
      <c r="N15" s="366"/>
      <c r="O15" s="71"/>
      <c r="P15" s="1192"/>
      <c r="Q15" s="1152"/>
      <c r="R15" s="394" t="s">
        <v>702</v>
      </c>
      <c r="S15" s="395" t="s">
        <v>701</v>
      </c>
      <c r="T15" s="1188"/>
      <c r="U15" s="1188"/>
      <c r="V15" s="1188"/>
      <c r="W15" s="1188"/>
      <c r="X15" s="1188"/>
      <c r="Y15" s="1188"/>
      <c r="Z15" s="1188"/>
      <c r="AA15" s="1188"/>
      <c r="AB15" s="1188"/>
      <c r="AC15" s="1190"/>
      <c r="AE15" s="1192"/>
      <c r="AF15" s="1152"/>
      <c r="AG15" s="394" t="s">
        <v>702</v>
      </c>
      <c r="AH15" s="395" t="s">
        <v>701</v>
      </c>
      <c r="AI15" s="1188"/>
      <c r="AJ15" s="1188"/>
      <c r="AK15" s="1188"/>
      <c r="AL15" s="1188"/>
      <c r="AM15" s="1188"/>
      <c r="AN15" s="1188"/>
      <c r="AO15" s="1188"/>
      <c r="AP15" s="1188"/>
      <c r="AQ15" s="1188"/>
      <c r="AR15" s="1190"/>
    </row>
    <row r="16" spans="1:44" outlineLevel="1">
      <c r="B16" s="382" t="s">
        <v>11</v>
      </c>
      <c r="C16" s="396">
        <v>30</v>
      </c>
      <c r="D16" s="396">
        <v>30</v>
      </c>
      <c r="E16" s="396">
        <v>30</v>
      </c>
      <c r="F16" s="396">
        <v>30</v>
      </c>
      <c r="G16" s="397">
        <v>20</v>
      </c>
      <c r="H16" s="397">
        <v>35</v>
      </c>
      <c r="I16" s="397">
        <v>20</v>
      </c>
      <c r="J16" s="397">
        <v>35</v>
      </c>
      <c r="K16" s="371"/>
      <c r="L16" s="372">
        <v>4</v>
      </c>
      <c r="M16" s="362"/>
      <c r="N16" s="362"/>
      <c r="P16" s="1192"/>
      <c r="Q16" s="1152"/>
      <c r="R16" s="394" t="s">
        <v>704</v>
      </c>
      <c r="S16" s="395"/>
      <c r="T16" s="1188"/>
      <c r="U16" s="1188"/>
      <c r="V16" s="1188"/>
      <c r="W16" s="1188"/>
      <c r="X16" s="1188"/>
      <c r="Y16" s="1188"/>
      <c r="Z16" s="1188"/>
      <c r="AA16" s="1188"/>
      <c r="AB16" s="1188"/>
      <c r="AC16" s="1190"/>
      <c r="AE16" s="1192"/>
      <c r="AF16" s="1152"/>
      <c r="AG16" s="394" t="s">
        <v>704</v>
      </c>
      <c r="AH16" s="628"/>
      <c r="AI16" s="1188"/>
      <c r="AJ16" s="1188"/>
      <c r="AK16" s="1188"/>
      <c r="AL16" s="1188"/>
      <c r="AM16" s="1188"/>
      <c r="AN16" s="1188"/>
      <c r="AO16" s="1188"/>
      <c r="AP16" s="1188"/>
      <c r="AQ16" s="1188"/>
      <c r="AR16" s="1190"/>
    </row>
    <row r="17" spans="1:44" ht="15" outlineLevel="1" thickBot="1">
      <c r="B17" s="375" t="s">
        <v>273</v>
      </c>
      <c r="C17" s="398">
        <v>0.1</v>
      </c>
      <c r="D17" s="398">
        <v>0.1</v>
      </c>
      <c r="E17" s="398">
        <v>0.1</v>
      </c>
      <c r="F17" s="398">
        <v>0.1</v>
      </c>
      <c r="G17" s="398">
        <v>0.05</v>
      </c>
      <c r="H17" s="398">
        <v>0.1</v>
      </c>
      <c r="I17" s="398">
        <v>0.05</v>
      </c>
      <c r="J17" s="398">
        <v>0.1</v>
      </c>
      <c r="K17" s="371"/>
      <c r="L17" s="399">
        <v>3</v>
      </c>
      <c r="M17" s="362"/>
      <c r="N17" s="362"/>
      <c r="P17" s="1192"/>
      <c r="Q17" s="1152"/>
      <c r="R17" s="394" t="s">
        <v>705</v>
      </c>
      <c r="S17" s="395"/>
      <c r="T17" s="1188"/>
      <c r="U17" s="1188"/>
      <c r="V17" s="1188"/>
      <c r="W17" s="1188"/>
      <c r="X17" s="1188"/>
      <c r="Y17" s="1188"/>
      <c r="Z17" s="1188"/>
      <c r="AA17" s="1188"/>
      <c r="AB17" s="1188"/>
      <c r="AC17" s="1190"/>
      <c r="AE17" s="1192"/>
      <c r="AF17" s="1152"/>
      <c r="AG17" s="394" t="s">
        <v>705</v>
      </c>
      <c r="AH17" s="395"/>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c r="T18" s="1189"/>
      <c r="U18" s="1189"/>
      <c r="V18" s="1189"/>
      <c r="W18" s="1189"/>
      <c r="X18" s="1189"/>
      <c r="Y18" s="1189"/>
      <c r="Z18" s="1189"/>
      <c r="AA18" s="1189"/>
      <c r="AB18" s="1189"/>
      <c r="AC18" s="1191"/>
      <c r="AE18" s="1192"/>
      <c r="AF18" s="1153"/>
      <c r="AG18" s="408" t="s">
        <v>826</v>
      </c>
      <c r="AH18" s="409"/>
      <c r="AI18" s="1189"/>
      <c r="AJ18" s="1189"/>
      <c r="AK18" s="1189"/>
      <c r="AL18" s="1189"/>
      <c r="AM18" s="1189"/>
      <c r="AN18" s="1189"/>
      <c r="AO18" s="1189"/>
      <c r="AP18" s="1189"/>
      <c r="AQ18" s="1189"/>
      <c r="AR18" s="1191"/>
    </row>
    <row r="19" spans="1:44" ht="29.4" outlineLevel="1" thickBot="1">
      <c r="B19" s="375" t="s">
        <v>643</v>
      </c>
      <c r="C19" s="389">
        <v>10</v>
      </c>
      <c r="D19" s="389">
        <v>10</v>
      </c>
      <c r="E19" s="389">
        <v>10</v>
      </c>
      <c r="F19" s="389">
        <v>10</v>
      </c>
      <c r="G19" s="390"/>
      <c r="H19" s="390"/>
      <c r="I19" s="390"/>
      <c r="J19" s="390"/>
      <c r="K19" s="378" t="s">
        <v>20</v>
      </c>
      <c r="L19" s="379"/>
      <c r="M19" s="362"/>
      <c r="N19" s="362"/>
      <c r="P19" s="1193"/>
      <c r="Q19" s="410" t="s">
        <v>708</v>
      </c>
      <c r="R19" s="411" t="s">
        <v>709</v>
      </c>
      <c r="S19" s="629"/>
      <c r="T19" s="415">
        <v>0</v>
      </c>
      <c r="U19" s="414">
        <v>0</v>
      </c>
      <c r="V19" s="415">
        <v>0</v>
      </c>
      <c r="W19" s="414">
        <v>0</v>
      </c>
      <c r="X19" s="415">
        <v>0</v>
      </c>
      <c r="Y19" s="414">
        <v>0</v>
      </c>
      <c r="Z19" s="415">
        <v>0</v>
      </c>
      <c r="AA19" s="414">
        <v>0</v>
      </c>
      <c r="AB19" s="415">
        <v>0</v>
      </c>
      <c r="AC19" s="416">
        <v>0</v>
      </c>
      <c r="AE19" s="1193"/>
      <c r="AF19" s="410" t="s">
        <v>708</v>
      </c>
      <c r="AG19" s="630" t="s">
        <v>709</v>
      </c>
      <c r="AH19" s="631"/>
      <c r="AI19" s="415">
        <v>0</v>
      </c>
      <c r="AJ19" s="414">
        <v>0</v>
      </c>
      <c r="AK19" s="415">
        <v>0</v>
      </c>
      <c r="AL19" s="414">
        <v>0</v>
      </c>
      <c r="AM19" s="415">
        <v>0</v>
      </c>
      <c r="AN19" s="414">
        <v>0</v>
      </c>
      <c r="AO19" s="415">
        <v>0</v>
      </c>
      <c r="AP19" s="414">
        <v>0</v>
      </c>
      <c r="AQ19" s="415">
        <v>0</v>
      </c>
      <c r="AR19" s="416">
        <v>0</v>
      </c>
    </row>
    <row r="20" spans="1:44" outlineLevel="1">
      <c r="B20" s="375" t="s">
        <v>644</v>
      </c>
      <c r="C20" s="389">
        <v>0</v>
      </c>
      <c r="D20" s="389">
        <v>0</v>
      </c>
      <c r="E20" s="389">
        <v>0</v>
      </c>
      <c r="F20" s="389">
        <v>0</v>
      </c>
      <c r="G20" s="417"/>
      <c r="H20" s="417"/>
      <c r="I20" s="417"/>
      <c r="J20" s="417"/>
      <c r="K20" s="418"/>
      <c r="L20" s="379">
        <v>2</v>
      </c>
      <c r="M20" s="362"/>
      <c r="N20" s="362"/>
    </row>
    <row r="21" spans="1:44" outlineLevel="1">
      <c r="B21" s="375" t="s">
        <v>646</v>
      </c>
      <c r="C21" s="389">
        <v>0</v>
      </c>
      <c r="D21" s="389">
        <v>0</v>
      </c>
      <c r="E21" s="389">
        <v>0</v>
      </c>
      <c r="F21" s="389">
        <v>0</v>
      </c>
      <c r="G21" s="417"/>
      <c r="H21" s="417"/>
      <c r="I21" s="417"/>
      <c r="J21" s="417"/>
      <c r="K21" s="418"/>
      <c r="L21" s="379">
        <v>2</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t="s">
        <v>649</v>
      </c>
      <c r="D23" s="1229"/>
      <c r="E23" s="1229"/>
      <c r="F23" s="1230"/>
      <c r="G23" s="421"/>
      <c r="H23" s="424"/>
      <c r="I23" s="424"/>
      <c r="J23" s="424"/>
      <c r="K23" s="425"/>
      <c r="L23" s="426"/>
      <c r="M23" s="427"/>
      <c r="N23" s="427"/>
    </row>
    <row r="24" spans="1:44" outlineLevel="1">
      <c r="B24" s="382" t="s">
        <v>712</v>
      </c>
      <c r="C24" s="1231"/>
      <c r="D24" s="1232"/>
      <c r="E24" s="1232"/>
      <c r="F24" s="1233"/>
      <c r="G24" s="424"/>
      <c r="H24" s="424"/>
      <c r="I24" s="424"/>
      <c r="J24" s="424"/>
      <c r="K24" s="422"/>
      <c r="L24" s="426"/>
      <c r="M24" s="427"/>
      <c r="N24" s="427"/>
    </row>
    <row r="25" spans="1:44" outlineLevel="1">
      <c r="B25" s="382" t="s">
        <v>807</v>
      </c>
      <c r="C25" s="1231"/>
      <c r="D25" s="1232"/>
      <c r="E25" s="1232"/>
      <c r="F25" s="1233"/>
      <c r="G25" s="424"/>
      <c r="H25" s="424"/>
      <c r="I25" s="424"/>
      <c r="J25" s="424"/>
      <c r="K25" s="422"/>
      <c r="L25" s="426"/>
      <c r="M25" s="427"/>
      <c r="N25" s="427"/>
    </row>
    <row r="26" spans="1:44" outlineLevel="1">
      <c r="B26" s="382" t="s">
        <v>366</v>
      </c>
      <c r="C26" s="1231"/>
      <c r="D26" s="1232"/>
      <c r="E26" s="1232"/>
      <c r="F26" s="1233"/>
      <c r="G26" s="424"/>
      <c r="H26" s="424"/>
      <c r="I26" s="424"/>
      <c r="J26" s="424"/>
      <c r="K26" s="422"/>
      <c r="L26" s="426"/>
      <c r="M26" s="427"/>
      <c r="N26" s="427"/>
    </row>
    <row r="27" spans="1:44" ht="15" outlineLevel="1" thickBot="1">
      <c r="B27" s="428" t="s">
        <v>367</v>
      </c>
      <c r="C27" s="1234"/>
      <c r="D27" s="1235"/>
      <c r="E27" s="1235"/>
      <c r="F27" s="1236"/>
      <c r="G27" s="424"/>
      <c r="H27" s="424"/>
      <c r="I27" s="424"/>
      <c r="J27" s="424"/>
      <c r="K27" s="422"/>
      <c r="L27" s="426"/>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550">
        <v>0.35</v>
      </c>
      <c r="D29" s="646">
        <v>0.34</v>
      </c>
      <c r="E29" s="646">
        <v>0.33</v>
      </c>
      <c r="F29" s="647">
        <v>0.315</v>
      </c>
      <c r="G29" s="424"/>
      <c r="H29" s="424"/>
      <c r="I29" s="424"/>
      <c r="J29" s="424"/>
      <c r="K29" s="425" t="s">
        <v>76</v>
      </c>
      <c r="L29" s="439">
        <v>1</v>
      </c>
      <c r="M29" s="419"/>
      <c r="N29" s="419"/>
    </row>
    <row r="30" spans="1:44" outlineLevel="1">
      <c r="B30" s="440" t="s">
        <v>802</v>
      </c>
      <c r="C30" s="441">
        <v>85</v>
      </c>
      <c r="D30" s="441">
        <v>85</v>
      </c>
      <c r="E30" s="441">
        <v>85</v>
      </c>
      <c r="F30" s="441">
        <v>85</v>
      </c>
      <c r="G30" s="424"/>
      <c r="H30" s="424"/>
      <c r="I30" s="424"/>
      <c r="J30" s="424"/>
      <c r="K30" s="443" t="s">
        <v>76</v>
      </c>
      <c r="L30" s="372">
        <v>2</v>
      </c>
      <c r="M30" s="71"/>
      <c r="N30" s="419"/>
    </row>
    <row r="31" spans="1:44" outlineLevel="1">
      <c r="B31" s="440" t="s">
        <v>803</v>
      </c>
      <c r="C31" s="441">
        <v>15</v>
      </c>
      <c r="D31" s="441">
        <v>15</v>
      </c>
      <c r="E31" s="441">
        <v>15</v>
      </c>
      <c r="F31" s="441">
        <v>15</v>
      </c>
      <c r="G31" s="424"/>
      <c r="H31" s="424"/>
      <c r="I31" s="424"/>
      <c r="J31" s="424"/>
      <c r="K31" s="443" t="s">
        <v>76</v>
      </c>
      <c r="L31" s="372">
        <v>2</v>
      </c>
      <c r="M31" s="419"/>
      <c r="N31" s="419"/>
    </row>
    <row r="32" spans="1:44" outlineLevel="1">
      <c r="B32" s="382" t="s">
        <v>804</v>
      </c>
      <c r="C32" s="601">
        <v>0</v>
      </c>
      <c r="D32" s="602">
        <v>0</v>
      </c>
      <c r="E32" s="602">
        <v>0</v>
      </c>
      <c r="F32" s="603">
        <v>0</v>
      </c>
      <c r="G32" s="424"/>
      <c r="H32" s="424"/>
      <c r="I32" s="424"/>
      <c r="J32" s="424"/>
      <c r="K32" s="447"/>
      <c r="L32" s="372"/>
      <c r="M32" s="419"/>
      <c r="N32" s="419"/>
    </row>
    <row r="33" spans="2:30" ht="37.049999999999997" customHeight="1" outlineLevel="1" thickBot="1">
      <c r="B33" s="382" t="s">
        <v>659</v>
      </c>
      <c r="C33" s="448">
        <f>C34+C35</f>
        <v>117.07299999999999</v>
      </c>
      <c r="D33" s="448">
        <f t="shared" ref="D33:F33" si="0">D34+D35</f>
        <v>117.075</v>
      </c>
      <c r="E33" s="448">
        <f t="shared" si="0"/>
        <v>117.07599999999999</v>
      </c>
      <c r="F33" s="448">
        <f t="shared" si="0"/>
        <v>117.07599999999999</v>
      </c>
      <c r="G33" s="424"/>
      <c r="H33" s="424"/>
      <c r="I33" s="424"/>
      <c r="J33" s="424"/>
      <c r="K33" s="447"/>
      <c r="L33" s="372"/>
      <c r="M33" s="449"/>
      <c r="N33" s="360"/>
      <c r="P33" s="1139">
        <f>C33</f>
        <v>117.07299999999999</v>
      </c>
      <c r="Q33" s="1140"/>
      <c r="R33" s="1140"/>
      <c r="S33" s="1140"/>
      <c r="T33" s="1140"/>
      <c r="U33" s="1141"/>
    </row>
    <row r="34" spans="2:30" ht="15.75" customHeight="1" outlineLevel="1" thickBot="1">
      <c r="B34" s="450" t="s">
        <v>721</v>
      </c>
      <c r="C34" s="451">
        <f>C13/100*73</f>
        <v>7.2999999999999995E-2</v>
      </c>
      <c r="D34" s="451">
        <f>D13/100*75</f>
        <v>7.4999999999999997E-2</v>
      </c>
      <c r="E34" s="451">
        <f>E13/100*76</f>
        <v>7.5999999999999998E-2</v>
      </c>
      <c r="F34" s="451">
        <f>F13/100*76</f>
        <v>7.5999999999999998E-2</v>
      </c>
      <c r="G34" s="452"/>
      <c r="H34" s="452"/>
      <c r="I34" s="452"/>
      <c r="J34" s="452"/>
      <c r="K34" s="378" t="s">
        <v>25</v>
      </c>
      <c r="L34" s="379"/>
      <c r="M34" s="449"/>
      <c r="N34" s="360"/>
      <c r="P34" s="1131">
        <f>C34</f>
        <v>7.2999999999999995E-2</v>
      </c>
      <c r="Q34" s="1132"/>
      <c r="R34" s="1132"/>
      <c r="S34" s="1132"/>
      <c r="T34" s="1132"/>
      <c r="U34" s="1133"/>
    </row>
    <row r="35" spans="2:30" outlineLevel="1">
      <c r="B35" s="450" t="s">
        <v>722</v>
      </c>
      <c r="C35" s="453">
        <v>117</v>
      </c>
      <c r="D35" s="453">
        <v>117</v>
      </c>
      <c r="E35" s="453">
        <v>117</v>
      </c>
      <c r="F35" s="453">
        <v>117</v>
      </c>
      <c r="G35" s="452"/>
      <c r="H35" s="452"/>
      <c r="I35" s="452"/>
      <c r="J35" s="452"/>
      <c r="K35" s="454" t="s">
        <v>33</v>
      </c>
      <c r="L35" s="379">
        <v>1</v>
      </c>
      <c r="M35" s="362"/>
      <c r="N35" s="362"/>
      <c r="P35" s="53" t="s">
        <v>357</v>
      </c>
    </row>
    <row r="36" spans="2:30" ht="27.6"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32" t="s">
        <v>36</v>
      </c>
      <c r="D39" s="632" t="s">
        <v>36</v>
      </c>
      <c r="E39" s="632" t="s">
        <v>36</v>
      </c>
      <c r="F39" s="632" t="s">
        <v>36</v>
      </c>
      <c r="G39" s="462"/>
      <c r="H39" s="462"/>
      <c r="I39" s="462"/>
      <c r="J39" s="462"/>
      <c r="K39" s="462" t="s">
        <v>51</v>
      </c>
      <c r="L39" s="463"/>
      <c r="M39" s="362"/>
      <c r="N39" s="362"/>
      <c r="O39" s="464">
        <f>C12</f>
        <v>96</v>
      </c>
      <c r="P39" s="465">
        <f>C8</f>
        <v>2020</v>
      </c>
      <c r="Q39" s="58">
        <f>P39</f>
        <v>2020</v>
      </c>
      <c r="R39" s="465">
        <f>O39/100</f>
        <v>0.96</v>
      </c>
      <c r="S39" s="58"/>
      <c r="T39" s="465">
        <f>C16</f>
        <v>30</v>
      </c>
      <c r="U39" s="466">
        <f>C46</f>
        <v>2607.5</v>
      </c>
      <c r="V39" s="466">
        <f>C48</f>
        <v>0</v>
      </c>
      <c r="W39" s="466">
        <f>C49</f>
        <v>242.27606944444443</v>
      </c>
      <c r="X39" s="58"/>
      <c r="Y39" s="58"/>
      <c r="Z39" s="465" t="str">
        <f>C23</f>
        <v>Cf. the utilized electricity</v>
      </c>
      <c r="AA39" s="467">
        <f>C25</f>
        <v>0</v>
      </c>
      <c r="AB39" s="467">
        <f>C26</f>
        <v>0</v>
      </c>
      <c r="AC39" s="467">
        <f>C27</f>
        <v>0</v>
      </c>
      <c r="AD39" s="467">
        <f>C24</f>
        <v>0</v>
      </c>
    </row>
    <row r="40" spans="2:30" ht="14.55" customHeight="1" outlineLevel="1">
      <c r="B40" s="375" t="s">
        <v>726</v>
      </c>
      <c r="C40" s="468" t="s">
        <v>36</v>
      </c>
      <c r="D40" s="469" t="s">
        <v>36</v>
      </c>
      <c r="E40" s="469" t="s">
        <v>36</v>
      </c>
      <c r="F40" s="470" t="s">
        <v>36</v>
      </c>
      <c r="G40" s="470"/>
      <c r="H40" s="470"/>
      <c r="I40" s="470"/>
      <c r="J40" s="470"/>
      <c r="K40" s="471" t="s">
        <v>914</v>
      </c>
      <c r="L40" s="463"/>
      <c r="M40" s="362"/>
      <c r="N40" s="362"/>
      <c r="O40" s="464">
        <f>D12</f>
        <v>96</v>
      </c>
      <c r="P40" s="465">
        <f>D8</f>
        <v>2030</v>
      </c>
      <c r="Q40" s="58"/>
      <c r="R40" s="465">
        <f>O40/100</f>
        <v>0.96</v>
      </c>
      <c r="S40" s="58"/>
      <c r="T40" s="465">
        <f>D16</f>
        <v>30</v>
      </c>
      <c r="U40" s="466">
        <f>D46</f>
        <v>2533.0000000000005</v>
      </c>
      <c r="V40" s="466">
        <f>D48</f>
        <v>0</v>
      </c>
      <c r="W40" s="466">
        <f>D49</f>
        <v>242.28020833333332</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96</v>
      </c>
      <c r="P41" s="465">
        <f>E8</f>
        <v>2040</v>
      </c>
      <c r="Q41" s="58"/>
      <c r="R41" s="465">
        <f>O41/100</f>
        <v>0.96</v>
      </c>
      <c r="S41" s="58"/>
      <c r="T41" s="465">
        <f>E16</f>
        <v>30</v>
      </c>
      <c r="U41" s="466">
        <f>E46</f>
        <v>2458.5000000000005</v>
      </c>
      <c r="V41" s="466">
        <f>E48</f>
        <v>0</v>
      </c>
      <c r="W41" s="466">
        <f>E49</f>
        <v>242.28227777777775</v>
      </c>
      <c r="X41" s="58"/>
      <c r="Y41" s="58"/>
      <c r="Z41" s="465">
        <f>E23</f>
        <v>0</v>
      </c>
      <c r="AA41" s="467">
        <f>E25</f>
        <v>0</v>
      </c>
      <c r="AB41" s="467">
        <f>E26</f>
        <v>0</v>
      </c>
      <c r="AC41" s="467">
        <f>E27</f>
        <v>0</v>
      </c>
      <c r="AD41" s="467">
        <f>E24</f>
        <v>0</v>
      </c>
    </row>
    <row r="42" spans="2:30" ht="14.55" customHeight="1" outlineLevel="1">
      <c r="B42" s="375" t="s">
        <v>728</v>
      </c>
      <c r="C42" s="1237" t="s">
        <v>649</v>
      </c>
      <c r="D42" s="1238"/>
      <c r="E42" s="1238"/>
      <c r="F42" s="1239"/>
      <c r="G42" s="473"/>
      <c r="H42" s="473"/>
      <c r="I42" s="473"/>
      <c r="J42" s="473"/>
      <c r="K42" s="473"/>
      <c r="L42" s="379"/>
      <c r="M42" s="362"/>
      <c r="N42" s="362"/>
      <c r="O42" s="464">
        <f>F12</f>
        <v>96</v>
      </c>
      <c r="P42" s="465">
        <f>F8</f>
        <v>2050</v>
      </c>
      <c r="Q42" s="58"/>
      <c r="R42" s="465">
        <f>O42/100</f>
        <v>0.96</v>
      </c>
      <c r="S42" s="58"/>
      <c r="T42" s="465">
        <f>F16</f>
        <v>30</v>
      </c>
      <c r="U42" s="466">
        <f>F46</f>
        <v>2346.75</v>
      </c>
      <c r="V42" s="466">
        <f>F48</f>
        <v>0</v>
      </c>
      <c r="W42" s="466">
        <f>F49</f>
        <v>242.28227777777775</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477" t="s">
        <v>36</v>
      </c>
      <c r="D45" s="478" t="s">
        <v>36</v>
      </c>
      <c r="E45" s="478" t="s">
        <v>36</v>
      </c>
      <c r="F45" s="479" t="s">
        <v>36</v>
      </c>
      <c r="G45" s="480"/>
      <c r="H45" s="480"/>
      <c r="I45" s="480"/>
      <c r="J45" s="480"/>
      <c r="K45" s="480"/>
      <c r="L45" s="481"/>
      <c r="M45" s="362"/>
      <c r="N45" s="362"/>
    </row>
    <row r="46" spans="2:30" ht="57.6" outlineLevel="1">
      <c r="B46" s="460" t="s">
        <v>732</v>
      </c>
      <c r="C46" s="482">
        <f>C29*$F$4*1000</f>
        <v>2607.5</v>
      </c>
      <c r="D46" s="482">
        <f t="shared" ref="D46:F46" si="1">D29*$F$4*1000</f>
        <v>2533.0000000000005</v>
      </c>
      <c r="E46" s="482">
        <f t="shared" si="1"/>
        <v>2458.5000000000005</v>
      </c>
      <c r="F46" s="482">
        <f t="shared" si="1"/>
        <v>2346.75</v>
      </c>
      <c r="G46" s="482"/>
      <c r="H46" s="483"/>
      <c r="I46" s="419" t="s">
        <v>332</v>
      </c>
      <c r="J46" s="419"/>
      <c r="K46" s="483"/>
      <c r="L46" s="483"/>
      <c r="N46" s="419"/>
    </row>
    <row r="47" spans="2:30" outlineLevel="1">
      <c r="B47" s="484" t="s">
        <v>733</v>
      </c>
      <c r="C47" s="485">
        <f>C46*$I47</f>
        <v>1303750</v>
      </c>
      <c r="D47" s="485">
        <f>D46*$I47</f>
        <v>1266500.0000000002</v>
      </c>
      <c r="E47" s="485">
        <f>E46*$I47</f>
        <v>1229250.0000000002</v>
      </c>
      <c r="F47" s="485">
        <f>F46*$I47</f>
        <v>1173375</v>
      </c>
      <c r="G47" s="485"/>
      <c r="H47" s="483"/>
      <c r="I47" s="71">
        <v>500</v>
      </c>
      <c r="J47" s="419" t="s">
        <v>330</v>
      </c>
      <c r="K47" s="483"/>
      <c r="L47" s="483"/>
      <c r="N47" s="419"/>
    </row>
    <row r="48" spans="2:30" ht="43.2" outlineLevel="1">
      <c r="B48" s="460" t="s">
        <v>808</v>
      </c>
      <c r="C48" s="358">
        <f>C32*$F$4/1000</f>
        <v>0</v>
      </c>
      <c r="D48" s="358">
        <f t="shared" ref="D48:F48" si="2">D32*$F$4/1000</f>
        <v>0</v>
      </c>
      <c r="E48" s="358">
        <f t="shared" si="2"/>
        <v>0</v>
      </c>
      <c r="F48" s="358">
        <f t="shared" si="2"/>
        <v>0</v>
      </c>
      <c r="G48" s="358"/>
      <c r="I48" s="419" t="s">
        <v>333</v>
      </c>
      <c r="J48" s="419"/>
      <c r="N48" s="419"/>
    </row>
    <row r="49" spans="2:14" ht="43.2" outlineLevel="1">
      <c r="B49" s="460" t="s">
        <v>809</v>
      </c>
      <c r="C49" s="486">
        <f>C33*$F$4/3.6</f>
        <v>242.27606944444443</v>
      </c>
      <c r="D49" s="486">
        <f t="shared" ref="D49:F49" si="3">D33*$F$4/3.6</f>
        <v>242.28020833333332</v>
      </c>
      <c r="E49" s="486">
        <f t="shared" si="3"/>
        <v>242.28227777777775</v>
      </c>
      <c r="F49" s="486">
        <f t="shared" si="3"/>
        <v>242.28227777777775</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E55" s="357"/>
      <c r="F55" s="357"/>
      <c r="G55" s="357"/>
      <c r="H55" s="357"/>
      <c r="I55" s="357"/>
      <c r="J55" s="357"/>
      <c r="K55" s="357"/>
      <c r="L55" s="357"/>
    </row>
    <row r="56" spans="2:14" outlineLevel="1">
      <c r="B56" s="357">
        <v>1</v>
      </c>
      <c r="C56" s="489" t="s">
        <v>915</v>
      </c>
      <c r="F56" s="357"/>
      <c r="G56" s="357"/>
      <c r="H56" s="357"/>
      <c r="I56" s="357"/>
      <c r="J56" s="357"/>
      <c r="K56" s="357"/>
      <c r="L56" s="357"/>
    </row>
    <row r="57" spans="2:14" outlineLevel="1">
      <c r="B57" s="357">
        <v>2</v>
      </c>
      <c r="C57" s="489" t="s">
        <v>895</v>
      </c>
      <c r="F57" s="357"/>
      <c r="G57" s="357"/>
      <c r="H57" s="357"/>
      <c r="I57" s="357"/>
      <c r="J57" s="357"/>
      <c r="K57" s="357"/>
      <c r="L57" s="357"/>
    </row>
    <row r="58" spans="2:14" outlineLevel="1">
      <c r="B58" s="357">
        <v>3</v>
      </c>
      <c r="C58" s="489" t="s">
        <v>841</v>
      </c>
      <c r="F58" s="357"/>
      <c r="G58" s="357"/>
      <c r="H58" s="357"/>
      <c r="I58" s="357"/>
      <c r="J58" s="357"/>
      <c r="K58" s="357"/>
      <c r="L58" s="357"/>
    </row>
    <row r="59" spans="2:14" outlineLevel="1">
      <c r="B59" s="357">
        <v>4</v>
      </c>
      <c r="C59" s="489" t="s">
        <v>916</v>
      </c>
      <c r="F59" s="357"/>
      <c r="G59" s="357"/>
      <c r="H59" s="357"/>
      <c r="I59" s="357"/>
      <c r="J59" s="357"/>
      <c r="K59" s="357"/>
      <c r="L59" s="357"/>
    </row>
    <row r="60" spans="2:14" outlineLevel="1">
      <c r="B60" s="357">
        <v>5</v>
      </c>
      <c r="C60" s="675" t="s">
        <v>917</v>
      </c>
      <c r="F60" s="357"/>
      <c r="G60" s="357"/>
      <c r="H60" s="357"/>
      <c r="I60" s="357"/>
      <c r="J60" s="357"/>
      <c r="K60" s="357"/>
      <c r="L60" s="357"/>
    </row>
    <row r="61" spans="2:14" outlineLevel="1">
      <c r="B61" s="487" t="s">
        <v>746</v>
      </c>
      <c r="C61" s="488"/>
      <c r="F61" s="357"/>
      <c r="G61" s="357"/>
      <c r="H61" s="357"/>
      <c r="I61" s="357"/>
      <c r="J61" s="357"/>
      <c r="K61" s="357"/>
      <c r="L61" s="357"/>
    </row>
    <row r="62" spans="2:14" outlineLevel="1">
      <c r="B62" s="495" t="s">
        <v>6</v>
      </c>
      <c r="C62" s="496" t="s">
        <v>896</v>
      </c>
      <c r="D62" s="488"/>
      <c r="F62" s="357"/>
      <c r="G62" s="357"/>
      <c r="H62" s="357"/>
      <c r="I62" s="357"/>
      <c r="J62" s="357"/>
      <c r="K62" s="357"/>
      <c r="L62" s="357"/>
    </row>
    <row r="63" spans="2:14" outlineLevel="1">
      <c r="B63" s="495" t="s">
        <v>59</v>
      </c>
      <c r="C63" s="488" t="s">
        <v>918</v>
      </c>
      <c r="D63" s="488"/>
      <c r="F63" s="357"/>
      <c r="G63" s="357"/>
      <c r="H63" s="357"/>
      <c r="I63" s="357"/>
      <c r="J63" s="357"/>
      <c r="K63" s="357"/>
      <c r="L63" s="357"/>
    </row>
    <row r="64" spans="2:14" outlineLevel="1">
      <c r="B64" s="495" t="s">
        <v>16</v>
      </c>
      <c r="C64" s="488" t="s">
        <v>919</v>
      </c>
      <c r="D64" s="488"/>
      <c r="F64" s="357"/>
      <c r="G64" s="357"/>
      <c r="H64" s="357"/>
      <c r="I64" s="357"/>
      <c r="J64" s="357"/>
      <c r="K64" s="357"/>
      <c r="L64" s="357"/>
    </row>
    <row r="65" spans="1:44" outlineLevel="1">
      <c r="B65" s="495" t="s">
        <v>20</v>
      </c>
      <c r="C65" s="488" t="s">
        <v>920</v>
      </c>
      <c r="D65" s="488"/>
      <c r="F65" s="357"/>
      <c r="G65" s="357"/>
      <c r="H65" s="357"/>
      <c r="I65" s="357"/>
      <c r="J65" s="357"/>
      <c r="K65" s="357"/>
      <c r="L65" s="357"/>
    </row>
    <row r="66" spans="1:44" outlineLevel="1">
      <c r="B66" s="495" t="s">
        <v>76</v>
      </c>
      <c r="C66" s="488" t="s">
        <v>899</v>
      </c>
      <c r="D66" s="488"/>
      <c r="F66" s="357"/>
      <c r="G66" s="357"/>
      <c r="H66" s="357"/>
      <c r="I66" s="357"/>
      <c r="J66" s="357"/>
      <c r="K66" s="357"/>
      <c r="L66" s="357"/>
    </row>
    <row r="67" spans="1:44" outlineLevel="1">
      <c r="B67" s="495" t="s">
        <v>25</v>
      </c>
      <c r="C67" s="488" t="s">
        <v>751</v>
      </c>
      <c r="D67" s="488"/>
      <c r="F67" s="357"/>
      <c r="G67" s="357"/>
      <c r="H67" s="357"/>
      <c r="I67" s="357"/>
      <c r="J67" s="357"/>
      <c r="K67" s="357"/>
      <c r="L67" s="357"/>
    </row>
    <row r="68" spans="1:44" outlineLevel="1">
      <c r="B68" s="495" t="s">
        <v>33</v>
      </c>
      <c r="C68" s="488" t="s">
        <v>921</v>
      </c>
      <c r="D68" s="488"/>
      <c r="F68" s="357"/>
      <c r="G68" s="357"/>
      <c r="H68" s="357"/>
      <c r="I68" s="357"/>
      <c r="J68" s="357"/>
      <c r="K68" s="357"/>
      <c r="L68" s="357"/>
    </row>
    <row r="69" spans="1:44" outlineLevel="1">
      <c r="B69" s="495" t="s">
        <v>51</v>
      </c>
      <c r="C69" s="488" t="s">
        <v>846</v>
      </c>
      <c r="D69" s="488"/>
      <c r="F69" s="357"/>
      <c r="G69" s="357"/>
      <c r="H69" s="357"/>
      <c r="I69" s="357"/>
      <c r="J69" s="357"/>
      <c r="K69" s="357"/>
      <c r="L69" s="357"/>
    </row>
    <row r="70" spans="1:44" outlineLevel="1">
      <c r="B70" s="495" t="s">
        <v>52</v>
      </c>
      <c r="C70" s="488" t="s">
        <v>901</v>
      </c>
      <c r="D70" s="488"/>
      <c r="G70" s="357"/>
      <c r="H70" s="357"/>
      <c r="I70" s="357"/>
      <c r="J70" s="357"/>
      <c r="K70" s="357"/>
      <c r="L70" s="357"/>
    </row>
    <row r="71" spans="1:44" outlineLevel="1">
      <c r="B71" s="495" t="s">
        <v>55</v>
      </c>
      <c r="C71" s="497" t="s">
        <v>922</v>
      </c>
      <c r="D71" s="488"/>
      <c r="E71" s="489"/>
      <c r="F71" s="489"/>
    </row>
    <row r="72" spans="1:44" outlineLevel="1">
      <c r="B72" s="495"/>
      <c r="C72" s="488"/>
      <c r="D72" s="488"/>
    </row>
    <row r="73" spans="1:44" outlineLevel="1">
      <c r="B73" s="495"/>
      <c r="C73" s="488"/>
      <c r="D73" s="488"/>
    </row>
    <row r="74" spans="1:44" outlineLevel="1"/>
    <row r="77" spans="1:44">
      <c r="A77" s="359"/>
      <c r="B77" s="1204"/>
      <c r="C77" s="1140"/>
      <c r="D77" s="1140"/>
      <c r="E77" s="1140"/>
      <c r="F77" s="1140"/>
      <c r="G77" s="1140"/>
      <c r="H77" s="1140"/>
      <c r="I77" s="1140"/>
      <c r="J77" s="1140"/>
      <c r="K77" s="1140"/>
      <c r="L77" s="1140"/>
      <c r="M77" s="1140"/>
      <c r="N77" s="360"/>
      <c r="P77" s="1140"/>
      <c r="Q77" s="1140"/>
      <c r="R77" s="1140"/>
      <c r="S77" s="1140"/>
      <c r="T77" s="1140"/>
      <c r="U77" s="1140"/>
    </row>
    <row r="78" spans="1:44" ht="15" outlineLevel="1" thickBot="1">
      <c r="B78" s="1204"/>
      <c r="C78" s="1140"/>
      <c r="D78" s="1140"/>
      <c r="E78" s="1140"/>
      <c r="F78" s="1140"/>
      <c r="G78" s="1140"/>
      <c r="H78" s="1140"/>
      <c r="I78" s="1140"/>
      <c r="J78" s="1140"/>
      <c r="K78" s="1140"/>
      <c r="L78" s="1140"/>
      <c r="M78" s="1140"/>
      <c r="N78" s="360"/>
      <c r="P78" s="1140"/>
      <c r="Q78" s="1140"/>
      <c r="R78" s="1140"/>
      <c r="S78" s="1140"/>
      <c r="T78" s="1140"/>
      <c r="U78" s="1140"/>
    </row>
    <row r="79" spans="1:44" ht="20.55" customHeight="1" outlineLevel="1" thickBot="1">
      <c r="B79" s="361"/>
      <c r="C79" s="1183"/>
      <c r="D79" s="1202"/>
      <c r="E79" s="1202"/>
      <c r="F79" s="1202"/>
      <c r="G79" s="1202"/>
      <c r="H79" s="1202"/>
      <c r="I79" s="1202"/>
      <c r="J79" s="1202"/>
      <c r="K79" s="1202"/>
      <c r="L79" s="1203"/>
      <c r="M79" s="362"/>
      <c r="N79" s="362"/>
      <c r="P79" s="363"/>
      <c r="Q79" s="364"/>
      <c r="R79" s="365"/>
      <c r="S79" s="1173"/>
      <c r="T79" s="1157"/>
      <c r="U79" s="1158"/>
      <c r="V79" s="1157"/>
      <c r="W79" s="1158"/>
      <c r="X79" s="1157"/>
      <c r="Y79" s="1158"/>
      <c r="Z79" s="1157"/>
      <c r="AA79" s="1158"/>
      <c r="AB79" s="1157"/>
      <c r="AC79" s="1158"/>
      <c r="AE79" s="363"/>
      <c r="AF79" s="364"/>
      <c r="AG79" s="365"/>
      <c r="AH79" s="1173"/>
      <c r="AI79" s="1157"/>
      <c r="AJ79" s="1158"/>
      <c r="AK79" s="1157"/>
      <c r="AL79" s="1158"/>
      <c r="AM79" s="1157"/>
      <c r="AN79" s="1158"/>
      <c r="AO79" s="1157"/>
      <c r="AP79" s="1158"/>
      <c r="AQ79" s="1157"/>
      <c r="AR79" s="1158"/>
    </row>
    <row r="80" spans="1:44" ht="15" customHeight="1" outlineLevel="1" thickBot="1">
      <c r="B80" s="1161"/>
      <c r="C80" s="1163"/>
      <c r="D80" s="1163"/>
      <c r="E80" s="1163"/>
      <c r="F80" s="1163"/>
      <c r="G80" s="1197"/>
      <c r="H80" s="1198"/>
      <c r="I80" s="1197"/>
      <c r="J80" s="1198"/>
      <c r="K80" s="1199"/>
      <c r="L80" s="1199"/>
      <c r="M80" s="366"/>
      <c r="N80" s="366"/>
      <c r="P80" s="1177"/>
      <c r="Q80" s="367"/>
      <c r="R80" s="367"/>
      <c r="S80" s="1174"/>
      <c r="T80" s="1159"/>
      <c r="U80" s="1160"/>
      <c r="V80" s="1159"/>
      <c r="W80" s="1160"/>
      <c r="X80" s="1159"/>
      <c r="Y80" s="1160"/>
      <c r="Z80" s="1159"/>
      <c r="AA80" s="1160"/>
      <c r="AB80" s="1159"/>
      <c r="AC80" s="1160"/>
      <c r="AE80" s="1177"/>
      <c r="AF80" s="367"/>
      <c r="AG80" s="367"/>
      <c r="AH80" s="1174"/>
      <c r="AI80" s="1159"/>
      <c r="AJ80" s="1160"/>
      <c r="AK80" s="1159"/>
      <c r="AL80" s="1160"/>
      <c r="AM80" s="1159"/>
      <c r="AN80" s="1160"/>
      <c r="AO80" s="1159"/>
      <c r="AP80" s="1160"/>
      <c r="AQ80" s="1159"/>
      <c r="AR80" s="1160"/>
    </row>
    <row r="81" spans="2:44" ht="15" customHeight="1" outlineLevel="1" thickBot="1">
      <c r="B81" s="1162"/>
      <c r="C81" s="1164"/>
      <c r="D81" s="1164"/>
      <c r="E81" s="1164"/>
      <c r="F81" s="1164"/>
      <c r="G81" s="498"/>
      <c r="H81" s="498"/>
      <c r="I81" s="498"/>
      <c r="J81" s="498"/>
      <c r="K81" s="1200"/>
      <c r="L81" s="1200"/>
      <c r="M81" s="369"/>
      <c r="N81" s="369"/>
      <c r="P81" s="1178"/>
      <c r="Q81" s="1180"/>
      <c r="R81" s="1181"/>
      <c r="S81" s="1175"/>
      <c r="T81" s="1159"/>
      <c r="U81" s="1160"/>
      <c r="V81" s="1159"/>
      <c r="W81" s="1160"/>
      <c r="X81" s="1159"/>
      <c r="Y81" s="1160"/>
      <c r="Z81" s="1159"/>
      <c r="AA81" s="1160"/>
      <c r="AB81" s="1159"/>
      <c r="AC81" s="1160"/>
      <c r="AE81" s="1178"/>
      <c r="AF81" s="1194"/>
      <c r="AG81" s="1181"/>
      <c r="AH81" s="1175"/>
      <c r="AI81" s="1159"/>
      <c r="AJ81" s="1160"/>
      <c r="AK81" s="1159"/>
      <c r="AL81" s="1160"/>
      <c r="AM81" s="1159"/>
      <c r="AN81" s="1160"/>
      <c r="AO81" s="1159"/>
      <c r="AP81" s="1160"/>
      <c r="AQ81" s="1159"/>
      <c r="AR81" s="1160"/>
    </row>
    <row r="82" spans="2:44" ht="15" outlineLevel="1" thickBot="1">
      <c r="B82" s="370"/>
      <c r="C82" s="371"/>
      <c r="D82" s="371"/>
      <c r="E82" s="371"/>
      <c r="F82" s="371"/>
      <c r="G82" s="371"/>
      <c r="H82" s="371"/>
      <c r="I82" s="371"/>
      <c r="J82" s="371"/>
      <c r="K82" s="371"/>
      <c r="L82" s="372"/>
      <c r="M82" s="369"/>
      <c r="N82" s="369"/>
      <c r="O82" s="74"/>
      <c r="P82" s="1179"/>
      <c r="Q82" s="1176"/>
      <c r="R82" s="1182"/>
      <c r="S82" s="1176"/>
      <c r="T82" s="373"/>
      <c r="U82" s="374"/>
      <c r="V82" s="373"/>
      <c r="W82" s="374"/>
      <c r="X82" s="373"/>
      <c r="Y82" s="374"/>
      <c r="Z82" s="373"/>
      <c r="AA82" s="374"/>
      <c r="AB82" s="373"/>
      <c r="AC82" s="374"/>
      <c r="AE82" s="1179"/>
      <c r="AF82" s="1195"/>
      <c r="AG82" s="1182"/>
      <c r="AH82" s="1176"/>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45"/>
      <c r="Q83" s="1151"/>
      <c r="R83" s="380"/>
      <c r="S83" s="381"/>
      <c r="T83" s="1134"/>
      <c r="U83" s="1148"/>
      <c r="V83" s="1134"/>
      <c r="W83" s="1148"/>
      <c r="X83" s="1134"/>
      <c r="Y83" s="1148"/>
      <c r="Z83" s="1134"/>
      <c r="AA83" s="1148"/>
      <c r="AB83" s="1134"/>
      <c r="AC83" s="1148"/>
      <c r="AE83" s="1145"/>
      <c r="AF83" s="1151"/>
      <c r="AG83" s="380"/>
      <c r="AH83" s="381"/>
      <c r="AI83" s="1134"/>
      <c r="AJ83" s="1148"/>
      <c r="AK83" s="1134"/>
      <c r="AL83" s="1148"/>
      <c r="AM83" s="1134"/>
      <c r="AN83" s="1148"/>
      <c r="AO83" s="1134"/>
      <c r="AP83" s="1148"/>
      <c r="AQ83" s="1134"/>
      <c r="AR83" s="1148"/>
    </row>
    <row r="84" spans="2:44" outlineLevel="1">
      <c r="B84" s="382"/>
      <c r="C84" s="383"/>
      <c r="D84" s="383"/>
      <c r="E84" s="383"/>
      <c r="F84" s="383"/>
      <c r="G84" s="504"/>
      <c r="H84" s="504"/>
      <c r="I84" s="504"/>
      <c r="J84" s="504"/>
      <c r="K84" s="371"/>
      <c r="L84" s="372"/>
      <c r="M84" s="369"/>
      <c r="N84" s="369"/>
      <c r="O84" s="71"/>
      <c r="P84" s="1192"/>
      <c r="Q84" s="1152"/>
      <c r="R84" s="387"/>
      <c r="S84" s="388"/>
      <c r="T84" s="1137"/>
      <c r="U84" s="1149"/>
      <c r="V84" s="1137"/>
      <c r="W84" s="1149"/>
      <c r="X84" s="1137"/>
      <c r="Y84" s="1149"/>
      <c r="Z84" s="1137"/>
      <c r="AA84" s="1149"/>
      <c r="AB84" s="1137"/>
      <c r="AC84" s="1149"/>
      <c r="AE84" s="1192"/>
      <c r="AF84" s="1152"/>
      <c r="AG84" s="387"/>
      <c r="AH84" s="388"/>
      <c r="AI84" s="1137"/>
      <c r="AJ84" s="1149"/>
      <c r="AK84" s="1137"/>
      <c r="AL84" s="1149"/>
      <c r="AM84" s="1137"/>
      <c r="AN84" s="1149"/>
      <c r="AO84" s="1137"/>
      <c r="AP84" s="1149"/>
      <c r="AQ84" s="1137"/>
      <c r="AR84" s="1149"/>
    </row>
    <row r="85" spans="2:44" ht="15" outlineLevel="1" thickBot="1">
      <c r="B85" s="499"/>
      <c r="C85" s="505"/>
      <c r="D85" s="506"/>
      <c r="E85" s="506"/>
      <c r="F85" s="507"/>
      <c r="G85" s="506"/>
      <c r="H85" s="506"/>
      <c r="I85" s="506"/>
      <c r="J85" s="506"/>
      <c r="K85" s="502"/>
      <c r="L85" s="503"/>
      <c r="M85" s="369"/>
      <c r="N85" s="369"/>
      <c r="O85" s="71"/>
      <c r="P85" s="1192"/>
      <c r="Q85" s="1153"/>
      <c r="R85" s="392"/>
      <c r="S85" s="393"/>
      <c r="T85" s="1138"/>
      <c r="U85" s="1150"/>
      <c r="V85" s="1138"/>
      <c r="W85" s="1150"/>
      <c r="X85" s="1138"/>
      <c r="Y85" s="1150"/>
      <c r="Z85" s="1138"/>
      <c r="AA85" s="1150"/>
      <c r="AB85" s="1138"/>
      <c r="AC85" s="1150"/>
      <c r="AE85" s="1192"/>
      <c r="AF85" s="1153"/>
      <c r="AG85" s="392"/>
      <c r="AH85" s="393"/>
      <c r="AI85" s="1138"/>
      <c r="AJ85" s="1150"/>
      <c r="AK85" s="1138"/>
      <c r="AL85" s="1150"/>
      <c r="AM85" s="1138"/>
      <c r="AN85" s="1150"/>
      <c r="AO85" s="1138"/>
      <c r="AP85" s="1150"/>
      <c r="AQ85" s="1138"/>
      <c r="AR85" s="1150"/>
    </row>
    <row r="86" spans="2:44" ht="15" customHeight="1" outlineLevel="1">
      <c r="B86" s="499"/>
      <c r="C86" s="505"/>
      <c r="D86" s="505"/>
      <c r="E86" s="505"/>
      <c r="F86" s="505"/>
      <c r="G86" s="505"/>
      <c r="H86" s="505"/>
      <c r="I86" s="505"/>
      <c r="J86" s="505"/>
      <c r="K86" s="502"/>
      <c r="L86" s="503"/>
      <c r="M86" s="369"/>
      <c r="N86" s="369"/>
      <c r="O86" s="71"/>
      <c r="P86" s="1192"/>
      <c r="Q86" s="1151"/>
      <c r="R86" s="394"/>
      <c r="S86" s="395"/>
      <c r="T86" s="1134"/>
      <c r="U86" s="1134"/>
      <c r="V86" s="1134"/>
      <c r="W86" s="1134"/>
      <c r="X86" s="1134"/>
      <c r="Y86" s="1134"/>
      <c r="Z86" s="1134"/>
      <c r="AA86" s="1134"/>
      <c r="AB86" s="1134"/>
      <c r="AC86" s="1134"/>
      <c r="AE86" s="1192"/>
      <c r="AF86" s="1151"/>
      <c r="AG86" s="394"/>
      <c r="AH86" s="395"/>
      <c r="AI86" s="1134"/>
      <c r="AJ86" s="1134"/>
      <c r="AK86" s="1134"/>
      <c r="AL86" s="1134"/>
      <c r="AM86" s="1134"/>
      <c r="AN86" s="1134"/>
      <c r="AO86" s="1134"/>
      <c r="AP86" s="1134"/>
      <c r="AQ86" s="1134"/>
      <c r="AR86" s="1134"/>
    </row>
    <row r="87" spans="2:44" outlineLevel="1">
      <c r="B87" s="499"/>
      <c r="C87" s="505"/>
      <c r="D87" s="505"/>
      <c r="E87" s="505"/>
      <c r="F87" s="505"/>
      <c r="G87" s="505"/>
      <c r="H87" s="505"/>
      <c r="I87" s="505"/>
      <c r="J87" s="505"/>
      <c r="K87" s="502"/>
      <c r="L87" s="503"/>
      <c r="M87" s="366"/>
      <c r="N87" s="366"/>
      <c r="O87" s="71"/>
      <c r="P87" s="1192"/>
      <c r="Q87" s="1152"/>
      <c r="R87" s="394"/>
      <c r="S87" s="395"/>
      <c r="T87" s="1135"/>
      <c r="U87" s="1135"/>
      <c r="V87" s="1135"/>
      <c r="W87" s="1135"/>
      <c r="X87" s="1135"/>
      <c r="Y87" s="1135"/>
      <c r="Z87" s="1135"/>
      <c r="AA87" s="1135"/>
      <c r="AB87" s="1135"/>
      <c r="AC87" s="1135"/>
      <c r="AE87" s="1192"/>
      <c r="AF87" s="1152"/>
      <c r="AG87" s="394"/>
      <c r="AH87" s="395"/>
      <c r="AI87" s="1135"/>
      <c r="AJ87" s="1135"/>
      <c r="AK87" s="1135"/>
      <c r="AL87" s="1135"/>
      <c r="AM87" s="1135"/>
      <c r="AN87" s="1135"/>
      <c r="AO87" s="1135"/>
      <c r="AP87" s="1135"/>
      <c r="AQ87" s="1135"/>
      <c r="AR87" s="1135"/>
    </row>
    <row r="88" spans="2:44" outlineLevel="1">
      <c r="B88" s="382"/>
      <c r="C88" s="396"/>
      <c r="D88" s="396"/>
      <c r="E88" s="396"/>
      <c r="F88" s="396"/>
      <c r="G88" s="398"/>
      <c r="H88" s="398"/>
      <c r="I88" s="398"/>
      <c r="J88" s="398"/>
      <c r="K88" s="371"/>
      <c r="L88" s="372"/>
      <c r="M88" s="362"/>
      <c r="N88" s="362"/>
      <c r="P88" s="1192"/>
      <c r="Q88" s="1152"/>
      <c r="R88" s="394"/>
      <c r="S88" s="395"/>
      <c r="T88" s="1135"/>
      <c r="U88" s="1135"/>
      <c r="V88" s="1135"/>
      <c r="W88" s="1135"/>
      <c r="X88" s="1135"/>
      <c r="Y88" s="1135"/>
      <c r="Z88" s="1135"/>
      <c r="AA88" s="1135"/>
      <c r="AB88" s="1135"/>
      <c r="AC88" s="1135"/>
      <c r="AE88" s="1192"/>
      <c r="AF88" s="1152"/>
      <c r="AG88" s="394"/>
      <c r="AH88" s="395"/>
      <c r="AI88" s="1135"/>
      <c r="AJ88" s="1135"/>
      <c r="AK88" s="1135"/>
      <c r="AL88" s="1135"/>
      <c r="AM88" s="1135"/>
      <c r="AN88" s="1135"/>
      <c r="AO88" s="1135"/>
      <c r="AP88" s="1135"/>
      <c r="AQ88" s="1135"/>
      <c r="AR88" s="1135"/>
    </row>
    <row r="89" spans="2:44" ht="15" outlineLevel="1" thickBot="1">
      <c r="B89" s="499"/>
      <c r="C89" s="505"/>
      <c r="D89" s="505"/>
      <c r="E89" s="505"/>
      <c r="F89" s="505"/>
      <c r="G89" s="505"/>
      <c r="H89" s="505"/>
      <c r="I89" s="505"/>
      <c r="J89" s="505"/>
      <c r="K89" s="371"/>
      <c r="L89" s="399"/>
      <c r="M89" s="362"/>
      <c r="N89" s="362"/>
      <c r="P89" s="1192"/>
      <c r="Q89" s="1152"/>
      <c r="R89" s="394"/>
      <c r="S89" s="395"/>
      <c r="T89" s="1135"/>
      <c r="U89" s="1135"/>
      <c r="V89" s="1135"/>
      <c r="W89" s="1135"/>
      <c r="X89" s="1135"/>
      <c r="Y89" s="1135"/>
      <c r="Z89" s="1135"/>
      <c r="AA89" s="1135"/>
      <c r="AB89" s="1135"/>
      <c r="AC89" s="1135"/>
      <c r="AE89" s="1192"/>
      <c r="AF89" s="1152"/>
      <c r="AG89" s="394"/>
      <c r="AH89" s="395"/>
      <c r="AI89" s="1135"/>
      <c r="AJ89" s="1135"/>
      <c r="AK89" s="1135"/>
      <c r="AL89" s="1135"/>
      <c r="AM89" s="1135"/>
      <c r="AN89" s="1135"/>
      <c r="AO89" s="1135"/>
      <c r="AP89" s="1135"/>
      <c r="AQ89" s="1135"/>
      <c r="AR89" s="1135"/>
    </row>
    <row r="90" spans="2:44" ht="15" outlineLevel="1" thickBot="1">
      <c r="B90" s="400"/>
      <c r="C90" s="401"/>
      <c r="D90" s="402"/>
      <c r="E90" s="403"/>
      <c r="F90" s="404"/>
      <c r="G90" s="405"/>
      <c r="H90" s="405"/>
      <c r="I90" s="405"/>
      <c r="J90" s="405"/>
      <c r="K90" s="406"/>
      <c r="L90" s="407"/>
      <c r="M90" s="362"/>
      <c r="N90" s="362"/>
      <c r="P90" s="1192"/>
      <c r="Q90" s="1152"/>
      <c r="R90" s="408"/>
      <c r="S90" s="409"/>
      <c r="T90" s="1136"/>
      <c r="U90" s="1136"/>
      <c r="V90" s="1136"/>
      <c r="W90" s="1136"/>
      <c r="X90" s="1136"/>
      <c r="Y90" s="1136"/>
      <c r="Z90" s="1136"/>
      <c r="AA90" s="1136"/>
      <c r="AB90" s="1136"/>
      <c r="AC90" s="1136"/>
      <c r="AE90" s="1192"/>
      <c r="AF90" s="1152"/>
      <c r="AG90" s="408"/>
      <c r="AH90" s="409"/>
      <c r="AI90" s="1136"/>
      <c r="AJ90" s="1136"/>
      <c r="AK90" s="1136"/>
      <c r="AL90" s="1136"/>
      <c r="AM90" s="1136"/>
      <c r="AN90" s="1136"/>
      <c r="AO90" s="1136"/>
      <c r="AP90" s="1136"/>
      <c r="AQ90" s="1136"/>
      <c r="AR90" s="1136"/>
    </row>
    <row r="91" spans="2:44" ht="15" outlineLevel="1" thickBot="1">
      <c r="B91" s="499"/>
      <c r="C91" s="505"/>
      <c r="D91" s="505"/>
      <c r="E91" s="505"/>
      <c r="F91" s="505"/>
      <c r="G91" s="506"/>
      <c r="H91" s="506"/>
      <c r="I91" s="506"/>
      <c r="J91" s="506"/>
      <c r="K91" s="502"/>
      <c r="L91" s="503"/>
      <c r="M91" s="362"/>
      <c r="N91" s="362"/>
      <c r="P91" s="1193"/>
      <c r="Q91" s="410"/>
      <c r="R91" s="411"/>
      <c r="S91" s="412"/>
      <c r="T91" s="413"/>
      <c r="U91" s="414"/>
      <c r="V91" s="415"/>
      <c r="W91" s="414"/>
      <c r="X91" s="415"/>
      <c r="Y91" s="414"/>
      <c r="Z91" s="415"/>
      <c r="AA91" s="414"/>
      <c r="AB91" s="415"/>
      <c r="AC91" s="416"/>
      <c r="AE91" s="1193"/>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5" outlineLevel="1" thickBot="1">
      <c r="B99" s="428"/>
      <c r="C99" s="429"/>
      <c r="D99" s="429"/>
      <c r="E99" s="429"/>
      <c r="F99" s="429"/>
      <c r="G99" s="424"/>
      <c r="H99" s="424"/>
      <c r="I99" s="424"/>
      <c r="J99" s="424"/>
      <c r="K99" s="422"/>
      <c r="L99" s="426"/>
      <c r="M99" s="427"/>
      <c r="N99" s="427"/>
    </row>
    <row r="100" spans="1:30" ht="15"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39"/>
      <c r="Q105" s="1140"/>
      <c r="R105" s="1140"/>
      <c r="S105" s="1140"/>
      <c r="T105" s="1140"/>
      <c r="U105" s="1141"/>
    </row>
    <row r="106" spans="1:30" ht="15" outlineLevel="1" thickBot="1">
      <c r="B106" s="499"/>
      <c r="C106" s="513"/>
      <c r="D106" s="513"/>
      <c r="E106" s="513"/>
      <c r="F106" s="513"/>
      <c r="G106" s="514"/>
      <c r="H106" s="514"/>
      <c r="I106" s="514"/>
      <c r="J106" s="514"/>
      <c r="K106" s="502"/>
      <c r="L106" s="503"/>
      <c r="M106" s="449"/>
      <c r="N106" s="360"/>
      <c r="P106" s="1131"/>
      <c r="Q106" s="1132"/>
      <c r="R106" s="1132"/>
      <c r="S106" s="1132"/>
      <c r="T106" s="1132"/>
      <c r="U106" s="1133"/>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5"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5"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5"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204"/>
      <c r="C149" s="1140"/>
      <c r="D149" s="1140"/>
      <c r="E149" s="1140"/>
      <c r="F149" s="1140"/>
      <c r="G149" s="1140"/>
      <c r="H149" s="1140"/>
      <c r="I149" s="1140"/>
      <c r="J149" s="1140"/>
      <c r="K149" s="1140"/>
      <c r="L149" s="1140"/>
      <c r="M149" s="1140"/>
      <c r="N149" s="360"/>
      <c r="P149" s="1140"/>
      <c r="Q149" s="1140"/>
      <c r="R149" s="1140"/>
      <c r="S149" s="1140"/>
      <c r="T149" s="1140"/>
      <c r="U149" s="1140"/>
    </row>
    <row r="150" spans="1:44" ht="15" outlineLevel="1" thickBot="1">
      <c r="B150" s="1204"/>
      <c r="C150" s="1140"/>
      <c r="D150" s="1140"/>
      <c r="E150" s="1140"/>
      <c r="F150" s="1140"/>
      <c r="G150" s="1140"/>
      <c r="H150" s="1140"/>
      <c r="I150" s="1140"/>
      <c r="J150" s="1140"/>
      <c r="K150" s="1140"/>
      <c r="L150" s="1140"/>
      <c r="M150" s="1140"/>
      <c r="N150" s="360"/>
      <c r="P150" s="1140"/>
      <c r="Q150" s="1140"/>
      <c r="R150" s="1140"/>
      <c r="S150" s="1140"/>
      <c r="T150" s="1140"/>
      <c r="U150" s="1140"/>
    </row>
    <row r="151" spans="1:44" ht="20.55" customHeight="1" outlineLevel="1" thickBot="1">
      <c r="B151" s="361"/>
      <c r="C151" s="1183"/>
      <c r="D151" s="1202"/>
      <c r="E151" s="1202"/>
      <c r="F151" s="1202"/>
      <c r="G151" s="1202"/>
      <c r="H151" s="1202"/>
      <c r="I151" s="1202"/>
      <c r="J151" s="1202"/>
      <c r="K151" s="1202"/>
      <c r="L151" s="1203"/>
      <c r="M151" s="362"/>
      <c r="N151" s="362"/>
      <c r="P151" s="363"/>
      <c r="Q151" s="364"/>
      <c r="R151" s="365"/>
      <c r="S151" s="1173"/>
      <c r="T151" s="1157"/>
      <c r="U151" s="1158"/>
      <c r="V151" s="1157"/>
      <c r="W151" s="1158"/>
      <c r="X151" s="1157"/>
      <c r="Y151" s="1158"/>
      <c r="Z151" s="1157"/>
      <c r="AA151" s="1158"/>
      <c r="AB151" s="1157"/>
      <c r="AC151" s="1158"/>
      <c r="AE151" s="363"/>
      <c r="AF151" s="364"/>
      <c r="AG151" s="365"/>
      <c r="AH151" s="1173"/>
      <c r="AI151" s="1157"/>
      <c r="AJ151" s="1158"/>
      <c r="AK151" s="1157"/>
      <c r="AL151" s="1158"/>
      <c r="AM151" s="1157"/>
      <c r="AN151" s="1158"/>
      <c r="AO151" s="1157"/>
      <c r="AP151" s="1158"/>
      <c r="AQ151" s="1157"/>
      <c r="AR151" s="1158"/>
    </row>
    <row r="152" spans="1:44" ht="15" customHeight="1" outlineLevel="1" thickBot="1">
      <c r="B152" s="1161"/>
      <c r="C152" s="1163"/>
      <c r="D152" s="1163"/>
      <c r="E152" s="1163"/>
      <c r="F152" s="1163"/>
      <c r="G152" s="1218"/>
      <c r="H152" s="1219"/>
      <c r="I152" s="1218"/>
      <c r="J152" s="1219"/>
      <c r="K152" s="1186"/>
      <c r="L152" s="1186"/>
      <c r="M152" s="366"/>
      <c r="N152" s="366"/>
      <c r="P152" s="1177"/>
      <c r="Q152" s="367"/>
      <c r="R152" s="367"/>
      <c r="S152" s="1174"/>
      <c r="T152" s="1159"/>
      <c r="U152" s="1160"/>
      <c r="V152" s="1159"/>
      <c r="W152" s="1160"/>
      <c r="X152" s="1159"/>
      <c r="Y152" s="1160"/>
      <c r="Z152" s="1159"/>
      <c r="AA152" s="1160"/>
      <c r="AB152" s="1159"/>
      <c r="AC152" s="1160"/>
      <c r="AE152" s="1177"/>
      <c r="AF152" s="367"/>
      <c r="AG152" s="367"/>
      <c r="AH152" s="1174"/>
      <c r="AI152" s="1159"/>
      <c r="AJ152" s="1160"/>
      <c r="AK152" s="1159"/>
      <c r="AL152" s="1160"/>
      <c r="AM152" s="1159"/>
      <c r="AN152" s="1160"/>
      <c r="AO152" s="1159"/>
      <c r="AP152" s="1160"/>
      <c r="AQ152" s="1159"/>
      <c r="AR152" s="1160"/>
    </row>
    <row r="153" spans="1:44" ht="15" customHeight="1" outlineLevel="1" thickBot="1">
      <c r="B153" s="1162"/>
      <c r="C153" s="1164"/>
      <c r="D153" s="1164"/>
      <c r="E153" s="1164"/>
      <c r="F153" s="1164"/>
      <c r="G153" s="539"/>
      <c r="H153" s="539"/>
      <c r="I153" s="539"/>
      <c r="J153" s="539"/>
      <c r="K153" s="1187"/>
      <c r="L153" s="1187"/>
      <c r="M153" s="369"/>
      <c r="N153" s="369"/>
      <c r="P153" s="1178"/>
      <c r="Q153" s="1180"/>
      <c r="R153" s="1181"/>
      <c r="S153" s="1175"/>
      <c r="T153" s="1159"/>
      <c r="U153" s="1160"/>
      <c r="V153" s="1159"/>
      <c r="W153" s="1160"/>
      <c r="X153" s="1159"/>
      <c r="Y153" s="1160"/>
      <c r="Z153" s="1159"/>
      <c r="AA153" s="1160"/>
      <c r="AB153" s="1159"/>
      <c r="AC153" s="1160"/>
      <c r="AE153" s="1178"/>
      <c r="AF153" s="1194"/>
      <c r="AG153" s="1181"/>
      <c r="AH153" s="1175"/>
      <c r="AI153" s="1159"/>
      <c r="AJ153" s="1160"/>
      <c r="AK153" s="1159"/>
      <c r="AL153" s="1160"/>
      <c r="AM153" s="1159"/>
      <c r="AN153" s="1160"/>
      <c r="AO153" s="1159"/>
      <c r="AP153" s="1160"/>
      <c r="AQ153" s="1159"/>
      <c r="AR153" s="1160"/>
    </row>
    <row r="154" spans="1:44" ht="15" outlineLevel="1" thickBot="1">
      <c r="B154" s="370"/>
      <c r="C154" s="371"/>
      <c r="D154" s="371"/>
      <c r="E154" s="371"/>
      <c r="F154" s="371"/>
      <c r="G154" s="371"/>
      <c r="H154" s="371"/>
      <c r="I154" s="371"/>
      <c r="J154" s="371"/>
      <c r="K154" s="371"/>
      <c r="L154" s="372"/>
      <c r="M154" s="369"/>
      <c r="N154" s="369"/>
      <c r="O154" s="74"/>
      <c r="P154" s="1179"/>
      <c r="Q154" s="1176"/>
      <c r="R154" s="1182"/>
      <c r="S154" s="1176"/>
      <c r="T154" s="373"/>
      <c r="U154" s="374"/>
      <c r="V154" s="373"/>
      <c r="W154" s="374"/>
      <c r="X154" s="373"/>
      <c r="Y154" s="374"/>
      <c r="Z154" s="373"/>
      <c r="AA154" s="374"/>
      <c r="AB154" s="373"/>
      <c r="AC154" s="374"/>
      <c r="AE154" s="1179"/>
      <c r="AF154" s="1195"/>
      <c r="AG154" s="1182"/>
      <c r="AH154" s="1176"/>
      <c r="AI154" s="373"/>
      <c r="AJ154" s="374"/>
      <c r="AK154" s="373"/>
      <c r="AL154" s="374"/>
      <c r="AM154" s="373"/>
      <c r="AN154" s="374"/>
      <c r="AO154" s="373"/>
      <c r="AP154" s="374"/>
      <c r="AQ154" s="373"/>
      <c r="AR154" s="374"/>
    </row>
    <row r="155" spans="1:44" ht="14.55" customHeight="1" outlineLevel="1">
      <c r="B155" s="540"/>
      <c r="C155" s="541"/>
      <c r="D155" s="541"/>
      <c r="E155" s="542"/>
      <c r="F155" s="541"/>
      <c r="G155" s="541"/>
      <c r="H155" s="541"/>
      <c r="I155" s="541"/>
      <c r="J155" s="541"/>
      <c r="K155" s="371"/>
      <c r="L155" s="372"/>
      <c r="M155" s="369"/>
      <c r="N155" s="369"/>
      <c r="P155" s="1145"/>
      <c r="Q155" s="1151"/>
      <c r="R155" s="380"/>
      <c r="S155" s="381"/>
      <c r="T155" s="1134"/>
      <c r="U155" s="1148"/>
      <c r="V155" s="1134"/>
      <c r="W155" s="1148"/>
      <c r="X155" s="1134"/>
      <c r="Y155" s="1148"/>
      <c r="Z155" s="1134"/>
      <c r="AA155" s="1148"/>
      <c r="AB155" s="1134"/>
      <c r="AC155" s="1148"/>
      <c r="AE155" s="1145"/>
      <c r="AF155" s="1151"/>
      <c r="AG155" s="380"/>
      <c r="AH155" s="381"/>
      <c r="AI155" s="1134"/>
      <c r="AJ155" s="1148"/>
      <c r="AK155" s="1134"/>
      <c r="AL155" s="1148"/>
      <c r="AM155" s="1134"/>
      <c r="AN155" s="1148"/>
      <c r="AO155" s="1134"/>
      <c r="AP155" s="1148"/>
      <c r="AQ155" s="1134"/>
      <c r="AR155" s="1148"/>
    </row>
    <row r="156" spans="1:44" outlineLevel="1">
      <c r="B156" s="382"/>
      <c r="C156" s="383"/>
      <c r="D156" s="383"/>
      <c r="E156" s="383"/>
      <c r="F156" s="383"/>
      <c r="G156" s="504"/>
      <c r="H156" s="504"/>
      <c r="I156" s="504"/>
      <c r="J156" s="504"/>
      <c r="K156" s="371"/>
      <c r="L156" s="372"/>
      <c r="M156" s="369"/>
      <c r="N156" s="369"/>
      <c r="O156" s="71"/>
      <c r="P156" s="1192"/>
      <c r="Q156" s="1152"/>
      <c r="R156" s="387"/>
      <c r="S156" s="388"/>
      <c r="T156" s="1137"/>
      <c r="U156" s="1149"/>
      <c r="V156" s="1137"/>
      <c r="W156" s="1149"/>
      <c r="X156" s="1137"/>
      <c r="Y156" s="1149"/>
      <c r="Z156" s="1137"/>
      <c r="AA156" s="1149"/>
      <c r="AB156" s="1137"/>
      <c r="AC156" s="1149"/>
      <c r="AE156" s="1192"/>
      <c r="AF156" s="1152"/>
      <c r="AG156" s="387"/>
      <c r="AH156" s="388"/>
      <c r="AI156" s="1137"/>
      <c r="AJ156" s="1149"/>
      <c r="AK156" s="1137"/>
      <c r="AL156" s="1149"/>
      <c r="AM156" s="1137"/>
      <c r="AN156" s="1149"/>
      <c r="AO156" s="1137"/>
      <c r="AP156" s="1149"/>
      <c r="AQ156" s="1137"/>
      <c r="AR156" s="1149"/>
    </row>
    <row r="157" spans="1:44" ht="15" outlineLevel="1" thickBot="1">
      <c r="B157" s="540"/>
      <c r="C157" s="543"/>
      <c r="D157" s="544"/>
      <c r="E157" s="544"/>
      <c r="F157" s="545"/>
      <c r="G157" s="544"/>
      <c r="H157" s="544"/>
      <c r="I157" s="544"/>
      <c r="J157" s="544"/>
      <c r="K157" s="546"/>
      <c r="L157" s="547"/>
      <c r="M157" s="369"/>
      <c r="N157" s="369"/>
      <c r="O157" s="71"/>
      <c r="P157" s="1192"/>
      <c r="Q157" s="1153"/>
      <c r="R157" s="392"/>
      <c r="S157" s="393"/>
      <c r="T157" s="1138"/>
      <c r="U157" s="1150"/>
      <c r="V157" s="1138"/>
      <c r="W157" s="1150"/>
      <c r="X157" s="1138"/>
      <c r="Y157" s="1150"/>
      <c r="Z157" s="1138"/>
      <c r="AA157" s="1150"/>
      <c r="AB157" s="1138"/>
      <c r="AC157" s="1150"/>
      <c r="AE157" s="1192"/>
      <c r="AF157" s="1153"/>
      <c r="AG157" s="392"/>
      <c r="AH157" s="393"/>
      <c r="AI157" s="1138"/>
      <c r="AJ157" s="1150"/>
      <c r="AK157" s="1138"/>
      <c r="AL157" s="1150"/>
      <c r="AM157" s="1138"/>
      <c r="AN157" s="1150"/>
      <c r="AO157" s="1138"/>
      <c r="AP157" s="1150"/>
      <c r="AQ157" s="1138"/>
      <c r="AR157" s="1150"/>
    </row>
    <row r="158" spans="1:44" ht="14.55" customHeight="1" outlineLevel="1">
      <c r="B158" s="540"/>
      <c r="C158" s="543"/>
      <c r="D158" s="543"/>
      <c r="E158" s="543"/>
      <c r="F158" s="543"/>
      <c r="G158" s="543"/>
      <c r="H158" s="543"/>
      <c r="I158" s="543"/>
      <c r="J158" s="543"/>
      <c r="K158" s="546"/>
      <c r="L158" s="547"/>
      <c r="M158" s="369"/>
      <c r="N158" s="369"/>
      <c r="O158" s="71"/>
      <c r="P158" s="1192"/>
      <c r="Q158" s="1151"/>
      <c r="R158" s="394"/>
      <c r="S158" s="395"/>
      <c r="T158" s="1134"/>
      <c r="U158" s="1134"/>
      <c r="V158" s="1134"/>
      <c r="W158" s="1134"/>
      <c r="X158" s="1134"/>
      <c r="Y158" s="1134"/>
      <c r="Z158" s="1134"/>
      <c r="AA158" s="1134"/>
      <c r="AB158" s="1134"/>
      <c r="AC158" s="1134"/>
      <c r="AE158" s="1192"/>
      <c r="AF158" s="1151"/>
      <c r="AG158" s="394"/>
      <c r="AH158" s="395"/>
      <c r="AI158" s="1134"/>
      <c r="AJ158" s="1134"/>
      <c r="AK158" s="1134"/>
      <c r="AL158" s="1134"/>
      <c r="AM158" s="1134"/>
      <c r="AN158" s="1134"/>
      <c r="AO158" s="1134"/>
      <c r="AP158" s="1134"/>
      <c r="AQ158" s="1134"/>
      <c r="AR158" s="1134"/>
    </row>
    <row r="159" spans="1:44" outlineLevel="1">
      <c r="B159" s="540"/>
      <c r="C159" s="543"/>
      <c r="D159" s="543"/>
      <c r="E159" s="543"/>
      <c r="F159" s="543"/>
      <c r="G159" s="543"/>
      <c r="H159" s="543"/>
      <c r="I159" s="543"/>
      <c r="J159" s="543"/>
      <c r="K159" s="546"/>
      <c r="L159" s="547"/>
      <c r="M159" s="366"/>
      <c r="N159" s="366"/>
      <c r="O159" s="71"/>
      <c r="P159" s="1192"/>
      <c r="Q159" s="1152"/>
      <c r="R159" s="394"/>
      <c r="S159" s="395"/>
      <c r="T159" s="1135"/>
      <c r="U159" s="1135"/>
      <c r="V159" s="1135"/>
      <c r="W159" s="1135"/>
      <c r="X159" s="1135"/>
      <c r="Y159" s="1135"/>
      <c r="Z159" s="1135"/>
      <c r="AA159" s="1135"/>
      <c r="AB159" s="1135"/>
      <c r="AC159" s="1135"/>
      <c r="AE159" s="1192"/>
      <c r="AF159" s="1152"/>
      <c r="AG159" s="394"/>
      <c r="AH159" s="395"/>
      <c r="AI159" s="1135"/>
      <c r="AJ159" s="1135"/>
      <c r="AK159" s="1135"/>
      <c r="AL159" s="1135"/>
      <c r="AM159" s="1135"/>
      <c r="AN159" s="1135"/>
      <c r="AO159" s="1135"/>
      <c r="AP159" s="1135"/>
      <c r="AQ159" s="1135"/>
      <c r="AR159" s="1135"/>
    </row>
    <row r="160" spans="1:44" outlineLevel="1">
      <c r="B160" s="382"/>
      <c r="C160" s="396"/>
      <c r="D160" s="396"/>
      <c r="E160" s="396"/>
      <c r="F160" s="398"/>
      <c r="G160" s="398"/>
      <c r="H160" s="398"/>
      <c r="I160" s="398"/>
      <c r="J160" s="398"/>
      <c r="K160" s="371"/>
      <c r="L160" s="372"/>
      <c r="M160" s="362"/>
      <c r="N160" s="362"/>
      <c r="P160" s="1192"/>
      <c r="Q160" s="1152"/>
      <c r="R160" s="394"/>
      <c r="S160" s="395"/>
      <c r="T160" s="1135"/>
      <c r="U160" s="1135"/>
      <c r="V160" s="1135"/>
      <c r="W160" s="1135"/>
      <c r="X160" s="1135"/>
      <c r="Y160" s="1135"/>
      <c r="Z160" s="1135"/>
      <c r="AA160" s="1135"/>
      <c r="AB160" s="1135"/>
      <c r="AC160" s="1135"/>
      <c r="AE160" s="1192"/>
      <c r="AF160" s="1152"/>
      <c r="AG160" s="394"/>
      <c r="AH160" s="395"/>
      <c r="AI160" s="1135"/>
      <c r="AJ160" s="1135"/>
      <c r="AK160" s="1135"/>
      <c r="AL160" s="1135"/>
      <c r="AM160" s="1135"/>
      <c r="AN160" s="1135"/>
      <c r="AO160" s="1135"/>
      <c r="AP160" s="1135"/>
      <c r="AQ160" s="1135"/>
      <c r="AR160" s="1135"/>
    </row>
    <row r="161" spans="1:44" ht="15" outlineLevel="1" thickBot="1">
      <c r="B161" s="540"/>
      <c r="C161" s="543"/>
      <c r="D161" s="543"/>
      <c r="E161" s="543"/>
      <c r="F161" s="543"/>
      <c r="G161" s="543"/>
      <c r="H161" s="543"/>
      <c r="I161" s="543"/>
      <c r="J161" s="543"/>
      <c r="K161" s="371"/>
      <c r="L161" s="399"/>
      <c r="M161" s="362"/>
      <c r="N161" s="362"/>
      <c r="P161" s="1192"/>
      <c r="Q161" s="1152"/>
      <c r="R161" s="394"/>
      <c r="S161" s="395"/>
      <c r="T161" s="1135"/>
      <c r="U161" s="1135"/>
      <c r="V161" s="1135"/>
      <c r="W161" s="1135"/>
      <c r="X161" s="1135"/>
      <c r="Y161" s="1135"/>
      <c r="Z161" s="1135"/>
      <c r="AA161" s="1135"/>
      <c r="AB161" s="1135"/>
      <c r="AC161" s="1135"/>
      <c r="AE161" s="1192"/>
      <c r="AF161" s="1152"/>
      <c r="AG161" s="394"/>
      <c r="AH161" s="395"/>
      <c r="AI161" s="1135"/>
      <c r="AJ161" s="1135"/>
      <c r="AK161" s="1135"/>
      <c r="AL161" s="1135"/>
      <c r="AM161" s="1135"/>
      <c r="AN161" s="1135"/>
      <c r="AO161" s="1135"/>
      <c r="AP161" s="1135"/>
      <c r="AQ161" s="1135"/>
      <c r="AR161" s="1135"/>
    </row>
    <row r="162" spans="1:44" ht="15" outlineLevel="1" thickBot="1">
      <c r="B162" s="400"/>
      <c r="C162" s="401"/>
      <c r="D162" s="402"/>
      <c r="E162" s="403"/>
      <c r="F162" s="404"/>
      <c r="G162" s="405"/>
      <c r="H162" s="405"/>
      <c r="I162" s="405"/>
      <c r="J162" s="405"/>
      <c r="K162" s="406"/>
      <c r="L162" s="407"/>
      <c r="M162" s="362"/>
      <c r="N162" s="362"/>
      <c r="P162" s="1192"/>
      <c r="Q162" s="1152"/>
      <c r="R162" s="408"/>
      <c r="S162" s="409"/>
      <c r="T162" s="1136"/>
      <c r="U162" s="1136"/>
      <c r="V162" s="1136"/>
      <c r="W162" s="1136"/>
      <c r="X162" s="1136"/>
      <c r="Y162" s="1136"/>
      <c r="Z162" s="1136"/>
      <c r="AA162" s="1136"/>
      <c r="AB162" s="1136"/>
      <c r="AC162" s="1136"/>
      <c r="AE162" s="1192"/>
      <c r="AF162" s="1152"/>
      <c r="AG162" s="408"/>
      <c r="AH162" s="409"/>
      <c r="AI162" s="1136"/>
      <c r="AJ162" s="1136"/>
      <c r="AK162" s="1136"/>
      <c r="AL162" s="1136"/>
      <c r="AM162" s="1136"/>
      <c r="AN162" s="1136"/>
      <c r="AO162" s="1136"/>
      <c r="AP162" s="1136"/>
      <c r="AQ162" s="1136"/>
      <c r="AR162" s="1136"/>
    </row>
    <row r="163" spans="1:44" ht="15" outlineLevel="1" thickBot="1">
      <c r="B163" s="540"/>
      <c r="C163" s="543"/>
      <c r="D163" s="543"/>
      <c r="E163" s="543"/>
      <c r="F163" s="543"/>
      <c r="G163" s="544"/>
      <c r="H163" s="544"/>
      <c r="I163" s="544"/>
      <c r="J163" s="544"/>
      <c r="K163" s="546"/>
      <c r="L163" s="547"/>
      <c r="M163" s="362"/>
      <c r="N163" s="362"/>
      <c r="P163" s="1193"/>
      <c r="Q163" s="410"/>
      <c r="R163" s="411"/>
      <c r="S163" s="412"/>
      <c r="T163" s="413"/>
      <c r="U163" s="414"/>
      <c r="V163" s="415"/>
      <c r="W163" s="414"/>
      <c r="X163" s="415"/>
      <c r="Y163" s="414"/>
      <c r="Z163" s="415"/>
      <c r="AA163" s="414"/>
      <c r="AB163" s="415"/>
      <c r="AC163" s="416"/>
      <c r="AE163" s="1193"/>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5" outlineLevel="1" thickBot="1">
      <c r="B171" s="428"/>
      <c r="C171" s="429"/>
      <c r="D171" s="429"/>
      <c r="E171" s="429"/>
      <c r="F171" s="429"/>
      <c r="G171" s="424"/>
      <c r="H171" s="424"/>
      <c r="I171" s="424"/>
      <c r="J171" s="424"/>
      <c r="K171" s="422"/>
      <c r="L171" s="426"/>
      <c r="M171" s="427"/>
      <c r="N171" s="427"/>
    </row>
    <row r="172" spans="1:44" ht="15"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39"/>
      <c r="Q177" s="1140"/>
      <c r="R177" s="1140"/>
      <c r="S177" s="1140"/>
      <c r="T177" s="1140"/>
      <c r="U177" s="1141"/>
    </row>
    <row r="178" spans="2:30" ht="15" outlineLevel="1" thickBot="1">
      <c r="B178" s="540"/>
      <c r="C178" s="551"/>
      <c r="D178" s="551"/>
      <c r="E178" s="551"/>
      <c r="F178" s="551"/>
      <c r="G178" s="552"/>
      <c r="H178" s="552"/>
      <c r="I178" s="552"/>
      <c r="J178" s="552"/>
      <c r="K178" s="546"/>
      <c r="L178" s="547"/>
      <c r="M178" s="449"/>
      <c r="N178" s="360"/>
      <c r="P178" s="1131"/>
      <c r="Q178" s="1132"/>
      <c r="R178" s="1132"/>
      <c r="S178" s="1132"/>
      <c r="T178" s="1132"/>
      <c r="U178" s="1133"/>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5"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5"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5"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5" thickBot="1">
      <c r="A217" s="359"/>
    </row>
    <row r="218" spans="1:44" ht="20.55" customHeight="1" outlineLevel="1" thickBot="1">
      <c r="B218" s="361"/>
      <c r="C218" s="1183"/>
      <c r="D218" s="1202"/>
      <c r="E218" s="1202"/>
      <c r="F218" s="1202"/>
      <c r="G218" s="1202"/>
      <c r="H218" s="1202"/>
      <c r="I218" s="1202"/>
      <c r="J218" s="1202"/>
      <c r="K218" s="1202"/>
      <c r="L218" s="1203"/>
      <c r="M218" s="362"/>
      <c r="N218" s="362"/>
      <c r="P218" s="363"/>
      <c r="Q218" s="364"/>
      <c r="R218" s="365"/>
      <c r="S218" s="1173"/>
      <c r="T218" s="1157"/>
      <c r="U218" s="1158"/>
      <c r="V218" s="1157"/>
      <c r="W218" s="1158"/>
      <c r="X218" s="1157"/>
      <c r="Y218" s="1158"/>
      <c r="Z218" s="1157"/>
      <c r="AA218" s="1158"/>
      <c r="AB218" s="1157"/>
      <c r="AC218" s="1158"/>
      <c r="AE218" s="363"/>
      <c r="AF218" s="364"/>
      <c r="AG218" s="365"/>
      <c r="AH218" s="1173"/>
      <c r="AI218" s="1157"/>
      <c r="AJ218" s="1158"/>
      <c r="AK218" s="1157"/>
      <c r="AL218" s="1158"/>
      <c r="AM218" s="1157"/>
      <c r="AN218" s="1158"/>
      <c r="AO218" s="1157"/>
      <c r="AP218" s="1158"/>
      <c r="AQ218" s="1157"/>
      <c r="AR218" s="1158"/>
    </row>
    <row r="219" spans="1:44" ht="15" customHeight="1" outlineLevel="1" thickBot="1">
      <c r="B219" s="1161"/>
      <c r="C219" s="1163"/>
      <c r="D219" s="1163"/>
      <c r="E219" s="1163"/>
      <c r="F219" s="1163"/>
      <c r="G219" s="1165"/>
      <c r="H219" s="1166"/>
      <c r="I219" s="1165"/>
      <c r="J219" s="1166"/>
      <c r="K219" s="1186"/>
      <c r="L219" s="1186"/>
      <c r="M219" s="366"/>
      <c r="N219" s="366"/>
      <c r="P219" s="1177"/>
      <c r="Q219" s="367"/>
      <c r="R219" s="367"/>
      <c r="S219" s="1174"/>
      <c r="T219" s="1159"/>
      <c r="U219" s="1160"/>
      <c r="V219" s="1159"/>
      <c r="W219" s="1160"/>
      <c r="X219" s="1159"/>
      <c r="Y219" s="1160"/>
      <c r="Z219" s="1159"/>
      <c r="AA219" s="1160"/>
      <c r="AB219" s="1159"/>
      <c r="AC219" s="1160"/>
      <c r="AE219" s="1177"/>
      <c r="AF219" s="367"/>
      <c r="AG219" s="367"/>
      <c r="AH219" s="1174"/>
      <c r="AI219" s="1159"/>
      <c r="AJ219" s="1160"/>
      <c r="AK219" s="1159"/>
      <c r="AL219" s="1160"/>
      <c r="AM219" s="1159"/>
      <c r="AN219" s="1160"/>
      <c r="AO219" s="1159"/>
      <c r="AP219" s="1160"/>
      <c r="AQ219" s="1159"/>
      <c r="AR219" s="1160"/>
    </row>
    <row r="220" spans="1:44" ht="15" customHeight="1" outlineLevel="1" thickBot="1">
      <c r="B220" s="1162"/>
      <c r="C220" s="1164"/>
      <c r="D220" s="1164"/>
      <c r="E220" s="1164"/>
      <c r="F220" s="1164"/>
      <c r="G220" s="405"/>
      <c r="H220" s="405"/>
      <c r="I220" s="405"/>
      <c r="J220" s="405"/>
      <c r="K220" s="1187"/>
      <c r="L220" s="1187"/>
      <c r="M220" s="369"/>
      <c r="N220" s="369"/>
      <c r="P220" s="1178"/>
      <c r="Q220" s="1180"/>
      <c r="R220" s="1181"/>
      <c r="S220" s="1175"/>
      <c r="T220" s="1159"/>
      <c r="U220" s="1160"/>
      <c r="V220" s="1159"/>
      <c r="W220" s="1160"/>
      <c r="X220" s="1159"/>
      <c r="Y220" s="1160"/>
      <c r="Z220" s="1159"/>
      <c r="AA220" s="1160"/>
      <c r="AB220" s="1159"/>
      <c r="AC220" s="1160"/>
      <c r="AE220" s="1178"/>
      <c r="AF220" s="1194"/>
      <c r="AG220" s="1181"/>
      <c r="AH220" s="1175"/>
      <c r="AI220" s="1159"/>
      <c r="AJ220" s="1160"/>
      <c r="AK220" s="1159"/>
      <c r="AL220" s="1160"/>
      <c r="AM220" s="1159"/>
      <c r="AN220" s="1160"/>
      <c r="AO220" s="1159"/>
      <c r="AP220" s="1160"/>
      <c r="AQ220" s="1159"/>
      <c r="AR220" s="1160"/>
    </row>
    <row r="221" spans="1:44" ht="15" outlineLevel="1" thickBot="1">
      <c r="B221" s="370"/>
      <c r="C221" s="371"/>
      <c r="D221" s="371"/>
      <c r="E221" s="371"/>
      <c r="F221" s="371"/>
      <c r="G221" s="371"/>
      <c r="H221" s="371"/>
      <c r="I221" s="371"/>
      <c r="J221" s="371"/>
      <c r="K221" s="371"/>
      <c r="L221" s="372"/>
      <c r="M221" s="369"/>
      <c r="N221" s="369"/>
      <c r="O221" s="74"/>
      <c r="P221" s="1179"/>
      <c r="Q221" s="1176"/>
      <c r="R221" s="1182"/>
      <c r="S221" s="1176"/>
      <c r="T221" s="373"/>
      <c r="U221" s="374"/>
      <c r="V221" s="373"/>
      <c r="W221" s="374"/>
      <c r="X221" s="373"/>
      <c r="Y221" s="374"/>
      <c r="Z221" s="373"/>
      <c r="AA221" s="374"/>
      <c r="AB221" s="373"/>
      <c r="AC221" s="374"/>
      <c r="AE221" s="1179"/>
      <c r="AF221" s="1195"/>
      <c r="AG221" s="1182"/>
      <c r="AH221" s="1176"/>
      <c r="AI221" s="373"/>
      <c r="AJ221" s="374"/>
      <c r="AK221" s="373"/>
      <c r="AL221" s="374"/>
      <c r="AM221" s="373"/>
      <c r="AN221" s="374"/>
      <c r="AO221" s="373"/>
      <c r="AP221" s="374"/>
      <c r="AQ221" s="373"/>
      <c r="AR221" s="374"/>
    </row>
    <row r="222" spans="1:44" ht="14.55" customHeight="1" outlineLevel="1">
      <c r="B222" s="540"/>
      <c r="C222" s="541"/>
      <c r="D222" s="541"/>
      <c r="E222" s="542"/>
      <c r="F222" s="541"/>
      <c r="G222" s="541"/>
      <c r="H222" s="541"/>
      <c r="I222" s="541"/>
      <c r="J222" s="541"/>
      <c r="K222" s="546"/>
      <c r="L222" s="547"/>
      <c r="M222" s="369"/>
      <c r="N222" s="369"/>
      <c r="P222" s="1145"/>
      <c r="Q222" s="1151"/>
      <c r="R222" s="380"/>
      <c r="S222" s="381"/>
      <c r="T222" s="1134"/>
      <c r="U222" s="1148"/>
      <c r="V222" s="1134"/>
      <c r="W222" s="1148"/>
      <c r="X222" s="1134"/>
      <c r="Y222" s="1148"/>
      <c r="Z222" s="1134"/>
      <c r="AA222" s="1148"/>
      <c r="AB222" s="1134"/>
      <c r="AC222" s="1148"/>
      <c r="AE222" s="1145"/>
      <c r="AF222" s="1151"/>
      <c r="AG222" s="380"/>
      <c r="AH222" s="381"/>
      <c r="AI222" s="1134"/>
      <c r="AJ222" s="1148"/>
      <c r="AK222" s="1134"/>
      <c r="AL222" s="1148"/>
      <c r="AM222" s="1134"/>
      <c r="AN222" s="1148"/>
      <c r="AO222" s="1134"/>
      <c r="AP222" s="1148"/>
      <c r="AQ222" s="1134"/>
      <c r="AR222" s="1148"/>
    </row>
    <row r="223" spans="1:44" outlineLevel="1">
      <c r="B223" s="382"/>
      <c r="C223" s="383"/>
      <c r="D223" s="383"/>
      <c r="E223" s="383"/>
      <c r="F223" s="383"/>
      <c r="G223" s="504"/>
      <c r="H223" s="504"/>
      <c r="I223" s="504"/>
      <c r="J223" s="504"/>
      <c r="K223" s="371"/>
      <c r="L223" s="372"/>
      <c r="M223" s="369"/>
      <c r="N223" s="369"/>
      <c r="O223" s="71"/>
      <c r="P223" s="1192"/>
      <c r="Q223" s="1152"/>
      <c r="R223" s="387"/>
      <c r="S223" s="388"/>
      <c r="T223" s="1137"/>
      <c r="U223" s="1149"/>
      <c r="V223" s="1137"/>
      <c r="W223" s="1149"/>
      <c r="X223" s="1137"/>
      <c r="Y223" s="1149"/>
      <c r="Z223" s="1137"/>
      <c r="AA223" s="1149"/>
      <c r="AB223" s="1137"/>
      <c r="AC223" s="1149"/>
      <c r="AE223" s="1192"/>
      <c r="AF223" s="1152"/>
      <c r="AG223" s="387"/>
      <c r="AH223" s="388"/>
      <c r="AI223" s="1137"/>
      <c r="AJ223" s="1149"/>
      <c r="AK223" s="1137"/>
      <c r="AL223" s="1149"/>
      <c r="AM223" s="1137"/>
      <c r="AN223" s="1149"/>
      <c r="AO223" s="1137"/>
      <c r="AP223" s="1149"/>
      <c r="AQ223" s="1137"/>
      <c r="AR223" s="1149"/>
    </row>
    <row r="224" spans="1:44" ht="15" outlineLevel="1" thickBot="1">
      <c r="B224" s="540"/>
      <c r="C224" s="543"/>
      <c r="D224" s="544"/>
      <c r="E224" s="544"/>
      <c r="F224" s="545"/>
      <c r="G224" s="544"/>
      <c r="H224" s="544"/>
      <c r="I224" s="544"/>
      <c r="J224" s="544"/>
      <c r="K224" s="546"/>
      <c r="L224" s="547"/>
      <c r="M224" s="369"/>
      <c r="N224" s="369"/>
      <c r="O224" s="71"/>
      <c r="P224" s="1192"/>
      <c r="Q224" s="1153"/>
      <c r="R224" s="392"/>
      <c r="S224" s="393"/>
      <c r="T224" s="1138"/>
      <c r="U224" s="1150"/>
      <c r="V224" s="1138"/>
      <c r="W224" s="1150"/>
      <c r="X224" s="1138"/>
      <c r="Y224" s="1150"/>
      <c r="Z224" s="1138"/>
      <c r="AA224" s="1150"/>
      <c r="AB224" s="1138"/>
      <c r="AC224" s="1150"/>
      <c r="AE224" s="1192"/>
      <c r="AF224" s="1153"/>
      <c r="AG224" s="392"/>
      <c r="AH224" s="393"/>
      <c r="AI224" s="1138"/>
      <c r="AJ224" s="1150"/>
      <c r="AK224" s="1138"/>
      <c r="AL224" s="1150"/>
      <c r="AM224" s="1138"/>
      <c r="AN224" s="1150"/>
      <c r="AO224" s="1138"/>
      <c r="AP224" s="1150"/>
      <c r="AQ224" s="1138"/>
      <c r="AR224" s="1150"/>
    </row>
    <row r="225" spans="1:44" ht="14.55" customHeight="1" outlineLevel="1">
      <c r="B225" s="540"/>
      <c r="C225" s="543"/>
      <c r="D225" s="543"/>
      <c r="E225" s="543"/>
      <c r="F225" s="543"/>
      <c r="G225" s="543"/>
      <c r="H225" s="543"/>
      <c r="I225" s="543"/>
      <c r="J225" s="543"/>
      <c r="K225" s="546"/>
      <c r="L225" s="547"/>
      <c r="M225" s="369"/>
      <c r="N225" s="369"/>
      <c r="O225" s="71"/>
      <c r="P225" s="1192"/>
      <c r="Q225" s="1151"/>
      <c r="R225" s="394"/>
      <c r="S225" s="395"/>
      <c r="T225" s="1134"/>
      <c r="U225" s="1134"/>
      <c r="V225" s="1134"/>
      <c r="W225" s="1134"/>
      <c r="X225" s="1134"/>
      <c r="Y225" s="1134"/>
      <c r="Z225" s="1134"/>
      <c r="AA225" s="1134"/>
      <c r="AB225" s="1134"/>
      <c r="AC225" s="1134"/>
      <c r="AE225" s="1192"/>
      <c r="AF225" s="1151"/>
      <c r="AG225" s="394"/>
      <c r="AH225" s="395"/>
      <c r="AI225" s="1134"/>
      <c r="AJ225" s="1134"/>
      <c r="AK225" s="1134"/>
      <c r="AL225" s="1134"/>
      <c r="AM225" s="1134"/>
      <c r="AN225" s="1134"/>
      <c r="AO225" s="1134"/>
      <c r="AP225" s="1134"/>
      <c r="AQ225" s="1134"/>
      <c r="AR225" s="1134"/>
    </row>
    <row r="226" spans="1:44" outlineLevel="1">
      <c r="B226" s="540"/>
      <c r="C226" s="543"/>
      <c r="D226" s="543"/>
      <c r="E226" s="543"/>
      <c r="F226" s="543"/>
      <c r="G226" s="543"/>
      <c r="H226" s="543"/>
      <c r="I226" s="543"/>
      <c r="J226" s="543"/>
      <c r="K226" s="546"/>
      <c r="L226" s="547"/>
      <c r="M226" s="366"/>
      <c r="N226" s="366"/>
      <c r="O226" s="71"/>
      <c r="P226" s="1192"/>
      <c r="Q226" s="1152"/>
      <c r="R226" s="394"/>
      <c r="S226" s="395"/>
      <c r="T226" s="1135"/>
      <c r="U226" s="1135"/>
      <c r="V226" s="1135"/>
      <c r="W226" s="1135"/>
      <c r="X226" s="1135"/>
      <c r="Y226" s="1135"/>
      <c r="Z226" s="1135"/>
      <c r="AA226" s="1135"/>
      <c r="AB226" s="1135"/>
      <c r="AC226" s="1135"/>
      <c r="AE226" s="1192"/>
      <c r="AF226" s="1152"/>
      <c r="AG226" s="394"/>
      <c r="AH226" s="395"/>
      <c r="AI226" s="1135"/>
      <c r="AJ226" s="1135"/>
      <c r="AK226" s="1135"/>
      <c r="AL226" s="1135"/>
      <c r="AM226" s="1135"/>
      <c r="AN226" s="1135"/>
      <c r="AO226" s="1135"/>
      <c r="AP226" s="1135"/>
      <c r="AQ226" s="1135"/>
      <c r="AR226" s="1135"/>
    </row>
    <row r="227" spans="1:44" outlineLevel="1">
      <c r="B227" s="382"/>
      <c r="C227" s="396"/>
      <c r="D227" s="396"/>
      <c r="E227" s="396"/>
      <c r="F227" s="396"/>
      <c r="G227" s="398"/>
      <c r="H227" s="398"/>
      <c r="I227" s="398"/>
      <c r="J227" s="398"/>
      <c r="K227" s="371"/>
      <c r="L227" s="372"/>
      <c r="M227" s="362"/>
      <c r="N227" s="362"/>
      <c r="P227" s="1192"/>
      <c r="Q227" s="1152"/>
      <c r="R227" s="394"/>
      <c r="S227" s="395"/>
      <c r="T227" s="1135"/>
      <c r="U227" s="1135"/>
      <c r="V227" s="1135"/>
      <c r="W227" s="1135"/>
      <c r="X227" s="1135"/>
      <c r="Y227" s="1135"/>
      <c r="Z227" s="1135"/>
      <c r="AA227" s="1135"/>
      <c r="AB227" s="1135"/>
      <c r="AC227" s="1135"/>
      <c r="AE227" s="1192"/>
      <c r="AF227" s="1152"/>
      <c r="AG227" s="394"/>
      <c r="AH227" s="395"/>
      <c r="AI227" s="1135"/>
      <c r="AJ227" s="1135"/>
      <c r="AK227" s="1135"/>
      <c r="AL227" s="1135"/>
      <c r="AM227" s="1135"/>
      <c r="AN227" s="1135"/>
      <c r="AO227" s="1135"/>
      <c r="AP227" s="1135"/>
      <c r="AQ227" s="1135"/>
      <c r="AR227" s="1135"/>
    </row>
    <row r="228" spans="1:44" ht="15" outlineLevel="1" thickBot="1">
      <c r="B228" s="540"/>
      <c r="C228" s="543"/>
      <c r="D228" s="543"/>
      <c r="E228" s="543"/>
      <c r="F228" s="543"/>
      <c r="G228" s="543"/>
      <c r="H228" s="543"/>
      <c r="I228" s="543"/>
      <c r="J228" s="543"/>
      <c r="K228" s="546"/>
      <c r="L228" s="558"/>
      <c r="M228" s="362"/>
      <c r="N228" s="362"/>
      <c r="P228" s="1192"/>
      <c r="Q228" s="1152"/>
      <c r="R228" s="394"/>
      <c r="S228" s="395"/>
      <c r="T228" s="1135"/>
      <c r="U228" s="1135"/>
      <c r="V228" s="1135"/>
      <c r="W228" s="1135"/>
      <c r="X228" s="1135"/>
      <c r="Y228" s="1135"/>
      <c r="Z228" s="1135"/>
      <c r="AA228" s="1135"/>
      <c r="AB228" s="1135"/>
      <c r="AC228" s="1135"/>
      <c r="AE228" s="1192"/>
      <c r="AF228" s="1152"/>
      <c r="AG228" s="394"/>
      <c r="AH228" s="395"/>
      <c r="AI228" s="1135"/>
      <c r="AJ228" s="1135"/>
      <c r="AK228" s="1135"/>
      <c r="AL228" s="1135"/>
      <c r="AM228" s="1135"/>
      <c r="AN228" s="1135"/>
      <c r="AO228" s="1135"/>
      <c r="AP228" s="1135"/>
      <c r="AQ228" s="1135"/>
      <c r="AR228" s="1135"/>
    </row>
    <row r="229" spans="1:44" ht="15" outlineLevel="1" thickBot="1">
      <c r="B229" s="400"/>
      <c r="C229" s="401"/>
      <c r="D229" s="402"/>
      <c r="E229" s="403"/>
      <c r="F229" s="404"/>
      <c r="G229" s="405"/>
      <c r="H229" s="405"/>
      <c r="I229" s="405"/>
      <c r="J229" s="405"/>
      <c r="K229" s="406"/>
      <c r="L229" s="407"/>
      <c r="M229" s="362"/>
      <c r="N229" s="362"/>
      <c r="P229" s="1192"/>
      <c r="Q229" s="1152"/>
      <c r="R229" s="408"/>
      <c r="S229" s="409"/>
      <c r="T229" s="1136"/>
      <c r="U229" s="1136"/>
      <c r="V229" s="1136"/>
      <c r="W229" s="1136"/>
      <c r="X229" s="1136"/>
      <c r="Y229" s="1136"/>
      <c r="Z229" s="1136"/>
      <c r="AA229" s="1136"/>
      <c r="AB229" s="1136"/>
      <c r="AC229" s="1136"/>
      <c r="AE229" s="1192"/>
      <c r="AF229" s="1152"/>
      <c r="AG229" s="408"/>
      <c r="AH229" s="409"/>
      <c r="AI229" s="1136"/>
      <c r="AJ229" s="1136"/>
      <c r="AK229" s="1136"/>
      <c r="AL229" s="1136"/>
      <c r="AM229" s="1136"/>
      <c r="AN229" s="1136"/>
      <c r="AO229" s="1136"/>
      <c r="AP229" s="1136"/>
      <c r="AQ229" s="1136"/>
      <c r="AR229" s="1136"/>
    </row>
    <row r="230" spans="1:44" ht="15" outlineLevel="1" thickBot="1">
      <c r="B230" s="540"/>
      <c r="C230" s="543"/>
      <c r="D230" s="543"/>
      <c r="E230" s="543"/>
      <c r="F230" s="543"/>
      <c r="G230" s="544"/>
      <c r="H230" s="544"/>
      <c r="I230" s="544"/>
      <c r="J230" s="544"/>
      <c r="K230" s="546"/>
      <c r="L230" s="547"/>
      <c r="M230" s="362"/>
      <c r="N230" s="362"/>
      <c r="P230" s="1193"/>
      <c r="Q230" s="410"/>
      <c r="R230" s="411"/>
      <c r="S230" s="412"/>
      <c r="T230" s="413"/>
      <c r="U230" s="414"/>
      <c r="V230" s="413"/>
      <c r="W230" s="414"/>
      <c r="X230" s="413"/>
      <c r="Y230" s="414"/>
      <c r="Z230" s="413"/>
      <c r="AA230" s="414"/>
      <c r="AB230" s="413"/>
      <c r="AC230" s="416"/>
      <c r="AE230" s="1193"/>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5" outlineLevel="1" thickBot="1">
      <c r="B238" s="428"/>
      <c r="C238" s="429"/>
      <c r="D238" s="429"/>
      <c r="E238" s="429"/>
      <c r="F238" s="429"/>
      <c r="G238" s="424"/>
      <c r="H238" s="424"/>
      <c r="I238" s="424"/>
      <c r="J238" s="424"/>
      <c r="K238" s="422"/>
      <c r="L238" s="426"/>
      <c r="M238" s="427"/>
      <c r="N238" s="427"/>
    </row>
    <row r="239" spans="1:44" ht="15"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39"/>
      <c r="Q244" s="1140"/>
      <c r="R244" s="1140"/>
      <c r="S244" s="1140"/>
      <c r="T244" s="1140"/>
      <c r="U244" s="1141"/>
    </row>
    <row r="245" spans="2:30" ht="15" outlineLevel="1" thickBot="1">
      <c r="B245" s="540"/>
      <c r="C245" s="551"/>
      <c r="D245" s="551"/>
      <c r="E245" s="551"/>
      <c r="F245" s="551"/>
      <c r="G245" s="424"/>
      <c r="H245" s="424"/>
      <c r="I245" s="424"/>
      <c r="J245" s="424"/>
      <c r="K245" s="443"/>
      <c r="L245" s="372"/>
      <c r="M245" s="449"/>
      <c r="N245" s="360"/>
      <c r="P245" s="1131"/>
      <c r="Q245" s="1132"/>
      <c r="R245" s="1132"/>
      <c r="S245" s="1132"/>
      <c r="T245" s="1132"/>
      <c r="U245" s="1133"/>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5"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5"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5"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5" thickBot="1">
      <c r="A283" s="359"/>
    </row>
    <row r="284" spans="1:44" ht="20.55" customHeight="1" thickBot="1">
      <c r="B284" s="361"/>
      <c r="C284" s="1183"/>
      <c r="D284" s="1184"/>
      <c r="E284" s="1184"/>
      <c r="F284" s="1184"/>
      <c r="G284" s="1184"/>
      <c r="H284" s="1184"/>
      <c r="I284" s="1184"/>
      <c r="J284" s="1184"/>
      <c r="K284" s="1184"/>
      <c r="L284" s="1185"/>
      <c r="M284" s="362"/>
      <c r="N284" s="362"/>
      <c r="P284" s="363"/>
      <c r="Q284" s="364"/>
      <c r="R284" s="365"/>
      <c r="S284" s="1173"/>
      <c r="T284" s="1157"/>
      <c r="U284" s="1158"/>
      <c r="V284" s="1157"/>
      <c r="W284" s="1158"/>
      <c r="X284" s="1157"/>
      <c r="Y284" s="1158"/>
      <c r="Z284" s="1157"/>
      <c r="AA284" s="1158"/>
      <c r="AB284" s="1157"/>
      <c r="AC284" s="1158"/>
      <c r="AE284" s="363"/>
      <c r="AF284" s="364"/>
      <c r="AG284" s="365"/>
      <c r="AH284" s="1173"/>
      <c r="AI284" s="1157"/>
      <c r="AJ284" s="1158"/>
      <c r="AK284" s="1157"/>
      <c r="AL284" s="1158"/>
      <c r="AM284" s="1157"/>
      <c r="AN284" s="1158"/>
      <c r="AO284" s="1157"/>
      <c r="AP284" s="1158"/>
      <c r="AQ284" s="1157"/>
      <c r="AR284" s="1158"/>
    </row>
    <row r="285" spans="1:44" ht="15" customHeight="1" thickBot="1">
      <c r="B285" s="1161"/>
      <c r="C285" s="1163"/>
      <c r="D285" s="1163"/>
      <c r="E285" s="1163"/>
      <c r="F285" s="1163"/>
      <c r="G285" s="1165"/>
      <c r="H285" s="1166"/>
      <c r="I285" s="1165"/>
      <c r="J285" s="1166"/>
      <c r="K285" s="1186"/>
      <c r="L285" s="1186"/>
      <c r="M285" s="366"/>
      <c r="N285" s="366"/>
      <c r="P285" s="1177"/>
      <c r="Q285" s="367"/>
      <c r="R285" s="367"/>
      <c r="S285" s="1174"/>
      <c r="T285" s="1159"/>
      <c r="U285" s="1160"/>
      <c r="V285" s="1159"/>
      <c r="W285" s="1160"/>
      <c r="X285" s="1159"/>
      <c r="Y285" s="1160"/>
      <c r="Z285" s="1159"/>
      <c r="AA285" s="1160"/>
      <c r="AB285" s="1159"/>
      <c r="AC285" s="1160"/>
      <c r="AE285" s="1177"/>
      <c r="AF285" s="367"/>
      <c r="AG285" s="367"/>
      <c r="AH285" s="1174"/>
      <c r="AI285" s="1159"/>
      <c r="AJ285" s="1160"/>
      <c r="AK285" s="1159"/>
      <c r="AL285" s="1160"/>
      <c r="AM285" s="1159"/>
      <c r="AN285" s="1160"/>
      <c r="AO285" s="1159"/>
      <c r="AP285" s="1160"/>
      <c r="AQ285" s="1159"/>
      <c r="AR285" s="1160"/>
    </row>
    <row r="286" spans="1:44" ht="15" customHeight="1" thickBot="1">
      <c r="B286" s="1162"/>
      <c r="C286" s="1164"/>
      <c r="D286" s="1164"/>
      <c r="E286" s="1164"/>
      <c r="F286" s="1164"/>
      <c r="G286" s="405"/>
      <c r="H286" s="405"/>
      <c r="I286" s="405"/>
      <c r="J286" s="405"/>
      <c r="K286" s="1187"/>
      <c r="L286" s="1187"/>
      <c r="M286" s="369"/>
      <c r="N286" s="369"/>
      <c r="P286" s="1178"/>
      <c r="Q286" s="1180"/>
      <c r="R286" s="1181"/>
      <c r="S286" s="1175"/>
      <c r="T286" s="1159"/>
      <c r="U286" s="1160"/>
      <c r="V286" s="1159"/>
      <c r="W286" s="1160"/>
      <c r="X286" s="1159"/>
      <c r="Y286" s="1160"/>
      <c r="Z286" s="1159"/>
      <c r="AA286" s="1160"/>
      <c r="AB286" s="1159"/>
      <c r="AC286" s="1160"/>
      <c r="AE286" s="1178"/>
      <c r="AF286" s="1180"/>
      <c r="AG286" s="1181"/>
      <c r="AH286" s="1175"/>
      <c r="AI286" s="1159"/>
      <c r="AJ286" s="1160"/>
      <c r="AK286" s="1159"/>
      <c r="AL286" s="1160"/>
      <c r="AM286" s="1159"/>
      <c r="AN286" s="1160"/>
      <c r="AO286" s="1159"/>
      <c r="AP286" s="1160"/>
      <c r="AQ286" s="1159"/>
      <c r="AR286" s="1160"/>
    </row>
    <row r="287" spans="1:44" ht="15" thickBot="1">
      <c r="B287" s="370"/>
      <c r="C287" s="371"/>
      <c r="D287" s="371"/>
      <c r="E287" s="371"/>
      <c r="F287" s="371"/>
      <c r="G287" s="371"/>
      <c r="H287" s="371"/>
      <c r="I287" s="371"/>
      <c r="J287" s="371"/>
      <c r="K287" s="371"/>
      <c r="L287" s="372"/>
      <c r="M287" s="369"/>
      <c r="N287" s="369"/>
      <c r="O287" s="74"/>
      <c r="P287" s="1179"/>
      <c r="Q287" s="1176"/>
      <c r="R287" s="1182"/>
      <c r="S287" s="1176"/>
      <c r="T287" s="373"/>
      <c r="U287" s="374"/>
      <c r="V287" s="373"/>
      <c r="W287" s="374"/>
      <c r="X287" s="373"/>
      <c r="Y287" s="374"/>
      <c r="Z287" s="373"/>
      <c r="AA287" s="374"/>
      <c r="AB287" s="373"/>
      <c r="AC287" s="374"/>
      <c r="AE287" s="1179"/>
      <c r="AF287" s="1176"/>
      <c r="AG287" s="1182"/>
      <c r="AH287" s="1176"/>
      <c r="AI287" s="373"/>
      <c r="AJ287" s="374"/>
      <c r="AK287" s="373"/>
      <c r="AL287" s="374"/>
      <c r="AM287" s="373"/>
      <c r="AN287" s="374"/>
      <c r="AO287" s="373"/>
      <c r="AP287" s="374"/>
      <c r="AQ287" s="373"/>
      <c r="AR287" s="374"/>
    </row>
    <row r="288" spans="1:44" ht="14.55" customHeight="1">
      <c r="B288" s="573"/>
      <c r="C288" s="574"/>
      <c r="D288" s="574"/>
      <c r="E288" s="574"/>
      <c r="F288" s="574"/>
      <c r="G288" s="575"/>
      <c r="H288" s="575"/>
      <c r="I288" s="575"/>
      <c r="J288" s="575"/>
      <c r="K288" s="371"/>
      <c r="L288" s="372"/>
      <c r="M288" s="369"/>
      <c r="N288" s="369"/>
      <c r="P288" s="1145"/>
      <c r="Q288" s="1151"/>
      <c r="R288" s="380"/>
      <c r="S288" s="381"/>
      <c r="T288" s="1134"/>
      <c r="U288" s="1148"/>
      <c r="V288" s="1134"/>
      <c r="W288" s="1148"/>
      <c r="X288" s="1134"/>
      <c r="Y288" s="1148"/>
      <c r="Z288" s="1134"/>
      <c r="AA288" s="1148"/>
      <c r="AB288" s="1154"/>
      <c r="AC288" s="1148"/>
      <c r="AE288" s="1145"/>
      <c r="AF288" s="1151"/>
      <c r="AG288" s="380"/>
      <c r="AH288" s="381"/>
      <c r="AI288" s="1134"/>
      <c r="AJ288" s="1148"/>
      <c r="AK288" s="1134"/>
      <c r="AL288" s="1148"/>
      <c r="AM288" s="1134"/>
      <c r="AN288" s="1148"/>
      <c r="AO288" s="1134"/>
      <c r="AP288" s="1148"/>
      <c r="AQ288" s="1154"/>
      <c r="AR288" s="1148"/>
    </row>
    <row r="289" spans="2:44">
      <c r="B289" s="382"/>
      <c r="C289" s="576"/>
      <c r="D289" s="576"/>
      <c r="E289" s="576"/>
      <c r="F289" s="576"/>
      <c r="G289" s="575"/>
      <c r="H289" s="575"/>
      <c r="I289" s="575"/>
      <c r="J289" s="575"/>
      <c r="K289" s="371"/>
      <c r="L289" s="372"/>
      <c r="M289" s="369"/>
      <c r="N289" s="369"/>
      <c r="O289" s="71"/>
      <c r="P289" s="1146"/>
      <c r="Q289" s="1152"/>
      <c r="R289" s="387"/>
      <c r="S289" s="388"/>
      <c r="T289" s="1137"/>
      <c r="U289" s="1149"/>
      <c r="V289" s="1137"/>
      <c r="W289" s="1149"/>
      <c r="X289" s="1137"/>
      <c r="Y289" s="1149"/>
      <c r="Z289" s="1137"/>
      <c r="AA289" s="1149"/>
      <c r="AB289" s="1155"/>
      <c r="AC289" s="1149"/>
      <c r="AE289" s="1146"/>
      <c r="AF289" s="1152"/>
      <c r="AG289" s="387"/>
      <c r="AH289" s="388"/>
      <c r="AI289" s="1137"/>
      <c r="AJ289" s="1149"/>
      <c r="AK289" s="1137"/>
      <c r="AL289" s="1149"/>
      <c r="AM289" s="1137"/>
      <c r="AN289" s="1149"/>
      <c r="AO289" s="1137"/>
      <c r="AP289" s="1149"/>
      <c r="AQ289" s="1155"/>
      <c r="AR289" s="1149"/>
    </row>
    <row r="290" spans="2:44" ht="15" thickBot="1">
      <c r="B290" s="573"/>
      <c r="C290" s="577"/>
      <c r="D290" s="577"/>
      <c r="E290" s="577"/>
      <c r="F290" s="577"/>
      <c r="G290" s="577"/>
      <c r="H290" s="577"/>
      <c r="I290" s="577"/>
      <c r="J290" s="577"/>
      <c r="K290" s="578"/>
      <c r="L290" s="579"/>
      <c r="M290" s="369"/>
      <c r="N290" s="369"/>
      <c r="O290" s="71"/>
      <c r="P290" s="1146"/>
      <c r="Q290" s="1153"/>
      <c r="R290" s="392"/>
      <c r="S290" s="393"/>
      <c r="T290" s="1138"/>
      <c r="U290" s="1150"/>
      <c r="V290" s="1138"/>
      <c r="W290" s="1150"/>
      <c r="X290" s="1138"/>
      <c r="Y290" s="1150"/>
      <c r="Z290" s="1138"/>
      <c r="AA290" s="1150"/>
      <c r="AB290" s="1156"/>
      <c r="AC290" s="1150"/>
      <c r="AE290" s="1146"/>
      <c r="AF290" s="1153"/>
      <c r="AG290" s="392"/>
      <c r="AH290" s="393"/>
      <c r="AI290" s="1138"/>
      <c r="AJ290" s="1150"/>
      <c r="AK290" s="1138"/>
      <c r="AL290" s="1150"/>
      <c r="AM290" s="1138"/>
      <c r="AN290" s="1150"/>
      <c r="AO290" s="1138"/>
      <c r="AP290" s="1150"/>
      <c r="AQ290" s="1156"/>
      <c r="AR290" s="1150"/>
    </row>
    <row r="291" spans="2:44" ht="14.55" customHeight="1">
      <c r="B291" s="573"/>
      <c r="C291" s="580"/>
      <c r="D291" s="580"/>
      <c r="E291" s="580"/>
      <c r="F291" s="580"/>
      <c r="G291" s="580"/>
      <c r="H291" s="580"/>
      <c r="I291" s="580"/>
      <c r="J291" s="580"/>
      <c r="K291" s="578"/>
      <c r="L291" s="579"/>
      <c r="M291" s="369"/>
      <c r="N291" s="369"/>
      <c r="O291" s="71"/>
      <c r="P291" s="1146"/>
      <c r="Q291" s="1142"/>
      <c r="R291" s="394"/>
      <c r="S291" s="395"/>
      <c r="T291" s="1134"/>
      <c r="U291" s="1134"/>
      <c r="V291" s="1134"/>
      <c r="W291" s="1134"/>
      <c r="X291" s="1134"/>
      <c r="Y291" s="1134"/>
      <c r="Z291" s="1134"/>
      <c r="AA291" s="1134"/>
      <c r="AB291" s="1134"/>
      <c r="AC291" s="1134"/>
      <c r="AE291" s="1146"/>
      <c r="AF291" s="1142"/>
      <c r="AG291" s="394"/>
      <c r="AH291" s="395"/>
      <c r="AI291" s="1134"/>
      <c r="AJ291" s="1134"/>
      <c r="AK291" s="1134"/>
      <c r="AL291" s="1134"/>
      <c r="AM291" s="1134"/>
      <c r="AN291" s="1134"/>
      <c r="AO291" s="1134"/>
      <c r="AP291" s="1134"/>
      <c r="AQ291" s="1134"/>
      <c r="AR291" s="1134"/>
    </row>
    <row r="292" spans="2:44">
      <c r="B292" s="573"/>
      <c r="C292" s="581"/>
      <c r="D292" s="581"/>
      <c r="E292" s="581"/>
      <c r="F292" s="581"/>
      <c r="G292" s="581"/>
      <c r="H292" s="581"/>
      <c r="I292" s="581"/>
      <c r="J292" s="581"/>
      <c r="K292" s="578"/>
      <c r="L292" s="579"/>
      <c r="M292" s="366"/>
      <c r="N292" s="366"/>
      <c r="O292" s="71"/>
      <c r="P292" s="1146"/>
      <c r="Q292" s="1143"/>
      <c r="R292" s="394"/>
      <c r="S292" s="395"/>
      <c r="T292" s="1135"/>
      <c r="U292" s="1135"/>
      <c r="V292" s="1135"/>
      <c r="W292" s="1135"/>
      <c r="X292" s="1135"/>
      <c r="Y292" s="1135"/>
      <c r="Z292" s="1135"/>
      <c r="AA292" s="1135"/>
      <c r="AB292" s="1137"/>
      <c r="AC292" s="1135"/>
      <c r="AE292" s="1146"/>
      <c r="AF292" s="1143"/>
      <c r="AG292" s="394"/>
      <c r="AH292" s="395"/>
      <c r="AI292" s="1135"/>
      <c r="AJ292" s="1135"/>
      <c r="AK292" s="1135"/>
      <c r="AL292" s="1135"/>
      <c r="AM292" s="1135"/>
      <c r="AN292" s="1135"/>
      <c r="AO292" s="1135"/>
      <c r="AP292" s="1135"/>
      <c r="AQ292" s="1137"/>
      <c r="AR292" s="1135"/>
    </row>
    <row r="293" spans="2:44">
      <c r="B293" s="382"/>
      <c r="C293" s="396"/>
      <c r="D293" s="396"/>
      <c r="E293" s="396"/>
      <c r="F293" s="396"/>
      <c r="G293" s="397"/>
      <c r="H293" s="397"/>
      <c r="I293" s="397"/>
      <c r="J293" s="397"/>
      <c r="K293" s="371"/>
      <c r="L293" s="372"/>
      <c r="M293" s="362"/>
      <c r="N293" s="362"/>
      <c r="P293" s="1146"/>
      <c r="Q293" s="1143"/>
      <c r="R293" s="394"/>
      <c r="S293" s="395"/>
      <c r="T293" s="1135"/>
      <c r="U293" s="1135"/>
      <c r="V293" s="1135"/>
      <c r="W293" s="1135"/>
      <c r="X293" s="1135"/>
      <c r="Y293" s="1135"/>
      <c r="Z293" s="1135"/>
      <c r="AA293" s="1135"/>
      <c r="AB293" s="1137"/>
      <c r="AC293" s="1135"/>
      <c r="AE293" s="1146"/>
      <c r="AF293" s="1143"/>
      <c r="AG293" s="394"/>
      <c r="AH293" s="395"/>
      <c r="AI293" s="1135"/>
      <c r="AJ293" s="1135"/>
      <c r="AK293" s="1135"/>
      <c r="AL293" s="1135"/>
      <c r="AM293" s="1135"/>
      <c r="AN293" s="1135"/>
      <c r="AO293" s="1135"/>
      <c r="AP293" s="1135"/>
      <c r="AQ293" s="1137"/>
      <c r="AR293" s="1135"/>
    </row>
    <row r="294" spans="2:44" ht="15" thickBot="1">
      <c r="B294" s="573"/>
      <c r="C294" s="581"/>
      <c r="D294" s="581"/>
      <c r="E294" s="581"/>
      <c r="F294" s="581"/>
      <c r="G294" s="581"/>
      <c r="H294" s="581"/>
      <c r="I294" s="581"/>
      <c r="J294" s="581"/>
      <c r="K294" s="371"/>
      <c r="L294" s="372"/>
      <c r="M294" s="362"/>
      <c r="N294" s="362"/>
      <c r="P294" s="1146"/>
      <c r="Q294" s="1143"/>
      <c r="R294" s="394"/>
      <c r="S294" s="395"/>
      <c r="T294" s="1135"/>
      <c r="U294" s="1135"/>
      <c r="V294" s="1135"/>
      <c r="W294" s="1135"/>
      <c r="X294" s="1135"/>
      <c r="Y294" s="1135"/>
      <c r="Z294" s="1135"/>
      <c r="AA294" s="1135"/>
      <c r="AB294" s="1137"/>
      <c r="AC294" s="1135"/>
      <c r="AE294" s="1146"/>
      <c r="AF294" s="1143"/>
      <c r="AG294" s="394"/>
      <c r="AH294" s="395"/>
      <c r="AI294" s="1135"/>
      <c r="AJ294" s="1135"/>
      <c r="AK294" s="1135"/>
      <c r="AL294" s="1135"/>
      <c r="AM294" s="1135"/>
      <c r="AN294" s="1135"/>
      <c r="AO294" s="1135"/>
      <c r="AP294" s="1135"/>
      <c r="AQ294" s="1137"/>
      <c r="AR294" s="1135"/>
    </row>
    <row r="295" spans="2:44" ht="15" thickBot="1">
      <c r="B295" s="400"/>
      <c r="C295" s="582"/>
      <c r="D295" s="583"/>
      <c r="E295" s="584"/>
      <c r="F295" s="585"/>
      <c r="G295" s="405"/>
      <c r="H295" s="405"/>
      <c r="I295" s="405"/>
      <c r="J295" s="405"/>
      <c r="K295" s="406"/>
      <c r="L295" s="586"/>
      <c r="M295" s="362"/>
      <c r="N295" s="362"/>
      <c r="P295" s="1146"/>
      <c r="Q295" s="1144"/>
      <c r="R295" s="408"/>
      <c r="S295" s="409"/>
      <c r="T295" s="1136"/>
      <c r="U295" s="1136"/>
      <c r="V295" s="1136"/>
      <c r="W295" s="1136"/>
      <c r="X295" s="1136"/>
      <c r="Y295" s="1136"/>
      <c r="Z295" s="1136"/>
      <c r="AA295" s="1136"/>
      <c r="AB295" s="1138"/>
      <c r="AC295" s="1136"/>
      <c r="AE295" s="1146"/>
      <c r="AF295" s="1144"/>
      <c r="AG295" s="408"/>
      <c r="AH295" s="409"/>
      <c r="AI295" s="1136"/>
      <c r="AJ295" s="1136"/>
      <c r="AK295" s="1136"/>
      <c r="AL295" s="1136"/>
      <c r="AM295" s="1136"/>
      <c r="AN295" s="1136"/>
      <c r="AO295" s="1136"/>
      <c r="AP295" s="1136"/>
      <c r="AQ295" s="1138"/>
      <c r="AR295" s="1136"/>
    </row>
    <row r="296" spans="2:44" ht="15" thickBot="1">
      <c r="B296" s="573"/>
      <c r="C296" s="587"/>
      <c r="D296" s="587"/>
      <c r="E296" s="587"/>
      <c r="F296" s="587"/>
      <c r="G296" s="588"/>
      <c r="H296" s="588"/>
      <c r="I296" s="589"/>
      <c r="J296" s="589"/>
      <c r="K296" s="578"/>
      <c r="L296" s="579"/>
      <c r="M296" s="362"/>
      <c r="N296" s="362"/>
      <c r="P296" s="1147"/>
      <c r="Q296" s="410"/>
      <c r="R296" s="411"/>
      <c r="S296" s="412"/>
      <c r="T296" s="590"/>
      <c r="U296" s="591"/>
      <c r="V296" s="592"/>
      <c r="W296" s="591"/>
      <c r="X296" s="592"/>
      <c r="Y296" s="591"/>
      <c r="Z296" s="592"/>
      <c r="AA296" s="591"/>
      <c r="AB296" s="592"/>
      <c r="AC296" s="593"/>
      <c r="AE296" s="1147"/>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5" thickBot="1">
      <c r="B304" s="428"/>
      <c r="C304" s="396"/>
      <c r="D304" s="396"/>
      <c r="E304" s="396"/>
      <c r="F304" s="396"/>
      <c r="G304" s="424"/>
      <c r="H304" s="424"/>
      <c r="I304" s="424"/>
      <c r="J304" s="424"/>
      <c r="K304" s="422"/>
      <c r="L304" s="426"/>
      <c r="M304" s="427"/>
      <c r="N304" s="427"/>
    </row>
    <row r="305" spans="1:30" ht="15"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39"/>
      <c r="Q310" s="1140"/>
      <c r="R310" s="1140"/>
      <c r="S310" s="1140"/>
      <c r="T310" s="1140"/>
      <c r="U310" s="1141"/>
    </row>
    <row r="311" spans="1:30" ht="15" thickBot="1">
      <c r="B311" s="540"/>
      <c r="C311" s="551"/>
      <c r="D311" s="551"/>
      <c r="E311" s="551"/>
      <c r="F311" s="551"/>
      <c r="G311" s="552"/>
      <c r="H311" s="552"/>
      <c r="I311" s="552"/>
      <c r="J311" s="552"/>
      <c r="K311" s="546"/>
      <c r="L311" s="547"/>
      <c r="M311" s="449"/>
      <c r="N311" s="360"/>
      <c r="P311" s="1131"/>
      <c r="Q311" s="1132"/>
      <c r="R311" s="1132"/>
      <c r="S311" s="1132"/>
      <c r="T311" s="1132"/>
      <c r="U311" s="1133"/>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5"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5"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5"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B24F-7EE8-40A7-8C37-E2A73ED35705}">
  <sheetPr>
    <tabColor theme="3"/>
  </sheetPr>
  <dimension ref="A2:AR352"/>
  <sheetViews>
    <sheetView topLeftCell="G76" zoomScale="70" zoomScaleNormal="70" workbookViewId="0">
      <selection activeCell="AC106" sqref="AC106"/>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7" t="str">
        <f>C7</f>
        <v>Electric boiler, 10 kV, steam</v>
      </c>
    </row>
    <row r="4" spans="1:44" ht="25.05" customHeight="1">
      <c r="E4" s="224" t="s">
        <v>358</v>
      </c>
      <c r="F4" s="358">
        <v>7.45</v>
      </c>
      <c r="G4" s="358" t="s">
        <v>328</v>
      </c>
    </row>
    <row r="5" spans="1:44" ht="15" customHeight="1">
      <c r="A5" s="359" t="s">
        <v>930</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220" t="s">
        <v>923</v>
      </c>
      <c r="D7" s="1221"/>
      <c r="E7" s="1221"/>
      <c r="F7" s="1221"/>
      <c r="G7" s="1221"/>
      <c r="H7" s="1221"/>
      <c r="I7" s="1221"/>
      <c r="J7" s="1221"/>
      <c r="K7" s="1221"/>
      <c r="L7" s="1222"/>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customHeight="1" outlineLevel="1" thickBot="1">
      <c r="B8" s="1161" t="s">
        <v>4</v>
      </c>
      <c r="C8" s="1163">
        <v>2020</v>
      </c>
      <c r="D8" s="1163">
        <v>2030</v>
      </c>
      <c r="E8" s="1163">
        <v>2040</v>
      </c>
      <c r="F8" s="1163">
        <v>2050</v>
      </c>
      <c r="G8" s="1227" t="s">
        <v>684</v>
      </c>
      <c r="H8" s="1215"/>
      <c r="I8" s="1214" t="s">
        <v>628</v>
      </c>
      <c r="J8" s="1223"/>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225"/>
      <c r="C9" s="1226"/>
      <c r="D9" s="1226"/>
      <c r="E9" s="1226"/>
      <c r="F9" s="1226"/>
      <c r="G9" s="368" t="s">
        <v>629</v>
      </c>
      <c r="H9" s="368" t="s">
        <v>630</v>
      </c>
      <c r="I9" s="368" t="s">
        <v>629</v>
      </c>
      <c r="J9" s="368" t="s">
        <v>630</v>
      </c>
      <c r="K9" s="1224"/>
      <c r="L9" s="1224"/>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631</v>
      </c>
      <c r="C10" s="371">
        <v>15</v>
      </c>
      <c r="D10" s="371">
        <v>15</v>
      </c>
      <c r="E10" s="371">
        <v>15</v>
      </c>
      <c r="F10" s="371">
        <v>15</v>
      </c>
      <c r="G10" s="371">
        <v>10</v>
      </c>
      <c r="H10" s="371">
        <v>60</v>
      </c>
      <c r="I10" s="371">
        <v>10</v>
      </c>
      <c r="J10" s="371">
        <v>60</v>
      </c>
      <c r="K10" s="371" t="s">
        <v>6</v>
      </c>
      <c r="L10" s="372"/>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99</v>
      </c>
      <c r="D11" s="376">
        <v>99</v>
      </c>
      <c r="E11" s="377">
        <v>99</v>
      </c>
      <c r="F11" s="376">
        <v>99</v>
      </c>
      <c r="G11" s="376">
        <v>98</v>
      </c>
      <c r="H11" s="376">
        <v>100</v>
      </c>
      <c r="I11" s="376">
        <v>98</v>
      </c>
      <c r="J11" s="376">
        <v>100</v>
      </c>
      <c r="K11" s="378"/>
      <c r="L11" s="379" t="s">
        <v>924</v>
      </c>
      <c r="M11" s="369"/>
      <c r="N11" s="369"/>
      <c r="P11" s="1196" t="str">
        <f>C7</f>
        <v>Electric boiler, 10 kV, steam</v>
      </c>
      <c r="Q11" s="1151" t="s">
        <v>693</v>
      </c>
      <c r="R11" s="380" t="s">
        <v>694</v>
      </c>
      <c r="S11" s="381" t="s">
        <v>805</v>
      </c>
      <c r="T11" s="1134">
        <v>0</v>
      </c>
      <c r="U11" s="1148">
        <v>1</v>
      </c>
      <c r="V11" s="1154">
        <v>0</v>
      </c>
      <c r="W11" s="1148">
        <v>1</v>
      </c>
      <c r="X11" s="1154">
        <v>0</v>
      </c>
      <c r="Y11" s="1148">
        <v>1</v>
      </c>
      <c r="Z11" s="1154">
        <v>0</v>
      </c>
      <c r="AA11" s="1148">
        <v>1</v>
      </c>
      <c r="AB11" s="1154">
        <v>0</v>
      </c>
      <c r="AC11" s="1148">
        <v>1</v>
      </c>
      <c r="AE11" s="1145" t="str">
        <f>P11</f>
        <v>Electric boiler, 10 kV, steam</v>
      </c>
      <c r="AF11" s="1151" t="s">
        <v>693</v>
      </c>
      <c r="AG11" s="380" t="s">
        <v>694</v>
      </c>
      <c r="AH11" s="381" t="str">
        <f t="shared" ref="AH11:AR14" si="0">S11</f>
        <v/>
      </c>
      <c r="AI11" s="1134">
        <f t="shared" si="0"/>
        <v>0</v>
      </c>
      <c r="AJ11" s="1148">
        <f t="shared" si="0"/>
        <v>1</v>
      </c>
      <c r="AK11" s="1154">
        <f t="shared" si="0"/>
        <v>0</v>
      </c>
      <c r="AL11" s="1148">
        <f t="shared" si="0"/>
        <v>1</v>
      </c>
      <c r="AM11" s="1154">
        <f t="shared" si="0"/>
        <v>0</v>
      </c>
      <c r="AN11" s="1148">
        <f t="shared" si="0"/>
        <v>1</v>
      </c>
      <c r="AO11" s="1154">
        <f t="shared" si="0"/>
        <v>0</v>
      </c>
      <c r="AP11" s="1148">
        <f t="shared" si="0"/>
        <v>1</v>
      </c>
      <c r="AQ11" s="1154">
        <f t="shared" si="0"/>
        <v>0</v>
      </c>
      <c r="AR11" s="1148">
        <f t="shared" si="0"/>
        <v>1</v>
      </c>
    </row>
    <row r="12" spans="1:44" ht="32.549999999999997" customHeight="1" outlineLevel="1">
      <c r="B12" s="382" t="s">
        <v>695</v>
      </c>
      <c r="C12" s="576">
        <v>99</v>
      </c>
      <c r="D12" s="576">
        <v>99</v>
      </c>
      <c r="E12" s="576">
        <v>99</v>
      </c>
      <c r="F12" s="576">
        <v>99</v>
      </c>
      <c r="G12" s="640">
        <v>98</v>
      </c>
      <c r="H12" s="640">
        <v>99</v>
      </c>
      <c r="I12" s="640">
        <v>98</v>
      </c>
      <c r="J12" s="640">
        <v>99</v>
      </c>
      <c r="K12" s="385"/>
      <c r="L12" s="386" t="s">
        <v>924</v>
      </c>
      <c r="M12" s="369"/>
      <c r="N12" s="369"/>
      <c r="O12" s="71"/>
      <c r="P12" s="1192"/>
      <c r="Q12" s="1152"/>
      <c r="R12" s="387" t="s">
        <v>696</v>
      </c>
      <c r="S12" s="388" t="s">
        <v>805</v>
      </c>
      <c r="T12" s="1137"/>
      <c r="U12" s="1149"/>
      <c r="V12" s="1155"/>
      <c r="W12" s="1149"/>
      <c r="X12" s="1155"/>
      <c r="Y12" s="1149"/>
      <c r="Z12" s="1155"/>
      <c r="AA12" s="1149"/>
      <c r="AB12" s="1155"/>
      <c r="AC12" s="1149"/>
      <c r="AE12" s="1192"/>
      <c r="AF12" s="1152"/>
      <c r="AG12" s="387" t="s">
        <v>696</v>
      </c>
      <c r="AH12" s="388" t="str">
        <f t="shared" si="0"/>
        <v/>
      </c>
      <c r="AI12" s="1137"/>
      <c r="AJ12" s="1149"/>
      <c r="AK12" s="1155"/>
      <c r="AL12" s="1149"/>
      <c r="AM12" s="1155"/>
      <c r="AN12" s="1149"/>
      <c r="AO12" s="1155"/>
      <c r="AP12" s="1149"/>
      <c r="AQ12" s="1155"/>
      <c r="AR12" s="1149"/>
    </row>
    <row r="13" spans="1:44" ht="15" outlineLevel="1" thickBot="1">
      <c r="B13" s="375" t="s">
        <v>697</v>
      </c>
      <c r="C13" s="389">
        <v>0.5</v>
      </c>
      <c r="D13" s="390">
        <v>0.5</v>
      </c>
      <c r="E13" s="390">
        <v>0.5</v>
      </c>
      <c r="F13" s="391">
        <v>0.5</v>
      </c>
      <c r="G13" s="390">
        <v>0.1</v>
      </c>
      <c r="H13" s="390">
        <v>0.5</v>
      </c>
      <c r="I13" s="390">
        <v>0.1</v>
      </c>
      <c r="J13" s="390">
        <v>0.5</v>
      </c>
      <c r="K13" s="378"/>
      <c r="L13" s="379" t="s">
        <v>924</v>
      </c>
      <c r="M13" s="369"/>
      <c r="N13" s="369"/>
      <c r="O13" s="71"/>
      <c r="P13" s="1192"/>
      <c r="Q13" s="1153"/>
      <c r="R13" s="392" t="s">
        <v>698</v>
      </c>
      <c r="S13" s="393" t="s">
        <v>701</v>
      </c>
      <c r="T13" s="1138"/>
      <c r="U13" s="1150"/>
      <c r="V13" s="1156"/>
      <c r="W13" s="1150"/>
      <c r="X13" s="1156"/>
      <c r="Y13" s="1150"/>
      <c r="Z13" s="1156"/>
      <c r="AA13" s="1150"/>
      <c r="AB13" s="1156"/>
      <c r="AC13" s="1150"/>
      <c r="AE13" s="1192"/>
      <c r="AF13" s="1153"/>
      <c r="AG13" s="392" t="s">
        <v>698</v>
      </c>
      <c r="AH13" s="393" t="str">
        <f t="shared" si="0"/>
        <v>x</v>
      </c>
      <c r="AI13" s="1138"/>
      <c r="AJ13" s="1150"/>
      <c r="AK13" s="1156"/>
      <c r="AL13" s="1150"/>
      <c r="AM13" s="1156"/>
      <c r="AN13" s="1150"/>
      <c r="AO13" s="1156"/>
      <c r="AP13" s="1150"/>
      <c r="AQ13" s="1156"/>
      <c r="AR13" s="1150"/>
    </row>
    <row r="14" spans="1:44" ht="15" customHeight="1" outlineLevel="1">
      <c r="B14" s="375" t="s">
        <v>637</v>
      </c>
      <c r="C14" s="389">
        <v>1</v>
      </c>
      <c r="D14" s="389">
        <v>1</v>
      </c>
      <c r="E14" s="389">
        <v>1</v>
      </c>
      <c r="F14" s="389">
        <v>1</v>
      </c>
      <c r="G14" s="389">
        <v>0.5</v>
      </c>
      <c r="H14" s="389">
        <v>1</v>
      </c>
      <c r="I14" s="389">
        <v>0.5</v>
      </c>
      <c r="J14" s="389">
        <v>1</v>
      </c>
      <c r="K14" s="378"/>
      <c r="L14" s="379" t="s">
        <v>924</v>
      </c>
      <c r="M14" s="369"/>
      <c r="N14" s="369"/>
      <c r="O14" s="71"/>
      <c r="P14" s="1192"/>
      <c r="Q14" s="1151" t="s">
        <v>699</v>
      </c>
      <c r="R14" s="394" t="s">
        <v>700</v>
      </c>
      <c r="S14" s="395" t="s">
        <v>701</v>
      </c>
      <c r="T14" s="1134">
        <v>0</v>
      </c>
      <c r="U14" s="1134">
        <v>1</v>
      </c>
      <c r="V14" s="1134">
        <v>0</v>
      </c>
      <c r="W14" s="1134">
        <v>1</v>
      </c>
      <c r="X14" s="1134">
        <v>0</v>
      </c>
      <c r="Y14" s="1134">
        <v>1</v>
      </c>
      <c r="Z14" s="1134">
        <v>0</v>
      </c>
      <c r="AA14" s="1134">
        <v>1</v>
      </c>
      <c r="AB14" s="1134">
        <v>0</v>
      </c>
      <c r="AC14" s="1148">
        <v>1</v>
      </c>
      <c r="AE14" s="1192"/>
      <c r="AF14" s="1151" t="s">
        <v>699</v>
      </c>
      <c r="AG14" s="394" t="s">
        <v>700</v>
      </c>
      <c r="AH14" s="395" t="str">
        <f t="shared" si="0"/>
        <v>x</v>
      </c>
      <c r="AI14" s="1134">
        <f t="shared" si="0"/>
        <v>0</v>
      </c>
      <c r="AJ14" s="1134">
        <f t="shared" si="0"/>
        <v>1</v>
      </c>
      <c r="AK14" s="1134">
        <f t="shared" si="0"/>
        <v>0</v>
      </c>
      <c r="AL14" s="1134">
        <f t="shared" si="0"/>
        <v>1</v>
      </c>
      <c r="AM14" s="1134">
        <f t="shared" si="0"/>
        <v>0</v>
      </c>
      <c r="AN14" s="1134">
        <f t="shared" si="0"/>
        <v>1</v>
      </c>
      <c r="AO14" s="1134">
        <f t="shared" si="0"/>
        <v>0</v>
      </c>
      <c r="AP14" s="1134">
        <f t="shared" si="0"/>
        <v>1</v>
      </c>
      <c r="AQ14" s="1134">
        <f t="shared" si="0"/>
        <v>0</v>
      </c>
      <c r="AR14" s="1148">
        <f t="shared" si="0"/>
        <v>1</v>
      </c>
    </row>
    <row r="15" spans="1:44" outlineLevel="1">
      <c r="B15" s="375" t="s">
        <v>638</v>
      </c>
      <c r="C15" s="389">
        <v>0.2</v>
      </c>
      <c r="D15" s="389">
        <v>0.2</v>
      </c>
      <c r="E15" s="389">
        <v>0.2</v>
      </c>
      <c r="F15" s="389">
        <v>0.2</v>
      </c>
      <c r="G15" s="389">
        <v>0.2</v>
      </c>
      <c r="H15" s="389">
        <v>0.2</v>
      </c>
      <c r="I15" s="389">
        <v>0.2</v>
      </c>
      <c r="J15" s="389">
        <v>0.2</v>
      </c>
      <c r="K15" s="378"/>
      <c r="L15" s="379">
        <v>2</v>
      </c>
      <c r="M15" s="366"/>
      <c r="N15" s="366"/>
      <c r="O15" s="71"/>
      <c r="P15" s="1192"/>
      <c r="Q15" s="1152"/>
      <c r="R15" s="394" t="s">
        <v>702</v>
      </c>
      <c r="S15" s="395" t="s">
        <v>701</v>
      </c>
      <c r="T15" s="1188"/>
      <c r="U15" s="1188"/>
      <c r="V15" s="1188"/>
      <c r="W15" s="1188"/>
      <c r="X15" s="1188"/>
      <c r="Y15" s="1188"/>
      <c r="Z15" s="1188"/>
      <c r="AA15" s="1188"/>
      <c r="AB15" s="1188"/>
      <c r="AC15" s="1190"/>
      <c r="AE15" s="1192"/>
      <c r="AF15" s="1152"/>
      <c r="AG15" s="394" t="s">
        <v>702</v>
      </c>
      <c r="AH15" s="395" t="str">
        <f>S15</f>
        <v>x</v>
      </c>
      <c r="AI15" s="1188"/>
      <c r="AJ15" s="1188"/>
      <c r="AK15" s="1188"/>
      <c r="AL15" s="1188"/>
      <c r="AM15" s="1188"/>
      <c r="AN15" s="1188"/>
      <c r="AO15" s="1188"/>
      <c r="AP15" s="1188"/>
      <c r="AQ15" s="1188"/>
      <c r="AR15" s="1190"/>
    </row>
    <row r="16" spans="1:44" outlineLevel="1">
      <c r="B16" s="382" t="s">
        <v>11</v>
      </c>
      <c r="C16" s="396">
        <v>25</v>
      </c>
      <c r="D16" s="396">
        <v>25</v>
      </c>
      <c r="E16" s="396">
        <v>25</v>
      </c>
      <c r="F16" s="396">
        <v>25</v>
      </c>
      <c r="G16" s="397">
        <v>20</v>
      </c>
      <c r="H16" s="397">
        <v>25</v>
      </c>
      <c r="I16" s="397">
        <v>20</v>
      </c>
      <c r="J16" s="397">
        <v>25</v>
      </c>
      <c r="K16" s="371"/>
      <c r="L16" s="372">
        <v>2</v>
      </c>
      <c r="M16" s="362"/>
      <c r="N16" s="362"/>
      <c r="P16" s="1192"/>
      <c r="Q16" s="1152"/>
      <c r="R16" s="394" t="s">
        <v>704</v>
      </c>
      <c r="S16" s="395" t="s">
        <v>701</v>
      </c>
      <c r="T16" s="1188"/>
      <c r="U16" s="1188"/>
      <c r="V16" s="1188"/>
      <c r="W16" s="1188"/>
      <c r="X16" s="1188"/>
      <c r="Y16" s="1188"/>
      <c r="Z16" s="1188"/>
      <c r="AA16" s="1188"/>
      <c r="AB16" s="1188"/>
      <c r="AC16" s="1190"/>
      <c r="AE16" s="1192"/>
      <c r="AF16" s="1152"/>
      <c r="AG16" s="394" t="s">
        <v>704</v>
      </c>
      <c r="AH16" s="628" t="str">
        <f>S16</f>
        <v>x</v>
      </c>
      <c r="AI16" s="1188"/>
      <c r="AJ16" s="1188"/>
      <c r="AK16" s="1188"/>
      <c r="AL16" s="1188"/>
      <c r="AM16" s="1188"/>
      <c r="AN16" s="1188"/>
      <c r="AO16" s="1188"/>
      <c r="AP16" s="1188"/>
      <c r="AQ16" s="1188"/>
      <c r="AR16" s="1190"/>
    </row>
    <row r="17" spans="1:44" ht="15" outlineLevel="1" thickBot="1">
      <c r="B17" s="375" t="s">
        <v>273</v>
      </c>
      <c r="C17" s="398">
        <v>0.5</v>
      </c>
      <c r="D17" s="398">
        <v>0.5</v>
      </c>
      <c r="E17" s="398">
        <v>0.5</v>
      </c>
      <c r="F17" s="398">
        <v>0.5</v>
      </c>
      <c r="G17" s="398">
        <v>0.5</v>
      </c>
      <c r="H17" s="398">
        <v>1</v>
      </c>
      <c r="I17" s="398">
        <v>0.5</v>
      </c>
      <c r="J17" s="398">
        <v>1</v>
      </c>
      <c r="K17" s="371"/>
      <c r="L17" s="399">
        <v>1</v>
      </c>
      <c r="M17" s="362"/>
      <c r="N17" s="362"/>
      <c r="P17" s="1192"/>
      <c r="Q17" s="1152"/>
      <c r="R17" s="394" t="s">
        <v>705</v>
      </c>
      <c r="S17" s="395" t="s">
        <v>701</v>
      </c>
      <c r="T17" s="1188"/>
      <c r="U17" s="1188"/>
      <c r="V17" s="1188"/>
      <c r="W17" s="1188"/>
      <c r="X17" s="1188"/>
      <c r="Y17" s="1188"/>
      <c r="Z17" s="1188"/>
      <c r="AA17" s="1188"/>
      <c r="AB17" s="1188"/>
      <c r="AC17" s="1190"/>
      <c r="AE17" s="1192"/>
      <c r="AF17" s="1152"/>
      <c r="AG17" s="394" t="s">
        <v>705</v>
      </c>
      <c r="AH17" s="395" t="str">
        <f>S17</f>
        <v>x</v>
      </c>
      <c r="AI17" s="1188"/>
      <c r="AJ17" s="1188"/>
      <c r="AK17" s="1188"/>
      <c r="AL17" s="1188"/>
      <c r="AM17" s="1188"/>
      <c r="AN17" s="1188"/>
      <c r="AO17" s="1188"/>
      <c r="AP17" s="1188"/>
      <c r="AQ17" s="1188"/>
      <c r="AR17" s="1190"/>
    </row>
    <row r="18" spans="1:44" ht="15" outlineLevel="1" thickBot="1">
      <c r="B18" s="400" t="s">
        <v>706</v>
      </c>
      <c r="C18" s="401"/>
      <c r="D18" s="402"/>
      <c r="E18" s="403"/>
      <c r="F18" s="404"/>
      <c r="G18" s="405"/>
      <c r="H18" s="405"/>
      <c r="I18" s="405"/>
      <c r="J18" s="405"/>
      <c r="K18" s="406"/>
      <c r="L18" s="407"/>
      <c r="M18" s="362"/>
      <c r="N18" s="362"/>
      <c r="P18" s="1192"/>
      <c r="Q18" s="1153"/>
      <c r="R18" s="408" t="s">
        <v>826</v>
      </c>
      <c r="S18" s="409" t="s">
        <v>701</v>
      </c>
      <c r="T18" s="1189"/>
      <c r="U18" s="1189"/>
      <c r="V18" s="1189"/>
      <c r="W18" s="1189"/>
      <c r="X18" s="1189"/>
      <c r="Y18" s="1189"/>
      <c r="Z18" s="1189"/>
      <c r="AA18" s="1189"/>
      <c r="AB18" s="1189"/>
      <c r="AC18" s="1191"/>
      <c r="AE18" s="1192"/>
      <c r="AF18" s="1153"/>
      <c r="AG18" s="408" t="s">
        <v>826</v>
      </c>
      <c r="AH18" s="409" t="str">
        <f>S18</f>
        <v>x</v>
      </c>
      <c r="AI18" s="1189"/>
      <c r="AJ18" s="1189"/>
      <c r="AK18" s="1189"/>
      <c r="AL18" s="1189"/>
      <c r="AM18" s="1189"/>
      <c r="AN18" s="1189"/>
      <c r="AO18" s="1189"/>
      <c r="AP18" s="1189"/>
      <c r="AQ18" s="1189"/>
      <c r="AR18" s="1191"/>
    </row>
    <row r="19" spans="1:44" ht="29.4" outlineLevel="1" thickBot="1">
      <c r="B19" s="375" t="s">
        <v>643</v>
      </c>
      <c r="C19" s="389">
        <v>2</v>
      </c>
      <c r="D19" s="389">
        <v>2</v>
      </c>
      <c r="E19" s="389">
        <v>2</v>
      </c>
      <c r="F19" s="389">
        <v>2</v>
      </c>
      <c r="G19" s="390"/>
      <c r="H19" s="390"/>
      <c r="I19" s="390"/>
      <c r="J19" s="390"/>
      <c r="K19" s="378"/>
      <c r="L19" s="379">
        <v>2</v>
      </c>
      <c r="M19" s="362"/>
      <c r="N19" s="362"/>
      <c r="P19" s="1193"/>
      <c r="Q19" s="410" t="s">
        <v>708</v>
      </c>
      <c r="R19" s="411" t="s">
        <v>709</v>
      </c>
      <c r="S19" s="629" t="s">
        <v>701</v>
      </c>
      <c r="T19" s="415">
        <v>1</v>
      </c>
      <c r="U19" s="414">
        <v>1</v>
      </c>
      <c r="V19" s="415">
        <v>1</v>
      </c>
      <c r="W19" s="414">
        <v>1</v>
      </c>
      <c r="X19" s="415">
        <v>1</v>
      </c>
      <c r="Y19" s="414">
        <v>1</v>
      </c>
      <c r="Z19" s="415">
        <v>1</v>
      </c>
      <c r="AA19" s="414">
        <v>1</v>
      </c>
      <c r="AB19" s="415">
        <v>1</v>
      </c>
      <c r="AC19" s="416">
        <v>1</v>
      </c>
      <c r="AE19" s="1193"/>
      <c r="AF19" s="410" t="s">
        <v>708</v>
      </c>
      <c r="AG19" s="630" t="s">
        <v>709</v>
      </c>
      <c r="AH19" s="631" t="s">
        <v>701</v>
      </c>
      <c r="AI19" s="415">
        <v>1</v>
      </c>
      <c r="AJ19" s="414">
        <v>1</v>
      </c>
      <c r="AK19" s="415">
        <v>1</v>
      </c>
      <c r="AL19" s="414">
        <v>1</v>
      </c>
      <c r="AM19" s="415">
        <v>1</v>
      </c>
      <c r="AN19" s="414">
        <v>1</v>
      </c>
      <c r="AO19" s="415">
        <v>1</v>
      </c>
      <c r="AP19" s="414">
        <v>1</v>
      </c>
      <c r="AQ19" s="415">
        <v>1</v>
      </c>
      <c r="AR19" s="416">
        <v>1</v>
      </c>
    </row>
    <row r="20" spans="1:44" outlineLevel="1">
      <c r="B20" s="375" t="s">
        <v>644</v>
      </c>
      <c r="C20" s="389">
        <v>0.03</v>
      </c>
      <c r="D20" s="389">
        <v>0.03</v>
      </c>
      <c r="E20" s="389">
        <v>0.03</v>
      </c>
      <c r="F20" s="389">
        <v>0.03</v>
      </c>
      <c r="G20" s="417"/>
      <c r="H20" s="417"/>
      <c r="I20" s="417"/>
      <c r="J20" s="417"/>
      <c r="K20" s="418"/>
      <c r="L20" s="379">
        <v>2</v>
      </c>
      <c r="M20" s="362"/>
      <c r="N20" s="362"/>
    </row>
    <row r="21" spans="1:44" outlineLevel="1">
      <c r="B21" s="375" t="s">
        <v>646</v>
      </c>
      <c r="C21" s="389">
        <v>0.17</v>
      </c>
      <c r="D21" s="389">
        <v>0.17</v>
      </c>
      <c r="E21" s="389">
        <v>0.17</v>
      </c>
      <c r="F21" s="389">
        <v>0.17</v>
      </c>
      <c r="G21" s="417"/>
      <c r="H21" s="417"/>
      <c r="I21" s="417"/>
      <c r="J21" s="417"/>
      <c r="K21" s="418"/>
      <c r="L21" s="379">
        <v>2</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806</v>
      </c>
      <c r="C23" s="1228" t="s">
        <v>649</v>
      </c>
      <c r="D23" s="1229"/>
      <c r="E23" s="1229"/>
      <c r="F23" s="1230"/>
      <c r="G23" s="421"/>
      <c r="H23" s="424"/>
      <c r="I23" s="424"/>
      <c r="J23" s="424"/>
      <c r="K23" s="425"/>
      <c r="L23" s="426"/>
      <c r="M23" s="427"/>
      <c r="N23" s="427"/>
    </row>
    <row r="24" spans="1:44" outlineLevel="1">
      <c r="B24" s="382" t="s">
        <v>712</v>
      </c>
      <c r="C24" s="1231"/>
      <c r="D24" s="1232"/>
      <c r="E24" s="1232"/>
      <c r="F24" s="1233"/>
      <c r="G24" s="424"/>
      <c r="H24" s="424"/>
      <c r="I24" s="424"/>
      <c r="J24" s="424"/>
      <c r="K24" s="422"/>
      <c r="L24" s="426"/>
      <c r="M24" s="427"/>
      <c r="N24" s="427"/>
    </row>
    <row r="25" spans="1:44" outlineLevel="1">
      <c r="B25" s="382" t="s">
        <v>807</v>
      </c>
      <c r="C25" s="1231"/>
      <c r="D25" s="1232"/>
      <c r="E25" s="1232"/>
      <c r="F25" s="1233"/>
      <c r="G25" s="424"/>
      <c r="H25" s="424"/>
      <c r="I25" s="424"/>
      <c r="J25" s="424"/>
      <c r="K25" s="422"/>
      <c r="L25" s="426"/>
      <c r="M25" s="427"/>
      <c r="N25" s="427"/>
    </row>
    <row r="26" spans="1:44" outlineLevel="1">
      <c r="B26" s="382" t="s">
        <v>366</v>
      </c>
      <c r="C26" s="1231"/>
      <c r="D26" s="1232"/>
      <c r="E26" s="1232"/>
      <c r="F26" s="1233"/>
      <c r="G26" s="424"/>
      <c r="H26" s="424"/>
      <c r="I26" s="424"/>
      <c r="J26" s="424"/>
      <c r="K26" s="422"/>
      <c r="L26" s="426"/>
      <c r="M26" s="427"/>
      <c r="N26" s="427"/>
    </row>
    <row r="27" spans="1:44" ht="15" outlineLevel="1" thickBot="1">
      <c r="B27" s="428" t="s">
        <v>367</v>
      </c>
      <c r="C27" s="1234"/>
      <c r="D27" s="1235"/>
      <c r="E27" s="1235"/>
      <c r="F27" s="1236"/>
      <c r="G27" s="424"/>
      <c r="H27" s="424"/>
      <c r="I27" s="424"/>
      <c r="J27" s="424"/>
      <c r="K27" s="422"/>
      <c r="L27" s="426"/>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510">
        <v>0.08</v>
      </c>
      <c r="D29" s="511">
        <v>7.0000000000000007E-2</v>
      </c>
      <c r="E29" s="511">
        <v>7.0000000000000007E-2</v>
      </c>
      <c r="F29" s="512">
        <v>7.0000000000000007E-2</v>
      </c>
      <c r="G29" s="424"/>
      <c r="H29" s="424"/>
      <c r="I29" s="424"/>
      <c r="J29" s="424"/>
      <c r="K29" s="425" t="s">
        <v>801</v>
      </c>
      <c r="L29" s="439" t="s">
        <v>924</v>
      </c>
      <c r="M29" s="419"/>
      <c r="N29" s="419"/>
    </row>
    <row r="30" spans="1:44" outlineLevel="1">
      <c r="B30" s="440" t="s">
        <v>802</v>
      </c>
      <c r="C30" s="441">
        <v>85</v>
      </c>
      <c r="D30" s="441">
        <v>85</v>
      </c>
      <c r="E30" s="441">
        <v>85</v>
      </c>
      <c r="F30" s="441">
        <v>85</v>
      </c>
      <c r="G30" s="424"/>
      <c r="H30" s="424"/>
      <c r="I30" s="424"/>
      <c r="J30" s="424"/>
      <c r="K30" s="443"/>
      <c r="L30" s="372">
        <v>1</v>
      </c>
      <c r="M30" s="71"/>
      <c r="N30" s="419"/>
    </row>
    <row r="31" spans="1:44" outlineLevel="1">
      <c r="B31" s="440" t="s">
        <v>803</v>
      </c>
      <c r="C31" s="441">
        <v>15</v>
      </c>
      <c r="D31" s="441">
        <v>15</v>
      </c>
      <c r="E31" s="441">
        <v>15</v>
      </c>
      <c r="F31" s="441">
        <v>15</v>
      </c>
      <c r="G31" s="424"/>
      <c r="H31" s="424"/>
      <c r="I31" s="424"/>
      <c r="J31" s="424"/>
      <c r="K31" s="443"/>
      <c r="L31" s="372">
        <v>1</v>
      </c>
      <c r="M31" s="419"/>
      <c r="N31" s="419"/>
    </row>
    <row r="32" spans="1:44" outlineLevel="1">
      <c r="B32" s="382" t="s">
        <v>804</v>
      </c>
      <c r="C32" s="444">
        <v>1070</v>
      </c>
      <c r="D32" s="445">
        <v>1020</v>
      </c>
      <c r="E32" s="445">
        <v>970</v>
      </c>
      <c r="F32" s="446">
        <v>920</v>
      </c>
      <c r="G32" s="424"/>
      <c r="H32" s="424"/>
      <c r="I32" s="424"/>
      <c r="J32" s="424"/>
      <c r="K32" s="447"/>
      <c r="L32" s="372">
        <v>1</v>
      </c>
      <c r="M32" s="419"/>
      <c r="N32" s="419"/>
    </row>
    <row r="33" spans="2:30" ht="37.049999999999997" customHeight="1" outlineLevel="1" thickBot="1">
      <c r="B33" s="382" t="s">
        <v>659</v>
      </c>
      <c r="C33" s="448">
        <f>C34+C35</f>
        <v>0.86499999999999999</v>
      </c>
      <c r="D33" s="448">
        <f t="shared" ref="D33:F33" si="1">D34+D35</f>
        <v>0.875</v>
      </c>
      <c r="E33" s="448">
        <f t="shared" si="1"/>
        <v>0.78</v>
      </c>
      <c r="F33" s="448">
        <f t="shared" si="1"/>
        <v>0.78</v>
      </c>
      <c r="G33" s="424"/>
      <c r="H33" s="424"/>
      <c r="I33" s="424"/>
      <c r="J33" s="424"/>
      <c r="K33" s="447"/>
      <c r="L33" s="372"/>
      <c r="M33" s="449"/>
      <c r="N33" s="360"/>
      <c r="P33" s="1139">
        <f>C33</f>
        <v>0.86499999999999999</v>
      </c>
      <c r="Q33" s="1140"/>
      <c r="R33" s="1140"/>
      <c r="S33" s="1140"/>
      <c r="T33" s="1140"/>
      <c r="U33" s="1141"/>
    </row>
    <row r="34" spans="2:30" ht="15.75" customHeight="1" outlineLevel="1" thickBot="1">
      <c r="B34" s="450" t="s">
        <v>721</v>
      </c>
      <c r="C34" s="451">
        <f>C13/100*73</f>
        <v>0.36499999999999999</v>
      </c>
      <c r="D34" s="451">
        <f>D13/100*75</f>
        <v>0.375</v>
      </c>
      <c r="E34" s="451">
        <f>E13/100*76</f>
        <v>0.38</v>
      </c>
      <c r="F34" s="451">
        <f>F13/100*76</f>
        <v>0.38</v>
      </c>
      <c r="G34" s="452"/>
      <c r="H34" s="452"/>
      <c r="I34" s="452"/>
      <c r="J34" s="452"/>
      <c r="K34" s="378" t="s">
        <v>20</v>
      </c>
      <c r="L34" s="379"/>
      <c r="M34" s="449"/>
      <c r="N34" s="360"/>
      <c r="P34" s="1131">
        <f>C34</f>
        <v>0.36499999999999999</v>
      </c>
      <c r="Q34" s="1132"/>
      <c r="R34" s="1132"/>
      <c r="S34" s="1132"/>
      <c r="T34" s="1132"/>
      <c r="U34" s="1133"/>
    </row>
    <row r="35" spans="2:30" outlineLevel="1">
      <c r="B35" s="450" t="s">
        <v>722</v>
      </c>
      <c r="C35" s="654">
        <v>0.5</v>
      </c>
      <c r="D35" s="654">
        <v>0.5</v>
      </c>
      <c r="E35" s="654">
        <v>0.4</v>
      </c>
      <c r="F35" s="654">
        <v>0.4</v>
      </c>
      <c r="G35" s="452"/>
      <c r="H35" s="452"/>
      <c r="I35" s="452"/>
      <c r="J35" s="452"/>
      <c r="K35" s="454"/>
      <c r="L35" s="379">
        <v>1</v>
      </c>
      <c r="M35" s="362"/>
      <c r="N35" s="362"/>
      <c r="P35" s="53" t="s">
        <v>357</v>
      </c>
    </row>
    <row r="36" spans="2:30" ht="27.6" outlineLevel="1">
      <c r="B36" s="440"/>
      <c r="C36" s="641"/>
      <c r="D36" s="641"/>
      <c r="E36" s="641"/>
      <c r="F36" s="641"/>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642" t="s">
        <v>36</v>
      </c>
      <c r="D39" s="642" t="s">
        <v>36</v>
      </c>
      <c r="E39" s="642" t="s">
        <v>36</v>
      </c>
      <c r="F39" s="642" t="s">
        <v>36</v>
      </c>
      <c r="G39" s="642"/>
      <c r="H39" s="642"/>
      <c r="I39" s="642"/>
      <c r="J39" s="642"/>
      <c r="K39" s="642" t="s">
        <v>76</v>
      </c>
      <c r="L39" s="463"/>
      <c r="M39" s="362"/>
      <c r="N39" s="362"/>
      <c r="O39" s="464">
        <f>C12</f>
        <v>99</v>
      </c>
      <c r="P39" s="465">
        <f>C8</f>
        <v>2020</v>
      </c>
      <c r="Q39" s="58">
        <f>P39</f>
        <v>2020</v>
      </c>
      <c r="R39" s="465">
        <f>O39/100</f>
        <v>0.99</v>
      </c>
      <c r="S39" s="58"/>
      <c r="T39" s="465">
        <f>C16</f>
        <v>25</v>
      </c>
      <c r="U39" s="466">
        <f>C46</f>
        <v>596</v>
      </c>
      <c r="V39" s="466">
        <f>C48</f>
        <v>7.9714999999999998</v>
      </c>
      <c r="W39" s="466">
        <f>C49</f>
        <v>1.7900694444444445</v>
      </c>
      <c r="X39" s="58"/>
      <c r="Y39" s="58"/>
      <c r="Z39" s="465" t="str">
        <f>C23</f>
        <v>Cf. the utilized electricity</v>
      </c>
      <c r="AA39" s="467">
        <f>C25</f>
        <v>0</v>
      </c>
      <c r="AB39" s="467">
        <f>C26</f>
        <v>0</v>
      </c>
      <c r="AC39" s="467">
        <f>C27</f>
        <v>0</v>
      </c>
      <c r="AD39" s="467">
        <f>C24</f>
        <v>0</v>
      </c>
    </row>
    <row r="40" spans="2:30" ht="14.55" customHeight="1" outlineLevel="1">
      <c r="B40" s="375" t="s">
        <v>726</v>
      </c>
      <c r="C40" s="468" t="s">
        <v>36</v>
      </c>
      <c r="D40" s="469" t="s">
        <v>36</v>
      </c>
      <c r="E40" s="469" t="s">
        <v>36</v>
      </c>
      <c r="F40" s="470" t="s">
        <v>36</v>
      </c>
      <c r="G40" s="470"/>
      <c r="H40" s="470"/>
      <c r="I40" s="470"/>
      <c r="J40" s="470"/>
      <c r="K40" s="471" t="s">
        <v>76</v>
      </c>
      <c r="L40" s="463"/>
      <c r="M40" s="362"/>
      <c r="N40" s="362"/>
      <c r="O40" s="464">
        <f>D12</f>
        <v>99</v>
      </c>
      <c r="P40" s="465">
        <f>D8</f>
        <v>2030</v>
      </c>
      <c r="Q40" s="58"/>
      <c r="R40" s="465">
        <f>O40/100</f>
        <v>0.99</v>
      </c>
      <c r="S40" s="58"/>
      <c r="T40" s="465">
        <f>D16</f>
        <v>25</v>
      </c>
      <c r="U40" s="466">
        <f>D46</f>
        <v>521.50000000000011</v>
      </c>
      <c r="V40" s="466">
        <f>D48</f>
        <v>7.5990000000000002</v>
      </c>
      <c r="W40" s="466">
        <f>D49</f>
        <v>1.8107638888888888</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99</v>
      </c>
      <c r="P41" s="465">
        <f>E8</f>
        <v>2040</v>
      </c>
      <c r="Q41" s="58"/>
      <c r="R41" s="465">
        <f>O41/100</f>
        <v>0.99</v>
      </c>
      <c r="S41" s="58"/>
      <c r="T41" s="465">
        <f>E16</f>
        <v>25</v>
      </c>
      <c r="U41" s="466">
        <f>E46</f>
        <v>521.50000000000011</v>
      </c>
      <c r="V41" s="466">
        <f>E48</f>
        <v>7.2264999999999997</v>
      </c>
      <c r="W41" s="466">
        <f>E49</f>
        <v>1.6141666666666665</v>
      </c>
      <c r="X41" s="58"/>
      <c r="Y41" s="58"/>
      <c r="Z41" s="465">
        <f>E23</f>
        <v>0</v>
      </c>
      <c r="AA41" s="467">
        <f>E25</f>
        <v>0</v>
      </c>
      <c r="AB41" s="467">
        <f>E26</f>
        <v>0</v>
      </c>
      <c r="AC41" s="467">
        <f>E27</f>
        <v>0</v>
      </c>
      <c r="AD41" s="467">
        <f>E24</f>
        <v>0</v>
      </c>
    </row>
    <row r="42" spans="2:30" ht="14.55" customHeight="1" outlineLevel="1">
      <c r="B42" s="375" t="s">
        <v>728</v>
      </c>
      <c r="C42" s="1237" t="s">
        <v>649</v>
      </c>
      <c r="D42" s="1238"/>
      <c r="E42" s="1238"/>
      <c r="F42" s="1239"/>
      <c r="G42" s="473"/>
      <c r="H42" s="473"/>
      <c r="I42" s="473"/>
      <c r="J42" s="473"/>
      <c r="K42" s="473"/>
      <c r="L42" s="379"/>
      <c r="M42" s="362"/>
      <c r="N42" s="362"/>
      <c r="O42" s="464">
        <f>F12</f>
        <v>99</v>
      </c>
      <c r="P42" s="465">
        <f>F8</f>
        <v>2050</v>
      </c>
      <c r="Q42" s="58"/>
      <c r="R42" s="465">
        <f>O42/100</f>
        <v>0.99</v>
      </c>
      <c r="S42" s="58"/>
      <c r="T42" s="465">
        <f>F16</f>
        <v>25</v>
      </c>
      <c r="U42" s="466">
        <f>F46</f>
        <v>521.50000000000011</v>
      </c>
      <c r="V42" s="466">
        <f>F48</f>
        <v>6.8540000000000001</v>
      </c>
      <c r="W42" s="466">
        <f>F49</f>
        <v>1.6141666666666665</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643" t="s">
        <v>36</v>
      </c>
      <c r="D45" s="644" t="s">
        <v>36</v>
      </c>
      <c r="E45" s="644" t="s">
        <v>36</v>
      </c>
      <c r="F45" s="645" t="s">
        <v>36</v>
      </c>
      <c r="G45" s="480"/>
      <c r="H45" s="480"/>
      <c r="I45" s="480"/>
      <c r="J45" s="480"/>
      <c r="K45" s="480"/>
      <c r="L45" s="481"/>
      <c r="M45" s="362"/>
      <c r="N45" s="362"/>
    </row>
    <row r="46" spans="2:30" ht="57.6" outlineLevel="1">
      <c r="B46" s="460" t="s">
        <v>732</v>
      </c>
      <c r="C46" s="482">
        <f>C29*$F$4*1000</f>
        <v>596</v>
      </c>
      <c r="D46" s="482">
        <f t="shared" ref="D46:F46" si="2">D29*$F$4*1000</f>
        <v>521.50000000000011</v>
      </c>
      <c r="E46" s="482">
        <f t="shared" si="2"/>
        <v>521.50000000000011</v>
      </c>
      <c r="F46" s="482">
        <f t="shared" si="2"/>
        <v>521.50000000000011</v>
      </c>
      <c r="G46" s="482"/>
      <c r="H46" s="483"/>
      <c r="I46" s="419" t="s">
        <v>332</v>
      </c>
      <c r="J46" s="419"/>
      <c r="K46" s="483"/>
      <c r="L46" s="483"/>
      <c r="N46" s="419"/>
    </row>
    <row r="47" spans="2:30" outlineLevel="1">
      <c r="B47" s="484" t="s">
        <v>733</v>
      </c>
      <c r="C47" s="485">
        <f>C46*$I47</f>
        <v>298000</v>
      </c>
      <c r="D47" s="485">
        <f>D46*$I47</f>
        <v>260750.00000000006</v>
      </c>
      <c r="E47" s="485">
        <f>E46*$I47</f>
        <v>260750.00000000006</v>
      </c>
      <c r="F47" s="485">
        <f>F46*$I47</f>
        <v>260750.00000000006</v>
      </c>
      <c r="G47" s="485"/>
      <c r="H47" s="483"/>
      <c r="I47" s="71">
        <v>500</v>
      </c>
      <c r="J47" s="419" t="s">
        <v>330</v>
      </c>
      <c r="K47" s="483"/>
      <c r="L47" s="483"/>
      <c r="N47" s="419"/>
    </row>
    <row r="48" spans="2:30" ht="43.2" outlineLevel="1">
      <c r="B48" s="460" t="s">
        <v>808</v>
      </c>
      <c r="C48" s="358">
        <f>C32*$F$4/1000</f>
        <v>7.9714999999999998</v>
      </c>
      <c r="D48" s="358">
        <f t="shared" ref="D48:F48" si="3">D32*$F$4/1000</f>
        <v>7.5990000000000002</v>
      </c>
      <c r="E48" s="358">
        <f t="shared" si="3"/>
        <v>7.2264999999999997</v>
      </c>
      <c r="F48" s="358">
        <f t="shared" si="3"/>
        <v>6.8540000000000001</v>
      </c>
      <c r="G48" s="358"/>
      <c r="I48" s="419" t="s">
        <v>333</v>
      </c>
      <c r="J48" s="419"/>
      <c r="N48" s="419"/>
    </row>
    <row r="49" spans="2:14" ht="43.2" outlineLevel="1">
      <c r="B49" s="460" t="s">
        <v>809</v>
      </c>
      <c r="C49" s="486">
        <f>C33*$F$4/3.6</f>
        <v>1.7900694444444445</v>
      </c>
      <c r="D49" s="486">
        <f t="shared" ref="D49:F49" si="4">D33*$F$4/3.6</f>
        <v>1.8107638888888888</v>
      </c>
      <c r="E49" s="486">
        <f t="shared" si="4"/>
        <v>1.6141666666666665</v>
      </c>
      <c r="F49" s="486">
        <f t="shared" si="4"/>
        <v>1.6141666666666665</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648" t="s">
        <v>736</v>
      </c>
      <c r="C55" s="357"/>
      <c r="D55" s="357"/>
      <c r="E55" s="357"/>
      <c r="F55" s="357"/>
      <c r="G55" s="357"/>
      <c r="H55" s="357"/>
      <c r="I55" s="357"/>
      <c r="J55" s="357"/>
      <c r="K55" s="357"/>
      <c r="L55" s="357"/>
    </row>
    <row r="56" spans="2:14" outlineLevel="1">
      <c r="B56" s="676">
        <v>1</v>
      </c>
      <c r="C56" s="489" t="s">
        <v>813</v>
      </c>
      <c r="D56" s="489"/>
      <c r="F56" s="357"/>
      <c r="G56" s="357"/>
      <c r="H56" s="357"/>
      <c r="I56" s="357"/>
      <c r="J56" s="357"/>
      <c r="K56" s="357"/>
      <c r="L56" s="357"/>
    </row>
    <row r="57" spans="2:14" outlineLevel="1">
      <c r="B57" s="676">
        <v>2</v>
      </c>
      <c r="C57" s="634" t="s">
        <v>925</v>
      </c>
      <c r="D57" s="489"/>
      <c r="F57" s="357"/>
      <c r="G57" s="357"/>
      <c r="H57" s="357"/>
      <c r="I57" s="357"/>
      <c r="J57" s="357"/>
      <c r="K57" s="357"/>
      <c r="L57" s="357"/>
    </row>
    <row r="58" spans="2:14" outlineLevel="1">
      <c r="B58" s="676">
        <v>3</v>
      </c>
      <c r="C58" s="634" t="s">
        <v>926</v>
      </c>
      <c r="D58" s="489"/>
      <c r="F58" s="357"/>
      <c r="G58" s="357"/>
      <c r="H58" s="357"/>
      <c r="I58" s="357"/>
      <c r="J58" s="357"/>
      <c r="K58" s="357"/>
      <c r="L58" s="357"/>
    </row>
    <row r="59" spans="2:14" outlineLevel="1">
      <c r="B59" s="357" t="s">
        <v>746</v>
      </c>
      <c r="C59" s="357"/>
      <c r="D59" s="489"/>
      <c r="F59" s="357"/>
      <c r="G59" s="357"/>
      <c r="H59" s="357"/>
      <c r="I59" s="357"/>
      <c r="J59" s="357"/>
      <c r="K59" s="357"/>
      <c r="L59" s="357"/>
    </row>
    <row r="60" spans="2:14" outlineLevel="1">
      <c r="B60" s="677" t="s">
        <v>6</v>
      </c>
      <c r="C60" s="489" t="s">
        <v>927</v>
      </c>
      <c r="D60" s="489"/>
      <c r="F60" s="357"/>
      <c r="G60" s="357"/>
      <c r="H60" s="357"/>
      <c r="I60" s="357"/>
      <c r="J60" s="357"/>
      <c r="K60" s="357"/>
      <c r="L60" s="357"/>
    </row>
    <row r="61" spans="2:14" outlineLevel="1">
      <c r="B61" s="677" t="s">
        <v>59</v>
      </c>
      <c r="C61" s="634" t="s">
        <v>928</v>
      </c>
      <c r="D61" s="489"/>
      <c r="F61" s="357"/>
      <c r="G61" s="357"/>
      <c r="H61" s="357"/>
      <c r="I61" s="357"/>
      <c r="J61" s="357"/>
      <c r="K61" s="357"/>
      <c r="L61" s="357"/>
    </row>
    <row r="62" spans="2:14" outlineLevel="1">
      <c r="B62" s="678" t="s">
        <v>16</v>
      </c>
      <c r="C62" s="489" t="s">
        <v>929</v>
      </c>
      <c r="D62" s="489"/>
      <c r="F62" s="357"/>
      <c r="G62" s="357"/>
      <c r="H62" s="357"/>
      <c r="I62" s="357"/>
      <c r="J62" s="357"/>
      <c r="K62" s="357"/>
      <c r="L62" s="357"/>
    </row>
    <row r="63" spans="2:14" outlineLevel="1">
      <c r="B63" s="677" t="s">
        <v>20</v>
      </c>
      <c r="C63" s="488" t="s">
        <v>751</v>
      </c>
      <c r="D63" s="489"/>
      <c r="F63" s="357"/>
      <c r="G63" s="357"/>
      <c r="H63" s="357"/>
      <c r="I63" s="357"/>
      <c r="J63" s="357"/>
      <c r="K63" s="357"/>
      <c r="L63" s="357"/>
    </row>
    <row r="64" spans="2:14" outlineLevel="1">
      <c r="B64" s="677" t="s">
        <v>76</v>
      </c>
      <c r="C64" s="489" t="s">
        <v>752</v>
      </c>
      <c r="D64" s="489"/>
      <c r="F64" s="357"/>
      <c r="G64" s="357"/>
      <c r="H64" s="357"/>
      <c r="I64" s="357"/>
      <c r="J64" s="357"/>
      <c r="K64" s="357"/>
      <c r="L64" s="357"/>
    </row>
    <row r="65" spans="2:12" outlineLevel="1">
      <c r="B65" s="655"/>
      <c r="C65" s="488"/>
      <c r="D65" s="357"/>
      <c r="F65" s="357"/>
      <c r="G65" s="357"/>
      <c r="H65" s="357"/>
      <c r="I65" s="357"/>
      <c r="J65" s="357"/>
      <c r="K65" s="357"/>
      <c r="L65" s="357"/>
    </row>
    <row r="66" spans="2:12" outlineLevel="1">
      <c r="F66" s="357"/>
      <c r="G66" s="357"/>
      <c r="H66" s="357"/>
      <c r="I66" s="357"/>
      <c r="J66" s="357"/>
      <c r="K66" s="357"/>
      <c r="L66" s="357"/>
    </row>
    <row r="67" spans="2:12" outlineLevel="1">
      <c r="B67" s="655"/>
      <c r="C67" s="489"/>
      <c r="D67" s="357"/>
      <c r="F67" s="357"/>
      <c r="G67" s="357"/>
      <c r="H67" s="357"/>
      <c r="I67" s="357"/>
      <c r="J67" s="357"/>
      <c r="K67" s="357"/>
      <c r="L67" s="357"/>
    </row>
    <row r="68" spans="2:12" outlineLevel="1">
      <c r="B68" s="655"/>
      <c r="C68" s="489"/>
      <c r="D68" s="357"/>
      <c r="F68" s="357"/>
      <c r="G68" s="357"/>
      <c r="H68" s="357"/>
      <c r="I68" s="357"/>
      <c r="J68" s="357"/>
      <c r="K68" s="357"/>
      <c r="L68" s="357"/>
    </row>
    <row r="69" spans="2:12" outlineLevel="1">
      <c r="F69" s="357"/>
      <c r="G69" s="357"/>
      <c r="H69" s="357"/>
      <c r="I69" s="357"/>
      <c r="J69" s="357"/>
      <c r="K69" s="357"/>
      <c r="L69" s="357"/>
    </row>
    <row r="70" spans="2:12" outlineLevel="1">
      <c r="G70" s="357"/>
      <c r="H70" s="357"/>
      <c r="I70" s="357"/>
      <c r="J70" s="357"/>
      <c r="K70" s="357"/>
      <c r="L70" s="357"/>
    </row>
    <row r="71" spans="2:12" outlineLevel="1">
      <c r="E71" s="489"/>
      <c r="F71" s="489"/>
    </row>
    <row r="72" spans="2:12" outlineLevel="1">
      <c r="E72" s="489"/>
      <c r="F72" s="489"/>
    </row>
    <row r="73" spans="2:12" outlineLevel="1">
      <c r="E73" s="489"/>
      <c r="F73" s="489"/>
    </row>
    <row r="74" spans="2:12" outlineLevel="1">
      <c r="E74" s="489"/>
      <c r="F74" s="489"/>
    </row>
    <row r="75" spans="2:12" outlineLevel="1">
      <c r="E75" s="489"/>
      <c r="F75" s="489"/>
    </row>
    <row r="76" spans="2:12" outlineLevel="1">
      <c r="E76" s="489"/>
      <c r="F76" s="489"/>
    </row>
    <row r="77" spans="2:12" outlineLevel="1">
      <c r="E77" s="489"/>
      <c r="F77" s="489"/>
    </row>
    <row r="78" spans="2:12" outlineLevel="1">
      <c r="E78" s="489"/>
      <c r="F78" s="489"/>
    </row>
    <row r="79" spans="2:12" outlineLevel="1"/>
    <row r="80" spans="2:12" outlineLevel="1">
      <c r="B80" s="495"/>
      <c r="C80" s="488"/>
      <c r="D80" s="488"/>
    </row>
    <row r="81" spans="1:44" outlineLevel="1">
      <c r="B81" s="637" t="str">
        <f>C86</f>
        <v>Electric boiler, 10 kV, hot water</v>
      </c>
    </row>
    <row r="84" spans="1:44">
      <c r="A84" s="359" t="s">
        <v>935</v>
      </c>
      <c r="B84" s="1204"/>
      <c r="C84" s="1140"/>
      <c r="D84" s="1140"/>
      <c r="E84" s="1140"/>
      <c r="F84" s="1140"/>
      <c r="G84" s="1140"/>
      <c r="H84" s="1140"/>
      <c r="I84" s="1140"/>
      <c r="J84" s="1140"/>
      <c r="K84" s="1140"/>
      <c r="L84" s="1140"/>
      <c r="M84" s="1140"/>
      <c r="N84" s="360"/>
      <c r="P84" s="1140"/>
      <c r="Q84" s="1140"/>
      <c r="R84" s="1140"/>
      <c r="S84" s="1140"/>
      <c r="T84" s="1140"/>
      <c r="U84" s="1140"/>
    </row>
    <row r="85" spans="1:44" ht="15" outlineLevel="1" thickBot="1">
      <c r="B85" s="1204"/>
      <c r="C85" s="1140"/>
      <c r="D85" s="1140"/>
      <c r="E85" s="1140"/>
      <c r="F85" s="1140"/>
      <c r="G85" s="1140"/>
      <c r="H85" s="1140"/>
      <c r="I85" s="1140"/>
      <c r="J85" s="1140"/>
      <c r="K85" s="1140"/>
      <c r="L85" s="1140"/>
      <c r="M85" s="1140"/>
      <c r="N85" s="360"/>
      <c r="P85" s="691">
        <v>1</v>
      </c>
      <c r="Q85" s="691">
        <v>2</v>
      </c>
      <c r="R85" s="691">
        <v>3</v>
      </c>
      <c r="S85" s="691">
        <v>4</v>
      </c>
      <c r="T85" s="691">
        <v>5</v>
      </c>
      <c r="U85" s="691">
        <v>6</v>
      </c>
      <c r="V85" s="691">
        <v>7</v>
      </c>
      <c r="W85" s="691">
        <v>8</v>
      </c>
      <c r="X85" s="691">
        <v>9</v>
      </c>
      <c r="Y85" s="691">
        <v>10</v>
      </c>
      <c r="Z85" s="691">
        <v>11</v>
      </c>
      <c r="AA85" s="691">
        <v>12</v>
      </c>
      <c r="AB85" s="691">
        <v>13</v>
      </c>
      <c r="AC85" s="691">
        <v>14</v>
      </c>
    </row>
    <row r="86" spans="1:44" ht="20.55" customHeight="1" outlineLevel="1" thickBot="1">
      <c r="B86" s="361" t="s">
        <v>0</v>
      </c>
      <c r="C86" s="1201" t="s">
        <v>934</v>
      </c>
      <c r="D86" s="1202"/>
      <c r="E86" s="1202"/>
      <c r="F86" s="1202"/>
      <c r="G86" s="1202"/>
      <c r="H86" s="1202"/>
      <c r="I86" s="1202"/>
      <c r="J86" s="1202"/>
      <c r="K86" s="1202"/>
      <c r="L86" s="1203"/>
      <c r="M86" s="362"/>
      <c r="N86" s="362"/>
      <c r="P86" s="363" t="s">
        <v>676</v>
      </c>
      <c r="Q86" s="364"/>
      <c r="R86" s="365"/>
      <c r="S86" s="1173" t="s">
        <v>677</v>
      </c>
      <c r="T86" s="1157" t="s">
        <v>678</v>
      </c>
      <c r="U86" s="1158"/>
      <c r="V86" s="1157" t="s">
        <v>679</v>
      </c>
      <c r="W86" s="1158"/>
      <c r="X86" s="1157" t="s">
        <v>680</v>
      </c>
      <c r="Y86" s="1158"/>
      <c r="Z86" s="1157" t="s">
        <v>681</v>
      </c>
      <c r="AA86" s="1158"/>
      <c r="AB86" s="1157" t="s">
        <v>682</v>
      </c>
      <c r="AC86" s="1158"/>
      <c r="AE86" s="363" t="s">
        <v>683</v>
      </c>
      <c r="AF86" s="364"/>
      <c r="AG86" s="365"/>
      <c r="AH86" s="1173" t="s">
        <v>677</v>
      </c>
      <c r="AI86" s="1157" t="s">
        <v>678</v>
      </c>
      <c r="AJ86" s="1158"/>
      <c r="AK86" s="1157" t="s">
        <v>679</v>
      </c>
      <c r="AL86" s="1158"/>
      <c r="AM86" s="1157" t="s">
        <v>680</v>
      </c>
      <c r="AN86" s="1158"/>
      <c r="AO86" s="1157" t="s">
        <v>681</v>
      </c>
      <c r="AP86" s="1158"/>
      <c r="AQ86" s="1157" t="s">
        <v>682</v>
      </c>
      <c r="AR86" s="1158"/>
    </row>
    <row r="87" spans="1:44" ht="15" customHeight="1" outlineLevel="1" thickBot="1">
      <c r="B87" s="1161" t="s">
        <v>4</v>
      </c>
      <c r="C87" s="1163">
        <v>2020</v>
      </c>
      <c r="D87" s="1163">
        <v>2030</v>
      </c>
      <c r="E87" s="1163">
        <v>2040</v>
      </c>
      <c r="F87" s="1163">
        <v>2050</v>
      </c>
      <c r="G87" s="1197" t="s">
        <v>684</v>
      </c>
      <c r="H87" s="1198"/>
      <c r="I87" s="1197" t="s">
        <v>628</v>
      </c>
      <c r="J87" s="1198"/>
      <c r="K87" s="1199" t="s">
        <v>2</v>
      </c>
      <c r="L87" s="1199" t="s">
        <v>3</v>
      </c>
      <c r="M87" s="366"/>
      <c r="N87" s="366"/>
      <c r="P87" s="1177" t="s">
        <v>0</v>
      </c>
      <c r="Q87" s="367"/>
      <c r="R87" s="367"/>
      <c r="S87" s="1174"/>
      <c r="T87" s="1159"/>
      <c r="U87" s="1160"/>
      <c r="V87" s="1159"/>
      <c r="W87" s="1160"/>
      <c r="X87" s="1159"/>
      <c r="Y87" s="1160"/>
      <c r="Z87" s="1159"/>
      <c r="AA87" s="1160"/>
      <c r="AB87" s="1159"/>
      <c r="AC87" s="1160"/>
      <c r="AE87" s="1177" t="s">
        <v>0</v>
      </c>
      <c r="AF87" s="367"/>
      <c r="AG87" s="367"/>
      <c r="AH87" s="1174"/>
      <c r="AI87" s="1159"/>
      <c r="AJ87" s="1160"/>
      <c r="AK87" s="1159"/>
      <c r="AL87" s="1160"/>
      <c r="AM87" s="1159"/>
      <c r="AN87" s="1160"/>
      <c r="AO87" s="1159"/>
      <c r="AP87" s="1160"/>
      <c r="AQ87" s="1159"/>
      <c r="AR87" s="1160"/>
    </row>
    <row r="88" spans="1:44" ht="15" customHeight="1" outlineLevel="1" thickBot="1">
      <c r="B88" s="1162"/>
      <c r="C88" s="1164"/>
      <c r="D88" s="1164"/>
      <c r="E88" s="1164"/>
      <c r="F88" s="1164"/>
      <c r="G88" s="498" t="s">
        <v>629</v>
      </c>
      <c r="H88" s="498" t="s">
        <v>630</v>
      </c>
      <c r="I88" s="498" t="s">
        <v>629</v>
      </c>
      <c r="J88" s="498" t="s">
        <v>630</v>
      </c>
      <c r="K88" s="1200"/>
      <c r="L88" s="1200"/>
      <c r="M88" s="369"/>
      <c r="N88" s="369"/>
      <c r="P88" s="1178"/>
      <c r="Q88" s="1180" t="s">
        <v>685</v>
      </c>
      <c r="R88" s="1181" t="s">
        <v>686</v>
      </c>
      <c r="S88" s="1175"/>
      <c r="T88" s="1159"/>
      <c r="U88" s="1160"/>
      <c r="V88" s="1159"/>
      <c r="W88" s="1160"/>
      <c r="X88" s="1159"/>
      <c r="Y88" s="1160"/>
      <c r="Z88" s="1159"/>
      <c r="AA88" s="1160"/>
      <c r="AB88" s="1159"/>
      <c r="AC88" s="1160"/>
      <c r="AE88" s="1178"/>
      <c r="AF88" s="1194" t="s">
        <v>685</v>
      </c>
      <c r="AG88" s="1181" t="s">
        <v>686</v>
      </c>
      <c r="AH88" s="1175"/>
      <c r="AI88" s="1159"/>
      <c r="AJ88" s="1160"/>
      <c r="AK88" s="1159"/>
      <c r="AL88" s="1160"/>
      <c r="AM88" s="1159"/>
      <c r="AN88" s="1160"/>
      <c r="AO88" s="1159"/>
      <c r="AP88" s="1160"/>
      <c r="AQ88" s="1159"/>
      <c r="AR88" s="1160"/>
    </row>
    <row r="89" spans="1:44" ht="29.4" outlineLevel="1" thickBot="1">
      <c r="B89" s="370" t="s">
        <v>631</v>
      </c>
      <c r="C89" s="371">
        <v>15</v>
      </c>
      <c r="D89" s="371">
        <v>15</v>
      </c>
      <c r="E89" s="371">
        <v>15</v>
      </c>
      <c r="F89" s="371">
        <v>15</v>
      </c>
      <c r="G89" s="371">
        <v>10</v>
      </c>
      <c r="H89" s="371">
        <v>60</v>
      </c>
      <c r="I89" s="371">
        <v>10</v>
      </c>
      <c r="J89" s="371">
        <v>60</v>
      </c>
      <c r="K89" s="371" t="s">
        <v>6</v>
      </c>
      <c r="L89" s="372"/>
      <c r="M89" s="369"/>
      <c r="N89" s="369"/>
      <c r="O89" s="74"/>
      <c r="P89" s="1179"/>
      <c r="Q89" s="1176"/>
      <c r="R89" s="1182"/>
      <c r="S89" s="1176"/>
      <c r="T89" s="373" t="s">
        <v>689</v>
      </c>
      <c r="U89" s="374" t="s">
        <v>690</v>
      </c>
      <c r="V89" s="373" t="s">
        <v>689</v>
      </c>
      <c r="W89" s="374" t="s">
        <v>690</v>
      </c>
      <c r="X89" s="373" t="s">
        <v>689</v>
      </c>
      <c r="Y89" s="374" t="s">
        <v>690</v>
      </c>
      <c r="Z89" s="373" t="s">
        <v>689</v>
      </c>
      <c r="AA89" s="374" t="s">
        <v>690</v>
      </c>
      <c r="AB89" s="373" t="s">
        <v>689</v>
      </c>
      <c r="AC89" s="374" t="s">
        <v>690</v>
      </c>
      <c r="AE89" s="1179"/>
      <c r="AF89" s="1195"/>
      <c r="AG89" s="1182"/>
      <c r="AH89" s="1176"/>
      <c r="AI89" s="373" t="s">
        <v>689</v>
      </c>
      <c r="AJ89" s="374" t="s">
        <v>690</v>
      </c>
      <c r="AK89" s="373" t="s">
        <v>689</v>
      </c>
      <c r="AL89" s="374" t="s">
        <v>690</v>
      </c>
      <c r="AM89" s="373" t="s">
        <v>689</v>
      </c>
      <c r="AN89" s="374" t="s">
        <v>690</v>
      </c>
      <c r="AO89" s="373" t="s">
        <v>689</v>
      </c>
      <c r="AP89" s="374" t="s">
        <v>690</v>
      </c>
      <c r="AQ89" s="373" t="s">
        <v>689</v>
      </c>
      <c r="AR89" s="374" t="s">
        <v>690</v>
      </c>
    </row>
    <row r="90" spans="1:44" ht="15" customHeight="1" outlineLevel="1">
      <c r="B90" s="499" t="s">
        <v>691</v>
      </c>
      <c r="C90" s="500">
        <v>99</v>
      </c>
      <c r="D90" s="500">
        <v>99</v>
      </c>
      <c r="E90" s="501">
        <v>99</v>
      </c>
      <c r="F90" s="500">
        <v>99</v>
      </c>
      <c r="G90" s="500">
        <v>98</v>
      </c>
      <c r="H90" s="500">
        <v>100</v>
      </c>
      <c r="I90" s="500">
        <v>98</v>
      </c>
      <c r="J90" s="500">
        <v>100</v>
      </c>
      <c r="K90" s="502"/>
      <c r="L90" s="503" t="s">
        <v>924</v>
      </c>
      <c r="M90" s="369"/>
      <c r="N90" s="369"/>
      <c r="P90" s="1196" t="str">
        <f>C86</f>
        <v>Electric boiler, 10 kV, hot water</v>
      </c>
      <c r="Q90" s="1151" t="s">
        <v>693</v>
      </c>
      <c r="R90" s="380" t="s">
        <v>694</v>
      </c>
      <c r="S90" s="381" t="s">
        <v>805</v>
      </c>
      <c r="T90" s="1134">
        <v>0</v>
      </c>
      <c r="U90" s="1148">
        <v>0</v>
      </c>
      <c r="V90" s="1154">
        <v>0</v>
      </c>
      <c r="W90" s="1148">
        <v>0</v>
      </c>
      <c r="X90" s="1154">
        <v>0</v>
      </c>
      <c r="Y90" s="1148">
        <v>0</v>
      </c>
      <c r="Z90" s="1154">
        <v>0</v>
      </c>
      <c r="AA90" s="1148">
        <v>0</v>
      </c>
      <c r="AB90" s="1154">
        <v>0</v>
      </c>
      <c r="AC90" s="1148">
        <v>0</v>
      </c>
      <c r="AE90" s="1145" t="str">
        <f>P90</f>
        <v>Electric boiler, 10 kV, hot water</v>
      </c>
      <c r="AF90" s="1151" t="s">
        <v>693</v>
      </c>
      <c r="AG90" s="380" t="s">
        <v>694</v>
      </c>
      <c r="AH90" s="381" t="str">
        <f t="shared" ref="AH90:AR91" si="5">S90</f>
        <v/>
      </c>
      <c r="AI90" s="1134">
        <f t="shared" si="5"/>
        <v>0</v>
      </c>
      <c r="AJ90" s="1148">
        <f t="shared" si="5"/>
        <v>0</v>
      </c>
      <c r="AK90" s="1154">
        <f t="shared" si="5"/>
        <v>0</v>
      </c>
      <c r="AL90" s="1148">
        <f t="shared" si="5"/>
        <v>0</v>
      </c>
      <c r="AM90" s="1154">
        <f t="shared" si="5"/>
        <v>0</v>
      </c>
      <c r="AN90" s="1148">
        <f t="shared" si="5"/>
        <v>0</v>
      </c>
      <c r="AO90" s="1154">
        <f t="shared" si="5"/>
        <v>0</v>
      </c>
      <c r="AP90" s="1148">
        <f t="shared" si="5"/>
        <v>0</v>
      </c>
      <c r="AQ90" s="1154">
        <f t="shared" si="5"/>
        <v>0</v>
      </c>
      <c r="AR90" s="1148">
        <f t="shared" si="5"/>
        <v>0</v>
      </c>
    </row>
    <row r="91" spans="1:44" outlineLevel="1">
      <c r="B91" s="382" t="s">
        <v>695</v>
      </c>
      <c r="C91" s="576">
        <v>99</v>
      </c>
      <c r="D91" s="576">
        <v>99</v>
      </c>
      <c r="E91" s="576">
        <v>99</v>
      </c>
      <c r="F91" s="576">
        <v>99</v>
      </c>
      <c r="G91" s="575">
        <v>98</v>
      </c>
      <c r="H91" s="575">
        <v>99</v>
      </c>
      <c r="I91" s="575">
        <v>98</v>
      </c>
      <c r="J91" s="575">
        <v>99</v>
      </c>
      <c r="K91" s="371"/>
      <c r="L91" s="372" t="s">
        <v>924</v>
      </c>
      <c r="M91" s="369"/>
      <c r="N91" s="369"/>
      <c r="O91" s="71"/>
      <c r="P91" s="1192"/>
      <c r="Q91" s="1152"/>
      <c r="R91" s="387" t="s">
        <v>696</v>
      </c>
      <c r="S91" s="388" t="s">
        <v>805</v>
      </c>
      <c r="T91" s="1137"/>
      <c r="U91" s="1149"/>
      <c r="V91" s="1155"/>
      <c r="W91" s="1149"/>
      <c r="X91" s="1155"/>
      <c r="Y91" s="1149"/>
      <c r="Z91" s="1155"/>
      <c r="AA91" s="1149"/>
      <c r="AB91" s="1155"/>
      <c r="AC91" s="1149"/>
      <c r="AE91" s="1192"/>
      <c r="AF91" s="1152"/>
      <c r="AG91" s="387" t="s">
        <v>696</v>
      </c>
      <c r="AH91" s="388" t="str">
        <f t="shared" si="5"/>
        <v/>
      </c>
      <c r="AI91" s="1137"/>
      <c r="AJ91" s="1149"/>
      <c r="AK91" s="1155"/>
      <c r="AL91" s="1149"/>
      <c r="AM91" s="1155"/>
      <c r="AN91" s="1149"/>
      <c r="AO91" s="1155"/>
      <c r="AP91" s="1149"/>
      <c r="AQ91" s="1155"/>
      <c r="AR91" s="1149"/>
    </row>
    <row r="92" spans="1:44" ht="15" outlineLevel="1" thickBot="1">
      <c r="B92" s="499" t="s">
        <v>697</v>
      </c>
      <c r="C92" s="505">
        <v>0.5</v>
      </c>
      <c r="D92" s="506">
        <v>0.5</v>
      </c>
      <c r="E92" s="506">
        <v>0.5</v>
      </c>
      <c r="F92" s="507">
        <v>0.5</v>
      </c>
      <c r="G92" s="506">
        <v>0.1</v>
      </c>
      <c r="H92" s="506">
        <v>0.5</v>
      </c>
      <c r="I92" s="506">
        <v>0.1</v>
      </c>
      <c r="J92" s="506">
        <v>0.5</v>
      </c>
      <c r="K92" s="502"/>
      <c r="L92" s="503" t="s">
        <v>924</v>
      </c>
      <c r="M92" s="369"/>
      <c r="N92" s="369"/>
      <c r="O92" s="71"/>
      <c r="P92" s="1192"/>
      <c r="Q92" s="1153"/>
      <c r="R92" s="392" t="s">
        <v>698</v>
      </c>
      <c r="S92" s="393"/>
      <c r="T92" s="1138"/>
      <c r="U92" s="1150"/>
      <c r="V92" s="1156"/>
      <c r="W92" s="1150"/>
      <c r="X92" s="1156"/>
      <c r="Y92" s="1150"/>
      <c r="Z92" s="1156"/>
      <c r="AA92" s="1150"/>
      <c r="AB92" s="1156"/>
      <c r="AC92" s="1150"/>
      <c r="AE92" s="1192"/>
      <c r="AF92" s="1153"/>
      <c r="AG92" s="392" t="s">
        <v>698</v>
      </c>
      <c r="AH92" s="393"/>
      <c r="AI92" s="1138"/>
      <c r="AJ92" s="1150"/>
      <c r="AK92" s="1156"/>
      <c r="AL92" s="1150"/>
      <c r="AM92" s="1156"/>
      <c r="AN92" s="1150"/>
      <c r="AO92" s="1156"/>
      <c r="AP92" s="1150"/>
      <c r="AQ92" s="1156"/>
      <c r="AR92" s="1150"/>
    </row>
    <row r="93" spans="1:44" ht="15" customHeight="1" outlineLevel="1">
      <c r="B93" s="499" t="s">
        <v>637</v>
      </c>
      <c r="C93" s="505">
        <v>1</v>
      </c>
      <c r="D93" s="505">
        <v>1</v>
      </c>
      <c r="E93" s="505">
        <v>1</v>
      </c>
      <c r="F93" s="505">
        <v>1</v>
      </c>
      <c r="G93" s="505">
        <v>0.5</v>
      </c>
      <c r="H93" s="505">
        <v>1</v>
      </c>
      <c r="I93" s="505">
        <v>0.5</v>
      </c>
      <c r="J93" s="505">
        <v>1</v>
      </c>
      <c r="K93" s="502"/>
      <c r="L93" s="503" t="s">
        <v>924</v>
      </c>
      <c r="M93" s="369"/>
      <c r="N93" s="369"/>
      <c r="O93" s="71"/>
      <c r="P93" s="1192"/>
      <c r="Q93" s="1151" t="s">
        <v>699</v>
      </c>
      <c r="R93" s="394" t="s">
        <v>700</v>
      </c>
      <c r="S93" s="395" t="s">
        <v>701</v>
      </c>
      <c r="T93" s="1134">
        <v>0</v>
      </c>
      <c r="U93" s="1134">
        <v>0.67</v>
      </c>
      <c r="V93" s="1134">
        <v>0</v>
      </c>
      <c r="W93" s="1134">
        <v>0.56999999999999995</v>
      </c>
      <c r="X93" s="1134">
        <v>0</v>
      </c>
      <c r="Y93" s="1134">
        <v>0.5</v>
      </c>
      <c r="Z93" s="1134">
        <v>0</v>
      </c>
      <c r="AA93" s="1134">
        <v>0.51</v>
      </c>
      <c r="AB93" s="1134">
        <v>0</v>
      </c>
      <c r="AC93" s="1148">
        <v>0.41</v>
      </c>
      <c r="AE93" s="1192"/>
      <c r="AF93" s="1151" t="s">
        <v>699</v>
      </c>
      <c r="AG93" s="394" t="s">
        <v>700</v>
      </c>
      <c r="AH93" s="395" t="str">
        <f>S93</f>
        <v>x</v>
      </c>
      <c r="AI93" s="1134">
        <f>T93</f>
        <v>0</v>
      </c>
      <c r="AJ93" s="1134">
        <f>U93/4</f>
        <v>0.16750000000000001</v>
      </c>
      <c r="AK93" s="1134">
        <f>V93</f>
        <v>0</v>
      </c>
      <c r="AL93" s="1134">
        <f>W93/4</f>
        <v>0.14249999999999999</v>
      </c>
      <c r="AM93" s="1134">
        <f>X93</f>
        <v>0</v>
      </c>
      <c r="AN93" s="1134">
        <f>Y93/4</f>
        <v>0.125</v>
      </c>
      <c r="AO93" s="1134">
        <f>Z93</f>
        <v>0</v>
      </c>
      <c r="AP93" s="1134">
        <f>AA93/4</f>
        <v>0.1275</v>
      </c>
      <c r="AQ93" s="1134">
        <f>AB93</f>
        <v>0</v>
      </c>
      <c r="AR93" s="1148">
        <f>AC93/4</f>
        <v>0.10249999999999999</v>
      </c>
    </row>
    <row r="94" spans="1:44" outlineLevel="1">
      <c r="B94" s="499" t="s">
        <v>638</v>
      </c>
      <c r="C94" s="505">
        <v>0.2</v>
      </c>
      <c r="D94" s="505">
        <v>0.2</v>
      </c>
      <c r="E94" s="505">
        <v>0.2</v>
      </c>
      <c r="F94" s="505">
        <v>0.2</v>
      </c>
      <c r="G94" s="505">
        <v>0.2</v>
      </c>
      <c r="H94" s="505">
        <v>0.2</v>
      </c>
      <c r="I94" s="505">
        <v>0.2</v>
      </c>
      <c r="J94" s="505">
        <v>0.2</v>
      </c>
      <c r="K94" s="502"/>
      <c r="L94" s="503">
        <v>1</v>
      </c>
      <c r="M94" s="366"/>
      <c r="N94" s="366"/>
      <c r="O94" s="71"/>
      <c r="P94" s="1192"/>
      <c r="Q94" s="1152"/>
      <c r="R94" s="394" t="s">
        <v>702</v>
      </c>
      <c r="S94" s="395" t="s">
        <v>701</v>
      </c>
      <c r="T94" s="1188"/>
      <c r="U94" s="1188"/>
      <c r="V94" s="1188"/>
      <c r="W94" s="1188"/>
      <c r="X94" s="1188"/>
      <c r="Y94" s="1188"/>
      <c r="Z94" s="1188"/>
      <c r="AA94" s="1188"/>
      <c r="AB94" s="1188"/>
      <c r="AC94" s="1190"/>
      <c r="AE94" s="1192"/>
      <c r="AF94" s="1152"/>
      <c r="AG94" s="394" t="s">
        <v>702</v>
      </c>
      <c r="AH94" s="395" t="str">
        <f>S94</f>
        <v>x</v>
      </c>
      <c r="AI94" s="1188"/>
      <c r="AJ94" s="1188"/>
      <c r="AK94" s="1188"/>
      <c r="AL94" s="1188"/>
      <c r="AM94" s="1188"/>
      <c r="AN94" s="1188"/>
      <c r="AO94" s="1188"/>
      <c r="AP94" s="1188"/>
      <c r="AQ94" s="1188"/>
      <c r="AR94" s="1190"/>
    </row>
    <row r="95" spans="1:44" outlineLevel="1">
      <c r="B95" s="382" t="s">
        <v>11</v>
      </c>
      <c r="C95" s="396">
        <v>25</v>
      </c>
      <c r="D95" s="396">
        <v>25</v>
      </c>
      <c r="E95" s="396">
        <v>25</v>
      </c>
      <c r="F95" s="396">
        <v>25</v>
      </c>
      <c r="G95" s="398">
        <v>20</v>
      </c>
      <c r="H95" s="398">
        <v>25</v>
      </c>
      <c r="I95" s="398">
        <v>20</v>
      </c>
      <c r="J95" s="398">
        <v>25</v>
      </c>
      <c r="K95" s="371"/>
      <c r="L95" s="372">
        <v>2</v>
      </c>
      <c r="M95" s="362"/>
      <c r="N95" s="362"/>
      <c r="P95" s="1192"/>
      <c r="Q95" s="1152"/>
      <c r="R95" s="394" t="s">
        <v>704</v>
      </c>
      <c r="S95" s="395" t="s">
        <v>701</v>
      </c>
      <c r="T95" s="1188"/>
      <c r="U95" s="1188"/>
      <c r="V95" s="1188"/>
      <c r="W95" s="1188"/>
      <c r="X95" s="1188"/>
      <c r="Y95" s="1188"/>
      <c r="Z95" s="1188"/>
      <c r="AA95" s="1188"/>
      <c r="AB95" s="1188"/>
      <c r="AC95" s="1190"/>
      <c r="AE95" s="1192"/>
      <c r="AF95" s="1152"/>
      <c r="AG95" s="394" t="s">
        <v>704</v>
      </c>
      <c r="AH95" s="628" t="str">
        <f>S95</f>
        <v>x</v>
      </c>
      <c r="AI95" s="1188"/>
      <c r="AJ95" s="1188"/>
      <c r="AK95" s="1188"/>
      <c r="AL95" s="1188"/>
      <c r="AM95" s="1188"/>
      <c r="AN95" s="1188"/>
      <c r="AO95" s="1188"/>
      <c r="AP95" s="1188"/>
      <c r="AQ95" s="1188"/>
      <c r="AR95" s="1190"/>
    </row>
    <row r="96" spans="1:44" ht="15" outlineLevel="1" thickBot="1">
      <c r="B96" s="499" t="s">
        <v>273</v>
      </c>
      <c r="C96" s="505">
        <v>0.5</v>
      </c>
      <c r="D96" s="505">
        <v>0.5</v>
      </c>
      <c r="E96" s="505">
        <v>0.5</v>
      </c>
      <c r="F96" s="505">
        <v>0.5</v>
      </c>
      <c r="G96" s="505">
        <v>0.5</v>
      </c>
      <c r="H96" s="505">
        <v>1</v>
      </c>
      <c r="I96" s="505">
        <v>0.5</v>
      </c>
      <c r="J96" s="505">
        <v>1</v>
      </c>
      <c r="K96" s="371"/>
      <c r="L96" s="399">
        <v>1</v>
      </c>
      <c r="M96" s="362"/>
      <c r="N96" s="362"/>
      <c r="P96" s="1192"/>
      <c r="Q96" s="1152"/>
      <c r="R96" s="394" t="s">
        <v>705</v>
      </c>
      <c r="S96" s="395" t="s">
        <v>701</v>
      </c>
      <c r="T96" s="1188"/>
      <c r="U96" s="1188"/>
      <c r="V96" s="1188"/>
      <c r="W96" s="1188"/>
      <c r="X96" s="1188"/>
      <c r="Y96" s="1188"/>
      <c r="Z96" s="1188"/>
      <c r="AA96" s="1188"/>
      <c r="AB96" s="1188"/>
      <c r="AC96" s="1190"/>
      <c r="AE96" s="1192"/>
      <c r="AF96" s="1152"/>
      <c r="AG96" s="394" t="s">
        <v>705</v>
      </c>
      <c r="AH96" s="395" t="str">
        <f>S96</f>
        <v>x</v>
      </c>
      <c r="AI96" s="1188"/>
      <c r="AJ96" s="1188"/>
      <c r="AK96" s="1188"/>
      <c r="AL96" s="1188"/>
      <c r="AM96" s="1188"/>
      <c r="AN96" s="1188"/>
      <c r="AO96" s="1188"/>
      <c r="AP96" s="1188"/>
      <c r="AQ96" s="1188"/>
      <c r="AR96" s="1190"/>
    </row>
    <row r="97" spans="1:44" ht="15" outlineLevel="1" thickBot="1">
      <c r="B97" s="400" t="s">
        <v>706</v>
      </c>
      <c r="C97" s="401"/>
      <c r="D97" s="402"/>
      <c r="E97" s="403"/>
      <c r="F97" s="404"/>
      <c r="G97" s="405"/>
      <c r="H97" s="405"/>
      <c r="I97" s="405"/>
      <c r="J97" s="405"/>
      <c r="K97" s="406"/>
      <c r="L97" s="407"/>
      <c r="M97" s="362"/>
      <c r="N97" s="362"/>
      <c r="P97" s="1192"/>
      <c r="Q97" s="1153"/>
      <c r="R97" s="408" t="s">
        <v>826</v>
      </c>
      <c r="S97" s="409" t="s">
        <v>701</v>
      </c>
      <c r="T97" s="1189"/>
      <c r="U97" s="1189"/>
      <c r="V97" s="1189"/>
      <c r="W97" s="1189"/>
      <c r="X97" s="1189"/>
      <c r="Y97" s="1189"/>
      <c r="Z97" s="1189"/>
      <c r="AA97" s="1189"/>
      <c r="AB97" s="1189"/>
      <c r="AC97" s="1191"/>
      <c r="AE97" s="1192"/>
      <c r="AF97" s="1153"/>
      <c r="AG97" s="408" t="s">
        <v>826</v>
      </c>
      <c r="AH97" s="409" t="str">
        <f>S97</f>
        <v>x</v>
      </c>
      <c r="AI97" s="1189"/>
      <c r="AJ97" s="1189"/>
      <c r="AK97" s="1189"/>
      <c r="AL97" s="1189"/>
      <c r="AM97" s="1189"/>
      <c r="AN97" s="1189"/>
      <c r="AO97" s="1189"/>
      <c r="AP97" s="1189"/>
      <c r="AQ97" s="1189"/>
      <c r="AR97" s="1191"/>
    </row>
    <row r="98" spans="1:44" ht="29.4" outlineLevel="1" thickBot="1">
      <c r="B98" s="499" t="s">
        <v>643</v>
      </c>
      <c r="C98" s="505">
        <v>5</v>
      </c>
      <c r="D98" s="505">
        <v>5</v>
      </c>
      <c r="E98" s="505">
        <v>5</v>
      </c>
      <c r="F98" s="505">
        <v>5</v>
      </c>
      <c r="G98" s="506"/>
      <c r="H98" s="506"/>
      <c r="I98" s="506"/>
      <c r="J98" s="506"/>
      <c r="K98" s="502"/>
      <c r="L98" s="503">
        <v>1</v>
      </c>
      <c r="M98" s="362"/>
      <c r="N98" s="362"/>
      <c r="P98" s="1193"/>
      <c r="Q98" s="410" t="s">
        <v>708</v>
      </c>
      <c r="R98" s="411" t="s">
        <v>709</v>
      </c>
      <c r="S98" s="629" t="s">
        <v>701</v>
      </c>
      <c r="T98" s="415">
        <v>1</v>
      </c>
      <c r="U98" s="414">
        <v>1</v>
      </c>
      <c r="V98" s="415">
        <v>1</v>
      </c>
      <c r="W98" s="414">
        <v>1</v>
      </c>
      <c r="X98" s="415">
        <v>1</v>
      </c>
      <c r="Y98" s="414">
        <v>1</v>
      </c>
      <c r="Z98" s="415">
        <v>1</v>
      </c>
      <c r="AA98" s="414">
        <v>1</v>
      </c>
      <c r="AB98" s="415">
        <v>1</v>
      </c>
      <c r="AC98" s="416">
        <v>1</v>
      </c>
      <c r="AE98" s="1193"/>
      <c r="AF98" s="410" t="s">
        <v>708</v>
      </c>
      <c r="AG98" s="630" t="s">
        <v>709</v>
      </c>
      <c r="AH98" s="631" t="s">
        <v>701</v>
      </c>
      <c r="AI98" s="415">
        <v>1</v>
      </c>
      <c r="AJ98" s="414">
        <v>1</v>
      </c>
      <c r="AK98" s="415">
        <v>1</v>
      </c>
      <c r="AL98" s="414">
        <v>1</v>
      </c>
      <c r="AM98" s="415">
        <v>1</v>
      </c>
      <c r="AN98" s="414">
        <v>1</v>
      </c>
      <c r="AO98" s="415">
        <v>1</v>
      </c>
      <c r="AP98" s="414">
        <v>1</v>
      </c>
      <c r="AQ98" s="415">
        <v>1</v>
      </c>
      <c r="AR98" s="416">
        <v>1</v>
      </c>
    </row>
    <row r="99" spans="1:44" outlineLevel="1">
      <c r="B99" s="499" t="s">
        <v>644</v>
      </c>
      <c r="C99" s="505">
        <v>8.0000000000000002E-3</v>
      </c>
      <c r="D99" s="505">
        <v>8.0000000000000002E-3</v>
      </c>
      <c r="E99" s="505">
        <v>8.0000000000000002E-3</v>
      </c>
      <c r="F99" s="505">
        <v>8.0000000000000002E-3</v>
      </c>
      <c r="G99" s="508"/>
      <c r="H99" s="508"/>
      <c r="I99" s="508"/>
      <c r="J99" s="508"/>
      <c r="K99" s="509"/>
      <c r="L99" s="503">
        <v>1</v>
      </c>
      <c r="M99" s="362"/>
      <c r="N99" s="362"/>
    </row>
    <row r="100" spans="1:44" outlineLevel="1">
      <c r="B100" s="499" t="s">
        <v>646</v>
      </c>
      <c r="C100" s="505">
        <v>0.08</v>
      </c>
      <c r="D100" s="505">
        <v>0.08</v>
      </c>
      <c r="E100" s="505">
        <v>0.08</v>
      </c>
      <c r="F100" s="505">
        <v>0.08</v>
      </c>
      <c r="G100" s="508"/>
      <c r="H100" s="508"/>
      <c r="I100" s="508"/>
      <c r="J100" s="508"/>
      <c r="K100" s="509"/>
      <c r="L100" s="503">
        <v>1</v>
      </c>
      <c r="M100" s="419"/>
      <c r="N100" s="362"/>
    </row>
    <row r="101" spans="1:44" outlineLevel="1">
      <c r="B101" s="420" t="s">
        <v>12</v>
      </c>
      <c r="C101" s="398"/>
      <c r="D101" s="398"/>
      <c r="E101" s="398"/>
      <c r="F101" s="398"/>
      <c r="G101" s="421"/>
      <c r="H101" s="421"/>
      <c r="I101" s="421"/>
      <c r="J101" s="421"/>
      <c r="K101" s="422"/>
      <c r="L101" s="423"/>
      <c r="M101" s="419"/>
      <c r="N101" s="419"/>
    </row>
    <row r="102" spans="1:44" ht="39.6" outlineLevel="1">
      <c r="B102" s="382" t="s">
        <v>806</v>
      </c>
      <c r="C102" s="396" t="s">
        <v>649</v>
      </c>
      <c r="D102" s="396"/>
      <c r="E102" s="396"/>
      <c r="F102" s="396"/>
      <c r="G102" s="421"/>
      <c r="H102" s="424"/>
      <c r="I102" s="424"/>
      <c r="J102" s="424"/>
      <c r="K102" s="425"/>
      <c r="L102" s="426"/>
      <c r="M102" s="427"/>
      <c r="N102" s="427"/>
    </row>
    <row r="103" spans="1:44" outlineLevel="1">
      <c r="B103" s="382" t="s">
        <v>712</v>
      </c>
      <c r="C103" s="396"/>
      <c r="D103" s="396"/>
      <c r="E103" s="396"/>
      <c r="F103" s="396"/>
      <c r="G103" s="424"/>
      <c r="H103" s="424"/>
      <c r="I103" s="424"/>
      <c r="J103" s="424"/>
      <c r="K103" s="422"/>
      <c r="L103" s="426"/>
      <c r="M103" s="427"/>
      <c r="N103" s="427"/>
    </row>
    <row r="104" spans="1:44" outlineLevel="1">
      <c r="B104" s="382" t="s">
        <v>807</v>
      </c>
      <c r="C104" s="396"/>
      <c r="D104" s="396"/>
      <c r="E104" s="396"/>
      <c r="F104" s="396"/>
      <c r="G104" s="424"/>
      <c r="H104" s="424"/>
      <c r="I104" s="424"/>
      <c r="J104" s="424"/>
      <c r="K104" s="422"/>
      <c r="L104" s="426"/>
      <c r="M104" s="427"/>
      <c r="N104" s="427"/>
    </row>
    <row r="105" spans="1:44" outlineLevel="1">
      <c r="B105" s="382" t="s">
        <v>366</v>
      </c>
      <c r="C105" s="396"/>
      <c r="D105" s="396"/>
      <c r="E105" s="396"/>
      <c r="F105" s="396"/>
      <c r="G105" s="424"/>
      <c r="H105" s="424"/>
      <c r="I105" s="424"/>
      <c r="J105" s="424"/>
      <c r="K105" s="422"/>
      <c r="L105" s="426"/>
      <c r="M105" s="427"/>
      <c r="N105" s="427"/>
    </row>
    <row r="106" spans="1:44" ht="15" outlineLevel="1" thickBot="1">
      <c r="B106" s="428" t="s">
        <v>367</v>
      </c>
      <c r="C106" s="429"/>
      <c r="D106" s="429"/>
      <c r="E106" s="429"/>
      <c r="F106" s="429"/>
      <c r="G106" s="424"/>
      <c r="H106" s="424"/>
      <c r="I106" s="424"/>
      <c r="J106" s="424"/>
      <c r="K106" s="422"/>
      <c r="L106" s="426"/>
      <c r="M106" s="427"/>
      <c r="N106" s="427"/>
    </row>
    <row r="107" spans="1:44" ht="15" outlineLevel="1" thickBot="1">
      <c r="B107" s="430" t="s">
        <v>654</v>
      </c>
      <c r="C107" s="431"/>
      <c r="D107" s="402"/>
      <c r="E107" s="402"/>
      <c r="F107" s="432"/>
      <c r="G107" s="433"/>
      <c r="H107" s="405"/>
      <c r="I107" s="405"/>
      <c r="J107" s="405"/>
      <c r="K107" s="406"/>
      <c r="L107" s="407"/>
      <c r="M107" s="427"/>
      <c r="N107" s="427"/>
    </row>
    <row r="108" spans="1:44" ht="14.55" customHeight="1" outlineLevel="1">
      <c r="A108" s="434"/>
      <c r="B108" s="435" t="s">
        <v>873</v>
      </c>
      <c r="C108" s="510">
        <v>7.0000000000000007E-2</v>
      </c>
      <c r="D108" s="511">
        <v>0.06</v>
      </c>
      <c r="E108" s="511">
        <v>0.06</v>
      </c>
      <c r="F108" s="512">
        <v>0.06</v>
      </c>
      <c r="G108" s="424"/>
      <c r="H108" s="424"/>
      <c r="I108" s="424"/>
      <c r="J108" s="424"/>
      <c r="K108" s="425" t="s">
        <v>801</v>
      </c>
      <c r="L108" s="439" t="s">
        <v>924</v>
      </c>
      <c r="M108" s="419"/>
      <c r="N108" s="419"/>
    </row>
    <row r="109" spans="1:44" outlineLevel="1">
      <c r="B109" s="440" t="s">
        <v>802</v>
      </c>
      <c r="C109" s="441">
        <v>85</v>
      </c>
      <c r="D109" s="441">
        <v>85</v>
      </c>
      <c r="E109" s="441">
        <v>85</v>
      </c>
      <c r="F109" s="441">
        <v>85</v>
      </c>
      <c r="G109" s="424"/>
      <c r="H109" s="424"/>
      <c r="I109" s="424"/>
      <c r="J109" s="424"/>
      <c r="K109" s="443"/>
      <c r="L109" s="372">
        <v>1</v>
      </c>
      <c r="M109" s="71"/>
      <c r="N109" s="419"/>
    </row>
    <row r="110" spans="1:44" outlineLevel="1">
      <c r="B110" s="440" t="s">
        <v>803</v>
      </c>
      <c r="C110" s="441">
        <v>15</v>
      </c>
      <c r="D110" s="441">
        <v>15</v>
      </c>
      <c r="E110" s="441">
        <v>15</v>
      </c>
      <c r="F110" s="441">
        <v>15</v>
      </c>
      <c r="G110" s="424"/>
      <c r="H110" s="424"/>
      <c r="I110" s="424"/>
      <c r="J110" s="424"/>
      <c r="K110" s="443"/>
      <c r="L110" s="372">
        <v>1</v>
      </c>
      <c r="M110" s="419"/>
      <c r="N110" s="419"/>
    </row>
    <row r="111" spans="1:44" outlineLevel="1">
      <c r="B111" s="382" t="s">
        <v>804</v>
      </c>
      <c r="C111" s="444">
        <v>1070</v>
      </c>
      <c r="D111" s="445">
        <v>1020</v>
      </c>
      <c r="E111" s="445">
        <v>970</v>
      </c>
      <c r="F111" s="446">
        <v>920</v>
      </c>
      <c r="G111" s="424"/>
      <c r="H111" s="424"/>
      <c r="I111" s="424"/>
      <c r="J111" s="424"/>
      <c r="K111" s="447"/>
      <c r="L111" s="372">
        <v>1</v>
      </c>
      <c r="M111" s="419"/>
      <c r="N111" s="419"/>
    </row>
    <row r="112" spans="1:44" outlineLevel="1">
      <c r="B112" s="382" t="s">
        <v>659</v>
      </c>
      <c r="C112" s="448">
        <f>C113+C114</f>
        <v>0.86499999999999999</v>
      </c>
      <c r="D112" s="448">
        <f t="shared" ref="D112:F112" si="6">D113+D114</f>
        <v>0.875</v>
      </c>
      <c r="E112" s="448">
        <f t="shared" si="6"/>
        <v>0.78</v>
      </c>
      <c r="F112" s="448">
        <f t="shared" si="6"/>
        <v>0.78</v>
      </c>
      <c r="G112" s="424"/>
      <c r="H112" s="424"/>
      <c r="I112" s="424"/>
      <c r="J112" s="424"/>
      <c r="K112" s="447"/>
      <c r="L112" s="372"/>
      <c r="M112" s="449"/>
      <c r="N112" s="360"/>
      <c r="P112" s="1139">
        <f>C112</f>
        <v>0.86499999999999999</v>
      </c>
      <c r="Q112" s="1140"/>
      <c r="R112" s="1140"/>
      <c r="S112" s="1140"/>
      <c r="T112" s="1140"/>
      <c r="U112" s="1141"/>
    </row>
    <row r="113" spans="2:30" ht="15" outlineLevel="1" thickBot="1">
      <c r="B113" s="499" t="s">
        <v>721</v>
      </c>
      <c r="C113" s="513">
        <f>C92/100*73</f>
        <v>0.36499999999999999</v>
      </c>
      <c r="D113" s="513">
        <f>D92/100*75</f>
        <v>0.375</v>
      </c>
      <c r="E113" s="513">
        <f>E92/100*76</f>
        <v>0.38</v>
      </c>
      <c r="F113" s="513">
        <f>F92/100*76</f>
        <v>0.38</v>
      </c>
      <c r="G113" s="514"/>
      <c r="H113" s="514"/>
      <c r="I113" s="514"/>
      <c r="J113" s="514"/>
      <c r="K113" s="502" t="s">
        <v>20</v>
      </c>
      <c r="L113" s="503"/>
      <c r="M113" s="449"/>
      <c r="N113" s="360"/>
      <c r="P113" s="1131">
        <f>C113</f>
        <v>0.36499999999999999</v>
      </c>
      <c r="Q113" s="1132"/>
      <c r="R113" s="1132"/>
      <c r="S113" s="1132"/>
      <c r="T113" s="1132"/>
      <c r="U113" s="1133"/>
    </row>
    <row r="114" spans="2:30" outlineLevel="1">
      <c r="B114" s="499" t="s">
        <v>722</v>
      </c>
      <c r="C114" s="679">
        <v>0.5</v>
      </c>
      <c r="D114" s="679">
        <v>0.5</v>
      </c>
      <c r="E114" s="679">
        <v>0.4</v>
      </c>
      <c r="F114" s="679">
        <v>0.4</v>
      </c>
      <c r="G114" s="514"/>
      <c r="H114" s="514"/>
      <c r="I114" s="514"/>
      <c r="J114" s="514"/>
      <c r="K114" s="516"/>
      <c r="L114" s="503">
        <v>1</v>
      </c>
      <c r="M114" s="362"/>
      <c r="N114" s="362"/>
      <c r="P114" s="53" t="s">
        <v>357</v>
      </c>
    </row>
    <row r="115" spans="2:30" ht="27.6" outlineLevel="1">
      <c r="B115" s="440"/>
      <c r="C115" s="680"/>
      <c r="D115" s="680"/>
      <c r="E115" s="680"/>
      <c r="F115" s="680"/>
      <c r="G115" s="424"/>
      <c r="H115" s="424"/>
      <c r="I115" s="424"/>
      <c r="J115" s="424"/>
      <c r="K115" s="443"/>
      <c r="L115" s="423"/>
      <c r="M115" s="366"/>
      <c r="N115" s="366"/>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8"/>
      <c r="C116" s="441"/>
      <c r="D116" s="519"/>
      <c r="E116" s="519"/>
      <c r="F116" s="520"/>
      <c r="G116" s="424"/>
      <c r="H116" s="424"/>
      <c r="I116" s="424"/>
      <c r="J116" s="424"/>
      <c r="K116" s="447"/>
      <c r="L116" s="423"/>
      <c r="M116" s="362"/>
      <c r="N116" s="362"/>
      <c r="P116" s="50"/>
      <c r="Q116" s="50"/>
      <c r="R116" s="51"/>
      <c r="S116" s="51"/>
      <c r="T116" s="51"/>
      <c r="U116" s="51" t="s">
        <v>723</v>
      </c>
      <c r="V116" s="50" t="s">
        <v>724</v>
      </c>
      <c r="W116" s="50"/>
      <c r="X116" s="50"/>
      <c r="Y116" s="50"/>
      <c r="Z116" s="50"/>
      <c r="AA116" s="50"/>
      <c r="AB116" s="50"/>
      <c r="AC116" s="50"/>
      <c r="AD116" s="50"/>
    </row>
    <row r="117" spans="2:30" ht="43.8" outlineLevel="1" thickBot="1">
      <c r="B117" s="400" t="s">
        <v>662</v>
      </c>
      <c r="C117" s="401"/>
      <c r="D117" s="402"/>
      <c r="E117" s="403"/>
      <c r="F117" s="404"/>
      <c r="G117" s="405"/>
      <c r="H117" s="405"/>
      <c r="I117" s="405"/>
      <c r="J117" s="405"/>
      <c r="K117" s="458"/>
      <c r="L117" s="459"/>
      <c r="M117" s="362"/>
      <c r="N117" s="362"/>
      <c r="O117" s="460" t="s">
        <v>695</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1" t="s">
        <v>725</v>
      </c>
      <c r="C118" s="669">
        <f>C108*0.5</f>
        <v>3.5000000000000003E-2</v>
      </c>
      <c r="D118" s="669">
        <f t="shared" ref="D118:F118" si="7">D108*0.5</f>
        <v>0.03</v>
      </c>
      <c r="E118" s="669">
        <f t="shared" si="7"/>
        <v>0.03</v>
      </c>
      <c r="F118" s="669">
        <f t="shared" si="7"/>
        <v>0.03</v>
      </c>
      <c r="G118" s="670"/>
      <c r="H118" s="670"/>
      <c r="I118" s="670"/>
      <c r="J118" s="670"/>
      <c r="K118" s="670" t="s">
        <v>76</v>
      </c>
      <c r="L118" s="524"/>
      <c r="M118" s="362"/>
      <c r="N118" s="362"/>
      <c r="O118" s="464">
        <f>C91</f>
        <v>99</v>
      </c>
      <c r="P118" s="465">
        <f>C87</f>
        <v>2020</v>
      </c>
      <c r="Q118" s="58">
        <f>P118</f>
        <v>2020</v>
      </c>
      <c r="R118" s="465">
        <f>O118/100</f>
        <v>0.99</v>
      </c>
      <c r="S118" s="58"/>
      <c r="T118" s="465">
        <f>C95</f>
        <v>25</v>
      </c>
      <c r="U118" s="466">
        <f>C125</f>
        <v>521.50000000000011</v>
      </c>
      <c r="V118" s="466">
        <f>C127</f>
        <v>7.9714999999999998</v>
      </c>
      <c r="W118" s="466">
        <f>C128</f>
        <v>1.7900694444444445</v>
      </c>
      <c r="X118" s="58"/>
      <c r="Y118" s="58"/>
      <c r="Z118" s="465" t="str">
        <f>C102</f>
        <v>Cf. the utilized electricity</v>
      </c>
      <c r="AA118" s="467">
        <f>C104</f>
        <v>0</v>
      </c>
      <c r="AB118" s="467">
        <f>C105</f>
        <v>0</v>
      </c>
      <c r="AC118" s="467">
        <f>C106</f>
        <v>0</v>
      </c>
      <c r="AD118" s="467">
        <f>C103</f>
        <v>0</v>
      </c>
    </row>
    <row r="119" spans="2:30" outlineLevel="1">
      <c r="B119" s="499" t="s">
        <v>726</v>
      </c>
      <c r="C119" s="525" t="s">
        <v>36</v>
      </c>
      <c r="D119" s="526" t="s">
        <v>36</v>
      </c>
      <c r="E119" s="526" t="s">
        <v>36</v>
      </c>
      <c r="F119" s="527" t="s">
        <v>36</v>
      </c>
      <c r="G119" s="527"/>
      <c r="H119" s="527"/>
      <c r="I119" s="527"/>
      <c r="J119" s="527"/>
      <c r="K119" s="528" t="s">
        <v>76</v>
      </c>
      <c r="L119" s="524"/>
      <c r="M119" s="362"/>
      <c r="N119" s="362"/>
      <c r="O119" s="464">
        <f>D91</f>
        <v>99</v>
      </c>
      <c r="P119" s="465">
        <f>D87</f>
        <v>2030</v>
      </c>
      <c r="Q119" s="58"/>
      <c r="R119" s="465">
        <f>O119/100</f>
        <v>0.99</v>
      </c>
      <c r="S119" s="58"/>
      <c r="T119" s="465">
        <f>D95</f>
        <v>25</v>
      </c>
      <c r="U119" s="466">
        <f>D125</f>
        <v>447</v>
      </c>
      <c r="V119" s="466">
        <f>D127</f>
        <v>7.5990000000000002</v>
      </c>
      <c r="W119" s="466">
        <f>D128</f>
        <v>1.8107638888888888</v>
      </c>
      <c r="X119" s="58"/>
      <c r="Y119" s="58"/>
      <c r="Z119" s="465">
        <f>D102</f>
        <v>0</v>
      </c>
      <c r="AA119" s="467">
        <f>D104</f>
        <v>0</v>
      </c>
      <c r="AB119" s="467">
        <f>D105</f>
        <v>0</v>
      </c>
      <c r="AC119" s="467">
        <f>D106</f>
        <v>0</v>
      </c>
      <c r="AD119" s="467">
        <f>D103</f>
        <v>0</v>
      </c>
    </row>
    <row r="120" spans="2:30" outlineLevel="1">
      <c r="B120" s="499" t="s">
        <v>727</v>
      </c>
      <c r="C120" s="525" t="s">
        <v>36</v>
      </c>
      <c r="D120" s="526" t="s">
        <v>36</v>
      </c>
      <c r="E120" s="526" t="s">
        <v>36</v>
      </c>
      <c r="F120" s="527" t="s">
        <v>36</v>
      </c>
      <c r="G120" s="514"/>
      <c r="H120" s="514"/>
      <c r="I120" s="514"/>
      <c r="J120" s="514"/>
      <c r="K120" s="514"/>
      <c r="L120" s="503"/>
      <c r="M120" s="362"/>
      <c r="N120" s="362"/>
      <c r="O120" s="464">
        <f>E91</f>
        <v>99</v>
      </c>
      <c r="P120" s="465">
        <f>E87</f>
        <v>2040</v>
      </c>
      <c r="Q120" s="58"/>
      <c r="R120" s="465">
        <f>O120/100</f>
        <v>0.99</v>
      </c>
      <c r="S120" s="58"/>
      <c r="T120" s="465">
        <f>E95</f>
        <v>25</v>
      </c>
      <c r="U120" s="466">
        <f>E125</f>
        <v>447</v>
      </c>
      <c r="V120" s="466">
        <f>E127</f>
        <v>7.2264999999999997</v>
      </c>
      <c r="W120" s="466">
        <f>E128</f>
        <v>1.6141666666666665</v>
      </c>
      <c r="X120" s="58"/>
      <c r="Y120" s="58"/>
      <c r="Z120" s="465">
        <f>E102</f>
        <v>0</v>
      </c>
      <c r="AA120" s="467">
        <f>E104</f>
        <v>0</v>
      </c>
      <c r="AB120" s="467">
        <f>E105</f>
        <v>0</v>
      </c>
      <c r="AC120" s="467">
        <f>E106</f>
        <v>0</v>
      </c>
      <c r="AD120" s="467">
        <f>E103</f>
        <v>0</v>
      </c>
    </row>
    <row r="121" spans="2:30" outlineLevel="1">
      <c r="B121" s="499" t="s">
        <v>728</v>
      </c>
      <c r="C121" s="684" t="s">
        <v>649</v>
      </c>
      <c r="D121" s="529"/>
      <c r="E121" s="529"/>
      <c r="F121" s="529"/>
      <c r="G121" s="530"/>
      <c r="H121" s="530"/>
      <c r="I121" s="530"/>
      <c r="J121" s="530"/>
      <c r="K121" s="530"/>
      <c r="L121" s="503"/>
      <c r="M121" s="362"/>
      <c r="N121" s="362"/>
      <c r="O121" s="464">
        <f>F91</f>
        <v>99</v>
      </c>
      <c r="P121" s="465">
        <f>F87</f>
        <v>2050</v>
      </c>
      <c r="Q121" s="58"/>
      <c r="R121" s="465">
        <f>O121/100</f>
        <v>0.99</v>
      </c>
      <c r="S121" s="58"/>
      <c r="T121" s="465">
        <f>F95</f>
        <v>25</v>
      </c>
      <c r="U121" s="466">
        <f>F125</f>
        <v>447</v>
      </c>
      <c r="V121" s="466">
        <f>F127</f>
        <v>6.8540000000000001</v>
      </c>
      <c r="W121" s="466">
        <f>F128</f>
        <v>1.6141666666666665</v>
      </c>
      <c r="X121" s="58"/>
      <c r="Y121" s="58"/>
      <c r="Z121" s="465">
        <f>F102</f>
        <v>0</v>
      </c>
      <c r="AA121" s="467">
        <f>F104</f>
        <v>0</v>
      </c>
      <c r="AB121" s="467">
        <f>F105</f>
        <v>0</v>
      </c>
      <c r="AC121" s="467">
        <f>F106</f>
        <v>0</v>
      </c>
      <c r="AD121" s="467">
        <f>F103</f>
        <v>0</v>
      </c>
    </row>
    <row r="122" spans="2:30" outlineLevel="1">
      <c r="B122" s="531" t="s">
        <v>729</v>
      </c>
      <c r="C122" s="525" t="s">
        <v>36</v>
      </c>
      <c r="D122" s="526" t="s">
        <v>36</v>
      </c>
      <c r="E122" s="526" t="s">
        <v>36</v>
      </c>
      <c r="F122" s="527" t="s">
        <v>36</v>
      </c>
      <c r="G122" s="530"/>
      <c r="H122" s="530"/>
      <c r="I122" s="530"/>
      <c r="J122" s="530"/>
      <c r="K122" s="530"/>
      <c r="L122" s="532"/>
      <c r="M122" s="366"/>
      <c r="N122" s="366"/>
    </row>
    <row r="123" spans="2:30" outlineLevel="1">
      <c r="B123" s="531" t="s">
        <v>730</v>
      </c>
      <c r="C123" s="525" t="s">
        <v>36</v>
      </c>
      <c r="D123" s="526" t="s">
        <v>36</v>
      </c>
      <c r="E123" s="526" t="s">
        <v>36</v>
      </c>
      <c r="F123" s="527" t="s">
        <v>36</v>
      </c>
      <c r="G123" s="530"/>
      <c r="H123" s="530"/>
      <c r="I123" s="530"/>
      <c r="J123" s="530"/>
      <c r="K123" s="530"/>
      <c r="L123" s="532"/>
      <c r="M123" s="362"/>
      <c r="N123" s="362"/>
    </row>
    <row r="124" spans="2:30" ht="15" outlineLevel="1" thickBot="1">
      <c r="B124" s="533" t="s">
        <v>731</v>
      </c>
      <c r="C124" s="681" t="s">
        <v>36</v>
      </c>
      <c r="D124" s="682" t="s">
        <v>36</v>
      </c>
      <c r="E124" s="682" t="s">
        <v>36</v>
      </c>
      <c r="F124" s="683" t="s">
        <v>36</v>
      </c>
      <c r="G124" s="537"/>
      <c r="H124" s="537"/>
      <c r="I124" s="537"/>
      <c r="J124" s="537"/>
      <c r="K124" s="537"/>
      <c r="L124" s="538"/>
      <c r="M124" s="362"/>
      <c r="N124" s="362"/>
    </row>
    <row r="125" spans="2:30" ht="57.6" outlineLevel="1">
      <c r="B125" s="460" t="s">
        <v>732</v>
      </c>
      <c r="C125" s="482">
        <f>C108*$F$4*1000</f>
        <v>521.50000000000011</v>
      </c>
      <c r="D125" s="482">
        <f t="shared" ref="D125:F125" si="8">D108*$F$4*1000</f>
        <v>447</v>
      </c>
      <c r="E125" s="482">
        <f t="shared" si="8"/>
        <v>447</v>
      </c>
      <c r="F125" s="482">
        <f t="shared" si="8"/>
        <v>447</v>
      </c>
      <c r="G125" s="482"/>
      <c r="H125" s="483"/>
      <c r="I125" s="419" t="s">
        <v>332</v>
      </c>
      <c r="J125" s="419"/>
      <c r="K125" s="483"/>
      <c r="L125" s="483"/>
      <c r="N125" s="419"/>
    </row>
    <row r="126" spans="2:30" outlineLevel="1">
      <c r="B126" s="484" t="s">
        <v>733</v>
      </c>
      <c r="C126" s="485">
        <f>C125*$I126</f>
        <v>260750.00000000006</v>
      </c>
      <c r="D126" s="485">
        <f>D125*$I126</f>
        <v>223500</v>
      </c>
      <c r="E126" s="485">
        <f>E125*$I126</f>
        <v>223500</v>
      </c>
      <c r="F126" s="485">
        <f>F125*$I126</f>
        <v>223500</v>
      </c>
      <c r="G126" s="485"/>
      <c r="H126" s="483"/>
      <c r="I126" s="71">
        <v>500</v>
      </c>
      <c r="J126" s="419" t="s">
        <v>330</v>
      </c>
      <c r="K126" s="483"/>
      <c r="L126" s="483"/>
      <c r="N126" s="419"/>
    </row>
    <row r="127" spans="2:30" ht="43.2" outlineLevel="1">
      <c r="B127" s="460" t="s">
        <v>808</v>
      </c>
      <c r="C127" s="358">
        <f>C111*$F$4/1000</f>
        <v>7.9714999999999998</v>
      </c>
      <c r="D127" s="358">
        <f t="shared" ref="D127:F127" si="9">D111*$F$4/1000</f>
        <v>7.5990000000000002</v>
      </c>
      <c r="E127" s="358">
        <f t="shared" si="9"/>
        <v>7.2264999999999997</v>
      </c>
      <c r="F127" s="358">
        <f t="shared" si="9"/>
        <v>6.8540000000000001</v>
      </c>
      <c r="G127" s="358"/>
      <c r="I127" s="419" t="s">
        <v>333</v>
      </c>
      <c r="J127" s="419"/>
      <c r="N127" s="419"/>
    </row>
    <row r="128" spans="2:30" ht="43.2" outlineLevel="1">
      <c r="B128" s="460" t="s">
        <v>809</v>
      </c>
      <c r="C128" s="486">
        <f>C112*$F$4/3.6</f>
        <v>1.7900694444444445</v>
      </c>
      <c r="D128" s="486">
        <f t="shared" ref="D128:F128" si="10">D112*$F$4/3.6</f>
        <v>1.8107638888888888</v>
      </c>
      <c r="E128" s="486">
        <f t="shared" si="10"/>
        <v>1.6141666666666665</v>
      </c>
      <c r="F128" s="486">
        <f t="shared" si="10"/>
        <v>1.6141666666666665</v>
      </c>
      <c r="G128" s="358"/>
      <c r="M128" s="419"/>
      <c r="N128" s="419"/>
    </row>
    <row r="129" spans="2:6" outlineLevel="1"/>
    <row r="130" spans="2:6" outlineLevel="1"/>
    <row r="131" spans="2:6" outlineLevel="1"/>
    <row r="132" spans="2:6" outlineLevel="1"/>
    <row r="133" spans="2:6" outlineLevel="1">
      <c r="B133" s="487"/>
      <c r="C133" s="488"/>
      <c r="D133" s="489"/>
      <c r="E133" s="489"/>
      <c r="F133" s="489"/>
    </row>
    <row r="134" spans="2:6" outlineLevel="1">
      <c r="B134" s="490"/>
      <c r="C134" s="491"/>
      <c r="E134" s="489"/>
      <c r="F134" s="489"/>
    </row>
    <row r="135" spans="2:6" outlineLevel="1">
      <c r="B135" s="490"/>
      <c r="C135" s="492"/>
      <c r="E135" s="489"/>
      <c r="F135" s="489"/>
    </row>
    <row r="136" spans="2:6" outlineLevel="1">
      <c r="B136" s="490"/>
      <c r="C136" s="492"/>
      <c r="E136" s="489"/>
      <c r="F136" s="489"/>
    </row>
    <row r="137" spans="2:6" outlineLevel="1">
      <c r="B137" s="490"/>
      <c r="C137" s="492"/>
      <c r="E137" s="489"/>
      <c r="F137" s="489"/>
    </row>
    <row r="138" spans="2:6" outlineLevel="1">
      <c r="B138" s="357"/>
      <c r="C138" s="493"/>
      <c r="D138" s="489"/>
      <c r="E138" s="489"/>
      <c r="F138" s="489"/>
    </row>
    <row r="139" spans="2:6" outlineLevel="1">
      <c r="B139" s="357"/>
      <c r="C139" s="491"/>
      <c r="D139" s="489"/>
      <c r="E139" s="489"/>
      <c r="F139" s="489"/>
    </row>
    <row r="140" spans="2:6" outlineLevel="1">
      <c r="B140" s="357"/>
      <c r="C140" s="494"/>
      <c r="D140" s="489"/>
      <c r="E140" s="489"/>
      <c r="F140" s="489"/>
    </row>
    <row r="141" spans="2:6" outlineLevel="1">
      <c r="B141" s="357"/>
      <c r="C141" s="494"/>
      <c r="D141" s="489"/>
      <c r="E141" s="489"/>
      <c r="F141" s="489"/>
    </row>
    <row r="142" spans="2:6" outlineLevel="1">
      <c r="B142" s="357"/>
      <c r="C142" s="488"/>
      <c r="D142" s="489"/>
      <c r="E142" s="489"/>
      <c r="F142" s="489"/>
    </row>
    <row r="143" spans="2:6" outlineLevel="1">
      <c r="B143" s="357"/>
      <c r="C143" s="489"/>
      <c r="D143" s="489"/>
      <c r="E143" s="489"/>
      <c r="F143" s="489"/>
    </row>
    <row r="144" spans="2:6" outlineLevel="1">
      <c r="B144" s="487"/>
      <c r="C144" s="488"/>
      <c r="D144" s="489"/>
      <c r="E144" s="489"/>
      <c r="F144" s="489"/>
    </row>
    <row r="145" spans="1:44" outlineLevel="1">
      <c r="B145" s="495"/>
      <c r="C145" s="496"/>
      <c r="E145" s="489"/>
      <c r="F145" s="489"/>
    </row>
    <row r="146" spans="1:44" outlineLevel="1">
      <c r="B146" s="495" t="s">
        <v>59</v>
      </c>
      <c r="C146" s="488" t="s">
        <v>748</v>
      </c>
      <c r="E146" s="489"/>
      <c r="F146" s="489"/>
    </row>
    <row r="147" spans="1:44" outlineLevel="1">
      <c r="B147" s="495" t="s">
        <v>16</v>
      </c>
      <c r="C147" s="488" t="s">
        <v>749</v>
      </c>
      <c r="E147" s="489"/>
      <c r="F147" s="489"/>
    </row>
    <row r="148" spans="1:44" outlineLevel="1">
      <c r="B148" s="495" t="s">
        <v>20</v>
      </c>
      <c r="C148" s="488" t="s">
        <v>750</v>
      </c>
      <c r="E148" s="489"/>
      <c r="F148" s="489"/>
    </row>
    <row r="149" spans="1:44" outlineLevel="1">
      <c r="B149" s="495" t="s">
        <v>76</v>
      </c>
      <c r="C149" s="497" t="s">
        <v>751</v>
      </c>
      <c r="E149" s="489"/>
      <c r="F149" s="489"/>
    </row>
    <row r="150" spans="1:44" outlineLevel="1">
      <c r="B150" s="495" t="s">
        <v>25</v>
      </c>
      <c r="C150" s="488" t="s">
        <v>752</v>
      </c>
      <c r="E150" s="489"/>
      <c r="F150" s="489"/>
    </row>
    <row r="151" spans="1:44" outlineLevel="1"/>
    <row r="152" spans="1:44" outlineLevel="1">
      <c r="M152" s="214"/>
    </row>
    <row r="153" spans="1:44" outlineLevel="1"/>
    <row r="156" spans="1:44">
      <c r="A156" s="359"/>
      <c r="B156" s="1204"/>
      <c r="C156" s="1140"/>
      <c r="D156" s="1140"/>
      <c r="E156" s="1140"/>
      <c r="F156" s="1140"/>
      <c r="G156" s="1140"/>
      <c r="H156" s="1140"/>
      <c r="I156" s="1140"/>
      <c r="J156" s="1140"/>
      <c r="K156" s="1140"/>
      <c r="L156" s="1140"/>
      <c r="M156" s="1140"/>
      <c r="N156" s="360"/>
      <c r="P156" s="1140"/>
      <c r="Q156" s="1140"/>
      <c r="R156" s="1140"/>
      <c r="S156" s="1140"/>
      <c r="T156" s="1140"/>
      <c r="U156" s="1140"/>
    </row>
    <row r="157" spans="1:44" ht="15" outlineLevel="1" thickBot="1">
      <c r="B157" s="1204"/>
      <c r="C157" s="1140"/>
      <c r="D157" s="1140"/>
      <c r="E157" s="1140"/>
      <c r="F157" s="1140"/>
      <c r="G157" s="1140"/>
      <c r="H157" s="1140"/>
      <c r="I157" s="1140"/>
      <c r="J157" s="1140"/>
      <c r="K157" s="1140"/>
      <c r="L157" s="1140"/>
      <c r="M157" s="1140"/>
      <c r="N157" s="360"/>
      <c r="P157" s="1140"/>
      <c r="Q157" s="1140"/>
      <c r="R157" s="1140"/>
      <c r="S157" s="1140"/>
      <c r="T157" s="1140"/>
      <c r="U157" s="1140"/>
    </row>
    <row r="158" spans="1:44" ht="20.55" customHeight="1" outlineLevel="1" thickBot="1">
      <c r="B158" s="361"/>
      <c r="C158" s="1183"/>
      <c r="D158" s="1202"/>
      <c r="E158" s="1202"/>
      <c r="F158" s="1202"/>
      <c r="G158" s="1202"/>
      <c r="H158" s="1202"/>
      <c r="I158" s="1202"/>
      <c r="J158" s="1202"/>
      <c r="K158" s="1202"/>
      <c r="L158" s="1203"/>
      <c r="M158" s="362"/>
      <c r="N158" s="362"/>
      <c r="P158" s="363"/>
      <c r="Q158" s="364"/>
      <c r="R158" s="365"/>
      <c r="S158" s="1173"/>
      <c r="T158" s="1157"/>
      <c r="U158" s="1158"/>
      <c r="V158" s="1157"/>
      <c r="W158" s="1158"/>
      <c r="X158" s="1157"/>
      <c r="Y158" s="1158"/>
      <c r="Z158" s="1157"/>
      <c r="AA158" s="1158"/>
      <c r="AB158" s="1157"/>
      <c r="AC158" s="1158"/>
      <c r="AE158" s="363"/>
      <c r="AF158" s="364"/>
      <c r="AG158" s="365"/>
      <c r="AH158" s="1173"/>
      <c r="AI158" s="1157"/>
      <c r="AJ158" s="1158"/>
      <c r="AK158" s="1157"/>
      <c r="AL158" s="1158"/>
      <c r="AM158" s="1157"/>
      <c r="AN158" s="1158"/>
      <c r="AO158" s="1157"/>
      <c r="AP158" s="1158"/>
      <c r="AQ158" s="1157"/>
      <c r="AR158" s="1158"/>
    </row>
    <row r="159" spans="1:44" ht="15" customHeight="1" outlineLevel="1" thickBot="1">
      <c r="B159" s="1161"/>
      <c r="C159" s="1163"/>
      <c r="D159" s="1163"/>
      <c r="E159" s="1163"/>
      <c r="F159" s="1163"/>
      <c r="G159" s="1218"/>
      <c r="H159" s="1219"/>
      <c r="I159" s="1218"/>
      <c r="J159" s="1219"/>
      <c r="K159" s="1186"/>
      <c r="L159" s="1186"/>
      <c r="M159" s="366"/>
      <c r="N159" s="366"/>
      <c r="P159" s="1177"/>
      <c r="Q159" s="367"/>
      <c r="R159" s="367"/>
      <c r="S159" s="1174"/>
      <c r="T159" s="1159"/>
      <c r="U159" s="1160"/>
      <c r="V159" s="1159"/>
      <c r="W159" s="1160"/>
      <c r="X159" s="1159"/>
      <c r="Y159" s="1160"/>
      <c r="Z159" s="1159"/>
      <c r="AA159" s="1160"/>
      <c r="AB159" s="1159"/>
      <c r="AC159" s="1160"/>
      <c r="AE159" s="1177"/>
      <c r="AF159" s="367"/>
      <c r="AG159" s="367"/>
      <c r="AH159" s="1174"/>
      <c r="AI159" s="1159"/>
      <c r="AJ159" s="1160"/>
      <c r="AK159" s="1159"/>
      <c r="AL159" s="1160"/>
      <c r="AM159" s="1159"/>
      <c r="AN159" s="1160"/>
      <c r="AO159" s="1159"/>
      <c r="AP159" s="1160"/>
      <c r="AQ159" s="1159"/>
      <c r="AR159" s="1160"/>
    </row>
    <row r="160" spans="1:44" ht="15" customHeight="1" outlineLevel="1" thickBot="1">
      <c r="B160" s="1162"/>
      <c r="C160" s="1164"/>
      <c r="D160" s="1164"/>
      <c r="E160" s="1164"/>
      <c r="F160" s="1164"/>
      <c r="G160" s="539"/>
      <c r="H160" s="539"/>
      <c r="I160" s="539"/>
      <c r="J160" s="539"/>
      <c r="K160" s="1187"/>
      <c r="L160" s="1187"/>
      <c r="M160" s="369"/>
      <c r="N160" s="369"/>
      <c r="P160" s="1178"/>
      <c r="Q160" s="1180"/>
      <c r="R160" s="1181"/>
      <c r="S160" s="1175"/>
      <c r="T160" s="1159"/>
      <c r="U160" s="1160"/>
      <c r="V160" s="1159"/>
      <c r="W160" s="1160"/>
      <c r="X160" s="1159"/>
      <c r="Y160" s="1160"/>
      <c r="Z160" s="1159"/>
      <c r="AA160" s="1160"/>
      <c r="AB160" s="1159"/>
      <c r="AC160" s="1160"/>
      <c r="AE160" s="1178"/>
      <c r="AF160" s="1194"/>
      <c r="AG160" s="1181"/>
      <c r="AH160" s="1175"/>
      <c r="AI160" s="1159"/>
      <c r="AJ160" s="1160"/>
      <c r="AK160" s="1159"/>
      <c r="AL160" s="1160"/>
      <c r="AM160" s="1159"/>
      <c r="AN160" s="1160"/>
      <c r="AO160" s="1159"/>
      <c r="AP160" s="1160"/>
      <c r="AQ160" s="1159"/>
      <c r="AR160" s="1160"/>
    </row>
    <row r="161" spans="2:44" ht="15" outlineLevel="1" thickBot="1">
      <c r="B161" s="370"/>
      <c r="C161" s="371"/>
      <c r="D161" s="371"/>
      <c r="E161" s="371"/>
      <c r="F161" s="371"/>
      <c r="G161" s="371"/>
      <c r="H161" s="371"/>
      <c r="I161" s="371"/>
      <c r="J161" s="371"/>
      <c r="K161" s="371"/>
      <c r="L161" s="372"/>
      <c r="M161" s="369"/>
      <c r="N161" s="369"/>
      <c r="O161" s="74"/>
      <c r="P161" s="1179"/>
      <c r="Q161" s="1176"/>
      <c r="R161" s="1182"/>
      <c r="S161" s="1176"/>
      <c r="T161" s="373"/>
      <c r="U161" s="374"/>
      <c r="V161" s="373"/>
      <c r="W161" s="374"/>
      <c r="X161" s="373"/>
      <c r="Y161" s="374"/>
      <c r="Z161" s="373"/>
      <c r="AA161" s="374"/>
      <c r="AB161" s="373"/>
      <c r="AC161" s="374"/>
      <c r="AE161" s="1179"/>
      <c r="AF161" s="1195"/>
      <c r="AG161" s="1182"/>
      <c r="AH161" s="1176"/>
      <c r="AI161" s="373"/>
      <c r="AJ161" s="374"/>
      <c r="AK161" s="373"/>
      <c r="AL161" s="374"/>
      <c r="AM161" s="373"/>
      <c r="AN161" s="374"/>
      <c r="AO161" s="373"/>
      <c r="AP161" s="374"/>
      <c r="AQ161" s="373"/>
      <c r="AR161" s="374"/>
    </row>
    <row r="162" spans="2:44" ht="14.55" customHeight="1" outlineLevel="1">
      <c r="B162" s="540"/>
      <c r="C162" s="541"/>
      <c r="D162" s="541"/>
      <c r="E162" s="542"/>
      <c r="F162" s="541"/>
      <c r="G162" s="541"/>
      <c r="H162" s="541"/>
      <c r="I162" s="541"/>
      <c r="J162" s="541"/>
      <c r="K162" s="371"/>
      <c r="L162" s="372"/>
      <c r="M162" s="369"/>
      <c r="N162" s="369"/>
      <c r="P162" s="1145"/>
      <c r="Q162" s="1151"/>
      <c r="R162" s="380"/>
      <c r="S162" s="381"/>
      <c r="T162" s="1134"/>
      <c r="U162" s="1148"/>
      <c r="V162" s="1134"/>
      <c r="W162" s="1148"/>
      <c r="X162" s="1134"/>
      <c r="Y162" s="1148"/>
      <c r="Z162" s="1134"/>
      <c r="AA162" s="1148"/>
      <c r="AB162" s="1134"/>
      <c r="AC162" s="1148"/>
      <c r="AE162" s="1145"/>
      <c r="AF162" s="1151"/>
      <c r="AG162" s="380"/>
      <c r="AH162" s="381"/>
      <c r="AI162" s="1134"/>
      <c r="AJ162" s="1148"/>
      <c r="AK162" s="1134"/>
      <c r="AL162" s="1148"/>
      <c r="AM162" s="1134"/>
      <c r="AN162" s="1148"/>
      <c r="AO162" s="1134"/>
      <c r="AP162" s="1148"/>
      <c r="AQ162" s="1134"/>
      <c r="AR162" s="1148"/>
    </row>
    <row r="163" spans="2:44" outlineLevel="1">
      <c r="B163" s="382"/>
      <c r="C163" s="383"/>
      <c r="D163" s="383"/>
      <c r="E163" s="383"/>
      <c r="F163" s="383"/>
      <c r="G163" s="504"/>
      <c r="H163" s="504"/>
      <c r="I163" s="504"/>
      <c r="J163" s="504"/>
      <c r="K163" s="371"/>
      <c r="L163" s="372"/>
      <c r="M163" s="369"/>
      <c r="N163" s="369"/>
      <c r="O163" s="71"/>
      <c r="P163" s="1192"/>
      <c r="Q163" s="1152"/>
      <c r="R163" s="387"/>
      <c r="S163" s="388"/>
      <c r="T163" s="1137"/>
      <c r="U163" s="1149"/>
      <c r="V163" s="1137"/>
      <c r="W163" s="1149"/>
      <c r="X163" s="1137"/>
      <c r="Y163" s="1149"/>
      <c r="Z163" s="1137"/>
      <c r="AA163" s="1149"/>
      <c r="AB163" s="1137"/>
      <c r="AC163" s="1149"/>
      <c r="AE163" s="1192"/>
      <c r="AF163" s="1152"/>
      <c r="AG163" s="387"/>
      <c r="AH163" s="388"/>
      <c r="AI163" s="1137"/>
      <c r="AJ163" s="1149"/>
      <c r="AK163" s="1137"/>
      <c r="AL163" s="1149"/>
      <c r="AM163" s="1137"/>
      <c r="AN163" s="1149"/>
      <c r="AO163" s="1137"/>
      <c r="AP163" s="1149"/>
      <c r="AQ163" s="1137"/>
      <c r="AR163" s="1149"/>
    </row>
    <row r="164" spans="2:44" ht="15" outlineLevel="1" thickBot="1">
      <c r="B164" s="540"/>
      <c r="C164" s="543"/>
      <c r="D164" s="544"/>
      <c r="E164" s="544"/>
      <c r="F164" s="545"/>
      <c r="G164" s="544"/>
      <c r="H164" s="544"/>
      <c r="I164" s="544"/>
      <c r="J164" s="544"/>
      <c r="K164" s="546"/>
      <c r="L164" s="547"/>
      <c r="M164" s="369"/>
      <c r="N164" s="369"/>
      <c r="O164" s="71"/>
      <c r="P164" s="1192"/>
      <c r="Q164" s="1153"/>
      <c r="R164" s="392"/>
      <c r="S164" s="393"/>
      <c r="T164" s="1138"/>
      <c r="U164" s="1150"/>
      <c r="V164" s="1138"/>
      <c r="W164" s="1150"/>
      <c r="X164" s="1138"/>
      <c r="Y164" s="1150"/>
      <c r="Z164" s="1138"/>
      <c r="AA164" s="1150"/>
      <c r="AB164" s="1138"/>
      <c r="AC164" s="1150"/>
      <c r="AE164" s="1192"/>
      <c r="AF164" s="1153"/>
      <c r="AG164" s="392"/>
      <c r="AH164" s="393"/>
      <c r="AI164" s="1138"/>
      <c r="AJ164" s="1150"/>
      <c r="AK164" s="1138"/>
      <c r="AL164" s="1150"/>
      <c r="AM164" s="1138"/>
      <c r="AN164" s="1150"/>
      <c r="AO164" s="1138"/>
      <c r="AP164" s="1150"/>
      <c r="AQ164" s="1138"/>
      <c r="AR164" s="1150"/>
    </row>
    <row r="165" spans="2:44" ht="14.55" customHeight="1" outlineLevel="1">
      <c r="B165" s="540"/>
      <c r="C165" s="543"/>
      <c r="D165" s="543"/>
      <c r="E165" s="543"/>
      <c r="F165" s="543"/>
      <c r="G165" s="543"/>
      <c r="H165" s="543"/>
      <c r="I165" s="543"/>
      <c r="J165" s="543"/>
      <c r="K165" s="546"/>
      <c r="L165" s="547"/>
      <c r="M165" s="369"/>
      <c r="N165" s="369"/>
      <c r="O165" s="71"/>
      <c r="P165" s="1192"/>
      <c r="Q165" s="1151"/>
      <c r="R165" s="394"/>
      <c r="S165" s="395"/>
      <c r="T165" s="1134"/>
      <c r="U165" s="1134"/>
      <c r="V165" s="1134"/>
      <c r="W165" s="1134"/>
      <c r="X165" s="1134"/>
      <c r="Y165" s="1134"/>
      <c r="Z165" s="1134"/>
      <c r="AA165" s="1134"/>
      <c r="AB165" s="1134"/>
      <c r="AC165" s="1134"/>
      <c r="AE165" s="1192"/>
      <c r="AF165" s="1151"/>
      <c r="AG165" s="394"/>
      <c r="AH165" s="395"/>
      <c r="AI165" s="1134"/>
      <c r="AJ165" s="1134"/>
      <c r="AK165" s="1134"/>
      <c r="AL165" s="1134"/>
      <c r="AM165" s="1134"/>
      <c r="AN165" s="1134"/>
      <c r="AO165" s="1134"/>
      <c r="AP165" s="1134"/>
      <c r="AQ165" s="1134"/>
      <c r="AR165" s="1134"/>
    </row>
    <row r="166" spans="2:44" outlineLevel="1">
      <c r="B166" s="540"/>
      <c r="C166" s="543"/>
      <c r="D166" s="543"/>
      <c r="E166" s="543"/>
      <c r="F166" s="543"/>
      <c r="G166" s="543"/>
      <c r="H166" s="543"/>
      <c r="I166" s="543"/>
      <c r="J166" s="543"/>
      <c r="K166" s="546"/>
      <c r="L166" s="547"/>
      <c r="M166" s="366"/>
      <c r="N166" s="366"/>
      <c r="O166" s="71"/>
      <c r="P166" s="1192"/>
      <c r="Q166" s="1152"/>
      <c r="R166" s="394"/>
      <c r="S166" s="395"/>
      <c r="T166" s="1135"/>
      <c r="U166" s="1135"/>
      <c r="V166" s="1135"/>
      <c r="W166" s="1135"/>
      <c r="X166" s="1135"/>
      <c r="Y166" s="1135"/>
      <c r="Z166" s="1135"/>
      <c r="AA166" s="1135"/>
      <c r="AB166" s="1135"/>
      <c r="AC166" s="1135"/>
      <c r="AE166" s="1192"/>
      <c r="AF166" s="1152"/>
      <c r="AG166" s="394"/>
      <c r="AH166" s="395"/>
      <c r="AI166" s="1135"/>
      <c r="AJ166" s="1135"/>
      <c r="AK166" s="1135"/>
      <c r="AL166" s="1135"/>
      <c r="AM166" s="1135"/>
      <c r="AN166" s="1135"/>
      <c r="AO166" s="1135"/>
      <c r="AP166" s="1135"/>
      <c r="AQ166" s="1135"/>
      <c r="AR166" s="1135"/>
    </row>
    <row r="167" spans="2:44" outlineLevel="1">
      <c r="B167" s="382"/>
      <c r="C167" s="396"/>
      <c r="D167" s="396"/>
      <c r="E167" s="396"/>
      <c r="F167" s="398"/>
      <c r="G167" s="398"/>
      <c r="H167" s="398"/>
      <c r="I167" s="398"/>
      <c r="J167" s="398"/>
      <c r="K167" s="371"/>
      <c r="L167" s="372"/>
      <c r="M167" s="362"/>
      <c r="N167" s="362"/>
      <c r="P167" s="1192"/>
      <c r="Q167" s="1152"/>
      <c r="R167" s="394"/>
      <c r="S167" s="395"/>
      <c r="T167" s="1135"/>
      <c r="U167" s="1135"/>
      <c r="V167" s="1135"/>
      <c r="W167" s="1135"/>
      <c r="X167" s="1135"/>
      <c r="Y167" s="1135"/>
      <c r="Z167" s="1135"/>
      <c r="AA167" s="1135"/>
      <c r="AB167" s="1135"/>
      <c r="AC167" s="1135"/>
      <c r="AE167" s="1192"/>
      <c r="AF167" s="1152"/>
      <c r="AG167" s="394"/>
      <c r="AH167" s="395"/>
      <c r="AI167" s="1135"/>
      <c r="AJ167" s="1135"/>
      <c r="AK167" s="1135"/>
      <c r="AL167" s="1135"/>
      <c r="AM167" s="1135"/>
      <c r="AN167" s="1135"/>
      <c r="AO167" s="1135"/>
      <c r="AP167" s="1135"/>
      <c r="AQ167" s="1135"/>
      <c r="AR167" s="1135"/>
    </row>
    <row r="168" spans="2:44" ht="15" outlineLevel="1" thickBot="1">
      <c r="B168" s="540"/>
      <c r="C168" s="543"/>
      <c r="D168" s="543"/>
      <c r="E168" s="543"/>
      <c r="F168" s="543"/>
      <c r="G168" s="543"/>
      <c r="H168" s="543"/>
      <c r="I168" s="543"/>
      <c r="J168" s="543"/>
      <c r="K168" s="371"/>
      <c r="L168" s="399"/>
      <c r="M168" s="362"/>
      <c r="N168" s="362"/>
      <c r="P168" s="1192"/>
      <c r="Q168" s="1152"/>
      <c r="R168" s="394"/>
      <c r="S168" s="395"/>
      <c r="T168" s="1135"/>
      <c r="U168" s="1135"/>
      <c r="V168" s="1135"/>
      <c r="W168" s="1135"/>
      <c r="X168" s="1135"/>
      <c r="Y168" s="1135"/>
      <c r="Z168" s="1135"/>
      <c r="AA168" s="1135"/>
      <c r="AB168" s="1135"/>
      <c r="AC168" s="1135"/>
      <c r="AE168" s="1192"/>
      <c r="AF168" s="1152"/>
      <c r="AG168" s="394"/>
      <c r="AH168" s="395"/>
      <c r="AI168" s="1135"/>
      <c r="AJ168" s="1135"/>
      <c r="AK168" s="1135"/>
      <c r="AL168" s="1135"/>
      <c r="AM168" s="1135"/>
      <c r="AN168" s="1135"/>
      <c r="AO168" s="1135"/>
      <c r="AP168" s="1135"/>
      <c r="AQ168" s="1135"/>
      <c r="AR168" s="1135"/>
    </row>
    <row r="169" spans="2:44" ht="15" outlineLevel="1" thickBot="1">
      <c r="B169" s="400"/>
      <c r="C169" s="401"/>
      <c r="D169" s="402"/>
      <c r="E169" s="403"/>
      <c r="F169" s="404"/>
      <c r="G169" s="405"/>
      <c r="H169" s="405"/>
      <c r="I169" s="405"/>
      <c r="J169" s="405"/>
      <c r="K169" s="406"/>
      <c r="L169" s="407"/>
      <c r="M169" s="362"/>
      <c r="N169" s="362"/>
      <c r="P169" s="1192"/>
      <c r="Q169" s="1152"/>
      <c r="R169" s="408"/>
      <c r="S169" s="409"/>
      <c r="T169" s="1136"/>
      <c r="U169" s="1136"/>
      <c r="V169" s="1136"/>
      <c r="W169" s="1136"/>
      <c r="X169" s="1136"/>
      <c r="Y169" s="1136"/>
      <c r="Z169" s="1136"/>
      <c r="AA169" s="1136"/>
      <c r="AB169" s="1136"/>
      <c r="AC169" s="1136"/>
      <c r="AE169" s="1192"/>
      <c r="AF169" s="1152"/>
      <c r="AG169" s="408"/>
      <c r="AH169" s="409"/>
      <c r="AI169" s="1136"/>
      <c r="AJ169" s="1136"/>
      <c r="AK169" s="1136"/>
      <c r="AL169" s="1136"/>
      <c r="AM169" s="1136"/>
      <c r="AN169" s="1136"/>
      <c r="AO169" s="1136"/>
      <c r="AP169" s="1136"/>
      <c r="AQ169" s="1136"/>
      <c r="AR169" s="1136"/>
    </row>
    <row r="170" spans="2:44" ht="15" outlineLevel="1" thickBot="1">
      <c r="B170" s="540"/>
      <c r="C170" s="543"/>
      <c r="D170" s="543"/>
      <c r="E170" s="543"/>
      <c r="F170" s="543"/>
      <c r="G170" s="544"/>
      <c r="H170" s="544"/>
      <c r="I170" s="544"/>
      <c r="J170" s="544"/>
      <c r="K170" s="546"/>
      <c r="L170" s="547"/>
      <c r="M170" s="362"/>
      <c r="N170" s="362"/>
      <c r="P170" s="1193"/>
      <c r="Q170" s="410"/>
      <c r="R170" s="411"/>
      <c r="S170" s="412"/>
      <c r="T170" s="413"/>
      <c r="U170" s="414"/>
      <c r="V170" s="415"/>
      <c r="W170" s="414"/>
      <c r="X170" s="415"/>
      <c r="Y170" s="414"/>
      <c r="Z170" s="415"/>
      <c r="AA170" s="414"/>
      <c r="AB170" s="415"/>
      <c r="AC170" s="416"/>
      <c r="AE170" s="1193"/>
      <c r="AF170" s="410"/>
      <c r="AG170" s="411"/>
      <c r="AH170" s="412"/>
      <c r="AI170" s="413"/>
      <c r="AJ170" s="414"/>
      <c r="AK170" s="415"/>
      <c r="AL170" s="414"/>
      <c r="AM170" s="415"/>
      <c r="AN170" s="414"/>
      <c r="AO170" s="415"/>
      <c r="AP170" s="414"/>
      <c r="AQ170" s="415"/>
      <c r="AR170" s="416"/>
    </row>
    <row r="171" spans="2:44" outlineLevel="1">
      <c r="B171" s="540"/>
      <c r="C171" s="543"/>
      <c r="D171" s="543"/>
      <c r="E171" s="543"/>
      <c r="F171" s="543"/>
      <c r="G171" s="548"/>
      <c r="H171" s="548"/>
      <c r="I171" s="548"/>
      <c r="J171" s="548"/>
      <c r="K171" s="549"/>
      <c r="L171" s="547"/>
      <c r="M171" s="362"/>
      <c r="N171" s="362"/>
    </row>
    <row r="172" spans="2:44" outlineLevel="1">
      <c r="B172" s="540"/>
      <c r="C172" s="543"/>
      <c r="D172" s="543"/>
      <c r="E172" s="543"/>
      <c r="F172" s="543"/>
      <c r="G172" s="548"/>
      <c r="H172" s="548"/>
      <c r="I172" s="548"/>
      <c r="J172" s="548"/>
      <c r="K172" s="549"/>
      <c r="L172" s="547"/>
      <c r="M172" s="419"/>
      <c r="N172" s="362"/>
    </row>
    <row r="173" spans="2:44" outlineLevel="1">
      <c r="B173" s="420"/>
      <c r="C173" s="398"/>
      <c r="D173" s="398"/>
      <c r="E173" s="398"/>
      <c r="F173" s="398"/>
      <c r="G173" s="421"/>
      <c r="H173" s="421"/>
      <c r="I173" s="421"/>
      <c r="J173" s="421"/>
      <c r="K173" s="422"/>
      <c r="L173" s="423"/>
      <c r="M173" s="419"/>
      <c r="N173" s="419"/>
    </row>
    <row r="174" spans="2:44" outlineLevel="1">
      <c r="B174" s="382"/>
      <c r="C174" s="396"/>
      <c r="D174" s="396"/>
      <c r="E174" s="396"/>
      <c r="F174" s="396"/>
      <c r="G174" s="421"/>
      <c r="H174" s="424"/>
      <c r="I174" s="424"/>
      <c r="J174" s="424"/>
      <c r="K174" s="425"/>
      <c r="L174" s="426"/>
      <c r="M174" s="427"/>
      <c r="N174" s="427"/>
    </row>
    <row r="175" spans="2:44" outlineLevel="1">
      <c r="B175" s="382"/>
      <c r="C175" s="396"/>
      <c r="D175" s="396"/>
      <c r="E175" s="396"/>
      <c r="F175" s="396"/>
      <c r="G175" s="424"/>
      <c r="H175" s="424"/>
      <c r="I175" s="424"/>
      <c r="J175" s="424"/>
      <c r="K175" s="422"/>
      <c r="L175" s="426"/>
      <c r="M175" s="427"/>
      <c r="N175" s="427"/>
    </row>
    <row r="176" spans="2:44" outlineLevel="1">
      <c r="B176" s="382"/>
      <c r="C176" s="396"/>
      <c r="D176" s="396"/>
      <c r="E176" s="396"/>
      <c r="F176" s="396"/>
      <c r="G176" s="424"/>
      <c r="H176" s="424"/>
      <c r="I176" s="424"/>
      <c r="J176" s="424"/>
      <c r="K176" s="422"/>
      <c r="L176" s="426"/>
      <c r="M176" s="427"/>
      <c r="N176" s="427"/>
    </row>
    <row r="177" spans="1:30" outlineLevel="1">
      <c r="B177" s="382"/>
      <c r="C177" s="396"/>
      <c r="D177" s="396"/>
      <c r="E177" s="396"/>
      <c r="F177" s="396"/>
      <c r="G177" s="424"/>
      <c r="H177" s="424"/>
      <c r="I177" s="424"/>
      <c r="J177" s="424"/>
      <c r="K177" s="422"/>
      <c r="L177" s="426"/>
      <c r="M177" s="427"/>
      <c r="N177" s="427"/>
    </row>
    <row r="178" spans="1:30" ht="15" outlineLevel="1" thickBot="1">
      <c r="B178" s="428"/>
      <c r="C178" s="429"/>
      <c r="D178" s="429"/>
      <c r="E178" s="429"/>
      <c r="F178" s="429"/>
      <c r="G178" s="424"/>
      <c r="H178" s="424"/>
      <c r="I178" s="424"/>
      <c r="J178" s="424"/>
      <c r="K178" s="422"/>
      <c r="L178" s="426"/>
      <c r="M178" s="427"/>
      <c r="N178" s="427"/>
    </row>
    <row r="179" spans="1:30" ht="15" outlineLevel="1" thickBot="1">
      <c r="B179" s="430"/>
      <c r="C179" s="431"/>
      <c r="D179" s="402"/>
      <c r="E179" s="402"/>
      <c r="F179" s="432"/>
      <c r="G179" s="433"/>
      <c r="H179" s="405"/>
      <c r="I179" s="405"/>
      <c r="J179" s="405"/>
      <c r="K179" s="406"/>
      <c r="L179" s="407"/>
      <c r="M179" s="427"/>
      <c r="N179" s="427"/>
    </row>
    <row r="180" spans="1:30" outlineLevel="1">
      <c r="A180" s="434"/>
      <c r="B180" s="435"/>
      <c r="C180" s="550"/>
      <c r="D180" s="437"/>
      <c r="E180" s="437"/>
      <c r="F180" s="438"/>
      <c r="G180" s="424"/>
      <c r="H180" s="424"/>
      <c r="I180" s="424"/>
      <c r="J180" s="424"/>
      <c r="K180" s="425"/>
      <c r="L180" s="439"/>
      <c r="M180" s="419"/>
      <c r="N180" s="419"/>
    </row>
    <row r="181" spans="1:30" outlineLevel="1">
      <c r="B181" s="440"/>
      <c r="C181" s="441"/>
      <c r="D181" s="442"/>
      <c r="E181" s="442"/>
      <c r="F181" s="442"/>
      <c r="G181" s="424"/>
      <c r="H181" s="424"/>
      <c r="I181" s="424"/>
      <c r="J181" s="424"/>
      <c r="K181" s="443"/>
      <c r="L181" s="372"/>
      <c r="M181" s="71"/>
      <c r="N181" s="419"/>
    </row>
    <row r="182" spans="1:30" outlineLevel="1">
      <c r="B182" s="440"/>
      <c r="C182" s="441"/>
      <c r="D182" s="441"/>
      <c r="E182" s="441"/>
      <c r="F182" s="441"/>
      <c r="G182" s="424"/>
      <c r="H182" s="424"/>
      <c r="I182" s="424"/>
      <c r="J182" s="424"/>
      <c r="K182" s="443"/>
      <c r="L182" s="372"/>
      <c r="M182" s="419"/>
      <c r="N182" s="419"/>
    </row>
    <row r="183" spans="1:30" outlineLevel="1">
      <c r="B183" s="382"/>
      <c r="C183" s="444"/>
      <c r="D183" s="445"/>
      <c r="E183" s="445"/>
      <c r="F183" s="446"/>
      <c r="G183" s="424"/>
      <c r="H183" s="424"/>
      <c r="I183" s="424"/>
      <c r="J183" s="424"/>
      <c r="K183" s="447"/>
      <c r="L183" s="372"/>
      <c r="M183" s="419"/>
      <c r="N183" s="419"/>
    </row>
    <row r="184" spans="1:30" outlineLevel="1">
      <c r="B184" s="382"/>
      <c r="C184" s="448"/>
      <c r="D184" s="448"/>
      <c r="E184" s="448"/>
      <c r="F184" s="448"/>
      <c r="G184" s="424"/>
      <c r="H184" s="424"/>
      <c r="I184" s="424"/>
      <c r="J184" s="424"/>
      <c r="K184" s="447"/>
      <c r="L184" s="372"/>
      <c r="M184" s="449"/>
      <c r="N184" s="360"/>
      <c r="P184" s="1139"/>
      <c r="Q184" s="1140"/>
      <c r="R184" s="1140"/>
      <c r="S184" s="1140"/>
      <c r="T184" s="1140"/>
      <c r="U184" s="1141"/>
    </row>
    <row r="185" spans="1:30" ht="15" outlineLevel="1" thickBot="1">
      <c r="B185" s="540"/>
      <c r="C185" s="551"/>
      <c r="D185" s="551"/>
      <c r="E185" s="551"/>
      <c r="F185" s="551"/>
      <c r="G185" s="552"/>
      <c r="H185" s="552"/>
      <c r="I185" s="552"/>
      <c r="J185" s="552"/>
      <c r="K185" s="546"/>
      <c r="L185" s="547"/>
      <c r="M185" s="449"/>
      <c r="N185" s="360"/>
      <c r="P185" s="1131"/>
      <c r="Q185" s="1132"/>
      <c r="R185" s="1132"/>
      <c r="S185" s="1132"/>
      <c r="T185" s="1132"/>
      <c r="U185" s="1133"/>
    </row>
    <row r="186" spans="1:30" outlineLevel="1">
      <c r="B186" s="540"/>
      <c r="C186" s="553"/>
      <c r="D186" s="553"/>
      <c r="E186" s="553"/>
      <c r="F186" s="553"/>
      <c r="G186" s="552"/>
      <c r="H186" s="552"/>
      <c r="I186" s="552"/>
      <c r="J186" s="552"/>
      <c r="K186" s="554"/>
      <c r="L186" s="547"/>
      <c r="M186" s="362"/>
      <c r="N186" s="362"/>
      <c r="P186" s="53"/>
    </row>
    <row r="187" spans="1:30" outlineLevel="1">
      <c r="B187" s="440"/>
      <c r="C187" s="455"/>
      <c r="D187" s="455"/>
      <c r="E187" s="455"/>
      <c r="F187" s="455"/>
      <c r="G187" s="424"/>
      <c r="H187" s="424"/>
      <c r="I187" s="424"/>
      <c r="J187" s="424"/>
      <c r="K187" s="443"/>
      <c r="L187" s="423"/>
      <c r="M187" s="366"/>
      <c r="N187" s="366"/>
      <c r="P187" s="46"/>
      <c r="Q187" s="46"/>
      <c r="R187" s="47"/>
      <c r="S187" s="47"/>
      <c r="T187" s="47"/>
      <c r="U187" s="48"/>
      <c r="V187" s="49"/>
      <c r="W187" s="49"/>
      <c r="X187" s="49"/>
      <c r="Y187" s="49"/>
      <c r="Z187" s="49"/>
      <c r="AA187" s="49"/>
      <c r="AB187" s="49"/>
      <c r="AC187" s="49"/>
      <c r="AD187" s="49"/>
    </row>
    <row r="188" spans="1:30" ht="15" outlineLevel="1" thickBot="1">
      <c r="B188" s="440"/>
      <c r="C188" s="441"/>
      <c r="D188" s="456"/>
      <c r="E188" s="456"/>
      <c r="F188" s="457"/>
      <c r="G188" s="424"/>
      <c r="H188" s="424"/>
      <c r="I188" s="424"/>
      <c r="J188" s="424"/>
      <c r="K188" s="447"/>
      <c r="L188" s="423"/>
      <c r="M188" s="362"/>
      <c r="N188" s="362"/>
      <c r="P188" s="50"/>
      <c r="Q188" s="50"/>
      <c r="R188" s="51"/>
      <c r="S188" s="51"/>
      <c r="T188" s="51"/>
      <c r="U188" s="51"/>
      <c r="V188" s="50"/>
      <c r="W188" s="50"/>
      <c r="X188" s="50"/>
      <c r="Y188" s="50"/>
      <c r="Z188" s="50"/>
      <c r="AA188" s="50"/>
      <c r="AB188" s="50"/>
      <c r="AC188" s="50"/>
      <c r="AD188" s="50"/>
    </row>
    <row r="189" spans="1:30" ht="15" outlineLevel="1" thickBot="1">
      <c r="B189" s="400"/>
      <c r="C189" s="401"/>
      <c r="D189" s="402"/>
      <c r="E189" s="403"/>
      <c r="F189" s="404"/>
      <c r="G189" s="405"/>
      <c r="H189" s="405"/>
      <c r="I189" s="405"/>
      <c r="J189" s="405"/>
      <c r="K189" s="458"/>
      <c r="L189" s="459"/>
      <c r="M189" s="362"/>
      <c r="N189" s="362"/>
      <c r="O189" s="460"/>
      <c r="P189" s="56"/>
      <c r="Q189" s="56"/>
      <c r="R189" s="57"/>
      <c r="S189" s="57"/>
      <c r="T189" s="57"/>
      <c r="U189" s="56"/>
      <c r="V189" s="56"/>
      <c r="W189" s="56"/>
      <c r="X189" s="56"/>
      <c r="Y189" s="56"/>
      <c r="Z189" s="56"/>
      <c r="AA189" s="56"/>
      <c r="AB189" s="56"/>
      <c r="AC189" s="56"/>
      <c r="AD189" s="56"/>
    </row>
    <row r="190" spans="1:30" outlineLevel="1">
      <c r="B190" s="555"/>
      <c r="C190" s="556"/>
      <c r="D190" s="556"/>
      <c r="E190" s="556"/>
      <c r="F190" s="556"/>
      <c r="G190" s="557"/>
      <c r="H190" s="557"/>
      <c r="I190" s="557"/>
      <c r="J190" s="557"/>
      <c r="K190" s="557"/>
      <c r="L190" s="558"/>
      <c r="M190" s="362"/>
      <c r="N190" s="362"/>
      <c r="O190" s="464"/>
      <c r="P190" s="465"/>
      <c r="Q190" s="58"/>
      <c r="R190" s="465"/>
      <c r="S190" s="58"/>
      <c r="T190" s="465"/>
      <c r="U190" s="466"/>
      <c r="V190" s="466"/>
      <c r="W190" s="466"/>
      <c r="X190" s="58"/>
      <c r="Y190" s="58"/>
      <c r="Z190" s="465"/>
      <c r="AA190" s="467"/>
      <c r="AB190" s="467"/>
      <c r="AC190" s="467"/>
      <c r="AD190" s="467"/>
    </row>
    <row r="191" spans="1:30" outlineLevel="1">
      <c r="B191" s="540"/>
      <c r="C191" s="559"/>
      <c r="D191" s="560"/>
      <c r="E191" s="560"/>
      <c r="F191" s="561"/>
      <c r="G191" s="561"/>
      <c r="H191" s="561"/>
      <c r="I191" s="561"/>
      <c r="J191" s="561"/>
      <c r="K191" s="562"/>
      <c r="L191" s="558"/>
      <c r="M191" s="362"/>
      <c r="N191" s="362"/>
      <c r="O191" s="464"/>
      <c r="P191" s="465"/>
      <c r="Q191" s="58"/>
      <c r="R191" s="465"/>
      <c r="S191" s="58"/>
      <c r="T191" s="465"/>
      <c r="U191" s="466"/>
      <c r="V191" s="466"/>
      <c r="W191" s="466"/>
      <c r="X191" s="58"/>
      <c r="Y191" s="58"/>
      <c r="Z191" s="465"/>
      <c r="AA191" s="467"/>
      <c r="AB191" s="467"/>
      <c r="AC191" s="467"/>
      <c r="AD191" s="467"/>
    </row>
    <row r="192" spans="1:30" outlineLevel="1">
      <c r="B192" s="540"/>
      <c r="C192" s="559"/>
      <c r="D192" s="560"/>
      <c r="E192" s="560"/>
      <c r="F192" s="561"/>
      <c r="G192" s="561"/>
      <c r="H192" s="561"/>
      <c r="I192" s="561"/>
      <c r="J192" s="561"/>
      <c r="K192" s="562"/>
      <c r="L192" s="558"/>
      <c r="M192" s="362"/>
      <c r="N192" s="362"/>
      <c r="O192" s="464"/>
      <c r="P192" s="465"/>
      <c r="Q192" s="58"/>
      <c r="R192" s="465"/>
      <c r="S192" s="58"/>
      <c r="T192" s="465"/>
      <c r="U192" s="466"/>
      <c r="V192" s="466"/>
      <c r="W192" s="466"/>
      <c r="X192" s="58"/>
      <c r="Y192" s="58"/>
      <c r="Z192" s="465"/>
      <c r="AA192" s="467"/>
      <c r="AB192" s="467"/>
      <c r="AC192" s="467"/>
      <c r="AD192" s="467"/>
    </row>
    <row r="193" spans="1:30" outlineLevel="1">
      <c r="B193" s="540"/>
      <c r="C193" s="563"/>
      <c r="D193" s="563"/>
      <c r="E193" s="563"/>
      <c r="F193" s="563"/>
      <c r="G193" s="564"/>
      <c r="H193" s="564"/>
      <c r="I193" s="564"/>
      <c r="J193" s="564"/>
      <c r="K193" s="564"/>
      <c r="L193" s="547"/>
      <c r="M193" s="362"/>
      <c r="N193" s="362"/>
      <c r="O193" s="464"/>
      <c r="P193" s="465"/>
      <c r="Q193" s="58"/>
      <c r="R193" s="465"/>
      <c r="S193" s="58"/>
      <c r="T193" s="465"/>
      <c r="U193" s="466"/>
      <c r="V193" s="466"/>
      <c r="W193" s="466"/>
      <c r="X193" s="58"/>
      <c r="Y193" s="58"/>
      <c r="Z193" s="465"/>
      <c r="AA193" s="467"/>
      <c r="AB193" s="467"/>
      <c r="AC193" s="467"/>
      <c r="AD193" s="467"/>
    </row>
    <row r="194" spans="1:30" outlineLevel="1">
      <c r="B194" s="565"/>
      <c r="C194" s="559"/>
      <c r="D194" s="560"/>
      <c r="E194" s="560"/>
      <c r="F194" s="561"/>
      <c r="G194" s="561"/>
      <c r="H194" s="561"/>
      <c r="I194" s="561"/>
      <c r="J194" s="561"/>
      <c r="K194" s="562"/>
      <c r="L194" s="558"/>
      <c r="M194" s="366"/>
      <c r="N194" s="366"/>
    </row>
    <row r="195" spans="1:30" outlineLevel="1">
      <c r="B195" s="565"/>
      <c r="C195" s="559"/>
      <c r="D195" s="560"/>
      <c r="E195" s="560"/>
      <c r="F195" s="561"/>
      <c r="G195" s="561"/>
      <c r="H195" s="561"/>
      <c r="I195" s="561"/>
      <c r="J195" s="561"/>
      <c r="K195" s="562"/>
      <c r="L195" s="558"/>
      <c r="M195" s="362"/>
      <c r="N195" s="362"/>
    </row>
    <row r="196" spans="1:30" ht="15" outlineLevel="1" thickBot="1">
      <c r="B196" s="566"/>
      <c r="C196" s="567"/>
      <c r="D196" s="567"/>
      <c r="E196" s="567"/>
      <c r="F196" s="567"/>
      <c r="G196" s="567"/>
      <c r="H196" s="567"/>
      <c r="I196" s="567"/>
      <c r="J196" s="567"/>
      <c r="K196" s="567"/>
      <c r="L196" s="568"/>
      <c r="M196" s="362"/>
      <c r="N196" s="362"/>
    </row>
    <row r="197" spans="1:30" outlineLevel="1">
      <c r="B197" s="460"/>
      <c r="C197" s="482"/>
      <c r="D197" s="482"/>
      <c r="E197" s="482"/>
      <c r="F197" s="482"/>
      <c r="G197" s="482"/>
      <c r="H197" s="483"/>
      <c r="I197" s="419"/>
      <c r="J197" s="419"/>
      <c r="K197" s="483"/>
      <c r="L197" s="483"/>
      <c r="N197" s="419"/>
    </row>
    <row r="198" spans="1:30" outlineLevel="1">
      <c r="B198" s="484"/>
      <c r="C198" s="485"/>
      <c r="D198" s="485"/>
      <c r="E198" s="485"/>
      <c r="F198" s="485"/>
      <c r="G198" s="485"/>
      <c r="H198" s="483"/>
      <c r="I198" s="71"/>
      <c r="J198" s="419"/>
      <c r="K198" s="483"/>
      <c r="L198" s="483"/>
      <c r="N198" s="419"/>
    </row>
    <row r="199" spans="1:30" outlineLevel="1">
      <c r="B199" s="460"/>
      <c r="C199" s="358"/>
      <c r="D199" s="358"/>
      <c r="E199" s="358"/>
      <c r="F199" s="358"/>
      <c r="G199" s="358"/>
      <c r="I199" s="419"/>
      <c r="J199" s="419"/>
      <c r="N199" s="419"/>
    </row>
    <row r="200" spans="1:30" outlineLevel="1">
      <c r="B200" s="460"/>
      <c r="C200" s="486"/>
      <c r="D200" s="486"/>
      <c r="E200" s="486"/>
      <c r="F200" s="486"/>
      <c r="G200" s="358"/>
      <c r="M200" s="419"/>
      <c r="N200" s="419"/>
    </row>
    <row r="201" spans="1:30" outlineLevel="1"/>
    <row r="202" spans="1:30" outlineLevel="1">
      <c r="A202" s="487"/>
      <c r="B202" s="488"/>
      <c r="D202" s="489"/>
      <c r="E202" s="489"/>
      <c r="F202" s="489"/>
      <c r="G202" s="357"/>
      <c r="H202" s="357"/>
      <c r="I202" s="357"/>
      <c r="J202" s="357"/>
      <c r="K202" s="357"/>
      <c r="L202" s="357"/>
      <c r="N202" s="569"/>
      <c r="O202" s="488"/>
      <c r="P202" s="489"/>
    </row>
    <row r="203" spans="1:30" outlineLevel="1">
      <c r="A203" s="490"/>
      <c r="B203" s="491"/>
      <c r="D203" s="489"/>
      <c r="E203" s="489"/>
      <c r="F203" s="489"/>
      <c r="G203" s="357"/>
      <c r="H203" s="357"/>
      <c r="I203" s="357"/>
      <c r="J203" s="357"/>
      <c r="K203" s="357"/>
      <c r="L203" s="357"/>
      <c r="N203" s="569"/>
      <c r="O203" s="488"/>
      <c r="P203" s="489"/>
    </row>
    <row r="204" spans="1:30" outlineLevel="1">
      <c r="A204" s="490"/>
      <c r="B204" s="492"/>
      <c r="D204" s="489"/>
      <c r="E204" s="489"/>
      <c r="F204" s="489"/>
      <c r="G204" s="357"/>
      <c r="H204" s="357"/>
      <c r="I204" s="357"/>
      <c r="J204" s="357"/>
      <c r="K204" s="357"/>
      <c r="L204" s="357"/>
      <c r="N204" s="569"/>
      <c r="O204" s="488"/>
      <c r="P204" s="489"/>
    </row>
    <row r="205" spans="1:30" outlineLevel="1">
      <c r="A205" s="490"/>
      <c r="B205" s="492"/>
      <c r="D205" s="489"/>
      <c r="E205" s="489"/>
      <c r="F205" s="489"/>
      <c r="G205" s="357"/>
      <c r="H205" s="357"/>
      <c r="I205" s="357"/>
      <c r="J205" s="357"/>
      <c r="K205" s="357"/>
      <c r="L205" s="357"/>
      <c r="N205" s="569"/>
      <c r="O205" s="488"/>
      <c r="P205" s="489"/>
    </row>
    <row r="206" spans="1:30" outlineLevel="1">
      <c r="A206" s="490"/>
      <c r="B206" s="492"/>
      <c r="D206" s="489"/>
      <c r="E206" s="489"/>
      <c r="F206" s="489"/>
      <c r="G206" s="357"/>
      <c r="H206" s="357"/>
      <c r="I206" s="357"/>
      <c r="J206" s="357"/>
      <c r="K206" s="357"/>
      <c r="L206" s="357"/>
      <c r="N206" s="569"/>
      <c r="O206" s="488"/>
      <c r="P206" s="489"/>
    </row>
    <row r="207" spans="1:30" outlineLevel="1">
      <c r="A207" s="357"/>
      <c r="B207" s="493"/>
      <c r="D207" s="489"/>
      <c r="E207" s="489"/>
      <c r="F207" s="489"/>
      <c r="G207" s="357"/>
      <c r="H207" s="357"/>
      <c r="I207" s="357"/>
      <c r="J207" s="357"/>
      <c r="K207" s="357"/>
      <c r="L207" s="357"/>
    </row>
    <row r="208" spans="1:30" outlineLevel="1">
      <c r="A208" s="357"/>
      <c r="B208" s="491"/>
      <c r="D208" s="489"/>
      <c r="E208" s="489"/>
      <c r="F208" s="489"/>
      <c r="G208" s="357"/>
      <c r="H208" s="357"/>
      <c r="I208" s="357"/>
      <c r="J208" s="357"/>
      <c r="K208" s="357"/>
      <c r="L208" s="357"/>
    </row>
    <row r="209" spans="1:16" outlineLevel="1">
      <c r="A209" s="357"/>
      <c r="B209" s="494"/>
      <c r="D209" s="489"/>
      <c r="E209" s="489"/>
      <c r="F209" s="489"/>
      <c r="G209" s="357"/>
      <c r="H209" s="357"/>
      <c r="I209" s="357"/>
      <c r="J209" s="357"/>
      <c r="K209" s="357"/>
      <c r="L209" s="357"/>
    </row>
    <row r="210" spans="1:16" outlineLevel="1">
      <c r="A210" s="357"/>
      <c r="B210" s="494"/>
      <c r="D210" s="489"/>
      <c r="E210" s="489"/>
      <c r="F210" s="489"/>
      <c r="G210" s="357"/>
      <c r="H210" s="357"/>
      <c r="I210" s="357"/>
      <c r="J210" s="357"/>
      <c r="K210" s="357"/>
      <c r="L210" s="357"/>
    </row>
    <row r="211" spans="1:16" outlineLevel="1">
      <c r="A211" s="357"/>
      <c r="B211" s="488"/>
      <c r="D211" s="489"/>
      <c r="E211" s="489"/>
      <c r="F211" s="489"/>
      <c r="G211" s="357"/>
      <c r="H211" s="357"/>
      <c r="I211" s="357"/>
      <c r="J211" s="357"/>
      <c r="K211" s="357"/>
      <c r="L211" s="357"/>
    </row>
    <row r="212" spans="1:16" outlineLevel="1">
      <c r="A212" s="357"/>
      <c r="B212" s="489"/>
      <c r="D212" s="489"/>
      <c r="E212" s="489"/>
      <c r="F212" s="489"/>
      <c r="G212" s="357"/>
      <c r="H212" s="357"/>
      <c r="I212" s="357"/>
      <c r="J212" s="357"/>
      <c r="K212" s="357"/>
      <c r="L212" s="357"/>
    </row>
    <row r="213" spans="1:16" outlineLevel="1">
      <c r="A213" s="487"/>
      <c r="B213" s="488"/>
      <c r="D213" s="489"/>
      <c r="E213" s="489"/>
      <c r="F213" s="489"/>
      <c r="G213" s="357"/>
      <c r="H213" s="357"/>
      <c r="I213" s="357"/>
      <c r="J213" s="357"/>
      <c r="K213" s="357"/>
      <c r="L213" s="357"/>
    </row>
    <row r="214" spans="1:16" outlineLevel="1">
      <c r="A214" s="495"/>
      <c r="B214" s="496"/>
      <c r="C214" s="489"/>
      <c r="D214" s="489"/>
      <c r="E214" s="489"/>
      <c r="F214" s="489"/>
      <c r="G214" s="357"/>
      <c r="H214" s="357"/>
      <c r="I214" s="357"/>
      <c r="J214" s="357"/>
      <c r="K214" s="357"/>
      <c r="L214" s="357"/>
      <c r="N214" s="569"/>
      <c r="O214" s="488"/>
      <c r="P214" s="489"/>
    </row>
    <row r="215" spans="1:16" outlineLevel="1">
      <c r="A215" s="495"/>
      <c r="B215" s="488"/>
      <c r="C215" s="489"/>
      <c r="D215" s="489"/>
      <c r="E215" s="489"/>
      <c r="F215" s="489"/>
      <c r="G215" s="357"/>
      <c r="H215" s="357"/>
      <c r="I215" s="357"/>
      <c r="J215" s="357"/>
      <c r="K215" s="357"/>
      <c r="L215" s="357"/>
      <c r="N215" s="570"/>
      <c r="O215" s="488"/>
      <c r="P215" s="489"/>
    </row>
    <row r="216" spans="1:16" outlineLevel="1">
      <c r="A216" s="495"/>
      <c r="B216" s="488"/>
      <c r="C216" s="489"/>
      <c r="D216" s="489"/>
      <c r="E216" s="489"/>
      <c r="F216" s="489"/>
      <c r="G216" s="357"/>
      <c r="H216" s="357"/>
      <c r="I216" s="357"/>
      <c r="J216" s="357"/>
      <c r="K216" s="357"/>
      <c r="L216" s="357"/>
      <c r="N216" s="571"/>
      <c r="O216" s="488"/>
      <c r="P216" s="489"/>
    </row>
    <row r="217" spans="1:16" outlineLevel="1">
      <c r="A217" s="495"/>
      <c r="B217" s="488"/>
      <c r="C217" s="489"/>
      <c r="D217" s="489"/>
      <c r="E217" s="489"/>
      <c r="F217" s="489"/>
      <c r="G217" s="357"/>
      <c r="H217" s="357"/>
      <c r="I217" s="357"/>
      <c r="J217" s="357"/>
      <c r="K217" s="357"/>
      <c r="L217" s="357"/>
      <c r="N217" s="572"/>
      <c r="O217" s="488"/>
      <c r="P217" s="489"/>
    </row>
    <row r="218" spans="1:16" outlineLevel="1">
      <c r="A218" s="495"/>
      <c r="B218" s="497"/>
      <c r="C218" s="489"/>
      <c r="D218" s="489"/>
      <c r="E218" s="489"/>
      <c r="F218" s="489"/>
      <c r="G218" s="357"/>
      <c r="H218" s="357"/>
      <c r="I218" s="357"/>
      <c r="J218" s="357"/>
      <c r="K218" s="357"/>
      <c r="L218" s="357"/>
      <c r="N218" s="572"/>
      <c r="O218" s="489"/>
      <c r="P218" s="489"/>
    </row>
    <row r="219" spans="1:16" outlineLevel="1">
      <c r="A219" s="495"/>
      <c r="B219" s="488"/>
      <c r="C219" s="489"/>
      <c r="D219" s="489"/>
      <c r="E219" s="489"/>
      <c r="F219" s="489"/>
      <c r="G219" s="357"/>
      <c r="H219" s="357"/>
      <c r="I219" s="357"/>
      <c r="J219" s="357"/>
      <c r="K219" s="357"/>
      <c r="L219" s="357"/>
      <c r="N219" s="488"/>
      <c r="O219" s="489"/>
      <c r="P219" s="489"/>
    </row>
    <row r="220" spans="1:16" outlineLevel="1">
      <c r="A220" s="495"/>
      <c r="B220" s="488"/>
      <c r="C220" s="489"/>
      <c r="D220" s="489"/>
      <c r="E220" s="489"/>
      <c r="F220" s="489"/>
      <c r="G220" s="357"/>
      <c r="H220" s="357"/>
      <c r="I220" s="357"/>
      <c r="J220" s="357"/>
      <c r="K220" s="357"/>
      <c r="L220" s="357"/>
      <c r="N220" s="489"/>
      <c r="O220" s="489"/>
      <c r="P220" s="489"/>
    </row>
    <row r="221" spans="1:16" outlineLevel="1"/>
    <row r="222" spans="1:16" outlineLevel="1"/>
    <row r="224" spans="1:16" ht="15" thickBot="1">
      <c r="A224" s="359"/>
    </row>
    <row r="225" spans="2:44" ht="20.55" customHeight="1" outlineLevel="1" thickBot="1">
      <c r="B225" s="361"/>
      <c r="C225" s="1183"/>
      <c r="D225" s="1202"/>
      <c r="E225" s="1202"/>
      <c r="F225" s="1202"/>
      <c r="G225" s="1202"/>
      <c r="H225" s="1202"/>
      <c r="I225" s="1202"/>
      <c r="J225" s="1202"/>
      <c r="K225" s="1202"/>
      <c r="L225" s="1203"/>
      <c r="M225" s="362"/>
      <c r="N225" s="362"/>
      <c r="P225" s="363"/>
      <c r="Q225" s="364"/>
      <c r="R225" s="365"/>
      <c r="S225" s="1173"/>
      <c r="T225" s="1157"/>
      <c r="U225" s="1158"/>
      <c r="V225" s="1157"/>
      <c r="W225" s="1158"/>
      <c r="X225" s="1157"/>
      <c r="Y225" s="1158"/>
      <c r="Z225" s="1157"/>
      <c r="AA225" s="1158"/>
      <c r="AB225" s="1157"/>
      <c r="AC225" s="1158"/>
      <c r="AE225" s="363"/>
      <c r="AF225" s="364"/>
      <c r="AG225" s="365"/>
      <c r="AH225" s="1173"/>
      <c r="AI225" s="1157"/>
      <c r="AJ225" s="1158"/>
      <c r="AK225" s="1157"/>
      <c r="AL225" s="1158"/>
      <c r="AM225" s="1157"/>
      <c r="AN225" s="1158"/>
      <c r="AO225" s="1157"/>
      <c r="AP225" s="1158"/>
      <c r="AQ225" s="1157"/>
      <c r="AR225" s="1158"/>
    </row>
    <row r="226" spans="2:44" ht="15" customHeight="1" outlineLevel="1" thickBot="1">
      <c r="B226" s="1161"/>
      <c r="C226" s="1163"/>
      <c r="D226" s="1163"/>
      <c r="E226" s="1163"/>
      <c r="F226" s="1163"/>
      <c r="G226" s="1165"/>
      <c r="H226" s="1166"/>
      <c r="I226" s="1165"/>
      <c r="J226" s="1166"/>
      <c r="K226" s="1186"/>
      <c r="L226" s="1186"/>
      <c r="M226" s="366"/>
      <c r="N226" s="366"/>
      <c r="P226" s="1177"/>
      <c r="Q226" s="367"/>
      <c r="R226" s="367"/>
      <c r="S226" s="1174"/>
      <c r="T226" s="1159"/>
      <c r="U226" s="1160"/>
      <c r="V226" s="1159"/>
      <c r="W226" s="1160"/>
      <c r="X226" s="1159"/>
      <c r="Y226" s="1160"/>
      <c r="Z226" s="1159"/>
      <c r="AA226" s="1160"/>
      <c r="AB226" s="1159"/>
      <c r="AC226" s="1160"/>
      <c r="AE226" s="1177"/>
      <c r="AF226" s="367"/>
      <c r="AG226" s="367"/>
      <c r="AH226" s="1174"/>
      <c r="AI226" s="1159"/>
      <c r="AJ226" s="1160"/>
      <c r="AK226" s="1159"/>
      <c r="AL226" s="1160"/>
      <c r="AM226" s="1159"/>
      <c r="AN226" s="1160"/>
      <c r="AO226" s="1159"/>
      <c r="AP226" s="1160"/>
      <c r="AQ226" s="1159"/>
      <c r="AR226" s="1160"/>
    </row>
    <row r="227" spans="2:44" ht="15" customHeight="1" outlineLevel="1" thickBot="1">
      <c r="B227" s="1162"/>
      <c r="C227" s="1164"/>
      <c r="D227" s="1164"/>
      <c r="E227" s="1164"/>
      <c r="F227" s="1164"/>
      <c r="G227" s="405"/>
      <c r="H227" s="405"/>
      <c r="I227" s="405"/>
      <c r="J227" s="405"/>
      <c r="K227" s="1187"/>
      <c r="L227" s="1187"/>
      <c r="M227" s="369"/>
      <c r="N227" s="369"/>
      <c r="P227" s="1178"/>
      <c r="Q227" s="1180"/>
      <c r="R227" s="1181"/>
      <c r="S227" s="1175"/>
      <c r="T227" s="1159"/>
      <c r="U227" s="1160"/>
      <c r="V227" s="1159"/>
      <c r="W227" s="1160"/>
      <c r="X227" s="1159"/>
      <c r="Y227" s="1160"/>
      <c r="Z227" s="1159"/>
      <c r="AA227" s="1160"/>
      <c r="AB227" s="1159"/>
      <c r="AC227" s="1160"/>
      <c r="AE227" s="1178"/>
      <c r="AF227" s="1194"/>
      <c r="AG227" s="1181"/>
      <c r="AH227" s="1175"/>
      <c r="AI227" s="1159"/>
      <c r="AJ227" s="1160"/>
      <c r="AK227" s="1159"/>
      <c r="AL227" s="1160"/>
      <c r="AM227" s="1159"/>
      <c r="AN227" s="1160"/>
      <c r="AO227" s="1159"/>
      <c r="AP227" s="1160"/>
      <c r="AQ227" s="1159"/>
      <c r="AR227" s="1160"/>
    </row>
    <row r="228" spans="2:44" ht="15" outlineLevel="1" thickBot="1">
      <c r="B228" s="370"/>
      <c r="C228" s="371"/>
      <c r="D228" s="371"/>
      <c r="E228" s="371"/>
      <c r="F228" s="371"/>
      <c r="G228" s="371"/>
      <c r="H228" s="371"/>
      <c r="I228" s="371"/>
      <c r="J228" s="371"/>
      <c r="K228" s="371"/>
      <c r="L228" s="372"/>
      <c r="M228" s="369"/>
      <c r="N228" s="369"/>
      <c r="O228" s="74"/>
      <c r="P228" s="1179"/>
      <c r="Q228" s="1176"/>
      <c r="R228" s="1182"/>
      <c r="S228" s="1176"/>
      <c r="T228" s="373"/>
      <c r="U228" s="374"/>
      <c r="V228" s="373"/>
      <c r="W228" s="374"/>
      <c r="X228" s="373"/>
      <c r="Y228" s="374"/>
      <c r="Z228" s="373"/>
      <c r="AA228" s="374"/>
      <c r="AB228" s="373"/>
      <c r="AC228" s="374"/>
      <c r="AE228" s="1179"/>
      <c r="AF228" s="1195"/>
      <c r="AG228" s="1182"/>
      <c r="AH228" s="1176"/>
      <c r="AI228" s="373"/>
      <c r="AJ228" s="374"/>
      <c r="AK228" s="373"/>
      <c r="AL228" s="374"/>
      <c r="AM228" s="373"/>
      <c r="AN228" s="374"/>
      <c r="AO228" s="373"/>
      <c r="AP228" s="374"/>
      <c r="AQ228" s="373"/>
      <c r="AR228" s="374"/>
    </row>
    <row r="229" spans="2:44" ht="14.55" customHeight="1" outlineLevel="1">
      <c r="B229" s="540"/>
      <c r="C229" s="541"/>
      <c r="D229" s="541"/>
      <c r="E229" s="542"/>
      <c r="F229" s="541"/>
      <c r="G229" s="541"/>
      <c r="H229" s="541"/>
      <c r="I229" s="541"/>
      <c r="J229" s="541"/>
      <c r="K229" s="546"/>
      <c r="L229" s="547"/>
      <c r="M229" s="369"/>
      <c r="N229" s="369"/>
      <c r="P229" s="1145"/>
      <c r="Q229" s="1151"/>
      <c r="R229" s="380"/>
      <c r="S229" s="381"/>
      <c r="T229" s="1134"/>
      <c r="U229" s="1148"/>
      <c r="V229" s="1134"/>
      <c r="W229" s="1148"/>
      <c r="X229" s="1134"/>
      <c r="Y229" s="1148"/>
      <c r="Z229" s="1134"/>
      <c r="AA229" s="1148"/>
      <c r="AB229" s="1134"/>
      <c r="AC229" s="1148"/>
      <c r="AE229" s="1145"/>
      <c r="AF229" s="1151"/>
      <c r="AG229" s="380"/>
      <c r="AH229" s="381"/>
      <c r="AI229" s="1134"/>
      <c r="AJ229" s="1148"/>
      <c r="AK229" s="1134"/>
      <c r="AL229" s="1148"/>
      <c r="AM229" s="1134"/>
      <c r="AN229" s="1148"/>
      <c r="AO229" s="1134"/>
      <c r="AP229" s="1148"/>
      <c r="AQ229" s="1134"/>
      <c r="AR229" s="1148"/>
    </row>
    <row r="230" spans="2:44" outlineLevel="1">
      <c r="B230" s="382"/>
      <c r="C230" s="383"/>
      <c r="D230" s="383"/>
      <c r="E230" s="383"/>
      <c r="F230" s="383"/>
      <c r="G230" s="504"/>
      <c r="H230" s="504"/>
      <c r="I230" s="504"/>
      <c r="J230" s="504"/>
      <c r="K230" s="371"/>
      <c r="L230" s="372"/>
      <c r="M230" s="369"/>
      <c r="N230" s="369"/>
      <c r="O230" s="71"/>
      <c r="P230" s="1192"/>
      <c r="Q230" s="1152"/>
      <c r="R230" s="387"/>
      <c r="S230" s="388"/>
      <c r="T230" s="1137"/>
      <c r="U230" s="1149"/>
      <c r="V230" s="1137"/>
      <c r="W230" s="1149"/>
      <c r="X230" s="1137"/>
      <c r="Y230" s="1149"/>
      <c r="Z230" s="1137"/>
      <c r="AA230" s="1149"/>
      <c r="AB230" s="1137"/>
      <c r="AC230" s="1149"/>
      <c r="AE230" s="1192"/>
      <c r="AF230" s="1152"/>
      <c r="AG230" s="387"/>
      <c r="AH230" s="388"/>
      <c r="AI230" s="1137"/>
      <c r="AJ230" s="1149"/>
      <c r="AK230" s="1137"/>
      <c r="AL230" s="1149"/>
      <c r="AM230" s="1137"/>
      <c r="AN230" s="1149"/>
      <c r="AO230" s="1137"/>
      <c r="AP230" s="1149"/>
      <c r="AQ230" s="1137"/>
      <c r="AR230" s="1149"/>
    </row>
    <row r="231" spans="2:44" ht="15" outlineLevel="1" thickBot="1">
      <c r="B231" s="540"/>
      <c r="C231" s="543"/>
      <c r="D231" s="544"/>
      <c r="E231" s="544"/>
      <c r="F231" s="545"/>
      <c r="G231" s="544"/>
      <c r="H231" s="544"/>
      <c r="I231" s="544"/>
      <c r="J231" s="544"/>
      <c r="K231" s="546"/>
      <c r="L231" s="547"/>
      <c r="M231" s="369"/>
      <c r="N231" s="369"/>
      <c r="O231" s="71"/>
      <c r="P231" s="1192"/>
      <c r="Q231" s="1153"/>
      <c r="R231" s="392"/>
      <c r="S231" s="393"/>
      <c r="T231" s="1138"/>
      <c r="U231" s="1150"/>
      <c r="V231" s="1138"/>
      <c r="W231" s="1150"/>
      <c r="X231" s="1138"/>
      <c r="Y231" s="1150"/>
      <c r="Z231" s="1138"/>
      <c r="AA231" s="1150"/>
      <c r="AB231" s="1138"/>
      <c r="AC231" s="1150"/>
      <c r="AE231" s="1192"/>
      <c r="AF231" s="1153"/>
      <c r="AG231" s="392"/>
      <c r="AH231" s="393"/>
      <c r="AI231" s="1138"/>
      <c r="AJ231" s="1150"/>
      <c r="AK231" s="1138"/>
      <c r="AL231" s="1150"/>
      <c r="AM231" s="1138"/>
      <c r="AN231" s="1150"/>
      <c r="AO231" s="1138"/>
      <c r="AP231" s="1150"/>
      <c r="AQ231" s="1138"/>
      <c r="AR231" s="1150"/>
    </row>
    <row r="232" spans="2:44" ht="14.55" customHeight="1" outlineLevel="1">
      <c r="B232" s="540"/>
      <c r="C232" s="543"/>
      <c r="D232" s="543"/>
      <c r="E232" s="543"/>
      <c r="F232" s="543"/>
      <c r="G232" s="543"/>
      <c r="H232" s="543"/>
      <c r="I232" s="543"/>
      <c r="J232" s="543"/>
      <c r="K232" s="546"/>
      <c r="L232" s="547"/>
      <c r="M232" s="369"/>
      <c r="N232" s="369"/>
      <c r="O232" s="71"/>
      <c r="P232" s="1192"/>
      <c r="Q232" s="1151"/>
      <c r="R232" s="394"/>
      <c r="S232" s="395"/>
      <c r="T232" s="1134"/>
      <c r="U232" s="1134"/>
      <c r="V232" s="1134"/>
      <c r="W232" s="1134"/>
      <c r="X232" s="1134"/>
      <c r="Y232" s="1134"/>
      <c r="Z232" s="1134"/>
      <c r="AA232" s="1134"/>
      <c r="AB232" s="1134"/>
      <c r="AC232" s="1134"/>
      <c r="AE232" s="1192"/>
      <c r="AF232" s="1151"/>
      <c r="AG232" s="394"/>
      <c r="AH232" s="395"/>
      <c r="AI232" s="1134"/>
      <c r="AJ232" s="1134"/>
      <c r="AK232" s="1134"/>
      <c r="AL232" s="1134"/>
      <c r="AM232" s="1134"/>
      <c r="AN232" s="1134"/>
      <c r="AO232" s="1134"/>
      <c r="AP232" s="1134"/>
      <c r="AQ232" s="1134"/>
      <c r="AR232" s="1134"/>
    </row>
    <row r="233" spans="2:44" outlineLevel="1">
      <c r="B233" s="540"/>
      <c r="C233" s="543"/>
      <c r="D233" s="543"/>
      <c r="E233" s="543"/>
      <c r="F233" s="543"/>
      <c r="G233" s="543"/>
      <c r="H233" s="543"/>
      <c r="I233" s="543"/>
      <c r="J233" s="543"/>
      <c r="K233" s="546"/>
      <c r="L233" s="547"/>
      <c r="M233" s="366"/>
      <c r="N233" s="366"/>
      <c r="O233" s="71"/>
      <c r="P233" s="1192"/>
      <c r="Q233" s="1152"/>
      <c r="R233" s="394"/>
      <c r="S233" s="395"/>
      <c r="T233" s="1135"/>
      <c r="U233" s="1135"/>
      <c r="V233" s="1135"/>
      <c r="W233" s="1135"/>
      <c r="X233" s="1135"/>
      <c r="Y233" s="1135"/>
      <c r="Z233" s="1135"/>
      <c r="AA233" s="1135"/>
      <c r="AB233" s="1135"/>
      <c r="AC233" s="1135"/>
      <c r="AE233" s="1192"/>
      <c r="AF233" s="1152"/>
      <c r="AG233" s="394"/>
      <c r="AH233" s="395"/>
      <c r="AI233" s="1135"/>
      <c r="AJ233" s="1135"/>
      <c r="AK233" s="1135"/>
      <c r="AL233" s="1135"/>
      <c r="AM233" s="1135"/>
      <c r="AN233" s="1135"/>
      <c r="AO233" s="1135"/>
      <c r="AP233" s="1135"/>
      <c r="AQ233" s="1135"/>
      <c r="AR233" s="1135"/>
    </row>
    <row r="234" spans="2:44" outlineLevel="1">
      <c r="B234" s="382"/>
      <c r="C234" s="396"/>
      <c r="D234" s="396"/>
      <c r="E234" s="396"/>
      <c r="F234" s="396"/>
      <c r="G234" s="398"/>
      <c r="H234" s="398"/>
      <c r="I234" s="398"/>
      <c r="J234" s="398"/>
      <c r="K234" s="371"/>
      <c r="L234" s="372"/>
      <c r="M234" s="362"/>
      <c r="N234" s="362"/>
      <c r="P234" s="1192"/>
      <c r="Q234" s="1152"/>
      <c r="R234" s="394"/>
      <c r="S234" s="395"/>
      <c r="T234" s="1135"/>
      <c r="U234" s="1135"/>
      <c r="V234" s="1135"/>
      <c r="W234" s="1135"/>
      <c r="X234" s="1135"/>
      <c r="Y234" s="1135"/>
      <c r="Z234" s="1135"/>
      <c r="AA234" s="1135"/>
      <c r="AB234" s="1135"/>
      <c r="AC234" s="1135"/>
      <c r="AE234" s="1192"/>
      <c r="AF234" s="1152"/>
      <c r="AG234" s="394"/>
      <c r="AH234" s="395"/>
      <c r="AI234" s="1135"/>
      <c r="AJ234" s="1135"/>
      <c r="AK234" s="1135"/>
      <c r="AL234" s="1135"/>
      <c r="AM234" s="1135"/>
      <c r="AN234" s="1135"/>
      <c r="AO234" s="1135"/>
      <c r="AP234" s="1135"/>
      <c r="AQ234" s="1135"/>
      <c r="AR234" s="1135"/>
    </row>
    <row r="235" spans="2:44" ht="15" outlineLevel="1" thickBot="1">
      <c r="B235" s="540"/>
      <c r="C235" s="543"/>
      <c r="D235" s="543"/>
      <c r="E235" s="543"/>
      <c r="F235" s="543"/>
      <c r="G235" s="543"/>
      <c r="H235" s="543"/>
      <c r="I235" s="543"/>
      <c r="J235" s="543"/>
      <c r="K235" s="546"/>
      <c r="L235" s="558"/>
      <c r="M235" s="362"/>
      <c r="N235" s="362"/>
      <c r="P235" s="1192"/>
      <c r="Q235" s="1152"/>
      <c r="R235" s="394"/>
      <c r="S235" s="395"/>
      <c r="T235" s="1135"/>
      <c r="U235" s="1135"/>
      <c r="V235" s="1135"/>
      <c r="W235" s="1135"/>
      <c r="X235" s="1135"/>
      <c r="Y235" s="1135"/>
      <c r="Z235" s="1135"/>
      <c r="AA235" s="1135"/>
      <c r="AB235" s="1135"/>
      <c r="AC235" s="1135"/>
      <c r="AE235" s="1192"/>
      <c r="AF235" s="1152"/>
      <c r="AG235" s="394"/>
      <c r="AH235" s="395"/>
      <c r="AI235" s="1135"/>
      <c r="AJ235" s="1135"/>
      <c r="AK235" s="1135"/>
      <c r="AL235" s="1135"/>
      <c r="AM235" s="1135"/>
      <c r="AN235" s="1135"/>
      <c r="AO235" s="1135"/>
      <c r="AP235" s="1135"/>
      <c r="AQ235" s="1135"/>
      <c r="AR235" s="1135"/>
    </row>
    <row r="236" spans="2:44" ht="15" outlineLevel="1" thickBot="1">
      <c r="B236" s="400"/>
      <c r="C236" s="401"/>
      <c r="D236" s="402"/>
      <c r="E236" s="403"/>
      <c r="F236" s="404"/>
      <c r="G236" s="405"/>
      <c r="H236" s="405"/>
      <c r="I236" s="405"/>
      <c r="J236" s="405"/>
      <c r="K236" s="406"/>
      <c r="L236" s="407"/>
      <c r="M236" s="362"/>
      <c r="N236" s="362"/>
      <c r="P236" s="1192"/>
      <c r="Q236" s="1152"/>
      <c r="R236" s="408"/>
      <c r="S236" s="409"/>
      <c r="T236" s="1136"/>
      <c r="U236" s="1136"/>
      <c r="V236" s="1136"/>
      <c r="W236" s="1136"/>
      <c r="X236" s="1136"/>
      <c r="Y236" s="1136"/>
      <c r="Z236" s="1136"/>
      <c r="AA236" s="1136"/>
      <c r="AB236" s="1136"/>
      <c r="AC236" s="1136"/>
      <c r="AE236" s="1192"/>
      <c r="AF236" s="1152"/>
      <c r="AG236" s="408"/>
      <c r="AH236" s="409"/>
      <c r="AI236" s="1136"/>
      <c r="AJ236" s="1136"/>
      <c r="AK236" s="1136"/>
      <c r="AL236" s="1136"/>
      <c r="AM236" s="1136"/>
      <c r="AN236" s="1136"/>
      <c r="AO236" s="1136"/>
      <c r="AP236" s="1136"/>
      <c r="AQ236" s="1136"/>
      <c r="AR236" s="1136"/>
    </row>
    <row r="237" spans="2:44" ht="15" outlineLevel="1" thickBot="1">
      <c r="B237" s="540"/>
      <c r="C237" s="543"/>
      <c r="D237" s="543"/>
      <c r="E237" s="543"/>
      <c r="F237" s="543"/>
      <c r="G237" s="544"/>
      <c r="H237" s="544"/>
      <c r="I237" s="544"/>
      <c r="J237" s="544"/>
      <c r="K237" s="546"/>
      <c r="L237" s="547"/>
      <c r="M237" s="362"/>
      <c r="N237" s="362"/>
      <c r="P237" s="1193"/>
      <c r="Q237" s="410"/>
      <c r="R237" s="411"/>
      <c r="S237" s="412"/>
      <c r="T237" s="413"/>
      <c r="U237" s="414"/>
      <c r="V237" s="413"/>
      <c r="W237" s="414"/>
      <c r="X237" s="413"/>
      <c r="Y237" s="414"/>
      <c r="Z237" s="413"/>
      <c r="AA237" s="414"/>
      <c r="AB237" s="413"/>
      <c r="AC237" s="416"/>
      <c r="AE237" s="1193"/>
      <c r="AF237" s="410"/>
      <c r="AG237" s="411"/>
      <c r="AH237" s="412"/>
      <c r="AI237" s="413"/>
      <c r="AJ237" s="414"/>
      <c r="AK237" s="413"/>
      <c r="AL237" s="414"/>
      <c r="AM237" s="413"/>
      <c r="AN237" s="414"/>
      <c r="AO237" s="413"/>
      <c r="AP237" s="414"/>
      <c r="AQ237" s="413"/>
      <c r="AR237" s="416"/>
    </row>
    <row r="238" spans="2:44" outlineLevel="1">
      <c r="B238" s="540"/>
      <c r="C238" s="543"/>
      <c r="D238" s="543"/>
      <c r="E238" s="543"/>
      <c r="F238" s="543"/>
      <c r="G238" s="548"/>
      <c r="H238" s="548"/>
      <c r="I238" s="548"/>
      <c r="J238" s="548"/>
      <c r="K238" s="549"/>
      <c r="L238" s="547"/>
      <c r="M238" s="362"/>
      <c r="N238" s="362"/>
    </row>
    <row r="239" spans="2:44" outlineLevel="1">
      <c r="B239" s="540"/>
      <c r="C239" s="543"/>
      <c r="D239" s="543"/>
      <c r="E239" s="543"/>
      <c r="F239" s="543"/>
      <c r="G239" s="548"/>
      <c r="H239" s="548"/>
      <c r="I239" s="548"/>
      <c r="J239" s="548"/>
      <c r="K239" s="549"/>
      <c r="L239" s="547"/>
      <c r="M239" s="419"/>
      <c r="N239" s="362"/>
    </row>
    <row r="240" spans="2:44" outlineLevel="1">
      <c r="B240" s="420"/>
      <c r="C240" s="398"/>
      <c r="D240" s="398"/>
      <c r="E240" s="398"/>
      <c r="F240" s="398"/>
      <c r="G240" s="421"/>
      <c r="H240" s="421"/>
      <c r="I240" s="421"/>
      <c r="J240" s="421"/>
      <c r="K240" s="422"/>
      <c r="L240" s="423"/>
      <c r="M240" s="419"/>
      <c r="N240" s="419"/>
    </row>
    <row r="241" spans="1:30" outlineLevel="1">
      <c r="B241" s="382"/>
      <c r="C241" s="396"/>
      <c r="D241" s="396"/>
      <c r="E241" s="396"/>
      <c r="F241" s="396"/>
      <c r="G241" s="421"/>
      <c r="H241" s="424"/>
      <c r="I241" s="424"/>
      <c r="J241" s="424"/>
      <c r="K241" s="425"/>
      <c r="L241" s="426"/>
      <c r="M241" s="427"/>
      <c r="N241" s="427"/>
    </row>
    <row r="242" spans="1:30" outlineLevel="1">
      <c r="B242" s="382"/>
      <c r="C242" s="396"/>
      <c r="D242" s="396"/>
      <c r="E242" s="396"/>
      <c r="F242" s="396"/>
      <c r="G242" s="424"/>
      <c r="H242" s="424"/>
      <c r="I242" s="424"/>
      <c r="J242" s="424"/>
      <c r="K242" s="422"/>
      <c r="L242" s="426"/>
      <c r="M242" s="427"/>
      <c r="N242" s="427"/>
    </row>
    <row r="243" spans="1:30" outlineLevel="1">
      <c r="B243" s="382"/>
      <c r="C243" s="396"/>
      <c r="D243" s="396"/>
      <c r="E243" s="396"/>
      <c r="F243" s="396"/>
      <c r="G243" s="424"/>
      <c r="H243" s="424"/>
      <c r="I243" s="424"/>
      <c r="J243" s="424"/>
      <c r="K243" s="422"/>
      <c r="L243" s="426"/>
      <c r="M243" s="427"/>
      <c r="N243" s="427"/>
    </row>
    <row r="244" spans="1:30" outlineLevel="1">
      <c r="B244" s="382"/>
      <c r="C244" s="396"/>
      <c r="D244" s="396"/>
      <c r="E244" s="396"/>
      <c r="F244" s="396"/>
      <c r="G244" s="424"/>
      <c r="H244" s="424"/>
      <c r="I244" s="424"/>
      <c r="J244" s="424"/>
      <c r="K244" s="422"/>
      <c r="L244" s="426"/>
      <c r="M244" s="427"/>
      <c r="N244" s="427"/>
    </row>
    <row r="245" spans="1:30" ht="15" outlineLevel="1" thickBot="1">
      <c r="B245" s="428"/>
      <c r="C245" s="429"/>
      <c r="D245" s="429"/>
      <c r="E245" s="429"/>
      <c r="F245" s="429"/>
      <c r="G245" s="424"/>
      <c r="H245" s="424"/>
      <c r="I245" s="424"/>
      <c r="J245" s="424"/>
      <c r="K245" s="422"/>
      <c r="L245" s="426"/>
      <c r="M245" s="427"/>
      <c r="N245" s="427"/>
    </row>
    <row r="246" spans="1:30" ht="15" outlineLevel="1" thickBot="1">
      <c r="B246" s="430"/>
      <c r="C246" s="431"/>
      <c r="D246" s="402"/>
      <c r="E246" s="402"/>
      <c r="F246" s="432"/>
      <c r="G246" s="433"/>
      <c r="H246" s="405"/>
      <c r="I246" s="405"/>
      <c r="J246" s="405"/>
      <c r="K246" s="406"/>
      <c r="L246" s="407"/>
      <c r="M246" s="427"/>
      <c r="N246" s="427"/>
    </row>
    <row r="247" spans="1:30" outlineLevel="1">
      <c r="A247" s="434"/>
      <c r="B247" s="435"/>
      <c r="C247" s="550"/>
      <c r="D247" s="511"/>
      <c r="E247" s="511"/>
      <c r="F247" s="512"/>
      <c r="G247" s="424"/>
      <c r="H247" s="424"/>
      <c r="I247" s="424"/>
      <c r="J247" s="424"/>
      <c r="K247" s="425"/>
      <c r="L247" s="439"/>
      <c r="M247" s="419"/>
      <c r="N247" s="419"/>
    </row>
    <row r="248" spans="1:30" outlineLevel="1">
      <c r="B248" s="440"/>
      <c r="C248" s="442"/>
      <c r="D248" s="441"/>
      <c r="E248" s="441"/>
      <c r="F248" s="441"/>
      <c r="G248" s="424"/>
      <c r="H248" s="424"/>
      <c r="I248" s="424"/>
      <c r="J248" s="424"/>
      <c r="K248" s="443"/>
      <c r="L248" s="372"/>
      <c r="M248" s="71"/>
      <c r="N248" s="419"/>
    </row>
    <row r="249" spans="1:30" outlineLevel="1">
      <c r="B249" s="440"/>
      <c r="C249" s="442"/>
      <c r="D249" s="442"/>
      <c r="E249" s="442"/>
      <c r="F249" s="442"/>
      <c r="G249" s="424"/>
      <c r="H249" s="424"/>
      <c r="I249" s="424"/>
      <c r="J249" s="424"/>
      <c r="K249" s="443"/>
      <c r="L249" s="372"/>
      <c r="M249" s="419"/>
      <c r="N249" s="419"/>
    </row>
    <row r="250" spans="1:30" outlineLevel="1">
      <c r="B250" s="382"/>
      <c r="C250" s="444"/>
      <c r="D250" s="445"/>
      <c r="E250" s="445"/>
      <c r="F250" s="446"/>
      <c r="G250" s="424"/>
      <c r="H250" s="424"/>
      <c r="I250" s="424"/>
      <c r="J250" s="424"/>
      <c r="K250" s="447"/>
      <c r="L250" s="372"/>
      <c r="M250" s="419"/>
      <c r="N250" s="419"/>
    </row>
    <row r="251" spans="1:30" outlineLevel="1">
      <c r="B251" s="382"/>
      <c r="C251" s="448"/>
      <c r="D251" s="448"/>
      <c r="E251" s="448"/>
      <c r="F251" s="448"/>
      <c r="G251" s="424"/>
      <c r="H251" s="424"/>
      <c r="I251" s="424"/>
      <c r="J251" s="424"/>
      <c r="K251" s="447"/>
      <c r="L251" s="372"/>
      <c r="M251" s="449"/>
      <c r="N251" s="360"/>
      <c r="P251" s="1139"/>
      <c r="Q251" s="1140"/>
      <c r="R251" s="1140"/>
      <c r="S251" s="1140"/>
      <c r="T251" s="1140"/>
      <c r="U251" s="1141"/>
    </row>
    <row r="252" spans="1:30" ht="15" outlineLevel="1" thickBot="1">
      <c r="B252" s="540"/>
      <c r="C252" s="551"/>
      <c r="D252" s="551"/>
      <c r="E252" s="551"/>
      <c r="F252" s="551"/>
      <c r="G252" s="424"/>
      <c r="H252" s="424"/>
      <c r="I252" s="424"/>
      <c r="J252" s="424"/>
      <c r="K252" s="443"/>
      <c r="L252" s="372"/>
      <c r="M252" s="449"/>
      <c r="N252" s="360"/>
      <c r="P252" s="1131"/>
      <c r="Q252" s="1132"/>
      <c r="R252" s="1132"/>
      <c r="S252" s="1132"/>
      <c r="T252" s="1132"/>
      <c r="U252" s="1133"/>
    </row>
    <row r="253" spans="1:30" outlineLevel="1">
      <c r="B253" s="540"/>
      <c r="C253" s="553"/>
      <c r="D253" s="553"/>
      <c r="E253" s="553"/>
      <c r="F253" s="553"/>
      <c r="G253" s="424"/>
      <c r="H253" s="424"/>
      <c r="I253" s="424"/>
      <c r="J253" s="424"/>
      <c r="K253" s="447"/>
      <c r="L253" s="372"/>
      <c r="M253" s="362"/>
      <c r="N253" s="362"/>
      <c r="P253" s="53"/>
    </row>
    <row r="254" spans="1:30" outlineLevel="1">
      <c r="B254" s="440"/>
      <c r="C254" s="517"/>
      <c r="D254" s="517"/>
      <c r="E254" s="517"/>
      <c r="F254" s="517"/>
      <c r="G254" s="424"/>
      <c r="H254" s="424"/>
      <c r="I254" s="424"/>
      <c r="J254" s="424"/>
      <c r="K254" s="443"/>
      <c r="L254" s="423"/>
      <c r="M254" s="366"/>
      <c r="N254" s="366"/>
      <c r="P254" s="46"/>
      <c r="Q254" s="46"/>
      <c r="R254" s="47"/>
      <c r="S254" s="47"/>
      <c r="T254" s="47"/>
      <c r="U254" s="48"/>
      <c r="V254" s="49"/>
      <c r="W254" s="49"/>
      <c r="X254" s="49"/>
      <c r="Y254" s="49"/>
      <c r="Z254" s="49"/>
      <c r="AA254" s="49"/>
      <c r="AB254" s="49"/>
      <c r="AC254" s="49"/>
      <c r="AD254" s="49"/>
    </row>
    <row r="255" spans="1:30" ht="15" outlineLevel="1" thickBot="1">
      <c r="B255" s="518"/>
      <c r="C255" s="441"/>
      <c r="D255" s="519"/>
      <c r="E255" s="519"/>
      <c r="F255" s="520"/>
      <c r="G255" s="424"/>
      <c r="H255" s="424"/>
      <c r="I255" s="424"/>
      <c r="J255" s="424"/>
      <c r="K255" s="447"/>
      <c r="L255" s="423"/>
      <c r="M255" s="362"/>
      <c r="N255" s="362"/>
      <c r="P255" s="50"/>
      <c r="Q255" s="50"/>
      <c r="R255" s="51"/>
      <c r="S255" s="51"/>
      <c r="T255" s="51"/>
      <c r="U255" s="51"/>
      <c r="V255" s="50"/>
      <c r="W255" s="50"/>
      <c r="X255" s="50"/>
      <c r="Y255" s="50"/>
      <c r="Z255" s="50"/>
      <c r="AA255" s="50"/>
      <c r="AB255" s="50"/>
      <c r="AC255" s="50"/>
      <c r="AD255" s="50"/>
    </row>
    <row r="256" spans="1:30" ht="15" outlineLevel="1" thickBot="1">
      <c r="B256" s="400"/>
      <c r="C256" s="401"/>
      <c r="D256" s="402"/>
      <c r="E256" s="403"/>
      <c r="F256" s="404"/>
      <c r="G256" s="405"/>
      <c r="H256" s="405"/>
      <c r="I256" s="405"/>
      <c r="J256" s="405"/>
      <c r="K256" s="458"/>
      <c r="L256" s="459"/>
      <c r="M256" s="362"/>
      <c r="N256" s="362"/>
      <c r="O256" s="460"/>
      <c r="P256" s="56"/>
      <c r="Q256" s="56"/>
      <c r="R256" s="57"/>
      <c r="S256" s="57"/>
      <c r="T256" s="57"/>
      <c r="U256" s="56"/>
      <c r="V256" s="56"/>
      <c r="W256" s="56"/>
      <c r="X256" s="56"/>
      <c r="Y256" s="56"/>
      <c r="Z256" s="56"/>
      <c r="AA256" s="56"/>
      <c r="AB256" s="56"/>
      <c r="AC256" s="56"/>
      <c r="AD256" s="56"/>
    </row>
    <row r="257" spans="1:30" outlineLevel="1">
      <c r="B257" s="555"/>
      <c r="C257" s="556"/>
      <c r="D257" s="556"/>
      <c r="E257" s="556"/>
      <c r="F257" s="556"/>
      <c r="G257" s="557"/>
      <c r="H257" s="557"/>
      <c r="I257" s="557"/>
      <c r="J257" s="557"/>
      <c r="K257" s="557"/>
      <c r="L257" s="558"/>
      <c r="M257" s="362"/>
      <c r="N257" s="362"/>
      <c r="O257" s="464"/>
      <c r="P257" s="465"/>
      <c r="Q257" s="58"/>
      <c r="R257" s="465"/>
      <c r="S257" s="58"/>
      <c r="T257" s="465"/>
      <c r="U257" s="466"/>
      <c r="V257" s="466"/>
      <c r="W257" s="466"/>
      <c r="X257" s="58"/>
      <c r="Y257" s="58"/>
      <c r="Z257" s="465"/>
      <c r="AA257" s="467"/>
      <c r="AB257" s="467"/>
      <c r="AC257" s="467"/>
      <c r="AD257" s="467"/>
    </row>
    <row r="258" spans="1:30" outlineLevel="1">
      <c r="B258" s="540"/>
      <c r="C258" s="559"/>
      <c r="D258" s="560"/>
      <c r="E258" s="560"/>
      <c r="F258" s="561"/>
      <c r="G258" s="561"/>
      <c r="H258" s="561"/>
      <c r="I258" s="561"/>
      <c r="J258" s="561"/>
      <c r="K258" s="562"/>
      <c r="L258" s="558"/>
      <c r="M258" s="362"/>
      <c r="N258" s="362"/>
      <c r="O258" s="464"/>
      <c r="P258" s="465"/>
      <c r="Q258" s="58"/>
      <c r="R258" s="465"/>
      <c r="S258" s="58"/>
      <c r="T258" s="465"/>
      <c r="U258" s="466"/>
      <c r="V258" s="466"/>
      <c r="W258" s="466"/>
      <c r="X258" s="58"/>
      <c r="Y258" s="58"/>
      <c r="Z258" s="465"/>
      <c r="AA258" s="467"/>
      <c r="AB258" s="467"/>
      <c r="AC258" s="467"/>
      <c r="AD258" s="467"/>
    </row>
    <row r="259" spans="1:30" outlineLevel="1">
      <c r="B259" s="540"/>
      <c r="C259" s="559"/>
      <c r="D259" s="560"/>
      <c r="E259" s="560"/>
      <c r="F259" s="561"/>
      <c r="G259" s="561"/>
      <c r="H259" s="561"/>
      <c r="I259" s="561"/>
      <c r="J259" s="561"/>
      <c r="K259" s="562"/>
      <c r="L259" s="558"/>
      <c r="M259" s="362"/>
      <c r="N259" s="362"/>
      <c r="O259" s="464"/>
      <c r="P259" s="465"/>
      <c r="Q259" s="58"/>
      <c r="R259" s="465"/>
      <c r="S259" s="58"/>
      <c r="T259" s="465"/>
      <c r="U259" s="466"/>
      <c r="V259" s="466"/>
      <c r="W259" s="466"/>
      <c r="X259" s="58"/>
      <c r="Y259" s="58"/>
      <c r="Z259" s="465"/>
      <c r="AA259" s="467"/>
      <c r="AB259" s="467"/>
      <c r="AC259" s="467"/>
      <c r="AD259" s="467"/>
    </row>
    <row r="260" spans="1:30" outlineLevel="1">
      <c r="B260" s="540"/>
      <c r="C260" s="563"/>
      <c r="D260" s="563"/>
      <c r="E260" s="563"/>
      <c r="F260" s="563"/>
      <c r="G260" s="564"/>
      <c r="H260" s="564"/>
      <c r="I260" s="564"/>
      <c r="J260" s="564"/>
      <c r="K260" s="564"/>
      <c r="L260" s="547"/>
      <c r="M260" s="362"/>
      <c r="N260" s="362"/>
      <c r="O260" s="464"/>
      <c r="P260" s="465"/>
      <c r="Q260" s="58"/>
      <c r="R260" s="465"/>
      <c r="S260" s="58"/>
      <c r="T260" s="465"/>
      <c r="U260" s="466"/>
      <c r="V260" s="466"/>
      <c r="W260" s="466"/>
      <c r="X260" s="58"/>
      <c r="Y260" s="58"/>
      <c r="Z260" s="465"/>
      <c r="AA260" s="467"/>
      <c r="AB260" s="467"/>
      <c r="AC260" s="467"/>
      <c r="AD260" s="467"/>
    </row>
    <row r="261" spans="1:30" outlineLevel="1">
      <c r="B261" s="565"/>
      <c r="C261" s="559"/>
      <c r="D261" s="560"/>
      <c r="E261" s="560"/>
      <c r="F261" s="561"/>
      <c r="G261" s="561"/>
      <c r="H261" s="561"/>
      <c r="I261" s="561"/>
      <c r="J261" s="561"/>
      <c r="K261" s="562"/>
      <c r="L261" s="558"/>
      <c r="M261" s="366"/>
      <c r="N261" s="366"/>
    </row>
    <row r="262" spans="1:30" outlineLevel="1">
      <c r="B262" s="565"/>
      <c r="C262" s="559"/>
      <c r="D262" s="560"/>
      <c r="E262" s="560"/>
      <c r="F262" s="561"/>
      <c r="G262" s="561"/>
      <c r="H262" s="561"/>
      <c r="I262" s="561"/>
      <c r="J262" s="561"/>
      <c r="K262" s="562"/>
      <c r="L262" s="558"/>
      <c r="M262" s="362"/>
      <c r="N262" s="362"/>
    </row>
    <row r="263" spans="1:30" ht="15" outlineLevel="1" thickBot="1">
      <c r="B263" s="566"/>
      <c r="C263" s="567"/>
      <c r="D263" s="567"/>
      <c r="E263" s="567"/>
      <c r="F263" s="567"/>
      <c r="G263" s="567"/>
      <c r="H263" s="567"/>
      <c r="I263" s="567"/>
      <c r="J263" s="567"/>
      <c r="K263" s="567"/>
      <c r="L263" s="568"/>
      <c r="M263" s="362"/>
      <c r="N263" s="362"/>
    </row>
    <row r="264" spans="1:30" outlineLevel="1">
      <c r="B264" s="460"/>
      <c r="C264" s="482"/>
      <c r="D264" s="482"/>
      <c r="E264" s="482"/>
      <c r="F264" s="482"/>
      <c r="G264" s="482"/>
      <c r="H264" s="483"/>
      <c r="I264" s="419"/>
      <c r="J264" s="419"/>
      <c r="K264" s="483"/>
      <c r="L264" s="483"/>
      <c r="N264" s="419"/>
    </row>
    <row r="265" spans="1:30" outlineLevel="1">
      <c r="B265" s="484"/>
      <c r="C265" s="485"/>
      <c r="D265" s="485"/>
      <c r="E265" s="485"/>
      <c r="F265" s="485"/>
      <c r="G265" s="485"/>
      <c r="H265" s="483"/>
      <c r="I265" s="71"/>
      <c r="J265" s="419"/>
      <c r="K265" s="483"/>
      <c r="L265" s="483"/>
      <c r="N265" s="419"/>
    </row>
    <row r="266" spans="1:30" outlineLevel="1">
      <c r="B266" s="460"/>
      <c r="C266" s="358"/>
      <c r="D266" s="358"/>
      <c r="E266" s="358"/>
      <c r="F266" s="358"/>
      <c r="G266" s="358"/>
      <c r="I266" s="419"/>
      <c r="J266" s="419"/>
      <c r="N266" s="419"/>
    </row>
    <row r="267" spans="1:30" outlineLevel="1">
      <c r="B267" s="460"/>
      <c r="C267" s="486"/>
      <c r="D267" s="486"/>
      <c r="E267" s="486"/>
      <c r="F267" s="486"/>
      <c r="G267" s="358"/>
      <c r="M267" s="419"/>
      <c r="N267" s="419"/>
    </row>
    <row r="268" spans="1:30" outlineLevel="1"/>
    <row r="269" spans="1:30" outlineLevel="1">
      <c r="A269" s="487"/>
      <c r="B269" s="488"/>
      <c r="D269" s="489"/>
      <c r="E269" s="489"/>
      <c r="F269" s="489"/>
      <c r="G269" s="357"/>
      <c r="H269" s="357"/>
      <c r="I269" s="357"/>
      <c r="J269" s="357"/>
      <c r="K269" s="357"/>
      <c r="L269" s="357"/>
    </row>
    <row r="270" spans="1:30" outlineLevel="1">
      <c r="A270" s="490"/>
      <c r="B270" s="491"/>
      <c r="D270" s="489"/>
      <c r="E270" s="489"/>
      <c r="F270" s="489"/>
      <c r="G270" s="357"/>
      <c r="H270" s="357"/>
      <c r="I270" s="357"/>
      <c r="J270" s="357"/>
      <c r="K270" s="357"/>
      <c r="L270" s="357"/>
    </row>
    <row r="271" spans="1:30" outlineLevel="1">
      <c r="A271" s="490"/>
      <c r="B271" s="492"/>
      <c r="D271" s="489"/>
      <c r="E271" s="489"/>
      <c r="F271" s="489"/>
      <c r="G271" s="357"/>
      <c r="H271" s="357"/>
      <c r="I271" s="357"/>
      <c r="J271" s="357"/>
      <c r="K271" s="357"/>
      <c r="L271" s="357"/>
    </row>
    <row r="272" spans="1:30" outlineLevel="1">
      <c r="A272" s="490"/>
      <c r="B272" s="492"/>
      <c r="D272" s="489"/>
      <c r="E272" s="489"/>
      <c r="F272" s="489"/>
      <c r="G272" s="357"/>
      <c r="H272" s="357"/>
      <c r="I272" s="357"/>
      <c r="J272" s="357"/>
      <c r="K272" s="357"/>
      <c r="L272" s="357"/>
    </row>
    <row r="273" spans="1:15" outlineLevel="1">
      <c r="A273" s="490"/>
      <c r="B273" s="492"/>
      <c r="D273" s="489"/>
      <c r="E273" s="489"/>
      <c r="F273" s="489"/>
      <c r="G273" s="357"/>
      <c r="H273" s="357"/>
      <c r="I273" s="357"/>
      <c r="J273" s="357"/>
      <c r="K273" s="357"/>
      <c r="L273" s="357"/>
    </row>
    <row r="274" spans="1:15" outlineLevel="1">
      <c r="A274" s="357"/>
      <c r="B274" s="493"/>
      <c r="D274" s="489"/>
      <c r="E274" s="489"/>
      <c r="F274" s="489"/>
      <c r="G274" s="357"/>
      <c r="H274" s="357"/>
      <c r="I274" s="357"/>
      <c r="J274" s="357"/>
      <c r="K274" s="357"/>
      <c r="L274" s="357"/>
      <c r="M274" s="569"/>
      <c r="N274" s="488"/>
      <c r="O274" s="489"/>
    </row>
    <row r="275" spans="1:15" outlineLevel="1">
      <c r="A275" s="357"/>
      <c r="B275" s="491"/>
      <c r="D275" s="489"/>
      <c r="E275" s="489"/>
      <c r="F275" s="489"/>
      <c r="G275" s="357"/>
      <c r="H275" s="357"/>
      <c r="I275" s="357"/>
      <c r="J275" s="357"/>
      <c r="K275" s="357"/>
      <c r="L275" s="357"/>
      <c r="O275" s="489"/>
    </row>
    <row r="276" spans="1:15" outlineLevel="1">
      <c r="A276" s="357"/>
      <c r="B276" s="494"/>
      <c r="D276" s="489"/>
      <c r="E276" s="489"/>
      <c r="F276" s="489"/>
      <c r="G276" s="357"/>
      <c r="H276" s="357"/>
      <c r="I276" s="357"/>
      <c r="J276" s="357"/>
      <c r="K276" s="357"/>
      <c r="L276" s="357"/>
      <c r="O276" s="489"/>
    </row>
    <row r="277" spans="1:15" outlineLevel="1">
      <c r="A277" s="357"/>
      <c r="B277" s="494"/>
      <c r="D277" s="489"/>
      <c r="E277" s="489"/>
      <c r="F277" s="489"/>
      <c r="G277" s="357"/>
      <c r="H277" s="357"/>
      <c r="I277" s="357"/>
      <c r="J277" s="357"/>
      <c r="K277" s="357"/>
      <c r="L277" s="357"/>
      <c r="O277" s="489"/>
    </row>
    <row r="278" spans="1:15" outlineLevel="1">
      <c r="A278" s="357"/>
      <c r="B278" s="488"/>
      <c r="D278" s="489"/>
      <c r="E278" s="489"/>
      <c r="F278" s="489"/>
      <c r="G278" s="357"/>
      <c r="H278" s="357"/>
      <c r="I278" s="357"/>
      <c r="J278" s="357"/>
      <c r="K278" s="357"/>
      <c r="L278" s="357"/>
      <c r="O278" s="489"/>
    </row>
    <row r="279" spans="1:15" outlineLevel="1">
      <c r="A279" s="357"/>
      <c r="B279" s="489"/>
      <c r="D279" s="489"/>
      <c r="E279" s="489"/>
      <c r="F279" s="489"/>
      <c r="G279" s="357"/>
      <c r="H279" s="357"/>
      <c r="I279" s="357"/>
      <c r="J279" s="357"/>
      <c r="K279" s="357"/>
      <c r="L279" s="357"/>
      <c r="O279" s="489"/>
    </row>
    <row r="280" spans="1:15" outlineLevel="1">
      <c r="A280" s="487"/>
      <c r="B280" s="488"/>
      <c r="D280" s="489"/>
      <c r="E280" s="489"/>
      <c r="F280" s="489"/>
      <c r="G280" s="357"/>
      <c r="H280" s="357"/>
      <c r="I280" s="357"/>
      <c r="J280" s="357"/>
      <c r="K280" s="357"/>
      <c r="L280" s="357"/>
      <c r="O280" s="489"/>
    </row>
    <row r="281" spans="1:15" outlineLevel="1">
      <c r="A281" s="495"/>
      <c r="B281" s="496"/>
      <c r="D281" s="489"/>
      <c r="E281" s="489"/>
      <c r="F281" s="489"/>
      <c r="G281" s="357"/>
      <c r="H281" s="357"/>
      <c r="I281" s="357"/>
      <c r="J281" s="357"/>
      <c r="K281" s="357"/>
      <c r="L281" s="357"/>
      <c r="M281" s="569"/>
      <c r="N281" s="488"/>
      <c r="O281" s="489"/>
    </row>
    <row r="282" spans="1:15" outlineLevel="1">
      <c r="A282" s="495"/>
      <c r="B282" s="488"/>
      <c r="D282" s="489"/>
      <c r="E282" s="489"/>
      <c r="F282" s="489"/>
      <c r="G282" s="357"/>
      <c r="H282" s="357"/>
      <c r="I282" s="357"/>
      <c r="J282" s="357"/>
      <c r="K282" s="357"/>
      <c r="L282" s="357"/>
      <c r="M282" s="570"/>
      <c r="N282" s="488"/>
      <c r="O282" s="489"/>
    </row>
    <row r="283" spans="1:15" outlineLevel="1">
      <c r="A283" s="495"/>
      <c r="B283" s="488"/>
      <c r="D283" s="489"/>
      <c r="E283" s="489"/>
      <c r="F283" s="489"/>
      <c r="G283" s="357"/>
      <c r="H283" s="357"/>
      <c r="I283" s="357"/>
      <c r="J283" s="357"/>
      <c r="K283" s="357"/>
      <c r="L283" s="357"/>
      <c r="M283" s="571"/>
      <c r="N283" s="488"/>
      <c r="O283" s="489"/>
    </row>
    <row r="284" spans="1:15" outlineLevel="1">
      <c r="A284" s="495"/>
      <c r="B284" s="497"/>
      <c r="D284" s="489"/>
      <c r="E284" s="489"/>
      <c r="F284" s="489"/>
      <c r="G284" s="357"/>
      <c r="H284" s="357"/>
      <c r="I284" s="357"/>
      <c r="J284" s="357"/>
      <c r="K284" s="357"/>
      <c r="L284" s="357"/>
      <c r="M284" s="572"/>
      <c r="N284" s="488"/>
      <c r="O284" s="489"/>
    </row>
    <row r="285" spans="1:15" outlineLevel="1">
      <c r="A285" s="495"/>
      <c r="B285" s="488"/>
      <c r="D285" s="489"/>
      <c r="E285" s="489"/>
      <c r="F285" s="489"/>
      <c r="G285" s="357"/>
      <c r="H285" s="357"/>
      <c r="I285" s="357"/>
      <c r="J285" s="357"/>
      <c r="K285" s="357"/>
      <c r="L285" s="357"/>
      <c r="M285" s="572"/>
      <c r="N285" s="489"/>
      <c r="O285" s="489"/>
    </row>
    <row r="286" spans="1:15" outlineLevel="1">
      <c r="A286" s="495"/>
      <c r="B286" s="488"/>
      <c r="D286" s="489"/>
      <c r="E286" s="489"/>
      <c r="F286" s="489"/>
      <c r="G286" s="357"/>
      <c r="H286" s="357"/>
      <c r="I286" s="357"/>
      <c r="J286" s="357"/>
      <c r="K286" s="357"/>
      <c r="L286" s="357"/>
      <c r="M286" s="488"/>
      <c r="N286" s="489"/>
      <c r="O286" s="489"/>
    </row>
    <row r="287" spans="1:15" outlineLevel="1"/>
    <row r="290" spans="1:44" ht="15" thickBot="1">
      <c r="A290" s="359"/>
    </row>
    <row r="291" spans="1:44" ht="20.55" customHeight="1" thickBot="1">
      <c r="B291" s="361"/>
      <c r="C291" s="1183"/>
      <c r="D291" s="1184"/>
      <c r="E291" s="1184"/>
      <c r="F291" s="1184"/>
      <c r="G291" s="1184"/>
      <c r="H291" s="1184"/>
      <c r="I291" s="1184"/>
      <c r="J291" s="1184"/>
      <c r="K291" s="1184"/>
      <c r="L291" s="1185"/>
      <c r="M291" s="362"/>
      <c r="N291" s="362"/>
      <c r="P291" s="363"/>
      <c r="Q291" s="364"/>
      <c r="R291" s="365"/>
      <c r="S291" s="1173"/>
      <c r="T291" s="1157"/>
      <c r="U291" s="1158"/>
      <c r="V291" s="1157"/>
      <c r="W291" s="1158"/>
      <c r="X291" s="1157"/>
      <c r="Y291" s="1158"/>
      <c r="Z291" s="1157"/>
      <c r="AA291" s="1158"/>
      <c r="AB291" s="1157"/>
      <c r="AC291" s="1158"/>
      <c r="AE291" s="363"/>
      <c r="AF291" s="364"/>
      <c r="AG291" s="365"/>
      <c r="AH291" s="1173"/>
      <c r="AI291" s="1157"/>
      <c r="AJ291" s="1158"/>
      <c r="AK291" s="1157"/>
      <c r="AL291" s="1158"/>
      <c r="AM291" s="1157"/>
      <c r="AN291" s="1158"/>
      <c r="AO291" s="1157"/>
      <c r="AP291" s="1158"/>
      <c r="AQ291" s="1157"/>
      <c r="AR291" s="1158"/>
    </row>
    <row r="292" spans="1:44" ht="15" customHeight="1" thickBot="1">
      <c r="B292" s="1161"/>
      <c r="C292" s="1163"/>
      <c r="D292" s="1163"/>
      <c r="E292" s="1163"/>
      <c r="F292" s="1163"/>
      <c r="G292" s="1165"/>
      <c r="H292" s="1166"/>
      <c r="I292" s="1165"/>
      <c r="J292" s="1166"/>
      <c r="K292" s="1186"/>
      <c r="L292" s="1186"/>
      <c r="M292" s="366"/>
      <c r="N292" s="366"/>
      <c r="P292" s="1177"/>
      <c r="Q292" s="367"/>
      <c r="R292" s="367"/>
      <c r="S292" s="1174"/>
      <c r="T292" s="1159"/>
      <c r="U292" s="1160"/>
      <c r="V292" s="1159"/>
      <c r="W292" s="1160"/>
      <c r="X292" s="1159"/>
      <c r="Y292" s="1160"/>
      <c r="Z292" s="1159"/>
      <c r="AA292" s="1160"/>
      <c r="AB292" s="1159"/>
      <c r="AC292" s="1160"/>
      <c r="AE292" s="1177"/>
      <c r="AF292" s="367"/>
      <c r="AG292" s="367"/>
      <c r="AH292" s="1174"/>
      <c r="AI292" s="1159"/>
      <c r="AJ292" s="1160"/>
      <c r="AK292" s="1159"/>
      <c r="AL292" s="1160"/>
      <c r="AM292" s="1159"/>
      <c r="AN292" s="1160"/>
      <c r="AO292" s="1159"/>
      <c r="AP292" s="1160"/>
      <c r="AQ292" s="1159"/>
      <c r="AR292" s="1160"/>
    </row>
    <row r="293" spans="1:44" ht="15" customHeight="1" thickBot="1">
      <c r="B293" s="1162"/>
      <c r="C293" s="1164"/>
      <c r="D293" s="1164"/>
      <c r="E293" s="1164"/>
      <c r="F293" s="1164"/>
      <c r="G293" s="405"/>
      <c r="H293" s="405"/>
      <c r="I293" s="405"/>
      <c r="J293" s="405"/>
      <c r="K293" s="1187"/>
      <c r="L293" s="1187"/>
      <c r="M293" s="369"/>
      <c r="N293" s="369"/>
      <c r="P293" s="1178"/>
      <c r="Q293" s="1180"/>
      <c r="R293" s="1181"/>
      <c r="S293" s="1175"/>
      <c r="T293" s="1159"/>
      <c r="U293" s="1160"/>
      <c r="V293" s="1159"/>
      <c r="W293" s="1160"/>
      <c r="X293" s="1159"/>
      <c r="Y293" s="1160"/>
      <c r="Z293" s="1159"/>
      <c r="AA293" s="1160"/>
      <c r="AB293" s="1159"/>
      <c r="AC293" s="1160"/>
      <c r="AE293" s="1178"/>
      <c r="AF293" s="1180"/>
      <c r="AG293" s="1181"/>
      <c r="AH293" s="1175"/>
      <c r="AI293" s="1159"/>
      <c r="AJ293" s="1160"/>
      <c r="AK293" s="1159"/>
      <c r="AL293" s="1160"/>
      <c r="AM293" s="1159"/>
      <c r="AN293" s="1160"/>
      <c r="AO293" s="1159"/>
      <c r="AP293" s="1160"/>
      <c r="AQ293" s="1159"/>
      <c r="AR293" s="1160"/>
    </row>
    <row r="294" spans="1:44" ht="15" thickBot="1">
      <c r="B294" s="370"/>
      <c r="C294" s="371"/>
      <c r="D294" s="371"/>
      <c r="E294" s="371"/>
      <c r="F294" s="371"/>
      <c r="G294" s="371"/>
      <c r="H294" s="371"/>
      <c r="I294" s="371"/>
      <c r="J294" s="371"/>
      <c r="K294" s="371"/>
      <c r="L294" s="372"/>
      <c r="M294" s="369"/>
      <c r="N294" s="369"/>
      <c r="O294" s="74"/>
      <c r="P294" s="1179"/>
      <c r="Q294" s="1176"/>
      <c r="R294" s="1182"/>
      <c r="S294" s="1176"/>
      <c r="T294" s="373"/>
      <c r="U294" s="374"/>
      <c r="V294" s="373"/>
      <c r="W294" s="374"/>
      <c r="X294" s="373"/>
      <c r="Y294" s="374"/>
      <c r="Z294" s="373"/>
      <c r="AA294" s="374"/>
      <c r="AB294" s="373"/>
      <c r="AC294" s="374"/>
      <c r="AE294" s="1179"/>
      <c r="AF294" s="1176"/>
      <c r="AG294" s="1182"/>
      <c r="AH294" s="1176"/>
      <c r="AI294" s="373"/>
      <c r="AJ294" s="374"/>
      <c r="AK294" s="373"/>
      <c r="AL294" s="374"/>
      <c r="AM294" s="373"/>
      <c r="AN294" s="374"/>
      <c r="AO294" s="373"/>
      <c r="AP294" s="374"/>
      <c r="AQ294" s="373"/>
      <c r="AR294" s="374"/>
    </row>
    <row r="295" spans="1:44" ht="14.55" customHeight="1">
      <c r="B295" s="573"/>
      <c r="C295" s="574"/>
      <c r="D295" s="574"/>
      <c r="E295" s="574"/>
      <c r="F295" s="574"/>
      <c r="G295" s="575"/>
      <c r="H295" s="575"/>
      <c r="I295" s="575"/>
      <c r="J295" s="575"/>
      <c r="K295" s="371"/>
      <c r="L295" s="372"/>
      <c r="M295" s="369"/>
      <c r="N295" s="369"/>
      <c r="P295" s="1145"/>
      <c r="Q295" s="1151"/>
      <c r="R295" s="380"/>
      <c r="S295" s="381"/>
      <c r="T295" s="1134"/>
      <c r="U295" s="1148"/>
      <c r="V295" s="1134"/>
      <c r="W295" s="1148"/>
      <c r="X295" s="1134"/>
      <c r="Y295" s="1148"/>
      <c r="Z295" s="1134"/>
      <c r="AA295" s="1148"/>
      <c r="AB295" s="1154"/>
      <c r="AC295" s="1148"/>
      <c r="AE295" s="1145"/>
      <c r="AF295" s="1151"/>
      <c r="AG295" s="380"/>
      <c r="AH295" s="381"/>
      <c r="AI295" s="1134"/>
      <c r="AJ295" s="1148"/>
      <c r="AK295" s="1134"/>
      <c r="AL295" s="1148"/>
      <c r="AM295" s="1134"/>
      <c r="AN295" s="1148"/>
      <c r="AO295" s="1134"/>
      <c r="AP295" s="1148"/>
      <c r="AQ295" s="1154"/>
      <c r="AR295" s="1148"/>
    </row>
    <row r="296" spans="1:44">
      <c r="B296" s="382"/>
      <c r="C296" s="576"/>
      <c r="D296" s="576"/>
      <c r="E296" s="576"/>
      <c r="F296" s="576"/>
      <c r="G296" s="575"/>
      <c r="H296" s="575"/>
      <c r="I296" s="575"/>
      <c r="J296" s="575"/>
      <c r="K296" s="371"/>
      <c r="L296" s="372"/>
      <c r="M296" s="369"/>
      <c r="N296" s="369"/>
      <c r="O296" s="71"/>
      <c r="P296" s="1146"/>
      <c r="Q296" s="1152"/>
      <c r="R296" s="387"/>
      <c r="S296" s="388"/>
      <c r="T296" s="1137"/>
      <c r="U296" s="1149"/>
      <c r="V296" s="1137"/>
      <c r="W296" s="1149"/>
      <c r="X296" s="1137"/>
      <c r="Y296" s="1149"/>
      <c r="Z296" s="1137"/>
      <c r="AA296" s="1149"/>
      <c r="AB296" s="1155"/>
      <c r="AC296" s="1149"/>
      <c r="AE296" s="1146"/>
      <c r="AF296" s="1152"/>
      <c r="AG296" s="387"/>
      <c r="AH296" s="388"/>
      <c r="AI296" s="1137"/>
      <c r="AJ296" s="1149"/>
      <c r="AK296" s="1137"/>
      <c r="AL296" s="1149"/>
      <c r="AM296" s="1137"/>
      <c r="AN296" s="1149"/>
      <c r="AO296" s="1137"/>
      <c r="AP296" s="1149"/>
      <c r="AQ296" s="1155"/>
      <c r="AR296" s="1149"/>
    </row>
    <row r="297" spans="1:44" ht="15" thickBot="1">
      <c r="B297" s="573"/>
      <c r="C297" s="577"/>
      <c r="D297" s="577"/>
      <c r="E297" s="577"/>
      <c r="F297" s="577"/>
      <c r="G297" s="577"/>
      <c r="H297" s="577"/>
      <c r="I297" s="577"/>
      <c r="J297" s="577"/>
      <c r="K297" s="578"/>
      <c r="L297" s="579"/>
      <c r="M297" s="369"/>
      <c r="N297" s="369"/>
      <c r="O297" s="71"/>
      <c r="P297" s="1146"/>
      <c r="Q297" s="1153"/>
      <c r="R297" s="392"/>
      <c r="S297" s="393"/>
      <c r="T297" s="1138"/>
      <c r="U297" s="1150"/>
      <c r="V297" s="1138"/>
      <c r="W297" s="1150"/>
      <c r="X297" s="1138"/>
      <c r="Y297" s="1150"/>
      <c r="Z297" s="1138"/>
      <c r="AA297" s="1150"/>
      <c r="AB297" s="1156"/>
      <c r="AC297" s="1150"/>
      <c r="AE297" s="1146"/>
      <c r="AF297" s="1153"/>
      <c r="AG297" s="392"/>
      <c r="AH297" s="393"/>
      <c r="AI297" s="1138"/>
      <c r="AJ297" s="1150"/>
      <c r="AK297" s="1138"/>
      <c r="AL297" s="1150"/>
      <c r="AM297" s="1138"/>
      <c r="AN297" s="1150"/>
      <c r="AO297" s="1138"/>
      <c r="AP297" s="1150"/>
      <c r="AQ297" s="1156"/>
      <c r="AR297" s="1150"/>
    </row>
    <row r="298" spans="1:44" ht="14.55" customHeight="1">
      <c r="B298" s="573"/>
      <c r="C298" s="580"/>
      <c r="D298" s="580"/>
      <c r="E298" s="580"/>
      <c r="F298" s="580"/>
      <c r="G298" s="580"/>
      <c r="H298" s="580"/>
      <c r="I298" s="580"/>
      <c r="J298" s="580"/>
      <c r="K298" s="578"/>
      <c r="L298" s="579"/>
      <c r="M298" s="369"/>
      <c r="N298" s="369"/>
      <c r="O298" s="71"/>
      <c r="P298" s="1146"/>
      <c r="Q298" s="1142"/>
      <c r="R298" s="394"/>
      <c r="S298" s="395"/>
      <c r="T298" s="1134"/>
      <c r="U298" s="1134"/>
      <c r="V298" s="1134"/>
      <c r="W298" s="1134"/>
      <c r="X298" s="1134"/>
      <c r="Y298" s="1134"/>
      <c r="Z298" s="1134"/>
      <c r="AA298" s="1134"/>
      <c r="AB298" s="1134"/>
      <c r="AC298" s="1134"/>
      <c r="AE298" s="1146"/>
      <c r="AF298" s="1142"/>
      <c r="AG298" s="394"/>
      <c r="AH298" s="395"/>
      <c r="AI298" s="1134"/>
      <c r="AJ298" s="1134"/>
      <c r="AK298" s="1134"/>
      <c r="AL298" s="1134"/>
      <c r="AM298" s="1134"/>
      <c r="AN298" s="1134"/>
      <c r="AO298" s="1134"/>
      <c r="AP298" s="1134"/>
      <c r="AQ298" s="1134"/>
      <c r="AR298" s="1134"/>
    </row>
    <row r="299" spans="1:44">
      <c r="B299" s="573"/>
      <c r="C299" s="581"/>
      <c r="D299" s="581"/>
      <c r="E299" s="581"/>
      <c r="F299" s="581"/>
      <c r="G299" s="581"/>
      <c r="H299" s="581"/>
      <c r="I299" s="581"/>
      <c r="J299" s="581"/>
      <c r="K299" s="578"/>
      <c r="L299" s="579"/>
      <c r="M299" s="366"/>
      <c r="N299" s="366"/>
      <c r="O299" s="71"/>
      <c r="P299" s="1146"/>
      <c r="Q299" s="1143"/>
      <c r="R299" s="394"/>
      <c r="S299" s="395"/>
      <c r="T299" s="1135"/>
      <c r="U299" s="1135"/>
      <c r="V299" s="1135"/>
      <c r="W299" s="1135"/>
      <c r="X299" s="1135"/>
      <c r="Y299" s="1135"/>
      <c r="Z299" s="1135"/>
      <c r="AA299" s="1135"/>
      <c r="AB299" s="1137"/>
      <c r="AC299" s="1135"/>
      <c r="AE299" s="1146"/>
      <c r="AF299" s="1143"/>
      <c r="AG299" s="394"/>
      <c r="AH299" s="395"/>
      <c r="AI299" s="1135"/>
      <c r="AJ299" s="1135"/>
      <c r="AK299" s="1135"/>
      <c r="AL299" s="1135"/>
      <c r="AM299" s="1135"/>
      <c r="AN299" s="1135"/>
      <c r="AO299" s="1135"/>
      <c r="AP299" s="1135"/>
      <c r="AQ299" s="1137"/>
      <c r="AR299" s="1135"/>
    </row>
    <row r="300" spans="1:44">
      <c r="B300" s="382"/>
      <c r="C300" s="396"/>
      <c r="D300" s="396"/>
      <c r="E300" s="396"/>
      <c r="F300" s="396"/>
      <c r="G300" s="397"/>
      <c r="H300" s="397"/>
      <c r="I300" s="397"/>
      <c r="J300" s="397"/>
      <c r="K300" s="371"/>
      <c r="L300" s="372"/>
      <c r="M300" s="362"/>
      <c r="N300" s="362"/>
      <c r="P300" s="1146"/>
      <c r="Q300" s="1143"/>
      <c r="R300" s="394"/>
      <c r="S300" s="395"/>
      <c r="T300" s="1135"/>
      <c r="U300" s="1135"/>
      <c r="V300" s="1135"/>
      <c r="W300" s="1135"/>
      <c r="X300" s="1135"/>
      <c r="Y300" s="1135"/>
      <c r="Z300" s="1135"/>
      <c r="AA300" s="1135"/>
      <c r="AB300" s="1137"/>
      <c r="AC300" s="1135"/>
      <c r="AE300" s="1146"/>
      <c r="AF300" s="1143"/>
      <c r="AG300" s="394"/>
      <c r="AH300" s="395"/>
      <c r="AI300" s="1135"/>
      <c r="AJ300" s="1135"/>
      <c r="AK300" s="1135"/>
      <c r="AL300" s="1135"/>
      <c r="AM300" s="1135"/>
      <c r="AN300" s="1135"/>
      <c r="AO300" s="1135"/>
      <c r="AP300" s="1135"/>
      <c r="AQ300" s="1137"/>
      <c r="AR300" s="1135"/>
    </row>
    <row r="301" spans="1:44" ht="15" thickBot="1">
      <c r="B301" s="573"/>
      <c r="C301" s="581"/>
      <c r="D301" s="581"/>
      <c r="E301" s="581"/>
      <c r="F301" s="581"/>
      <c r="G301" s="581"/>
      <c r="H301" s="581"/>
      <c r="I301" s="581"/>
      <c r="J301" s="581"/>
      <c r="K301" s="371"/>
      <c r="L301" s="372"/>
      <c r="M301" s="362"/>
      <c r="N301" s="362"/>
      <c r="P301" s="1146"/>
      <c r="Q301" s="1143"/>
      <c r="R301" s="394"/>
      <c r="S301" s="395"/>
      <c r="T301" s="1135"/>
      <c r="U301" s="1135"/>
      <c r="V301" s="1135"/>
      <c r="W301" s="1135"/>
      <c r="X301" s="1135"/>
      <c r="Y301" s="1135"/>
      <c r="Z301" s="1135"/>
      <c r="AA301" s="1135"/>
      <c r="AB301" s="1137"/>
      <c r="AC301" s="1135"/>
      <c r="AE301" s="1146"/>
      <c r="AF301" s="1143"/>
      <c r="AG301" s="394"/>
      <c r="AH301" s="395"/>
      <c r="AI301" s="1135"/>
      <c r="AJ301" s="1135"/>
      <c r="AK301" s="1135"/>
      <c r="AL301" s="1135"/>
      <c r="AM301" s="1135"/>
      <c r="AN301" s="1135"/>
      <c r="AO301" s="1135"/>
      <c r="AP301" s="1135"/>
      <c r="AQ301" s="1137"/>
      <c r="AR301" s="1135"/>
    </row>
    <row r="302" spans="1:44" ht="15" thickBot="1">
      <c r="B302" s="400"/>
      <c r="C302" s="582"/>
      <c r="D302" s="583"/>
      <c r="E302" s="584"/>
      <c r="F302" s="585"/>
      <c r="G302" s="405"/>
      <c r="H302" s="405"/>
      <c r="I302" s="405"/>
      <c r="J302" s="405"/>
      <c r="K302" s="406"/>
      <c r="L302" s="586"/>
      <c r="M302" s="362"/>
      <c r="N302" s="362"/>
      <c r="P302" s="1146"/>
      <c r="Q302" s="1144"/>
      <c r="R302" s="408"/>
      <c r="S302" s="409"/>
      <c r="T302" s="1136"/>
      <c r="U302" s="1136"/>
      <c r="V302" s="1136"/>
      <c r="W302" s="1136"/>
      <c r="X302" s="1136"/>
      <c r="Y302" s="1136"/>
      <c r="Z302" s="1136"/>
      <c r="AA302" s="1136"/>
      <c r="AB302" s="1138"/>
      <c r="AC302" s="1136"/>
      <c r="AE302" s="1146"/>
      <c r="AF302" s="1144"/>
      <c r="AG302" s="408"/>
      <c r="AH302" s="409"/>
      <c r="AI302" s="1136"/>
      <c r="AJ302" s="1136"/>
      <c r="AK302" s="1136"/>
      <c r="AL302" s="1136"/>
      <c r="AM302" s="1136"/>
      <c r="AN302" s="1136"/>
      <c r="AO302" s="1136"/>
      <c r="AP302" s="1136"/>
      <c r="AQ302" s="1138"/>
      <c r="AR302" s="1136"/>
    </row>
    <row r="303" spans="1:44" ht="15" thickBot="1">
      <c r="B303" s="573"/>
      <c r="C303" s="587"/>
      <c r="D303" s="587"/>
      <c r="E303" s="587"/>
      <c r="F303" s="587"/>
      <c r="G303" s="588"/>
      <c r="H303" s="588"/>
      <c r="I303" s="589"/>
      <c r="J303" s="589"/>
      <c r="K303" s="578"/>
      <c r="L303" s="579"/>
      <c r="M303" s="362"/>
      <c r="N303" s="362"/>
      <c r="P303" s="1147"/>
      <c r="Q303" s="410"/>
      <c r="R303" s="411"/>
      <c r="S303" s="412"/>
      <c r="T303" s="590"/>
      <c r="U303" s="591"/>
      <c r="V303" s="592"/>
      <c r="W303" s="591"/>
      <c r="X303" s="592"/>
      <c r="Y303" s="591"/>
      <c r="Z303" s="592"/>
      <c r="AA303" s="591"/>
      <c r="AB303" s="592"/>
      <c r="AC303" s="593"/>
      <c r="AE303" s="1147"/>
      <c r="AF303" s="410"/>
      <c r="AG303" s="411"/>
      <c r="AH303" s="412"/>
      <c r="AI303" s="590"/>
      <c r="AJ303" s="591"/>
      <c r="AK303" s="592"/>
      <c r="AL303" s="591"/>
      <c r="AM303" s="592"/>
      <c r="AN303" s="591"/>
      <c r="AO303" s="592"/>
      <c r="AP303" s="591"/>
      <c r="AQ303" s="592"/>
      <c r="AR303" s="593"/>
    </row>
    <row r="304" spans="1:44">
      <c r="B304" s="573"/>
      <c r="C304" s="581"/>
      <c r="D304" s="581"/>
      <c r="E304" s="581"/>
      <c r="F304" s="581"/>
      <c r="G304" s="594"/>
      <c r="H304" s="594"/>
      <c r="I304" s="594"/>
      <c r="J304" s="594"/>
      <c r="K304" s="595"/>
      <c r="L304" s="579"/>
      <c r="M304" s="362"/>
      <c r="N304" s="362"/>
    </row>
    <row r="305" spans="1:30">
      <c r="B305" s="573"/>
      <c r="C305" s="581"/>
      <c r="D305" s="581"/>
      <c r="E305" s="581"/>
      <c r="F305" s="581"/>
      <c r="G305" s="594"/>
      <c r="H305" s="594"/>
      <c r="I305" s="594"/>
      <c r="J305" s="594"/>
      <c r="K305" s="595"/>
      <c r="L305" s="579"/>
      <c r="M305" s="419"/>
      <c r="N305" s="362"/>
    </row>
    <row r="306" spans="1:30">
      <c r="B306" s="420"/>
      <c r="C306" s="398"/>
      <c r="D306" s="398"/>
      <c r="E306" s="398"/>
      <c r="F306" s="398"/>
      <c r="G306" s="421"/>
      <c r="H306" s="421"/>
      <c r="I306" s="421"/>
      <c r="J306" s="421"/>
      <c r="K306" s="422"/>
      <c r="L306" s="596"/>
      <c r="M306" s="419"/>
      <c r="N306" s="419"/>
    </row>
    <row r="307" spans="1:30">
      <c r="B307" s="382"/>
      <c r="C307" s="396"/>
      <c r="D307" s="396"/>
      <c r="E307" s="396"/>
      <c r="F307" s="396"/>
      <c r="G307" s="421"/>
      <c r="H307" s="424"/>
      <c r="I307" s="424"/>
      <c r="J307" s="424"/>
      <c r="K307" s="425"/>
      <c r="L307" s="426"/>
      <c r="M307" s="427"/>
      <c r="N307" s="427"/>
    </row>
    <row r="308" spans="1:30">
      <c r="B308" s="382"/>
      <c r="C308" s="396"/>
      <c r="D308" s="396"/>
      <c r="E308" s="396"/>
      <c r="F308" s="396"/>
      <c r="G308" s="424"/>
      <c r="H308" s="424"/>
      <c r="I308" s="424"/>
      <c r="J308" s="424"/>
      <c r="K308" s="422"/>
      <c r="L308" s="426"/>
      <c r="M308" s="427"/>
      <c r="N308" s="427"/>
    </row>
    <row r="309" spans="1:30">
      <c r="B309" s="382"/>
      <c r="C309" s="396"/>
      <c r="D309" s="396"/>
      <c r="E309" s="396"/>
      <c r="F309" s="396"/>
      <c r="G309" s="424"/>
      <c r="H309" s="424"/>
      <c r="I309" s="424"/>
      <c r="J309" s="424"/>
      <c r="K309" s="422"/>
      <c r="L309" s="426"/>
      <c r="M309" s="427"/>
      <c r="N309" s="427"/>
    </row>
    <row r="310" spans="1:30">
      <c r="B310" s="382"/>
      <c r="C310" s="396"/>
      <c r="D310" s="396"/>
      <c r="E310" s="396"/>
      <c r="F310" s="396"/>
      <c r="G310" s="424"/>
      <c r="H310" s="424"/>
      <c r="I310" s="424"/>
      <c r="J310" s="424"/>
      <c r="K310" s="422"/>
      <c r="L310" s="426"/>
      <c r="M310" s="427"/>
      <c r="N310" s="427"/>
    </row>
    <row r="311" spans="1:30" ht="15" thickBot="1">
      <c r="B311" s="428"/>
      <c r="C311" s="396"/>
      <c r="D311" s="396"/>
      <c r="E311" s="396"/>
      <c r="F311" s="396"/>
      <c r="G311" s="424"/>
      <c r="H311" s="424"/>
      <c r="I311" s="424"/>
      <c r="J311" s="424"/>
      <c r="K311" s="422"/>
      <c r="L311" s="426"/>
      <c r="M311" s="427"/>
      <c r="N311" s="427"/>
    </row>
    <row r="312" spans="1:30" ht="15" thickBot="1">
      <c r="B312" s="430"/>
      <c r="C312" s="597"/>
      <c r="D312" s="583"/>
      <c r="E312" s="583"/>
      <c r="F312" s="598"/>
      <c r="G312" s="433"/>
      <c r="H312" s="405"/>
      <c r="I312" s="405"/>
      <c r="J312" s="405"/>
      <c r="K312" s="406"/>
      <c r="L312" s="586"/>
      <c r="M312" s="427"/>
      <c r="N312" s="427"/>
    </row>
    <row r="313" spans="1:30">
      <c r="A313" s="434"/>
      <c r="B313" s="435"/>
      <c r="C313" s="599"/>
      <c r="D313" s="599"/>
      <c r="E313" s="599"/>
      <c r="F313" s="599"/>
      <c r="G313" s="424"/>
      <c r="H313" s="424"/>
      <c r="I313" s="424"/>
      <c r="J313" s="424"/>
      <c r="K313" s="425"/>
      <c r="L313" s="439"/>
      <c r="M313" s="419"/>
      <c r="N313" s="419"/>
    </row>
    <row r="314" spans="1:30">
      <c r="B314" s="440"/>
      <c r="C314" s="600"/>
      <c r="D314" s="600"/>
      <c r="E314" s="600"/>
      <c r="F314" s="600"/>
      <c r="G314" s="424"/>
      <c r="H314" s="424"/>
      <c r="I314" s="424"/>
      <c r="J314" s="424"/>
      <c r="K314" s="443"/>
      <c r="L314" s="372"/>
      <c r="M314" s="71"/>
      <c r="N314" s="419"/>
    </row>
    <row r="315" spans="1:30">
      <c r="B315" s="440"/>
      <c r="C315" s="600"/>
      <c r="D315" s="600"/>
      <c r="E315" s="600"/>
      <c r="F315" s="600"/>
      <c r="G315" s="424"/>
      <c r="H315" s="424"/>
      <c r="I315" s="424"/>
      <c r="J315" s="424"/>
      <c r="K315" s="443"/>
      <c r="L315" s="372"/>
      <c r="M315" s="419"/>
      <c r="N315" s="419"/>
    </row>
    <row r="316" spans="1:30">
      <c r="B316" s="382"/>
      <c r="C316" s="601"/>
      <c r="D316" s="602"/>
      <c r="E316" s="602"/>
      <c r="F316" s="603"/>
      <c r="G316" s="424"/>
      <c r="H316" s="424"/>
      <c r="I316" s="424"/>
      <c r="J316" s="424"/>
      <c r="K316" s="443"/>
      <c r="L316" s="372"/>
      <c r="M316" s="419"/>
      <c r="N316" s="419"/>
    </row>
    <row r="317" spans="1:30">
      <c r="B317" s="382"/>
      <c r="C317" s="604"/>
      <c r="D317" s="604"/>
      <c r="E317" s="604"/>
      <c r="F317" s="604"/>
      <c r="G317" s="424"/>
      <c r="H317" s="424"/>
      <c r="I317" s="424"/>
      <c r="J317" s="424"/>
      <c r="K317" s="443"/>
      <c r="L317" s="372"/>
      <c r="M317" s="449"/>
      <c r="N317" s="360"/>
      <c r="P317" s="1139"/>
      <c r="Q317" s="1140"/>
      <c r="R317" s="1140"/>
      <c r="S317" s="1140"/>
      <c r="T317" s="1140"/>
      <c r="U317" s="1141"/>
    </row>
    <row r="318" spans="1:30" ht="15" thickBot="1">
      <c r="B318" s="540"/>
      <c r="C318" s="551"/>
      <c r="D318" s="551"/>
      <c r="E318" s="551"/>
      <c r="F318" s="551"/>
      <c r="G318" s="552"/>
      <c r="H318" s="552"/>
      <c r="I318" s="552"/>
      <c r="J318" s="552"/>
      <c r="K318" s="546"/>
      <c r="L318" s="547"/>
      <c r="M318" s="449"/>
      <c r="N318" s="360"/>
      <c r="P318" s="1131"/>
      <c r="Q318" s="1132"/>
      <c r="R318" s="1132"/>
      <c r="S318" s="1132"/>
      <c r="T318" s="1132"/>
      <c r="U318" s="1133"/>
    </row>
    <row r="319" spans="1:30">
      <c r="B319" s="540"/>
      <c r="C319" s="605"/>
      <c r="D319" s="605"/>
      <c r="E319" s="605"/>
      <c r="F319" s="605"/>
      <c r="G319" s="552"/>
      <c r="H319" s="552"/>
      <c r="I319" s="552"/>
      <c r="J319" s="552"/>
      <c r="K319" s="546"/>
      <c r="L319" s="547"/>
      <c r="M319" s="362"/>
      <c r="N319" s="362"/>
      <c r="P319" s="53"/>
    </row>
    <row r="320" spans="1:30">
      <c r="B320" s="540"/>
      <c r="C320" s="606"/>
      <c r="D320" s="546"/>
      <c r="E320" s="546"/>
      <c r="F320" s="562"/>
      <c r="G320" s="549"/>
      <c r="H320" s="549"/>
      <c r="I320" s="549"/>
      <c r="J320" s="549"/>
      <c r="K320" s="546"/>
      <c r="L320" s="607"/>
      <c r="M320" s="366"/>
      <c r="N320" s="366"/>
      <c r="P320" s="46"/>
      <c r="Q320" s="46"/>
      <c r="R320" s="47"/>
      <c r="S320" s="47"/>
      <c r="T320" s="47"/>
      <c r="U320" s="48"/>
      <c r="V320" s="49"/>
      <c r="W320" s="49"/>
      <c r="X320" s="49"/>
      <c r="Y320" s="49"/>
      <c r="Z320" s="49"/>
      <c r="AA320" s="49"/>
      <c r="AB320" s="49"/>
      <c r="AC320" s="49"/>
      <c r="AD320" s="49"/>
    </row>
    <row r="321" spans="1:30" ht="15" thickBot="1">
      <c r="B321" s="565"/>
      <c r="C321" s="606"/>
      <c r="D321" s="608"/>
      <c r="E321" s="608"/>
      <c r="F321" s="609"/>
      <c r="G321" s="549"/>
      <c r="H321" s="549"/>
      <c r="I321" s="549"/>
      <c r="J321" s="549"/>
      <c r="K321" s="546"/>
      <c r="L321" s="607"/>
      <c r="M321" s="362"/>
      <c r="N321" s="362"/>
      <c r="O321" s="71"/>
      <c r="P321" s="50"/>
      <c r="Q321" s="50"/>
      <c r="R321" s="51"/>
      <c r="S321" s="51"/>
      <c r="T321" s="51"/>
      <c r="U321" s="51"/>
      <c r="V321" s="50"/>
      <c r="W321" s="50"/>
      <c r="X321" s="50"/>
      <c r="Y321" s="50"/>
      <c r="Z321" s="50"/>
      <c r="AA321" s="50"/>
      <c r="AB321" s="50"/>
      <c r="AC321" s="50"/>
      <c r="AD321" s="50"/>
    </row>
    <row r="322" spans="1:30" ht="15" thickBot="1">
      <c r="B322" s="610"/>
      <c r="C322" s="611"/>
      <c r="D322" s="612"/>
      <c r="E322" s="613"/>
      <c r="F322" s="614"/>
      <c r="G322" s="539"/>
      <c r="H322" s="539"/>
      <c r="I322" s="539"/>
      <c r="J322" s="539"/>
      <c r="K322" s="615"/>
      <c r="L322" s="616"/>
      <c r="M322" s="362"/>
      <c r="N322" s="362"/>
      <c r="O322" s="460"/>
      <c r="P322" s="56"/>
      <c r="Q322" s="56"/>
      <c r="R322" s="57"/>
      <c r="S322" s="57"/>
      <c r="T322" s="57"/>
      <c r="U322" s="56"/>
      <c r="V322" s="56"/>
      <c r="W322" s="56"/>
      <c r="X322" s="56"/>
      <c r="Y322" s="56"/>
      <c r="Z322" s="56"/>
      <c r="AA322" s="56"/>
      <c r="AB322" s="56"/>
      <c r="AC322" s="56"/>
      <c r="AD322" s="56"/>
    </row>
    <row r="323" spans="1:30">
      <c r="B323" s="555"/>
      <c r="C323" s="617"/>
      <c r="D323" s="617"/>
      <c r="E323" s="617"/>
      <c r="F323" s="617"/>
      <c r="G323" s="617"/>
      <c r="H323" s="617"/>
      <c r="I323" s="617"/>
      <c r="J323" s="617"/>
      <c r="K323" s="617"/>
      <c r="L323" s="618"/>
      <c r="M323" s="362"/>
      <c r="N323" s="362"/>
      <c r="O323" s="619"/>
      <c r="P323" s="465"/>
      <c r="Q323" s="58"/>
      <c r="R323" s="465"/>
      <c r="S323" s="58"/>
      <c r="T323" s="465"/>
      <c r="U323" s="466"/>
      <c r="V323" s="466"/>
      <c r="W323" s="466"/>
      <c r="X323" s="58"/>
      <c r="Y323" s="58"/>
      <c r="Z323" s="465"/>
      <c r="AA323" s="467"/>
      <c r="AB323" s="467"/>
      <c r="AC323" s="467"/>
      <c r="AD323" s="467"/>
    </row>
    <row r="324" spans="1:30">
      <c r="B324" s="540"/>
      <c r="C324" s="557"/>
      <c r="D324" s="557"/>
      <c r="E324" s="557"/>
      <c r="F324" s="557"/>
      <c r="G324" s="562"/>
      <c r="H324" s="562"/>
      <c r="I324" s="562"/>
      <c r="J324" s="562"/>
      <c r="K324" s="562"/>
      <c r="L324" s="547"/>
      <c r="M324" s="362"/>
      <c r="N324" s="362"/>
      <c r="O324" s="619"/>
      <c r="P324" s="465"/>
      <c r="Q324" s="58"/>
      <c r="R324" s="465"/>
      <c r="S324" s="58"/>
      <c r="T324" s="465"/>
      <c r="U324" s="466"/>
      <c r="V324" s="466"/>
      <c r="W324" s="466"/>
      <c r="X324" s="58"/>
      <c r="Y324" s="58"/>
      <c r="Z324" s="465"/>
      <c r="AA324" s="467"/>
      <c r="AB324" s="467"/>
      <c r="AC324" s="467"/>
      <c r="AD324" s="467"/>
    </row>
    <row r="325" spans="1:30">
      <c r="B325" s="540"/>
      <c r="C325" s="557"/>
      <c r="D325" s="557"/>
      <c r="E325" s="557"/>
      <c r="F325" s="557"/>
      <c r="G325" s="562"/>
      <c r="H325" s="562"/>
      <c r="I325" s="562"/>
      <c r="J325" s="562"/>
      <c r="K325" s="562"/>
      <c r="L325" s="547"/>
      <c r="M325" s="362"/>
      <c r="N325" s="362"/>
      <c r="O325" s="619"/>
      <c r="P325" s="465"/>
      <c r="Q325" s="58"/>
      <c r="R325" s="465"/>
      <c r="S325" s="58"/>
      <c r="T325" s="465"/>
      <c r="U325" s="466"/>
      <c r="V325" s="466"/>
      <c r="W325" s="466"/>
      <c r="X325" s="58"/>
      <c r="Y325" s="58"/>
      <c r="Z325" s="465"/>
      <c r="AA325" s="467"/>
      <c r="AB325" s="467"/>
      <c r="AC325" s="467"/>
      <c r="AD325" s="467"/>
    </row>
    <row r="326" spans="1:30">
      <c r="B326" s="540"/>
      <c r="C326" s="563"/>
      <c r="D326" s="563"/>
      <c r="E326" s="563"/>
      <c r="F326" s="563"/>
      <c r="G326" s="620"/>
      <c r="H326" s="620"/>
      <c r="I326" s="620"/>
      <c r="J326" s="620"/>
      <c r="K326" s="620"/>
      <c r="L326" s="547"/>
      <c r="M326" s="362"/>
      <c r="N326" s="362"/>
      <c r="O326" s="619"/>
      <c r="P326" s="465"/>
      <c r="Q326" s="58"/>
      <c r="R326" s="465"/>
      <c r="S326" s="58"/>
      <c r="T326" s="465"/>
      <c r="U326" s="466"/>
      <c r="V326" s="466"/>
      <c r="W326" s="466"/>
      <c r="X326" s="58"/>
      <c r="Y326" s="58"/>
      <c r="Z326" s="465"/>
      <c r="AA326" s="467"/>
      <c r="AB326" s="467"/>
      <c r="AC326" s="467"/>
      <c r="AD326" s="467"/>
    </row>
    <row r="327" spans="1:30">
      <c r="B327" s="565"/>
      <c r="C327" s="557"/>
      <c r="D327" s="557"/>
      <c r="E327" s="557"/>
      <c r="F327" s="557"/>
      <c r="G327" s="562"/>
      <c r="H327" s="562"/>
      <c r="I327" s="562"/>
      <c r="J327" s="562"/>
      <c r="K327" s="562"/>
      <c r="L327" s="547"/>
      <c r="M327" s="366"/>
      <c r="N327" s="366"/>
    </row>
    <row r="328" spans="1:30">
      <c r="B328" s="565"/>
      <c r="C328" s="557"/>
      <c r="D328" s="557"/>
      <c r="E328" s="557"/>
      <c r="F328" s="557"/>
      <c r="G328" s="562"/>
      <c r="H328" s="562"/>
      <c r="I328" s="562"/>
      <c r="J328" s="562"/>
      <c r="K328" s="562"/>
      <c r="L328" s="547"/>
      <c r="M328" s="362"/>
      <c r="N328" s="362"/>
    </row>
    <row r="329" spans="1:30" ht="15" thickBot="1">
      <c r="B329" s="566"/>
      <c r="C329" s="621"/>
      <c r="D329" s="621"/>
      <c r="E329" s="621"/>
      <c r="F329" s="621"/>
      <c r="G329" s="622"/>
      <c r="H329" s="622"/>
      <c r="I329" s="622"/>
      <c r="J329" s="622"/>
      <c r="K329" s="622"/>
      <c r="L329" s="623"/>
      <c r="M329" s="362"/>
      <c r="N329" s="362"/>
    </row>
    <row r="330" spans="1:30">
      <c r="B330" s="460"/>
      <c r="C330" s="482"/>
      <c r="D330" s="482"/>
      <c r="E330" s="482"/>
      <c r="F330" s="482"/>
      <c r="G330" s="482"/>
      <c r="H330" s="483"/>
      <c r="I330" s="419"/>
      <c r="J330" s="419"/>
      <c r="K330" s="483"/>
      <c r="L330" s="483"/>
      <c r="N330" s="419"/>
    </row>
    <row r="331" spans="1:30">
      <c r="B331" s="484"/>
      <c r="C331" s="485"/>
      <c r="D331" s="485"/>
      <c r="E331" s="485"/>
      <c r="F331" s="485"/>
      <c r="G331" s="485"/>
      <c r="H331" s="483"/>
      <c r="I331" s="71"/>
      <c r="J331" s="419"/>
      <c r="K331" s="483"/>
      <c r="L331" s="483"/>
      <c r="N331" s="419"/>
    </row>
    <row r="332" spans="1:30">
      <c r="B332" s="460"/>
      <c r="C332" s="358"/>
      <c r="D332" s="358"/>
      <c r="E332" s="358"/>
      <c r="F332" s="358"/>
      <c r="G332" s="358"/>
      <c r="I332" s="419"/>
      <c r="J332" s="419"/>
      <c r="N332" s="419"/>
    </row>
    <row r="333" spans="1:30">
      <c r="B333" s="460"/>
      <c r="C333" s="486"/>
      <c r="D333" s="486"/>
      <c r="E333" s="486"/>
      <c r="F333" s="486"/>
      <c r="G333" s="358"/>
      <c r="M333" s="419"/>
      <c r="N333" s="419"/>
    </row>
    <row r="336" spans="1:30">
      <c r="A336" s="487"/>
      <c r="B336" s="488"/>
      <c r="D336" s="357"/>
      <c r="E336" s="357"/>
      <c r="F336" s="357"/>
      <c r="G336" s="357"/>
      <c r="H336" s="357"/>
      <c r="I336" s="357"/>
      <c r="J336" s="357"/>
      <c r="K336" s="357"/>
    </row>
    <row r="337" spans="1:11">
      <c r="A337" s="357"/>
      <c r="B337" s="489"/>
      <c r="E337" s="357"/>
      <c r="F337" s="357"/>
      <c r="G337" s="357"/>
      <c r="H337" s="357"/>
      <c r="I337" s="357"/>
      <c r="J337" s="357"/>
      <c r="K337" s="357"/>
    </row>
    <row r="338" spans="1:11">
      <c r="A338" s="357"/>
      <c r="B338" s="489"/>
      <c r="E338" s="357"/>
      <c r="F338" s="357"/>
      <c r="G338" s="357"/>
      <c r="H338" s="357"/>
      <c r="I338" s="357"/>
      <c r="J338" s="357"/>
      <c r="K338" s="357"/>
    </row>
    <row r="339" spans="1:11">
      <c r="A339" s="357"/>
      <c r="B339" s="489"/>
      <c r="E339" s="357"/>
      <c r="F339" s="357"/>
      <c r="G339" s="357"/>
      <c r="H339" s="357"/>
      <c r="I339" s="357"/>
      <c r="J339" s="357"/>
      <c r="K339" s="357"/>
    </row>
    <row r="340" spans="1:11">
      <c r="A340" s="357"/>
      <c r="B340" s="489"/>
      <c r="E340" s="357"/>
      <c r="F340" s="357"/>
      <c r="G340" s="357"/>
      <c r="H340" s="357"/>
      <c r="I340" s="357"/>
      <c r="J340" s="357"/>
      <c r="K340" s="357"/>
    </row>
    <row r="341" spans="1:11">
      <c r="A341" s="357"/>
      <c r="B341" s="489"/>
      <c r="E341" s="357"/>
      <c r="F341" s="357"/>
      <c r="G341" s="357"/>
      <c r="H341" s="357"/>
      <c r="I341" s="357"/>
      <c r="J341" s="357"/>
      <c r="K341" s="357"/>
    </row>
    <row r="342" spans="1:11">
      <c r="A342" s="357"/>
      <c r="B342" s="489"/>
      <c r="E342" s="357"/>
      <c r="F342" s="357"/>
      <c r="G342" s="357"/>
      <c r="H342" s="357"/>
      <c r="I342" s="357"/>
      <c r="J342" s="357"/>
      <c r="K342" s="357"/>
    </row>
    <row r="343" spans="1:11">
      <c r="A343" s="357"/>
      <c r="B343" s="489"/>
      <c r="E343" s="357"/>
      <c r="F343" s="357"/>
      <c r="G343" s="357"/>
      <c r="H343" s="357"/>
      <c r="I343" s="357"/>
      <c r="J343" s="357"/>
      <c r="K343" s="357"/>
    </row>
    <row r="344" spans="1:11">
      <c r="A344" s="357"/>
      <c r="B344" s="624"/>
      <c r="E344" s="357"/>
      <c r="F344" s="357"/>
      <c r="G344" s="357"/>
      <c r="H344" s="357"/>
      <c r="I344" s="357"/>
      <c r="J344" s="357"/>
      <c r="K344" s="357"/>
    </row>
    <row r="345" spans="1:11">
      <c r="A345" s="357"/>
      <c r="B345" s="489"/>
      <c r="E345" s="357"/>
      <c r="F345" s="357"/>
      <c r="G345" s="357"/>
      <c r="H345" s="357"/>
      <c r="I345" s="357"/>
      <c r="J345" s="357"/>
      <c r="K345" s="357"/>
    </row>
    <row r="346" spans="1:11">
      <c r="A346" s="487"/>
      <c r="B346" s="488"/>
      <c r="E346" s="357"/>
      <c r="F346" s="357"/>
      <c r="G346" s="357"/>
      <c r="H346" s="357"/>
      <c r="I346" s="357"/>
      <c r="J346" s="357"/>
      <c r="K346" s="357"/>
    </row>
    <row r="347" spans="1:11">
      <c r="A347" s="495"/>
      <c r="B347" s="489"/>
      <c r="C347" s="488"/>
      <c r="E347" s="357"/>
      <c r="F347" s="357"/>
      <c r="G347" s="357"/>
      <c r="H347" s="357"/>
      <c r="I347" s="357"/>
      <c r="J347" s="357"/>
      <c r="K347" s="357"/>
    </row>
    <row r="348" spans="1:11">
      <c r="A348" s="495"/>
      <c r="B348" s="489"/>
      <c r="C348" s="488"/>
      <c r="E348" s="357"/>
      <c r="F348" s="357"/>
      <c r="G348" s="357"/>
      <c r="H348" s="357"/>
      <c r="I348" s="357"/>
      <c r="J348" s="357"/>
      <c r="K348" s="357"/>
    </row>
    <row r="349" spans="1:11">
      <c r="A349" s="495"/>
      <c r="B349" s="489"/>
      <c r="C349" s="488"/>
      <c r="E349" s="357"/>
      <c r="F349" s="357"/>
      <c r="G349" s="357"/>
      <c r="H349" s="357"/>
      <c r="I349" s="357"/>
      <c r="J349" s="357"/>
      <c r="K349" s="357"/>
    </row>
    <row r="350" spans="1:11">
      <c r="A350" s="495"/>
      <c r="B350" s="489"/>
      <c r="C350" s="488"/>
      <c r="E350" s="357"/>
      <c r="F350" s="357"/>
      <c r="G350" s="357"/>
      <c r="H350" s="357"/>
      <c r="I350" s="357"/>
      <c r="J350" s="357"/>
      <c r="K350" s="357"/>
    </row>
    <row r="351" spans="1:11" ht="15.75" customHeight="1">
      <c r="A351" s="495"/>
      <c r="B351" s="489"/>
      <c r="C351" s="488"/>
      <c r="E351" s="357"/>
      <c r="F351" s="357"/>
      <c r="G351" s="357"/>
      <c r="H351" s="357"/>
      <c r="I351" s="357"/>
      <c r="J351" s="357"/>
      <c r="K351" s="357"/>
    </row>
    <row r="352" spans="1:11" ht="15.75" customHeight="1">
      <c r="A352" s="495"/>
      <c r="B352" s="489"/>
      <c r="C352" s="488"/>
      <c r="E352" s="357"/>
      <c r="F352" s="357"/>
      <c r="G352" s="357"/>
      <c r="H352" s="357"/>
      <c r="I352" s="357"/>
      <c r="J352" s="357"/>
      <c r="K352" s="357"/>
    </row>
  </sheetData>
  <mergeCells count="395">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A232:AA236"/>
    <mergeCell ref="AB232:AB236"/>
    <mergeCell ref="AC232:AC236"/>
    <mergeCell ref="P229:P237"/>
    <mergeCell ref="Q229:Q231"/>
    <mergeCell ref="T229:T231"/>
    <mergeCell ref="U229:U231"/>
    <mergeCell ref="V229:V231"/>
    <mergeCell ref="W229:W231"/>
    <mergeCell ref="X229:X231"/>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P184:U184"/>
    <mergeCell ref="P185:U185"/>
    <mergeCell ref="C225:L225"/>
    <mergeCell ref="S225:S228"/>
    <mergeCell ref="T225:U227"/>
    <mergeCell ref="V225:W227"/>
    <mergeCell ref="K226:K227"/>
    <mergeCell ref="L226:L227"/>
    <mergeCell ref="P226:P228"/>
    <mergeCell ref="Q227:Q228"/>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P162:P170"/>
    <mergeCell ref="Q162:Q164"/>
    <mergeCell ref="T162:T164"/>
    <mergeCell ref="U162:U164"/>
    <mergeCell ref="V162:V164"/>
    <mergeCell ref="W162:W164"/>
    <mergeCell ref="Q165:Q169"/>
    <mergeCell ref="T165:T169"/>
    <mergeCell ref="U165:U169"/>
    <mergeCell ref="V165:V169"/>
    <mergeCell ref="W165:W169"/>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Z158:AA160"/>
    <mergeCell ref="P159:P161"/>
    <mergeCell ref="Q160:Q161"/>
    <mergeCell ref="R160:R161"/>
    <mergeCell ref="P112:U112"/>
    <mergeCell ref="P113:U113"/>
    <mergeCell ref="B156:B157"/>
    <mergeCell ref="C156:M156"/>
    <mergeCell ref="P156:U156"/>
    <mergeCell ref="C157:M157"/>
    <mergeCell ref="P157:U15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C23:F27"/>
    <mergeCell ref="P33:U33"/>
    <mergeCell ref="P34:U34"/>
    <mergeCell ref="C42:F42"/>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F41F8-B94B-452E-99FA-E2C51E106595}">
  <sheetPr>
    <tabColor theme="3"/>
  </sheetPr>
  <dimension ref="A2:AR345"/>
  <sheetViews>
    <sheetView topLeftCell="B1" zoomScale="55" zoomScaleNormal="55" workbookViewId="0">
      <selection activeCell="V38" sqref="V38"/>
    </sheetView>
  </sheetViews>
  <sheetFormatPr defaultColWidth="8.77734375" defaultRowHeight="14.4" outlineLevelRow="1"/>
  <cols>
    <col min="1" max="1" width="20.5546875" style="224"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8" t="s">
        <v>789</v>
      </c>
    </row>
    <row r="4" spans="1:44" ht="25.05" customHeight="1">
      <c r="E4" s="224" t="s">
        <v>358</v>
      </c>
      <c r="F4" s="358">
        <v>7.45</v>
      </c>
      <c r="G4" s="358" t="s">
        <v>328</v>
      </c>
    </row>
    <row r="5" spans="1:44" ht="15" customHeight="1">
      <c r="A5" s="359" t="s">
        <v>790</v>
      </c>
      <c r="B5" s="1204"/>
      <c r="C5" s="1140"/>
      <c r="D5" s="1140"/>
      <c r="E5" s="1140"/>
      <c r="F5" s="1140"/>
      <c r="G5" s="1140"/>
      <c r="H5" s="1140"/>
      <c r="I5" s="1140"/>
      <c r="J5" s="1140"/>
      <c r="K5" s="1140"/>
      <c r="L5" s="1140"/>
      <c r="M5" s="1140"/>
      <c r="N5" s="360"/>
      <c r="P5" s="1140"/>
      <c r="Q5" s="1140"/>
      <c r="R5" s="1140"/>
      <c r="S5" s="1140"/>
      <c r="T5" s="1140"/>
      <c r="U5" s="1140"/>
    </row>
    <row r="6" spans="1:44" ht="15.75" customHeight="1" outlineLevel="1" thickBot="1">
      <c r="B6" s="1204"/>
      <c r="C6" s="1140"/>
      <c r="D6" s="1140"/>
      <c r="E6" s="1140"/>
      <c r="F6" s="1140"/>
      <c r="G6" s="1140"/>
      <c r="H6" s="1140"/>
      <c r="I6" s="1140"/>
      <c r="J6" s="1140"/>
      <c r="K6" s="1140"/>
      <c r="L6" s="1140"/>
      <c r="M6" s="1140"/>
      <c r="N6" s="360"/>
      <c r="P6" s="691">
        <v>1</v>
      </c>
      <c r="Q6" s="691">
        <v>2</v>
      </c>
      <c r="R6" s="691">
        <v>3</v>
      </c>
      <c r="S6" s="691">
        <v>4</v>
      </c>
      <c r="T6" s="691">
        <v>5</v>
      </c>
      <c r="U6" s="691">
        <v>6</v>
      </c>
      <c r="V6" s="691">
        <v>7</v>
      </c>
      <c r="W6" s="691">
        <v>8</v>
      </c>
      <c r="X6" s="691">
        <v>9</v>
      </c>
      <c r="Y6" s="691">
        <v>10</v>
      </c>
      <c r="Z6" s="691">
        <v>11</v>
      </c>
      <c r="AA6" s="691">
        <v>12</v>
      </c>
      <c r="AB6" s="691">
        <v>13</v>
      </c>
      <c r="AC6" s="691">
        <v>14</v>
      </c>
    </row>
    <row r="7" spans="1:44" ht="20.25" customHeight="1" outlineLevel="1" thickBot="1">
      <c r="B7" s="361" t="s">
        <v>0</v>
      </c>
      <c r="C7" s="1183" t="s">
        <v>791</v>
      </c>
      <c r="D7" s="1184"/>
      <c r="E7" s="1184"/>
      <c r="F7" s="1184"/>
      <c r="G7" s="1184"/>
      <c r="H7" s="1184"/>
      <c r="I7" s="1184"/>
      <c r="J7" s="1184"/>
      <c r="K7" s="1184"/>
      <c r="L7" s="1185"/>
      <c r="M7" s="362"/>
      <c r="N7" s="362"/>
      <c r="P7" s="363" t="s">
        <v>676</v>
      </c>
      <c r="Q7" s="364"/>
      <c r="R7" s="365"/>
      <c r="S7" s="1173" t="s">
        <v>677</v>
      </c>
      <c r="T7" s="1157" t="s">
        <v>678</v>
      </c>
      <c r="U7" s="1158"/>
      <c r="V7" s="1157" t="s">
        <v>679</v>
      </c>
      <c r="W7" s="1158"/>
      <c r="X7" s="1157" t="s">
        <v>680</v>
      </c>
      <c r="Y7" s="1158"/>
      <c r="Z7" s="1157" t="s">
        <v>681</v>
      </c>
      <c r="AA7" s="1158"/>
      <c r="AB7" s="1157" t="s">
        <v>682</v>
      </c>
      <c r="AC7" s="1158"/>
      <c r="AE7" s="363" t="s">
        <v>683</v>
      </c>
      <c r="AF7" s="364"/>
      <c r="AG7" s="365"/>
      <c r="AH7" s="1173" t="s">
        <v>677</v>
      </c>
      <c r="AI7" s="1157" t="s">
        <v>678</v>
      </c>
      <c r="AJ7" s="1158"/>
      <c r="AK7" s="1157" t="s">
        <v>679</v>
      </c>
      <c r="AL7" s="1158"/>
      <c r="AM7" s="1157" t="s">
        <v>680</v>
      </c>
      <c r="AN7" s="1158"/>
      <c r="AO7" s="1157" t="s">
        <v>681</v>
      </c>
      <c r="AP7" s="1158"/>
      <c r="AQ7" s="1157" t="s">
        <v>682</v>
      </c>
      <c r="AR7" s="1158"/>
    </row>
    <row r="8" spans="1:44" ht="15" outlineLevel="1" thickBot="1">
      <c r="B8" s="1161" t="s">
        <v>4</v>
      </c>
      <c r="C8" s="1163">
        <v>2020</v>
      </c>
      <c r="D8" s="1163">
        <v>2030</v>
      </c>
      <c r="E8" s="1163">
        <v>2040</v>
      </c>
      <c r="F8" s="1163">
        <v>2050</v>
      </c>
      <c r="G8" s="1214" t="s">
        <v>684</v>
      </c>
      <c r="H8" s="1215"/>
      <c r="I8" s="1214" t="s">
        <v>628</v>
      </c>
      <c r="J8" s="1215"/>
      <c r="K8" s="1216" t="s">
        <v>2</v>
      </c>
      <c r="L8" s="1216" t="s">
        <v>3</v>
      </c>
      <c r="M8" s="366"/>
      <c r="N8" s="366"/>
      <c r="P8" s="1177" t="s">
        <v>0</v>
      </c>
      <c r="Q8" s="367"/>
      <c r="R8" s="367"/>
      <c r="S8" s="1174"/>
      <c r="T8" s="1159"/>
      <c r="U8" s="1160"/>
      <c r="V8" s="1159"/>
      <c r="W8" s="1160"/>
      <c r="X8" s="1159"/>
      <c r="Y8" s="1160"/>
      <c r="Z8" s="1159"/>
      <c r="AA8" s="1160"/>
      <c r="AB8" s="1159"/>
      <c r="AC8" s="1160"/>
      <c r="AE8" s="1177" t="s">
        <v>0</v>
      </c>
      <c r="AF8" s="367"/>
      <c r="AG8" s="367"/>
      <c r="AH8" s="1174"/>
      <c r="AI8" s="1159"/>
      <c r="AJ8" s="1160"/>
      <c r="AK8" s="1159"/>
      <c r="AL8" s="1160"/>
      <c r="AM8" s="1159"/>
      <c r="AN8" s="1160"/>
      <c r="AO8" s="1159"/>
      <c r="AP8" s="1160"/>
      <c r="AQ8" s="1159"/>
      <c r="AR8" s="1160"/>
    </row>
    <row r="9" spans="1:44" ht="15" outlineLevel="1" thickBot="1">
      <c r="B9" s="1162"/>
      <c r="C9" s="1164"/>
      <c r="D9" s="1164"/>
      <c r="E9" s="1164"/>
      <c r="F9" s="1164"/>
      <c r="G9" s="368" t="s">
        <v>629</v>
      </c>
      <c r="H9" s="368" t="s">
        <v>630</v>
      </c>
      <c r="I9" s="368" t="s">
        <v>629</v>
      </c>
      <c r="J9" s="368" t="s">
        <v>630</v>
      </c>
      <c r="K9" s="1217"/>
      <c r="L9" s="1217"/>
      <c r="M9" s="369"/>
      <c r="N9" s="369"/>
      <c r="P9" s="1178"/>
      <c r="Q9" s="1180" t="s">
        <v>685</v>
      </c>
      <c r="R9" s="1181" t="s">
        <v>686</v>
      </c>
      <c r="S9" s="1175"/>
      <c r="T9" s="1159"/>
      <c r="U9" s="1160"/>
      <c r="V9" s="1159"/>
      <c r="W9" s="1160"/>
      <c r="X9" s="1159"/>
      <c r="Y9" s="1160"/>
      <c r="Z9" s="1159"/>
      <c r="AA9" s="1160"/>
      <c r="AB9" s="1159"/>
      <c r="AC9" s="1160"/>
      <c r="AE9" s="1178"/>
      <c r="AF9" s="1194" t="s">
        <v>685</v>
      </c>
      <c r="AG9" s="1181" t="s">
        <v>686</v>
      </c>
      <c r="AH9" s="1175"/>
      <c r="AI9" s="1159"/>
      <c r="AJ9" s="1160"/>
      <c r="AK9" s="1159"/>
      <c r="AL9" s="1160"/>
      <c r="AM9" s="1159"/>
      <c r="AN9" s="1160"/>
      <c r="AO9" s="1159"/>
      <c r="AP9" s="1160"/>
      <c r="AQ9" s="1159"/>
      <c r="AR9" s="1160"/>
    </row>
    <row r="10" spans="1:44" ht="54.6" customHeight="1" outlineLevel="1" thickBot="1">
      <c r="B10" s="370" t="s">
        <v>687</v>
      </c>
      <c r="C10" s="371">
        <v>5000</v>
      </c>
      <c r="D10" s="371">
        <v>5000</v>
      </c>
      <c r="E10" s="371">
        <v>5000</v>
      </c>
      <c r="F10" s="371">
        <v>5000</v>
      </c>
      <c r="G10" s="371">
        <v>1000</v>
      </c>
      <c r="H10" s="371">
        <v>10000</v>
      </c>
      <c r="I10" s="371">
        <v>1000</v>
      </c>
      <c r="J10" s="371">
        <v>10000</v>
      </c>
      <c r="K10" s="371"/>
      <c r="L10" s="372">
        <v>4</v>
      </c>
      <c r="M10" s="369"/>
      <c r="N10" s="369"/>
      <c r="O10" s="74"/>
      <c r="P10" s="1179"/>
      <c r="Q10" s="1176"/>
      <c r="R10" s="1182"/>
      <c r="S10" s="1176"/>
      <c r="T10" s="373" t="s">
        <v>689</v>
      </c>
      <c r="U10" s="374" t="s">
        <v>690</v>
      </c>
      <c r="V10" s="373" t="s">
        <v>689</v>
      </c>
      <c r="W10" s="374" t="s">
        <v>690</v>
      </c>
      <c r="X10" s="373" t="s">
        <v>689</v>
      </c>
      <c r="Y10" s="374" t="s">
        <v>690</v>
      </c>
      <c r="Z10" s="373" t="s">
        <v>689</v>
      </c>
      <c r="AA10" s="374" t="s">
        <v>690</v>
      </c>
      <c r="AB10" s="373" t="s">
        <v>689</v>
      </c>
      <c r="AC10" s="374" t="s">
        <v>690</v>
      </c>
      <c r="AE10" s="1179"/>
      <c r="AF10" s="1195"/>
      <c r="AG10" s="1182"/>
      <c r="AH10" s="1176"/>
      <c r="AI10" s="373" t="s">
        <v>689</v>
      </c>
      <c r="AJ10" s="374" t="s">
        <v>690</v>
      </c>
      <c r="AK10" s="373" t="s">
        <v>689</v>
      </c>
      <c r="AL10" s="374" t="s">
        <v>690</v>
      </c>
      <c r="AM10" s="373" t="s">
        <v>689</v>
      </c>
      <c r="AN10" s="374" t="s">
        <v>690</v>
      </c>
      <c r="AO10" s="373" t="s">
        <v>689</v>
      </c>
      <c r="AP10" s="374" t="s">
        <v>690</v>
      </c>
      <c r="AQ10" s="373" t="s">
        <v>689</v>
      </c>
      <c r="AR10" s="374" t="s">
        <v>690</v>
      </c>
    </row>
    <row r="11" spans="1:44" ht="24.6" customHeight="1" outlineLevel="1">
      <c r="B11" s="375" t="s">
        <v>691</v>
      </c>
      <c r="C11" s="376">
        <v>100</v>
      </c>
      <c r="D11" s="376">
        <v>100</v>
      </c>
      <c r="E11" s="377">
        <v>100</v>
      </c>
      <c r="F11" s="376">
        <v>100</v>
      </c>
      <c r="G11" s="376">
        <v>100</v>
      </c>
      <c r="H11" s="376">
        <v>100</v>
      </c>
      <c r="I11" s="376">
        <v>100</v>
      </c>
      <c r="J11" s="376">
        <v>100</v>
      </c>
      <c r="K11" s="378" t="s">
        <v>6</v>
      </c>
      <c r="L11" s="379">
        <v>2</v>
      </c>
      <c r="M11" s="369"/>
      <c r="N11" s="369"/>
      <c r="P11" s="1196" t="str">
        <f>C7</f>
        <v>Direct Firing, Electricity</v>
      </c>
      <c r="Q11" s="1151" t="s">
        <v>693</v>
      </c>
      <c r="R11" s="380" t="s">
        <v>694</v>
      </c>
      <c r="S11" s="381"/>
      <c r="T11" s="1134">
        <v>1</v>
      </c>
      <c r="U11" s="1148">
        <v>0</v>
      </c>
      <c r="V11" s="1134">
        <v>1</v>
      </c>
      <c r="W11" s="1148">
        <v>0</v>
      </c>
      <c r="X11" s="1134">
        <v>0</v>
      </c>
      <c r="Y11" s="1148">
        <v>0</v>
      </c>
      <c r="Z11" s="1134">
        <v>0.2</v>
      </c>
      <c r="AA11" s="1148">
        <v>0</v>
      </c>
      <c r="AB11" s="1134">
        <v>0.05</v>
      </c>
      <c r="AC11" s="1148">
        <v>0</v>
      </c>
      <c r="AE11" s="1145" t="str">
        <f>P11</f>
        <v>Direct Firing, Electricity</v>
      </c>
      <c r="AF11" s="1151" t="s">
        <v>693</v>
      </c>
      <c r="AG11" s="380" t="s">
        <v>694</v>
      </c>
      <c r="AH11" s="381"/>
      <c r="AI11" s="1134">
        <v>0.5</v>
      </c>
      <c r="AJ11" s="1148">
        <v>0</v>
      </c>
      <c r="AK11" s="1134">
        <v>0.5</v>
      </c>
      <c r="AL11" s="1148">
        <v>0</v>
      </c>
      <c r="AM11" s="1134">
        <v>0</v>
      </c>
      <c r="AN11" s="1148">
        <v>0</v>
      </c>
      <c r="AO11" s="1134">
        <v>0.2</v>
      </c>
      <c r="AP11" s="1148">
        <v>0</v>
      </c>
      <c r="AQ11" s="1134">
        <v>0</v>
      </c>
      <c r="AR11" s="1148">
        <v>0</v>
      </c>
    </row>
    <row r="12" spans="1:44" ht="32.549999999999997" customHeight="1" outlineLevel="1">
      <c r="B12" s="382" t="s">
        <v>695</v>
      </c>
      <c r="C12" s="383">
        <v>100</v>
      </c>
      <c r="D12" s="383">
        <v>100</v>
      </c>
      <c r="E12" s="383">
        <v>100</v>
      </c>
      <c r="F12" s="383">
        <v>100</v>
      </c>
      <c r="G12" s="384">
        <v>100</v>
      </c>
      <c r="H12" s="384">
        <v>100</v>
      </c>
      <c r="I12" s="384">
        <v>100</v>
      </c>
      <c r="J12" s="384">
        <v>100</v>
      </c>
      <c r="K12" s="385" t="s">
        <v>6</v>
      </c>
      <c r="L12" s="386">
        <v>2</v>
      </c>
      <c r="M12" s="369"/>
      <c r="N12" s="369"/>
      <c r="O12" s="71"/>
      <c r="P12" s="1192"/>
      <c r="Q12" s="1152"/>
      <c r="R12" s="387" t="s">
        <v>696</v>
      </c>
      <c r="S12" s="388"/>
      <c r="T12" s="1137"/>
      <c r="U12" s="1149"/>
      <c r="V12" s="1137"/>
      <c r="W12" s="1149"/>
      <c r="X12" s="1137"/>
      <c r="Y12" s="1149"/>
      <c r="Z12" s="1137"/>
      <c r="AA12" s="1149"/>
      <c r="AB12" s="1137"/>
      <c r="AC12" s="1149"/>
      <c r="AE12" s="1192"/>
      <c r="AF12" s="1152"/>
      <c r="AG12" s="387" t="s">
        <v>696</v>
      </c>
      <c r="AH12" s="388"/>
      <c r="AI12" s="1137"/>
      <c r="AJ12" s="1149"/>
      <c r="AK12" s="1137"/>
      <c r="AL12" s="1149"/>
      <c r="AM12" s="1137"/>
      <c r="AN12" s="1149"/>
      <c r="AO12" s="1137"/>
      <c r="AP12" s="1149"/>
      <c r="AQ12" s="1137"/>
      <c r="AR12" s="1149"/>
    </row>
    <row r="13" spans="1:44" ht="15" outlineLevel="1" thickBot="1">
      <c r="B13" s="375" t="s">
        <v>697</v>
      </c>
      <c r="C13" s="389">
        <v>0.25</v>
      </c>
      <c r="D13" s="390">
        <v>0.25</v>
      </c>
      <c r="E13" s="390">
        <v>0.25</v>
      </c>
      <c r="F13" s="391">
        <v>0.25</v>
      </c>
      <c r="G13" s="390">
        <v>0.1</v>
      </c>
      <c r="H13" s="390">
        <v>1</v>
      </c>
      <c r="I13" s="390">
        <v>0.1</v>
      </c>
      <c r="J13" s="390">
        <v>1</v>
      </c>
      <c r="K13" s="378" t="s">
        <v>59</v>
      </c>
      <c r="L13" s="379" t="s">
        <v>792</v>
      </c>
      <c r="M13" s="369"/>
      <c r="N13" s="369"/>
      <c r="O13" s="71"/>
      <c r="P13" s="1192"/>
      <c r="Q13" s="1153"/>
      <c r="R13" s="392" t="s">
        <v>698</v>
      </c>
      <c r="S13" s="393"/>
      <c r="T13" s="1138"/>
      <c r="U13" s="1150"/>
      <c r="V13" s="1138"/>
      <c r="W13" s="1150"/>
      <c r="X13" s="1138"/>
      <c r="Y13" s="1150"/>
      <c r="Z13" s="1138"/>
      <c r="AA13" s="1150"/>
      <c r="AB13" s="1138"/>
      <c r="AC13" s="1150"/>
      <c r="AE13" s="1192"/>
      <c r="AF13" s="1153"/>
      <c r="AG13" s="392" t="s">
        <v>698</v>
      </c>
      <c r="AH13" s="393"/>
      <c r="AI13" s="1138"/>
      <c r="AJ13" s="1150"/>
      <c r="AK13" s="1138"/>
      <c r="AL13" s="1150"/>
      <c r="AM13" s="1138"/>
      <c r="AN13" s="1150"/>
      <c r="AO13" s="1138"/>
      <c r="AP13" s="1150"/>
      <c r="AQ13" s="1138"/>
      <c r="AR13" s="1150"/>
    </row>
    <row r="14" spans="1:44" ht="15" customHeight="1" outlineLevel="1">
      <c r="B14" s="375" t="s">
        <v>637</v>
      </c>
      <c r="C14" s="389">
        <v>0</v>
      </c>
      <c r="D14" s="389">
        <v>0</v>
      </c>
      <c r="E14" s="389">
        <v>0</v>
      </c>
      <c r="F14" s="389">
        <v>0</v>
      </c>
      <c r="G14" s="389">
        <v>0</v>
      </c>
      <c r="H14" s="389">
        <v>0.5</v>
      </c>
      <c r="I14" s="389">
        <v>0</v>
      </c>
      <c r="J14" s="389">
        <v>0.5</v>
      </c>
      <c r="K14" s="378" t="s">
        <v>25</v>
      </c>
      <c r="L14" s="379">
        <v>4</v>
      </c>
      <c r="M14" s="369"/>
      <c r="N14" s="369"/>
      <c r="O14" s="71"/>
      <c r="P14" s="1192"/>
      <c r="Q14" s="1151" t="s">
        <v>699</v>
      </c>
      <c r="R14" s="394" t="s">
        <v>700</v>
      </c>
      <c r="S14" s="395" t="s">
        <v>701</v>
      </c>
      <c r="T14" s="1134">
        <v>1</v>
      </c>
      <c r="U14" s="1134">
        <v>0</v>
      </c>
      <c r="V14" s="1134">
        <v>1</v>
      </c>
      <c r="W14" s="1134">
        <v>0</v>
      </c>
      <c r="X14" s="1134">
        <v>0.5</v>
      </c>
      <c r="Y14" s="1134">
        <v>0</v>
      </c>
      <c r="Z14" s="1134">
        <v>1</v>
      </c>
      <c r="AA14" s="1134">
        <v>0</v>
      </c>
      <c r="AB14" s="1134">
        <v>0</v>
      </c>
      <c r="AC14" s="1134">
        <v>0</v>
      </c>
      <c r="AE14" s="1192"/>
      <c r="AF14" s="1151" t="s">
        <v>699</v>
      </c>
      <c r="AG14" s="394" t="s">
        <v>700</v>
      </c>
      <c r="AH14" s="395" t="s">
        <v>701</v>
      </c>
      <c r="AI14" s="1134">
        <v>0.5</v>
      </c>
      <c r="AJ14" s="1134">
        <v>0</v>
      </c>
      <c r="AK14" s="1134">
        <v>0.5</v>
      </c>
      <c r="AL14" s="1134">
        <v>0</v>
      </c>
      <c r="AM14" s="1134">
        <v>0.25</v>
      </c>
      <c r="AN14" s="1134">
        <v>0</v>
      </c>
      <c r="AO14" s="1134">
        <v>0.4</v>
      </c>
      <c r="AP14" s="1134">
        <v>0</v>
      </c>
      <c r="AQ14" s="1134">
        <v>0</v>
      </c>
      <c r="AR14" s="1134">
        <v>0</v>
      </c>
    </row>
    <row r="15" spans="1:44" outlineLevel="1">
      <c r="B15" s="375" t="s">
        <v>638</v>
      </c>
      <c r="C15" s="389">
        <v>0</v>
      </c>
      <c r="D15" s="389">
        <v>0</v>
      </c>
      <c r="E15" s="389">
        <v>0</v>
      </c>
      <c r="F15" s="389">
        <v>0</v>
      </c>
      <c r="G15" s="389">
        <v>0</v>
      </c>
      <c r="H15" s="389">
        <v>1</v>
      </c>
      <c r="I15" s="389">
        <v>0</v>
      </c>
      <c r="J15" s="389">
        <v>1</v>
      </c>
      <c r="K15" s="378" t="s">
        <v>25</v>
      </c>
      <c r="L15" s="379">
        <v>4</v>
      </c>
      <c r="M15" s="366"/>
      <c r="N15" s="366"/>
      <c r="O15" s="71"/>
      <c r="P15" s="1192"/>
      <c r="Q15" s="1152"/>
      <c r="R15" s="394" t="s">
        <v>702</v>
      </c>
      <c r="S15" s="395" t="s">
        <v>701</v>
      </c>
      <c r="T15" s="1135"/>
      <c r="U15" s="1135"/>
      <c r="V15" s="1135"/>
      <c r="W15" s="1135"/>
      <c r="X15" s="1135"/>
      <c r="Y15" s="1135"/>
      <c r="Z15" s="1135"/>
      <c r="AA15" s="1135"/>
      <c r="AB15" s="1135"/>
      <c r="AC15" s="1135"/>
      <c r="AE15" s="1192"/>
      <c r="AF15" s="1152"/>
      <c r="AG15" s="394" t="s">
        <v>702</v>
      </c>
      <c r="AH15" s="395" t="s">
        <v>701</v>
      </c>
      <c r="AI15" s="1135"/>
      <c r="AJ15" s="1135"/>
      <c r="AK15" s="1135"/>
      <c r="AL15" s="1135"/>
      <c r="AM15" s="1135"/>
      <c r="AN15" s="1135"/>
      <c r="AO15" s="1135"/>
      <c r="AP15" s="1135"/>
      <c r="AQ15" s="1135"/>
      <c r="AR15" s="1135"/>
    </row>
    <row r="16" spans="1:44" outlineLevel="1">
      <c r="B16" s="382" t="s">
        <v>11</v>
      </c>
      <c r="C16" s="396">
        <v>12.5</v>
      </c>
      <c r="D16" s="396">
        <v>12.5</v>
      </c>
      <c r="E16" s="396">
        <v>12.5</v>
      </c>
      <c r="F16" s="396">
        <v>12.5</v>
      </c>
      <c r="G16" s="397">
        <v>10</v>
      </c>
      <c r="H16" s="397">
        <v>15</v>
      </c>
      <c r="I16" s="397">
        <v>10</v>
      </c>
      <c r="J16" s="397">
        <v>15</v>
      </c>
      <c r="K16" s="371"/>
      <c r="L16" s="372">
        <v>4</v>
      </c>
      <c r="M16" s="362"/>
      <c r="N16" s="362"/>
      <c r="P16" s="1192"/>
      <c r="Q16" s="1152"/>
      <c r="R16" s="394" t="s">
        <v>704</v>
      </c>
      <c r="S16" s="395" t="s">
        <v>701</v>
      </c>
      <c r="T16" s="1135"/>
      <c r="U16" s="1135"/>
      <c r="V16" s="1135"/>
      <c r="W16" s="1135"/>
      <c r="X16" s="1135"/>
      <c r="Y16" s="1135"/>
      <c r="Z16" s="1135"/>
      <c r="AA16" s="1135"/>
      <c r="AB16" s="1135"/>
      <c r="AC16" s="1135"/>
      <c r="AE16" s="1192"/>
      <c r="AF16" s="1152"/>
      <c r="AG16" s="394" t="s">
        <v>704</v>
      </c>
      <c r="AH16" s="395" t="s">
        <v>701</v>
      </c>
      <c r="AI16" s="1135"/>
      <c r="AJ16" s="1135"/>
      <c r="AK16" s="1135"/>
      <c r="AL16" s="1135"/>
      <c r="AM16" s="1135"/>
      <c r="AN16" s="1135"/>
      <c r="AO16" s="1135"/>
      <c r="AP16" s="1135"/>
      <c r="AQ16" s="1135"/>
      <c r="AR16" s="1135"/>
    </row>
    <row r="17" spans="1:44" ht="15" outlineLevel="1" thickBot="1">
      <c r="B17" s="375" t="s">
        <v>273</v>
      </c>
      <c r="C17" s="398">
        <v>0.04</v>
      </c>
      <c r="D17" s="398">
        <v>0.04</v>
      </c>
      <c r="E17" s="398">
        <v>0.04</v>
      </c>
      <c r="F17" s="398">
        <v>0.04</v>
      </c>
      <c r="G17" s="398">
        <v>0.02</v>
      </c>
      <c r="H17" s="398">
        <v>0.06</v>
      </c>
      <c r="I17" s="398">
        <v>0.02</v>
      </c>
      <c r="J17" s="398">
        <v>0.06</v>
      </c>
      <c r="K17" s="371"/>
      <c r="L17" s="399">
        <v>5</v>
      </c>
      <c r="M17" s="362"/>
      <c r="N17" s="362"/>
      <c r="P17" s="1192"/>
      <c r="Q17" s="1152"/>
      <c r="R17" s="394" t="s">
        <v>705</v>
      </c>
      <c r="S17" s="395" t="s">
        <v>701</v>
      </c>
      <c r="T17" s="1135"/>
      <c r="U17" s="1135"/>
      <c r="V17" s="1135"/>
      <c r="W17" s="1135"/>
      <c r="X17" s="1135"/>
      <c r="Y17" s="1135"/>
      <c r="Z17" s="1135"/>
      <c r="AA17" s="1135"/>
      <c r="AB17" s="1135"/>
      <c r="AC17" s="1135"/>
      <c r="AE17" s="1192"/>
      <c r="AF17" s="1152"/>
      <c r="AG17" s="394" t="s">
        <v>705</v>
      </c>
      <c r="AH17" s="395" t="s">
        <v>701</v>
      </c>
      <c r="AI17" s="1135"/>
      <c r="AJ17" s="1135"/>
      <c r="AK17" s="1135"/>
      <c r="AL17" s="1135"/>
      <c r="AM17" s="1135"/>
      <c r="AN17" s="1135"/>
      <c r="AO17" s="1135"/>
      <c r="AP17" s="1135"/>
      <c r="AQ17" s="1135"/>
      <c r="AR17" s="1135"/>
    </row>
    <row r="18" spans="1:44" ht="15" outlineLevel="1" thickBot="1">
      <c r="B18" s="400" t="s">
        <v>706</v>
      </c>
      <c r="C18" s="401"/>
      <c r="D18" s="402"/>
      <c r="E18" s="403"/>
      <c r="F18" s="404"/>
      <c r="G18" s="405"/>
      <c r="H18" s="405"/>
      <c r="I18" s="405"/>
      <c r="J18" s="405"/>
      <c r="K18" s="406"/>
      <c r="L18" s="407"/>
      <c r="M18" s="362"/>
      <c r="N18" s="362"/>
      <c r="P18" s="1192"/>
      <c r="Q18" s="1152"/>
      <c r="R18" s="408" t="s">
        <v>707</v>
      </c>
      <c r="S18" s="409" t="s">
        <v>701</v>
      </c>
      <c r="T18" s="1136"/>
      <c r="U18" s="1136"/>
      <c r="V18" s="1136"/>
      <c r="W18" s="1136"/>
      <c r="X18" s="1136"/>
      <c r="Y18" s="1136"/>
      <c r="Z18" s="1136"/>
      <c r="AA18" s="1136"/>
      <c r="AB18" s="1136"/>
      <c r="AC18" s="1136"/>
      <c r="AE18" s="1192"/>
      <c r="AF18" s="1152"/>
      <c r="AG18" s="408" t="s">
        <v>707</v>
      </c>
      <c r="AH18" s="409" t="s">
        <v>701</v>
      </c>
      <c r="AI18" s="1136"/>
      <c r="AJ18" s="1136"/>
      <c r="AK18" s="1136"/>
      <c r="AL18" s="1136"/>
      <c r="AM18" s="1136"/>
      <c r="AN18" s="1136"/>
      <c r="AO18" s="1136"/>
      <c r="AP18" s="1136"/>
      <c r="AQ18" s="1136"/>
      <c r="AR18" s="1136"/>
    </row>
    <row r="19" spans="1:44" ht="29.4" outlineLevel="1" thickBot="1">
      <c r="B19" s="375" t="s">
        <v>643</v>
      </c>
      <c r="C19" s="389">
        <v>15</v>
      </c>
      <c r="D19" s="389">
        <v>15</v>
      </c>
      <c r="E19" s="389">
        <v>15</v>
      </c>
      <c r="F19" s="389">
        <v>15</v>
      </c>
      <c r="G19" s="390"/>
      <c r="H19" s="390"/>
      <c r="I19" s="390"/>
      <c r="J19" s="390"/>
      <c r="K19" s="378" t="s">
        <v>16</v>
      </c>
      <c r="L19" s="379">
        <v>4</v>
      </c>
      <c r="M19" s="362"/>
      <c r="N19" s="362"/>
      <c r="P19" s="1193"/>
      <c r="Q19" s="410" t="s">
        <v>708</v>
      </c>
      <c r="R19" s="411" t="s">
        <v>709</v>
      </c>
      <c r="S19" s="412" t="s">
        <v>701</v>
      </c>
      <c r="T19" s="413">
        <v>0</v>
      </c>
      <c r="U19" s="414">
        <v>0</v>
      </c>
      <c r="V19" s="415">
        <v>0</v>
      </c>
      <c r="W19" s="414">
        <v>0</v>
      </c>
      <c r="X19" s="415">
        <v>0</v>
      </c>
      <c r="Y19" s="414">
        <v>0</v>
      </c>
      <c r="Z19" s="415">
        <v>0</v>
      </c>
      <c r="AA19" s="414">
        <v>0</v>
      </c>
      <c r="AB19" s="415">
        <v>0</v>
      </c>
      <c r="AC19" s="416">
        <v>0</v>
      </c>
      <c r="AE19" s="1193"/>
      <c r="AF19" s="410" t="s">
        <v>708</v>
      </c>
      <c r="AG19" s="411" t="s">
        <v>709</v>
      </c>
      <c r="AH19" s="412" t="s">
        <v>701</v>
      </c>
      <c r="AI19" s="413">
        <v>0</v>
      </c>
      <c r="AJ19" s="414">
        <v>0</v>
      </c>
      <c r="AK19" s="415">
        <v>0</v>
      </c>
      <c r="AL19" s="414">
        <v>0</v>
      </c>
      <c r="AM19" s="415">
        <v>0</v>
      </c>
      <c r="AN19" s="414">
        <v>0</v>
      </c>
      <c r="AO19" s="415">
        <v>0</v>
      </c>
      <c r="AP19" s="414">
        <v>0</v>
      </c>
      <c r="AQ19" s="415">
        <v>0</v>
      </c>
      <c r="AR19" s="416">
        <v>0</v>
      </c>
    </row>
    <row r="20" spans="1:44" outlineLevel="1">
      <c r="B20" s="375" t="s">
        <v>644</v>
      </c>
      <c r="C20" s="389">
        <v>0.01</v>
      </c>
      <c r="D20" s="389">
        <v>0.01</v>
      </c>
      <c r="E20" s="389">
        <v>0.01</v>
      </c>
      <c r="F20" s="389">
        <v>0.01</v>
      </c>
      <c r="G20" s="417"/>
      <c r="H20" s="417"/>
      <c r="I20" s="417"/>
      <c r="J20" s="417"/>
      <c r="K20" s="418"/>
      <c r="L20" s="379">
        <v>5</v>
      </c>
      <c r="M20" s="362"/>
      <c r="N20" s="362"/>
    </row>
    <row r="21" spans="1:44" outlineLevel="1">
      <c r="B21" s="375" t="s">
        <v>646</v>
      </c>
      <c r="C21" s="389">
        <v>0.01</v>
      </c>
      <c r="D21" s="389">
        <v>0.01</v>
      </c>
      <c r="E21" s="389">
        <v>0.01</v>
      </c>
      <c r="F21" s="389">
        <v>0.01</v>
      </c>
      <c r="G21" s="417"/>
      <c r="H21" s="417"/>
      <c r="I21" s="417"/>
      <c r="J21" s="417"/>
      <c r="K21" s="418"/>
      <c r="L21" s="379">
        <v>5</v>
      </c>
      <c r="M21" s="419"/>
      <c r="N21" s="362"/>
    </row>
    <row r="22" spans="1:44" outlineLevel="1">
      <c r="B22" s="420" t="s">
        <v>12</v>
      </c>
      <c r="C22" s="398"/>
      <c r="D22" s="398"/>
      <c r="E22" s="398"/>
      <c r="F22" s="398"/>
      <c r="G22" s="421"/>
      <c r="H22" s="421"/>
      <c r="I22" s="421"/>
      <c r="J22" s="421"/>
      <c r="K22" s="422"/>
      <c r="L22" s="423"/>
      <c r="M22" s="419"/>
      <c r="N22" s="419"/>
    </row>
    <row r="23" spans="1:44" ht="38.25" customHeight="1" outlineLevel="1">
      <c r="B23" s="382" t="s">
        <v>710</v>
      </c>
      <c r="C23" s="1228" t="s">
        <v>649</v>
      </c>
      <c r="D23" s="1229"/>
      <c r="E23" s="1229"/>
      <c r="F23" s="1230"/>
      <c r="G23" s="421"/>
      <c r="H23" s="424"/>
      <c r="I23" s="424"/>
      <c r="J23" s="424"/>
      <c r="K23" s="425"/>
      <c r="L23" s="426"/>
      <c r="M23" s="427"/>
      <c r="N23" s="427"/>
    </row>
    <row r="24" spans="1:44" outlineLevel="1">
      <c r="B24" s="382" t="s">
        <v>712</v>
      </c>
      <c r="C24" s="1231"/>
      <c r="D24" s="1248"/>
      <c r="E24" s="1248"/>
      <c r="F24" s="1233"/>
      <c r="G24" s="424"/>
      <c r="H24" s="424"/>
      <c r="I24" s="424"/>
      <c r="J24" s="424"/>
      <c r="K24" s="422"/>
      <c r="L24" s="426"/>
      <c r="M24" s="427"/>
      <c r="N24" s="427"/>
    </row>
    <row r="25" spans="1:44" ht="15.6" outlineLevel="1">
      <c r="B25" s="382" t="s">
        <v>713</v>
      </c>
      <c r="C25" s="1231"/>
      <c r="D25" s="1248"/>
      <c r="E25" s="1248"/>
      <c r="F25" s="1233"/>
      <c r="G25" s="424"/>
      <c r="H25" s="424"/>
      <c r="I25" s="424"/>
      <c r="J25" s="424"/>
      <c r="K25" s="422"/>
      <c r="L25" s="426"/>
      <c r="M25" s="427"/>
      <c r="N25" s="427"/>
    </row>
    <row r="26" spans="1:44" outlineLevel="1">
      <c r="B26" s="382" t="s">
        <v>366</v>
      </c>
      <c r="C26" s="1231"/>
      <c r="D26" s="1248"/>
      <c r="E26" s="1248"/>
      <c r="F26" s="1233"/>
      <c r="G26" s="424"/>
      <c r="H26" s="424"/>
      <c r="I26" s="424"/>
      <c r="J26" s="424"/>
      <c r="K26" s="422"/>
      <c r="L26" s="426"/>
      <c r="M26" s="427"/>
      <c r="N26" s="427"/>
    </row>
    <row r="27" spans="1:44" ht="15" outlineLevel="1" thickBot="1">
      <c r="B27" s="428" t="s">
        <v>367</v>
      </c>
      <c r="C27" s="1234"/>
      <c r="D27" s="1235"/>
      <c r="E27" s="1235"/>
      <c r="F27" s="1236"/>
      <c r="G27" s="424"/>
      <c r="H27" s="424"/>
      <c r="I27" s="424"/>
      <c r="J27" s="424"/>
      <c r="K27" s="422"/>
      <c r="L27" s="426"/>
      <c r="M27" s="427"/>
      <c r="N27" s="427"/>
    </row>
    <row r="28" spans="1:44" ht="15" outlineLevel="1" thickBot="1">
      <c r="B28" s="430" t="s">
        <v>654</v>
      </c>
      <c r="C28" s="431"/>
      <c r="D28" s="402"/>
      <c r="E28" s="402"/>
      <c r="F28" s="432"/>
      <c r="G28" s="433"/>
      <c r="H28" s="405"/>
      <c r="I28" s="405"/>
      <c r="J28" s="405"/>
      <c r="K28" s="406"/>
      <c r="L28" s="407"/>
      <c r="M28" s="427"/>
      <c r="N28" s="427"/>
    </row>
    <row r="29" spans="1:44" ht="52.05" customHeight="1" outlineLevel="1">
      <c r="A29" s="434"/>
      <c r="B29" s="435" t="s">
        <v>714</v>
      </c>
      <c r="C29" s="436">
        <v>0.06</v>
      </c>
      <c r="D29" s="437">
        <v>0.06</v>
      </c>
      <c r="E29" s="437">
        <v>0.06</v>
      </c>
      <c r="F29" s="438">
        <v>0.06</v>
      </c>
      <c r="G29" s="424"/>
      <c r="H29" s="424"/>
      <c r="I29" s="424"/>
      <c r="J29" s="424"/>
      <c r="K29" s="425" t="s">
        <v>76</v>
      </c>
      <c r="L29" s="439" t="s">
        <v>67</v>
      </c>
      <c r="M29" s="419"/>
      <c r="N29" s="419"/>
    </row>
    <row r="30" spans="1:44" outlineLevel="1">
      <c r="B30" s="440" t="s">
        <v>717</v>
      </c>
      <c r="C30" s="626">
        <v>66.666666666666657</v>
      </c>
      <c r="D30" s="442">
        <v>66.666666666666657</v>
      </c>
      <c r="E30" s="442">
        <v>66.666666666666657</v>
      </c>
      <c r="F30" s="442">
        <v>66.666666666666657</v>
      </c>
      <c r="G30" s="424"/>
      <c r="H30" s="424"/>
      <c r="I30" s="424"/>
      <c r="J30" s="424"/>
      <c r="K30" s="443"/>
      <c r="L30" s="372">
        <v>5</v>
      </c>
      <c r="M30" s="71"/>
      <c r="N30" s="419"/>
    </row>
    <row r="31" spans="1:44" outlineLevel="1">
      <c r="B31" s="440" t="s">
        <v>718</v>
      </c>
      <c r="C31" s="626">
        <v>33.333333333333343</v>
      </c>
      <c r="D31" s="626">
        <v>33.333333333333343</v>
      </c>
      <c r="E31" s="626">
        <v>33.333333333333343</v>
      </c>
      <c r="F31" s="626">
        <v>33.333333333333343</v>
      </c>
      <c r="G31" s="424"/>
      <c r="H31" s="424"/>
      <c r="I31" s="424"/>
      <c r="J31" s="424"/>
      <c r="K31" s="443"/>
      <c r="L31" s="372">
        <v>5</v>
      </c>
      <c r="M31" s="419"/>
      <c r="N31" s="419"/>
    </row>
    <row r="32" spans="1:44" ht="26.4" outlineLevel="1">
      <c r="B32" s="382" t="s">
        <v>719</v>
      </c>
      <c r="C32" s="444">
        <f>0/1000</f>
        <v>0</v>
      </c>
      <c r="D32" s="445">
        <f>0/1000</f>
        <v>0</v>
      </c>
      <c r="E32" s="445">
        <f>0/1000</f>
        <v>0</v>
      </c>
      <c r="F32" s="446">
        <f>0/1000</f>
        <v>0</v>
      </c>
      <c r="G32" s="424"/>
      <c r="H32" s="424"/>
      <c r="I32" s="424"/>
      <c r="J32" s="424"/>
      <c r="K32" s="447" t="s">
        <v>25</v>
      </c>
      <c r="L32" s="372">
        <v>4</v>
      </c>
      <c r="M32" s="419"/>
      <c r="N32" s="419"/>
    </row>
    <row r="33" spans="2:30" ht="37.049999999999997" customHeight="1" outlineLevel="1" thickBot="1">
      <c r="B33" s="382" t="s">
        <v>720</v>
      </c>
      <c r="C33" s="448">
        <f>0.1825/3.6</f>
        <v>5.0694444444444445E-2</v>
      </c>
      <c r="D33" s="448">
        <f>0.1875/3.6</f>
        <v>5.2083333333333329E-2</v>
      </c>
      <c r="E33" s="448">
        <f>0.19/3.6</f>
        <v>5.2777777777777778E-2</v>
      </c>
      <c r="F33" s="448">
        <f>0.19/3.6</f>
        <v>5.2777777777777778E-2</v>
      </c>
      <c r="G33" s="424"/>
      <c r="H33" s="424"/>
      <c r="I33" s="424"/>
      <c r="J33" s="424"/>
      <c r="K33" s="447"/>
      <c r="L33" s="372" t="s">
        <v>69</v>
      </c>
      <c r="M33" s="449"/>
      <c r="N33" s="360"/>
      <c r="P33" s="1139">
        <f>C33</f>
        <v>5.0694444444444445E-2</v>
      </c>
      <c r="Q33" s="1140"/>
      <c r="R33" s="1140"/>
      <c r="S33" s="1140"/>
      <c r="T33" s="1140"/>
      <c r="U33" s="1141"/>
    </row>
    <row r="34" spans="2:30" ht="15.75" customHeight="1" outlineLevel="1" thickBot="1">
      <c r="B34" s="450" t="s">
        <v>721</v>
      </c>
      <c r="C34" s="451">
        <v>0.1825</v>
      </c>
      <c r="D34" s="451">
        <v>0.1875</v>
      </c>
      <c r="E34" s="451">
        <v>0.19</v>
      </c>
      <c r="F34" s="451">
        <v>0.19</v>
      </c>
      <c r="G34" s="452"/>
      <c r="H34" s="452"/>
      <c r="I34" s="452"/>
      <c r="J34" s="452"/>
      <c r="K34" s="378" t="s">
        <v>20</v>
      </c>
      <c r="L34" s="379">
        <v>5</v>
      </c>
      <c r="M34" s="449"/>
      <c r="N34" s="360"/>
      <c r="P34" s="1131">
        <f>C34</f>
        <v>0.1825</v>
      </c>
      <c r="Q34" s="1132"/>
      <c r="R34" s="1132"/>
      <c r="S34" s="1132"/>
      <c r="T34" s="1132"/>
      <c r="U34" s="1133"/>
    </row>
    <row r="35" spans="2:30" outlineLevel="1">
      <c r="B35" s="450" t="s">
        <v>722</v>
      </c>
      <c r="C35" s="453">
        <v>0</v>
      </c>
      <c r="D35" s="453">
        <v>0</v>
      </c>
      <c r="E35" s="453">
        <v>0</v>
      </c>
      <c r="F35" s="453">
        <v>0</v>
      </c>
      <c r="G35" s="452"/>
      <c r="H35" s="452"/>
      <c r="I35" s="452"/>
      <c r="J35" s="452"/>
      <c r="K35" s="454" t="s">
        <v>25</v>
      </c>
      <c r="L35" s="379">
        <v>4</v>
      </c>
      <c r="M35" s="362"/>
      <c r="N35" s="362"/>
      <c r="P35" s="53" t="s">
        <v>357</v>
      </c>
    </row>
    <row r="36" spans="2:30" ht="27.6" outlineLevel="1">
      <c r="B36" s="440"/>
      <c r="C36" s="455"/>
      <c r="D36" s="455"/>
      <c r="E36" s="455"/>
      <c r="F36" s="455"/>
      <c r="G36" s="424"/>
      <c r="H36" s="424"/>
      <c r="I36" s="424"/>
      <c r="J36" s="424"/>
      <c r="K36" s="443"/>
      <c r="L36" s="423"/>
      <c r="M36" s="366"/>
      <c r="N36" s="366"/>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0"/>
      <c r="C37" s="441"/>
      <c r="D37" s="456"/>
      <c r="E37" s="456"/>
      <c r="F37" s="457"/>
      <c r="G37" s="424"/>
      <c r="H37" s="424"/>
      <c r="I37" s="424"/>
      <c r="J37" s="424"/>
      <c r="K37" s="447"/>
      <c r="L37" s="423"/>
      <c r="M37" s="362"/>
      <c r="N37" s="362"/>
      <c r="P37" s="50"/>
      <c r="Q37" s="50"/>
      <c r="R37" s="51"/>
      <c r="S37" s="51"/>
      <c r="T37" s="51"/>
      <c r="U37" s="51" t="s">
        <v>723</v>
      </c>
      <c r="V37" s="50" t="s">
        <v>724</v>
      </c>
      <c r="W37" s="50"/>
      <c r="X37" s="50"/>
      <c r="Y37" s="50"/>
      <c r="Z37" s="50"/>
      <c r="AA37" s="50"/>
      <c r="AB37" s="50"/>
      <c r="AC37" s="50"/>
      <c r="AD37" s="50"/>
    </row>
    <row r="38" spans="2:30" ht="73.05" customHeight="1" outlineLevel="1" thickBot="1">
      <c r="B38" s="400" t="s">
        <v>662</v>
      </c>
      <c r="C38" s="401"/>
      <c r="D38" s="402"/>
      <c r="E38" s="403"/>
      <c r="F38" s="404"/>
      <c r="G38" s="405"/>
      <c r="H38" s="405"/>
      <c r="I38" s="405"/>
      <c r="J38" s="405"/>
      <c r="K38" s="458"/>
      <c r="L38" s="459"/>
      <c r="M38" s="362"/>
      <c r="N38" s="362"/>
      <c r="O38" s="460" t="s">
        <v>695</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0" t="s">
        <v>725</v>
      </c>
      <c r="C39" s="461" t="s">
        <v>36</v>
      </c>
      <c r="D39" s="461" t="s">
        <v>36</v>
      </c>
      <c r="E39" s="461" t="s">
        <v>36</v>
      </c>
      <c r="F39" s="461" t="s">
        <v>36</v>
      </c>
      <c r="G39" s="462"/>
      <c r="H39" s="462"/>
      <c r="I39" s="462"/>
      <c r="J39" s="462"/>
      <c r="K39" s="462" t="s">
        <v>33</v>
      </c>
      <c r="L39" s="463"/>
      <c r="M39" s="362"/>
      <c r="N39" s="362"/>
      <c r="O39" s="464">
        <f>C12</f>
        <v>100</v>
      </c>
      <c r="P39" s="465">
        <f>C8</f>
        <v>2020</v>
      </c>
      <c r="Q39" s="58">
        <f>P39</f>
        <v>2020</v>
      </c>
      <c r="R39" s="465">
        <f>O39/100</f>
        <v>1</v>
      </c>
      <c r="S39" s="58"/>
      <c r="T39" s="465">
        <f>C16</f>
        <v>12.5</v>
      </c>
      <c r="U39" s="466">
        <f>C46</f>
        <v>447</v>
      </c>
      <c r="V39" s="466">
        <f>C48</f>
        <v>0</v>
      </c>
      <c r="W39" s="689">
        <f>C49</f>
        <v>0.37767361111111114</v>
      </c>
      <c r="X39" s="58"/>
      <c r="Y39" s="58"/>
      <c r="Z39" s="465" t="str">
        <f>C23</f>
        <v>Cf. the utilized electricity</v>
      </c>
      <c r="AA39" s="467">
        <f>C25</f>
        <v>0</v>
      </c>
      <c r="AB39" s="467">
        <f>C26</f>
        <v>0</v>
      </c>
      <c r="AC39" s="467">
        <f>C27</f>
        <v>0</v>
      </c>
      <c r="AD39" s="467">
        <f>C24</f>
        <v>0</v>
      </c>
    </row>
    <row r="40" spans="2:30" ht="14.55" customHeight="1" outlineLevel="1">
      <c r="B40" s="375" t="s">
        <v>726</v>
      </c>
      <c r="C40" s="468" t="s">
        <v>36</v>
      </c>
      <c r="D40" s="469" t="s">
        <v>36</v>
      </c>
      <c r="E40" s="469" t="s">
        <v>36</v>
      </c>
      <c r="F40" s="470" t="s">
        <v>36</v>
      </c>
      <c r="G40" s="470"/>
      <c r="H40" s="470"/>
      <c r="I40" s="470"/>
      <c r="J40" s="470"/>
      <c r="K40" s="471"/>
      <c r="L40" s="463"/>
      <c r="M40" s="362"/>
      <c r="N40" s="362"/>
      <c r="O40" s="464">
        <f>D12</f>
        <v>100</v>
      </c>
      <c r="P40" s="465">
        <f>D8</f>
        <v>2030</v>
      </c>
      <c r="Q40" s="58"/>
      <c r="R40" s="465">
        <f>O40/100</f>
        <v>1</v>
      </c>
      <c r="S40" s="58"/>
      <c r="T40" s="465">
        <f>D16</f>
        <v>12.5</v>
      </c>
      <c r="U40" s="466">
        <f>D46</f>
        <v>447</v>
      </c>
      <c r="V40" s="466">
        <f>D48</f>
        <v>0</v>
      </c>
      <c r="W40" s="689">
        <f>D49</f>
        <v>0.38802083333333331</v>
      </c>
      <c r="X40" s="58"/>
      <c r="Y40" s="58"/>
      <c r="Z40" s="465">
        <f>D23</f>
        <v>0</v>
      </c>
      <c r="AA40" s="467">
        <f>D25</f>
        <v>0</v>
      </c>
      <c r="AB40" s="467">
        <f>D26</f>
        <v>0</v>
      </c>
      <c r="AC40" s="467">
        <f>D27</f>
        <v>0</v>
      </c>
      <c r="AD40" s="467">
        <f>D24</f>
        <v>0</v>
      </c>
    </row>
    <row r="41" spans="2:30" outlineLevel="1">
      <c r="B41" s="375" t="s">
        <v>727</v>
      </c>
      <c r="C41" s="468" t="s">
        <v>36</v>
      </c>
      <c r="D41" s="469" t="s">
        <v>36</v>
      </c>
      <c r="E41" s="469" t="s">
        <v>36</v>
      </c>
      <c r="F41" s="470" t="s">
        <v>36</v>
      </c>
      <c r="G41" s="452"/>
      <c r="H41" s="452"/>
      <c r="I41" s="452"/>
      <c r="J41" s="452"/>
      <c r="K41" s="452"/>
      <c r="L41" s="379"/>
      <c r="M41" s="362"/>
      <c r="N41" s="362"/>
      <c r="O41" s="464">
        <f>E12</f>
        <v>100</v>
      </c>
      <c r="P41" s="465">
        <f>E8</f>
        <v>2040</v>
      </c>
      <c r="Q41" s="58"/>
      <c r="R41" s="465">
        <f>O41/100</f>
        <v>1</v>
      </c>
      <c r="S41" s="58"/>
      <c r="T41" s="465">
        <f>E16</f>
        <v>12.5</v>
      </c>
      <c r="U41" s="466">
        <f>E46</f>
        <v>447</v>
      </c>
      <c r="V41" s="466">
        <f>E48</f>
        <v>0</v>
      </c>
      <c r="W41" s="689">
        <f>E49</f>
        <v>0.39319444444444446</v>
      </c>
      <c r="X41" s="58"/>
      <c r="Y41" s="58"/>
      <c r="Z41" s="465">
        <f>E23</f>
        <v>0</v>
      </c>
      <c r="AA41" s="467">
        <f>E25</f>
        <v>0</v>
      </c>
      <c r="AB41" s="467">
        <f>E26</f>
        <v>0</v>
      </c>
      <c r="AC41" s="467">
        <f>E27</f>
        <v>0</v>
      </c>
      <c r="AD41" s="467">
        <f>E24</f>
        <v>0</v>
      </c>
    </row>
    <row r="42" spans="2:30" outlineLevel="1">
      <c r="B42" s="375" t="s">
        <v>728</v>
      </c>
      <c r="C42" s="1237" t="s">
        <v>649</v>
      </c>
      <c r="D42" s="1238"/>
      <c r="E42" s="1238"/>
      <c r="F42" s="1239"/>
      <c r="G42" s="473"/>
      <c r="H42" s="473"/>
      <c r="I42" s="473"/>
      <c r="J42" s="473"/>
      <c r="K42" s="473"/>
      <c r="L42" s="379"/>
      <c r="M42" s="362"/>
      <c r="N42" s="362"/>
      <c r="O42" s="464">
        <f>F12</f>
        <v>100</v>
      </c>
      <c r="P42" s="465">
        <f>F8</f>
        <v>2050</v>
      </c>
      <c r="Q42" s="58"/>
      <c r="R42" s="465">
        <f>O42/100</f>
        <v>1</v>
      </c>
      <c r="S42" s="58"/>
      <c r="T42" s="465">
        <f>F16</f>
        <v>12.5</v>
      </c>
      <c r="U42" s="466">
        <f>F46</f>
        <v>447</v>
      </c>
      <c r="V42" s="466">
        <f>F48</f>
        <v>0</v>
      </c>
      <c r="W42" s="689">
        <f>F49</f>
        <v>0.39319444444444446</v>
      </c>
      <c r="X42" s="58"/>
      <c r="Y42" s="58"/>
      <c r="Z42" s="465">
        <f>F23</f>
        <v>0</v>
      </c>
      <c r="AA42" s="467">
        <f>F25</f>
        <v>0</v>
      </c>
      <c r="AB42" s="467">
        <f>F26</f>
        <v>0</v>
      </c>
      <c r="AC42" s="467">
        <f>F27</f>
        <v>0</v>
      </c>
      <c r="AD42" s="467">
        <f>F24</f>
        <v>0</v>
      </c>
    </row>
    <row r="43" spans="2:30" outlineLevel="1">
      <c r="B43" s="474" t="s">
        <v>729</v>
      </c>
      <c r="C43" s="468" t="s">
        <v>36</v>
      </c>
      <c r="D43" s="469" t="s">
        <v>36</v>
      </c>
      <c r="E43" s="469" t="s">
        <v>36</v>
      </c>
      <c r="F43" s="470" t="s">
        <v>36</v>
      </c>
      <c r="G43" s="473"/>
      <c r="H43" s="473"/>
      <c r="I43" s="473"/>
      <c r="J43" s="473"/>
      <c r="K43" s="473"/>
      <c r="L43" s="475"/>
      <c r="M43" s="366"/>
      <c r="N43" s="366"/>
    </row>
    <row r="44" spans="2:30" outlineLevel="1">
      <c r="B44" s="474" t="s">
        <v>730</v>
      </c>
      <c r="C44" s="468" t="s">
        <v>36</v>
      </c>
      <c r="D44" s="469" t="s">
        <v>36</v>
      </c>
      <c r="E44" s="469" t="s">
        <v>36</v>
      </c>
      <c r="F44" s="470" t="s">
        <v>36</v>
      </c>
      <c r="G44" s="473"/>
      <c r="H44" s="473"/>
      <c r="I44" s="473"/>
      <c r="J44" s="473"/>
      <c r="K44" s="473"/>
      <c r="L44" s="475"/>
      <c r="M44" s="362"/>
      <c r="N44" s="362"/>
    </row>
    <row r="45" spans="2:30" ht="15" outlineLevel="1" thickBot="1">
      <c r="B45" s="476" t="s">
        <v>731</v>
      </c>
      <c r="C45" s="477" t="s">
        <v>36</v>
      </c>
      <c r="D45" s="478" t="s">
        <v>36</v>
      </c>
      <c r="E45" s="478" t="s">
        <v>36</v>
      </c>
      <c r="F45" s="479" t="s">
        <v>36</v>
      </c>
      <c r="G45" s="480"/>
      <c r="H45" s="480"/>
      <c r="I45" s="480"/>
      <c r="J45" s="480"/>
      <c r="K45" s="480"/>
      <c r="L45" s="481"/>
      <c r="M45" s="362"/>
      <c r="N45" s="362"/>
    </row>
    <row r="46" spans="2:30" ht="57.6" outlineLevel="1">
      <c r="B46" s="460" t="s">
        <v>732</v>
      </c>
      <c r="C46" s="482">
        <f>C29*$F$4*1000</f>
        <v>447</v>
      </c>
      <c r="D46" s="482">
        <f t="shared" ref="D46:F46" si="0">D29*$F$4*1000</f>
        <v>447</v>
      </c>
      <c r="E46" s="482">
        <f t="shared" si="0"/>
        <v>447</v>
      </c>
      <c r="F46" s="482">
        <f t="shared" si="0"/>
        <v>447</v>
      </c>
      <c r="G46" s="482"/>
      <c r="H46" s="483"/>
      <c r="I46" s="419" t="s">
        <v>332</v>
      </c>
      <c r="J46" s="419"/>
      <c r="K46" s="483"/>
      <c r="L46" s="483"/>
      <c r="N46" s="419"/>
    </row>
    <row r="47" spans="2:30" outlineLevel="1">
      <c r="B47" s="484" t="s">
        <v>733</v>
      </c>
      <c r="C47" s="485">
        <f>C46*$I47</f>
        <v>223500</v>
      </c>
      <c r="D47" s="485">
        <f>D46*$I47</f>
        <v>223500</v>
      </c>
      <c r="E47" s="485">
        <f>E46*$I47</f>
        <v>223500</v>
      </c>
      <c r="F47" s="485">
        <f>F46*$I47</f>
        <v>223500</v>
      </c>
      <c r="G47" s="485"/>
      <c r="H47" s="483"/>
      <c r="I47" s="71">
        <v>500</v>
      </c>
      <c r="J47" s="419" t="s">
        <v>330</v>
      </c>
      <c r="K47" s="483"/>
      <c r="L47" s="483"/>
      <c r="N47" s="419"/>
    </row>
    <row r="48" spans="2:30" ht="43.2" outlineLevel="1">
      <c r="B48" s="460" t="s">
        <v>734</v>
      </c>
      <c r="C48" s="358">
        <f>C32*$F$4</f>
        <v>0</v>
      </c>
      <c r="D48" s="358">
        <f t="shared" ref="D48:F49" si="1">D32*$F$4</f>
        <v>0</v>
      </c>
      <c r="E48" s="358">
        <f t="shared" si="1"/>
        <v>0</v>
      </c>
      <c r="F48" s="358">
        <f t="shared" si="1"/>
        <v>0</v>
      </c>
      <c r="G48" s="358"/>
      <c r="I48" s="419" t="s">
        <v>333</v>
      </c>
      <c r="J48" s="419"/>
      <c r="N48" s="419"/>
    </row>
    <row r="49" spans="2:14" ht="43.2" outlineLevel="1">
      <c r="B49" s="460" t="s">
        <v>735</v>
      </c>
      <c r="C49" s="486">
        <f>C33*$F$4</f>
        <v>0.37767361111111114</v>
      </c>
      <c r="D49" s="486">
        <f t="shared" si="1"/>
        <v>0.38802083333333331</v>
      </c>
      <c r="E49" s="486">
        <f t="shared" si="1"/>
        <v>0.39319444444444446</v>
      </c>
      <c r="F49" s="486">
        <f t="shared" si="1"/>
        <v>0.39319444444444446</v>
      </c>
      <c r="G49" s="358"/>
      <c r="M49" s="419"/>
      <c r="N49" s="419"/>
    </row>
    <row r="50" spans="2:14" outlineLevel="1"/>
    <row r="51" spans="2:14" outlineLevel="1"/>
    <row r="52" spans="2:14" outlineLevel="1"/>
    <row r="53" spans="2:14" outlineLevel="1"/>
    <row r="54" spans="2:14" outlineLevel="1">
      <c r="E54" s="357"/>
      <c r="F54" s="357"/>
      <c r="G54" s="357"/>
      <c r="H54" s="357"/>
      <c r="I54" s="357"/>
      <c r="J54" s="357"/>
      <c r="K54" s="357"/>
      <c r="L54" s="357"/>
    </row>
    <row r="55" spans="2:14" outlineLevel="1">
      <c r="B55" s="487" t="s">
        <v>736</v>
      </c>
      <c r="C55" s="488"/>
      <c r="E55" s="357"/>
      <c r="F55" s="357"/>
      <c r="G55" s="357"/>
      <c r="H55" s="357"/>
      <c r="I55" s="357"/>
      <c r="J55" s="357"/>
      <c r="K55" s="357"/>
      <c r="L55" s="357"/>
    </row>
    <row r="56" spans="2:14" outlineLevel="1">
      <c r="B56" s="357">
        <v>1</v>
      </c>
      <c r="C56" s="489" t="s">
        <v>776</v>
      </c>
      <c r="F56" s="357"/>
      <c r="G56" s="357"/>
      <c r="H56" s="357"/>
      <c r="I56" s="357"/>
      <c r="J56" s="357"/>
      <c r="K56" s="357"/>
      <c r="L56" s="357"/>
    </row>
    <row r="57" spans="2:14" outlineLevel="1">
      <c r="B57" s="357">
        <v>2</v>
      </c>
      <c r="C57" s="489" t="s">
        <v>777</v>
      </c>
      <c r="F57" s="357"/>
      <c r="G57" s="357"/>
      <c r="H57" s="357"/>
      <c r="I57" s="357"/>
      <c r="J57" s="357"/>
      <c r="K57" s="357"/>
      <c r="L57" s="357"/>
    </row>
    <row r="58" spans="2:14" outlineLevel="1">
      <c r="B58" s="357">
        <v>3</v>
      </c>
      <c r="C58" s="489" t="s">
        <v>744</v>
      </c>
      <c r="F58" s="357"/>
      <c r="G58" s="357"/>
      <c r="H58" s="357"/>
      <c r="I58" s="357"/>
      <c r="J58" s="357"/>
      <c r="K58" s="357"/>
      <c r="L58" s="357"/>
    </row>
    <row r="59" spans="2:14" outlineLevel="1">
      <c r="B59" s="357">
        <v>4</v>
      </c>
      <c r="C59" s="489" t="s">
        <v>793</v>
      </c>
      <c r="F59" s="357"/>
      <c r="G59" s="357"/>
      <c r="H59" s="357"/>
      <c r="I59" s="357"/>
      <c r="J59" s="357"/>
      <c r="K59" s="357"/>
      <c r="L59" s="357"/>
    </row>
    <row r="60" spans="2:14" outlineLevel="1">
      <c r="B60" s="357">
        <v>5</v>
      </c>
      <c r="C60" s="489" t="s">
        <v>781</v>
      </c>
      <c r="F60" s="357"/>
      <c r="G60" s="357"/>
      <c r="H60" s="357"/>
      <c r="I60" s="357"/>
      <c r="J60" s="357"/>
      <c r="K60" s="357"/>
      <c r="L60" s="357"/>
    </row>
    <row r="61" spans="2:14" outlineLevel="1">
      <c r="B61" s="357">
        <v>6</v>
      </c>
      <c r="C61" s="489" t="s">
        <v>782</v>
      </c>
      <c r="F61" s="357"/>
      <c r="G61" s="357"/>
      <c r="H61" s="357"/>
      <c r="I61" s="357"/>
      <c r="J61" s="357"/>
      <c r="K61" s="357"/>
      <c r="L61" s="357"/>
    </row>
    <row r="62" spans="2:14" outlineLevel="1">
      <c r="B62" s="357">
        <v>7</v>
      </c>
      <c r="C62" s="489" t="s">
        <v>783</v>
      </c>
      <c r="F62" s="357"/>
      <c r="G62" s="357"/>
      <c r="H62" s="357"/>
      <c r="I62" s="357"/>
      <c r="J62" s="357"/>
      <c r="K62" s="357"/>
      <c r="L62" s="357"/>
    </row>
    <row r="63" spans="2:14" outlineLevel="1">
      <c r="B63" s="487" t="s">
        <v>746</v>
      </c>
      <c r="C63" s="488"/>
      <c r="D63" s="488"/>
      <c r="F63" s="357"/>
      <c r="G63" s="357"/>
      <c r="H63" s="357"/>
      <c r="I63" s="357"/>
      <c r="J63" s="357"/>
      <c r="K63" s="357"/>
      <c r="L63" s="357"/>
    </row>
    <row r="64" spans="2:14" outlineLevel="1">
      <c r="B64" s="495" t="s">
        <v>6</v>
      </c>
      <c r="C64" s="489" t="s">
        <v>794</v>
      </c>
      <c r="D64" s="488"/>
      <c r="F64" s="357"/>
      <c r="G64" s="357"/>
      <c r="H64" s="357"/>
      <c r="I64" s="357"/>
      <c r="J64" s="357"/>
      <c r="K64" s="357"/>
      <c r="L64" s="357"/>
    </row>
    <row r="65" spans="1:44" outlineLevel="1">
      <c r="B65" s="495" t="s">
        <v>59</v>
      </c>
      <c r="C65" s="489" t="s">
        <v>795</v>
      </c>
      <c r="D65" s="488"/>
      <c r="F65" s="357"/>
      <c r="G65" s="357"/>
      <c r="H65" s="357"/>
      <c r="I65" s="357"/>
      <c r="J65" s="357"/>
      <c r="K65" s="357"/>
      <c r="L65" s="357"/>
    </row>
    <row r="66" spans="1:44" outlineLevel="1">
      <c r="B66" s="495" t="s">
        <v>16</v>
      </c>
      <c r="C66" s="489" t="s">
        <v>796</v>
      </c>
      <c r="D66" s="488"/>
      <c r="F66" s="357"/>
      <c r="G66" s="357"/>
      <c r="H66" s="357"/>
      <c r="I66" s="357"/>
      <c r="J66" s="357"/>
      <c r="K66" s="357"/>
      <c r="L66" s="357"/>
    </row>
    <row r="67" spans="1:44" outlineLevel="1">
      <c r="B67" s="495" t="s">
        <v>20</v>
      </c>
      <c r="C67" s="489" t="s">
        <v>787</v>
      </c>
      <c r="D67" s="488"/>
      <c r="F67" s="357"/>
      <c r="G67" s="357"/>
      <c r="H67" s="357"/>
      <c r="I67" s="357"/>
      <c r="J67" s="357"/>
      <c r="K67" s="357"/>
      <c r="L67" s="357"/>
    </row>
    <row r="68" spans="1:44" outlineLevel="1">
      <c r="B68" s="495" t="s">
        <v>76</v>
      </c>
      <c r="C68" s="627" t="s">
        <v>797</v>
      </c>
      <c r="D68" s="488"/>
      <c r="F68" s="357"/>
      <c r="G68" s="357"/>
      <c r="H68" s="357"/>
      <c r="I68" s="357"/>
      <c r="J68" s="357"/>
      <c r="K68" s="357"/>
      <c r="L68" s="357"/>
    </row>
    <row r="69" spans="1:44" outlineLevel="1">
      <c r="B69" s="495" t="s">
        <v>25</v>
      </c>
      <c r="C69" s="489" t="s">
        <v>798</v>
      </c>
      <c r="D69" s="488"/>
      <c r="F69" s="357"/>
      <c r="G69" s="357"/>
      <c r="H69" s="357"/>
      <c r="I69" s="357"/>
      <c r="J69" s="357"/>
      <c r="K69" s="357"/>
      <c r="L69" s="357"/>
    </row>
    <row r="70" spans="1:44" outlineLevel="1">
      <c r="B70" s="495" t="s">
        <v>33</v>
      </c>
      <c r="C70" s="489" t="s">
        <v>788</v>
      </c>
      <c r="D70" s="488"/>
      <c r="G70" s="357"/>
      <c r="H70" s="357"/>
      <c r="I70" s="357"/>
      <c r="J70" s="357"/>
      <c r="K70" s="357"/>
      <c r="L70" s="357"/>
    </row>
    <row r="71" spans="1:44" outlineLevel="1">
      <c r="B71" s="495"/>
      <c r="C71" s="488"/>
      <c r="E71" s="489"/>
      <c r="F71" s="489"/>
    </row>
    <row r="72" spans="1:44" outlineLevel="1"/>
    <row r="73" spans="1:44" outlineLevel="1"/>
    <row r="74" spans="1:44" outlineLevel="1"/>
    <row r="77" spans="1:44">
      <c r="A77" s="359"/>
      <c r="B77" s="1204"/>
      <c r="C77" s="1140"/>
      <c r="D77" s="1140"/>
      <c r="E77" s="1140"/>
      <c r="F77" s="1140"/>
      <c r="G77" s="1140"/>
      <c r="H77" s="1140"/>
      <c r="I77" s="1140"/>
      <c r="J77" s="1140"/>
      <c r="K77" s="1140"/>
      <c r="L77" s="1140"/>
      <c r="M77" s="1140"/>
      <c r="N77" s="360"/>
      <c r="P77" s="1140"/>
      <c r="Q77" s="1140"/>
      <c r="R77" s="1140"/>
      <c r="S77" s="1140"/>
      <c r="T77" s="1140"/>
      <c r="U77" s="1140"/>
    </row>
    <row r="78" spans="1:44" ht="15" outlineLevel="1" thickBot="1">
      <c r="B78" s="1204"/>
      <c r="C78" s="1140"/>
      <c r="D78" s="1140"/>
      <c r="E78" s="1140"/>
      <c r="F78" s="1140"/>
      <c r="G78" s="1140"/>
      <c r="H78" s="1140"/>
      <c r="I78" s="1140"/>
      <c r="J78" s="1140"/>
      <c r="K78" s="1140"/>
      <c r="L78" s="1140"/>
      <c r="M78" s="1140"/>
      <c r="N78" s="360"/>
      <c r="P78" s="1140"/>
      <c r="Q78" s="1140"/>
      <c r="R78" s="1140"/>
      <c r="S78" s="1140"/>
      <c r="T78" s="1140"/>
      <c r="U78" s="1140"/>
    </row>
    <row r="79" spans="1:44" ht="20.55" customHeight="1" outlineLevel="1" thickBot="1">
      <c r="B79" s="361"/>
      <c r="C79" s="1183"/>
      <c r="D79" s="1202"/>
      <c r="E79" s="1202"/>
      <c r="F79" s="1202"/>
      <c r="G79" s="1202"/>
      <c r="H79" s="1202"/>
      <c r="I79" s="1202"/>
      <c r="J79" s="1202"/>
      <c r="K79" s="1202"/>
      <c r="L79" s="1203"/>
      <c r="M79" s="362"/>
      <c r="N79" s="362"/>
      <c r="P79" s="363"/>
      <c r="Q79" s="364"/>
      <c r="R79" s="365"/>
      <c r="S79" s="1173"/>
      <c r="T79" s="1157"/>
      <c r="U79" s="1158"/>
      <c r="V79" s="1157"/>
      <c r="W79" s="1158"/>
      <c r="X79" s="1157"/>
      <c r="Y79" s="1158"/>
      <c r="Z79" s="1157"/>
      <c r="AA79" s="1158"/>
      <c r="AB79" s="1157"/>
      <c r="AC79" s="1158"/>
      <c r="AE79" s="363"/>
      <c r="AF79" s="364"/>
      <c r="AG79" s="365"/>
      <c r="AH79" s="1173"/>
      <c r="AI79" s="1157"/>
      <c r="AJ79" s="1158"/>
      <c r="AK79" s="1157"/>
      <c r="AL79" s="1158"/>
      <c r="AM79" s="1157"/>
      <c r="AN79" s="1158"/>
      <c r="AO79" s="1157"/>
      <c r="AP79" s="1158"/>
      <c r="AQ79" s="1157"/>
      <c r="AR79" s="1158"/>
    </row>
    <row r="80" spans="1:44" ht="15" customHeight="1" outlineLevel="1" thickBot="1">
      <c r="B80" s="1161"/>
      <c r="C80" s="1163"/>
      <c r="D80" s="1163"/>
      <c r="E80" s="1163"/>
      <c r="F80" s="1163"/>
      <c r="G80" s="1197"/>
      <c r="H80" s="1198"/>
      <c r="I80" s="1197"/>
      <c r="J80" s="1198"/>
      <c r="K80" s="1199"/>
      <c r="L80" s="1199"/>
      <c r="M80" s="366"/>
      <c r="N80" s="366"/>
      <c r="P80" s="1177"/>
      <c r="Q80" s="367"/>
      <c r="R80" s="367"/>
      <c r="S80" s="1174"/>
      <c r="T80" s="1159"/>
      <c r="U80" s="1160"/>
      <c r="V80" s="1159"/>
      <c r="W80" s="1160"/>
      <c r="X80" s="1159"/>
      <c r="Y80" s="1160"/>
      <c r="Z80" s="1159"/>
      <c r="AA80" s="1160"/>
      <c r="AB80" s="1159"/>
      <c r="AC80" s="1160"/>
      <c r="AE80" s="1177"/>
      <c r="AF80" s="367"/>
      <c r="AG80" s="367"/>
      <c r="AH80" s="1174"/>
      <c r="AI80" s="1159"/>
      <c r="AJ80" s="1160"/>
      <c r="AK80" s="1159"/>
      <c r="AL80" s="1160"/>
      <c r="AM80" s="1159"/>
      <c r="AN80" s="1160"/>
      <c r="AO80" s="1159"/>
      <c r="AP80" s="1160"/>
      <c r="AQ80" s="1159"/>
      <c r="AR80" s="1160"/>
    </row>
    <row r="81" spans="2:44" ht="15" customHeight="1" outlineLevel="1" thickBot="1">
      <c r="B81" s="1162"/>
      <c r="C81" s="1164"/>
      <c r="D81" s="1164"/>
      <c r="E81" s="1164"/>
      <c r="F81" s="1164"/>
      <c r="G81" s="498"/>
      <c r="H81" s="498"/>
      <c r="I81" s="498"/>
      <c r="J81" s="498"/>
      <c r="K81" s="1200"/>
      <c r="L81" s="1200"/>
      <c r="M81" s="369"/>
      <c r="N81" s="369"/>
      <c r="P81" s="1178"/>
      <c r="Q81" s="1180"/>
      <c r="R81" s="1181"/>
      <c r="S81" s="1175"/>
      <c r="T81" s="1159"/>
      <c r="U81" s="1160"/>
      <c r="V81" s="1159"/>
      <c r="W81" s="1160"/>
      <c r="X81" s="1159"/>
      <c r="Y81" s="1160"/>
      <c r="Z81" s="1159"/>
      <c r="AA81" s="1160"/>
      <c r="AB81" s="1159"/>
      <c r="AC81" s="1160"/>
      <c r="AE81" s="1178"/>
      <c r="AF81" s="1194"/>
      <c r="AG81" s="1181"/>
      <c r="AH81" s="1175"/>
      <c r="AI81" s="1159"/>
      <c r="AJ81" s="1160"/>
      <c r="AK81" s="1159"/>
      <c r="AL81" s="1160"/>
      <c r="AM81" s="1159"/>
      <c r="AN81" s="1160"/>
      <c r="AO81" s="1159"/>
      <c r="AP81" s="1160"/>
      <c r="AQ81" s="1159"/>
      <c r="AR81" s="1160"/>
    </row>
    <row r="82" spans="2:44" ht="15" outlineLevel="1" thickBot="1">
      <c r="B82" s="370"/>
      <c r="C82" s="371"/>
      <c r="D82" s="371"/>
      <c r="E82" s="371"/>
      <c r="F82" s="371"/>
      <c r="G82" s="371"/>
      <c r="H82" s="371"/>
      <c r="I82" s="371"/>
      <c r="J82" s="371"/>
      <c r="K82" s="371"/>
      <c r="L82" s="372"/>
      <c r="M82" s="369"/>
      <c r="N82" s="369"/>
      <c r="O82" s="74"/>
      <c r="P82" s="1179"/>
      <c r="Q82" s="1176"/>
      <c r="R82" s="1182"/>
      <c r="S82" s="1176"/>
      <c r="T82" s="373"/>
      <c r="U82" s="374"/>
      <c r="V82" s="373"/>
      <c r="W82" s="374"/>
      <c r="X82" s="373"/>
      <c r="Y82" s="374"/>
      <c r="Z82" s="373"/>
      <c r="AA82" s="374"/>
      <c r="AB82" s="373"/>
      <c r="AC82" s="374"/>
      <c r="AE82" s="1179"/>
      <c r="AF82" s="1195"/>
      <c r="AG82" s="1182"/>
      <c r="AH82" s="1176"/>
      <c r="AI82" s="373"/>
      <c r="AJ82" s="374"/>
      <c r="AK82" s="373"/>
      <c r="AL82" s="374"/>
      <c r="AM82" s="373"/>
      <c r="AN82" s="374"/>
      <c r="AO82" s="373"/>
      <c r="AP82" s="374"/>
      <c r="AQ82" s="373"/>
      <c r="AR82" s="374"/>
    </row>
    <row r="83" spans="2:44" ht="15" customHeight="1" outlineLevel="1">
      <c r="B83" s="499"/>
      <c r="C83" s="500"/>
      <c r="D83" s="500"/>
      <c r="E83" s="501"/>
      <c r="F83" s="500"/>
      <c r="G83" s="500"/>
      <c r="H83" s="500"/>
      <c r="I83" s="500"/>
      <c r="J83" s="500"/>
      <c r="K83" s="502"/>
      <c r="L83" s="503"/>
      <c r="M83" s="369"/>
      <c r="N83" s="369"/>
      <c r="P83" s="1145"/>
      <c r="Q83" s="1151"/>
      <c r="R83" s="380"/>
      <c r="S83" s="381"/>
      <c r="T83" s="1134"/>
      <c r="U83" s="1148"/>
      <c r="V83" s="1134"/>
      <c r="W83" s="1148"/>
      <c r="X83" s="1134"/>
      <c r="Y83" s="1148"/>
      <c r="Z83" s="1134"/>
      <c r="AA83" s="1148"/>
      <c r="AB83" s="1134"/>
      <c r="AC83" s="1148"/>
      <c r="AE83" s="1145"/>
      <c r="AF83" s="1151"/>
      <c r="AG83" s="380"/>
      <c r="AH83" s="381"/>
      <c r="AI83" s="1134"/>
      <c r="AJ83" s="1148"/>
      <c r="AK83" s="1134"/>
      <c r="AL83" s="1148"/>
      <c r="AM83" s="1134"/>
      <c r="AN83" s="1148"/>
      <c r="AO83" s="1134"/>
      <c r="AP83" s="1148"/>
      <c r="AQ83" s="1134"/>
      <c r="AR83" s="1148"/>
    </row>
    <row r="84" spans="2:44" outlineLevel="1">
      <c r="B84" s="382"/>
      <c r="C84" s="383"/>
      <c r="D84" s="383"/>
      <c r="E84" s="383"/>
      <c r="F84" s="383"/>
      <c r="G84" s="504"/>
      <c r="H84" s="504"/>
      <c r="I84" s="504"/>
      <c r="J84" s="504"/>
      <c r="K84" s="371"/>
      <c r="L84" s="372"/>
      <c r="M84" s="369"/>
      <c r="N84" s="369"/>
      <c r="O84" s="71"/>
      <c r="P84" s="1192"/>
      <c r="Q84" s="1152"/>
      <c r="R84" s="387"/>
      <c r="S84" s="388"/>
      <c r="T84" s="1137"/>
      <c r="U84" s="1149"/>
      <c r="V84" s="1137"/>
      <c r="W84" s="1149"/>
      <c r="X84" s="1137"/>
      <c r="Y84" s="1149"/>
      <c r="Z84" s="1137"/>
      <c r="AA84" s="1149"/>
      <c r="AB84" s="1137"/>
      <c r="AC84" s="1149"/>
      <c r="AE84" s="1192"/>
      <c r="AF84" s="1152"/>
      <c r="AG84" s="387"/>
      <c r="AH84" s="388"/>
      <c r="AI84" s="1137"/>
      <c r="AJ84" s="1149"/>
      <c r="AK84" s="1137"/>
      <c r="AL84" s="1149"/>
      <c r="AM84" s="1137"/>
      <c r="AN84" s="1149"/>
      <c r="AO84" s="1137"/>
      <c r="AP84" s="1149"/>
      <c r="AQ84" s="1137"/>
      <c r="AR84" s="1149"/>
    </row>
    <row r="85" spans="2:44" ht="15" outlineLevel="1" thickBot="1">
      <c r="B85" s="499"/>
      <c r="C85" s="505"/>
      <c r="D85" s="506"/>
      <c r="E85" s="506"/>
      <c r="F85" s="507"/>
      <c r="G85" s="506"/>
      <c r="H85" s="506"/>
      <c r="I85" s="506"/>
      <c r="J85" s="506"/>
      <c r="K85" s="502"/>
      <c r="L85" s="503"/>
      <c r="M85" s="369"/>
      <c r="N85" s="369"/>
      <c r="O85" s="71"/>
      <c r="P85" s="1192"/>
      <c r="Q85" s="1153"/>
      <c r="R85" s="392"/>
      <c r="S85" s="393"/>
      <c r="T85" s="1138"/>
      <c r="U85" s="1150"/>
      <c r="V85" s="1138"/>
      <c r="W85" s="1150"/>
      <c r="X85" s="1138"/>
      <c r="Y85" s="1150"/>
      <c r="Z85" s="1138"/>
      <c r="AA85" s="1150"/>
      <c r="AB85" s="1138"/>
      <c r="AC85" s="1150"/>
      <c r="AE85" s="1192"/>
      <c r="AF85" s="1153"/>
      <c r="AG85" s="392"/>
      <c r="AH85" s="393"/>
      <c r="AI85" s="1138"/>
      <c r="AJ85" s="1150"/>
      <c r="AK85" s="1138"/>
      <c r="AL85" s="1150"/>
      <c r="AM85" s="1138"/>
      <c r="AN85" s="1150"/>
      <c r="AO85" s="1138"/>
      <c r="AP85" s="1150"/>
      <c r="AQ85" s="1138"/>
      <c r="AR85" s="1150"/>
    </row>
    <row r="86" spans="2:44" ht="15" customHeight="1" outlineLevel="1">
      <c r="B86" s="499"/>
      <c r="C86" s="505"/>
      <c r="D86" s="505"/>
      <c r="E86" s="505"/>
      <c r="F86" s="505"/>
      <c r="G86" s="505"/>
      <c r="H86" s="505"/>
      <c r="I86" s="505"/>
      <c r="J86" s="505"/>
      <c r="K86" s="502"/>
      <c r="L86" s="503"/>
      <c r="M86" s="369"/>
      <c r="N86" s="369"/>
      <c r="O86" s="71"/>
      <c r="P86" s="1192"/>
      <c r="Q86" s="1151"/>
      <c r="R86" s="394"/>
      <c r="S86" s="395"/>
      <c r="T86" s="1134"/>
      <c r="U86" s="1134"/>
      <c r="V86" s="1134"/>
      <c r="W86" s="1134"/>
      <c r="X86" s="1134"/>
      <c r="Y86" s="1134"/>
      <c r="Z86" s="1134"/>
      <c r="AA86" s="1134"/>
      <c r="AB86" s="1134"/>
      <c r="AC86" s="1134"/>
      <c r="AE86" s="1192"/>
      <c r="AF86" s="1151"/>
      <c r="AG86" s="394"/>
      <c r="AH86" s="395"/>
      <c r="AI86" s="1134"/>
      <c r="AJ86" s="1134"/>
      <c r="AK86" s="1134"/>
      <c r="AL86" s="1134"/>
      <c r="AM86" s="1134"/>
      <c r="AN86" s="1134"/>
      <c r="AO86" s="1134"/>
      <c r="AP86" s="1134"/>
      <c r="AQ86" s="1134"/>
      <c r="AR86" s="1134"/>
    </row>
    <row r="87" spans="2:44" outlineLevel="1">
      <c r="B87" s="499"/>
      <c r="C87" s="505"/>
      <c r="D87" s="505"/>
      <c r="E87" s="505"/>
      <c r="F87" s="505"/>
      <c r="G87" s="505"/>
      <c r="H87" s="505"/>
      <c r="I87" s="505"/>
      <c r="J87" s="505"/>
      <c r="K87" s="502"/>
      <c r="L87" s="503"/>
      <c r="M87" s="366"/>
      <c r="N87" s="366"/>
      <c r="O87" s="71"/>
      <c r="P87" s="1192"/>
      <c r="Q87" s="1152"/>
      <c r="R87" s="394"/>
      <c r="S87" s="395"/>
      <c r="T87" s="1135"/>
      <c r="U87" s="1135"/>
      <c r="V87" s="1135"/>
      <c r="W87" s="1135"/>
      <c r="X87" s="1135"/>
      <c r="Y87" s="1135"/>
      <c r="Z87" s="1135"/>
      <c r="AA87" s="1135"/>
      <c r="AB87" s="1135"/>
      <c r="AC87" s="1135"/>
      <c r="AE87" s="1192"/>
      <c r="AF87" s="1152"/>
      <c r="AG87" s="394"/>
      <c r="AH87" s="395"/>
      <c r="AI87" s="1135"/>
      <c r="AJ87" s="1135"/>
      <c r="AK87" s="1135"/>
      <c r="AL87" s="1135"/>
      <c r="AM87" s="1135"/>
      <c r="AN87" s="1135"/>
      <c r="AO87" s="1135"/>
      <c r="AP87" s="1135"/>
      <c r="AQ87" s="1135"/>
      <c r="AR87" s="1135"/>
    </row>
    <row r="88" spans="2:44" outlineLevel="1">
      <c r="B88" s="382"/>
      <c r="C88" s="396"/>
      <c r="D88" s="396"/>
      <c r="E88" s="396"/>
      <c r="F88" s="396"/>
      <c r="G88" s="398"/>
      <c r="H88" s="398"/>
      <c r="I88" s="398"/>
      <c r="J88" s="398"/>
      <c r="K88" s="371"/>
      <c r="L88" s="372"/>
      <c r="M88" s="362"/>
      <c r="N88" s="362"/>
      <c r="P88" s="1192"/>
      <c r="Q88" s="1152"/>
      <c r="R88" s="394"/>
      <c r="S88" s="395"/>
      <c r="T88" s="1135"/>
      <c r="U88" s="1135"/>
      <c r="V88" s="1135"/>
      <c r="W88" s="1135"/>
      <c r="X88" s="1135"/>
      <c r="Y88" s="1135"/>
      <c r="Z88" s="1135"/>
      <c r="AA88" s="1135"/>
      <c r="AB88" s="1135"/>
      <c r="AC88" s="1135"/>
      <c r="AE88" s="1192"/>
      <c r="AF88" s="1152"/>
      <c r="AG88" s="394"/>
      <c r="AH88" s="395"/>
      <c r="AI88" s="1135"/>
      <c r="AJ88" s="1135"/>
      <c r="AK88" s="1135"/>
      <c r="AL88" s="1135"/>
      <c r="AM88" s="1135"/>
      <c r="AN88" s="1135"/>
      <c r="AO88" s="1135"/>
      <c r="AP88" s="1135"/>
      <c r="AQ88" s="1135"/>
      <c r="AR88" s="1135"/>
    </row>
    <row r="89" spans="2:44" ht="15" outlineLevel="1" thickBot="1">
      <c r="B89" s="499"/>
      <c r="C89" s="505"/>
      <c r="D89" s="505"/>
      <c r="E89" s="505"/>
      <c r="F89" s="505"/>
      <c r="G89" s="505"/>
      <c r="H89" s="505"/>
      <c r="I89" s="505"/>
      <c r="J89" s="505"/>
      <c r="K89" s="371"/>
      <c r="L89" s="399"/>
      <c r="M89" s="362"/>
      <c r="N89" s="362"/>
      <c r="P89" s="1192"/>
      <c r="Q89" s="1152"/>
      <c r="R89" s="394"/>
      <c r="S89" s="395"/>
      <c r="T89" s="1135"/>
      <c r="U89" s="1135"/>
      <c r="V89" s="1135"/>
      <c r="W89" s="1135"/>
      <c r="X89" s="1135"/>
      <c r="Y89" s="1135"/>
      <c r="Z89" s="1135"/>
      <c r="AA89" s="1135"/>
      <c r="AB89" s="1135"/>
      <c r="AC89" s="1135"/>
      <c r="AE89" s="1192"/>
      <c r="AF89" s="1152"/>
      <c r="AG89" s="394"/>
      <c r="AH89" s="395"/>
      <c r="AI89" s="1135"/>
      <c r="AJ89" s="1135"/>
      <c r="AK89" s="1135"/>
      <c r="AL89" s="1135"/>
      <c r="AM89" s="1135"/>
      <c r="AN89" s="1135"/>
      <c r="AO89" s="1135"/>
      <c r="AP89" s="1135"/>
      <c r="AQ89" s="1135"/>
      <c r="AR89" s="1135"/>
    </row>
    <row r="90" spans="2:44" ht="15" outlineLevel="1" thickBot="1">
      <c r="B90" s="400"/>
      <c r="C90" s="401"/>
      <c r="D90" s="402"/>
      <c r="E90" s="403"/>
      <c r="F90" s="404"/>
      <c r="G90" s="405"/>
      <c r="H90" s="405"/>
      <c r="I90" s="405"/>
      <c r="J90" s="405"/>
      <c r="K90" s="406"/>
      <c r="L90" s="407"/>
      <c r="M90" s="362"/>
      <c r="N90" s="362"/>
      <c r="P90" s="1192"/>
      <c r="Q90" s="1152"/>
      <c r="R90" s="408"/>
      <c r="S90" s="409"/>
      <c r="T90" s="1136"/>
      <c r="U90" s="1136"/>
      <c r="V90" s="1136"/>
      <c r="W90" s="1136"/>
      <c r="X90" s="1136"/>
      <c r="Y90" s="1136"/>
      <c r="Z90" s="1136"/>
      <c r="AA90" s="1136"/>
      <c r="AB90" s="1136"/>
      <c r="AC90" s="1136"/>
      <c r="AE90" s="1192"/>
      <c r="AF90" s="1152"/>
      <c r="AG90" s="408"/>
      <c r="AH90" s="409"/>
      <c r="AI90" s="1136"/>
      <c r="AJ90" s="1136"/>
      <c r="AK90" s="1136"/>
      <c r="AL90" s="1136"/>
      <c r="AM90" s="1136"/>
      <c r="AN90" s="1136"/>
      <c r="AO90" s="1136"/>
      <c r="AP90" s="1136"/>
      <c r="AQ90" s="1136"/>
      <c r="AR90" s="1136"/>
    </row>
    <row r="91" spans="2:44" ht="15" outlineLevel="1" thickBot="1">
      <c r="B91" s="499"/>
      <c r="C91" s="505"/>
      <c r="D91" s="505"/>
      <c r="E91" s="505"/>
      <c r="F91" s="505"/>
      <c r="G91" s="506"/>
      <c r="H91" s="506"/>
      <c r="I91" s="506"/>
      <c r="J91" s="506"/>
      <c r="K91" s="502"/>
      <c r="L91" s="503"/>
      <c r="M91" s="362"/>
      <c r="N91" s="362"/>
      <c r="P91" s="1193"/>
      <c r="Q91" s="410"/>
      <c r="R91" s="411"/>
      <c r="S91" s="412"/>
      <c r="T91" s="413"/>
      <c r="U91" s="414"/>
      <c r="V91" s="415"/>
      <c r="W91" s="414"/>
      <c r="X91" s="415"/>
      <c r="Y91" s="414"/>
      <c r="Z91" s="415"/>
      <c r="AA91" s="414"/>
      <c r="AB91" s="415"/>
      <c r="AC91" s="416"/>
      <c r="AE91" s="1193"/>
      <c r="AF91" s="410"/>
      <c r="AG91" s="411"/>
      <c r="AH91" s="412"/>
      <c r="AI91" s="413"/>
      <c r="AJ91" s="414"/>
      <c r="AK91" s="413"/>
      <c r="AL91" s="414"/>
      <c r="AM91" s="413"/>
      <c r="AN91" s="414"/>
      <c r="AO91" s="413"/>
      <c r="AP91" s="414"/>
      <c r="AQ91" s="413"/>
      <c r="AR91" s="416"/>
    </row>
    <row r="92" spans="2:44" outlineLevel="1">
      <c r="B92" s="499"/>
      <c r="C92" s="505"/>
      <c r="D92" s="505"/>
      <c r="E92" s="505"/>
      <c r="F92" s="505"/>
      <c r="G92" s="508"/>
      <c r="H92" s="508"/>
      <c r="I92" s="508"/>
      <c r="J92" s="508"/>
      <c r="K92" s="509"/>
      <c r="L92" s="503"/>
      <c r="M92" s="362"/>
      <c r="N92" s="362"/>
    </row>
    <row r="93" spans="2:44" outlineLevel="1">
      <c r="B93" s="499"/>
      <c r="C93" s="505"/>
      <c r="D93" s="505"/>
      <c r="E93" s="505"/>
      <c r="F93" s="505"/>
      <c r="G93" s="508"/>
      <c r="H93" s="508"/>
      <c r="I93" s="508"/>
      <c r="J93" s="508"/>
      <c r="K93" s="509"/>
      <c r="L93" s="503"/>
      <c r="M93" s="419"/>
      <c r="N93" s="362"/>
    </row>
    <row r="94" spans="2:44" outlineLevel="1">
      <c r="B94" s="420"/>
      <c r="C94" s="398"/>
      <c r="D94" s="398"/>
      <c r="E94" s="398"/>
      <c r="F94" s="398"/>
      <c r="G94" s="421"/>
      <c r="H94" s="421"/>
      <c r="I94" s="421"/>
      <c r="J94" s="421"/>
      <c r="K94" s="422"/>
      <c r="L94" s="423"/>
      <c r="M94" s="419"/>
      <c r="N94" s="419"/>
    </row>
    <row r="95" spans="2:44" outlineLevel="1">
      <c r="B95" s="382"/>
      <c r="C95" s="396"/>
      <c r="D95" s="396"/>
      <c r="E95" s="396"/>
      <c r="F95" s="396"/>
      <c r="G95" s="421"/>
      <c r="H95" s="424"/>
      <c r="I95" s="424"/>
      <c r="J95" s="424"/>
      <c r="K95" s="425"/>
      <c r="L95" s="426"/>
      <c r="M95" s="427"/>
      <c r="N95" s="427"/>
    </row>
    <row r="96" spans="2:44" outlineLevel="1">
      <c r="B96" s="382"/>
      <c r="C96" s="396"/>
      <c r="D96" s="396"/>
      <c r="E96" s="396"/>
      <c r="F96" s="396"/>
      <c r="G96" s="424"/>
      <c r="H96" s="424"/>
      <c r="I96" s="424"/>
      <c r="J96" s="424"/>
      <c r="K96" s="422"/>
      <c r="L96" s="426"/>
      <c r="M96" s="427"/>
      <c r="N96" s="427"/>
    </row>
    <row r="97" spans="1:30" outlineLevel="1">
      <c r="B97" s="382"/>
      <c r="C97" s="396"/>
      <c r="D97" s="396"/>
      <c r="E97" s="396"/>
      <c r="F97" s="396"/>
      <c r="G97" s="424"/>
      <c r="H97" s="424"/>
      <c r="I97" s="424"/>
      <c r="J97" s="424"/>
      <c r="K97" s="422"/>
      <c r="L97" s="426"/>
      <c r="M97" s="427"/>
      <c r="N97" s="427"/>
    </row>
    <row r="98" spans="1:30" outlineLevel="1">
      <c r="B98" s="382"/>
      <c r="C98" s="396"/>
      <c r="D98" s="396"/>
      <c r="E98" s="396"/>
      <c r="F98" s="396"/>
      <c r="G98" s="424"/>
      <c r="H98" s="424"/>
      <c r="I98" s="424"/>
      <c r="J98" s="424"/>
      <c r="K98" s="422"/>
      <c r="L98" s="426"/>
      <c r="M98" s="427"/>
      <c r="N98" s="427"/>
    </row>
    <row r="99" spans="1:30" ht="15" outlineLevel="1" thickBot="1">
      <c r="B99" s="428"/>
      <c r="C99" s="429"/>
      <c r="D99" s="429"/>
      <c r="E99" s="429"/>
      <c r="F99" s="429"/>
      <c r="G99" s="424"/>
      <c r="H99" s="424"/>
      <c r="I99" s="424"/>
      <c r="J99" s="424"/>
      <c r="K99" s="422"/>
      <c r="L99" s="426"/>
      <c r="M99" s="427"/>
      <c r="N99" s="427"/>
    </row>
    <row r="100" spans="1:30" ht="15" outlineLevel="1" thickBot="1">
      <c r="B100" s="430"/>
      <c r="C100" s="431"/>
      <c r="D100" s="402"/>
      <c r="E100" s="402"/>
      <c r="F100" s="432"/>
      <c r="G100" s="433"/>
      <c r="H100" s="405"/>
      <c r="I100" s="405"/>
      <c r="J100" s="405"/>
      <c r="K100" s="406"/>
      <c r="L100" s="407"/>
      <c r="M100" s="427"/>
      <c r="N100" s="427"/>
    </row>
    <row r="101" spans="1:30" outlineLevel="1">
      <c r="A101" s="434"/>
      <c r="B101" s="435"/>
      <c r="C101" s="510"/>
      <c r="D101" s="511"/>
      <c r="E101" s="511"/>
      <c r="F101" s="512"/>
      <c r="G101" s="424"/>
      <c r="H101" s="424"/>
      <c r="I101" s="424"/>
      <c r="J101" s="424"/>
      <c r="K101" s="425"/>
      <c r="L101" s="439"/>
      <c r="M101" s="419"/>
      <c r="N101" s="419"/>
    </row>
    <row r="102" spans="1:30" outlineLevel="1">
      <c r="B102" s="440"/>
      <c r="C102" s="441"/>
      <c r="D102" s="441"/>
      <c r="E102" s="441"/>
      <c r="F102" s="441"/>
      <c r="G102" s="424"/>
      <c r="H102" s="424"/>
      <c r="I102" s="424"/>
      <c r="J102" s="424"/>
      <c r="K102" s="443"/>
      <c r="L102" s="372"/>
      <c r="M102" s="71"/>
      <c r="N102" s="419"/>
    </row>
    <row r="103" spans="1:30" outlineLevel="1">
      <c r="B103" s="440"/>
      <c r="C103" s="441"/>
      <c r="D103" s="441"/>
      <c r="E103" s="441"/>
      <c r="F103" s="441"/>
      <c r="G103" s="424"/>
      <c r="H103" s="424"/>
      <c r="I103" s="424"/>
      <c r="J103" s="424"/>
      <c r="K103" s="443"/>
      <c r="L103" s="372"/>
      <c r="M103" s="419"/>
      <c r="N103" s="419"/>
    </row>
    <row r="104" spans="1:30" outlineLevel="1">
      <c r="B104" s="382"/>
      <c r="C104" s="444"/>
      <c r="D104" s="445"/>
      <c r="E104" s="445"/>
      <c r="F104" s="446"/>
      <c r="G104" s="424"/>
      <c r="H104" s="424"/>
      <c r="I104" s="424"/>
      <c r="J104" s="424"/>
      <c r="K104" s="447"/>
      <c r="L104" s="372"/>
      <c r="M104" s="419"/>
      <c r="N104" s="419"/>
    </row>
    <row r="105" spans="1:30" outlineLevel="1">
      <c r="B105" s="382"/>
      <c r="C105" s="448"/>
      <c r="D105" s="448"/>
      <c r="E105" s="448"/>
      <c r="F105" s="448"/>
      <c r="G105" s="424"/>
      <c r="H105" s="424"/>
      <c r="I105" s="424"/>
      <c r="J105" s="424"/>
      <c r="K105" s="447"/>
      <c r="L105" s="372"/>
      <c r="M105" s="449"/>
      <c r="N105" s="360"/>
      <c r="P105" s="1139"/>
      <c r="Q105" s="1140"/>
      <c r="R105" s="1140"/>
      <c r="S105" s="1140"/>
      <c r="T105" s="1140"/>
      <c r="U105" s="1141"/>
    </row>
    <row r="106" spans="1:30" ht="15" outlineLevel="1" thickBot="1">
      <c r="B106" s="499"/>
      <c r="C106" s="513"/>
      <c r="D106" s="513"/>
      <c r="E106" s="513"/>
      <c r="F106" s="513"/>
      <c r="G106" s="514"/>
      <c r="H106" s="514"/>
      <c r="I106" s="514"/>
      <c r="J106" s="514"/>
      <c r="K106" s="502"/>
      <c r="L106" s="503"/>
      <c r="M106" s="449"/>
      <c r="N106" s="360"/>
      <c r="P106" s="1131"/>
      <c r="Q106" s="1132"/>
      <c r="R106" s="1132"/>
      <c r="S106" s="1132"/>
      <c r="T106" s="1132"/>
      <c r="U106" s="1133"/>
    </row>
    <row r="107" spans="1:30" outlineLevel="1">
      <c r="B107" s="499"/>
      <c r="C107" s="515"/>
      <c r="D107" s="515"/>
      <c r="E107" s="515"/>
      <c r="F107" s="515"/>
      <c r="G107" s="514"/>
      <c r="H107" s="514"/>
      <c r="I107" s="514"/>
      <c r="J107" s="514"/>
      <c r="K107" s="516"/>
      <c r="L107" s="503"/>
      <c r="M107" s="362"/>
      <c r="N107" s="362"/>
      <c r="P107" s="53"/>
    </row>
    <row r="108" spans="1:30" outlineLevel="1">
      <c r="B108" s="440"/>
      <c r="C108" s="517"/>
      <c r="D108" s="517"/>
      <c r="E108" s="517"/>
      <c r="F108" s="517"/>
      <c r="G108" s="424"/>
      <c r="H108" s="424"/>
      <c r="I108" s="424"/>
      <c r="J108" s="424"/>
      <c r="K108" s="443"/>
      <c r="L108" s="423"/>
      <c r="M108" s="366"/>
      <c r="N108" s="366"/>
      <c r="P108" s="46"/>
      <c r="Q108" s="46"/>
      <c r="R108" s="47"/>
      <c r="S108" s="47"/>
      <c r="T108" s="47"/>
      <c r="U108" s="48"/>
      <c r="V108" s="49"/>
      <c r="W108" s="49"/>
      <c r="X108" s="49"/>
      <c r="Y108" s="49"/>
      <c r="Z108" s="49"/>
      <c r="AA108" s="49"/>
      <c r="AB108" s="49"/>
      <c r="AC108" s="49"/>
      <c r="AD108" s="49"/>
    </row>
    <row r="109" spans="1:30" ht="15" outlineLevel="1" thickBot="1">
      <c r="B109" s="518"/>
      <c r="C109" s="441"/>
      <c r="D109" s="519"/>
      <c r="E109" s="519"/>
      <c r="F109" s="520"/>
      <c r="G109" s="424"/>
      <c r="H109" s="424"/>
      <c r="I109" s="424"/>
      <c r="J109" s="424"/>
      <c r="K109" s="447"/>
      <c r="L109" s="423"/>
      <c r="M109" s="362"/>
      <c r="N109" s="362"/>
      <c r="P109" s="50"/>
      <c r="Q109" s="50"/>
      <c r="R109" s="51"/>
      <c r="S109" s="51"/>
      <c r="T109" s="51"/>
      <c r="U109" s="51"/>
      <c r="V109" s="50"/>
      <c r="W109" s="50"/>
      <c r="X109" s="50"/>
      <c r="Y109" s="50"/>
      <c r="Z109" s="50"/>
      <c r="AA109" s="50"/>
      <c r="AB109" s="50"/>
      <c r="AC109" s="50"/>
      <c r="AD109" s="50"/>
    </row>
    <row r="110" spans="1:30" ht="15" outlineLevel="1" thickBot="1">
      <c r="B110" s="400"/>
      <c r="C110" s="401"/>
      <c r="D110" s="402"/>
      <c r="E110" s="403"/>
      <c r="F110" s="404"/>
      <c r="G110" s="405"/>
      <c r="H110" s="405"/>
      <c r="I110" s="405"/>
      <c r="J110" s="405"/>
      <c r="K110" s="458"/>
      <c r="L110" s="459"/>
      <c r="M110" s="362"/>
      <c r="N110" s="362"/>
      <c r="O110" s="460"/>
      <c r="P110" s="56"/>
      <c r="Q110" s="56"/>
      <c r="R110" s="57"/>
      <c r="S110" s="57"/>
      <c r="T110" s="57"/>
      <c r="U110" s="56"/>
      <c r="V110" s="56"/>
      <c r="W110" s="56"/>
      <c r="X110" s="56"/>
      <c r="Y110" s="56"/>
      <c r="Z110" s="56"/>
      <c r="AA110" s="56"/>
      <c r="AB110" s="56"/>
      <c r="AC110" s="56"/>
      <c r="AD110" s="56"/>
    </row>
    <row r="111" spans="1:30" outlineLevel="1">
      <c r="B111" s="521"/>
      <c r="C111" s="522"/>
      <c r="D111" s="522"/>
      <c r="E111" s="522"/>
      <c r="F111" s="522"/>
      <c r="G111" s="523"/>
      <c r="H111" s="523"/>
      <c r="I111" s="523"/>
      <c r="J111" s="523"/>
      <c r="K111" s="523"/>
      <c r="L111" s="524"/>
      <c r="M111" s="362"/>
      <c r="N111" s="362"/>
      <c r="O111" s="464"/>
      <c r="P111" s="465"/>
      <c r="Q111" s="58"/>
      <c r="R111" s="465"/>
      <c r="S111" s="58"/>
      <c r="T111" s="465"/>
      <c r="U111" s="466"/>
      <c r="V111" s="466"/>
      <c r="W111" s="466"/>
      <c r="X111" s="58"/>
      <c r="Y111" s="58"/>
      <c r="Z111" s="465"/>
      <c r="AA111" s="467"/>
      <c r="AB111" s="467"/>
      <c r="AC111" s="467"/>
      <c r="AD111" s="467"/>
    </row>
    <row r="112" spans="1:30" outlineLevel="1">
      <c r="B112" s="499"/>
      <c r="C112" s="525"/>
      <c r="D112" s="526"/>
      <c r="E112" s="526"/>
      <c r="F112" s="527"/>
      <c r="G112" s="527"/>
      <c r="H112" s="527"/>
      <c r="I112" s="527"/>
      <c r="J112" s="527"/>
      <c r="K112" s="528"/>
      <c r="L112" s="524"/>
      <c r="M112" s="362"/>
      <c r="N112" s="362"/>
      <c r="O112" s="464"/>
      <c r="P112" s="465"/>
      <c r="Q112" s="58"/>
      <c r="R112" s="465"/>
      <c r="S112" s="58"/>
      <c r="T112" s="465"/>
      <c r="U112" s="466"/>
      <c r="V112" s="466"/>
      <c r="W112" s="466"/>
      <c r="X112" s="58"/>
      <c r="Y112" s="58"/>
      <c r="Z112" s="465"/>
      <c r="AA112" s="467"/>
      <c r="AB112" s="467"/>
      <c r="AC112" s="467"/>
      <c r="AD112" s="467"/>
    </row>
    <row r="113" spans="2:30" outlineLevel="1">
      <c r="B113" s="499"/>
      <c r="C113" s="525"/>
      <c r="D113" s="526"/>
      <c r="E113" s="526"/>
      <c r="F113" s="527"/>
      <c r="G113" s="514"/>
      <c r="H113" s="514"/>
      <c r="I113" s="514"/>
      <c r="J113" s="514"/>
      <c r="K113" s="514"/>
      <c r="L113" s="503"/>
      <c r="M113" s="362"/>
      <c r="N113" s="362"/>
      <c r="O113" s="464"/>
      <c r="P113" s="465"/>
      <c r="Q113" s="58"/>
      <c r="R113" s="465"/>
      <c r="S113" s="58"/>
      <c r="T113" s="465"/>
      <c r="U113" s="466"/>
      <c r="V113" s="466"/>
      <c r="W113" s="466"/>
      <c r="X113" s="58"/>
      <c r="Y113" s="58"/>
      <c r="Z113" s="465"/>
      <c r="AA113" s="467"/>
      <c r="AB113" s="467"/>
      <c r="AC113" s="467"/>
      <c r="AD113" s="467"/>
    </row>
    <row r="114" spans="2:30" outlineLevel="1">
      <c r="B114" s="499"/>
      <c r="C114" s="529"/>
      <c r="D114" s="529"/>
      <c r="E114" s="529"/>
      <c r="F114" s="529"/>
      <c r="G114" s="530"/>
      <c r="H114" s="530"/>
      <c r="I114" s="530"/>
      <c r="J114" s="530"/>
      <c r="K114" s="530"/>
      <c r="L114" s="503"/>
      <c r="M114" s="362"/>
      <c r="N114" s="362"/>
      <c r="O114" s="464"/>
      <c r="P114" s="465"/>
      <c r="Q114" s="58"/>
      <c r="R114" s="465"/>
      <c r="S114" s="58"/>
      <c r="T114" s="465"/>
      <c r="U114" s="466"/>
      <c r="V114" s="466"/>
      <c r="W114" s="466"/>
      <c r="X114" s="58"/>
      <c r="Y114" s="58"/>
      <c r="Z114" s="465"/>
      <c r="AA114" s="467"/>
      <c r="AB114" s="467"/>
      <c r="AC114" s="467"/>
      <c r="AD114" s="467"/>
    </row>
    <row r="115" spans="2:30" outlineLevel="1">
      <c r="B115" s="531"/>
      <c r="C115" s="525"/>
      <c r="D115" s="526"/>
      <c r="E115" s="526"/>
      <c r="F115" s="527"/>
      <c r="G115" s="530"/>
      <c r="H115" s="530"/>
      <c r="I115" s="530"/>
      <c r="J115" s="530"/>
      <c r="K115" s="530"/>
      <c r="L115" s="532"/>
      <c r="M115" s="366"/>
      <c r="N115" s="366"/>
    </row>
    <row r="116" spans="2:30" outlineLevel="1">
      <c r="B116" s="531"/>
      <c r="C116" s="525"/>
      <c r="D116" s="526"/>
      <c r="E116" s="526"/>
      <c r="F116" s="527"/>
      <c r="G116" s="530"/>
      <c r="H116" s="530"/>
      <c r="I116" s="530"/>
      <c r="J116" s="530"/>
      <c r="K116" s="530"/>
      <c r="L116" s="532"/>
      <c r="M116" s="362"/>
      <c r="N116" s="362"/>
    </row>
    <row r="117" spans="2:30" ht="15" outlineLevel="1" thickBot="1">
      <c r="B117" s="533"/>
      <c r="C117" s="534"/>
      <c r="D117" s="535"/>
      <c r="E117" s="535"/>
      <c r="F117" s="536"/>
      <c r="G117" s="537"/>
      <c r="H117" s="537"/>
      <c r="I117" s="537"/>
      <c r="J117" s="537"/>
      <c r="K117" s="537"/>
      <c r="L117" s="538"/>
      <c r="M117" s="362"/>
      <c r="N117" s="362"/>
    </row>
    <row r="118" spans="2:30" outlineLevel="1">
      <c r="B118" s="460"/>
      <c r="C118" s="482"/>
      <c r="D118" s="482"/>
      <c r="E118" s="482"/>
      <c r="F118" s="482"/>
      <c r="G118" s="482"/>
      <c r="H118" s="483"/>
      <c r="I118" s="419"/>
      <c r="J118" s="419"/>
      <c r="K118" s="483"/>
      <c r="L118" s="483"/>
      <c r="N118" s="419"/>
    </row>
    <row r="119" spans="2:30" outlineLevel="1">
      <c r="B119" s="484"/>
      <c r="C119" s="485"/>
      <c r="D119" s="485"/>
      <c r="E119" s="485"/>
      <c r="F119" s="485"/>
      <c r="G119" s="485"/>
      <c r="H119" s="483"/>
      <c r="I119" s="71"/>
      <c r="J119" s="419"/>
      <c r="K119" s="483"/>
      <c r="L119" s="483"/>
      <c r="N119" s="419"/>
    </row>
    <row r="120" spans="2:30" outlineLevel="1">
      <c r="B120" s="460"/>
      <c r="C120" s="358"/>
      <c r="D120" s="358"/>
      <c r="E120" s="358"/>
      <c r="F120" s="358"/>
      <c r="G120" s="358"/>
      <c r="I120" s="419"/>
      <c r="J120" s="419"/>
      <c r="N120" s="419"/>
    </row>
    <row r="121" spans="2:30" outlineLevel="1">
      <c r="B121" s="460"/>
      <c r="C121" s="486"/>
      <c r="D121" s="486"/>
      <c r="E121" s="486"/>
      <c r="F121" s="486"/>
      <c r="G121" s="358"/>
      <c r="M121" s="419"/>
      <c r="N121" s="419"/>
    </row>
    <row r="122" spans="2:30" outlineLevel="1"/>
    <row r="123" spans="2:30" outlineLevel="1"/>
    <row r="124" spans="2:30" outlineLevel="1"/>
    <row r="125" spans="2:30" outlineLevel="1"/>
    <row r="126" spans="2:30" outlineLevel="1">
      <c r="B126" s="487"/>
      <c r="C126" s="488"/>
      <c r="D126" s="489"/>
      <c r="E126" s="489"/>
      <c r="F126" s="489"/>
    </row>
    <row r="127" spans="2:30" outlineLevel="1">
      <c r="B127" s="490"/>
      <c r="C127" s="491"/>
      <c r="E127" s="489"/>
      <c r="F127" s="489"/>
    </row>
    <row r="128" spans="2:30" outlineLevel="1">
      <c r="B128" s="490"/>
      <c r="C128" s="492"/>
      <c r="E128" s="489"/>
      <c r="F128" s="489"/>
    </row>
    <row r="129" spans="2:6" outlineLevel="1">
      <c r="B129" s="490"/>
      <c r="C129" s="492"/>
      <c r="E129" s="489"/>
      <c r="F129" s="489"/>
    </row>
    <row r="130" spans="2:6" outlineLevel="1">
      <c r="B130" s="490"/>
      <c r="C130" s="492"/>
      <c r="E130" s="489"/>
      <c r="F130" s="489"/>
    </row>
    <row r="131" spans="2:6" outlineLevel="1">
      <c r="B131" s="357"/>
      <c r="C131" s="493"/>
      <c r="D131" s="489"/>
      <c r="E131" s="489"/>
      <c r="F131" s="489"/>
    </row>
    <row r="132" spans="2:6" outlineLevel="1">
      <c r="B132" s="357"/>
      <c r="C132" s="491"/>
      <c r="D132" s="489"/>
      <c r="E132" s="489"/>
      <c r="F132" s="489"/>
    </row>
    <row r="133" spans="2:6" outlineLevel="1">
      <c r="B133" s="357"/>
      <c r="C133" s="494"/>
      <c r="D133" s="489"/>
      <c r="E133" s="489"/>
      <c r="F133" s="489"/>
    </row>
    <row r="134" spans="2:6" outlineLevel="1">
      <c r="B134" s="357"/>
      <c r="C134" s="494"/>
      <c r="D134" s="489"/>
      <c r="E134" s="489"/>
      <c r="F134" s="489"/>
    </row>
    <row r="135" spans="2:6" outlineLevel="1">
      <c r="B135" s="357"/>
      <c r="C135" s="488"/>
      <c r="D135" s="489"/>
      <c r="E135" s="489"/>
      <c r="F135" s="489"/>
    </row>
    <row r="136" spans="2:6" outlineLevel="1">
      <c r="B136" s="357"/>
      <c r="C136" s="489"/>
      <c r="D136" s="489"/>
      <c r="E136" s="489"/>
      <c r="F136" s="489"/>
    </row>
    <row r="137" spans="2:6" outlineLevel="1">
      <c r="B137" s="487"/>
      <c r="C137" s="488"/>
      <c r="D137" s="489"/>
      <c r="E137" s="489"/>
      <c r="F137" s="489"/>
    </row>
    <row r="138" spans="2:6" outlineLevel="1">
      <c r="B138" s="495"/>
      <c r="C138" s="496"/>
      <c r="E138" s="489"/>
      <c r="F138" s="489"/>
    </row>
    <row r="139" spans="2:6" outlineLevel="1">
      <c r="B139" s="495" t="s">
        <v>59</v>
      </c>
      <c r="C139" s="488" t="s">
        <v>748</v>
      </c>
      <c r="E139" s="489"/>
      <c r="F139" s="489"/>
    </row>
    <row r="140" spans="2:6" outlineLevel="1">
      <c r="B140" s="495" t="s">
        <v>16</v>
      </c>
      <c r="C140" s="488" t="s">
        <v>749</v>
      </c>
      <c r="E140" s="489"/>
      <c r="F140" s="489"/>
    </row>
    <row r="141" spans="2:6" outlineLevel="1">
      <c r="B141" s="495" t="s">
        <v>20</v>
      </c>
      <c r="C141" s="488" t="s">
        <v>750</v>
      </c>
      <c r="E141" s="489"/>
      <c r="F141" s="489"/>
    </row>
    <row r="142" spans="2:6" outlineLevel="1">
      <c r="B142" s="495" t="s">
        <v>76</v>
      </c>
      <c r="C142" s="497" t="s">
        <v>751</v>
      </c>
      <c r="E142" s="489"/>
      <c r="F142" s="489"/>
    </row>
    <row r="143" spans="2:6" outlineLevel="1">
      <c r="B143" s="495" t="s">
        <v>25</v>
      </c>
      <c r="C143" s="488" t="s">
        <v>752</v>
      </c>
      <c r="E143" s="489"/>
      <c r="F143" s="489"/>
    </row>
    <row r="144" spans="2:6" outlineLevel="1"/>
    <row r="145" spans="1:44" outlineLevel="1">
      <c r="M145" s="214"/>
    </row>
    <row r="146" spans="1:44" outlineLevel="1"/>
    <row r="149" spans="1:44">
      <c r="A149" s="359"/>
      <c r="B149" s="1204"/>
      <c r="C149" s="1140"/>
      <c r="D149" s="1140"/>
      <c r="E149" s="1140"/>
      <c r="F149" s="1140"/>
      <c r="G149" s="1140"/>
      <c r="H149" s="1140"/>
      <c r="I149" s="1140"/>
      <c r="J149" s="1140"/>
      <c r="K149" s="1140"/>
      <c r="L149" s="1140"/>
      <c r="M149" s="1140"/>
      <c r="N149" s="360"/>
      <c r="P149" s="1140"/>
      <c r="Q149" s="1140"/>
      <c r="R149" s="1140"/>
      <c r="S149" s="1140"/>
      <c r="T149" s="1140"/>
      <c r="U149" s="1140"/>
    </row>
    <row r="150" spans="1:44" ht="15" outlineLevel="1" thickBot="1">
      <c r="B150" s="1204"/>
      <c r="C150" s="1140"/>
      <c r="D150" s="1140"/>
      <c r="E150" s="1140"/>
      <c r="F150" s="1140"/>
      <c r="G150" s="1140"/>
      <c r="H150" s="1140"/>
      <c r="I150" s="1140"/>
      <c r="J150" s="1140"/>
      <c r="K150" s="1140"/>
      <c r="L150" s="1140"/>
      <c r="M150" s="1140"/>
      <c r="N150" s="360"/>
      <c r="P150" s="1140"/>
      <c r="Q150" s="1140"/>
      <c r="R150" s="1140"/>
      <c r="S150" s="1140"/>
      <c r="T150" s="1140"/>
      <c r="U150" s="1140"/>
    </row>
    <row r="151" spans="1:44" ht="20.55" customHeight="1" outlineLevel="1" thickBot="1">
      <c r="B151" s="361"/>
      <c r="C151" s="1183"/>
      <c r="D151" s="1202"/>
      <c r="E151" s="1202"/>
      <c r="F151" s="1202"/>
      <c r="G151" s="1202"/>
      <c r="H151" s="1202"/>
      <c r="I151" s="1202"/>
      <c r="J151" s="1202"/>
      <c r="K151" s="1202"/>
      <c r="L151" s="1203"/>
      <c r="M151" s="362"/>
      <c r="N151" s="362"/>
      <c r="P151" s="363"/>
      <c r="Q151" s="364"/>
      <c r="R151" s="365"/>
      <c r="S151" s="1173"/>
      <c r="T151" s="1157"/>
      <c r="U151" s="1158"/>
      <c r="V151" s="1157"/>
      <c r="W151" s="1158"/>
      <c r="X151" s="1157"/>
      <c r="Y151" s="1158"/>
      <c r="Z151" s="1157"/>
      <c r="AA151" s="1158"/>
      <c r="AB151" s="1157"/>
      <c r="AC151" s="1158"/>
      <c r="AE151" s="363"/>
      <c r="AF151" s="364"/>
      <c r="AG151" s="365"/>
      <c r="AH151" s="1173"/>
      <c r="AI151" s="1157"/>
      <c r="AJ151" s="1158"/>
      <c r="AK151" s="1157"/>
      <c r="AL151" s="1158"/>
      <c r="AM151" s="1157"/>
      <c r="AN151" s="1158"/>
      <c r="AO151" s="1157"/>
      <c r="AP151" s="1158"/>
      <c r="AQ151" s="1157"/>
      <c r="AR151" s="1158"/>
    </row>
    <row r="152" spans="1:44" ht="15" customHeight="1" outlineLevel="1" thickBot="1">
      <c r="B152" s="1161"/>
      <c r="C152" s="1163"/>
      <c r="D152" s="1163"/>
      <c r="E152" s="1163"/>
      <c r="F152" s="1163"/>
      <c r="G152" s="1218"/>
      <c r="H152" s="1219"/>
      <c r="I152" s="1218"/>
      <c r="J152" s="1219"/>
      <c r="K152" s="1186"/>
      <c r="L152" s="1186"/>
      <c r="M152" s="366"/>
      <c r="N152" s="366"/>
      <c r="P152" s="1177"/>
      <c r="Q152" s="367"/>
      <c r="R152" s="367"/>
      <c r="S152" s="1174"/>
      <c r="T152" s="1159"/>
      <c r="U152" s="1160"/>
      <c r="V152" s="1159"/>
      <c r="W152" s="1160"/>
      <c r="X152" s="1159"/>
      <c r="Y152" s="1160"/>
      <c r="Z152" s="1159"/>
      <c r="AA152" s="1160"/>
      <c r="AB152" s="1159"/>
      <c r="AC152" s="1160"/>
      <c r="AE152" s="1177"/>
      <c r="AF152" s="367"/>
      <c r="AG152" s="367"/>
      <c r="AH152" s="1174"/>
      <c r="AI152" s="1159"/>
      <c r="AJ152" s="1160"/>
      <c r="AK152" s="1159"/>
      <c r="AL152" s="1160"/>
      <c r="AM152" s="1159"/>
      <c r="AN152" s="1160"/>
      <c r="AO152" s="1159"/>
      <c r="AP152" s="1160"/>
      <c r="AQ152" s="1159"/>
      <c r="AR152" s="1160"/>
    </row>
    <row r="153" spans="1:44" ht="15" customHeight="1" outlineLevel="1" thickBot="1">
      <c r="B153" s="1162"/>
      <c r="C153" s="1164"/>
      <c r="D153" s="1164"/>
      <c r="E153" s="1164"/>
      <c r="F153" s="1164"/>
      <c r="G153" s="539"/>
      <c r="H153" s="539"/>
      <c r="I153" s="539"/>
      <c r="J153" s="539"/>
      <c r="K153" s="1187"/>
      <c r="L153" s="1187"/>
      <c r="M153" s="369"/>
      <c r="N153" s="369"/>
      <c r="P153" s="1178"/>
      <c r="Q153" s="1180"/>
      <c r="R153" s="1181"/>
      <c r="S153" s="1175"/>
      <c r="T153" s="1159"/>
      <c r="U153" s="1160"/>
      <c r="V153" s="1159"/>
      <c r="W153" s="1160"/>
      <c r="X153" s="1159"/>
      <c r="Y153" s="1160"/>
      <c r="Z153" s="1159"/>
      <c r="AA153" s="1160"/>
      <c r="AB153" s="1159"/>
      <c r="AC153" s="1160"/>
      <c r="AE153" s="1178"/>
      <c r="AF153" s="1194"/>
      <c r="AG153" s="1181"/>
      <c r="AH153" s="1175"/>
      <c r="AI153" s="1159"/>
      <c r="AJ153" s="1160"/>
      <c r="AK153" s="1159"/>
      <c r="AL153" s="1160"/>
      <c r="AM153" s="1159"/>
      <c r="AN153" s="1160"/>
      <c r="AO153" s="1159"/>
      <c r="AP153" s="1160"/>
      <c r="AQ153" s="1159"/>
      <c r="AR153" s="1160"/>
    </row>
    <row r="154" spans="1:44" ht="15" outlineLevel="1" thickBot="1">
      <c r="B154" s="370"/>
      <c r="C154" s="371"/>
      <c r="D154" s="371"/>
      <c r="E154" s="371"/>
      <c r="F154" s="371"/>
      <c r="G154" s="371"/>
      <c r="H154" s="371"/>
      <c r="I154" s="371"/>
      <c r="J154" s="371"/>
      <c r="K154" s="371"/>
      <c r="L154" s="372"/>
      <c r="M154" s="369"/>
      <c r="N154" s="369"/>
      <c r="O154" s="74"/>
      <c r="P154" s="1179"/>
      <c r="Q154" s="1176"/>
      <c r="R154" s="1182"/>
      <c r="S154" s="1176"/>
      <c r="T154" s="373"/>
      <c r="U154" s="374"/>
      <c r="V154" s="373"/>
      <c r="W154" s="374"/>
      <c r="X154" s="373"/>
      <c r="Y154" s="374"/>
      <c r="Z154" s="373"/>
      <c r="AA154" s="374"/>
      <c r="AB154" s="373"/>
      <c r="AC154" s="374"/>
      <c r="AE154" s="1179"/>
      <c r="AF154" s="1195"/>
      <c r="AG154" s="1182"/>
      <c r="AH154" s="1176"/>
      <c r="AI154" s="373"/>
      <c r="AJ154" s="374"/>
      <c r="AK154" s="373"/>
      <c r="AL154" s="374"/>
      <c r="AM154" s="373"/>
      <c r="AN154" s="374"/>
      <c r="AO154" s="373"/>
      <c r="AP154" s="374"/>
      <c r="AQ154" s="373"/>
      <c r="AR154" s="374"/>
    </row>
    <row r="155" spans="1:44" ht="14.55" customHeight="1" outlineLevel="1">
      <c r="B155" s="540"/>
      <c r="C155" s="541"/>
      <c r="D155" s="541"/>
      <c r="E155" s="542"/>
      <c r="F155" s="541"/>
      <c r="G155" s="541"/>
      <c r="H155" s="541"/>
      <c r="I155" s="541"/>
      <c r="J155" s="541"/>
      <c r="K155" s="371"/>
      <c r="L155" s="372"/>
      <c r="M155" s="369"/>
      <c r="N155" s="369"/>
      <c r="P155" s="1145"/>
      <c r="Q155" s="1151"/>
      <c r="R155" s="380"/>
      <c r="S155" s="381"/>
      <c r="T155" s="1134"/>
      <c r="U155" s="1148"/>
      <c r="V155" s="1134"/>
      <c r="W155" s="1148"/>
      <c r="X155" s="1134"/>
      <c r="Y155" s="1148"/>
      <c r="Z155" s="1134"/>
      <c r="AA155" s="1148"/>
      <c r="AB155" s="1134"/>
      <c r="AC155" s="1148"/>
      <c r="AE155" s="1145"/>
      <c r="AF155" s="1151"/>
      <c r="AG155" s="380"/>
      <c r="AH155" s="381"/>
      <c r="AI155" s="1134"/>
      <c r="AJ155" s="1148"/>
      <c r="AK155" s="1134"/>
      <c r="AL155" s="1148"/>
      <c r="AM155" s="1134"/>
      <c r="AN155" s="1148"/>
      <c r="AO155" s="1134"/>
      <c r="AP155" s="1148"/>
      <c r="AQ155" s="1134"/>
      <c r="AR155" s="1148"/>
    </row>
    <row r="156" spans="1:44" outlineLevel="1">
      <c r="B156" s="382"/>
      <c r="C156" s="383"/>
      <c r="D156" s="383"/>
      <c r="E156" s="383"/>
      <c r="F156" s="383"/>
      <c r="G156" s="504"/>
      <c r="H156" s="504"/>
      <c r="I156" s="504"/>
      <c r="J156" s="504"/>
      <c r="K156" s="371"/>
      <c r="L156" s="372"/>
      <c r="M156" s="369"/>
      <c r="N156" s="369"/>
      <c r="O156" s="71"/>
      <c r="P156" s="1192"/>
      <c r="Q156" s="1152"/>
      <c r="R156" s="387"/>
      <c r="S156" s="388"/>
      <c r="T156" s="1137"/>
      <c r="U156" s="1149"/>
      <c r="V156" s="1137"/>
      <c r="W156" s="1149"/>
      <c r="X156" s="1137"/>
      <c r="Y156" s="1149"/>
      <c r="Z156" s="1137"/>
      <c r="AA156" s="1149"/>
      <c r="AB156" s="1137"/>
      <c r="AC156" s="1149"/>
      <c r="AE156" s="1192"/>
      <c r="AF156" s="1152"/>
      <c r="AG156" s="387"/>
      <c r="AH156" s="388"/>
      <c r="AI156" s="1137"/>
      <c r="AJ156" s="1149"/>
      <c r="AK156" s="1137"/>
      <c r="AL156" s="1149"/>
      <c r="AM156" s="1137"/>
      <c r="AN156" s="1149"/>
      <c r="AO156" s="1137"/>
      <c r="AP156" s="1149"/>
      <c r="AQ156" s="1137"/>
      <c r="AR156" s="1149"/>
    </row>
    <row r="157" spans="1:44" ht="15" outlineLevel="1" thickBot="1">
      <c r="B157" s="540"/>
      <c r="C157" s="543"/>
      <c r="D157" s="544"/>
      <c r="E157" s="544"/>
      <c r="F157" s="545"/>
      <c r="G157" s="544"/>
      <c r="H157" s="544"/>
      <c r="I157" s="544"/>
      <c r="J157" s="544"/>
      <c r="K157" s="546"/>
      <c r="L157" s="547"/>
      <c r="M157" s="369"/>
      <c r="N157" s="369"/>
      <c r="O157" s="71"/>
      <c r="P157" s="1192"/>
      <c r="Q157" s="1153"/>
      <c r="R157" s="392"/>
      <c r="S157" s="393"/>
      <c r="T157" s="1138"/>
      <c r="U157" s="1150"/>
      <c r="V157" s="1138"/>
      <c r="W157" s="1150"/>
      <c r="X157" s="1138"/>
      <c r="Y157" s="1150"/>
      <c r="Z157" s="1138"/>
      <c r="AA157" s="1150"/>
      <c r="AB157" s="1138"/>
      <c r="AC157" s="1150"/>
      <c r="AE157" s="1192"/>
      <c r="AF157" s="1153"/>
      <c r="AG157" s="392"/>
      <c r="AH157" s="393"/>
      <c r="AI157" s="1138"/>
      <c r="AJ157" s="1150"/>
      <c r="AK157" s="1138"/>
      <c r="AL157" s="1150"/>
      <c r="AM157" s="1138"/>
      <c r="AN157" s="1150"/>
      <c r="AO157" s="1138"/>
      <c r="AP157" s="1150"/>
      <c r="AQ157" s="1138"/>
      <c r="AR157" s="1150"/>
    </row>
    <row r="158" spans="1:44" ht="14.55" customHeight="1" outlineLevel="1">
      <c r="B158" s="540"/>
      <c r="C158" s="543"/>
      <c r="D158" s="543"/>
      <c r="E158" s="543"/>
      <c r="F158" s="543"/>
      <c r="G158" s="543"/>
      <c r="H158" s="543"/>
      <c r="I158" s="543"/>
      <c r="J158" s="543"/>
      <c r="K158" s="546"/>
      <c r="L158" s="547"/>
      <c r="M158" s="369"/>
      <c r="N158" s="369"/>
      <c r="O158" s="71"/>
      <c r="P158" s="1192"/>
      <c r="Q158" s="1151"/>
      <c r="R158" s="394"/>
      <c r="S158" s="395"/>
      <c r="T158" s="1134"/>
      <c r="U158" s="1134"/>
      <c r="V158" s="1134"/>
      <c r="W158" s="1134"/>
      <c r="X158" s="1134"/>
      <c r="Y158" s="1134"/>
      <c r="Z158" s="1134"/>
      <c r="AA158" s="1134"/>
      <c r="AB158" s="1134"/>
      <c r="AC158" s="1134"/>
      <c r="AE158" s="1192"/>
      <c r="AF158" s="1151"/>
      <c r="AG158" s="394"/>
      <c r="AH158" s="395"/>
      <c r="AI158" s="1134"/>
      <c r="AJ158" s="1134"/>
      <c r="AK158" s="1134"/>
      <c r="AL158" s="1134"/>
      <c r="AM158" s="1134"/>
      <c r="AN158" s="1134"/>
      <c r="AO158" s="1134"/>
      <c r="AP158" s="1134"/>
      <c r="AQ158" s="1134"/>
      <c r="AR158" s="1134"/>
    </row>
    <row r="159" spans="1:44" outlineLevel="1">
      <c r="B159" s="540"/>
      <c r="C159" s="543"/>
      <c r="D159" s="543"/>
      <c r="E159" s="543"/>
      <c r="F159" s="543"/>
      <c r="G159" s="543"/>
      <c r="H159" s="543"/>
      <c r="I159" s="543"/>
      <c r="J159" s="543"/>
      <c r="K159" s="546"/>
      <c r="L159" s="547"/>
      <c r="M159" s="366"/>
      <c r="N159" s="366"/>
      <c r="O159" s="71"/>
      <c r="P159" s="1192"/>
      <c r="Q159" s="1152"/>
      <c r="R159" s="394"/>
      <c r="S159" s="395"/>
      <c r="T159" s="1135"/>
      <c r="U159" s="1135"/>
      <c r="V159" s="1135"/>
      <c r="W159" s="1135"/>
      <c r="X159" s="1135"/>
      <c r="Y159" s="1135"/>
      <c r="Z159" s="1135"/>
      <c r="AA159" s="1135"/>
      <c r="AB159" s="1135"/>
      <c r="AC159" s="1135"/>
      <c r="AE159" s="1192"/>
      <c r="AF159" s="1152"/>
      <c r="AG159" s="394"/>
      <c r="AH159" s="395"/>
      <c r="AI159" s="1135"/>
      <c r="AJ159" s="1135"/>
      <c r="AK159" s="1135"/>
      <c r="AL159" s="1135"/>
      <c r="AM159" s="1135"/>
      <c r="AN159" s="1135"/>
      <c r="AO159" s="1135"/>
      <c r="AP159" s="1135"/>
      <c r="AQ159" s="1135"/>
      <c r="AR159" s="1135"/>
    </row>
    <row r="160" spans="1:44" outlineLevel="1">
      <c r="B160" s="382"/>
      <c r="C160" s="396"/>
      <c r="D160" s="396"/>
      <c r="E160" s="396"/>
      <c r="F160" s="398"/>
      <c r="G160" s="398"/>
      <c r="H160" s="398"/>
      <c r="I160" s="398"/>
      <c r="J160" s="398"/>
      <c r="K160" s="371"/>
      <c r="L160" s="372"/>
      <c r="M160" s="362"/>
      <c r="N160" s="362"/>
      <c r="P160" s="1192"/>
      <c r="Q160" s="1152"/>
      <c r="R160" s="394"/>
      <c r="S160" s="395"/>
      <c r="T160" s="1135"/>
      <c r="U160" s="1135"/>
      <c r="V160" s="1135"/>
      <c r="W160" s="1135"/>
      <c r="X160" s="1135"/>
      <c r="Y160" s="1135"/>
      <c r="Z160" s="1135"/>
      <c r="AA160" s="1135"/>
      <c r="AB160" s="1135"/>
      <c r="AC160" s="1135"/>
      <c r="AE160" s="1192"/>
      <c r="AF160" s="1152"/>
      <c r="AG160" s="394"/>
      <c r="AH160" s="395"/>
      <c r="AI160" s="1135"/>
      <c r="AJ160" s="1135"/>
      <c r="AK160" s="1135"/>
      <c r="AL160" s="1135"/>
      <c r="AM160" s="1135"/>
      <c r="AN160" s="1135"/>
      <c r="AO160" s="1135"/>
      <c r="AP160" s="1135"/>
      <c r="AQ160" s="1135"/>
      <c r="AR160" s="1135"/>
    </row>
    <row r="161" spans="1:44" ht="15" outlineLevel="1" thickBot="1">
      <c r="B161" s="540"/>
      <c r="C161" s="543"/>
      <c r="D161" s="543"/>
      <c r="E161" s="543"/>
      <c r="F161" s="543"/>
      <c r="G161" s="543"/>
      <c r="H161" s="543"/>
      <c r="I161" s="543"/>
      <c r="J161" s="543"/>
      <c r="K161" s="371"/>
      <c r="L161" s="399"/>
      <c r="M161" s="362"/>
      <c r="N161" s="362"/>
      <c r="P161" s="1192"/>
      <c r="Q161" s="1152"/>
      <c r="R161" s="394"/>
      <c r="S161" s="395"/>
      <c r="T161" s="1135"/>
      <c r="U161" s="1135"/>
      <c r="V161" s="1135"/>
      <c r="W161" s="1135"/>
      <c r="X161" s="1135"/>
      <c r="Y161" s="1135"/>
      <c r="Z161" s="1135"/>
      <c r="AA161" s="1135"/>
      <c r="AB161" s="1135"/>
      <c r="AC161" s="1135"/>
      <c r="AE161" s="1192"/>
      <c r="AF161" s="1152"/>
      <c r="AG161" s="394"/>
      <c r="AH161" s="395"/>
      <c r="AI161" s="1135"/>
      <c r="AJ161" s="1135"/>
      <c r="AK161" s="1135"/>
      <c r="AL161" s="1135"/>
      <c r="AM161" s="1135"/>
      <c r="AN161" s="1135"/>
      <c r="AO161" s="1135"/>
      <c r="AP161" s="1135"/>
      <c r="AQ161" s="1135"/>
      <c r="AR161" s="1135"/>
    </row>
    <row r="162" spans="1:44" ht="15" outlineLevel="1" thickBot="1">
      <c r="B162" s="400"/>
      <c r="C162" s="401"/>
      <c r="D162" s="402"/>
      <c r="E162" s="403"/>
      <c r="F162" s="404"/>
      <c r="G162" s="405"/>
      <c r="H162" s="405"/>
      <c r="I162" s="405"/>
      <c r="J162" s="405"/>
      <c r="K162" s="406"/>
      <c r="L162" s="407"/>
      <c r="M162" s="362"/>
      <c r="N162" s="362"/>
      <c r="P162" s="1192"/>
      <c r="Q162" s="1152"/>
      <c r="R162" s="408"/>
      <c r="S162" s="409"/>
      <c r="T162" s="1136"/>
      <c r="U162" s="1136"/>
      <c r="V162" s="1136"/>
      <c r="W162" s="1136"/>
      <c r="X162" s="1136"/>
      <c r="Y162" s="1136"/>
      <c r="Z162" s="1136"/>
      <c r="AA162" s="1136"/>
      <c r="AB162" s="1136"/>
      <c r="AC162" s="1136"/>
      <c r="AE162" s="1192"/>
      <c r="AF162" s="1152"/>
      <c r="AG162" s="408"/>
      <c r="AH162" s="409"/>
      <c r="AI162" s="1136"/>
      <c r="AJ162" s="1136"/>
      <c r="AK162" s="1136"/>
      <c r="AL162" s="1136"/>
      <c r="AM162" s="1136"/>
      <c r="AN162" s="1136"/>
      <c r="AO162" s="1136"/>
      <c r="AP162" s="1136"/>
      <c r="AQ162" s="1136"/>
      <c r="AR162" s="1136"/>
    </row>
    <row r="163" spans="1:44" ht="15" outlineLevel="1" thickBot="1">
      <c r="B163" s="540"/>
      <c r="C163" s="543"/>
      <c r="D163" s="543"/>
      <c r="E163" s="543"/>
      <c r="F163" s="543"/>
      <c r="G163" s="544"/>
      <c r="H163" s="544"/>
      <c r="I163" s="544"/>
      <c r="J163" s="544"/>
      <c r="K163" s="546"/>
      <c r="L163" s="547"/>
      <c r="M163" s="362"/>
      <c r="N163" s="362"/>
      <c r="P163" s="1193"/>
      <c r="Q163" s="410"/>
      <c r="R163" s="411"/>
      <c r="S163" s="412"/>
      <c r="T163" s="413"/>
      <c r="U163" s="414"/>
      <c r="V163" s="415"/>
      <c r="W163" s="414"/>
      <c r="X163" s="415"/>
      <c r="Y163" s="414"/>
      <c r="Z163" s="415"/>
      <c r="AA163" s="414"/>
      <c r="AB163" s="415"/>
      <c r="AC163" s="416"/>
      <c r="AE163" s="1193"/>
      <c r="AF163" s="410"/>
      <c r="AG163" s="411"/>
      <c r="AH163" s="412"/>
      <c r="AI163" s="413"/>
      <c r="AJ163" s="414"/>
      <c r="AK163" s="415"/>
      <c r="AL163" s="414"/>
      <c r="AM163" s="415"/>
      <c r="AN163" s="414"/>
      <c r="AO163" s="415"/>
      <c r="AP163" s="414"/>
      <c r="AQ163" s="415"/>
      <c r="AR163" s="416"/>
    </row>
    <row r="164" spans="1:44" outlineLevel="1">
      <c r="B164" s="540"/>
      <c r="C164" s="543"/>
      <c r="D164" s="543"/>
      <c r="E164" s="543"/>
      <c r="F164" s="543"/>
      <c r="G164" s="548"/>
      <c r="H164" s="548"/>
      <c r="I164" s="548"/>
      <c r="J164" s="548"/>
      <c r="K164" s="549"/>
      <c r="L164" s="547"/>
      <c r="M164" s="362"/>
      <c r="N164" s="362"/>
    </row>
    <row r="165" spans="1:44" outlineLevel="1">
      <c r="B165" s="540"/>
      <c r="C165" s="543"/>
      <c r="D165" s="543"/>
      <c r="E165" s="543"/>
      <c r="F165" s="543"/>
      <c r="G165" s="548"/>
      <c r="H165" s="548"/>
      <c r="I165" s="548"/>
      <c r="J165" s="548"/>
      <c r="K165" s="549"/>
      <c r="L165" s="547"/>
      <c r="M165" s="419"/>
      <c r="N165" s="362"/>
    </row>
    <row r="166" spans="1:44" outlineLevel="1">
      <c r="B166" s="420"/>
      <c r="C166" s="398"/>
      <c r="D166" s="398"/>
      <c r="E166" s="398"/>
      <c r="F166" s="398"/>
      <c r="G166" s="421"/>
      <c r="H166" s="421"/>
      <c r="I166" s="421"/>
      <c r="J166" s="421"/>
      <c r="K166" s="422"/>
      <c r="L166" s="423"/>
      <c r="M166" s="419"/>
      <c r="N166" s="419"/>
    </row>
    <row r="167" spans="1:44" outlineLevel="1">
      <c r="B167" s="382"/>
      <c r="C167" s="396"/>
      <c r="D167" s="396"/>
      <c r="E167" s="396"/>
      <c r="F167" s="396"/>
      <c r="G167" s="421"/>
      <c r="H167" s="424"/>
      <c r="I167" s="424"/>
      <c r="J167" s="424"/>
      <c r="K167" s="425"/>
      <c r="L167" s="426"/>
      <c r="M167" s="427"/>
      <c r="N167" s="427"/>
    </row>
    <row r="168" spans="1:44" outlineLevel="1">
      <c r="B168" s="382"/>
      <c r="C168" s="396"/>
      <c r="D168" s="396"/>
      <c r="E168" s="396"/>
      <c r="F168" s="396"/>
      <c r="G168" s="424"/>
      <c r="H168" s="424"/>
      <c r="I168" s="424"/>
      <c r="J168" s="424"/>
      <c r="K168" s="422"/>
      <c r="L168" s="426"/>
      <c r="M168" s="427"/>
      <c r="N168" s="427"/>
    </row>
    <row r="169" spans="1:44" outlineLevel="1">
      <c r="B169" s="382"/>
      <c r="C169" s="396"/>
      <c r="D169" s="396"/>
      <c r="E169" s="396"/>
      <c r="F169" s="396"/>
      <c r="G169" s="424"/>
      <c r="H169" s="424"/>
      <c r="I169" s="424"/>
      <c r="J169" s="424"/>
      <c r="K169" s="422"/>
      <c r="L169" s="426"/>
      <c r="M169" s="427"/>
      <c r="N169" s="427"/>
    </row>
    <row r="170" spans="1:44" outlineLevel="1">
      <c r="B170" s="382"/>
      <c r="C170" s="396"/>
      <c r="D170" s="396"/>
      <c r="E170" s="396"/>
      <c r="F170" s="396"/>
      <c r="G170" s="424"/>
      <c r="H170" s="424"/>
      <c r="I170" s="424"/>
      <c r="J170" s="424"/>
      <c r="K170" s="422"/>
      <c r="L170" s="426"/>
      <c r="M170" s="427"/>
      <c r="N170" s="427"/>
    </row>
    <row r="171" spans="1:44" ht="15" outlineLevel="1" thickBot="1">
      <c r="B171" s="428"/>
      <c r="C171" s="429"/>
      <c r="D171" s="429"/>
      <c r="E171" s="429"/>
      <c r="F171" s="429"/>
      <c r="G171" s="424"/>
      <c r="H171" s="424"/>
      <c r="I171" s="424"/>
      <c r="J171" s="424"/>
      <c r="K171" s="422"/>
      <c r="L171" s="426"/>
      <c r="M171" s="427"/>
      <c r="N171" s="427"/>
    </row>
    <row r="172" spans="1:44" ht="15" outlineLevel="1" thickBot="1">
      <c r="B172" s="430"/>
      <c r="C172" s="431"/>
      <c r="D172" s="402"/>
      <c r="E172" s="402"/>
      <c r="F172" s="432"/>
      <c r="G172" s="433"/>
      <c r="H172" s="405"/>
      <c r="I172" s="405"/>
      <c r="J172" s="405"/>
      <c r="K172" s="406"/>
      <c r="L172" s="407"/>
      <c r="M172" s="427"/>
      <c r="N172" s="427"/>
    </row>
    <row r="173" spans="1:44" outlineLevel="1">
      <c r="A173" s="434"/>
      <c r="B173" s="435"/>
      <c r="C173" s="550"/>
      <c r="D173" s="437"/>
      <c r="E173" s="437"/>
      <c r="F173" s="438"/>
      <c r="G173" s="424"/>
      <c r="H173" s="424"/>
      <c r="I173" s="424"/>
      <c r="J173" s="424"/>
      <c r="K173" s="425"/>
      <c r="L173" s="439"/>
      <c r="M173" s="419"/>
      <c r="N173" s="419"/>
    </row>
    <row r="174" spans="1:44" outlineLevel="1">
      <c r="B174" s="440"/>
      <c r="C174" s="441"/>
      <c r="D174" s="442"/>
      <c r="E174" s="442"/>
      <c r="F174" s="442"/>
      <c r="G174" s="424"/>
      <c r="H174" s="424"/>
      <c r="I174" s="424"/>
      <c r="J174" s="424"/>
      <c r="K174" s="443"/>
      <c r="L174" s="372"/>
      <c r="M174" s="71"/>
      <c r="N174" s="419"/>
    </row>
    <row r="175" spans="1:44" outlineLevel="1">
      <c r="B175" s="440"/>
      <c r="C175" s="441"/>
      <c r="D175" s="441"/>
      <c r="E175" s="441"/>
      <c r="F175" s="441"/>
      <c r="G175" s="424"/>
      <c r="H175" s="424"/>
      <c r="I175" s="424"/>
      <c r="J175" s="424"/>
      <c r="K175" s="443"/>
      <c r="L175" s="372"/>
      <c r="M175" s="419"/>
      <c r="N175" s="419"/>
    </row>
    <row r="176" spans="1:44" outlineLevel="1">
      <c r="B176" s="382"/>
      <c r="C176" s="444"/>
      <c r="D176" s="445"/>
      <c r="E176" s="445"/>
      <c r="F176" s="446"/>
      <c r="G176" s="424"/>
      <c r="H176" s="424"/>
      <c r="I176" s="424"/>
      <c r="J176" s="424"/>
      <c r="K176" s="447"/>
      <c r="L176" s="372"/>
      <c r="M176" s="419"/>
      <c r="N176" s="419"/>
    </row>
    <row r="177" spans="2:30" outlineLevel="1">
      <c r="B177" s="382"/>
      <c r="C177" s="448"/>
      <c r="D177" s="448"/>
      <c r="E177" s="448"/>
      <c r="F177" s="448"/>
      <c r="G177" s="424"/>
      <c r="H177" s="424"/>
      <c r="I177" s="424"/>
      <c r="J177" s="424"/>
      <c r="K177" s="447"/>
      <c r="L177" s="372"/>
      <c r="M177" s="449"/>
      <c r="N177" s="360"/>
      <c r="P177" s="1139"/>
      <c r="Q177" s="1140"/>
      <c r="R177" s="1140"/>
      <c r="S177" s="1140"/>
      <c r="T177" s="1140"/>
      <c r="U177" s="1141"/>
    </row>
    <row r="178" spans="2:30" ht="15" outlineLevel="1" thickBot="1">
      <c r="B178" s="540"/>
      <c r="C178" s="551"/>
      <c r="D178" s="551"/>
      <c r="E178" s="551"/>
      <c r="F178" s="551"/>
      <c r="G178" s="552"/>
      <c r="H178" s="552"/>
      <c r="I178" s="552"/>
      <c r="J178" s="552"/>
      <c r="K178" s="546"/>
      <c r="L178" s="547"/>
      <c r="M178" s="449"/>
      <c r="N178" s="360"/>
      <c r="P178" s="1131"/>
      <c r="Q178" s="1132"/>
      <c r="R178" s="1132"/>
      <c r="S178" s="1132"/>
      <c r="T178" s="1132"/>
      <c r="U178" s="1133"/>
    </row>
    <row r="179" spans="2:30" outlineLevel="1">
      <c r="B179" s="540"/>
      <c r="C179" s="553"/>
      <c r="D179" s="553"/>
      <c r="E179" s="553"/>
      <c r="F179" s="553"/>
      <c r="G179" s="552"/>
      <c r="H179" s="552"/>
      <c r="I179" s="552"/>
      <c r="J179" s="552"/>
      <c r="K179" s="554"/>
      <c r="L179" s="547"/>
      <c r="M179" s="362"/>
      <c r="N179" s="362"/>
      <c r="P179" s="53"/>
    </row>
    <row r="180" spans="2:30" outlineLevel="1">
      <c r="B180" s="440"/>
      <c r="C180" s="455"/>
      <c r="D180" s="455"/>
      <c r="E180" s="455"/>
      <c r="F180" s="455"/>
      <c r="G180" s="424"/>
      <c r="H180" s="424"/>
      <c r="I180" s="424"/>
      <c r="J180" s="424"/>
      <c r="K180" s="443"/>
      <c r="L180" s="423"/>
      <c r="M180" s="366"/>
      <c r="N180" s="366"/>
      <c r="P180" s="46"/>
      <c r="Q180" s="46"/>
      <c r="R180" s="47"/>
      <c r="S180" s="47"/>
      <c r="T180" s="47"/>
      <c r="U180" s="48"/>
      <c r="V180" s="49"/>
      <c r="W180" s="49"/>
      <c r="X180" s="49"/>
      <c r="Y180" s="49"/>
      <c r="Z180" s="49"/>
      <c r="AA180" s="49"/>
      <c r="AB180" s="49"/>
      <c r="AC180" s="49"/>
      <c r="AD180" s="49"/>
    </row>
    <row r="181" spans="2:30" ht="15" outlineLevel="1" thickBot="1">
      <c r="B181" s="440"/>
      <c r="C181" s="441"/>
      <c r="D181" s="456"/>
      <c r="E181" s="456"/>
      <c r="F181" s="457"/>
      <c r="G181" s="424"/>
      <c r="H181" s="424"/>
      <c r="I181" s="424"/>
      <c r="J181" s="424"/>
      <c r="K181" s="447"/>
      <c r="L181" s="423"/>
      <c r="M181" s="362"/>
      <c r="N181" s="362"/>
      <c r="P181" s="50"/>
      <c r="Q181" s="50"/>
      <c r="R181" s="51"/>
      <c r="S181" s="51"/>
      <c r="T181" s="51"/>
      <c r="U181" s="51"/>
      <c r="V181" s="50"/>
      <c r="W181" s="50"/>
      <c r="X181" s="50"/>
      <c r="Y181" s="50"/>
      <c r="Z181" s="50"/>
      <c r="AA181" s="50"/>
      <c r="AB181" s="50"/>
      <c r="AC181" s="50"/>
      <c r="AD181" s="50"/>
    </row>
    <row r="182" spans="2:30" ht="15" outlineLevel="1" thickBot="1">
      <c r="B182" s="400"/>
      <c r="C182" s="401"/>
      <c r="D182" s="402"/>
      <c r="E182" s="403"/>
      <c r="F182" s="404"/>
      <c r="G182" s="405"/>
      <c r="H182" s="405"/>
      <c r="I182" s="405"/>
      <c r="J182" s="405"/>
      <c r="K182" s="458"/>
      <c r="L182" s="459"/>
      <c r="M182" s="362"/>
      <c r="N182" s="362"/>
      <c r="O182" s="460"/>
      <c r="P182" s="56"/>
      <c r="Q182" s="56"/>
      <c r="R182" s="57"/>
      <c r="S182" s="57"/>
      <c r="T182" s="57"/>
      <c r="U182" s="56"/>
      <c r="V182" s="56"/>
      <c r="W182" s="56"/>
      <c r="X182" s="56"/>
      <c r="Y182" s="56"/>
      <c r="Z182" s="56"/>
      <c r="AA182" s="56"/>
      <c r="AB182" s="56"/>
      <c r="AC182" s="56"/>
      <c r="AD182" s="56"/>
    </row>
    <row r="183" spans="2:30" outlineLevel="1">
      <c r="B183" s="555"/>
      <c r="C183" s="556"/>
      <c r="D183" s="556"/>
      <c r="E183" s="556"/>
      <c r="F183" s="556"/>
      <c r="G183" s="557"/>
      <c r="H183" s="557"/>
      <c r="I183" s="557"/>
      <c r="J183" s="557"/>
      <c r="K183" s="557"/>
      <c r="L183" s="558"/>
      <c r="M183" s="362"/>
      <c r="N183" s="362"/>
      <c r="O183" s="464"/>
      <c r="P183" s="465"/>
      <c r="Q183" s="58"/>
      <c r="R183" s="465"/>
      <c r="S183" s="58"/>
      <c r="T183" s="465"/>
      <c r="U183" s="466"/>
      <c r="V183" s="466"/>
      <c r="W183" s="466"/>
      <c r="X183" s="58"/>
      <c r="Y183" s="58"/>
      <c r="Z183" s="465"/>
      <c r="AA183" s="467"/>
      <c r="AB183" s="467"/>
      <c r="AC183" s="467"/>
      <c r="AD183" s="467"/>
    </row>
    <row r="184" spans="2:30" outlineLevel="1">
      <c r="B184" s="540"/>
      <c r="C184" s="559"/>
      <c r="D184" s="560"/>
      <c r="E184" s="560"/>
      <c r="F184" s="561"/>
      <c r="G184" s="561"/>
      <c r="H184" s="561"/>
      <c r="I184" s="561"/>
      <c r="J184" s="561"/>
      <c r="K184" s="562"/>
      <c r="L184" s="558"/>
      <c r="M184" s="362"/>
      <c r="N184" s="362"/>
      <c r="O184" s="464"/>
      <c r="P184" s="465"/>
      <c r="Q184" s="58"/>
      <c r="R184" s="465"/>
      <c r="S184" s="58"/>
      <c r="T184" s="465"/>
      <c r="U184" s="466"/>
      <c r="V184" s="466"/>
      <c r="W184" s="466"/>
      <c r="X184" s="58"/>
      <c r="Y184" s="58"/>
      <c r="Z184" s="465"/>
      <c r="AA184" s="467"/>
      <c r="AB184" s="467"/>
      <c r="AC184" s="467"/>
      <c r="AD184" s="467"/>
    </row>
    <row r="185" spans="2:30" outlineLevel="1">
      <c r="B185" s="540"/>
      <c r="C185" s="559"/>
      <c r="D185" s="560"/>
      <c r="E185" s="560"/>
      <c r="F185" s="561"/>
      <c r="G185" s="561"/>
      <c r="H185" s="561"/>
      <c r="I185" s="561"/>
      <c r="J185" s="561"/>
      <c r="K185" s="562"/>
      <c r="L185" s="558"/>
      <c r="M185" s="362"/>
      <c r="N185" s="362"/>
      <c r="O185" s="464"/>
      <c r="P185" s="465"/>
      <c r="Q185" s="58"/>
      <c r="R185" s="465"/>
      <c r="S185" s="58"/>
      <c r="T185" s="465"/>
      <c r="U185" s="466"/>
      <c r="V185" s="466"/>
      <c r="W185" s="466"/>
      <c r="X185" s="58"/>
      <c r="Y185" s="58"/>
      <c r="Z185" s="465"/>
      <c r="AA185" s="467"/>
      <c r="AB185" s="467"/>
      <c r="AC185" s="467"/>
      <c r="AD185" s="467"/>
    </row>
    <row r="186" spans="2:30" outlineLevel="1">
      <c r="B186" s="540"/>
      <c r="C186" s="563"/>
      <c r="D186" s="563"/>
      <c r="E186" s="563"/>
      <c r="F186" s="563"/>
      <c r="G186" s="564"/>
      <c r="H186" s="564"/>
      <c r="I186" s="564"/>
      <c r="J186" s="564"/>
      <c r="K186" s="564"/>
      <c r="L186" s="547"/>
      <c r="M186" s="362"/>
      <c r="N186" s="362"/>
      <c r="O186" s="464"/>
      <c r="P186" s="465"/>
      <c r="Q186" s="58"/>
      <c r="R186" s="465"/>
      <c r="S186" s="58"/>
      <c r="T186" s="465"/>
      <c r="U186" s="466"/>
      <c r="V186" s="466"/>
      <c r="W186" s="466"/>
      <c r="X186" s="58"/>
      <c r="Y186" s="58"/>
      <c r="Z186" s="465"/>
      <c r="AA186" s="467"/>
      <c r="AB186" s="467"/>
      <c r="AC186" s="467"/>
      <c r="AD186" s="467"/>
    </row>
    <row r="187" spans="2:30" outlineLevel="1">
      <c r="B187" s="565"/>
      <c r="C187" s="559"/>
      <c r="D187" s="560"/>
      <c r="E187" s="560"/>
      <c r="F187" s="561"/>
      <c r="G187" s="561"/>
      <c r="H187" s="561"/>
      <c r="I187" s="561"/>
      <c r="J187" s="561"/>
      <c r="K187" s="562"/>
      <c r="L187" s="558"/>
      <c r="M187" s="366"/>
      <c r="N187" s="366"/>
    </row>
    <row r="188" spans="2:30" outlineLevel="1">
      <c r="B188" s="565"/>
      <c r="C188" s="559"/>
      <c r="D188" s="560"/>
      <c r="E188" s="560"/>
      <c r="F188" s="561"/>
      <c r="G188" s="561"/>
      <c r="H188" s="561"/>
      <c r="I188" s="561"/>
      <c r="J188" s="561"/>
      <c r="K188" s="562"/>
      <c r="L188" s="558"/>
      <c r="M188" s="362"/>
      <c r="N188" s="362"/>
    </row>
    <row r="189" spans="2:30" ht="15" outlineLevel="1" thickBot="1">
      <c r="B189" s="566"/>
      <c r="C189" s="567"/>
      <c r="D189" s="567"/>
      <c r="E189" s="567"/>
      <c r="F189" s="567"/>
      <c r="G189" s="567"/>
      <c r="H189" s="567"/>
      <c r="I189" s="567"/>
      <c r="J189" s="567"/>
      <c r="K189" s="567"/>
      <c r="L189" s="568"/>
      <c r="M189" s="362"/>
      <c r="N189" s="362"/>
    </row>
    <row r="190" spans="2:30" outlineLevel="1">
      <c r="B190" s="460"/>
      <c r="C190" s="482"/>
      <c r="D190" s="482"/>
      <c r="E190" s="482"/>
      <c r="F190" s="482"/>
      <c r="G190" s="482"/>
      <c r="H190" s="483"/>
      <c r="I190" s="419"/>
      <c r="J190" s="419"/>
      <c r="K190" s="483"/>
      <c r="L190" s="483"/>
      <c r="N190" s="419"/>
    </row>
    <row r="191" spans="2:30" outlineLevel="1">
      <c r="B191" s="484"/>
      <c r="C191" s="485"/>
      <c r="D191" s="485"/>
      <c r="E191" s="485"/>
      <c r="F191" s="485"/>
      <c r="G191" s="485"/>
      <c r="H191" s="483"/>
      <c r="I191" s="71"/>
      <c r="J191" s="419"/>
      <c r="K191" s="483"/>
      <c r="L191" s="483"/>
      <c r="N191" s="419"/>
    </row>
    <row r="192" spans="2:30" outlineLevel="1">
      <c r="B192" s="460"/>
      <c r="C192" s="358"/>
      <c r="D192" s="358"/>
      <c r="E192" s="358"/>
      <c r="F192" s="358"/>
      <c r="G192" s="358"/>
      <c r="I192" s="419"/>
      <c r="J192" s="419"/>
      <c r="N192" s="419"/>
    </row>
    <row r="193" spans="1:16" outlineLevel="1">
      <c r="B193" s="460"/>
      <c r="C193" s="486"/>
      <c r="D193" s="486"/>
      <c r="E193" s="486"/>
      <c r="F193" s="486"/>
      <c r="G193" s="358"/>
      <c r="M193" s="419"/>
      <c r="N193" s="419"/>
    </row>
    <row r="194" spans="1:16" outlineLevel="1"/>
    <row r="195" spans="1:16" outlineLevel="1">
      <c r="A195" s="487"/>
      <c r="B195" s="488"/>
      <c r="D195" s="489"/>
      <c r="E195" s="489"/>
      <c r="F195" s="489"/>
      <c r="G195" s="357"/>
      <c r="H195" s="357"/>
      <c r="I195" s="357"/>
      <c r="J195" s="357"/>
      <c r="K195" s="357"/>
      <c r="L195" s="357"/>
      <c r="N195" s="569"/>
      <c r="O195" s="488"/>
      <c r="P195" s="489"/>
    </row>
    <row r="196" spans="1:16" outlineLevel="1">
      <c r="A196" s="490"/>
      <c r="B196" s="491"/>
      <c r="D196" s="489"/>
      <c r="E196" s="489"/>
      <c r="F196" s="489"/>
      <c r="G196" s="357"/>
      <c r="H196" s="357"/>
      <c r="I196" s="357"/>
      <c r="J196" s="357"/>
      <c r="K196" s="357"/>
      <c r="L196" s="357"/>
      <c r="N196" s="569"/>
      <c r="O196" s="488"/>
      <c r="P196" s="489"/>
    </row>
    <row r="197" spans="1:16" outlineLevel="1">
      <c r="A197" s="490"/>
      <c r="B197" s="492"/>
      <c r="D197" s="489"/>
      <c r="E197" s="489"/>
      <c r="F197" s="489"/>
      <c r="G197" s="357"/>
      <c r="H197" s="357"/>
      <c r="I197" s="357"/>
      <c r="J197" s="357"/>
      <c r="K197" s="357"/>
      <c r="L197" s="357"/>
      <c r="N197" s="569"/>
      <c r="O197" s="488"/>
      <c r="P197" s="489"/>
    </row>
    <row r="198" spans="1:16" outlineLevel="1">
      <c r="A198" s="490"/>
      <c r="B198" s="492"/>
      <c r="D198" s="489"/>
      <c r="E198" s="489"/>
      <c r="F198" s="489"/>
      <c r="G198" s="357"/>
      <c r="H198" s="357"/>
      <c r="I198" s="357"/>
      <c r="J198" s="357"/>
      <c r="K198" s="357"/>
      <c r="L198" s="357"/>
      <c r="N198" s="569"/>
      <c r="O198" s="488"/>
      <c r="P198" s="489"/>
    </row>
    <row r="199" spans="1:16" outlineLevel="1">
      <c r="A199" s="490"/>
      <c r="B199" s="492"/>
      <c r="D199" s="489"/>
      <c r="E199" s="489"/>
      <c r="F199" s="489"/>
      <c r="G199" s="357"/>
      <c r="H199" s="357"/>
      <c r="I199" s="357"/>
      <c r="J199" s="357"/>
      <c r="K199" s="357"/>
      <c r="L199" s="357"/>
      <c r="N199" s="569"/>
      <c r="O199" s="488"/>
      <c r="P199" s="489"/>
    </row>
    <row r="200" spans="1:16" outlineLevel="1">
      <c r="A200" s="357"/>
      <c r="B200" s="493"/>
      <c r="D200" s="489"/>
      <c r="E200" s="489"/>
      <c r="F200" s="489"/>
      <c r="G200" s="357"/>
      <c r="H200" s="357"/>
      <c r="I200" s="357"/>
      <c r="J200" s="357"/>
      <c r="K200" s="357"/>
      <c r="L200" s="357"/>
    </row>
    <row r="201" spans="1:16" outlineLevel="1">
      <c r="A201" s="357"/>
      <c r="B201" s="491"/>
      <c r="D201" s="489"/>
      <c r="E201" s="489"/>
      <c r="F201" s="489"/>
      <c r="G201" s="357"/>
      <c r="H201" s="357"/>
      <c r="I201" s="357"/>
      <c r="J201" s="357"/>
      <c r="K201" s="357"/>
      <c r="L201" s="357"/>
    </row>
    <row r="202" spans="1:16" outlineLevel="1">
      <c r="A202" s="357"/>
      <c r="B202" s="494"/>
      <c r="D202" s="489"/>
      <c r="E202" s="489"/>
      <c r="F202" s="489"/>
      <c r="G202" s="357"/>
      <c r="H202" s="357"/>
      <c r="I202" s="357"/>
      <c r="J202" s="357"/>
      <c r="K202" s="357"/>
      <c r="L202" s="357"/>
    </row>
    <row r="203" spans="1:16" outlineLevel="1">
      <c r="A203" s="357"/>
      <c r="B203" s="494"/>
      <c r="D203" s="489"/>
      <c r="E203" s="489"/>
      <c r="F203" s="489"/>
      <c r="G203" s="357"/>
      <c r="H203" s="357"/>
      <c r="I203" s="357"/>
      <c r="J203" s="357"/>
      <c r="K203" s="357"/>
      <c r="L203" s="357"/>
    </row>
    <row r="204" spans="1:16" outlineLevel="1">
      <c r="A204" s="357"/>
      <c r="B204" s="488"/>
      <c r="D204" s="489"/>
      <c r="E204" s="489"/>
      <c r="F204" s="489"/>
      <c r="G204" s="357"/>
      <c r="H204" s="357"/>
      <c r="I204" s="357"/>
      <c r="J204" s="357"/>
      <c r="K204" s="357"/>
      <c r="L204" s="357"/>
    </row>
    <row r="205" spans="1:16" outlineLevel="1">
      <c r="A205" s="357"/>
      <c r="B205" s="489"/>
      <c r="D205" s="489"/>
      <c r="E205" s="489"/>
      <c r="F205" s="489"/>
      <c r="G205" s="357"/>
      <c r="H205" s="357"/>
      <c r="I205" s="357"/>
      <c r="J205" s="357"/>
      <c r="K205" s="357"/>
      <c r="L205" s="357"/>
    </row>
    <row r="206" spans="1:16" outlineLevel="1">
      <c r="A206" s="487"/>
      <c r="B206" s="488"/>
      <c r="D206" s="489"/>
      <c r="E206" s="489"/>
      <c r="F206" s="489"/>
      <c r="G206" s="357"/>
      <c r="H206" s="357"/>
      <c r="I206" s="357"/>
      <c r="J206" s="357"/>
      <c r="K206" s="357"/>
      <c r="L206" s="357"/>
    </row>
    <row r="207" spans="1:16" outlineLevel="1">
      <c r="A207" s="495"/>
      <c r="B207" s="496"/>
      <c r="C207" s="489"/>
      <c r="D207" s="489"/>
      <c r="E207" s="489"/>
      <c r="F207" s="489"/>
      <c r="G207" s="357"/>
      <c r="H207" s="357"/>
      <c r="I207" s="357"/>
      <c r="J207" s="357"/>
      <c r="K207" s="357"/>
      <c r="L207" s="357"/>
      <c r="N207" s="569"/>
      <c r="O207" s="488"/>
      <c r="P207" s="489"/>
    </row>
    <row r="208" spans="1:16" outlineLevel="1">
      <c r="A208" s="495"/>
      <c r="B208" s="488"/>
      <c r="C208" s="489"/>
      <c r="D208" s="489"/>
      <c r="E208" s="489"/>
      <c r="F208" s="489"/>
      <c r="G208" s="357"/>
      <c r="H208" s="357"/>
      <c r="I208" s="357"/>
      <c r="J208" s="357"/>
      <c r="K208" s="357"/>
      <c r="L208" s="357"/>
      <c r="N208" s="570"/>
      <c r="O208" s="488"/>
      <c r="P208" s="489"/>
    </row>
    <row r="209" spans="1:44" outlineLevel="1">
      <c r="A209" s="495"/>
      <c r="B209" s="488"/>
      <c r="C209" s="489"/>
      <c r="D209" s="489"/>
      <c r="E209" s="489"/>
      <c r="F209" s="489"/>
      <c r="G209" s="357"/>
      <c r="H209" s="357"/>
      <c r="I209" s="357"/>
      <c r="J209" s="357"/>
      <c r="K209" s="357"/>
      <c r="L209" s="357"/>
      <c r="N209" s="571"/>
      <c r="O209" s="488"/>
      <c r="P209" s="489"/>
    </row>
    <row r="210" spans="1:44" outlineLevel="1">
      <c r="A210" s="495"/>
      <c r="B210" s="488"/>
      <c r="C210" s="489"/>
      <c r="D210" s="489"/>
      <c r="E210" s="489"/>
      <c r="F210" s="489"/>
      <c r="G210" s="357"/>
      <c r="H210" s="357"/>
      <c r="I210" s="357"/>
      <c r="J210" s="357"/>
      <c r="K210" s="357"/>
      <c r="L210" s="357"/>
      <c r="N210" s="572"/>
      <c r="O210" s="488"/>
      <c r="P210" s="489"/>
    </row>
    <row r="211" spans="1:44" outlineLevel="1">
      <c r="A211" s="495"/>
      <c r="B211" s="497"/>
      <c r="C211" s="489"/>
      <c r="D211" s="489"/>
      <c r="E211" s="489"/>
      <c r="F211" s="489"/>
      <c r="G211" s="357"/>
      <c r="H211" s="357"/>
      <c r="I211" s="357"/>
      <c r="J211" s="357"/>
      <c r="K211" s="357"/>
      <c r="L211" s="357"/>
      <c r="N211" s="572"/>
      <c r="O211" s="489"/>
      <c r="P211" s="489"/>
    </row>
    <row r="212" spans="1:44" outlineLevel="1">
      <c r="A212" s="495"/>
      <c r="B212" s="488"/>
      <c r="C212" s="489"/>
      <c r="D212" s="489"/>
      <c r="E212" s="489"/>
      <c r="F212" s="489"/>
      <c r="G212" s="357"/>
      <c r="H212" s="357"/>
      <c r="I212" s="357"/>
      <c r="J212" s="357"/>
      <c r="K212" s="357"/>
      <c r="L212" s="357"/>
      <c r="N212" s="488"/>
      <c r="O212" s="489"/>
      <c r="P212" s="489"/>
    </row>
    <row r="213" spans="1:44" outlineLevel="1">
      <c r="A213" s="495"/>
      <c r="B213" s="488"/>
      <c r="C213" s="489"/>
      <c r="D213" s="489"/>
      <c r="E213" s="489"/>
      <c r="F213" s="489"/>
      <c r="G213" s="357"/>
      <c r="H213" s="357"/>
      <c r="I213" s="357"/>
      <c r="J213" s="357"/>
      <c r="K213" s="357"/>
      <c r="L213" s="357"/>
      <c r="N213" s="489"/>
      <c r="O213" s="489"/>
      <c r="P213" s="489"/>
    </row>
    <row r="214" spans="1:44" outlineLevel="1"/>
    <row r="215" spans="1:44" outlineLevel="1"/>
    <row r="217" spans="1:44" ht="15" thickBot="1">
      <c r="A217" s="359"/>
    </row>
    <row r="218" spans="1:44" ht="20.55" customHeight="1" outlineLevel="1" thickBot="1">
      <c r="B218" s="361"/>
      <c r="C218" s="1183"/>
      <c r="D218" s="1202"/>
      <c r="E218" s="1202"/>
      <c r="F218" s="1202"/>
      <c r="G218" s="1202"/>
      <c r="H218" s="1202"/>
      <c r="I218" s="1202"/>
      <c r="J218" s="1202"/>
      <c r="K218" s="1202"/>
      <c r="L218" s="1203"/>
      <c r="M218" s="362"/>
      <c r="N218" s="362"/>
      <c r="P218" s="363"/>
      <c r="Q218" s="364"/>
      <c r="R218" s="365"/>
      <c r="S218" s="1173"/>
      <c r="T218" s="1157"/>
      <c r="U218" s="1158"/>
      <c r="V218" s="1157"/>
      <c r="W218" s="1158"/>
      <c r="X218" s="1157"/>
      <c r="Y218" s="1158"/>
      <c r="Z218" s="1157"/>
      <c r="AA218" s="1158"/>
      <c r="AB218" s="1157"/>
      <c r="AC218" s="1158"/>
      <c r="AE218" s="363"/>
      <c r="AF218" s="364"/>
      <c r="AG218" s="365"/>
      <c r="AH218" s="1173"/>
      <c r="AI218" s="1157"/>
      <c r="AJ218" s="1158"/>
      <c r="AK218" s="1157"/>
      <c r="AL218" s="1158"/>
      <c r="AM218" s="1157"/>
      <c r="AN218" s="1158"/>
      <c r="AO218" s="1157"/>
      <c r="AP218" s="1158"/>
      <c r="AQ218" s="1157"/>
      <c r="AR218" s="1158"/>
    </row>
    <row r="219" spans="1:44" ht="15" customHeight="1" outlineLevel="1" thickBot="1">
      <c r="B219" s="1161"/>
      <c r="C219" s="1163"/>
      <c r="D219" s="1163"/>
      <c r="E219" s="1163"/>
      <c r="F219" s="1163"/>
      <c r="G219" s="1165"/>
      <c r="H219" s="1166"/>
      <c r="I219" s="1165"/>
      <c r="J219" s="1166"/>
      <c r="K219" s="1186"/>
      <c r="L219" s="1186"/>
      <c r="M219" s="366"/>
      <c r="N219" s="366"/>
      <c r="P219" s="1177"/>
      <c r="Q219" s="367"/>
      <c r="R219" s="367"/>
      <c r="S219" s="1174"/>
      <c r="T219" s="1159"/>
      <c r="U219" s="1160"/>
      <c r="V219" s="1159"/>
      <c r="W219" s="1160"/>
      <c r="X219" s="1159"/>
      <c r="Y219" s="1160"/>
      <c r="Z219" s="1159"/>
      <c r="AA219" s="1160"/>
      <c r="AB219" s="1159"/>
      <c r="AC219" s="1160"/>
      <c r="AE219" s="1177"/>
      <c r="AF219" s="367"/>
      <c r="AG219" s="367"/>
      <c r="AH219" s="1174"/>
      <c r="AI219" s="1159"/>
      <c r="AJ219" s="1160"/>
      <c r="AK219" s="1159"/>
      <c r="AL219" s="1160"/>
      <c r="AM219" s="1159"/>
      <c r="AN219" s="1160"/>
      <c r="AO219" s="1159"/>
      <c r="AP219" s="1160"/>
      <c r="AQ219" s="1159"/>
      <c r="AR219" s="1160"/>
    </row>
    <row r="220" spans="1:44" ht="15" customHeight="1" outlineLevel="1" thickBot="1">
      <c r="B220" s="1162"/>
      <c r="C220" s="1164"/>
      <c r="D220" s="1164"/>
      <c r="E220" s="1164"/>
      <c r="F220" s="1164"/>
      <c r="G220" s="405"/>
      <c r="H220" s="405"/>
      <c r="I220" s="405"/>
      <c r="J220" s="405"/>
      <c r="K220" s="1187"/>
      <c r="L220" s="1187"/>
      <c r="M220" s="369"/>
      <c r="N220" s="369"/>
      <c r="P220" s="1178"/>
      <c r="Q220" s="1180"/>
      <c r="R220" s="1181"/>
      <c r="S220" s="1175"/>
      <c r="T220" s="1159"/>
      <c r="U220" s="1160"/>
      <c r="V220" s="1159"/>
      <c r="W220" s="1160"/>
      <c r="X220" s="1159"/>
      <c r="Y220" s="1160"/>
      <c r="Z220" s="1159"/>
      <c r="AA220" s="1160"/>
      <c r="AB220" s="1159"/>
      <c r="AC220" s="1160"/>
      <c r="AE220" s="1178"/>
      <c r="AF220" s="1194"/>
      <c r="AG220" s="1181"/>
      <c r="AH220" s="1175"/>
      <c r="AI220" s="1159"/>
      <c r="AJ220" s="1160"/>
      <c r="AK220" s="1159"/>
      <c r="AL220" s="1160"/>
      <c r="AM220" s="1159"/>
      <c r="AN220" s="1160"/>
      <c r="AO220" s="1159"/>
      <c r="AP220" s="1160"/>
      <c r="AQ220" s="1159"/>
      <c r="AR220" s="1160"/>
    </row>
    <row r="221" spans="1:44" ht="15" outlineLevel="1" thickBot="1">
      <c r="B221" s="370"/>
      <c r="C221" s="371"/>
      <c r="D221" s="371"/>
      <c r="E221" s="371"/>
      <c r="F221" s="371"/>
      <c r="G221" s="371"/>
      <c r="H221" s="371"/>
      <c r="I221" s="371"/>
      <c r="J221" s="371"/>
      <c r="K221" s="371"/>
      <c r="L221" s="372"/>
      <c r="M221" s="369"/>
      <c r="N221" s="369"/>
      <c r="O221" s="74"/>
      <c r="P221" s="1179"/>
      <c r="Q221" s="1176"/>
      <c r="R221" s="1182"/>
      <c r="S221" s="1176"/>
      <c r="T221" s="373"/>
      <c r="U221" s="374"/>
      <c r="V221" s="373"/>
      <c r="W221" s="374"/>
      <c r="X221" s="373"/>
      <c r="Y221" s="374"/>
      <c r="Z221" s="373"/>
      <c r="AA221" s="374"/>
      <c r="AB221" s="373"/>
      <c r="AC221" s="374"/>
      <c r="AE221" s="1179"/>
      <c r="AF221" s="1195"/>
      <c r="AG221" s="1182"/>
      <c r="AH221" s="1176"/>
      <c r="AI221" s="373"/>
      <c r="AJ221" s="374"/>
      <c r="AK221" s="373"/>
      <c r="AL221" s="374"/>
      <c r="AM221" s="373"/>
      <c r="AN221" s="374"/>
      <c r="AO221" s="373"/>
      <c r="AP221" s="374"/>
      <c r="AQ221" s="373"/>
      <c r="AR221" s="374"/>
    </row>
    <row r="222" spans="1:44" ht="14.55" customHeight="1" outlineLevel="1">
      <c r="B222" s="540"/>
      <c r="C222" s="541"/>
      <c r="D222" s="541"/>
      <c r="E222" s="542"/>
      <c r="F222" s="541"/>
      <c r="G222" s="541"/>
      <c r="H222" s="541"/>
      <c r="I222" s="541"/>
      <c r="J222" s="541"/>
      <c r="K222" s="546"/>
      <c r="L222" s="547"/>
      <c r="M222" s="369"/>
      <c r="N222" s="369"/>
      <c r="P222" s="1145"/>
      <c r="Q222" s="1151"/>
      <c r="R222" s="380"/>
      <c r="S222" s="381"/>
      <c r="T222" s="1134"/>
      <c r="U222" s="1148"/>
      <c r="V222" s="1134"/>
      <c r="W222" s="1148"/>
      <c r="X222" s="1134"/>
      <c r="Y222" s="1148"/>
      <c r="Z222" s="1134"/>
      <c r="AA222" s="1148"/>
      <c r="AB222" s="1134"/>
      <c r="AC222" s="1148"/>
      <c r="AE222" s="1145"/>
      <c r="AF222" s="1151"/>
      <c r="AG222" s="380"/>
      <c r="AH222" s="381"/>
      <c r="AI222" s="1134"/>
      <c r="AJ222" s="1148"/>
      <c r="AK222" s="1134"/>
      <c r="AL222" s="1148"/>
      <c r="AM222" s="1134"/>
      <c r="AN222" s="1148"/>
      <c r="AO222" s="1134"/>
      <c r="AP222" s="1148"/>
      <c r="AQ222" s="1134"/>
      <c r="AR222" s="1148"/>
    </row>
    <row r="223" spans="1:44" outlineLevel="1">
      <c r="B223" s="382"/>
      <c r="C223" s="383"/>
      <c r="D223" s="383"/>
      <c r="E223" s="383"/>
      <c r="F223" s="383"/>
      <c r="G223" s="504"/>
      <c r="H223" s="504"/>
      <c r="I223" s="504"/>
      <c r="J223" s="504"/>
      <c r="K223" s="371"/>
      <c r="L223" s="372"/>
      <c r="M223" s="369"/>
      <c r="N223" s="369"/>
      <c r="O223" s="71"/>
      <c r="P223" s="1192"/>
      <c r="Q223" s="1152"/>
      <c r="R223" s="387"/>
      <c r="S223" s="388"/>
      <c r="T223" s="1137"/>
      <c r="U223" s="1149"/>
      <c r="V223" s="1137"/>
      <c r="W223" s="1149"/>
      <c r="X223" s="1137"/>
      <c r="Y223" s="1149"/>
      <c r="Z223" s="1137"/>
      <c r="AA223" s="1149"/>
      <c r="AB223" s="1137"/>
      <c r="AC223" s="1149"/>
      <c r="AE223" s="1192"/>
      <c r="AF223" s="1152"/>
      <c r="AG223" s="387"/>
      <c r="AH223" s="388"/>
      <c r="AI223" s="1137"/>
      <c r="AJ223" s="1149"/>
      <c r="AK223" s="1137"/>
      <c r="AL223" s="1149"/>
      <c r="AM223" s="1137"/>
      <c r="AN223" s="1149"/>
      <c r="AO223" s="1137"/>
      <c r="AP223" s="1149"/>
      <c r="AQ223" s="1137"/>
      <c r="AR223" s="1149"/>
    </row>
    <row r="224" spans="1:44" ht="15" outlineLevel="1" thickBot="1">
      <c r="B224" s="540"/>
      <c r="C224" s="543"/>
      <c r="D224" s="544"/>
      <c r="E224" s="544"/>
      <c r="F224" s="545"/>
      <c r="G224" s="544"/>
      <c r="H224" s="544"/>
      <c r="I224" s="544"/>
      <c r="J224" s="544"/>
      <c r="K224" s="546"/>
      <c r="L224" s="547"/>
      <c r="M224" s="369"/>
      <c r="N224" s="369"/>
      <c r="O224" s="71"/>
      <c r="P224" s="1192"/>
      <c r="Q224" s="1153"/>
      <c r="R224" s="392"/>
      <c r="S224" s="393"/>
      <c r="T224" s="1138"/>
      <c r="U224" s="1150"/>
      <c r="V224" s="1138"/>
      <c r="W224" s="1150"/>
      <c r="X224" s="1138"/>
      <c r="Y224" s="1150"/>
      <c r="Z224" s="1138"/>
      <c r="AA224" s="1150"/>
      <c r="AB224" s="1138"/>
      <c r="AC224" s="1150"/>
      <c r="AE224" s="1192"/>
      <c r="AF224" s="1153"/>
      <c r="AG224" s="392"/>
      <c r="AH224" s="393"/>
      <c r="AI224" s="1138"/>
      <c r="AJ224" s="1150"/>
      <c r="AK224" s="1138"/>
      <c r="AL224" s="1150"/>
      <c r="AM224" s="1138"/>
      <c r="AN224" s="1150"/>
      <c r="AO224" s="1138"/>
      <c r="AP224" s="1150"/>
      <c r="AQ224" s="1138"/>
      <c r="AR224" s="1150"/>
    </row>
    <row r="225" spans="1:44" ht="14.55" customHeight="1" outlineLevel="1">
      <c r="B225" s="540"/>
      <c r="C225" s="543"/>
      <c r="D225" s="543"/>
      <c r="E225" s="543"/>
      <c r="F225" s="543"/>
      <c r="G225" s="543"/>
      <c r="H225" s="543"/>
      <c r="I225" s="543"/>
      <c r="J225" s="543"/>
      <c r="K225" s="546"/>
      <c r="L225" s="547"/>
      <c r="M225" s="369"/>
      <c r="N225" s="369"/>
      <c r="O225" s="71"/>
      <c r="P225" s="1192"/>
      <c r="Q225" s="1151"/>
      <c r="R225" s="394"/>
      <c r="S225" s="395"/>
      <c r="T225" s="1134"/>
      <c r="U225" s="1134"/>
      <c r="V225" s="1134"/>
      <c r="W225" s="1134"/>
      <c r="X225" s="1134"/>
      <c r="Y225" s="1134"/>
      <c r="Z225" s="1134"/>
      <c r="AA225" s="1134"/>
      <c r="AB225" s="1134"/>
      <c r="AC225" s="1134"/>
      <c r="AE225" s="1192"/>
      <c r="AF225" s="1151"/>
      <c r="AG225" s="394"/>
      <c r="AH225" s="395"/>
      <c r="AI225" s="1134"/>
      <c r="AJ225" s="1134"/>
      <c r="AK225" s="1134"/>
      <c r="AL225" s="1134"/>
      <c r="AM225" s="1134"/>
      <c r="AN225" s="1134"/>
      <c r="AO225" s="1134"/>
      <c r="AP225" s="1134"/>
      <c r="AQ225" s="1134"/>
      <c r="AR225" s="1134"/>
    </row>
    <row r="226" spans="1:44" outlineLevel="1">
      <c r="B226" s="540"/>
      <c r="C226" s="543"/>
      <c r="D226" s="543"/>
      <c r="E226" s="543"/>
      <c r="F226" s="543"/>
      <c r="G226" s="543"/>
      <c r="H226" s="543"/>
      <c r="I226" s="543"/>
      <c r="J226" s="543"/>
      <c r="K226" s="546"/>
      <c r="L226" s="547"/>
      <c r="M226" s="366"/>
      <c r="N226" s="366"/>
      <c r="O226" s="71"/>
      <c r="P226" s="1192"/>
      <c r="Q226" s="1152"/>
      <c r="R226" s="394"/>
      <c r="S226" s="395"/>
      <c r="T226" s="1135"/>
      <c r="U226" s="1135"/>
      <c r="V226" s="1135"/>
      <c r="W226" s="1135"/>
      <c r="X226" s="1135"/>
      <c r="Y226" s="1135"/>
      <c r="Z226" s="1135"/>
      <c r="AA226" s="1135"/>
      <c r="AB226" s="1135"/>
      <c r="AC226" s="1135"/>
      <c r="AE226" s="1192"/>
      <c r="AF226" s="1152"/>
      <c r="AG226" s="394"/>
      <c r="AH226" s="395"/>
      <c r="AI226" s="1135"/>
      <c r="AJ226" s="1135"/>
      <c r="AK226" s="1135"/>
      <c r="AL226" s="1135"/>
      <c r="AM226" s="1135"/>
      <c r="AN226" s="1135"/>
      <c r="AO226" s="1135"/>
      <c r="AP226" s="1135"/>
      <c r="AQ226" s="1135"/>
      <c r="AR226" s="1135"/>
    </row>
    <row r="227" spans="1:44" outlineLevel="1">
      <c r="B227" s="382"/>
      <c r="C227" s="396"/>
      <c r="D227" s="396"/>
      <c r="E227" s="396"/>
      <c r="F227" s="396"/>
      <c r="G227" s="398"/>
      <c r="H227" s="398"/>
      <c r="I227" s="398"/>
      <c r="J227" s="398"/>
      <c r="K227" s="371"/>
      <c r="L227" s="372"/>
      <c r="M227" s="362"/>
      <c r="N227" s="362"/>
      <c r="P227" s="1192"/>
      <c r="Q227" s="1152"/>
      <c r="R227" s="394"/>
      <c r="S227" s="395"/>
      <c r="T227" s="1135"/>
      <c r="U227" s="1135"/>
      <c r="V227" s="1135"/>
      <c r="W227" s="1135"/>
      <c r="X227" s="1135"/>
      <c r="Y227" s="1135"/>
      <c r="Z227" s="1135"/>
      <c r="AA227" s="1135"/>
      <c r="AB227" s="1135"/>
      <c r="AC227" s="1135"/>
      <c r="AE227" s="1192"/>
      <c r="AF227" s="1152"/>
      <c r="AG227" s="394"/>
      <c r="AH227" s="395"/>
      <c r="AI227" s="1135"/>
      <c r="AJ227" s="1135"/>
      <c r="AK227" s="1135"/>
      <c r="AL227" s="1135"/>
      <c r="AM227" s="1135"/>
      <c r="AN227" s="1135"/>
      <c r="AO227" s="1135"/>
      <c r="AP227" s="1135"/>
      <c r="AQ227" s="1135"/>
      <c r="AR227" s="1135"/>
    </row>
    <row r="228" spans="1:44" ht="15" outlineLevel="1" thickBot="1">
      <c r="B228" s="540"/>
      <c r="C228" s="543"/>
      <c r="D228" s="543"/>
      <c r="E228" s="543"/>
      <c r="F228" s="543"/>
      <c r="G228" s="543"/>
      <c r="H228" s="543"/>
      <c r="I228" s="543"/>
      <c r="J228" s="543"/>
      <c r="K228" s="546"/>
      <c r="L228" s="558"/>
      <c r="M228" s="362"/>
      <c r="N228" s="362"/>
      <c r="P228" s="1192"/>
      <c r="Q228" s="1152"/>
      <c r="R228" s="394"/>
      <c r="S228" s="395"/>
      <c r="T228" s="1135"/>
      <c r="U228" s="1135"/>
      <c r="V228" s="1135"/>
      <c r="W228" s="1135"/>
      <c r="X228" s="1135"/>
      <c r="Y228" s="1135"/>
      <c r="Z228" s="1135"/>
      <c r="AA228" s="1135"/>
      <c r="AB228" s="1135"/>
      <c r="AC228" s="1135"/>
      <c r="AE228" s="1192"/>
      <c r="AF228" s="1152"/>
      <c r="AG228" s="394"/>
      <c r="AH228" s="395"/>
      <c r="AI228" s="1135"/>
      <c r="AJ228" s="1135"/>
      <c r="AK228" s="1135"/>
      <c r="AL228" s="1135"/>
      <c r="AM228" s="1135"/>
      <c r="AN228" s="1135"/>
      <c r="AO228" s="1135"/>
      <c r="AP228" s="1135"/>
      <c r="AQ228" s="1135"/>
      <c r="AR228" s="1135"/>
    </row>
    <row r="229" spans="1:44" ht="15" outlineLevel="1" thickBot="1">
      <c r="B229" s="400"/>
      <c r="C229" s="401"/>
      <c r="D229" s="402"/>
      <c r="E229" s="403"/>
      <c r="F229" s="404"/>
      <c r="G229" s="405"/>
      <c r="H229" s="405"/>
      <c r="I229" s="405"/>
      <c r="J229" s="405"/>
      <c r="K229" s="406"/>
      <c r="L229" s="407"/>
      <c r="M229" s="362"/>
      <c r="N229" s="362"/>
      <c r="P229" s="1192"/>
      <c r="Q229" s="1152"/>
      <c r="R229" s="408"/>
      <c r="S229" s="409"/>
      <c r="T229" s="1136"/>
      <c r="U229" s="1136"/>
      <c r="V229" s="1136"/>
      <c r="W229" s="1136"/>
      <c r="X229" s="1136"/>
      <c r="Y229" s="1136"/>
      <c r="Z229" s="1136"/>
      <c r="AA229" s="1136"/>
      <c r="AB229" s="1136"/>
      <c r="AC229" s="1136"/>
      <c r="AE229" s="1192"/>
      <c r="AF229" s="1152"/>
      <c r="AG229" s="408"/>
      <c r="AH229" s="409"/>
      <c r="AI229" s="1136"/>
      <c r="AJ229" s="1136"/>
      <c r="AK229" s="1136"/>
      <c r="AL229" s="1136"/>
      <c r="AM229" s="1136"/>
      <c r="AN229" s="1136"/>
      <c r="AO229" s="1136"/>
      <c r="AP229" s="1136"/>
      <c r="AQ229" s="1136"/>
      <c r="AR229" s="1136"/>
    </row>
    <row r="230" spans="1:44" ht="15" outlineLevel="1" thickBot="1">
      <c r="B230" s="540"/>
      <c r="C230" s="543"/>
      <c r="D230" s="543"/>
      <c r="E230" s="543"/>
      <c r="F230" s="543"/>
      <c r="G230" s="544"/>
      <c r="H230" s="544"/>
      <c r="I230" s="544"/>
      <c r="J230" s="544"/>
      <c r="K230" s="546"/>
      <c r="L230" s="547"/>
      <c r="M230" s="362"/>
      <c r="N230" s="362"/>
      <c r="P230" s="1193"/>
      <c r="Q230" s="410"/>
      <c r="R230" s="411"/>
      <c r="S230" s="412"/>
      <c r="T230" s="413"/>
      <c r="U230" s="414"/>
      <c r="V230" s="413"/>
      <c r="W230" s="414"/>
      <c r="X230" s="413"/>
      <c r="Y230" s="414"/>
      <c r="Z230" s="413"/>
      <c r="AA230" s="414"/>
      <c r="AB230" s="413"/>
      <c r="AC230" s="416"/>
      <c r="AE230" s="1193"/>
      <c r="AF230" s="410"/>
      <c r="AG230" s="411"/>
      <c r="AH230" s="412"/>
      <c r="AI230" s="413"/>
      <c r="AJ230" s="414"/>
      <c r="AK230" s="413"/>
      <c r="AL230" s="414"/>
      <c r="AM230" s="413"/>
      <c r="AN230" s="414"/>
      <c r="AO230" s="413"/>
      <c r="AP230" s="414"/>
      <c r="AQ230" s="413"/>
      <c r="AR230" s="416"/>
    </row>
    <row r="231" spans="1:44" outlineLevel="1">
      <c r="B231" s="540"/>
      <c r="C231" s="543"/>
      <c r="D231" s="543"/>
      <c r="E231" s="543"/>
      <c r="F231" s="543"/>
      <c r="G231" s="548"/>
      <c r="H231" s="548"/>
      <c r="I231" s="548"/>
      <c r="J231" s="548"/>
      <c r="K231" s="549"/>
      <c r="L231" s="547"/>
      <c r="M231" s="362"/>
      <c r="N231" s="362"/>
    </row>
    <row r="232" spans="1:44" outlineLevel="1">
      <c r="B232" s="540"/>
      <c r="C232" s="543"/>
      <c r="D232" s="543"/>
      <c r="E232" s="543"/>
      <c r="F232" s="543"/>
      <c r="G232" s="548"/>
      <c r="H232" s="548"/>
      <c r="I232" s="548"/>
      <c r="J232" s="548"/>
      <c r="K232" s="549"/>
      <c r="L232" s="547"/>
      <c r="M232" s="419"/>
      <c r="N232" s="362"/>
    </row>
    <row r="233" spans="1:44" outlineLevel="1">
      <c r="B233" s="420"/>
      <c r="C233" s="398"/>
      <c r="D233" s="398"/>
      <c r="E233" s="398"/>
      <c r="F233" s="398"/>
      <c r="G233" s="421"/>
      <c r="H233" s="421"/>
      <c r="I233" s="421"/>
      <c r="J233" s="421"/>
      <c r="K233" s="422"/>
      <c r="L233" s="423"/>
      <c r="M233" s="419"/>
      <c r="N233" s="419"/>
    </row>
    <row r="234" spans="1:44" outlineLevel="1">
      <c r="B234" s="382"/>
      <c r="C234" s="396"/>
      <c r="D234" s="396"/>
      <c r="E234" s="396"/>
      <c r="F234" s="396"/>
      <c r="G234" s="421"/>
      <c r="H234" s="424"/>
      <c r="I234" s="424"/>
      <c r="J234" s="424"/>
      <c r="K234" s="425"/>
      <c r="L234" s="426"/>
      <c r="M234" s="427"/>
      <c r="N234" s="427"/>
    </row>
    <row r="235" spans="1:44" outlineLevel="1">
      <c r="B235" s="382"/>
      <c r="C235" s="396"/>
      <c r="D235" s="396"/>
      <c r="E235" s="396"/>
      <c r="F235" s="396"/>
      <c r="G235" s="424"/>
      <c r="H235" s="424"/>
      <c r="I235" s="424"/>
      <c r="J235" s="424"/>
      <c r="K235" s="422"/>
      <c r="L235" s="426"/>
      <c r="M235" s="427"/>
      <c r="N235" s="427"/>
    </row>
    <row r="236" spans="1:44" outlineLevel="1">
      <c r="B236" s="382"/>
      <c r="C236" s="396"/>
      <c r="D236" s="396"/>
      <c r="E236" s="396"/>
      <c r="F236" s="396"/>
      <c r="G236" s="424"/>
      <c r="H236" s="424"/>
      <c r="I236" s="424"/>
      <c r="J236" s="424"/>
      <c r="K236" s="422"/>
      <c r="L236" s="426"/>
      <c r="M236" s="427"/>
      <c r="N236" s="427"/>
    </row>
    <row r="237" spans="1:44" outlineLevel="1">
      <c r="B237" s="382"/>
      <c r="C237" s="396"/>
      <c r="D237" s="396"/>
      <c r="E237" s="396"/>
      <c r="F237" s="396"/>
      <c r="G237" s="424"/>
      <c r="H237" s="424"/>
      <c r="I237" s="424"/>
      <c r="J237" s="424"/>
      <c r="K237" s="422"/>
      <c r="L237" s="426"/>
      <c r="M237" s="427"/>
      <c r="N237" s="427"/>
    </row>
    <row r="238" spans="1:44" ht="15" outlineLevel="1" thickBot="1">
      <c r="B238" s="428"/>
      <c r="C238" s="429"/>
      <c r="D238" s="429"/>
      <c r="E238" s="429"/>
      <c r="F238" s="429"/>
      <c r="G238" s="424"/>
      <c r="H238" s="424"/>
      <c r="I238" s="424"/>
      <c r="J238" s="424"/>
      <c r="K238" s="422"/>
      <c r="L238" s="426"/>
      <c r="M238" s="427"/>
      <c r="N238" s="427"/>
    </row>
    <row r="239" spans="1:44" ht="15" outlineLevel="1" thickBot="1">
      <c r="B239" s="430"/>
      <c r="C239" s="431"/>
      <c r="D239" s="402"/>
      <c r="E239" s="402"/>
      <c r="F239" s="432"/>
      <c r="G239" s="433"/>
      <c r="H239" s="405"/>
      <c r="I239" s="405"/>
      <c r="J239" s="405"/>
      <c r="K239" s="406"/>
      <c r="L239" s="407"/>
      <c r="M239" s="427"/>
      <c r="N239" s="427"/>
    </row>
    <row r="240" spans="1:44" outlineLevel="1">
      <c r="A240" s="434"/>
      <c r="B240" s="435"/>
      <c r="C240" s="550"/>
      <c r="D240" s="511"/>
      <c r="E240" s="511"/>
      <c r="F240" s="512"/>
      <c r="G240" s="424"/>
      <c r="H240" s="424"/>
      <c r="I240" s="424"/>
      <c r="J240" s="424"/>
      <c r="K240" s="425"/>
      <c r="L240" s="439"/>
      <c r="M240" s="419"/>
      <c r="N240" s="419"/>
    </row>
    <row r="241" spans="2:30" outlineLevel="1">
      <c r="B241" s="440"/>
      <c r="C241" s="442"/>
      <c r="D241" s="441"/>
      <c r="E241" s="441"/>
      <c r="F241" s="441"/>
      <c r="G241" s="424"/>
      <c r="H241" s="424"/>
      <c r="I241" s="424"/>
      <c r="J241" s="424"/>
      <c r="K241" s="443"/>
      <c r="L241" s="372"/>
      <c r="M241" s="71"/>
      <c r="N241" s="419"/>
    </row>
    <row r="242" spans="2:30" outlineLevel="1">
      <c r="B242" s="440"/>
      <c r="C242" s="442"/>
      <c r="D242" s="442"/>
      <c r="E242" s="442"/>
      <c r="F242" s="442"/>
      <c r="G242" s="424"/>
      <c r="H242" s="424"/>
      <c r="I242" s="424"/>
      <c r="J242" s="424"/>
      <c r="K242" s="443"/>
      <c r="L242" s="372"/>
      <c r="M242" s="419"/>
      <c r="N242" s="419"/>
    </row>
    <row r="243" spans="2:30" outlineLevel="1">
      <c r="B243" s="382"/>
      <c r="C243" s="444"/>
      <c r="D243" s="445"/>
      <c r="E243" s="445"/>
      <c r="F243" s="446"/>
      <c r="G243" s="424"/>
      <c r="H243" s="424"/>
      <c r="I243" s="424"/>
      <c r="J243" s="424"/>
      <c r="K243" s="447"/>
      <c r="L243" s="372"/>
      <c r="M243" s="419"/>
      <c r="N243" s="419"/>
    </row>
    <row r="244" spans="2:30" outlineLevel="1">
      <c r="B244" s="382"/>
      <c r="C244" s="448"/>
      <c r="D244" s="448"/>
      <c r="E244" s="448"/>
      <c r="F244" s="448"/>
      <c r="G244" s="424"/>
      <c r="H244" s="424"/>
      <c r="I244" s="424"/>
      <c r="J244" s="424"/>
      <c r="K244" s="447"/>
      <c r="L244" s="372"/>
      <c r="M244" s="449"/>
      <c r="N244" s="360"/>
      <c r="P244" s="1139"/>
      <c r="Q244" s="1140"/>
      <c r="R244" s="1140"/>
      <c r="S244" s="1140"/>
      <c r="T244" s="1140"/>
      <c r="U244" s="1141"/>
    </row>
    <row r="245" spans="2:30" ht="15" outlineLevel="1" thickBot="1">
      <c r="B245" s="540"/>
      <c r="C245" s="551"/>
      <c r="D245" s="551"/>
      <c r="E245" s="551"/>
      <c r="F245" s="551"/>
      <c r="G245" s="424"/>
      <c r="H245" s="424"/>
      <c r="I245" s="424"/>
      <c r="J245" s="424"/>
      <c r="K245" s="443"/>
      <c r="L245" s="372"/>
      <c r="M245" s="449"/>
      <c r="N245" s="360"/>
      <c r="P245" s="1131"/>
      <c r="Q245" s="1132"/>
      <c r="R245" s="1132"/>
      <c r="S245" s="1132"/>
      <c r="T245" s="1132"/>
      <c r="U245" s="1133"/>
    </row>
    <row r="246" spans="2:30" outlineLevel="1">
      <c r="B246" s="540"/>
      <c r="C246" s="553"/>
      <c r="D246" s="553"/>
      <c r="E246" s="553"/>
      <c r="F246" s="553"/>
      <c r="G246" s="424"/>
      <c r="H246" s="424"/>
      <c r="I246" s="424"/>
      <c r="J246" s="424"/>
      <c r="K246" s="447"/>
      <c r="L246" s="372"/>
      <c r="M246" s="362"/>
      <c r="N246" s="362"/>
      <c r="P246" s="53"/>
    </row>
    <row r="247" spans="2:30" outlineLevel="1">
      <c r="B247" s="440"/>
      <c r="C247" s="517"/>
      <c r="D247" s="517"/>
      <c r="E247" s="517"/>
      <c r="F247" s="517"/>
      <c r="G247" s="424"/>
      <c r="H247" s="424"/>
      <c r="I247" s="424"/>
      <c r="J247" s="424"/>
      <c r="K247" s="443"/>
      <c r="L247" s="423"/>
      <c r="M247" s="366"/>
      <c r="N247" s="366"/>
      <c r="P247" s="46"/>
      <c r="Q247" s="46"/>
      <c r="R247" s="47"/>
      <c r="S247" s="47"/>
      <c r="T247" s="47"/>
      <c r="U247" s="48"/>
      <c r="V247" s="49"/>
      <c r="W247" s="49"/>
      <c r="X247" s="49"/>
      <c r="Y247" s="49"/>
      <c r="Z247" s="49"/>
      <c r="AA247" s="49"/>
      <c r="AB247" s="49"/>
      <c r="AC247" s="49"/>
      <c r="AD247" s="49"/>
    </row>
    <row r="248" spans="2:30" ht="15" outlineLevel="1" thickBot="1">
      <c r="B248" s="518"/>
      <c r="C248" s="441"/>
      <c r="D248" s="519"/>
      <c r="E248" s="519"/>
      <c r="F248" s="520"/>
      <c r="G248" s="424"/>
      <c r="H248" s="424"/>
      <c r="I248" s="424"/>
      <c r="J248" s="424"/>
      <c r="K248" s="447"/>
      <c r="L248" s="423"/>
      <c r="M248" s="362"/>
      <c r="N248" s="362"/>
      <c r="P248" s="50"/>
      <c r="Q248" s="50"/>
      <c r="R248" s="51"/>
      <c r="S248" s="51"/>
      <c r="T248" s="51"/>
      <c r="U248" s="51"/>
      <c r="V248" s="50"/>
      <c r="W248" s="50"/>
      <c r="X248" s="50"/>
      <c r="Y248" s="50"/>
      <c r="Z248" s="50"/>
      <c r="AA248" s="50"/>
      <c r="AB248" s="50"/>
      <c r="AC248" s="50"/>
      <c r="AD248" s="50"/>
    </row>
    <row r="249" spans="2:30" ht="15" outlineLevel="1" thickBot="1">
      <c r="B249" s="400"/>
      <c r="C249" s="401"/>
      <c r="D249" s="402"/>
      <c r="E249" s="403"/>
      <c r="F249" s="404"/>
      <c r="G249" s="405"/>
      <c r="H249" s="405"/>
      <c r="I249" s="405"/>
      <c r="J249" s="405"/>
      <c r="K249" s="458"/>
      <c r="L249" s="459"/>
      <c r="M249" s="362"/>
      <c r="N249" s="362"/>
      <c r="O249" s="460"/>
      <c r="P249" s="56"/>
      <c r="Q249" s="56"/>
      <c r="R249" s="57"/>
      <c r="S249" s="57"/>
      <c r="T249" s="57"/>
      <c r="U249" s="56"/>
      <c r="V249" s="56"/>
      <c r="W249" s="56"/>
      <c r="X249" s="56"/>
      <c r="Y249" s="56"/>
      <c r="Z249" s="56"/>
      <c r="AA249" s="56"/>
      <c r="AB249" s="56"/>
      <c r="AC249" s="56"/>
      <c r="AD249" s="56"/>
    </row>
    <row r="250" spans="2:30" outlineLevel="1">
      <c r="B250" s="555"/>
      <c r="C250" s="556"/>
      <c r="D250" s="556"/>
      <c r="E250" s="556"/>
      <c r="F250" s="556"/>
      <c r="G250" s="557"/>
      <c r="H250" s="557"/>
      <c r="I250" s="557"/>
      <c r="J250" s="557"/>
      <c r="K250" s="557"/>
      <c r="L250" s="558"/>
      <c r="M250" s="362"/>
      <c r="N250" s="362"/>
      <c r="O250" s="464"/>
      <c r="P250" s="465"/>
      <c r="Q250" s="58"/>
      <c r="R250" s="465"/>
      <c r="S250" s="58"/>
      <c r="T250" s="465"/>
      <c r="U250" s="466"/>
      <c r="V250" s="466"/>
      <c r="W250" s="466"/>
      <c r="X250" s="58"/>
      <c r="Y250" s="58"/>
      <c r="Z250" s="465"/>
      <c r="AA250" s="467"/>
      <c r="AB250" s="467"/>
      <c r="AC250" s="467"/>
      <c r="AD250" s="467"/>
    </row>
    <row r="251" spans="2:30" outlineLevel="1">
      <c r="B251" s="540"/>
      <c r="C251" s="559"/>
      <c r="D251" s="560"/>
      <c r="E251" s="560"/>
      <c r="F251" s="561"/>
      <c r="G251" s="561"/>
      <c r="H251" s="561"/>
      <c r="I251" s="561"/>
      <c r="J251" s="561"/>
      <c r="K251" s="562"/>
      <c r="L251" s="558"/>
      <c r="M251" s="362"/>
      <c r="N251" s="362"/>
      <c r="O251" s="464"/>
      <c r="P251" s="465"/>
      <c r="Q251" s="58"/>
      <c r="R251" s="465"/>
      <c r="S251" s="58"/>
      <c r="T251" s="465"/>
      <c r="U251" s="466"/>
      <c r="V251" s="466"/>
      <c r="W251" s="466"/>
      <c r="X251" s="58"/>
      <c r="Y251" s="58"/>
      <c r="Z251" s="465"/>
      <c r="AA251" s="467"/>
      <c r="AB251" s="467"/>
      <c r="AC251" s="467"/>
      <c r="AD251" s="467"/>
    </row>
    <row r="252" spans="2:30" outlineLevel="1">
      <c r="B252" s="540"/>
      <c r="C252" s="559"/>
      <c r="D252" s="560"/>
      <c r="E252" s="560"/>
      <c r="F252" s="561"/>
      <c r="G252" s="561"/>
      <c r="H252" s="561"/>
      <c r="I252" s="561"/>
      <c r="J252" s="561"/>
      <c r="K252" s="562"/>
      <c r="L252" s="558"/>
      <c r="M252" s="362"/>
      <c r="N252" s="362"/>
      <c r="O252" s="464"/>
      <c r="P252" s="465"/>
      <c r="Q252" s="58"/>
      <c r="R252" s="465"/>
      <c r="S252" s="58"/>
      <c r="T252" s="465"/>
      <c r="U252" s="466"/>
      <c r="V252" s="466"/>
      <c r="W252" s="466"/>
      <c r="X252" s="58"/>
      <c r="Y252" s="58"/>
      <c r="Z252" s="465"/>
      <c r="AA252" s="467"/>
      <c r="AB252" s="467"/>
      <c r="AC252" s="467"/>
      <c r="AD252" s="467"/>
    </row>
    <row r="253" spans="2:30" outlineLevel="1">
      <c r="B253" s="540"/>
      <c r="C253" s="563"/>
      <c r="D253" s="563"/>
      <c r="E253" s="563"/>
      <c r="F253" s="563"/>
      <c r="G253" s="564"/>
      <c r="H253" s="564"/>
      <c r="I253" s="564"/>
      <c r="J253" s="564"/>
      <c r="K253" s="564"/>
      <c r="L253" s="547"/>
      <c r="M253" s="362"/>
      <c r="N253" s="362"/>
      <c r="O253" s="464"/>
      <c r="P253" s="465"/>
      <c r="Q253" s="58"/>
      <c r="R253" s="465"/>
      <c r="S253" s="58"/>
      <c r="T253" s="465"/>
      <c r="U253" s="466"/>
      <c r="V253" s="466"/>
      <c r="W253" s="466"/>
      <c r="X253" s="58"/>
      <c r="Y253" s="58"/>
      <c r="Z253" s="465"/>
      <c r="AA253" s="467"/>
      <c r="AB253" s="467"/>
      <c r="AC253" s="467"/>
      <c r="AD253" s="467"/>
    </row>
    <row r="254" spans="2:30" outlineLevel="1">
      <c r="B254" s="565"/>
      <c r="C254" s="559"/>
      <c r="D254" s="560"/>
      <c r="E254" s="560"/>
      <c r="F254" s="561"/>
      <c r="G254" s="561"/>
      <c r="H254" s="561"/>
      <c r="I254" s="561"/>
      <c r="J254" s="561"/>
      <c r="K254" s="562"/>
      <c r="L254" s="558"/>
      <c r="M254" s="366"/>
      <c r="N254" s="366"/>
    </row>
    <row r="255" spans="2:30" outlineLevel="1">
      <c r="B255" s="565"/>
      <c r="C255" s="559"/>
      <c r="D255" s="560"/>
      <c r="E255" s="560"/>
      <c r="F255" s="561"/>
      <c r="G255" s="561"/>
      <c r="H255" s="561"/>
      <c r="I255" s="561"/>
      <c r="J255" s="561"/>
      <c r="K255" s="562"/>
      <c r="L255" s="558"/>
      <c r="M255" s="362"/>
      <c r="N255" s="362"/>
    </row>
    <row r="256" spans="2:30" ht="15" outlineLevel="1" thickBot="1">
      <c r="B256" s="566"/>
      <c r="C256" s="567"/>
      <c r="D256" s="567"/>
      <c r="E256" s="567"/>
      <c r="F256" s="567"/>
      <c r="G256" s="567"/>
      <c r="H256" s="567"/>
      <c r="I256" s="567"/>
      <c r="J256" s="567"/>
      <c r="K256" s="567"/>
      <c r="L256" s="568"/>
      <c r="M256" s="362"/>
      <c r="N256" s="362"/>
    </row>
    <row r="257" spans="1:15" outlineLevel="1">
      <c r="B257" s="460"/>
      <c r="C257" s="482"/>
      <c r="D257" s="482"/>
      <c r="E257" s="482"/>
      <c r="F257" s="482"/>
      <c r="G257" s="482"/>
      <c r="H257" s="483"/>
      <c r="I257" s="419"/>
      <c r="J257" s="419"/>
      <c r="K257" s="483"/>
      <c r="L257" s="483"/>
      <c r="N257" s="419"/>
    </row>
    <row r="258" spans="1:15" outlineLevel="1">
      <c r="B258" s="484"/>
      <c r="C258" s="485"/>
      <c r="D258" s="485"/>
      <c r="E258" s="485"/>
      <c r="F258" s="485"/>
      <c r="G258" s="485"/>
      <c r="H258" s="483"/>
      <c r="I258" s="71"/>
      <c r="J258" s="419"/>
      <c r="K258" s="483"/>
      <c r="L258" s="483"/>
      <c r="N258" s="419"/>
    </row>
    <row r="259" spans="1:15" outlineLevel="1">
      <c r="B259" s="460"/>
      <c r="C259" s="358"/>
      <c r="D259" s="358"/>
      <c r="E259" s="358"/>
      <c r="F259" s="358"/>
      <c r="G259" s="358"/>
      <c r="I259" s="419"/>
      <c r="J259" s="419"/>
      <c r="N259" s="419"/>
    </row>
    <row r="260" spans="1:15" outlineLevel="1">
      <c r="B260" s="460"/>
      <c r="C260" s="486"/>
      <c r="D260" s="486"/>
      <c r="E260" s="486"/>
      <c r="F260" s="486"/>
      <c r="G260" s="358"/>
      <c r="M260" s="419"/>
      <c r="N260" s="419"/>
    </row>
    <row r="261" spans="1:15" outlineLevel="1"/>
    <row r="262" spans="1:15" outlineLevel="1">
      <c r="A262" s="487"/>
      <c r="B262" s="488"/>
      <c r="D262" s="489"/>
      <c r="E262" s="489"/>
      <c r="F262" s="489"/>
      <c r="G262" s="357"/>
      <c r="H262" s="357"/>
      <c r="I262" s="357"/>
      <c r="J262" s="357"/>
      <c r="K262" s="357"/>
      <c r="L262" s="357"/>
    </row>
    <row r="263" spans="1:15" outlineLevel="1">
      <c r="A263" s="490"/>
      <c r="B263" s="491"/>
      <c r="D263" s="489"/>
      <c r="E263" s="489"/>
      <c r="F263" s="489"/>
      <c r="G263" s="357"/>
      <c r="H263" s="357"/>
      <c r="I263" s="357"/>
      <c r="J263" s="357"/>
      <c r="K263" s="357"/>
      <c r="L263" s="357"/>
    </row>
    <row r="264" spans="1:15" outlineLevel="1">
      <c r="A264" s="490"/>
      <c r="B264" s="492"/>
      <c r="D264" s="489"/>
      <c r="E264" s="489"/>
      <c r="F264" s="489"/>
      <c r="G264" s="357"/>
      <c r="H264" s="357"/>
      <c r="I264" s="357"/>
      <c r="J264" s="357"/>
      <c r="K264" s="357"/>
      <c r="L264" s="357"/>
    </row>
    <row r="265" spans="1:15" outlineLevel="1">
      <c r="A265" s="490"/>
      <c r="B265" s="492"/>
      <c r="D265" s="489"/>
      <c r="E265" s="489"/>
      <c r="F265" s="489"/>
      <c r="G265" s="357"/>
      <c r="H265" s="357"/>
      <c r="I265" s="357"/>
      <c r="J265" s="357"/>
      <c r="K265" s="357"/>
      <c r="L265" s="357"/>
    </row>
    <row r="266" spans="1:15" outlineLevel="1">
      <c r="A266" s="490"/>
      <c r="B266" s="492"/>
      <c r="D266" s="489"/>
      <c r="E266" s="489"/>
      <c r="F266" s="489"/>
      <c r="G266" s="357"/>
      <c r="H266" s="357"/>
      <c r="I266" s="357"/>
      <c r="J266" s="357"/>
      <c r="K266" s="357"/>
      <c r="L266" s="357"/>
    </row>
    <row r="267" spans="1:15" outlineLevel="1">
      <c r="A267" s="357"/>
      <c r="B267" s="493"/>
      <c r="D267" s="489"/>
      <c r="E267" s="489"/>
      <c r="F267" s="489"/>
      <c r="G267" s="357"/>
      <c r="H267" s="357"/>
      <c r="I267" s="357"/>
      <c r="J267" s="357"/>
      <c r="K267" s="357"/>
      <c r="L267" s="357"/>
      <c r="M267" s="569"/>
      <c r="N267" s="488"/>
      <c r="O267" s="489"/>
    </row>
    <row r="268" spans="1:15" outlineLevel="1">
      <c r="A268" s="357"/>
      <c r="B268" s="491"/>
      <c r="D268" s="489"/>
      <c r="E268" s="489"/>
      <c r="F268" s="489"/>
      <c r="G268" s="357"/>
      <c r="H268" s="357"/>
      <c r="I268" s="357"/>
      <c r="J268" s="357"/>
      <c r="K268" s="357"/>
      <c r="L268" s="357"/>
      <c r="O268" s="489"/>
    </row>
    <row r="269" spans="1:15" outlineLevel="1">
      <c r="A269" s="357"/>
      <c r="B269" s="494"/>
      <c r="D269" s="489"/>
      <c r="E269" s="489"/>
      <c r="F269" s="489"/>
      <c r="G269" s="357"/>
      <c r="H269" s="357"/>
      <c r="I269" s="357"/>
      <c r="J269" s="357"/>
      <c r="K269" s="357"/>
      <c r="L269" s="357"/>
      <c r="O269" s="489"/>
    </row>
    <row r="270" spans="1:15" outlineLevel="1">
      <c r="A270" s="357"/>
      <c r="B270" s="494"/>
      <c r="D270" s="489"/>
      <c r="E270" s="489"/>
      <c r="F270" s="489"/>
      <c r="G270" s="357"/>
      <c r="H270" s="357"/>
      <c r="I270" s="357"/>
      <c r="J270" s="357"/>
      <c r="K270" s="357"/>
      <c r="L270" s="357"/>
      <c r="O270" s="489"/>
    </row>
    <row r="271" spans="1:15" outlineLevel="1">
      <c r="A271" s="357"/>
      <c r="B271" s="488"/>
      <c r="D271" s="489"/>
      <c r="E271" s="489"/>
      <c r="F271" s="489"/>
      <c r="G271" s="357"/>
      <c r="H271" s="357"/>
      <c r="I271" s="357"/>
      <c r="J271" s="357"/>
      <c r="K271" s="357"/>
      <c r="L271" s="357"/>
      <c r="O271" s="489"/>
    </row>
    <row r="272" spans="1:15" outlineLevel="1">
      <c r="A272" s="357"/>
      <c r="B272" s="489"/>
      <c r="D272" s="489"/>
      <c r="E272" s="489"/>
      <c r="F272" s="489"/>
      <c r="G272" s="357"/>
      <c r="H272" s="357"/>
      <c r="I272" s="357"/>
      <c r="J272" s="357"/>
      <c r="K272" s="357"/>
      <c r="L272" s="357"/>
      <c r="O272" s="489"/>
    </row>
    <row r="273" spans="1:44" outlineLevel="1">
      <c r="A273" s="487"/>
      <c r="B273" s="488"/>
      <c r="D273" s="489"/>
      <c r="E273" s="489"/>
      <c r="F273" s="489"/>
      <c r="G273" s="357"/>
      <c r="H273" s="357"/>
      <c r="I273" s="357"/>
      <c r="J273" s="357"/>
      <c r="K273" s="357"/>
      <c r="L273" s="357"/>
      <c r="O273" s="489"/>
    </row>
    <row r="274" spans="1:44" outlineLevel="1">
      <c r="A274" s="495"/>
      <c r="B274" s="496"/>
      <c r="D274" s="489"/>
      <c r="E274" s="489"/>
      <c r="F274" s="489"/>
      <c r="G274" s="357"/>
      <c r="H274" s="357"/>
      <c r="I274" s="357"/>
      <c r="J274" s="357"/>
      <c r="K274" s="357"/>
      <c r="L274" s="357"/>
      <c r="M274" s="569"/>
      <c r="N274" s="488"/>
      <c r="O274" s="489"/>
    </row>
    <row r="275" spans="1:44" outlineLevel="1">
      <c r="A275" s="495"/>
      <c r="B275" s="488"/>
      <c r="D275" s="489"/>
      <c r="E275" s="489"/>
      <c r="F275" s="489"/>
      <c r="G275" s="357"/>
      <c r="H275" s="357"/>
      <c r="I275" s="357"/>
      <c r="J275" s="357"/>
      <c r="K275" s="357"/>
      <c r="L275" s="357"/>
      <c r="M275" s="570"/>
      <c r="N275" s="488"/>
      <c r="O275" s="489"/>
    </row>
    <row r="276" spans="1:44" outlineLevel="1">
      <c r="A276" s="495"/>
      <c r="B276" s="488"/>
      <c r="D276" s="489"/>
      <c r="E276" s="489"/>
      <c r="F276" s="489"/>
      <c r="G276" s="357"/>
      <c r="H276" s="357"/>
      <c r="I276" s="357"/>
      <c r="J276" s="357"/>
      <c r="K276" s="357"/>
      <c r="L276" s="357"/>
      <c r="M276" s="571"/>
      <c r="N276" s="488"/>
      <c r="O276" s="489"/>
    </row>
    <row r="277" spans="1:44" outlineLevel="1">
      <c r="A277" s="495"/>
      <c r="B277" s="497"/>
      <c r="D277" s="489"/>
      <c r="E277" s="489"/>
      <c r="F277" s="489"/>
      <c r="G277" s="357"/>
      <c r="H277" s="357"/>
      <c r="I277" s="357"/>
      <c r="J277" s="357"/>
      <c r="K277" s="357"/>
      <c r="L277" s="357"/>
      <c r="M277" s="572"/>
      <c r="N277" s="488"/>
      <c r="O277" s="489"/>
    </row>
    <row r="278" spans="1:44" outlineLevel="1">
      <c r="A278" s="495"/>
      <c r="B278" s="488"/>
      <c r="D278" s="489"/>
      <c r="E278" s="489"/>
      <c r="F278" s="489"/>
      <c r="G278" s="357"/>
      <c r="H278" s="357"/>
      <c r="I278" s="357"/>
      <c r="J278" s="357"/>
      <c r="K278" s="357"/>
      <c r="L278" s="357"/>
      <c r="M278" s="572"/>
      <c r="N278" s="489"/>
      <c r="O278" s="489"/>
    </row>
    <row r="279" spans="1:44" outlineLevel="1">
      <c r="A279" s="495"/>
      <c r="B279" s="488"/>
      <c r="D279" s="489"/>
      <c r="E279" s="489"/>
      <c r="F279" s="489"/>
      <c r="G279" s="357"/>
      <c r="H279" s="357"/>
      <c r="I279" s="357"/>
      <c r="J279" s="357"/>
      <c r="K279" s="357"/>
      <c r="L279" s="357"/>
      <c r="M279" s="488"/>
      <c r="N279" s="489"/>
      <c r="O279" s="489"/>
    </row>
    <row r="280" spans="1:44" outlineLevel="1"/>
    <row r="283" spans="1:44" ht="15" thickBot="1">
      <c r="A283" s="359"/>
    </row>
    <row r="284" spans="1:44" ht="20.55" customHeight="1" thickBot="1">
      <c r="B284" s="361"/>
      <c r="C284" s="1183"/>
      <c r="D284" s="1184"/>
      <c r="E284" s="1184"/>
      <c r="F284" s="1184"/>
      <c r="G284" s="1184"/>
      <c r="H284" s="1184"/>
      <c r="I284" s="1184"/>
      <c r="J284" s="1184"/>
      <c r="K284" s="1184"/>
      <c r="L284" s="1185"/>
      <c r="M284" s="362"/>
      <c r="N284" s="362"/>
      <c r="P284" s="363"/>
      <c r="Q284" s="364"/>
      <c r="R284" s="365"/>
      <c r="S284" s="1173"/>
      <c r="T284" s="1157"/>
      <c r="U284" s="1158"/>
      <c r="V284" s="1157"/>
      <c r="W284" s="1158"/>
      <c r="X284" s="1157"/>
      <c r="Y284" s="1158"/>
      <c r="Z284" s="1157"/>
      <c r="AA284" s="1158"/>
      <c r="AB284" s="1157"/>
      <c r="AC284" s="1158"/>
      <c r="AE284" s="363"/>
      <c r="AF284" s="364"/>
      <c r="AG284" s="365"/>
      <c r="AH284" s="1173"/>
      <c r="AI284" s="1157"/>
      <c r="AJ284" s="1158"/>
      <c r="AK284" s="1157"/>
      <c r="AL284" s="1158"/>
      <c r="AM284" s="1157"/>
      <c r="AN284" s="1158"/>
      <c r="AO284" s="1157"/>
      <c r="AP284" s="1158"/>
      <c r="AQ284" s="1157"/>
      <c r="AR284" s="1158"/>
    </row>
    <row r="285" spans="1:44" ht="15" customHeight="1" thickBot="1">
      <c r="B285" s="1161"/>
      <c r="C285" s="1163"/>
      <c r="D285" s="1163"/>
      <c r="E285" s="1163"/>
      <c r="F285" s="1163"/>
      <c r="G285" s="1165"/>
      <c r="H285" s="1166"/>
      <c r="I285" s="1165"/>
      <c r="J285" s="1166"/>
      <c r="K285" s="1186"/>
      <c r="L285" s="1186"/>
      <c r="M285" s="366"/>
      <c r="N285" s="366"/>
      <c r="P285" s="1177"/>
      <c r="Q285" s="367"/>
      <c r="R285" s="367"/>
      <c r="S285" s="1174"/>
      <c r="T285" s="1159"/>
      <c r="U285" s="1160"/>
      <c r="V285" s="1159"/>
      <c r="W285" s="1160"/>
      <c r="X285" s="1159"/>
      <c r="Y285" s="1160"/>
      <c r="Z285" s="1159"/>
      <c r="AA285" s="1160"/>
      <c r="AB285" s="1159"/>
      <c r="AC285" s="1160"/>
      <c r="AE285" s="1177"/>
      <c r="AF285" s="367"/>
      <c r="AG285" s="367"/>
      <c r="AH285" s="1174"/>
      <c r="AI285" s="1159"/>
      <c r="AJ285" s="1160"/>
      <c r="AK285" s="1159"/>
      <c r="AL285" s="1160"/>
      <c r="AM285" s="1159"/>
      <c r="AN285" s="1160"/>
      <c r="AO285" s="1159"/>
      <c r="AP285" s="1160"/>
      <c r="AQ285" s="1159"/>
      <c r="AR285" s="1160"/>
    </row>
    <row r="286" spans="1:44" ht="15" customHeight="1" thickBot="1">
      <c r="B286" s="1162"/>
      <c r="C286" s="1164"/>
      <c r="D286" s="1164"/>
      <c r="E286" s="1164"/>
      <c r="F286" s="1164"/>
      <c r="G286" s="405"/>
      <c r="H286" s="405"/>
      <c r="I286" s="405"/>
      <c r="J286" s="405"/>
      <c r="K286" s="1187"/>
      <c r="L286" s="1187"/>
      <c r="M286" s="369"/>
      <c r="N286" s="369"/>
      <c r="P286" s="1178"/>
      <c r="Q286" s="1180"/>
      <c r="R286" s="1181"/>
      <c r="S286" s="1175"/>
      <c r="T286" s="1159"/>
      <c r="U286" s="1160"/>
      <c r="V286" s="1159"/>
      <c r="W286" s="1160"/>
      <c r="X286" s="1159"/>
      <c r="Y286" s="1160"/>
      <c r="Z286" s="1159"/>
      <c r="AA286" s="1160"/>
      <c r="AB286" s="1159"/>
      <c r="AC286" s="1160"/>
      <c r="AE286" s="1178"/>
      <c r="AF286" s="1180"/>
      <c r="AG286" s="1181"/>
      <c r="AH286" s="1175"/>
      <c r="AI286" s="1159"/>
      <c r="AJ286" s="1160"/>
      <c r="AK286" s="1159"/>
      <c r="AL286" s="1160"/>
      <c r="AM286" s="1159"/>
      <c r="AN286" s="1160"/>
      <c r="AO286" s="1159"/>
      <c r="AP286" s="1160"/>
      <c r="AQ286" s="1159"/>
      <c r="AR286" s="1160"/>
    </row>
    <row r="287" spans="1:44" ht="15" thickBot="1">
      <c r="B287" s="370"/>
      <c r="C287" s="371"/>
      <c r="D287" s="371"/>
      <c r="E287" s="371"/>
      <c r="F287" s="371"/>
      <c r="G287" s="371"/>
      <c r="H287" s="371"/>
      <c r="I287" s="371"/>
      <c r="J287" s="371"/>
      <c r="K287" s="371"/>
      <c r="L287" s="372"/>
      <c r="M287" s="369"/>
      <c r="N287" s="369"/>
      <c r="O287" s="74"/>
      <c r="P287" s="1179"/>
      <c r="Q287" s="1176"/>
      <c r="R287" s="1182"/>
      <c r="S287" s="1176"/>
      <c r="T287" s="373"/>
      <c r="U287" s="374"/>
      <c r="V287" s="373"/>
      <c r="W287" s="374"/>
      <c r="X287" s="373"/>
      <c r="Y287" s="374"/>
      <c r="Z287" s="373"/>
      <c r="AA287" s="374"/>
      <c r="AB287" s="373"/>
      <c r="AC287" s="374"/>
      <c r="AE287" s="1179"/>
      <c r="AF287" s="1176"/>
      <c r="AG287" s="1182"/>
      <c r="AH287" s="1176"/>
      <c r="AI287" s="373"/>
      <c r="AJ287" s="374"/>
      <c r="AK287" s="373"/>
      <c r="AL287" s="374"/>
      <c r="AM287" s="373"/>
      <c r="AN287" s="374"/>
      <c r="AO287" s="373"/>
      <c r="AP287" s="374"/>
      <c r="AQ287" s="373"/>
      <c r="AR287" s="374"/>
    </row>
    <row r="288" spans="1:44" ht="14.55" customHeight="1">
      <c r="B288" s="573"/>
      <c r="C288" s="574"/>
      <c r="D288" s="574"/>
      <c r="E288" s="574"/>
      <c r="F288" s="574"/>
      <c r="G288" s="575"/>
      <c r="H288" s="575"/>
      <c r="I288" s="575"/>
      <c r="J288" s="575"/>
      <c r="K288" s="371"/>
      <c r="L288" s="372"/>
      <c r="M288" s="369"/>
      <c r="N288" s="369"/>
      <c r="P288" s="1145"/>
      <c r="Q288" s="1151"/>
      <c r="R288" s="380"/>
      <c r="S288" s="381"/>
      <c r="T288" s="1134"/>
      <c r="U288" s="1148"/>
      <c r="V288" s="1134"/>
      <c r="W288" s="1148"/>
      <c r="X288" s="1134"/>
      <c r="Y288" s="1148"/>
      <c r="Z288" s="1134"/>
      <c r="AA288" s="1148"/>
      <c r="AB288" s="1154"/>
      <c r="AC288" s="1148"/>
      <c r="AE288" s="1145"/>
      <c r="AF288" s="1151"/>
      <c r="AG288" s="380"/>
      <c r="AH288" s="381"/>
      <c r="AI288" s="1134"/>
      <c r="AJ288" s="1148"/>
      <c r="AK288" s="1134"/>
      <c r="AL288" s="1148"/>
      <c r="AM288" s="1134"/>
      <c r="AN288" s="1148"/>
      <c r="AO288" s="1134"/>
      <c r="AP288" s="1148"/>
      <c r="AQ288" s="1154"/>
      <c r="AR288" s="1148"/>
    </row>
    <row r="289" spans="2:44">
      <c r="B289" s="382"/>
      <c r="C289" s="576"/>
      <c r="D289" s="576"/>
      <c r="E289" s="576"/>
      <c r="F289" s="576"/>
      <c r="G289" s="575"/>
      <c r="H289" s="575"/>
      <c r="I289" s="575"/>
      <c r="J289" s="575"/>
      <c r="K289" s="371"/>
      <c r="L289" s="372"/>
      <c r="M289" s="369"/>
      <c r="N289" s="369"/>
      <c r="O289" s="71"/>
      <c r="P289" s="1146"/>
      <c r="Q289" s="1152"/>
      <c r="R289" s="387"/>
      <c r="S289" s="388"/>
      <c r="T289" s="1137"/>
      <c r="U289" s="1149"/>
      <c r="V289" s="1137"/>
      <c r="W289" s="1149"/>
      <c r="X289" s="1137"/>
      <c r="Y289" s="1149"/>
      <c r="Z289" s="1137"/>
      <c r="AA289" s="1149"/>
      <c r="AB289" s="1155"/>
      <c r="AC289" s="1149"/>
      <c r="AE289" s="1146"/>
      <c r="AF289" s="1152"/>
      <c r="AG289" s="387"/>
      <c r="AH289" s="388"/>
      <c r="AI289" s="1137"/>
      <c r="AJ289" s="1149"/>
      <c r="AK289" s="1137"/>
      <c r="AL289" s="1149"/>
      <c r="AM289" s="1137"/>
      <c r="AN289" s="1149"/>
      <c r="AO289" s="1137"/>
      <c r="AP289" s="1149"/>
      <c r="AQ289" s="1155"/>
      <c r="AR289" s="1149"/>
    </row>
    <row r="290" spans="2:44" ht="15" thickBot="1">
      <c r="B290" s="573"/>
      <c r="C290" s="577"/>
      <c r="D290" s="577"/>
      <c r="E290" s="577"/>
      <c r="F290" s="577"/>
      <c r="G290" s="577"/>
      <c r="H290" s="577"/>
      <c r="I290" s="577"/>
      <c r="J290" s="577"/>
      <c r="K290" s="578"/>
      <c r="L290" s="579"/>
      <c r="M290" s="369"/>
      <c r="N290" s="369"/>
      <c r="O290" s="71"/>
      <c r="P290" s="1146"/>
      <c r="Q290" s="1153"/>
      <c r="R290" s="392"/>
      <c r="S290" s="393"/>
      <c r="T290" s="1138"/>
      <c r="U290" s="1150"/>
      <c r="V290" s="1138"/>
      <c r="W290" s="1150"/>
      <c r="X290" s="1138"/>
      <c r="Y290" s="1150"/>
      <c r="Z290" s="1138"/>
      <c r="AA290" s="1150"/>
      <c r="AB290" s="1156"/>
      <c r="AC290" s="1150"/>
      <c r="AE290" s="1146"/>
      <c r="AF290" s="1153"/>
      <c r="AG290" s="392"/>
      <c r="AH290" s="393"/>
      <c r="AI290" s="1138"/>
      <c r="AJ290" s="1150"/>
      <c r="AK290" s="1138"/>
      <c r="AL290" s="1150"/>
      <c r="AM290" s="1138"/>
      <c r="AN290" s="1150"/>
      <c r="AO290" s="1138"/>
      <c r="AP290" s="1150"/>
      <c r="AQ290" s="1156"/>
      <c r="AR290" s="1150"/>
    </row>
    <row r="291" spans="2:44" ht="14.55" customHeight="1">
      <c r="B291" s="573"/>
      <c r="C291" s="580"/>
      <c r="D291" s="580"/>
      <c r="E291" s="580"/>
      <c r="F291" s="580"/>
      <c r="G291" s="580"/>
      <c r="H291" s="580"/>
      <c r="I291" s="580"/>
      <c r="J291" s="580"/>
      <c r="K291" s="578"/>
      <c r="L291" s="579"/>
      <c r="M291" s="369"/>
      <c r="N291" s="369"/>
      <c r="O291" s="71"/>
      <c r="P291" s="1146"/>
      <c r="Q291" s="1142"/>
      <c r="R291" s="394"/>
      <c r="S291" s="395"/>
      <c r="T291" s="1134"/>
      <c r="U291" s="1134"/>
      <c r="V291" s="1134"/>
      <c r="W291" s="1134"/>
      <c r="X291" s="1134"/>
      <c r="Y291" s="1134"/>
      <c r="Z291" s="1134"/>
      <c r="AA291" s="1134"/>
      <c r="AB291" s="1134"/>
      <c r="AC291" s="1134"/>
      <c r="AE291" s="1146"/>
      <c r="AF291" s="1142"/>
      <c r="AG291" s="394"/>
      <c r="AH291" s="395"/>
      <c r="AI291" s="1134"/>
      <c r="AJ291" s="1134"/>
      <c r="AK291" s="1134"/>
      <c r="AL291" s="1134"/>
      <c r="AM291" s="1134"/>
      <c r="AN291" s="1134"/>
      <c r="AO291" s="1134"/>
      <c r="AP291" s="1134"/>
      <c r="AQ291" s="1134"/>
      <c r="AR291" s="1134"/>
    </row>
    <row r="292" spans="2:44">
      <c r="B292" s="573"/>
      <c r="C292" s="581"/>
      <c r="D292" s="581"/>
      <c r="E292" s="581"/>
      <c r="F292" s="581"/>
      <c r="G292" s="581"/>
      <c r="H292" s="581"/>
      <c r="I292" s="581"/>
      <c r="J292" s="581"/>
      <c r="K292" s="578"/>
      <c r="L292" s="579"/>
      <c r="M292" s="366"/>
      <c r="N292" s="366"/>
      <c r="O292" s="71"/>
      <c r="P292" s="1146"/>
      <c r="Q292" s="1143"/>
      <c r="R292" s="394"/>
      <c r="S292" s="395"/>
      <c r="T292" s="1135"/>
      <c r="U292" s="1135"/>
      <c r="V292" s="1135"/>
      <c r="W292" s="1135"/>
      <c r="X292" s="1135"/>
      <c r="Y292" s="1135"/>
      <c r="Z292" s="1135"/>
      <c r="AA292" s="1135"/>
      <c r="AB292" s="1137"/>
      <c r="AC292" s="1135"/>
      <c r="AE292" s="1146"/>
      <c r="AF292" s="1143"/>
      <c r="AG292" s="394"/>
      <c r="AH292" s="395"/>
      <c r="AI292" s="1135"/>
      <c r="AJ292" s="1135"/>
      <c r="AK292" s="1135"/>
      <c r="AL292" s="1135"/>
      <c r="AM292" s="1135"/>
      <c r="AN292" s="1135"/>
      <c r="AO292" s="1135"/>
      <c r="AP292" s="1135"/>
      <c r="AQ292" s="1137"/>
      <c r="AR292" s="1135"/>
    </row>
    <row r="293" spans="2:44">
      <c r="B293" s="382"/>
      <c r="C293" s="396"/>
      <c r="D293" s="396"/>
      <c r="E293" s="396"/>
      <c r="F293" s="396"/>
      <c r="G293" s="397"/>
      <c r="H293" s="397"/>
      <c r="I293" s="397"/>
      <c r="J293" s="397"/>
      <c r="K293" s="371"/>
      <c r="L293" s="372"/>
      <c r="M293" s="362"/>
      <c r="N293" s="362"/>
      <c r="P293" s="1146"/>
      <c r="Q293" s="1143"/>
      <c r="R293" s="394"/>
      <c r="S293" s="395"/>
      <c r="T293" s="1135"/>
      <c r="U293" s="1135"/>
      <c r="V293" s="1135"/>
      <c r="W293" s="1135"/>
      <c r="X293" s="1135"/>
      <c r="Y293" s="1135"/>
      <c r="Z293" s="1135"/>
      <c r="AA293" s="1135"/>
      <c r="AB293" s="1137"/>
      <c r="AC293" s="1135"/>
      <c r="AE293" s="1146"/>
      <c r="AF293" s="1143"/>
      <c r="AG293" s="394"/>
      <c r="AH293" s="395"/>
      <c r="AI293" s="1135"/>
      <c r="AJ293" s="1135"/>
      <c r="AK293" s="1135"/>
      <c r="AL293" s="1135"/>
      <c r="AM293" s="1135"/>
      <c r="AN293" s="1135"/>
      <c r="AO293" s="1135"/>
      <c r="AP293" s="1135"/>
      <c r="AQ293" s="1137"/>
      <c r="AR293" s="1135"/>
    </row>
    <row r="294" spans="2:44" ht="15" thickBot="1">
      <c r="B294" s="573"/>
      <c r="C294" s="581"/>
      <c r="D294" s="581"/>
      <c r="E294" s="581"/>
      <c r="F294" s="581"/>
      <c r="G294" s="581"/>
      <c r="H294" s="581"/>
      <c r="I294" s="581"/>
      <c r="J294" s="581"/>
      <c r="K294" s="371"/>
      <c r="L294" s="372"/>
      <c r="M294" s="362"/>
      <c r="N294" s="362"/>
      <c r="P294" s="1146"/>
      <c r="Q294" s="1143"/>
      <c r="R294" s="394"/>
      <c r="S294" s="395"/>
      <c r="T294" s="1135"/>
      <c r="U294" s="1135"/>
      <c r="V294" s="1135"/>
      <c r="W294" s="1135"/>
      <c r="X294" s="1135"/>
      <c r="Y294" s="1135"/>
      <c r="Z294" s="1135"/>
      <c r="AA294" s="1135"/>
      <c r="AB294" s="1137"/>
      <c r="AC294" s="1135"/>
      <c r="AE294" s="1146"/>
      <c r="AF294" s="1143"/>
      <c r="AG294" s="394"/>
      <c r="AH294" s="395"/>
      <c r="AI294" s="1135"/>
      <c r="AJ294" s="1135"/>
      <c r="AK294" s="1135"/>
      <c r="AL294" s="1135"/>
      <c r="AM294" s="1135"/>
      <c r="AN294" s="1135"/>
      <c r="AO294" s="1135"/>
      <c r="AP294" s="1135"/>
      <c r="AQ294" s="1137"/>
      <c r="AR294" s="1135"/>
    </row>
    <row r="295" spans="2:44" ht="15" thickBot="1">
      <c r="B295" s="400"/>
      <c r="C295" s="582"/>
      <c r="D295" s="583"/>
      <c r="E295" s="584"/>
      <c r="F295" s="585"/>
      <c r="G295" s="405"/>
      <c r="H295" s="405"/>
      <c r="I295" s="405"/>
      <c r="J295" s="405"/>
      <c r="K295" s="406"/>
      <c r="L295" s="586"/>
      <c r="M295" s="362"/>
      <c r="N295" s="362"/>
      <c r="P295" s="1146"/>
      <c r="Q295" s="1144"/>
      <c r="R295" s="408"/>
      <c r="S295" s="409"/>
      <c r="T295" s="1136"/>
      <c r="U295" s="1136"/>
      <c r="V295" s="1136"/>
      <c r="W295" s="1136"/>
      <c r="X295" s="1136"/>
      <c r="Y295" s="1136"/>
      <c r="Z295" s="1136"/>
      <c r="AA295" s="1136"/>
      <c r="AB295" s="1138"/>
      <c r="AC295" s="1136"/>
      <c r="AE295" s="1146"/>
      <c r="AF295" s="1144"/>
      <c r="AG295" s="408"/>
      <c r="AH295" s="409"/>
      <c r="AI295" s="1136"/>
      <c r="AJ295" s="1136"/>
      <c r="AK295" s="1136"/>
      <c r="AL295" s="1136"/>
      <c r="AM295" s="1136"/>
      <c r="AN295" s="1136"/>
      <c r="AO295" s="1136"/>
      <c r="AP295" s="1136"/>
      <c r="AQ295" s="1138"/>
      <c r="AR295" s="1136"/>
    </row>
    <row r="296" spans="2:44" ht="15" thickBot="1">
      <c r="B296" s="573"/>
      <c r="C296" s="587"/>
      <c r="D296" s="587"/>
      <c r="E296" s="587"/>
      <c r="F296" s="587"/>
      <c r="G296" s="588"/>
      <c r="H296" s="588"/>
      <c r="I296" s="589"/>
      <c r="J296" s="589"/>
      <c r="K296" s="578"/>
      <c r="L296" s="579"/>
      <c r="M296" s="362"/>
      <c r="N296" s="362"/>
      <c r="P296" s="1147"/>
      <c r="Q296" s="410"/>
      <c r="R296" s="411"/>
      <c r="S296" s="412"/>
      <c r="T296" s="590"/>
      <c r="U296" s="591"/>
      <c r="V296" s="592"/>
      <c r="W296" s="591"/>
      <c r="X296" s="592"/>
      <c r="Y296" s="591"/>
      <c r="Z296" s="592"/>
      <c r="AA296" s="591"/>
      <c r="AB296" s="592"/>
      <c r="AC296" s="593"/>
      <c r="AE296" s="1147"/>
      <c r="AF296" s="410"/>
      <c r="AG296" s="411"/>
      <c r="AH296" s="412"/>
      <c r="AI296" s="590"/>
      <c r="AJ296" s="591"/>
      <c r="AK296" s="592"/>
      <c r="AL296" s="591"/>
      <c r="AM296" s="592"/>
      <c r="AN296" s="591"/>
      <c r="AO296" s="592"/>
      <c r="AP296" s="591"/>
      <c r="AQ296" s="592"/>
      <c r="AR296" s="593"/>
    </row>
    <row r="297" spans="2:44">
      <c r="B297" s="573"/>
      <c r="C297" s="581"/>
      <c r="D297" s="581"/>
      <c r="E297" s="581"/>
      <c r="F297" s="581"/>
      <c r="G297" s="594"/>
      <c r="H297" s="594"/>
      <c r="I297" s="594"/>
      <c r="J297" s="594"/>
      <c r="K297" s="595"/>
      <c r="L297" s="579"/>
      <c r="M297" s="362"/>
      <c r="N297" s="362"/>
    </row>
    <row r="298" spans="2:44">
      <c r="B298" s="573"/>
      <c r="C298" s="581"/>
      <c r="D298" s="581"/>
      <c r="E298" s="581"/>
      <c r="F298" s="581"/>
      <c r="G298" s="594"/>
      <c r="H298" s="594"/>
      <c r="I298" s="594"/>
      <c r="J298" s="594"/>
      <c r="K298" s="595"/>
      <c r="L298" s="579"/>
      <c r="M298" s="419"/>
      <c r="N298" s="362"/>
    </row>
    <row r="299" spans="2:44">
      <c r="B299" s="420"/>
      <c r="C299" s="398"/>
      <c r="D299" s="398"/>
      <c r="E299" s="398"/>
      <c r="F299" s="398"/>
      <c r="G299" s="421"/>
      <c r="H299" s="421"/>
      <c r="I299" s="421"/>
      <c r="J299" s="421"/>
      <c r="K299" s="422"/>
      <c r="L299" s="596"/>
      <c r="M299" s="419"/>
      <c r="N299" s="419"/>
    </row>
    <row r="300" spans="2:44">
      <c r="B300" s="382"/>
      <c r="C300" s="396"/>
      <c r="D300" s="396"/>
      <c r="E300" s="396"/>
      <c r="F300" s="396"/>
      <c r="G300" s="421"/>
      <c r="H300" s="424"/>
      <c r="I300" s="424"/>
      <c r="J300" s="424"/>
      <c r="K300" s="425"/>
      <c r="L300" s="426"/>
      <c r="M300" s="427"/>
      <c r="N300" s="427"/>
    </row>
    <row r="301" spans="2:44">
      <c r="B301" s="382"/>
      <c r="C301" s="396"/>
      <c r="D301" s="396"/>
      <c r="E301" s="396"/>
      <c r="F301" s="396"/>
      <c r="G301" s="424"/>
      <c r="H301" s="424"/>
      <c r="I301" s="424"/>
      <c r="J301" s="424"/>
      <c r="K301" s="422"/>
      <c r="L301" s="426"/>
      <c r="M301" s="427"/>
      <c r="N301" s="427"/>
    </row>
    <row r="302" spans="2:44">
      <c r="B302" s="382"/>
      <c r="C302" s="396"/>
      <c r="D302" s="396"/>
      <c r="E302" s="396"/>
      <c r="F302" s="396"/>
      <c r="G302" s="424"/>
      <c r="H302" s="424"/>
      <c r="I302" s="424"/>
      <c r="J302" s="424"/>
      <c r="K302" s="422"/>
      <c r="L302" s="426"/>
      <c r="M302" s="427"/>
      <c r="N302" s="427"/>
    </row>
    <row r="303" spans="2:44">
      <c r="B303" s="382"/>
      <c r="C303" s="396"/>
      <c r="D303" s="396"/>
      <c r="E303" s="396"/>
      <c r="F303" s="396"/>
      <c r="G303" s="424"/>
      <c r="H303" s="424"/>
      <c r="I303" s="424"/>
      <c r="J303" s="424"/>
      <c r="K303" s="422"/>
      <c r="L303" s="426"/>
      <c r="M303" s="427"/>
      <c r="N303" s="427"/>
    </row>
    <row r="304" spans="2:44" ht="15" thickBot="1">
      <c r="B304" s="428"/>
      <c r="C304" s="396"/>
      <c r="D304" s="396"/>
      <c r="E304" s="396"/>
      <c r="F304" s="396"/>
      <c r="G304" s="424"/>
      <c r="H304" s="424"/>
      <c r="I304" s="424"/>
      <c r="J304" s="424"/>
      <c r="K304" s="422"/>
      <c r="L304" s="426"/>
      <c r="M304" s="427"/>
      <c r="N304" s="427"/>
    </row>
    <row r="305" spans="1:30" ht="15" thickBot="1">
      <c r="B305" s="430"/>
      <c r="C305" s="597"/>
      <c r="D305" s="583"/>
      <c r="E305" s="583"/>
      <c r="F305" s="598"/>
      <c r="G305" s="433"/>
      <c r="H305" s="405"/>
      <c r="I305" s="405"/>
      <c r="J305" s="405"/>
      <c r="K305" s="406"/>
      <c r="L305" s="586"/>
      <c r="M305" s="427"/>
      <c r="N305" s="427"/>
    </row>
    <row r="306" spans="1:30">
      <c r="A306" s="434"/>
      <c r="B306" s="435"/>
      <c r="C306" s="599"/>
      <c r="D306" s="599"/>
      <c r="E306" s="599"/>
      <c r="F306" s="599"/>
      <c r="G306" s="424"/>
      <c r="H306" s="424"/>
      <c r="I306" s="424"/>
      <c r="J306" s="424"/>
      <c r="K306" s="425"/>
      <c r="L306" s="439"/>
      <c r="M306" s="419"/>
      <c r="N306" s="419"/>
    </row>
    <row r="307" spans="1:30">
      <c r="B307" s="440"/>
      <c r="C307" s="600"/>
      <c r="D307" s="600"/>
      <c r="E307" s="600"/>
      <c r="F307" s="600"/>
      <c r="G307" s="424"/>
      <c r="H307" s="424"/>
      <c r="I307" s="424"/>
      <c r="J307" s="424"/>
      <c r="K307" s="443"/>
      <c r="L307" s="372"/>
      <c r="M307" s="71"/>
      <c r="N307" s="419"/>
    </row>
    <row r="308" spans="1:30">
      <c r="B308" s="440"/>
      <c r="C308" s="600"/>
      <c r="D308" s="600"/>
      <c r="E308" s="600"/>
      <c r="F308" s="600"/>
      <c r="G308" s="424"/>
      <c r="H308" s="424"/>
      <c r="I308" s="424"/>
      <c r="J308" s="424"/>
      <c r="K308" s="443"/>
      <c r="L308" s="372"/>
      <c r="M308" s="419"/>
      <c r="N308" s="419"/>
    </row>
    <row r="309" spans="1:30">
      <c r="B309" s="382"/>
      <c r="C309" s="601"/>
      <c r="D309" s="602"/>
      <c r="E309" s="602"/>
      <c r="F309" s="603"/>
      <c r="G309" s="424"/>
      <c r="H309" s="424"/>
      <c r="I309" s="424"/>
      <c r="J309" s="424"/>
      <c r="K309" s="443"/>
      <c r="L309" s="372"/>
      <c r="M309" s="419"/>
      <c r="N309" s="419"/>
    </row>
    <row r="310" spans="1:30">
      <c r="B310" s="382"/>
      <c r="C310" s="604"/>
      <c r="D310" s="604"/>
      <c r="E310" s="604"/>
      <c r="F310" s="604"/>
      <c r="G310" s="424"/>
      <c r="H310" s="424"/>
      <c r="I310" s="424"/>
      <c r="J310" s="424"/>
      <c r="K310" s="443"/>
      <c r="L310" s="372"/>
      <c r="M310" s="449"/>
      <c r="N310" s="360"/>
      <c r="P310" s="1139"/>
      <c r="Q310" s="1140"/>
      <c r="R310" s="1140"/>
      <c r="S310" s="1140"/>
      <c r="T310" s="1140"/>
      <c r="U310" s="1141"/>
    </row>
    <row r="311" spans="1:30" ht="15" thickBot="1">
      <c r="B311" s="540"/>
      <c r="C311" s="551"/>
      <c r="D311" s="551"/>
      <c r="E311" s="551"/>
      <c r="F311" s="551"/>
      <c r="G311" s="552"/>
      <c r="H311" s="552"/>
      <c r="I311" s="552"/>
      <c r="J311" s="552"/>
      <c r="K311" s="546"/>
      <c r="L311" s="547"/>
      <c r="M311" s="449"/>
      <c r="N311" s="360"/>
      <c r="P311" s="1131"/>
      <c r="Q311" s="1132"/>
      <c r="R311" s="1132"/>
      <c r="S311" s="1132"/>
      <c r="T311" s="1132"/>
      <c r="U311" s="1133"/>
    </row>
    <row r="312" spans="1:30">
      <c r="B312" s="540"/>
      <c r="C312" s="605"/>
      <c r="D312" s="605"/>
      <c r="E312" s="605"/>
      <c r="F312" s="605"/>
      <c r="G312" s="552"/>
      <c r="H312" s="552"/>
      <c r="I312" s="552"/>
      <c r="J312" s="552"/>
      <c r="K312" s="546"/>
      <c r="L312" s="547"/>
      <c r="M312" s="362"/>
      <c r="N312" s="362"/>
      <c r="P312" s="53"/>
    </row>
    <row r="313" spans="1:30">
      <c r="B313" s="540"/>
      <c r="C313" s="606"/>
      <c r="D313" s="546"/>
      <c r="E313" s="546"/>
      <c r="F313" s="562"/>
      <c r="G313" s="549"/>
      <c r="H313" s="549"/>
      <c r="I313" s="549"/>
      <c r="J313" s="549"/>
      <c r="K313" s="546"/>
      <c r="L313" s="607"/>
      <c r="M313" s="366"/>
      <c r="N313" s="366"/>
      <c r="P313" s="46"/>
      <c r="Q313" s="46"/>
      <c r="R313" s="47"/>
      <c r="S313" s="47"/>
      <c r="T313" s="47"/>
      <c r="U313" s="48"/>
      <c r="V313" s="49"/>
      <c r="W313" s="49"/>
      <c r="X313" s="49"/>
      <c r="Y313" s="49"/>
      <c r="Z313" s="49"/>
      <c r="AA313" s="49"/>
      <c r="AB313" s="49"/>
      <c r="AC313" s="49"/>
      <c r="AD313" s="49"/>
    </row>
    <row r="314" spans="1:30" ht="15" thickBot="1">
      <c r="B314" s="565"/>
      <c r="C314" s="606"/>
      <c r="D314" s="608"/>
      <c r="E314" s="608"/>
      <c r="F314" s="609"/>
      <c r="G314" s="549"/>
      <c r="H314" s="549"/>
      <c r="I314" s="549"/>
      <c r="J314" s="549"/>
      <c r="K314" s="546"/>
      <c r="L314" s="607"/>
      <c r="M314" s="362"/>
      <c r="N314" s="362"/>
      <c r="O314" s="71"/>
      <c r="P314" s="50"/>
      <c r="Q314" s="50"/>
      <c r="R314" s="51"/>
      <c r="S314" s="51"/>
      <c r="T314" s="51"/>
      <c r="U314" s="51"/>
      <c r="V314" s="50"/>
      <c r="W314" s="50"/>
      <c r="X314" s="50"/>
      <c r="Y314" s="50"/>
      <c r="Z314" s="50"/>
      <c r="AA314" s="50"/>
      <c r="AB314" s="50"/>
      <c r="AC314" s="50"/>
      <c r="AD314" s="50"/>
    </row>
    <row r="315" spans="1:30" ht="15" thickBot="1">
      <c r="B315" s="610"/>
      <c r="C315" s="611"/>
      <c r="D315" s="612"/>
      <c r="E315" s="613"/>
      <c r="F315" s="614"/>
      <c r="G315" s="539"/>
      <c r="H315" s="539"/>
      <c r="I315" s="539"/>
      <c r="J315" s="539"/>
      <c r="K315" s="615"/>
      <c r="L315" s="616"/>
      <c r="M315" s="362"/>
      <c r="N315" s="362"/>
      <c r="O315" s="460"/>
      <c r="P315" s="56"/>
      <c r="Q315" s="56"/>
      <c r="R315" s="57"/>
      <c r="S315" s="57"/>
      <c r="T315" s="57"/>
      <c r="U315" s="56"/>
      <c r="V315" s="56"/>
      <c r="W315" s="56"/>
      <c r="X315" s="56"/>
      <c r="Y315" s="56"/>
      <c r="Z315" s="56"/>
      <c r="AA315" s="56"/>
      <c r="AB315" s="56"/>
      <c r="AC315" s="56"/>
      <c r="AD315" s="56"/>
    </row>
    <row r="316" spans="1:30">
      <c r="B316" s="555"/>
      <c r="C316" s="617"/>
      <c r="D316" s="617"/>
      <c r="E316" s="617"/>
      <c r="F316" s="617"/>
      <c r="G316" s="617"/>
      <c r="H316" s="617"/>
      <c r="I316" s="617"/>
      <c r="J316" s="617"/>
      <c r="K316" s="617"/>
      <c r="L316" s="618"/>
      <c r="M316" s="362"/>
      <c r="N316" s="362"/>
      <c r="O316" s="619"/>
      <c r="P316" s="465"/>
      <c r="Q316" s="58"/>
      <c r="R316" s="465"/>
      <c r="S316" s="58"/>
      <c r="T316" s="465"/>
      <c r="U316" s="466"/>
      <c r="V316" s="466"/>
      <c r="W316" s="466"/>
      <c r="X316" s="58"/>
      <c r="Y316" s="58"/>
      <c r="Z316" s="465"/>
      <c r="AA316" s="467"/>
      <c r="AB316" s="467"/>
      <c r="AC316" s="467"/>
      <c r="AD316" s="467"/>
    </row>
    <row r="317" spans="1:30">
      <c r="B317" s="540"/>
      <c r="C317" s="557"/>
      <c r="D317" s="557"/>
      <c r="E317" s="557"/>
      <c r="F317" s="557"/>
      <c r="G317" s="562"/>
      <c r="H317" s="562"/>
      <c r="I317" s="562"/>
      <c r="J317" s="562"/>
      <c r="K317" s="562"/>
      <c r="L317" s="547"/>
      <c r="M317" s="362"/>
      <c r="N317" s="362"/>
      <c r="O317" s="619"/>
      <c r="P317" s="465"/>
      <c r="Q317" s="58"/>
      <c r="R317" s="465"/>
      <c r="S317" s="58"/>
      <c r="T317" s="465"/>
      <c r="U317" s="466"/>
      <c r="V317" s="466"/>
      <c r="W317" s="466"/>
      <c r="X317" s="58"/>
      <c r="Y317" s="58"/>
      <c r="Z317" s="465"/>
      <c r="AA317" s="467"/>
      <c r="AB317" s="467"/>
      <c r="AC317" s="467"/>
      <c r="AD317" s="467"/>
    </row>
    <row r="318" spans="1:30">
      <c r="B318" s="540"/>
      <c r="C318" s="557"/>
      <c r="D318" s="557"/>
      <c r="E318" s="557"/>
      <c r="F318" s="557"/>
      <c r="G318" s="562"/>
      <c r="H318" s="562"/>
      <c r="I318" s="562"/>
      <c r="J318" s="562"/>
      <c r="K318" s="562"/>
      <c r="L318" s="547"/>
      <c r="M318" s="362"/>
      <c r="N318" s="362"/>
      <c r="O318" s="619"/>
      <c r="P318" s="465"/>
      <c r="Q318" s="58"/>
      <c r="R318" s="465"/>
      <c r="S318" s="58"/>
      <c r="T318" s="465"/>
      <c r="U318" s="466"/>
      <c r="V318" s="466"/>
      <c r="W318" s="466"/>
      <c r="X318" s="58"/>
      <c r="Y318" s="58"/>
      <c r="Z318" s="465"/>
      <c r="AA318" s="467"/>
      <c r="AB318" s="467"/>
      <c r="AC318" s="467"/>
      <c r="AD318" s="467"/>
    </row>
    <row r="319" spans="1:30">
      <c r="B319" s="540"/>
      <c r="C319" s="563"/>
      <c r="D319" s="563"/>
      <c r="E319" s="563"/>
      <c r="F319" s="563"/>
      <c r="G319" s="620"/>
      <c r="H319" s="620"/>
      <c r="I319" s="620"/>
      <c r="J319" s="620"/>
      <c r="K319" s="620"/>
      <c r="L319" s="547"/>
      <c r="M319" s="362"/>
      <c r="N319" s="362"/>
      <c r="O319" s="619"/>
      <c r="P319" s="465"/>
      <c r="Q319" s="58"/>
      <c r="R319" s="465"/>
      <c r="S319" s="58"/>
      <c r="T319" s="465"/>
      <c r="U319" s="466"/>
      <c r="V319" s="466"/>
      <c r="W319" s="466"/>
      <c r="X319" s="58"/>
      <c r="Y319" s="58"/>
      <c r="Z319" s="465"/>
      <c r="AA319" s="467"/>
      <c r="AB319" s="467"/>
      <c r="AC319" s="467"/>
      <c r="AD319" s="467"/>
    </row>
    <row r="320" spans="1:30">
      <c r="B320" s="565"/>
      <c r="C320" s="557"/>
      <c r="D320" s="557"/>
      <c r="E320" s="557"/>
      <c r="F320" s="557"/>
      <c r="G320" s="562"/>
      <c r="H320" s="562"/>
      <c r="I320" s="562"/>
      <c r="J320" s="562"/>
      <c r="K320" s="562"/>
      <c r="L320" s="547"/>
      <c r="M320" s="366"/>
      <c r="N320" s="366"/>
    </row>
    <row r="321" spans="1:14">
      <c r="B321" s="565"/>
      <c r="C321" s="557"/>
      <c r="D321" s="557"/>
      <c r="E321" s="557"/>
      <c r="F321" s="557"/>
      <c r="G321" s="562"/>
      <c r="H321" s="562"/>
      <c r="I321" s="562"/>
      <c r="J321" s="562"/>
      <c r="K321" s="562"/>
      <c r="L321" s="547"/>
      <c r="M321" s="362"/>
      <c r="N321" s="362"/>
    </row>
    <row r="322" spans="1:14" ht="15" thickBot="1">
      <c r="B322" s="566"/>
      <c r="C322" s="621"/>
      <c r="D322" s="621"/>
      <c r="E322" s="621"/>
      <c r="F322" s="621"/>
      <c r="G322" s="622"/>
      <c r="H322" s="622"/>
      <c r="I322" s="622"/>
      <c r="J322" s="622"/>
      <c r="K322" s="622"/>
      <c r="L322" s="623"/>
      <c r="M322" s="362"/>
      <c r="N322" s="362"/>
    </row>
    <row r="323" spans="1:14">
      <c r="B323" s="460"/>
      <c r="C323" s="482"/>
      <c r="D323" s="482"/>
      <c r="E323" s="482"/>
      <c r="F323" s="482"/>
      <c r="G323" s="482"/>
      <c r="H323" s="483"/>
      <c r="I323" s="419"/>
      <c r="J323" s="419"/>
      <c r="K323" s="483"/>
      <c r="L323" s="483"/>
      <c r="N323" s="419"/>
    </row>
    <row r="324" spans="1:14">
      <c r="B324" s="484"/>
      <c r="C324" s="485"/>
      <c r="D324" s="485"/>
      <c r="E324" s="485"/>
      <c r="F324" s="485"/>
      <c r="G324" s="485"/>
      <c r="H324" s="483"/>
      <c r="I324" s="71"/>
      <c r="J324" s="419"/>
      <c r="K324" s="483"/>
      <c r="L324" s="483"/>
      <c r="N324" s="419"/>
    </row>
    <row r="325" spans="1:14">
      <c r="B325" s="460"/>
      <c r="C325" s="358"/>
      <c r="D325" s="358"/>
      <c r="E325" s="358"/>
      <c r="F325" s="358"/>
      <c r="G325" s="358"/>
      <c r="I325" s="419"/>
      <c r="J325" s="419"/>
      <c r="N325" s="419"/>
    </row>
    <row r="326" spans="1:14">
      <c r="B326" s="460"/>
      <c r="C326" s="486"/>
      <c r="D326" s="486"/>
      <c r="E326" s="486"/>
      <c r="F326" s="486"/>
      <c r="G326" s="358"/>
      <c r="M326" s="419"/>
      <c r="N326" s="419"/>
    </row>
    <row r="329" spans="1:14">
      <c r="A329" s="487"/>
      <c r="B329" s="488"/>
      <c r="D329" s="357"/>
      <c r="E329" s="357"/>
      <c r="F329" s="357"/>
      <c r="G329" s="357"/>
      <c r="H329" s="357"/>
      <c r="I329" s="357"/>
      <c r="J329" s="357"/>
      <c r="K329" s="357"/>
    </row>
    <row r="330" spans="1:14">
      <c r="A330" s="357"/>
      <c r="B330" s="489"/>
      <c r="E330" s="357"/>
      <c r="F330" s="357"/>
      <c r="G330" s="357"/>
      <c r="H330" s="357"/>
      <c r="I330" s="357"/>
      <c r="J330" s="357"/>
      <c r="K330" s="357"/>
    </row>
    <row r="331" spans="1:14">
      <c r="A331" s="357"/>
      <c r="B331" s="489"/>
      <c r="E331" s="357"/>
      <c r="F331" s="357"/>
      <c r="G331" s="357"/>
      <c r="H331" s="357"/>
      <c r="I331" s="357"/>
      <c r="J331" s="357"/>
      <c r="K331" s="357"/>
    </row>
    <row r="332" spans="1:14">
      <c r="A332" s="357"/>
      <c r="B332" s="489"/>
      <c r="E332" s="357"/>
      <c r="F332" s="357"/>
      <c r="G332" s="357"/>
      <c r="H332" s="357"/>
      <c r="I332" s="357"/>
      <c r="J332" s="357"/>
      <c r="K332" s="357"/>
    </row>
    <row r="333" spans="1:14">
      <c r="A333" s="357"/>
      <c r="B333" s="489"/>
      <c r="E333" s="357"/>
      <c r="F333" s="357"/>
      <c r="G333" s="357"/>
      <c r="H333" s="357"/>
      <c r="I333" s="357"/>
      <c r="J333" s="357"/>
      <c r="K333" s="357"/>
    </row>
    <row r="334" spans="1:14">
      <c r="A334" s="357"/>
      <c r="B334" s="489"/>
      <c r="E334" s="357"/>
      <c r="F334" s="357"/>
      <c r="G334" s="357"/>
      <c r="H334" s="357"/>
      <c r="I334" s="357"/>
      <c r="J334" s="357"/>
      <c r="K334" s="357"/>
    </row>
    <row r="335" spans="1:14">
      <c r="A335" s="357"/>
      <c r="B335" s="489"/>
      <c r="E335" s="357"/>
      <c r="F335" s="357"/>
      <c r="G335" s="357"/>
      <c r="H335" s="357"/>
      <c r="I335" s="357"/>
      <c r="J335" s="357"/>
      <c r="K335" s="357"/>
    </row>
    <row r="336" spans="1:14">
      <c r="A336" s="357"/>
      <c r="B336" s="489"/>
      <c r="E336" s="357"/>
      <c r="F336" s="357"/>
      <c r="G336" s="357"/>
      <c r="H336" s="357"/>
      <c r="I336" s="357"/>
      <c r="J336" s="357"/>
      <c r="K336" s="357"/>
    </row>
    <row r="337" spans="1:11">
      <c r="A337" s="357"/>
      <c r="B337" s="624"/>
      <c r="E337" s="357"/>
      <c r="F337" s="357"/>
      <c r="G337" s="357"/>
      <c r="H337" s="357"/>
      <c r="I337" s="357"/>
      <c r="J337" s="357"/>
      <c r="K337" s="357"/>
    </row>
    <row r="338" spans="1:11">
      <c r="A338" s="357"/>
      <c r="B338" s="489"/>
      <c r="E338" s="357"/>
      <c r="F338" s="357"/>
      <c r="G338" s="357"/>
      <c r="H338" s="357"/>
      <c r="I338" s="357"/>
      <c r="J338" s="357"/>
      <c r="K338" s="357"/>
    </row>
    <row r="339" spans="1:11">
      <c r="A339" s="487"/>
      <c r="B339" s="488"/>
      <c r="E339" s="357"/>
      <c r="F339" s="357"/>
      <c r="G339" s="357"/>
      <c r="H339" s="357"/>
      <c r="I339" s="357"/>
      <c r="J339" s="357"/>
      <c r="K339" s="357"/>
    </row>
    <row r="340" spans="1:11">
      <c r="A340" s="495"/>
      <c r="B340" s="489"/>
      <c r="C340" s="488"/>
      <c r="E340" s="357"/>
      <c r="F340" s="357"/>
      <c r="G340" s="357"/>
      <c r="H340" s="357"/>
      <c r="I340" s="357"/>
      <c r="J340" s="357"/>
      <c r="K340" s="357"/>
    </row>
    <row r="341" spans="1:11">
      <c r="A341" s="495"/>
      <c r="B341" s="489"/>
      <c r="C341" s="488"/>
      <c r="E341" s="357"/>
      <c r="F341" s="357"/>
      <c r="G341" s="357"/>
      <c r="H341" s="357"/>
      <c r="I341" s="357"/>
      <c r="J341" s="357"/>
      <c r="K341" s="357"/>
    </row>
    <row r="342" spans="1:11">
      <c r="A342" s="495"/>
      <c r="B342" s="489"/>
      <c r="C342" s="488"/>
      <c r="E342" s="357"/>
      <c r="F342" s="357"/>
      <c r="G342" s="357"/>
      <c r="H342" s="357"/>
      <c r="I342" s="357"/>
      <c r="J342" s="357"/>
      <c r="K342" s="357"/>
    </row>
    <row r="343" spans="1:11">
      <c r="A343" s="495"/>
      <c r="B343" s="489"/>
      <c r="C343" s="488"/>
      <c r="E343" s="357"/>
      <c r="F343" s="357"/>
      <c r="G343" s="357"/>
      <c r="H343" s="357"/>
      <c r="I343" s="357"/>
      <c r="J343" s="357"/>
      <c r="K343" s="357"/>
    </row>
    <row r="344" spans="1:11" ht="15.75" customHeight="1">
      <c r="A344" s="495"/>
      <c r="B344" s="489"/>
      <c r="C344" s="488"/>
      <c r="E344" s="357"/>
      <c r="F344" s="357"/>
      <c r="G344" s="357"/>
      <c r="H344" s="357"/>
      <c r="I344" s="357"/>
      <c r="J344" s="357"/>
      <c r="K344" s="357"/>
    </row>
    <row r="345" spans="1:11" ht="15.75" customHeight="1">
      <c r="A345" s="495"/>
      <c r="B345" s="489"/>
      <c r="C345" s="488"/>
      <c r="E345" s="357"/>
      <c r="F345" s="357"/>
      <c r="G345" s="357"/>
      <c r="H345" s="357"/>
      <c r="I345" s="357"/>
      <c r="J345" s="357"/>
      <c r="K345" s="357"/>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7" location="INDEX" display="Direct Firing, Electricity" xr:uid="{E2F4C899-B6B0-404D-8875-794B386924BE}"/>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tabColor theme="3"/>
  </sheetPr>
  <dimension ref="B3:H156"/>
  <sheetViews>
    <sheetView topLeftCell="A19" workbookViewId="0">
      <selection activeCell="F153" sqref="F153"/>
    </sheetView>
  </sheetViews>
  <sheetFormatPr defaultRowHeight="14.4"/>
  <cols>
    <col min="2" max="2" width="36.77734375" customWidth="1"/>
  </cols>
  <sheetData>
    <row r="3" spans="2:8">
      <c r="B3" s="8" t="s">
        <v>309</v>
      </c>
    </row>
    <row r="5" spans="2:8" ht="15" thickBot="1"/>
    <row r="6" spans="2:8">
      <c r="B6" s="1254" t="s">
        <v>0</v>
      </c>
      <c r="C6" s="1256" t="s">
        <v>58</v>
      </c>
      <c r="D6" s="1257"/>
      <c r="E6" s="1257"/>
      <c r="F6" s="1257"/>
      <c r="G6" s="1257"/>
      <c r="H6" s="1258"/>
    </row>
    <row r="7" spans="2:8" ht="15" thickBot="1">
      <c r="B7" s="1255"/>
      <c r="C7" s="1131" t="s">
        <v>38</v>
      </c>
      <c r="D7" s="1132"/>
      <c r="E7" s="1132"/>
      <c r="F7" s="1132"/>
      <c r="G7" s="1132"/>
      <c r="H7" s="113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2">
        <v>10</v>
      </c>
      <c r="D10" s="2">
        <v>10</v>
      </c>
      <c r="E10" s="2">
        <v>10</v>
      </c>
      <c r="F10" s="2">
        <v>10</v>
      </c>
      <c r="G10" s="2" t="s">
        <v>51</v>
      </c>
      <c r="H10" s="2"/>
    </row>
    <row r="11" spans="2:8" ht="24.6" thickBot="1">
      <c r="B11" s="1" t="s">
        <v>7</v>
      </c>
      <c r="C11" s="2">
        <v>100</v>
      </c>
      <c r="D11" s="2">
        <v>100</v>
      </c>
      <c r="E11" s="2">
        <v>100</v>
      </c>
      <c r="F11" s="2">
        <v>100</v>
      </c>
      <c r="G11" s="2"/>
      <c r="H11" s="2"/>
    </row>
    <row r="12" spans="2:8" ht="24.6" thickBot="1">
      <c r="B12" s="1" t="s">
        <v>8</v>
      </c>
      <c r="C12" s="2">
        <v>100</v>
      </c>
      <c r="D12" s="2">
        <v>100</v>
      </c>
      <c r="E12" s="2">
        <v>100</v>
      </c>
      <c r="F12" s="2">
        <v>100</v>
      </c>
      <c r="G12" s="2"/>
      <c r="H12" s="2"/>
    </row>
    <row r="13" spans="2:8" ht="15" thickBot="1">
      <c r="B13" s="1" t="s">
        <v>9</v>
      </c>
      <c r="C13" s="2">
        <v>98</v>
      </c>
      <c r="D13" s="2">
        <v>98</v>
      </c>
      <c r="E13" s="2">
        <v>98</v>
      </c>
      <c r="F13" s="2">
        <v>98</v>
      </c>
      <c r="G13" s="2" t="s">
        <v>59</v>
      </c>
      <c r="H13" s="2"/>
    </row>
    <row r="14" spans="2:8" ht="15" thickBot="1">
      <c r="B14" s="1" t="s">
        <v>11</v>
      </c>
      <c r="C14" s="2">
        <v>20</v>
      </c>
      <c r="D14" s="2">
        <v>20</v>
      </c>
      <c r="E14" s="2">
        <v>20</v>
      </c>
      <c r="F14" s="2">
        <v>20</v>
      </c>
      <c r="G14" s="2"/>
      <c r="H14" s="2"/>
    </row>
    <row r="15" spans="2:8" ht="15" thickBot="1">
      <c r="B15" s="3" t="s">
        <v>12</v>
      </c>
      <c r="C15" s="4"/>
      <c r="D15" s="4"/>
      <c r="E15" s="4"/>
      <c r="F15" s="4"/>
      <c r="G15" s="4"/>
      <c r="H15" s="5"/>
    </row>
    <row r="16" spans="2:8" ht="15.6" thickBot="1">
      <c r="B16" s="1" t="s">
        <v>13</v>
      </c>
      <c r="C16" s="35">
        <v>0</v>
      </c>
      <c r="D16" s="35">
        <v>0</v>
      </c>
      <c r="E16" s="35">
        <v>0</v>
      </c>
      <c r="F16" s="35">
        <v>0</v>
      </c>
      <c r="G16" s="2"/>
      <c r="H16" s="2"/>
    </row>
    <row r="17" spans="2:8" ht="15.6" thickBot="1">
      <c r="B17" s="1" t="s">
        <v>15</v>
      </c>
      <c r="C17" s="35">
        <v>0</v>
      </c>
      <c r="D17" s="35">
        <v>0</v>
      </c>
      <c r="E17" s="35">
        <v>0</v>
      </c>
      <c r="F17" s="35">
        <v>0</v>
      </c>
      <c r="G17" s="2"/>
      <c r="H17" s="2"/>
    </row>
    <row r="18" spans="2:8" ht="15.6" thickBot="1">
      <c r="B18" s="1" t="s">
        <v>17</v>
      </c>
      <c r="C18" s="35">
        <v>0</v>
      </c>
      <c r="D18" s="35">
        <v>0</v>
      </c>
      <c r="E18" s="35">
        <v>0</v>
      </c>
      <c r="F18" s="35">
        <v>0</v>
      </c>
      <c r="G18" s="2"/>
      <c r="H18" s="2"/>
    </row>
    <row r="19" spans="2:8" ht="15.6" thickBot="1">
      <c r="B19" s="1" t="s">
        <v>18</v>
      </c>
      <c r="C19" s="35">
        <v>0</v>
      </c>
      <c r="D19" s="35">
        <v>0</v>
      </c>
      <c r="E19" s="35">
        <v>0</v>
      </c>
      <c r="F19" s="35">
        <v>0</v>
      </c>
      <c r="G19" s="2"/>
      <c r="H19" s="2"/>
    </row>
    <row r="20" spans="2:8" ht="15" thickBot="1">
      <c r="B20" s="1" t="s">
        <v>19</v>
      </c>
      <c r="C20" s="35">
        <v>0</v>
      </c>
      <c r="D20" s="35">
        <v>0</v>
      </c>
      <c r="E20" s="35">
        <v>0</v>
      </c>
      <c r="F20" s="35">
        <v>0</v>
      </c>
      <c r="G20" s="2"/>
      <c r="H20" s="2"/>
    </row>
    <row r="21" spans="2:8" ht="15" thickBot="1">
      <c r="B21" s="3" t="s">
        <v>22</v>
      </c>
      <c r="C21" s="4"/>
      <c r="D21" s="4"/>
      <c r="E21" s="4"/>
      <c r="F21" s="4"/>
      <c r="G21" s="4"/>
      <c r="H21" s="5"/>
    </row>
    <row r="22" spans="2:8" ht="15" thickBot="1">
      <c r="B22" s="1" t="s">
        <v>23</v>
      </c>
      <c r="C22" s="2"/>
      <c r="D22" s="2"/>
      <c r="E22" s="2"/>
      <c r="F22" s="2"/>
      <c r="G22" s="2"/>
      <c r="H22" s="2"/>
    </row>
    <row r="23" spans="2:8">
      <c r="B23" s="6" t="s">
        <v>24</v>
      </c>
      <c r="C23" s="7" t="s">
        <v>60</v>
      </c>
      <c r="D23" s="7" t="s">
        <v>60</v>
      </c>
      <c r="E23" s="7" t="s">
        <v>60</v>
      </c>
      <c r="F23" s="7" t="s">
        <v>60</v>
      </c>
      <c r="G23" s="7" t="s">
        <v>16</v>
      </c>
      <c r="H23" s="7" t="s">
        <v>61</v>
      </c>
    </row>
    <row r="24" spans="2:8">
      <c r="B24" s="6" t="s">
        <v>26</v>
      </c>
      <c r="C24" s="7" t="s">
        <v>62</v>
      </c>
      <c r="D24" s="7" t="s">
        <v>62</v>
      </c>
      <c r="E24" s="7" t="s">
        <v>62</v>
      </c>
      <c r="F24" s="7" t="s">
        <v>62</v>
      </c>
      <c r="G24" s="7"/>
      <c r="H24" s="7"/>
    </row>
    <row r="25" spans="2:8" ht="15" thickBot="1">
      <c r="B25" s="1" t="s">
        <v>28</v>
      </c>
      <c r="C25" s="2" t="s">
        <v>63</v>
      </c>
      <c r="D25" s="2" t="s">
        <v>63</v>
      </c>
      <c r="E25" s="2" t="s">
        <v>63</v>
      </c>
      <c r="F25" s="2" t="s">
        <v>63</v>
      </c>
      <c r="G25" s="2"/>
      <c r="H25" s="2"/>
    </row>
    <row r="26" spans="2:8" ht="24.6" thickBot="1">
      <c r="B26" s="1" t="s">
        <v>30</v>
      </c>
      <c r="C26" s="2">
        <v>3</v>
      </c>
      <c r="D26" s="2">
        <v>3</v>
      </c>
      <c r="E26" s="2">
        <v>3</v>
      </c>
      <c r="F26" s="2">
        <v>3</v>
      </c>
      <c r="G26" s="2" t="s">
        <v>20</v>
      </c>
      <c r="H26" s="2"/>
    </row>
    <row r="27" spans="2:8" ht="15" thickBot="1">
      <c r="B27" s="1" t="s">
        <v>64</v>
      </c>
      <c r="C27" s="2">
        <v>150</v>
      </c>
      <c r="D27" s="2">
        <v>150</v>
      </c>
      <c r="E27" s="2">
        <v>150</v>
      </c>
      <c r="F27" s="2">
        <v>150</v>
      </c>
      <c r="G27" s="2" t="s">
        <v>25</v>
      </c>
      <c r="H27" s="2">
        <v>7</v>
      </c>
    </row>
    <row r="28" spans="2:8" ht="15" thickBot="1">
      <c r="B28" s="1" t="s">
        <v>31</v>
      </c>
      <c r="C28" s="2"/>
      <c r="D28" s="2"/>
      <c r="E28" s="2"/>
      <c r="F28" s="2"/>
      <c r="G28" s="2"/>
      <c r="H28" s="2"/>
    </row>
    <row r="32" spans="2:8" ht="15" thickBot="1"/>
    <row r="33" spans="2:8" ht="15" customHeight="1">
      <c r="B33" s="1254" t="s">
        <v>0</v>
      </c>
      <c r="C33" s="1256" t="s">
        <v>58</v>
      </c>
      <c r="D33" s="1257"/>
      <c r="E33" s="1257"/>
      <c r="F33" s="1257"/>
      <c r="G33" s="1257"/>
      <c r="H33" s="1258"/>
    </row>
    <row r="34" spans="2:8" ht="15.75" customHeight="1" thickBot="1">
      <c r="B34" s="1255"/>
      <c r="C34" s="1131" t="s">
        <v>53</v>
      </c>
      <c r="D34" s="1132"/>
      <c r="E34" s="1132"/>
      <c r="F34" s="1132"/>
      <c r="G34" s="1132"/>
      <c r="H34" s="1133"/>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2">
        <v>250</v>
      </c>
      <c r="D37" s="2">
        <v>250</v>
      </c>
      <c r="E37" s="2">
        <v>250</v>
      </c>
      <c r="F37" s="2">
        <v>250</v>
      </c>
      <c r="G37" s="2" t="s">
        <v>6</v>
      </c>
      <c r="H37" s="2"/>
    </row>
    <row r="38" spans="2:8" ht="24.6" thickBot="1">
      <c r="B38" s="1" t="s">
        <v>7</v>
      </c>
      <c r="C38" s="2">
        <v>100</v>
      </c>
      <c r="D38" s="2">
        <v>100</v>
      </c>
      <c r="E38" s="2">
        <v>100</v>
      </c>
      <c r="F38" s="2">
        <v>100</v>
      </c>
      <c r="G38" s="2"/>
      <c r="H38" s="2"/>
    </row>
    <row r="39" spans="2:8" ht="24.6" thickBot="1">
      <c r="B39" s="1" t="s">
        <v>8</v>
      </c>
      <c r="C39" s="2">
        <v>100</v>
      </c>
      <c r="D39" s="2">
        <v>100</v>
      </c>
      <c r="E39" s="2">
        <v>100</v>
      </c>
      <c r="F39" s="2">
        <v>100</v>
      </c>
      <c r="G39" s="2"/>
      <c r="H39" s="2"/>
    </row>
    <row r="40" spans="2:8" ht="15" thickBot="1">
      <c r="B40" s="1" t="s">
        <v>9</v>
      </c>
      <c r="C40" s="2">
        <v>100</v>
      </c>
      <c r="D40" s="2">
        <v>100</v>
      </c>
      <c r="E40" s="2">
        <v>100</v>
      </c>
      <c r="F40" s="2">
        <v>100</v>
      </c>
      <c r="G40" s="2" t="s">
        <v>59</v>
      </c>
      <c r="H40" s="2"/>
    </row>
    <row r="41" spans="2:8" ht="15" thickBot="1">
      <c r="B41" s="1" t="s">
        <v>11</v>
      </c>
      <c r="C41" s="2">
        <v>20</v>
      </c>
      <c r="D41" s="2">
        <v>20</v>
      </c>
      <c r="E41" s="2">
        <v>20</v>
      </c>
      <c r="F41" s="2">
        <v>20</v>
      </c>
      <c r="G41" s="2"/>
      <c r="H41" s="2"/>
    </row>
    <row r="42" spans="2:8" ht="15" thickBot="1">
      <c r="B42" s="3" t="s">
        <v>12</v>
      </c>
      <c r="C42" s="4"/>
      <c r="D42" s="4"/>
      <c r="E42" s="4"/>
      <c r="F42" s="4"/>
      <c r="G42" s="4"/>
      <c r="H42" s="5"/>
    </row>
    <row r="43" spans="2:8" ht="15.6" thickBot="1">
      <c r="B43" s="1" t="s">
        <v>13</v>
      </c>
      <c r="C43" s="35">
        <v>0</v>
      </c>
      <c r="D43" s="35">
        <v>0</v>
      </c>
      <c r="E43" s="35">
        <v>0</v>
      </c>
      <c r="F43" s="35">
        <v>0</v>
      </c>
      <c r="G43" s="2"/>
      <c r="H43" s="2"/>
    </row>
    <row r="44" spans="2:8" ht="15.6" thickBot="1">
      <c r="B44" s="1" t="s">
        <v>15</v>
      </c>
      <c r="C44" s="35">
        <v>0</v>
      </c>
      <c r="D44" s="35">
        <v>0</v>
      </c>
      <c r="E44" s="35">
        <v>0</v>
      </c>
      <c r="F44" s="35">
        <v>0</v>
      </c>
      <c r="G44" s="2"/>
      <c r="H44" s="2"/>
    </row>
    <row r="45" spans="2:8" ht="15.6" thickBot="1">
      <c r="B45" s="1" t="s">
        <v>17</v>
      </c>
      <c r="C45" s="35">
        <v>0</v>
      </c>
      <c r="D45" s="35">
        <v>0</v>
      </c>
      <c r="E45" s="35">
        <v>0</v>
      </c>
      <c r="F45" s="35">
        <v>0</v>
      </c>
      <c r="G45" s="2"/>
      <c r="H45" s="2"/>
    </row>
    <row r="46" spans="2:8" ht="15.6" thickBot="1">
      <c r="B46" s="1" t="s">
        <v>18</v>
      </c>
      <c r="C46" s="35">
        <v>0</v>
      </c>
      <c r="D46" s="35">
        <v>0</v>
      </c>
      <c r="E46" s="35">
        <v>0</v>
      </c>
      <c r="F46" s="35">
        <v>0</v>
      </c>
      <c r="G46" s="2"/>
      <c r="H46" s="2"/>
    </row>
    <row r="47" spans="2:8" ht="15" thickBot="1">
      <c r="B47" s="1" t="s">
        <v>19</v>
      </c>
      <c r="C47" s="35">
        <v>0</v>
      </c>
      <c r="D47" s="35">
        <v>0</v>
      </c>
      <c r="E47" s="35">
        <v>0</v>
      </c>
      <c r="F47" s="35">
        <v>0</v>
      </c>
      <c r="G47" s="2"/>
      <c r="H47" s="2"/>
    </row>
    <row r="48" spans="2:8" ht="15" thickBot="1">
      <c r="B48" s="3" t="s">
        <v>22</v>
      </c>
      <c r="C48" s="4"/>
      <c r="D48" s="4"/>
      <c r="E48" s="4"/>
      <c r="F48" s="4"/>
      <c r="G48" s="4"/>
      <c r="H48" s="5"/>
    </row>
    <row r="49" spans="2:8" ht="15" thickBot="1">
      <c r="B49" s="1" t="s">
        <v>23</v>
      </c>
      <c r="C49" s="2">
        <v>7.0000000000000007E-2</v>
      </c>
      <c r="D49" s="2">
        <v>7.0000000000000007E-2</v>
      </c>
      <c r="E49" s="2">
        <v>7.0000000000000007E-2</v>
      </c>
      <c r="F49" s="2">
        <v>7.0000000000000007E-2</v>
      </c>
      <c r="G49" s="2" t="s">
        <v>33</v>
      </c>
      <c r="H49" s="2" t="s">
        <v>65</v>
      </c>
    </row>
    <row r="50" spans="2:8">
      <c r="B50" s="6" t="s">
        <v>24</v>
      </c>
      <c r="C50" s="7"/>
      <c r="D50" s="7"/>
      <c r="E50" s="7"/>
      <c r="F50" s="7"/>
      <c r="G50" s="7"/>
      <c r="H50" s="7"/>
    </row>
    <row r="51" spans="2:8">
      <c r="B51" s="6" t="s">
        <v>26</v>
      </c>
      <c r="C51" s="7" t="s">
        <v>27</v>
      </c>
      <c r="D51" s="7">
        <v>70</v>
      </c>
      <c r="E51" s="7">
        <v>70</v>
      </c>
      <c r="F51" s="7">
        <v>70</v>
      </c>
      <c r="G51" s="7"/>
      <c r="H51" s="7"/>
    </row>
    <row r="52" spans="2:8" ht="15" thickBot="1">
      <c r="B52" s="1" t="s">
        <v>28</v>
      </c>
      <c r="C52" s="2" t="s">
        <v>29</v>
      </c>
      <c r="D52" s="2">
        <v>30</v>
      </c>
      <c r="E52" s="2">
        <v>30</v>
      </c>
      <c r="F52" s="2">
        <v>30</v>
      </c>
      <c r="G52" s="2"/>
      <c r="H52" s="2"/>
    </row>
    <row r="53" spans="2:8" ht="24.6" thickBot="1">
      <c r="B53" s="1" t="s">
        <v>30</v>
      </c>
      <c r="C53" s="2">
        <v>4</v>
      </c>
      <c r="D53" s="2">
        <v>4</v>
      </c>
      <c r="E53" s="2">
        <v>4</v>
      </c>
      <c r="F53" s="2">
        <v>4</v>
      </c>
      <c r="G53" s="2" t="s">
        <v>20</v>
      </c>
      <c r="H53" s="2"/>
    </row>
    <row r="54" spans="2:8" ht="15" thickBot="1">
      <c r="B54" s="1" t="s">
        <v>64</v>
      </c>
      <c r="C54" s="10">
        <v>1250</v>
      </c>
      <c r="D54" s="10">
        <v>1250</v>
      </c>
      <c r="E54" s="10">
        <v>1250</v>
      </c>
      <c r="F54" s="10">
        <v>1250</v>
      </c>
      <c r="G54" s="2"/>
      <c r="H54" s="2">
        <v>7</v>
      </c>
    </row>
    <row r="55" spans="2:8" ht="15" thickBot="1">
      <c r="B55" s="1" t="s">
        <v>31</v>
      </c>
      <c r="C55" s="2"/>
      <c r="D55" s="2"/>
      <c r="E55" s="2"/>
      <c r="F55" s="2"/>
      <c r="G55" s="2"/>
      <c r="H55" s="2"/>
    </row>
    <row r="156" spans="7:7">
      <c r="G156" s="263" t="s">
        <v>600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tabColor theme="3"/>
  </sheetPr>
  <dimension ref="B3:M61"/>
  <sheetViews>
    <sheetView topLeftCell="A31" workbookViewId="0">
      <selection activeCell="C60" sqref="C60"/>
    </sheetView>
  </sheetViews>
  <sheetFormatPr defaultRowHeight="14.4"/>
  <cols>
    <col min="2" max="2" width="36.77734375" customWidth="1"/>
    <col min="12" max="12" width="14.77734375" customWidth="1"/>
    <col min="13" max="13" width="18.77734375" customWidth="1"/>
  </cols>
  <sheetData>
    <row r="3" spans="2:13">
      <c r="B3" s="8" t="s">
        <v>323</v>
      </c>
    </row>
    <row r="5" spans="2:13" ht="15" thickBot="1"/>
    <row r="6" spans="2:13" ht="15" thickBot="1">
      <c r="B6" s="24" t="s">
        <v>0</v>
      </c>
      <c r="C6" s="1259" t="s">
        <v>238</v>
      </c>
      <c r="D6" s="1260"/>
      <c r="E6" s="1260"/>
      <c r="F6" s="1260"/>
      <c r="G6" s="1260"/>
      <c r="H6" s="1261"/>
      <c r="L6" s="224" t="s">
        <v>608</v>
      </c>
      <c r="M6" s="224"/>
    </row>
    <row r="7" spans="2:13" ht="15" thickBot="1">
      <c r="B7" s="1"/>
      <c r="C7" s="2">
        <v>2015</v>
      </c>
      <c r="D7" s="2">
        <v>2020</v>
      </c>
      <c r="E7" s="2">
        <v>2030</v>
      </c>
      <c r="F7" s="2">
        <v>2050</v>
      </c>
      <c r="G7" s="2" t="s">
        <v>2</v>
      </c>
      <c r="H7" s="2" t="s">
        <v>3</v>
      </c>
      <c r="L7" s="224"/>
      <c r="M7" s="224"/>
    </row>
    <row r="8" spans="2:13" ht="27.6" thickBot="1">
      <c r="B8" s="3" t="s">
        <v>4</v>
      </c>
      <c r="C8" s="4"/>
      <c r="D8" s="4"/>
      <c r="E8" s="4"/>
      <c r="F8" s="4"/>
      <c r="G8" s="4"/>
      <c r="H8" s="5"/>
      <c r="L8" s="301" t="s">
        <v>606</v>
      </c>
      <c r="M8" s="301" t="s">
        <v>607</v>
      </c>
    </row>
    <row r="9" spans="2:13" ht="15" thickBot="1">
      <c r="B9" s="1" t="s">
        <v>239</v>
      </c>
      <c r="C9" s="2">
        <v>120</v>
      </c>
      <c r="D9" s="2">
        <v>120</v>
      </c>
      <c r="E9" s="2">
        <v>120</v>
      </c>
      <c r="F9" s="2">
        <v>120</v>
      </c>
      <c r="G9" s="2" t="s">
        <v>6</v>
      </c>
      <c r="H9" s="2">
        <v>1</v>
      </c>
      <c r="L9" s="224">
        <v>250</v>
      </c>
      <c r="M9" s="224">
        <f>L9*7.45*3.6*8760/1000000000</f>
        <v>5.8735799999999998E-2</v>
      </c>
    </row>
    <row r="10" spans="2:13" ht="15" thickBot="1">
      <c r="B10" s="1" t="s">
        <v>240</v>
      </c>
      <c r="C10" s="2">
        <v>15</v>
      </c>
      <c r="D10" s="2">
        <v>15</v>
      </c>
      <c r="E10" s="2">
        <v>15</v>
      </c>
      <c r="F10" s="2">
        <v>15</v>
      </c>
      <c r="G10" s="2" t="s">
        <v>59</v>
      </c>
      <c r="H10" s="2">
        <v>1</v>
      </c>
      <c r="L10" s="224"/>
      <c r="M10" s="224"/>
    </row>
    <row r="11" spans="2:13" ht="15" thickBot="1">
      <c r="B11" s="1" t="s">
        <v>241</v>
      </c>
      <c r="C11" s="2">
        <v>141</v>
      </c>
      <c r="D11" s="2">
        <v>141</v>
      </c>
      <c r="E11" s="2">
        <v>141</v>
      </c>
      <c r="F11" s="2">
        <v>141</v>
      </c>
      <c r="G11" s="2" t="s">
        <v>6</v>
      </c>
      <c r="H11" s="2">
        <v>1</v>
      </c>
    </row>
    <row r="12" spans="2:13" ht="15" thickBot="1">
      <c r="B12" s="1" t="s">
        <v>242</v>
      </c>
      <c r="C12" s="2" t="s">
        <v>243</v>
      </c>
      <c r="D12" s="2" t="s">
        <v>243</v>
      </c>
      <c r="E12" s="2" t="s">
        <v>243</v>
      </c>
      <c r="F12" s="2" t="s">
        <v>243</v>
      </c>
      <c r="G12" s="2"/>
      <c r="H12" s="2">
        <v>2</v>
      </c>
    </row>
    <row r="13" spans="2:13" ht="15" thickBot="1">
      <c r="B13" s="1" t="s">
        <v>11</v>
      </c>
      <c r="C13" s="2" t="s">
        <v>186</v>
      </c>
      <c r="D13" s="2" t="s">
        <v>186</v>
      </c>
      <c r="E13" s="2" t="s">
        <v>186</v>
      </c>
      <c r="F13" s="2" t="s">
        <v>186</v>
      </c>
      <c r="G13" s="2"/>
      <c r="H13" s="2">
        <v>3</v>
      </c>
    </row>
    <row r="14" spans="2:13" ht="15" thickBot="1">
      <c r="B14" s="3" t="s">
        <v>22</v>
      </c>
      <c r="C14" s="4"/>
      <c r="D14" s="4"/>
      <c r="E14" s="4"/>
      <c r="F14" s="4"/>
      <c r="G14" s="4"/>
      <c r="H14" s="5"/>
    </row>
    <row r="15" spans="2:13" ht="15" thickBot="1">
      <c r="B15" s="1" t="s">
        <v>244</v>
      </c>
      <c r="C15" s="2" t="s">
        <v>245</v>
      </c>
      <c r="D15" s="2" t="s">
        <v>245</v>
      </c>
      <c r="E15" s="2" t="s">
        <v>245</v>
      </c>
      <c r="F15" s="2" t="s">
        <v>245</v>
      </c>
      <c r="G15" s="2" t="s">
        <v>16</v>
      </c>
      <c r="H15" s="2">
        <v>1</v>
      </c>
    </row>
    <row r="16" spans="2:13" ht="15" thickBot="1">
      <c r="B16" s="1" t="s">
        <v>246</v>
      </c>
      <c r="C16" s="2">
        <v>250</v>
      </c>
      <c r="D16" s="2">
        <v>250</v>
      </c>
      <c r="E16" s="2">
        <v>250</v>
      </c>
      <c r="F16" s="2">
        <v>250</v>
      </c>
      <c r="G16" s="2"/>
      <c r="H16" s="2">
        <v>4</v>
      </c>
    </row>
    <row r="20" spans="2:8" ht="15" thickBot="1"/>
    <row r="21" spans="2:8" ht="15" thickBot="1">
      <c r="B21" s="24" t="s">
        <v>0</v>
      </c>
      <c r="C21" s="1259" t="s">
        <v>247</v>
      </c>
      <c r="D21" s="1260"/>
      <c r="E21" s="1260"/>
      <c r="F21" s="1260"/>
      <c r="G21" s="1260"/>
      <c r="H21" s="1261"/>
    </row>
    <row r="22" spans="2:8" ht="15" thickBot="1">
      <c r="B22" s="1"/>
      <c r="C22" s="2">
        <v>2015</v>
      </c>
      <c r="D22" s="2">
        <v>2020</v>
      </c>
      <c r="E22" s="2">
        <v>2030</v>
      </c>
      <c r="F22" s="2">
        <v>2050</v>
      </c>
      <c r="G22" s="2" t="s">
        <v>2</v>
      </c>
      <c r="H22" s="2" t="s">
        <v>3</v>
      </c>
    </row>
    <row r="23" spans="2:8" ht="15" thickBot="1">
      <c r="B23" s="3" t="s">
        <v>4</v>
      </c>
      <c r="C23" s="4"/>
      <c r="D23" s="4"/>
      <c r="E23" s="4"/>
      <c r="F23" s="4"/>
      <c r="G23" s="4"/>
      <c r="H23" s="5"/>
    </row>
    <row r="24" spans="2:8" ht="15" thickBot="1">
      <c r="B24" s="1" t="s">
        <v>239</v>
      </c>
      <c r="C24" s="2" t="s">
        <v>160</v>
      </c>
      <c r="D24" s="2" t="s">
        <v>160</v>
      </c>
      <c r="E24" s="2" t="s">
        <v>160</v>
      </c>
      <c r="F24" s="2" t="s">
        <v>160</v>
      </c>
      <c r="G24" s="2" t="s">
        <v>6</v>
      </c>
      <c r="H24" s="2">
        <v>1</v>
      </c>
    </row>
    <row r="25" spans="2:8" ht="15" thickBot="1">
      <c r="B25" s="1" t="s">
        <v>240</v>
      </c>
      <c r="C25" s="2" t="s">
        <v>248</v>
      </c>
      <c r="D25" s="2" t="s">
        <v>248</v>
      </c>
      <c r="E25" s="2" t="s">
        <v>248</v>
      </c>
      <c r="F25" s="2" t="s">
        <v>248</v>
      </c>
      <c r="G25" s="2" t="s">
        <v>59</v>
      </c>
      <c r="H25" s="2" t="s">
        <v>94</v>
      </c>
    </row>
    <row r="26" spans="2:8" ht="15" thickBot="1">
      <c r="B26" s="1" t="s">
        <v>241</v>
      </c>
      <c r="C26" s="2" t="s">
        <v>249</v>
      </c>
      <c r="D26" s="2" t="s">
        <v>249</v>
      </c>
      <c r="E26" s="2" t="s">
        <v>249</v>
      </c>
      <c r="F26" s="2" t="s">
        <v>249</v>
      </c>
      <c r="G26" s="2" t="s">
        <v>6</v>
      </c>
      <c r="H26" s="2">
        <v>1</v>
      </c>
    </row>
    <row r="27" spans="2:8" ht="15" thickBot="1">
      <c r="B27" s="1" t="s">
        <v>242</v>
      </c>
      <c r="C27" s="34" t="s">
        <v>306</v>
      </c>
      <c r="D27" s="34" t="s">
        <v>306</v>
      </c>
      <c r="E27" s="34" t="s">
        <v>306</v>
      </c>
      <c r="F27" s="34" t="s">
        <v>306</v>
      </c>
      <c r="G27" s="2" t="s">
        <v>16</v>
      </c>
      <c r="H27" s="2" t="s">
        <v>94</v>
      </c>
    </row>
    <row r="28" spans="2:8" ht="15" thickBot="1">
      <c r="B28" s="1" t="s">
        <v>11</v>
      </c>
      <c r="C28" s="2" t="s">
        <v>186</v>
      </c>
      <c r="D28" s="2" t="s">
        <v>186</v>
      </c>
      <c r="E28" s="2" t="s">
        <v>186</v>
      </c>
      <c r="F28" s="2" t="s">
        <v>186</v>
      </c>
      <c r="G28" s="2"/>
      <c r="H28" s="2">
        <v>3</v>
      </c>
    </row>
    <row r="29" spans="2:8" ht="15" thickBot="1">
      <c r="B29" s="3" t="s">
        <v>22</v>
      </c>
      <c r="C29" s="4"/>
      <c r="D29" s="4"/>
      <c r="E29" s="4"/>
      <c r="F29" s="4"/>
      <c r="G29" s="4"/>
      <c r="H29" s="5"/>
    </row>
    <row r="30" spans="2:8" ht="15" thickBot="1">
      <c r="B30" s="1" t="s">
        <v>244</v>
      </c>
      <c r="C30" s="2" t="s">
        <v>250</v>
      </c>
      <c r="D30" s="2" t="s">
        <v>250</v>
      </c>
      <c r="E30" s="2" t="s">
        <v>250</v>
      </c>
      <c r="F30" s="2" t="s">
        <v>250</v>
      </c>
      <c r="G30" s="2" t="s">
        <v>76</v>
      </c>
      <c r="H30" s="2">
        <v>1</v>
      </c>
    </row>
    <row r="31" spans="2:8" ht="15" thickBot="1">
      <c r="B31" s="1" t="s">
        <v>246</v>
      </c>
      <c r="C31" s="2" t="s">
        <v>251</v>
      </c>
      <c r="D31" s="2" t="s">
        <v>251</v>
      </c>
      <c r="E31" s="2" t="s">
        <v>251</v>
      </c>
      <c r="F31" s="2" t="s">
        <v>251</v>
      </c>
      <c r="G31" s="2"/>
      <c r="H31" s="2">
        <v>4</v>
      </c>
    </row>
    <row r="35" spans="2:8" ht="15" thickBot="1"/>
    <row r="36" spans="2:8" ht="15" thickBot="1">
      <c r="B36" s="24" t="s">
        <v>0</v>
      </c>
      <c r="C36" s="1259" t="s">
        <v>252</v>
      </c>
      <c r="D36" s="1260"/>
      <c r="E36" s="1260"/>
      <c r="F36" s="1260"/>
      <c r="G36" s="1260"/>
      <c r="H36" s="1261"/>
    </row>
    <row r="37" spans="2:8" ht="15" thickBot="1">
      <c r="B37" s="1"/>
      <c r="C37" s="2">
        <v>2015</v>
      </c>
      <c r="D37" s="2">
        <v>2020</v>
      </c>
      <c r="E37" s="2">
        <v>2030</v>
      </c>
      <c r="F37" s="2">
        <v>2050</v>
      </c>
      <c r="G37" s="2" t="s">
        <v>2</v>
      </c>
      <c r="H37" s="2" t="s">
        <v>3</v>
      </c>
    </row>
    <row r="38" spans="2:8" ht="15" thickBot="1">
      <c r="B38" s="3" t="s">
        <v>4</v>
      </c>
      <c r="C38" s="4"/>
      <c r="D38" s="4"/>
      <c r="E38" s="4"/>
      <c r="F38" s="4"/>
      <c r="G38" s="4"/>
      <c r="H38" s="5"/>
    </row>
    <row r="39" spans="2:8" ht="15" thickBot="1">
      <c r="B39" s="1" t="s">
        <v>239</v>
      </c>
      <c r="C39" s="2" t="s">
        <v>253</v>
      </c>
      <c r="D39" s="2" t="s">
        <v>253</v>
      </c>
      <c r="E39" s="2" t="s">
        <v>253</v>
      </c>
      <c r="F39" s="2" t="s">
        <v>253</v>
      </c>
      <c r="G39" s="2" t="s">
        <v>6</v>
      </c>
      <c r="H39" s="2" t="s">
        <v>94</v>
      </c>
    </row>
    <row r="40" spans="2:8" ht="15" thickBot="1">
      <c r="B40" s="1" t="s">
        <v>240</v>
      </c>
      <c r="C40" s="2" t="s">
        <v>254</v>
      </c>
      <c r="D40" s="2" t="s">
        <v>254</v>
      </c>
      <c r="E40" s="2" t="s">
        <v>254</v>
      </c>
      <c r="F40" s="2" t="s">
        <v>254</v>
      </c>
      <c r="G40" s="2" t="s">
        <v>59</v>
      </c>
      <c r="H40" s="2" t="s">
        <v>94</v>
      </c>
    </row>
    <row r="41" spans="2:8" ht="15" thickBot="1">
      <c r="B41" s="1" t="s">
        <v>241</v>
      </c>
      <c r="C41" s="2" t="s">
        <v>255</v>
      </c>
      <c r="D41" s="2" t="s">
        <v>255</v>
      </c>
      <c r="E41" s="2" t="s">
        <v>255</v>
      </c>
      <c r="F41" s="2" t="s">
        <v>255</v>
      </c>
      <c r="G41" s="2" t="s">
        <v>6</v>
      </c>
      <c r="H41" s="2" t="s">
        <v>94</v>
      </c>
    </row>
    <row r="42" spans="2:8" ht="15" thickBot="1">
      <c r="B42" s="1" t="s">
        <v>242</v>
      </c>
      <c r="C42" s="2" t="s">
        <v>256</v>
      </c>
      <c r="D42" s="2" t="s">
        <v>256</v>
      </c>
      <c r="E42" s="2" t="s">
        <v>256</v>
      </c>
      <c r="F42" s="2" t="s">
        <v>256</v>
      </c>
      <c r="G42" s="2" t="s">
        <v>16</v>
      </c>
      <c r="H42" s="2" t="s">
        <v>94</v>
      </c>
    </row>
    <row r="43" spans="2:8" ht="15" thickBot="1">
      <c r="B43" s="1" t="s">
        <v>11</v>
      </c>
      <c r="C43" s="2" t="s">
        <v>186</v>
      </c>
      <c r="D43" s="2" t="s">
        <v>186</v>
      </c>
      <c r="E43" s="2" t="s">
        <v>186</v>
      </c>
      <c r="F43" s="2" t="s">
        <v>186</v>
      </c>
      <c r="G43" s="2"/>
      <c r="H43" s="2">
        <v>3</v>
      </c>
    </row>
    <row r="44" spans="2:8" ht="15" thickBot="1">
      <c r="B44" s="3" t="s">
        <v>22</v>
      </c>
      <c r="C44" s="4"/>
      <c r="D44" s="4"/>
      <c r="E44" s="4"/>
      <c r="F44" s="4"/>
      <c r="G44" s="4"/>
      <c r="H44" s="5"/>
    </row>
    <row r="45" spans="2:8" ht="15" thickBot="1">
      <c r="B45" s="1" t="s">
        <v>244</v>
      </c>
      <c r="C45" s="2" t="s">
        <v>257</v>
      </c>
      <c r="D45" s="2" t="s">
        <v>257</v>
      </c>
      <c r="E45" s="2" t="s">
        <v>257</v>
      </c>
      <c r="F45" s="2" t="s">
        <v>257</v>
      </c>
      <c r="G45" s="2" t="s">
        <v>76</v>
      </c>
      <c r="H45" s="2" t="s">
        <v>94</v>
      </c>
    </row>
    <row r="46" spans="2:8" ht="15" thickBot="1">
      <c r="B46" s="1" t="s">
        <v>246</v>
      </c>
      <c r="C46" s="2" t="s">
        <v>258</v>
      </c>
      <c r="D46" s="2" t="s">
        <v>258</v>
      </c>
      <c r="E46" s="2" t="s">
        <v>258</v>
      </c>
      <c r="F46" s="2" t="s">
        <v>258</v>
      </c>
      <c r="G46" s="2"/>
      <c r="H46" s="2">
        <v>4</v>
      </c>
    </row>
    <row r="50" spans="2:8" ht="15" thickBot="1"/>
    <row r="51" spans="2:8" ht="15" thickBot="1">
      <c r="B51" s="24" t="s">
        <v>0</v>
      </c>
      <c r="C51" s="1259" t="s">
        <v>259</v>
      </c>
      <c r="D51" s="1260"/>
      <c r="E51" s="1260"/>
      <c r="F51" s="1260"/>
      <c r="G51" s="1260"/>
      <c r="H51" s="1261"/>
    </row>
    <row r="52" spans="2:8" ht="15" thickBot="1">
      <c r="B52" s="1"/>
      <c r="C52" s="2">
        <v>2015</v>
      </c>
      <c r="D52" s="2">
        <v>2020</v>
      </c>
      <c r="E52" s="2">
        <v>2030</v>
      </c>
      <c r="F52" s="2">
        <v>2050</v>
      </c>
      <c r="G52" s="2" t="s">
        <v>2</v>
      </c>
      <c r="H52" s="2" t="s">
        <v>3</v>
      </c>
    </row>
    <row r="53" spans="2:8" ht="15" thickBot="1">
      <c r="B53" s="3" t="s">
        <v>4</v>
      </c>
      <c r="C53" s="4"/>
      <c r="D53" s="4"/>
      <c r="E53" s="4"/>
      <c r="F53" s="4"/>
      <c r="G53" s="4"/>
      <c r="H53" s="5"/>
    </row>
    <row r="54" spans="2:8" ht="15" thickBot="1">
      <c r="B54" s="1" t="s">
        <v>239</v>
      </c>
      <c r="C54" s="2" t="s">
        <v>253</v>
      </c>
      <c r="D54" s="2" t="s">
        <v>253</v>
      </c>
      <c r="E54" s="2" t="s">
        <v>253</v>
      </c>
      <c r="F54" s="2" t="s">
        <v>253</v>
      </c>
      <c r="G54" s="2" t="s">
        <v>6</v>
      </c>
      <c r="H54" s="2" t="s">
        <v>94</v>
      </c>
    </row>
    <row r="55" spans="2:8" ht="15" thickBot="1">
      <c r="B55" s="1" t="s">
        <v>240</v>
      </c>
      <c r="C55" s="2" t="s">
        <v>260</v>
      </c>
      <c r="D55" s="2" t="s">
        <v>260</v>
      </c>
      <c r="E55" s="2" t="s">
        <v>260</v>
      </c>
      <c r="F55" s="2" t="s">
        <v>260</v>
      </c>
      <c r="G55" s="2" t="s">
        <v>59</v>
      </c>
      <c r="H55" s="2" t="s">
        <v>94</v>
      </c>
    </row>
    <row r="56" spans="2:8" ht="15" thickBot="1">
      <c r="B56" s="1" t="s">
        <v>241</v>
      </c>
      <c r="C56" s="2" t="s">
        <v>261</v>
      </c>
      <c r="D56" s="2" t="s">
        <v>261</v>
      </c>
      <c r="E56" s="2" t="s">
        <v>261</v>
      </c>
      <c r="F56" s="2" t="s">
        <v>261</v>
      </c>
      <c r="G56" s="2" t="s">
        <v>6</v>
      </c>
      <c r="H56" s="2" t="s">
        <v>94</v>
      </c>
    </row>
    <row r="57" spans="2:8" ht="15" thickBot="1">
      <c r="B57" s="1" t="s">
        <v>242</v>
      </c>
      <c r="C57" s="19" t="s">
        <v>256</v>
      </c>
      <c r="D57" s="34" t="s">
        <v>256</v>
      </c>
      <c r="E57" s="34" t="s">
        <v>256</v>
      </c>
      <c r="F57" s="34" t="s">
        <v>256</v>
      </c>
      <c r="G57" s="2" t="s">
        <v>16</v>
      </c>
      <c r="H57" s="2">
        <v>1</v>
      </c>
    </row>
    <row r="58" spans="2:8" ht="15" thickBot="1">
      <c r="B58" s="1" t="s">
        <v>11</v>
      </c>
      <c r="C58" s="2" t="s">
        <v>186</v>
      </c>
      <c r="D58" s="2" t="s">
        <v>186</v>
      </c>
      <c r="E58" s="2" t="s">
        <v>186</v>
      </c>
      <c r="F58" s="2" t="s">
        <v>186</v>
      </c>
      <c r="G58" s="2"/>
      <c r="H58" s="2">
        <v>3</v>
      </c>
    </row>
    <row r="59" spans="2:8" ht="15" thickBot="1">
      <c r="B59" s="3" t="s">
        <v>22</v>
      </c>
      <c r="C59" s="4"/>
      <c r="D59" s="4"/>
      <c r="E59" s="4"/>
      <c r="F59" s="4"/>
      <c r="G59" s="4"/>
      <c r="H59" s="5"/>
    </row>
    <row r="60" spans="2:8" ht="15" thickBot="1">
      <c r="B60" s="1" t="s">
        <v>244</v>
      </c>
      <c r="C60" s="2" t="s">
        <v>262</v>
      </c>
      <c r="D60" s="2" t="s">
        <v>262</v>
      </c>
      <c r="E60" s="2" t="s">
        <v>262</v>
      </c>
      <c r="F60" s="2" t="s">
        <v>262</v>
      </c>
      <c r="G60" s="2" t="s">
        <v>76</v>
      </c>
      <c r="H60" s="2" t="s">
        <v>94</v>
      </c>
    </row>
    <row r="61" spans="2:8" ht="15" thickBot="1">
      <c r="B61" s="1" t="s">
        <v>246</v>
      </c>
      <c r="C61" s="2" t="s">
        <v>263</v>
      </c>
      <c r="D61" s="2" t="s">
        <v>263</v>
      </c>
      <c r="E61" s="2" t="s">
        <v>263</v>
      </c>
      <c r="F61" s="2" t="s">
        <v>263</v>
      </c>
      <c r="G61" s="2"/>
      <c r="H61" s="2">
        <v>4</v>
      </c>
    </row>
  </sheetData>
  <mergeCells count="4">
    <mergeCell ref="C6:H6"/>
    <mergeCell ref="C21:H21"/>
    <mergeCell ref="C36:H36"/>
    <mergeCell ref="C51:H51"/>
  </mergeCells>
  <pageMargins left="0.7" right="0.7" top="0.75" bottom="0.75" header="0.3" footer="0.3"/>
  <pageSetup paperSize="9"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tabColor theme="3"/>
  </sheetPr>
  <dimension ref="B3:H18"/>
  <sheetViews>
    <sheetView workbookViewId="0">
      <selection activeCell="D21" sqref="D21"/>
    </sheetView>
  </sheetViews>
  <sheetFormatPr defaultRowHeight="14.4"/>
  <cols>
    <col min="2" max="2" width="36.77734375" customWidth="1"/>
  </cols>
  <sheetData>
    <row r="3" spans="2:8">
      <c r="B3" s="8" t="s">
        <v>324</v>
      </c>
    </row>
    <row r="5" spans="2:8" ht="15" thickBot="1"/>
    <row r="6" spans="2:8" ht="15" thickBot="1">
      <c r="B6" s="24" t="s">
        <v>0</v>
      </c>
      <c r="C6" s="1259" t="s">
        <v>264</v>
      </c>
      <c r="D6" s="1260"/>
      <c r="E6" s="1260"/>
      <c r="F6" s="1260"/>
      <c r="G6" s="1260"/>
      <c r="H6" s="1261"/>
    </row>
    <row r="7" spans="2:8" ht="15" thickBot="1">
      <c r="B7" s="1"/>
      <c r="C7" s="2">
        <v>2015</v>
      </c>
      <c r="D7" s="2">
        <v>2020</v>
      </c>
      <c r="E7" s="2">
        <v>2030</v>
      </c>
      <c r="F7" s="2">
        <v>2050</v>
      </c>
      <c r="G7" s="2" t="s">
        <v>2</v>
      </c>
      <c r="H7" s="2" t="s">
        <v>3</v>
      </c>
    </row>
    <row r="8" spans="2:8" ht="15" thickBot="1">
      <c r="B8" s="3" t="s">
        <v>4</v>
      </c>
      <c r="C8" s="4"/>
      <c r="D8" s="4"/>
      <c r="E8" s="4"/>
      <c r="F8" s="4"/>
      <c r="G8" s="4"/>
      <c r="H8" s="5"/>
    </row>
    <row r="9" spans="2:8" ht="15" thickBot="1">
      <c r="B9" s="1" t="s">
        <v>265</v>
      </c>
      <c r="C9" s="2" t="s">
        <v>266</v>
      </c>
      <c r="D9" s="2" t="s">
        <v>266</v>
      </c>
      <c r="E9" s="2" t="s">
        <v>266</v>
      </c>
      <c r="F9" s="2" t="s">
        <v>266</v>
      </c>
      <c r="G9" s="2"/>
      <c r="H9" s="2"/>
    </row>
    <row r="10" spans="2:8" ht="15" thickBot="1">
      <c r="B10" s="1" t="s">
        <v>267</v>
      </c>
      <c r="C10" s="2" t="s">
        <v>268</v>
      </c>
      <c r="D10" s="2" t="s">
        <v>268</v>
      </c>
      <c r="E10" s="2" t="s">
        <v>268</v>
      </c>
      <c r="F10" s="2" t="s">
        <v>268</v>
      </c>
      <c r="G10" s="2"/>
      <c r="H10" s="2"/>
    </row>
    <row r="11" spans="2:8" ht="15" thickBot="1">
      <c r="B11" s="1" t="s">
        <v>269</v>
      </c>
      <c r="C11" s="2" t="s">
        <v>270</v>
      </c>
      <c r="D11" s="2" t="s">
        <v>270</v>
      </c>
      <c r="E11" s="2" t="s">
        <v>270</v>
      </c>
      <c r="F11" s="2" t="s">
        <v>270</v>
      </c>
      <c r="G11" s="2"/>
      <c r="H11" s="2"/>
    </row>
    <row r="12" spans="2:8" ht="15" thickBot="1">
      <c r="B12" s="1" t="s">
        <v>271</v>
      </c>
      <c r="C12" s="2" t="s">
        <v>139</v>
      </c>
      <c r="D12" s="2" t="s">
        <v>139</v>
      </c>
      <c r="E12" s="2" t="s">
        <v>139</v>
      </c>
      <c r="F12" s="2" t="s">
        <v>139</v>
      </c>
      <c r="G12" s="2"/>
      <c r="H12" s="2"/>
    </row>
    <row r="13" spans="2:8" ht="24.6" thickBot="1">
      <c r="B13" s="1" t="s">
        <v>272</v>
      </c>
      <c r="C13" s="2">
        <v>7</v>
      </c>
      <c r="D13" s="2">
        <v>7</v>
      </c>
      <c r="E13" s="2">
        <v>6</v>
      </c>
      <c r="F13" s="2">
        <v>6</v>
      </c>
      <c r="G13" s="2" t="s">
        <v>59</v>
      </c>
      <c r="H13" s="2"/>
    </row>
    <row r="14" spans="2:8" ht="15" thickBot="1">
      <c r="B14" s="1" t="s">
        <v>11</v>
      </c>
      <c r="C14" s="2" t="s">
        <v>144</v>
      </c>
      <c r="D14" s="2" t="s">
        <v>144</v>
      </c>
      <c r="E14" s="2" t="s">
        <v>144</v>
      </c>
      <c r="F14" s="2" t="s">
        <v>144</v>
      </c>
      <c r="G14" s="2"/>
      <c r="H14" s="2"/>
    </row>
    <row r="15" spans="2:8" ht="15" thickBot="1">
      <c r="B15" s="1" t="s">
        <v>273</v>
      </c>
      <c r="C15" s="34" t="s">
        <v>307</v>
      </c>
      <c r="D15" s="34" t="s">
        <v>307</v>
      </c>
      <c r="E15" s="34" t="s">
        <v>307</v>
      </c>
      <c r="F15" s="34" t="s">
        <v>307</v>
      </c>
      <c r="G15" s="2"/>
      <c r="H15" s="2"/>
    </row>
    <row r="16" spans="2:8" ht="15" thickBot="1">
      <c r="B16" s="3" t="s">
        <v>22</v>
      </c>
      <c r="C16" s="4"/>
      <c r="D16" s="4"/>
      <c r="E16" s="4"/>
      <c r="F16" s="4"/>
      <c r="G16" s="4"/>
      <c r="H16" s="5"/>
    </row>
    <row r="17" spans="2:8" ht="15" thickBot="1">
      <c r="B17" s="1" t="s">
        <v>274</v>
      </c>
      <c r="C17" s="2" t="s">
        <v>275</v>
      </c>
      <c r="D17" s="2" t="s">
        <v>275</v>
      </c>
      <c r="E17" s="2" t="s">
        <v>275</v>
      </c>
      <c r="F17" s="2" t="s">
        <v>275</v>
      </c>
      <c r="G17" s="2" t="s">
        <v>6</v>
      </c>
      <c r="H17" s="2">
        <v>1</v>
      </c>
    </row>
    <row r="18" spans="2:8" ht="15" thickBot="1">
      <c r="B18" s="1" t="s">
        <v>276</v>
      </c>
      <c r="C18" s="2" t="s">
        <v>68</v>
      </c>
      <c r="D18" s="2" t="s">
        <v>68</v>
      </c>
      <c r="E18" s="2" t="s">
        <v>68</v>
      </c>
      <c r="F18" s="2" t="s">
        <v>68</v>
      </c>
      <c r="G18" s="2"/>
      <c r="H18" s="2"/>
    </row>
  </sheetData>
  <mergeCells count="1">
    <mergeCell ref="C6:H6"/>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tabColor theme="3"/>
  </sheetPr>
  <dimension ref="A3:X117"/>
  <sheetViews>
    <sheetView topLeftCell="B21" zoomScale="85" zoomScaleNormal="85" workbookViewId="0">
      <selection activeCell="N26" sqref="N26"/>
    </sheetView>
  </sheetViews>
  <sheetFormatPr defaultRowHeight="14.4"/>
  <cols>
    <col min="1" max="1" width="44.77734375" customWidth="1"/>
    <col min="2" max="2" width="36.77734375" customWidth="1"/>
    <col min="15" max="15" width="10.5546875" bestFit="1" customWidth="1"/>
  </cols>
  <sheetData>
    <row r="3" spans="2:24">
      <c r="B3" s="8" t="s">
        <v>317</v>
      </c>
    </row>
    <row r="4" spans="2:24">
      <c r="E4" t="s">
        <v>334</v>
      </c>
      <c r="F4" s="36">
        <v>7.45</v>
      </c>
      <c r="G4" t="s">
        <v>328</v>
      </c>
    </row>
    <row r="5" spans="2:24" ht="15" thickBot="1"/>
    <row r="6" spans="2:24" ht="15.75" customHeight="1">
      <c r="B6" s="1254" t="s">
        <v>0</v>
      </c>
      <c r="C6" s="1256" t="s">
        <v>123</v>
      </c>
      <c r="D6" s="1257"/>
      <c r="E6" s="1257"/>
      <c r="F6" s="1257"/>
      <c r="G6" s="1257"/>
      <c r="H6" s="1258"/>
      <c r="J6" s="1256" t="str">
        <f>C6</f>
        <v>Solar heating system</v>
      </c>
      <c r="K6" s="1257"/>
      <c r="L6" s="1257"/>
      <c r="M6" s="1257"/>
      <c r="N6" s="1257"/>
      <c r="O6" s="1258"/>
    </row>
    <row r="7" spans="2:24" ht="15.75" customHeight="1" thickBot="1">
      <c r="B7" s="1255"/>
      <c r="C7" s="1131" t="s">
        <v>1</v>
      </c>
      <c r="D7" s="1132"/>
      <c r="E7" s="1132"/>
      <c r="F7" s="1132"/>
      <c r="G7" s="1132"/>
      <c r="H7" s="1133"/>
      <c r="J7" s="1131" t="str">
        <f>C7</f>
        <v>One-family house, existing building</v>
      </c>
      <c r="K7" s="1132"/>
      <c r="L7" s="1132"/>
      <c r="M7" s="1132"/>
      <c r="N7" s="1132"/>
      <c r="O7" s="113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124</v>
      </c>
      <c r="C10" s="2">
        <v>6</v>
      </c>
      <c r="D10" s="2">
        <v>6</v>
      </c>
      <c r="E10" s="2">
        <v>6</v>
      </c>
      <c r="F10" s="2">
        <v>6</v>
      </c>
      <c r="G10" s="2" t="s">
        <v>6</v>
      </c>
      <c r="H10" s="2">
        <v>1</v>
      </c>
      <c r="J10" s="50"/>
      <c r="K10" s="50"/>
      <c r="L10" s="51"/>
      <c r="M10" s="51"/>
      <c r="N10" s="51"/>
      <c r="O10" s="52"/>
      <c r="P10" s="50"/>
      <c r="Q10" s="50"/>
      <c r="R10" s="50"/>
      <c r="S10" s="50"/>
      <c r="T10" s="50"/>
      <c r="U10" s="50"/>
      <c r="V10" s="50"/>
      <c r="W10" s="50"/>
      <c r="X10" s="50"/>
    </row>
    <row r="11" spans="2:24" ht="15" thickBot="1">
      <c r="B11" s="1" t="s">
        <v>125</v>
      </c>
      <c r="C11" s="2">
        <v>4.2</v>
      </c>
      <c r="D11" s="2">
        <v>4.2</v>
      </c>
      <c r="E11" s="2">
        <v>4.2</v>
      </c>
      <c r="F11" s="2">
        <v>4.2</v>
      </c>
      <c r="G11" s="2" t="s">
        <v>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7</v>
      </c>
      <c r="C12" s="2">
        <v>10</v>
      </c>
      <c r="D12" s="2">
        <v>10</v>
      </c>
      <c r="E12" s="2">
        <v>12</v>
      </c>
      <c r="F12" s="2">
        <v>12</v>
      </c>
      <c r="G12" s="2" t="s">
        <v>59</v>
      </c>
      <c r="H12" s="2" t="s">
        <v>126</v>
      </c>
      <c r="J12" s="58">
        <f>C8</f>
        <v>2015</v>
      </c>
      <c r="K12" s="58">
        <f>J12</f>
        <v>2015</v>
      </c>
      <c r="L12" s="58">
        <f>C14/100</f>
        <v>1</v>
      </c>
      <c r="M12" s="58"/>
      <c r="N12" s="58">
        <f>C15</f>
        <v>20</v>
      </c>
      <c r="O12" s="59">
        <f>C30</f>
        <v>6705</v>
      </c>
      <c r="P12" s="59">
        <f>C32</f>
        <v>123.19107142857143</v>
      </c>
      <c r="Q12" s="59">
        <f>C33</f>
        <v>0</v>
      </c>
      <c r="R12" s="58"/>
      <c r="S12" s="58"/>
      <c r="T12" s="58"/>
      <c r="U12" s="58"/>
      <c r="V12" s="58"/>
      <c r="W12" s="58"/>
      <c r="X12" s="58"/>
    </row>
    <row r="13" spans="2:24" ht="24.6" thickBot="1">
      <c r="B13" s="1" t="s">
        <v>8</v>
      </c>
      <c r="C13" s="2">
        <v>65</v>
      </c>
      <c r="D13" s="2">
        <v>65</v>
      </c>
      <c r="E13" s="2">
        <v>70</v>
      </c>
      <c r="F13" s="2">
        <v>70</v>
      </c>
      <c r="G13" s="2" t="s">
        <v>59</v>
      </c>
      <c r="H13" s="2"/>
      <c r="J13" s="58">
        <f>D8</f>
        <v>2020</v>
      </c>
      <c r="K13" s="58"/>
      <c r="L13" s="58">
        <f>D14/100</f>
        <v>1</v>
      </c>
      <c r="M13" s="58"/>
      <c r="N13" s="58">
        <f>D15</f>
        <v>25</v>
      </c>
      <c r="O13" s="59">
        <f>D30</f>
        <v>6332.5</v>
      </c>
      <c r="P13" s="59">
        <f>D32</f>
        <v>120.92933158225671</v>
      </c>
      <c r="Q13" s="59">
        <f>D33</f>
        <v>0</v>
      </c>
      <c r="R13" s="58"/>
      <c r="S13" s="58"/>
      <c r="T13" s="58"/>
      <c r="U13" s="58"/>
      <c r="V13" s="58"/>
      <c r="W13" s="58"/>
      <c r="X13" s="58"/>
    </row>
    <row r="14" spans="2:24" ht="15" thickBot="1">
      <c r="B14" s="1" t="s">
        <v>9</v>
      </c>
      <c r="C14" s="35">
        <v>100</v>
      </c>
      <c r="D14" s="35">
        <v>100</v>
      </c>
      <c r="E14" s="35">
        <v>100</v>
      </c>
      <c r="F14" s="35">
        <v>100</v>
      </c>
      <c r="G14" s="2"/>
      <c r="H14" s="2"/>
      <c r="J14" s="58">
        <f>E8</f>
        <v>2030</v>
      </c>
      <c r="K14" s="58"/>
      <c r="L14" s="58">
        <f>E14/100</f>
        <v>1</v>
      </c>
      <c r="M14" s="58"/>
      <c r="N14" s="58">
        <f>E15</f>
        <v>30</v>
      </c>
      <c r="O14" s="59">
        <f>E30</f>
        <v>5960.0000000000009</v>
      </c>
      <c r="P14" s="59">
        <f>E32</f>
        <v>122.00995930042681</v>
      </c>
      <c r="Q14" s="59">
        <f>E33</f>
        <v>0</v>
      </c>
      <c r="R14" s="58"/>
      <c r="S14" s="58"/>
      <c r="T14" s="58"/>
      <c r="U14" s="58"/>
      <c r="V14" s="58"/>
      <c r="W14" s="58"/>
      <c r="X14" s="58"/>
    </row>
    <row r="15" spans="2:24" ht="15" thickBot="1">
      <c r="B15" s="1" t="s">
        <v>11</v>
      </c>
      <c r="C15" s="2">
        <v>20</v>
      </c>
      <c r="D15" s="2">
        <v>25</v>
      </c>
      <c r="E15" s="2">
        <v>30</v>
      </c>
      <c r="F15" s="2">
        <v>30</v>
      </c>
      <c r="G15" s="2" t="s">
        <v>16</v>
      </c>
      <c r="H15" s="2">
        <v>1</v>
      </c>
      <c r="J15" s="58">
        <f>F8</f>
        <v>2050</v>
      </c>
      <c r="K15" s="58"/>
      <c r="L15" s="58">
        <f>F14/100</f>
        <v>1</v>
      </c>
      <c r="M15" s="58"/>
      <c r="N15" s="58">
        <f>F15</f>
        <v>30</v>
      </c>
      <c r="O15" s="59">
        <f>F30</f>
        <v>4470</v>
      </c>
      <c r="P15" s="59">
        <f>F32</f>
        <v>112.13193067515455</v>
      </c>
      <c r="Q15" s="59">
        <f>F33</f>
        <v>0</v>
      </c>
      <c r="R15" s="58"/>
      <c r="S15" s="58"/>
      <c r="T15" s="58"/>
      <c r="U15" s="58"/>
      <c r="V15" s="58"/>
      <c r="W15" s="58"/>
      <c r="X15" s="58"/>
    </row>
    <row r="16" spans="2:24" ht="15" thickBot="1">
      <c r="B16" s="3" t="s">
        <v>12</v>
      </c>
      <c r="C16" s="4"/>
      <c r="D16" s="4"/>
      <c r="E16" s="4"/>
      <c r="F16" s="4"/>
      <c r="G16" s="4"/>
      <c r="H16" s="5"/>
    </row>
    <row r="17" spans="1:11" ht="15.6" thickBot="1">
      <c r="B17" s="1" t="s">
        <v>13</v>
      </c>
      <c r="C17" s="2">
        <v>0</v>
      </c>
      <c r="D17" s="2">
        <v>0</v>
      </c>
      <c r="E17" s="2">
        <v>0</v>
      </c>
      <c r="F17" s="2">
        <v>0</v>
      </c>
      <c r="G17" s="2" t="s">
        <v>33</v>
      </c>
      <c r="H17" s="2"/>
    </row>
    <row r="18" spans="1:11" ht="15.6" thickBot="1">
      <c r="B18" s="1" t="s">
        <v>15</v>
      </c>
      <c r="C18" s="2">
        <v>0</v>
      </c>
      <c r="D18" s="2">
        <v>0</v>
      </c>
      <c r="E18" s="2">
        <v>0</v>
      </c>
      <c r="F18" s="2">
        <v>0</v>
      </c>
      <c r="G18" s="2"/>
      <c r="H18" s="2"/>
    </row>
    <row r="19" spans="1:11" ht="15.6" thickBot="1">
      <c r="B19" s="1" t="s">
        <v>17</v>
      </c>
      <c r="C19" s="2">
        <v>0</v>
      </c>
      <c r="D19" s="2">
        <v>0</v>
      </c>
      <c r="E19" s="2">
        <v>0</v>
      </c>
      <c r="F19" s="2">
        <v>0</v>
      </c>
      <c r="G19" s="2"/>
      <c r="H19" s="2"/>
    </row>
    <row r="20" spans="1:11" ht="15.6" thickBot="1">
      <c r="B20" s="1" t="s">
        <v>18</v>
      </c>
      <c r="C20" s="2">
        <v>0</v>
      </c>
      <c r="D20" s="2">
        <v>0</v>
      </c>
      <c r="E20" s="2">
        <v>0</v>
      </c>
      <c r="F20" s="2">
        <v>0</v>
      </c>
      <c r="G20" s="2"/>
      <c r="H20" s="2"/>
    </row>
    <row r="21" spans="1:11" ht="15" thickBot="1">
      <c r="B21" s="1" t="s">
        <v>19</v>
      </c>
      <c r="C21" s="2">
        <v>0</v>
      </c>
      <c r="D21" s="2">
        <v>0</v>
      </c>
      <c r="E21" s="2">
        <v>0</v>
      </c>
      <c r="F21" s="2">
        <v>0</v>
      </c>
      <c r="G21" s="2"/>
      <c r="H21" s="2"/>
    </row>
    <row r="22" spans="1:11" ht="15" thickBot="1">
      <c r="B22" s="3" t="s">
        <v>22</v>
      </c>
      <c r="C22" s="4"/>
      <c r="D22" s="4"/>
      <c r="E22" s="4"/>
      <c r="F22" s="4"/>
      <c r="G22" s="4"/>
      <c r="H22" s="5"/>
    </row>
    <row r="23" spans="1:11" ht="15" thickBot="1">
      <c r="B23" s="1" t="s">
        <v>127</v>
      </c>
      <c r="C23" s="2">
        <v>0.9</v>
      </c>
      <c r="D23" s="2">
        <v>0.85</v>
      </c>
      <c r="E23" s="2">
        <v>0.8</v>
      </c>
      <c r="F23" s="2">
        <v>0.6</v>
      </c>
      <c r="G23" s="2" t="s">
        <v>20</v>
      </c>
      <c r="H23" s="2" t="s">
        <v>128</v>
      </c>
    </row>
    <row r="24" spans="1:11">
      <c r="A24" s="36"/>
      <c r="B24" s="6" t="s">
        <v>24</v>
      </c>
      <c r="C24" s="897">
        <v>4.0268456375838921</v>
      </c>
      <c r="D24" s="897">
        <v>3.624161073825503</v>
      </c>
      <c r="E24" s="897">
        <v>3.3557046979865772</v>
      </c>
      <c r="F24" s="897">
        <v>2.6845637583892619</v>
      </c>
      <c r="G24" s="7"/>
      <c r="H24" s="7" t="s">
        <v>128</v>
      </c>
    </row>
    <row r="25" spans="1:11">
      <c r="A25" s="36"/>
      <c r="B25" s="6" t="s">
        <v>26</v>
      </c>
      <c r="C25" s="897">
        <v>65</v>
      </c>
      <c r="D25" s="897">
        <v>65</v>
      </c>
      <c r="E25" s="897">
        <v>65</v>
      </c>
      <c r="F25" s="897">
        <v>65</v>
      </c>
      <c r="G25" s="7"/>
      <c r="H25" s="7" t="s">
        <v>129</v>
      </c>
    </row>
    <row r="26" spans="1:11" ht="15" thickBot="1">
      <c r="A26" s="36"/>
      <c r="B26" s="1" t="s">
        <v>28</v>
      </c>
      <c r="C26" s="898">
        <v>35</v>
      </c>
      <c r="D26" s="898">
        <v>35</v>
      </c>
      <c r="E26" s="898">
        <v>35</v>
      </c>
      <c r="F26" s="898">
        <v>35</v>
      </c>
      <c r="G26" s="2"/>
      <c r="H26" s="2">
        <v>8</v>
      </c>
    </row>
    <row r="27" spans="1:11" ht="24.6" thickBot="1">
      <c r="A27" s="36"/>
      <c r="B27" s="1" t="s">
        <v>30</v>
      </c>
      <c r="C27" s="898">
        <v>0</v>
      </c>
      <c r="D27" s="898">
        <v>0</v>
      </c>
      <c r="E27" s="898">
        <v>0</v>
      </c>
      <c r="F27" s="898">
        <v>0</v>
      </c>
      <c r="G27" s="2"/>
      <c r="H27" s="2"/>
    </row>
    <row r="28" spans="1:11" ht="15" thickBot="1">
      <c r="A28" s="36"/>
      <c r="B28" s="1" t="s">
        <v>64</v>
      </c>
      <c r="C28" s="898">
        <v>69.45</v>
      </c>
      <c r="D28" s="898">
        <v>68.17492518731251</v>
      </c>
      <c r="E28" s="898">
        <v>68.784138129099688</v>
      </c>
      <c r="F28" s="898">
        <v>63.215316622234781</v>
      </c>
      <c r="G28" s="2" t="s">
        <v>76</v>
      </c>
      <c r="H28" s="2"/>
      <c r="J28" t="s">
        <v>360</v>
      </c>
      <c r="K28" t="s">
        <v>361</v>
      </c>
    </row>
    <row r="29" spans="1:11" ht="15" thickBot="1">
      <c r="A29" s="36"/>
      <c r="B29" s="1" t="s">
        <v>130</v>
      </c>
      <c r="C29" s="2">
        <v>0</v>
      </c>
      <c r="D29" s="2">
        <v>0</v>
      </c>
      <c r="E29" s="2">
        <v>0</v>
      </c>
      <c r="F29" s="2">
        <v>0</v>
      </c>
      <c r="G29" s="2" t="s">
        <v>25</v>
      </c>
      <c r="H29" s="2"/>
      <c r="J29">
        <v>4</v>
      </c>
      <c r="K29">
        <f>J29/3.6</f>
        <v>1.1111111111111112</v>
      </c>
    </row>
    <row r="30" spans="1:11">
      <c r="B30" s="36" t="s">
        <v>353</v>
      </c>
      <c r="C30" s="60">
        <f t="shared" ref="C30:F31" si="0">C23*$F$4*1000</f>
        <v>6705</v>
      </c>
      <c r="D30" s="60">
        <f t="shared" si="0"/>
        <v>6332.5</v>
      </c>
      <c r="E30" s="60">
        <f t="shared" si="0"/>
        <v>5960.0000000000009</v>
      </c>
      <c r="F30" s="60">
        <f t="shared" si="0"/>
        <v>4470</v>
      </c>
      <c r="G30" s="63" t="s">
        <v>332</v>
      </c>
      <c r="H30" s="63"/>
    </row>
    <row r="31" spans="1:11">
      <c r="B31" s="36" t="s">
        <v>354</v>
      </c>
      <c r="C31" s="60">
        <f t="shared" si="0"/>
        <v>29999.999999999996</v>
      </c>
      <c r="D31" s="60">
        <f t="shared" si="0"/>
        <v>26999.999999999996</v>
      </c>
      <c r="E31" s="60">
        <f t="shared" si="0"/>
        <v>25000</v>
      </c>
      <c r="F31" s="60">
        <f t="shared" si="0"/>
        <v>20000</v>
      </c>
      <c r="G31" s="70">
        <f>C11</f>
        <v>4.2</v>
      </c>
      <c r="H31" s="69" t="s">
        <v>330</v>
      </c>
    </row>
    <row r="32" spans="1:11">
      <c r="B32" s="36" t="s">
        <v>355</v>
      </c>
      <c r="C32" s="60">
        <f>C28*$F$4/$G31</f>
        <v>123.19107142857143</v>
      </c>
      <c r="D32" s="60">
        <f>D28*$F$4/$G31</f>
        <v>120.92933158225671</v>
      </c>
      <c r="E32" s="60">
        <f>E28*$F$4/$G31</f>
        <v>122.00995930042681</v>
      </c>
      <c r="F32" s="60">
        <f>F28*$F$4/$G31</f>
        <v>112.13193067515455</v>
      </c>
      <c r="G32" s="69" t="s">
        <v>331</v>
      </c>
      <c r="H32" s="69"/>
    </row>
    <row r="33" spans="2:24" ht="15" thickBot="1">
      <c r="B33" s="36" t="s">
        <v>356</v>
      </c>
      <c r="C33" s="60">
        <f>C29*$F$4/(4*3.6*C13/100)</f>
        <v>0</v>
      </c>
      <c r="D33" s="60">
        <f t="shared" ref="D33:F33" si="1">D29*$F$4/(4*3.6*D13/100)</f>
        <v>0</v>
      </c>
      <c r="E33" s="60">
        <f t="shared" si="1"/>
        <v>0</v>
      </c>
      <c r="F33" s="60">
        <f t="shared" si="1"/>
        <v>0</v>
      </c>
      <c r="G33" s="83" t="s">
        <v>422</v>
      </c>
      <c r="H33" s="61"/>
    </row>
    <row r="34" spans="2:24" ht="15.75" customHeight="1">
      <c r="B34" s="1254" t="s">
        <v>0</v>
      </c>
      <c r="C34" s="1256" t="s">
        <v>123</v>
      </c>
      <c r="D34" s="1257"/>
      <c r="E34" s="1257"/>
      <c r="F34" s="1257"/>
      <c r="G34" s="1257"/>
      <c r="H34" s="1258"/>
      <c r="J34" s="1256" t="str">
        <f>C34</f>
        <v>Solar heating system</v>
      </c>
      <c r="K34" s="1257"/>
      <c r="L34" s="1257"/>
      <c r="M34" s="1257"/>
      <c r="N34" s="1257"/>
      <c r="O34" s="1258"/>
    </row>
    <row r="35" spans="2:24" ht="15" thickBot="1">
      <c r="B35" s="1255"/>
      <c r="C35" s="1131" t="s">
        <v>32</v>
      </c>
      <c r="D35" s="1132"/>
      <c r="E35" s="1132"/>
      <c r="F35" s="1132"/>
      <c r="G35" s="1132"/>
      <c r="H35" s="1133"/>
      <c r="J35" s="1131" t="str">
        <f>C35</f>
        <v>Apartment complex, existing building</v>
      </c>
      <c r="K35" s="1132"/>
      <c r="L35" s="1132"/>
      <c r="M35" s="1132"/>
      <c r="N35" s="1132"/>
      <c r="O35" s="1133"/>
    </row>
    <row r="36" spans="2:24" ht="15" thickBot="1">
      <c r="B36" s="1"/>
      <c r="C36" s="2">
        <v>2015</v>
      </c>
      <c r="D36" s="2">
        <v>2020</v>
      </c>
      <c r="E36" s="2">
        <v>2030</v>
      </c>
      <c r="F36" s="2">
        <v>2050</v>
      </c>
      <c r="G36" s="2" t="s">
        <v>2</v>
      </c>
      <c r="H36" s="2" t="s">
        <v>3</v>
      </c>
      <c r="J36" s="53" t="s">
        <v>357</v>
      </c>
    </row>
    <row r="37" spans="2:24" ht="28.2" thickBot="1">
      <c r="B37" s="3" t="s">
        <v>4</v>
      </c>
      <c r="C37" s="4"/>
      <c r="D37" s="4"/>
      <c r="E37" s="4"/>
      <c r="F37" s="4"/>
      <c r="G37" s="4"/>
      <c r="H37" s="5"/>
      <c r="J37" s="46" t="s">
        <v>335</v>
      </c>
      <c r="K37" s="46" t="s">
        <v>336</v>
      </c>
      <c r="L37" s="47" t="s">
        <v>337</v>
      </c>
      <c r="M37" s="47" t="s">
        <v>338</v>
      </c>
      <c r="N37" s="47" t="s">
        <v>339</v>
      </c>
      <c r="O37" s="48" t="s">
        <v>340</v>
      </c>
      <c r="P37" s="49" t="s">
        <v>341</v>
      </c>
      <c r="Q37" s="49" t="s">
        <v>342</v>
      </c>
      <c r="R37" s="49" t="s">
        <v>343</v>
      </c>
      <c r="S37" s="49" t="s">
        <v>344</v>
      </c>
      <c r="T37" s="49" t="s">
        <v>345</v>
      </c>
      <c r="U37" s="49" t="s">
        <v>346</v>
      </c>
      <c r="V37" s="49" t="s">
        <v>347</v>
      </c>
      <c r="W37" s="49" t="s">
        <v>348</v>
      </c>
      <c r="X37" s="49" t="s">
        <v>349</v>
      </c>
    </row>
    <row r="38" spans="2:24" ht="15" thickBot="1">
      <c r="B38" s="1" t="s">
        <v>124</v>
      </c>
      <c r="C38" s="2">
        <v>200</v>
      </c>
      <c r="D38" s="2">
        <v>200</v>
      </c>
      <c r="E38" s="2">
        <v>200</v>
      </c>
      <c r="F38" s="2">
        <v>200</v>
      </c>
      <c r="G38" s="2" t="s">
        <v>6</v>
      </c>
      <c r="H38" s="2"/>
      <c r="J38" s="50"/>
      <c r="K38" s="50"/>
      <c r="L38" s="51"/>
      <c r="M38" s="51"/>
      <c r="N38" s="51"/>
      <c r="O38" s="52"/>
      <c r="P38" s="50"/>
      <c r="Q38" s="50"/>
      <c r="R38" s="50"/>
      <c r="S38" s="50"/>
      <c r="T38" s="50"/>
      <c r="U38" s="50"/>
      <c r="V38" s="50"/>
      <c r="W38" s="50"/>
      <c r="X38" s="50"/>
    </row>
    <row r="39" spans="2:24" ht="15" thickBot="1">
      <c r="B39" s="1" t="s">
        <v>125</v>
      </c>
      <c r="C39" s="2">
        <v>140</v>
      </c>
      <c r="D39" s="2">
        <v>140</v>
      </c>
      <c r="E39" s="2">
        <v>140</v>
      </c>
      <c r="F39" s="2">
        <v>140</v>
      </c>
      <c r="G39" s="2" t="s">
        <v>6</v>
      </c>
      <c r="H39" s="2"/>
      <c r="J39" s="56"/>
      <c r="K39" s="56"/>
      <c r="L39" s="57"/>
      <c r="M39" s="57"/>
      <c r="N39" s="57"/>
      <c r="O39" s="56" t="s">
        <v>350</v>
      </c>
      <c r="P39" s="56" t="s">
        <v>326</v>
      </c>
      <c r="Q39" s="56" t="s">
        <v>327</v>
      </c>
      <c r="R39" s="56" t="s">
        <v>351</v>
      </c>
      <c r="S39" s="56" t="s">
        <v>351</v>
      </c>
      <c r="T39" s="56" t="s">
        <v>352</v>
      </c>
      <c r="U39" s="56" t="s">
        <v>352</v>
      </c>
      <c r="V39" s="56" t="s">
        <v>352</v>
      </c>
      <c r="W39" s="56" t="s">
        <v>352</v>
      </c>
      <c r="X39" s="56" t="s">
        <v>352</v>
      </c>
    </row>
    <row r="40" spans="2:24" ht="24.6" thickBot="1">
      <c r="B40" s="1" t="s">
        <v>7</v>
      </c>
      <c r="C40" s="2">
        <v>10</v>
      </c>
      <c r="D40" s="2">
        <v>10</v>
      </c>
      <c r="E40" s="2">
        <v>12</v>
      </c>
      <c r="F40" s="2">
        <v>12</v>
      </c>
      <c r="G40" s="2" t="s">
        <v>59</v>
      </c>
      <c r="H40" s="2"/>
      <c r="J40" s="58">
        <f>C36</f>
        <v>2015</v>
      </c>
      <c r="K40" s="58">
        <f>J40</f>
        <v>2015</v>
      </c>
      <c r="L40" s="58">
        <f>C42/100</f>
        <v>1</v>
      </c>
      <c r="M40" s="58"/>
      <c r="N40" s="58">
        <f>C43</f>
        <v>20</v>
      </c>
      <c r="O40" s="59">
        <f>C58</f>
        <v>4571.4285714285716</v>
      </c>
      <c r="P40" s="59">
        <f>C60</f>
        <v>20.700357142857143</v>
      </c>
      <c r="Q40" s="59">
        <f>C61</f>
        <v>0</v>
      </c>
      <c r="R40" s="58"/>
      <c r="S40" s="58"/>
      <c r="T40" s="58"/>
      <c r="U40" s="58"/>
      <c r="V40" s="58"/>
      <c r="W40" s="58"/>
      <c r="X40" s="58"/>
    </row>
    <row r="41" spans="2:24" ht="24.6" thickBot="1">
      <c r="B41" s="1" t="s">
        <v>8</v>
      </c>
      <c r="C41" s="2">
        <v>65</v>
      </c>
      <c r="D41" s="2">
        <v>65</v>
      </c>
      <c r="E41" s="2">
        <v>70</v>
      </c>
      <c r="F41" s="2">
        <v>70</v>
      </c>
      <c r="G41" s="2" t="s">
        <v>59</v>
      </c>
      <c r="H41" s="2"/>
      <c r="J41" s="58">
        <f>D36</f>
        <v>2020</v>
      </c>
      <c r="K41" s="58"/>
      <c r="L41" s="58">
        <f>D42/100</f>
        <v>1</v>
      </c>
      <c r="M41" s="58"/>
      <c r="N41" s="58">
        <f>D43</f>
        <v>25</v>
      </c>
      <c r="O41" s="59">
        <f>D58</f>
        <v>4285.7142857142862</v>
      </c>
      <c r="P41" s="59">
        <f>D60</f>
        <v>20.660433158225668</v>
      </c>
      <c r="Q41" s="59">
        <f>D61</f>
        <v>0</v>
      </c>
      <c r="R41" s="58"/>
      <c r="S41" s="58"/>
      <c r="T41" s="58"/>
      <c r="U41" s="58"/>
      <c r="V41" s="58"/>
      <c r="W41" s="58"/>
      <c r="X41" s="58"/>
    </row>
    <row r="42" spans="2:24" ht="15" thickBot="1">
      <c r="B42" s="1" t="s">
        <v>9</v>
      </c>
      <c r="C42" s="35">
        <v>100</v>
      </c>
      <c r="D42" s="35">
        <v>100</v>
      </c>
      <c r="E42" s="35">
        <v>100</v>
      </c>
      <c r="F42" s="35">
        <v>100</v>
      </c>
      <c r="G42" s="2"/>
      <c r="H42" s="2"/>
      <c r="J42" s="58">
        <f>E36</f>
        <v>2030</v>
      </c>
      <c r="K42" s="58"/>
      <c r="L42" s="58">
        <f>E42/100</f>
        <v>1</v>
      </c>
      <c r="M42" s="58"/>
      <c r="N42" s="58">
        <f>E43</f>
        <v>30</v>
      </c>
      <c r="O42" s="59">
        <f>E58</f>
        <v>3928.5714285714284</v>
      </c>
      <c r="P42" s="59">
        <f>E60</f>
        <v>23.28125</v>
      </c>
      <c r="Q42" s="59">
        <f>E61</f>
        <v>0</v>
      </c>
      <c r="R42" s="58"/>
      <c r="S42" s="58"/>
      <c r="T42" s="58"/>
      <c r="U42" s="58"/>
      <c r="V42" s="58"/>
      <c r="W42" s="58"/>
      <c r="X42" s="58"/>
    </row>
    <row r="43" spans="2:24" ht="15" thickBot="1">
      <c r="B43" s="1" t="s">
        <v>11</v>
      </c>
      <c r="C43" s="2">
        <v>20</v>
      </c>
      <c r="D43" s="2">
        <v>25</v>
      </c>
      <c r="E43" s="2">
        <v>30</v>
      </c>
      <c r="F43" s="2">
        <v>30</v>
      </c>
      <c r="G43" s="2" t="s">
        <v>16</v>
      </c>
      <c r="H43" s="2"/>
      <c r="J43" s="58">
        <f>F36</f>
        <v>2050</v>
      </c>
      <c r="K43" s="58"/>
      <c r="L43" s="58">
        <f>F42/100</f>
        <v>1</v>
      </c>
      <c r="M43" s="58"/>
      <c r="N43" s="58">
        <f>F43</f>
        <v>30</v>
      </c>
      <c r="O43" s="59">
        <f>F58</f>
        <v>3571.428571428572</v>
      </c>
      <c r="P43" s="59">
        <f>F60</f>
        <v>21.498571428571431</v>
      </c>
      <c r="Q43" s="59">
        <f>F61</f>
        <v>0</v>
      </c>
      <c r="R43" s="58"/>
      <c r="S43" s="58"/>
      <c r="T43" s="58"/>
      <c r="U43" s="58"/>
      <c r="V43" s="58"/>
      <c r="W43" s="58"/>
      <c r="X43" s="58"/>
    </row>
    <row r="44" spans="2:24" ht="15" thickBot="1">
      <c r="B44" s="127" t="s">
        <v>12</v>
      </c>
      <c r="C44" s="128"/>
      <c r="D44" s="128"/>
      <c r="E44" s="128"/>
      <c r="F44" s="128"/>
      <c r="G44" s="128"/>
      <c r="H44" s="129"/>
      <c r="I44" s="224"/>
      <c r="J44" s="224"/>
      <c r="K44" s="224"/>
      <c r="L44" s="224"/>
      <c r="M44" s="224"/>
      <c r="N44" s="224"/>
      <c r="O44" s="224"/>
      <c r="P44" s="224"/>
      <c r="Q44" s="224"/>
      <c r="R44" s="224"/>
      <c r="S44" s="224"/>
      <c r="T44" s="224"/>
      <c r="U44" s="224"/>
      <c r="V44" s="224"/>
      <c r="W44" s="224"/>
      <c r="X44" s="224"/>
    </row>
    <row r="45" spans="2:24" ht="15.6" thickBot="1">
      <c r="B45" s="125" t="s">
        <v>13</v>
      </c>
      <c r="C45" s="305">
        <v>0</v>
      </c>
      <c r="D45" s="305">
        <v>0</v>
      </c>
      <c r="E45" s="305">
        <v>0</v>
      </c>
      <c r="F45" s="305">
        <v>0</v>
      </c>
      <c r="G45" s="305" t="s">
        <v>33</v>
      </c>
      <c r="H45" s="305"/>
      <c r="I45" s="224"/>
      <c r="J45" s="224"/>
      <c r="K45" s="224"/>
      <c r="L45" s="224"/>
      <c r="M45" s="224"/>
      <c r="N45" s="224"/>
      <c r="O45" s="224"/>
      <c r="P45" s="224"/>
      <c r="Q45" s="224"/>
      <c r="R45" s="224"/>
      <c r="S45" s="224"/>
      <c r="T45" s="224"/>
      <c r="U45" s="224"/>
      <c r="V45" s="224"/>
      <c r="W45" s="224"/>
      <c r="X45" s="224"/>
    </row>
    <row r="46" spans="2:24" ht="15.6" thickBot="1">
      <c r="B46" s="125" t="s">
        <v>15</v>
      </c>
      <c r="C46" s="305">
        <v>0</v>
      </c>
      <c r="D46" s="305">
        <v>0</v>
      </c>
      <c r="E46" s="305">
        <v>0</v>
      </c>
      <c r="F46" s="305">
        <v>0</v>
      </c>
      <c r="G46" s="305"/>
      <c r="H46" s="305"/>
      <c r="I46" s="224"/>
      <c r="J46" s="224"/>
      <c r="K46" s="224"/>
      <c r="L46" s="224"/>
      <c r="M46" s="224"/>
      <c r="N46" s="224"/>
      <c r="O46" s="224"/>
      <c r="P46" s="224"/>
      <c r="Q46" s="224"/>
      <c r="R46" s="224"/>
      <c r="S46" s="224"/>
      <c r="T46" s="224"/>
      <c r="U46" s="224"/>
      <c r="V46" s="224"/>
      <c r="W46" s="224"/>
      <c r="X46" s="224"/>
    </row>
    <row r="47" spans="2:24" ht="15.6" thickBot="1">
      <c r="B47" s="125" t="s">
        <v>17</v>
      </c>
      <c r="C47" s="305">
        <v>0</v>
      </c>
      <c r="D47" s="305">
        <v>0</v>
      </c>
      <c r="E47" s="305">
        <v>0</v>
      </c>
      <c r="F47" s="305">
        <v>0</v>
      </c>
      <c r="G47" s="305"/>
      <c r="H47" s="305"/>
      <c r="I47" s="224"/>
      <c r="J47" s="224"/>
      <c r="K47" s="224"/>
      <c r="L47" s="224"/>
      <c r="M47" s="224"/>
      <c r="N47" s="224"/>
      <c r="O47" s="224"/>
      <c r="P47" s="224"/>
      <c r="Q47" s="224"/>
      <c r="R47" s="224"/>
      <c r="S47" s="224"/>
      <c r="T47" s="224"/>
      <c r="U47" s="224"/>
      <c r="V47" s="224"/>
      <c r="W47" s="224"/>
      <c r="X47" s="224"/>
    </row>
    <row r="48" spans="2:24" ht="16.2" thickTop="1" thickBot="1">
      <c r="B48" s="125" t="s">
        <v>18</v>
      </c>
      <c r="C48" s="305">
        <v>0</v>
      </c>
      <c r="D48" s="305">
        <v>0</v>
      </c>
      <c r="E48" s="305">
        <v>0</v>
      </c>
      <c r="F48" s="305">
        <v>0</v>
      </c>
      <c r="G48" s="305"/>
      <c r="H48" s="305"/>
      <c r="I48" s="224"/>
      <c r="J48" s="307">
        <v>95</v>
      </c>
      <c r="K48" s="308" t="s">
        <v>617</v>
      </c>
      <c r="L48" s="309" t="s">
        <v>618</v>
      </c>
      <c r="M48" s="309"/>
      <c r="N48" s="309"/>
      <c r="O48" s="310"/>
      <c r="P48" s="224"/>
      <c r="Q48" s="307">
        <v>95</v>
      </c>
      <c r="R48" s="308" t="s">
        <v>617</v>
      </c>
      <c r="S48" s="309" t="s">
        <v>618</v>
      </c>
      <c r="T48" s="309"/>
      <c r="U48" s="309"/>
      <c r="V48" s="310"/>
      <c r="W48" s="224"/>
      <c r="X48" s="224"/>
    </row>
    <row r="49" spans="1:22" ht="15" thickBot="1">
      <c r="B49" s="125" t="s">
        <v>19</v>
      </c>
      <c r="C49" s="305">
        <v>0</v>
      </c>
      <c r="D49" s="305">
        <v>0</v>
      </c>
      <c r="E49" s="305">
        <v>0</v>
      </c>
      <c r="F49" s="305">
        <v>0</v>
      </c>
      <c r="G49" s="305"/>
      <c r="H49" s="305"/>
      <c r="I49" s="224"/>
      <c r="J49" s="311">
        <v>0.1</v>
      </c>
      <c r="K49" s="272" t="s">
        <v>619</v>
      </c>
      <c r="L49" s="55"/>
      <c r="M49" s="55"/>
      <c r="N49" s="55"/>
      <c r="O49" s="312"/>
      <c r="Q49" s="311">
        <v>0.12</v>
      </c>
      <c r="R49" s="272" t="s">
        <v>619</v>
      </c>
      <c r="S49" s="55"/>
      <c r="T49" s="55"/>
      <c r="U49" s="55"/>
      <c r="V49" s="312"/>
    </row>
    <row r="50" spans="1:22" ht="15" thickBot="1">
      <c r="B50" s="127" t="s">
        <v>22</v>
      </c>
      <c r="C50" s="128"/>
      <c r="D50" s="128"/>
      <c r="E50" s="128"/>
      <c r="F50" s="128"/>
      <c r="G50" s="128"/>
      <c r="H50" s="129"/>
      <c r="I50" s="224"/>
      <c r="J50" s="313">
        <v>25</v>
      </c>
      <c r="K50" s="272" t="s">
        <v>617</v>
      </c>
      <c r="L50" s="55" t="s">
        <v>620</v>
      </c>
      <c r="M50" s="55"/>
      <c r="N50" s="55"/>
      <c r="O50" s="312"/>
      <c r="Q50" s="313">
        <v>25</v>
      </c>
      <c r="R50" s="272" t="s">
        <v>617</v>
      </c>
      <c r="S50" s="55" t="s">
        <v>620</v>
      </c>
      <c r="T50" s="55"/>
      <c r="U50" s="55"/>
      <c r="V50" s="312"/>
    </row>
    <row r="51" spans="1:22" ht="15" thickBot="1">
      <c r="A51" s="64"/>
      <c r="B51" s="125" t="s">
        <v>127</v>
      </c>
      <c r="C51" s="305">
        <v>0.5</v>
      </c>
      <c r="D51" s="305">
        <v>0.5</v>
      </c>
      <c r="E51" s="305">
        <v>0.5</v>
      </c>
      <c r="F51" s="305">
        <v>0.5</v>
      </c>
      <c r="G51" s="305" t="s">
        <v>20</v>
      </c>
      <c r="H51" s="305"/>
      <c r="I51" s="224"/>
      <c r="J51" s="311">
        <v>0.65</v>
      </c>
      <c r="K51" s="314" t="s">
        <v>621</v>
      </c>
      <c r="L51" s="55"/>
      <c r="M51" s="55"/>
      <c r="N51" s="55"/>
      <c r="O51" s="312"/>
      <c r="Q51" s="311">
        <v>0.7</v>
      </c>
      <c r="R51" s="314" t="s">
        <v>621</v>
      </c>
      <c r="S51" s="55"/>
      <c r="T51" s="55"/>
      <c r="U51" s="55"/>
      <c r="V51" s="312"/>
    </row>
    <row r="52" spans="1:22">
      <c r="A52" s="36"/>
      <c r="B52" s="130" t="s">
        <v>24</v>
      </c>
      <c r="C52" s="895">
        <v>85.90604026845638</v>
      </c>
      <c r="D52" s="895">
        <v>80.53691275167786</v>
      </c>
      <c r="E52" s="895">
        <v>73.825503355704697</v>
      </c>
      <c r="F52" s="895">
        <v>67.114093959731548</v>
      </c>
      <c r="G52" s="131"/>
      <c r="H52" s="131"/>
      <c r="I52" s="224"/>
      <c r="J52" s="313">
        <f>J48*J49+J50*J51</f>
        <v>25.75</v>
      </c>
      <c r="K52" s="314" t="s">
        <v>617</v>
      </c>
      <c r="L52" s="55" t="s">
        <v>622</v>
      </c>
      <c r="M52" s="55"/>
      <c r="N52" s="55"/>
      <c r="O52" s="312"/>
      <c r="Q52" s="313">
        <f>Q48*Q49+Q50*Q51</f>
        <v>28.9</v>
      </c>
      <c r="R52" s="314" t="s">
        <v>617</v>
      </c>
      <c r="S52" s="55" t="s">
        <v>622</v>
      </c>
      <c r="T52" s="55"/>
      <c r="U52" s="55"/>
      <c r="V52" s="312"/>
    </row>
    <row r="53" spans="1:22">
      <c r="A53" s="36"/>
      <c r="B53" s="130" t="s">
        <v>26</v>
      </c>
      <c r="C53" s="895">
        <v>65</v>
      </c>
      <c r="D53" s="895">
        <v>65</v>
      </c>
      <c r="E53" s="895">
        <v>65</v>
      </c>
      <c r="F53" s="895">
        <v>65</v>
      </c>
      <c r="G53" s="131"/>
      <c r="H53" s="131" t="s">
        <v>129</v>
      </c>
      <c r="I53" s="224"/>
      <c r="J53" s="315">
        <v>1500</v>
      </c>
      <c r="K53" s="314" t="s">
        <v>623</v>
      </c>
      <c r="L53" s="55" t="s">
        <v>625</v>
      </c>
      <c r="M53" s="55"/>
      <c r="N53" s="312"/>
      <c r="O53" s="312"/>
      <c r="Q53" s="315">
        <v>1500</v>
      </c>
      <c r="R53" s="314" t="s">
        <v>623</v>
      </c>
      <c r="S53" s="55" t="s">
        <v>625</v>
      </c>
      <c r="T53" s="55"/>
      <c r="U53" s="312"/>
      <c r="V53" s="312"/>
    </row>
    <row r="54" spans="1:22" ht="15" thickBot="1">
      <c r="A54" s="36"/>
      <c r="B54" s="125" t="s">
        <v>28</v>
      </c>
      <c r="C54" s="896">
        <v>35</v>
      </c>
      <c r="D54" s="896">
        <v>35</v>
      </c>
      <c r="E54" s="896">
        <v>35</v>
      </c>
      <c r="F54" s="896">
        <v>35</v>
      </c>
      <c r="G54" s="305"/>
      <c r="H54" s="305">
        <v>8</v>
      </c>
      <c r="I54" s="224"/>
      <c r="J54" s="316">
        <f>J52*J53</f>
        <v>38625</v>
      </c>
      <c r="K54" s="317" t="s">
        <v>360</v>
      </c>
      <c r="L54" s="55" t="s">
        <v>622</v>
      </c>
      <c r="M54" s="55"/>
      <c r="N54" s="312"/>
      <c r="O54" s="312"/>
      <c r="Q54" s="316">
        <f>Q52*Q53</f>
        <v>43350</v>
      </c>
      <c r="R54" s="317" t="s">
        <v>360</v>
      </c>
      <c r="S54" s="55" t="s">
        <v>622</v>
      </c>
      <c r="T54" s="55"/>
      <c r="U54" s="312"/>
      <c r="V54" s="312"/>
    </row>
    <row r="55" spans="1:22" ht="24.6" thickBot="1">
      <c r="A55" s="36"/>
      <c r="B55" s="125" t="s">
        <v>30</v>
      </c>
      <c r="C55" s="896">
        <v>0</v>
      </c>
      <c r="D55" s="896">
        <v>0</v>
      </c>
      <c r="E55" s="896">
        <v>0</v>
      </c>
      <c r="F55" s="896">
        <v>0</v>
      </c>
      <c r="G55" s="305"/>
      <c r="H55" s="305"/>
      <c r="I55" s="224"/>
      <c r="J55" s="318">
        <f>J54*3.6/1000</f>
        <v>139.05000000000001</v>
      </c>
      <c r="K55" s="319" t="s">
        <v>361</v>
      </c>
      <c r="L55" s="320" t="s">
        <v>622</v>
      </c>
      <c r="M55" s="320"/>
      <c r="N55" s="321"/>
      <c r="O55" s="321"/>
      <c r="Q55" s="318">
        <f>Q54*3.6/1000</f>
        <v>156.06</v>
      </c>
      <c r="R55" s="319" t="s">
        <v>361</v>
      </c>
      <c r="S55" s="320" t="s">
        <v>622</v>
      </c>
      <c r="T55" s="320"/>
      <c r="U55" s="321"/>
      <c r="V55" s="321"/>
    </row>
    <row r="56" spans="1:22" ht="15" thickBot="1">
      <c r="A56" s="36"/>
      <c r="B56" s="125" t="s">
        <v>64</v>
      </c>
      <c r="C56" s="896">
        <v>389</v>
      </c>
      <c r="D56" s="896">
        <v>388.249750624375</v>
      </c>
      <c r="E56" s="896">
        <v>437.5</v>
      </c>
      <c r="F56" s="896">
        <v>404</v>
      </c>
      <c r="G56" s="305" t="s">
        <v>76</v>
      </c>
      <c r="H56" s="305"/>
      <c r="I56" s="224"/>
      <c r="J56" s="224"/>
      <c r="K56" s="224"/>
      <c r="L56" s="224"/>
      <c r="M56" s="224"/>
      <c r="N56" s="224"/>
      <c r="O56" s="224"/>
    </row>
    <row r="57" spans="1:22">
      <c r="A57" s="36"/>
      <c r="B57" s="130" t="s">
        <v>130</v>
      </c>
      <c r="C57" s="131">
        <v>0</v>
      </c>
      <c r="D57" s="131">
        <v>0</v>
      </c>
      <c r="E57" s="131">
        <v>0</v>
      </c>
      <c r="F57" s="131">
        <v>0</v>
      </c>
      <c r="G57" s="131" t="s">
        <v>25</v>
      </c>
      <c r="H57" s="131"/>
      <c r="I57" s="224"/>
      <c r="J57" s="224"/>
      <c r="K57" s="224"/>
      <c r="L57" s="224"/>
      <c r="M57" s="224"/>
      <c r="N57" s="224"/>
      <c r="O57" s="224"/>
    </row>
    <row r="58" spans="1:22">
      <c r="B58" s="322" t="s">
        <v>353</v>
      </c>
      <c r="C58" s="323">
        <f>C59/C39</f>
        <v>4571.4285714285716</v>
      </c>
      <c r="D58" s="323">
        <f>D59/D39</f>
        <v>4285.7142857142862</v>
      </c>
      <c r="E58" s="323">
        <f>E59/E39</f>
        <v>3928.5714285714284</v>
      </c>
      <c r="F58" s="323">
        <f>F59/F39</f>
        <v>3571.428571428572</v>
      </c>
      <c r="G58" s="324" t="s">
        <v>332</v>
      </c>
      <c r="H58" s="325"/>
      <c r="I58" s="224"/>
      <c r="J58" s="224"/>
      <c r="K58" s="224"/>
      <c r="L58" s="224"/>
      <c r="M58" s="224"/>
      <c r="N58" s="224"/>
      <c r="O58" s="224"/>
    </row>
    <row r="59" spans="1:22">
      <c r="B59" s="326" t="s">
        <v>354</v>
      </c>
      <c r="C59" s="60">
        <f>C52*$F$4*1000</f>
        <v>640000</v>
      </c>
      <c r="D59" s="60">
        <f t="shared" ref="D59:F59" si="2">D52*$F$4*1000</f>
        <v>600000.00000000012</v>
      </c>
      <c r="E59" s="60">
        <f t="shared" si="2"/>
        <v>550000</v>
      </c>
      <c r="F59" s="60">
        <f t="shared" si="2"/>
        <v>500000.00000000006</v>
      </c>
      <c r="G59" s="70">
        <f>C39</f>
        <v>140</v>
      </c>
      <c r="H59" s="327" t="s">
        <v>330</v>
      </c>
      <c r="I59" s="224"/>
      <c r="J59" s="224"/>
      <c r="K59" s="224"/>
      <c r="L59" s="224"/>
      <c r="M59" s="224"/>
      <c r="N59" s="224"/>
      <c r="O59" s="224"/>
    </row>
    <row r="60" spans="1:22">
      <c r="B60" s="326" t="s">
        <v>355</v>
      </c>
      <c r="C60" s="60">
        <f>C56*$F$4/C39</f>
        <v>20.700357142857143</v>
      </c>
      <c r="D60" s="60">
        <f>D56*$F$4/D39</f>
        <v>20.660433158225668</v>
      </c>
      <c r="E60" s="60">
        <f>E56*$F$4/E39</f>
        <v>23.28125</v>
      </c>
      <c r="F60" s="60">
        <f>F56*$F$4/F39</f>
        <v>21.498571428571431</v>
      </c>
      <c r="G60" s="69" t="s">
        <v>331</v>
      </c>
      <c r="H60" s="327"/>
      <c r="I60" s="224"/>
      <c r="J60" s="224"/>
      <c r="K60" s="224"/>
      <c r="L60" s="224"/>
      <c r="M60" s="224"/>
      <c r="N60" s="224"/>
      <c r="O60" s="224"/>
    </row>
    <row r="61" spans="1:22" ht="15" thickBot="1">
      <c r="B61" s="328" t="s">
        <v>356</v>
      </c>
      <c r="C61" s="329">
        <f>C57*$F$4/($J$55)</f>
        <v>0</v>
      </c>
      <c r="D61" s="329">
        <f t="shared" ref="D61" si="3">D57*$F$4/($J$55)</f>
        <v>0</v>
      </c>
      <c r="E61" s="329">
        <f>E57*$F$4/$Q$55</f>
        <v>0</v>
      </c>
      <c r="F61" s="329">
        <f>F57*$F$4/$Q$55</f>
        <v>0</v>
      </c>
      <c r="G61" s="330" t="s">
        <v>423</v>
      </c>
      <c r="H61" s="331"/>
      <c r="I61" s="224"/>
      <c r="J61" s="224"/>
      <c r="K61" s="224"/>
      <c r="L61" s="224"/>
      <c r="M61" s="224"/>
      <c r="N61" s="224"/>
      <c r="O61" s="224"/>
    </row>
    <row r="62" spans="1:22" ht="15.75" customHeight="1">
      <c r="B62" s="1262" t="s">
        <v>0</v>
      </c>
      <c r="C62" s="1264" t="s">
        <v>123</v>
      </c>
      <c r="D62" s="1264"/>
      <c r="E62" s="1264"/>
      <c r="F62" s="1264"/>
      <c r="G62" s="1264"/>
      <c r="H62" s="1141"/>
      <c r="I62" s="224"/>
      <c r="J62" s="1256" t="str">
        <f>C62</f>
        <v>Solar heating system</v>
      </c>
      <c r="K62" s="1257"/>
      <c r="L62" s="1257"/>
      <c r="M62" s="1257"/>
      <c r="N62" s="1257"/>
      <c r="O62" s="1258"/>
    </row>
    <row r="63" spans="1:22" ht="15.75" customHeight="1" thickBot="1">
      <c r="B63" s="1263"/>
      <c r="C63" s="1132" t="s">
        <v>34</v>
      </c>
      <c r="D63" s="1132"/>
      <c r="E63" s="1132"/>
      <c r="F63" s="1132"/>
      <c r="G63" s="1132"/>
      <c r="H63" s="1133"/>
      <c r="I63" s="224"/>
      <c r="J63" s="1131" t="str">
        <f>C63</f>
        <v>One-family house, new building</v>
      </c>
      <c r="K63" s="1132"/>
      <c r="L63" s="1132"/>
      <c r="M63" s="1132"/>
      <c r="N63" s="1132"/>
      <c r="O63" s="1133"/>
    </row>
    <row r="64" spans="1:22" ht="15.75" customHeight="1" thickBot="1">
      <c r="B64" s="125"/>
      <c r="C64" s="305">
        <v>2015</v>
      </c>
      <c r="D64" s="305">
        <v>2020</v>
      </c>
      <c r="E64" s="305">
        <v>2030</v>
      </c>
      <c r="F64" s="305">
        <v>2050</v>
      </c>
      <c r="G64" s="305" t="s">
        <v>2</v>
      </c>
      <c r="H64" s="305" t="s">
        <v>3</v>
      </c>
      <c r="I64" s="224"/>
      <c r="J64" s="53" t="s">
        <v>357</v>
      </c>
      <c r="K64" s="224"/>
      <c r="L64" s="224"/>
      <c r="M64" s="224"/>
      <c r="N64" s="224"/>
      <c r="O64" s="224"/>
    </row>
    <row r="65" spans="1:24" ht="28.2" thickBot="1">
      <c r="B65" s="127" t="s">
        <v>4</v>
      </c>
      <c r="C65" s="128"/>
      <c r="D65" s="128"/>
      <c r="E65" s="128"/>
      <c r="F65" s="128"/>
      <c r="G65" s="128"/>
      <c r="H65" s="129"/>
      <c r="I65" s="224"/>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1:24" ht="15" thickBot="1">
      <c r="B66" s="1" t="s">
        <v>124</v>
      </c>
      <c r="C66" s="2">
        <v>6</v>
      </c>
      <c r="D66" s="2">
        <v>6</v>
      </c>
      <c r="E66" s="2">
        <v>6</v>
      </c>
      <c r="F66" s="2">
        <v>6</v>
      </c>
      <c r="G66" s="2" t="s">
        <v>6</v>
      </c>
      <c r="H66" s="2">
        <v>1</v>
      </c>
      <c r="J66" s="50"/>
      <c r="K66" s="50"/>
      <c r="L66" s="51"/>
      <c r="M66" s="51"/>
      <c r="N66" s="51"/>
      <c r="O66" s="52"/>
      <c r="P66" s="50"/>
      <c r="Q66" s="50"/>
      <c r="R66" s="50"/>
      <c r="S66" s="50"/>
      <c r="T66" s="50"/>
      <c r="U66" s="50"/>
      <c r="V66" s="50"/>
      <c r="W66" s="50"/>
      <c r="X66" s="50"/>
    </row>
    <row r="67" spans="1:24" ht="15" thickBot="1">
      <c r="B67" s="1" t="s">
        <v>125</v>
      </c>
      <c r="C67" s="2">
        <v>4.2</v>
      </c>
      <c r="D67" s="2">
        <v>4.2</v>
      </c>
      <c r="E67" s="2">
        <v>4.2</v>
      </c>
      <c r="F67" s="2">
        <v>4.2</v>
      </c>
      <c r="G67" s="2" t="s">
        <v>6</v>
      </c>
      <c r="H67" s="2"/>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1:24" ht="24.6" thickBot="1">
      <c r="B68" s="1" t="s">
        <v>7</v>
      </c>
      <c r="C68" s="2">
        <v>40</v>
      </c>
      <c r="D68" s="2">
        <v>40</v>
      </c>
      <c r="E68" s="2">
        <v>50</v>
      </c>
      <c r="F68" s="2">
        <v>60</v>
      </c>
      <c r="G68" s="2" t="s">
        <v>59</v>
      </c>
      <c r="H68" s="2" t="s">
        <v>126</v>
      </c>
      <c r="J68" s="58">
        <f>C64</f>
        <v>2015</v>
      </c>
      <c r="K68" s="58">
        <f>J68</f>
        <v>2015</v>
      </c>
      <c r="L68" s="58">
        <f>C70/100</f>
        <v>1</v>
      </c>
      <c r="M68" s="58"/>
      <c r="N68" s="58">
        <f>C71</f>
        <v>20</v>
      </c>
      <c r="O68" s="59">
        <f>C86</f>
        <v>5066.0000000000009</v>
      </c>
      <c r="P68" s="59">
        <f>C88</f>
        <v>517.40250000000003</v>
      </c>
      <c r="Q68" s="59">
        <f>C89</f>
        <v>0</v>
      </c>
      <c r="R68" s="58"/>
      <c r="S68" s="58"/>
      <c r="T68" s="58"/>
      <c r="U68" s="58"/>
      <c r="V68" s="58"/>
      <c r="W68" s="58"/>
      <c r="X68" s="58"/>
    </row>
    <row r="69" spans="1:24" ht="24.6" thickBot="1">
      <c r="B69" s="1" t="s">
        <v>8</v>
      </c>
      <c r="C69" s="2">
        <v>65</v>
      </c>
      <c r="D69" s="2">
        <v>65</v>
      </c>
      <c r="E69" s="2">
        <v>70</v>
      </c>
      <c r="F69" s="2">
        <v>70</v>
      </c>
      <c r="G69" s="2"/>
      <c r="H69" s="2"/>
      <c r="J69" s="58">
        <f>D64</f>
        <v>2020</v>
      </c>
      <c r="K69" s="58"/>
      <c r="L69" s="58">
        <f>D70/100</f>
        <v>1</v>
      </c>
      <c r="M69" s="58"/>
      <c r="N69" s="58">
        <f>D71</f>
        <v>25</v>
      </c>
      <c r="O69" s="59">
        <f>D86</f>
        <v>4768</v>
      </c>
      <c r="P69" s="59">
        <f>D88</f>
        <v>507.90319264547821</v>
      </c>
      <c r="Q69" s="59">
        <f>D89</f>
        <v>0</v>
      </c>
      <c r="R69" s="58"/>
      <c r="S69" s="58"/>
      <c r="T69" s="58"/>
      <c r="U69" s="58"/>
      <c r="V69" s="58"/>
      <c r="W69" s="58"/>
      <c r="X69" s="58"/>
    </row>
    <row r="70" spans="1:24" ht="15" thickBot="1">
      <c r="B70" s="1" t="s">
        <v>9</v>
      </c>
      <c r="C70" s="35">
        <v>100</v>
      </c>
      <c r="D70" s="35">
        <v>100</v>
      </c>
      <c r="E70" s="35">
        <v>100</v>
      </c>
      <c r="F70" s="35">
        <v>100</v>
      </c>
      <c r="G70" s="2"/>
      <c r="H70" s="2"/>
      <c r="J70" s="58">
        <f>E64</f>
        <v>2030</v>
      </c>
      <c r="K70" s="58"/>
      <c r="L70" s="58">
        <f>E70/100</f>
        <v>1</v>
      </c>
      <c r="M70" s="58"/>
      <c r="N70" s="58">
        <f>E71</f>
        <v>30</v>
      </c>
      <c r="O70" s="59">
        <f>E86</f>
        <v>4470</v>
      </c>
      <c r="P70" s="59">
        <f>E88</f>
        <v>512.44182906179265</v>
      </c>
      <c r="Q70" s="59">
        <f>E89</f>
        <v>0</v>
      </c>
      <c r="R70" s="58"/>
      <c r="S70" s="58"/>
      <c r="T70" s="58"/>
      <c r="U70" s="58"/>
      <c r="V70" s="58"/>
      <c r="W70" s="58"/>
      <c r="X70" s="58"/>
    </row>
    <row r="71" spans="1:24" ht="15" thickBot="1">
      <c r="B71" s="1" t="s">
        <v>11</v>
      </c>
      <c r="C71" s="2">
        <v>20</v>
      </c>
      <c r="D71" s="2">
        <v>25</v>
      </c>
      <c r="E71" s="2">
        <v>30</v>
      </c>
      <c r="F71" s="2">
        <v>30</v>
      </c>
      <c r="G71" s="2" t="s">
        <v>16</v>
      </c>
      <c r="H71" s="2">
        <v>1</v>
      </c>
      <c r="J71" s="58">
        <f>F64</f>
        <v>2050</v>
      </c>
      <c r="K71" s="58"/>
      <c r="L71" s="58">
        <f>F70/100</f>
        <v>1</v>
      </c>
      <c r="M71" s="58"/>
      <c r="N71" s="58">
        <f>F71</f>
        <v>30</v>
      </c>
      <c r="O71" s="59">
        <f>F86</f>
        <v>3352.5</v>
      </c>
      <c r="P71" s="59">
        <f>F88</f>
        <v>470.95410883564915</v>
      </c>
      <c r="Q71" s="59">
        <f>F89</f>
        <v>0</v>
      </c>
      <c r="R71" s="58"/>
      <c r="S71" s="58"/>
      <c r="T71" s="58"/>
      <c r="U71" s="58"/>
      <c r="V71" s="58"/>
      <c r="W71" s="58"/>
      <c r="X71" s="58"/>
    </row>
    <row r="72" spans="1:24" ht="15" thickBot="1">
      <c r="B72" s="3" t="s">
        <v>12</v>
      </c>
      <c r="C72" s="4"/>
      <c r="D72" s="4"/>
      <c r="E72" s="4"/>
      <c r="F72" s="4"/>
      <c r="G72" s="4"/>
      <c r="H72" s="5"/>
    </row>
    <row r="73" spans="1:24" ht="15.6" thickBot="1">
      <c r="B73" s="1" t="s">
        <v>13</v>
      </c>
      <c r="C73" s="2">
        <v>0</v>
      </c>
      <c r="D73" s="2">
        <v>0</v>
      </c>
      <c r="E73" s="2">
        <v>0</v>
      </c>
      <c r="F73" s="2">
        <v>0</v>
      </c>
      <c r="G73" s="2" t="s">
        <v>33</v>
      </c>
      <c r="H73" s="2"/>
    </row>
    <row r="74" spans="1:24" ht="15.6" thickBot="1">
      <c r="B74" s="1" t="s">
        <v>15</v>
      </c>
      <c r="C74" s="2">
        <v>0</v>
      </c>
      <c r="D74" s="2">
        <v>0</v>
      </c>
      <c r="E74" s="2">
        <v>0</v>
      </c>
      <c r="F74" s="2">
        <v>0</v>
      </c>
      <c r="G74" s="2"/>
      <c r="H74" s="2"/>
    </row>
    <row r="75" spans="1:24" ht="15.6" thickBot="1">
      <c r="B75" s="1" t="s">
        <v>17</v>
      </c>
      <c r="C75" s="2">
        <v>0</v>
      </c>
      <c r="D75" s="2">
        <v>0</v>
      </c>
      <c r="E75" s="2">
        <v>0</v>
      </c>
      <c r="F75" s="2">
        <v>0</v>
      </c>
      <c r="G75" s="2"/>
      <c r="H75" s="2"/>
      <c r="O75" s="1105"/>
    </row>
    <row r="76" spans="1:24" ht="15.6" thickBot="1">
      <c r="B76" s="1" t="s">
        <v>18</v>
      </c>
      <c r="C76" s="2">
        <v>0</v>
      </c>
      <c r="D76" s="2">
        <v>0</v>
      </c>
      <c r="E76" s="2">
        <v>0</v>
      </c>
      <c r="F76" s="2">
        <v>0</v>
      </c>
      <c r="G76" s="2"/>
      <c r="H76" s="2"/>
    </row>
    <row r="77" spans="1:24" ht="15" thickBot="1">
      <c r="B77" s="1" t="s">
        <v>19</v>
      </c>
      <c r="C77" s="2">
        <v>0</v>
      </c>
      <c r="D77" s="2">
        <v>0</v>
      </c>
      <c r="E77" s="2">
        <v>0</v>
      </c>
      <c r="F77" s="2">
        <v>0</v>
      </c>
      <c r="G77" s="2"/>
      <c r="H77" s="2"/>
    </row>
    <row r="78" spans="1:24" ht="15" thickBot="1">
      <c r="B78" s="3" t="s">
        <v>22</v>
      </c>
      <c r="C78" s="4"/>
      <c r="D78" s="4"/>
      <c r="E78" s="4"/>
      <c r="F78" s="4"/>
      <c r="G78" s="4"/>
      <c r="H78" s="5"/>
    </row>
    <row r="79" spans="1:24" ht="15" thickBot="1">
      <c r="B79" s="1" t="s">
        <v>127</v>
      </c>
      <c r="C79" s="2">
        <v>0.68</v>
      </c>
      <c r="D79" s="2">
        <v>0.64</v>
      </c>
      <c r="E79" s="2">
        <v>0.6</v>
      </c>
      <c r="F79" s="2">
        <v>0.45</v>
      </c>
      <c r="G79" s="2" t="s">
        <v>20</v>
      </c>
      <c r="H79" s="2" t="s">
        <v>128</v>
      </c>
    </row>
    <row r="80" spans="1:24">
      <c r="A80" s="36"/>
      <c r="B80" s="6" t="s">
        <v>24</v>
      </c>
      <c r="C80" s="895">
        <v>2.6845637583892619</v>
      </c>
      <c r="D80" s="895">
        <v>2.4161073825503352</v>
      </c>
      <c r="E80" s="895">
        <v>2.1476510067114094</v>
      </c>
      <c r="F80" s="895">
        <v>1.8791946308724832</v>
      </c>
      <c r="G80" s="7"/>
      <c r="H80" s="7" t="s">
        <v>128</v>
      </c>
    </row>
    <row r="81" spans="1:24">
      <c r="A81" s="36"/>
      <c r="B81" s="6" t="s">
        <v>26</v>
      </c>
      <c r="C81" s="897">
        <v>65</v>
      </c>
      <c r="D81" s="897">
        <v>65</v>
      </c>
      <c r="E81" s="897">
        <v>65</v>
      </c>
      <c r="F81" s="897">
        <v>65</v>
      </c>
      <c r="G81" s="7"/>
      <c r="H81" s="7" t="s">
        <v>129</v>
      </c>
    </row>
    <row r="82" spans="1:24" ht="15" thickBot="1">
      <c r="A82" s="36"/>
      <c r="B82" s="1" t="s">
        <v>28</v>
      </c>
      <c r="C82" s="898">
        <v>35</v>
      </c>
      <c r="D82" s="898">
        <v>35</v>
      </c>
      <c r="E82" s="898">
        <v>35</v>
      </c>
      <c r="F82" s="898">
        <v>35</v>
      </c>
      <c r="G82" s="2"/>
      <c r="H82" s="2">
        <v>8</v>
      </c>
    </row>
    <row r="83" spans="1:24" ht="24.6" thickBot="1">
      <c r="A83" s="36"/>
      <c r="B83" s="1" t="s">
        <v>30</v>
      </c>
      <c r="C83" s="898">
        <v>0</v>
      </c>
      <c r="D83" s="898">
        <v>0</v>
      </c>
      <c r="E83" s="898">
        <v>0</v>
      </c>
      <c r="F83" s="898">
        <v>0</v>
      </c>
      <c r="G83" s="2"/>
      <c r="H83" s="2"/>
    </row>
    <row r="84" spans="1:24" ht="15" thickBot="1">
      <c r="A84" s="36"/>
      <c r="B84" s="1" t="s">
        <v>64</v>
      </c>
      <c r="C84" s="898">
        <v>69.45</v>
      </c>
      <c r="D84" s="898">
        <v>68.17492518731251</v>
      </c>
      <c r="E84" s="898">
        <v>68.784138129099688</v>
      </c>
      <c r="F84" s="898">
        <v>63.215316622234781</v>
      </c>
      <c r="G84" s="2" t="s">
        <v>76</v>
      </c>
      <c r="H84" s="2"/>
    </row>
    <row r="85" spans="1:24" ht="15" thickBot="1">
      <c r="A85" s="36"/>
      <c r="B85" s="1" t="s">
        <v>130</v>
      </c>
      <c r="C85" s="2">
        <v>0</v>
      </c>
      <c r="D85" s="2">
        <v>0</v>
      </c>
      <c r="E85" s="2">
        <v>0</v>
      </c>
      <c r="F85" s="2">
        <v>0</v>
      </c>
      <c r="G85" s="2" t="s">
        <v>25</v>
      </c>
      <c r="H85" s="2"/>
    </row>
    <row r="86" spans="1:24">
      <c r="B86" s="36" t="s">
        <v>353</v>
      </c>
      <c r="C86" s="60">
        <f>C79*$F$4*1000</f>
        <v>5066.0000000000009</v>
      </c>
      <c r="D86" s="60">
        <f t="shared" ref="D86:F87" si="4">D79*$F$4*1000</f>
        <v>4768</v>
      </c>
      <c r="E86" s="60">
        <f t="shared" si="4"/>
        <v>4470</v>
      </c>
      <c r="F86" s="60">
        <f t="shared" si="4"/>
        <v>3352.5</v>
      </c>
      <c r="G86" s="63" t="s">
        <v>332</v>
      </c>
      <c r="H86" s="63"/>
    </row>
    <row r="87" spans="1:24">
      <c r="B87" s="36" t="s">
        <v>354</v>
      </c>
      <c r="C87" s="60">
        <f>C80*$F$4*1000</f>
        <v>20000</v>
      </c>
      <c r="D87" s="60">
        <f t="shared" si="4"/>
        <v>17999.999999999996</v>
      </c>
      <c r="E87" s="60">
        <f t="shared" si="4"/>
        <v>16000</v>
      </c>
      <c r="F87" s="60">
        <f t="shared" si="4"/>
        <v>14000</v>
      </c>
      <c r="G87" s="70">
        <f>C67</f>
        <v>4.2</v>
      </c>
      <c r="H87" s="69" t="s">
        <v>330</v>
      </c>
    </row>
    <row r="88" spans="1:24">
      <c r="B88" s="36" t="s">
        <v>355</v>
      </c>
      <c r="C88" s="60">
        <f>C84*$F$4</f>
        <v>517.40250000000003</v>
      </c>
      <c r="D88" s="60">
        <f>D84*$F$4</f>
        <v>507.90319264547821</v>
      </c>
      <c r="E88" s="60">
        <f>E84*$F$4</f>
        <v>512.44182906179265</v>
      </c>
      <c r="F88" s="60">
        <f>F84*$F$4</f>
        <v>470.95410883564915</v>
      </c>
      <c r="G88" s="69" t="s">
        <v>331</v>
      </c>
      <c r="H88" s="69"/>
    </row>
    <row r="89" spans="1:24" ht="15" thickBot="1">
      <c r="B89" s="36" t="s">
        <v>356</v>
      </c>
      <c r="C89" s="60">
        <f>C85*$F$4/(4*3.6*C69/100)</f>
        <v>0</v>
      </c>
      <c r="D89" s="60">
        <f t="shared" ref="D89:F89" si="5">D85*$F$4/(4*3.6*D69/100)</f>
        <v>0</v>
      </c>
      <c r="E89" s="60">
        <f t="shared" si="5"/>
        <v>0</v>
      </c>
      <c r="F89" s="60">
        <f t="shared" si="5"/>
        <v>0</v>
      </c>
      <c r="G89" s="83" t="s">
        <v>422</v>
      </c>
      <c r="H89" s="61"/>
    </row>
    <row r="90" spans="1:24" ht="15.75" customHeight="1">
      <c r="B90" s="1254" t="s">
        <v>0</v>
      </c>
      <c r="C90" s="1256" t="s">
        <v>123</v>
      </c>
      <c r="D90" s="1257"/>
      <c r="E90" s="1257"/>
      <c r="F90" s="1257"/>
      <c r="G90" s="1257"/>
      <c r="H90" s="1258"/>
      <c r="J90" s="1256" t="str">
        <f>C90</f>
        <v>Solar heating system</v>
      </c>
      <c r="K90" s="1257"/>
      <c r="L90" s="1257"/>
      <c r="M90" s="1257"/>
      <c r="N90" s="1257"/>
      <c r="O90" s="1258"/>
    </row>
    <row r="91" spans="1:24" ht="15" thickBot="1">
      <c r="B91" s="1255"/>
      <c r="C91" s="1131" t="s">
        <v>35</v>
      </c>
      <c r="D91" s="1132"/>
      <c r="E91" s="1132"/>
      <c r="F91" s="1132"/>
      <c r="G91" s="1132"/>
      <c r="H91" s="1133"/>
      <c r="J91" s="1131" t="str">
        <f>C91</f>
        <v>Apartment complex, new building</v>
      </c>
      <c r="K91" s="1132"/>
      <c r="L91" s="1132"/>
      <c r="M91" s="1132"/>
      <c r="N91" s="1132"/>
      <c r="O91" s="1133"/>
    </row>
    <row r="92" spans="1:24" ht="15" thickBot="1">
      <c r="B92" s="1"/>
      <c r="C92" s="2">
        <v>2015</v>
      </c>
      <c r="D92" s="2">
        <v>2020</v>
      </c>
      <c r="E92" s="2">
        <v>2030</v>
      </c>
      <c r="F92" s="2">
        <v>2050</v>
      </c>
      <c r="G92" s="2" t="s">
        <v>2</v>
      </c>
      <c r="H92" s="2" t="s">
        <v>3</v>
      </c>
      <c r="J92" s="53" t="s">
        <v>357</v>
      </c>
    </row>
    <row r="93" spans="1:24" ht="28.2" thickBot="1">
      <c r="B93" s="3" t="s">
        <v>4</v>
      </c>
      <c r="C93" s="4"/>
      <c r="D93" s="4"/>
      <c r="E93" s="4"/>
      <c r="F93" s="4"/>
      <c r="G93" s="4"/>
      <c r="H93" s="5"/>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24" ht="15" thickBot="1">
      <c r="B94" s="1" t="s">
        <v>124</v>
      </c>
      <c r="C94" s="2">
        <v>200</v>
      </c>
      <c r="D94" s="2">
        <v>200</v>
      </c>
      <c r="E94" s="2">
        <v>200</v>
      </c>
      <c r="F94" s="2">
        <v>200</v>
      </c>
      <c r="G94" s="2" t="s">
        <v>6</v>
      </c>
      <c r="H94" s="2"/>
      <c r="J94" s="50"/>
      <c r="K94" s="50"/>
      <c r="L94" s="51"/>
      <c r="M94" s="51"/>
      <c r="N94" s="51"/>
      <c r="O94" s="52"/>
      <c r="P94" s="50"/>
      <c r="Q94" s="50"/>
      <c r="R94" s="50"/>
      <c r="S94" s="50"/>
      <c r="T94" s="50"/>
      <c r="U94" s="50"/>
      <c r="V94" s="50"/>
      <c r="W94" s="50"/>
      <c r="X94" s="50"/>
    </row>
    <row r="95" spans="1:24" ht="15" thickBot="1">
      <c r="B95" s="1" t="s">
        <v>125</v>
      </c>
      <c r="C95" s="2">
        <v>140</v>
      </c>
      <c r="D95" s="2">
        <v>140</v>
      </c>
      <c r="E95" s="2">
        <v>140</v>
      </c>
      <c r="F95" s="2">
        <v>140</v>
      </c>
      <c r="G95" s="2" t="s">
        <v>6</v>
      </c>
      <c r="H95" s="2"/>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24" ht="24.6" thickBot="1">
      <c r="B96" s="1" t="s">
        <v>7</v>
      </c>
      <c r="C96" s="2">
        <v>40</v>
      </c>
      <c r="D96" s="2">
        <v>40</v>
      </c>
      <c r="E96" s="2">
        <v>50</v>
      </c>
      <c r="F96" s="2">
        <v>60</v>
      </c>
      <c r="G96" s="2" t="s">
        <v>59</v>
      </c>
      <c r="H96" s="2"/>
      <c r="J96" s="58">
        <f>C92</f>
        <v>2015</v>
      </c>
      <c r="K96" s="58">
        <f>J96</f>
        <v>2015</v>
      </c>
      <c r="L96" s="58">
        <f>C98/100</f>
        <v>1</v>
      </c>
      <c r="M96" s="58"/>
      <c r="N96" s="58">
        <f>C99</f>
        <v>20</v>
      </c>
      <c r="O96" s="59">
        <f>C114</f>
        <v>2831</v>
      </c>
      <c r="P96" s="59">
        <f>C116</f>
        <v>20.700357142857143</v>
      </c>
      <c r="Q96" s="59">
        <f>C117</f>
        <v>0</v>
      </c>
      <c r="R96" s="58"/>
      <c r="S96" s="58"/>
      <c r="T96" s="58"/>
      <c r="U96" s="58"/>
      <c r="V96" s="58"/>
      <c r="W96" s="58"/>
      <c r="X96" s="58"/>
    </row>
    <row r="97" spans="1:24" ht="24.6" thickBot="1">
      <c r="B97" s="1" t="s">
        <v>8</v>
      </c>
      <c r="C97" s="2">
        <v>65</v>
      </c>
      <c r="D97" s="2">
        <v>65</v>
      </c>
      <c r="E97" s="2">
        <v>70</v>
      </c>
      <c r="F97" s="2">
        <v>70</v>
      </c>
      <c r="G97" s="2" t="s">
        <v>59</v>
      </c>
      <c r="H97" s="2"/>
      <c r="J97" s="58">
        <f>D92</f>
        <v>2020</v>
      </c>
      <c r="K97" s="58"/>
      <c r="L97" s="58">
        <f>D98/100</f>
        <v>1</v>
      </c>
      <c r="M97" s="58"/>
      <c r="N97" s="58">
        <f>D99</f>
        <v>25</v>
      </c>
      <c r="O97" s="59">
        <f>D114</f>
        <v>2831</v>
      </c>
      <c r="P97" s="59">
        <f>D116</f>
        <v>20.660433158225668</v>
      </c>
      <c r="Q97" s="59">
        <f>D117</f>
        <v>0</v>
      </c>
      <c r="R97" s="58"/>
      <c r="S97" s="58"/>
      <c r="T97" s="58"/>
      <c r="U97" s="58"/>
      <c r="V97" s="58"/>
      <c r="W97" s="58"/>
      <c r="X97" s="58"/>
    </row>
    <row r="98" spans="1:24" ht="15" thickBot="1">
      <c r="B98" s="1" t="s">
        <v>9</v>
      </c>
      <c r="C98" s="35">
        <v>100</v>
      </c>
      <c r="D98" s="35">
        <v>100</v>
      </c>
      <c r="E98" s="35">
        <v>100</v>
      </c>
      <c r="F98" s="35">
        <v>100</v>
      </c>
      <c r="G98" s="2"/>
      <c r="H98" s="2"/>
      <c r="J98" s="58">
        <f>E92</f>
        <v>2030</v>
      </c>
      <c r="K98" s="58"/>
      <c r="L98" s="58">
        <f>E98/100</f>
        <v>1</v>
      </c>
      <c r="M98" s="58"/>
      <c r="N98" s="58">
        <f>E99</f>
        <v>30</v>
      </c>
      <c r="O98" s="59">
        <f>E114</f>
        <v>2831</v>
      </c>
      <c r="P98" s="59">
        <f>E116</f>
        <v>23.28125</v>
      </c>
      <c r="Q98" s="59">
        <f>E117</f>
        <v>0</v>
      </c>
      <c r="R98" s="58"/>
      <c r="S98" s="58"/>
      <c r="T98" s="58"/>
      <c r="U98" s="58"/>
      <c r="V98" s="58"/>
      <c r="W98" s="58"/>
      <c r="X98" s="58"/>
    </row>
    <row r="99" spans="1:24" ht="15" thickBot="1">
      <c r="B99" s="1" t="s">
        <v>11</v>
      </c>
      <c r="C99" s="2">
        <v>20</v>
      </c>
      <c r="D99" s="2">
        <v>25</v>
      </c>
      <c r="E99" s="2">
        <v>30</v>
      </c>
      <c r="F99" s="2">
        <v>30</v>
      </c>
      <c r="G99" s="2" t="s">
        <v>16</v>
      </c>
      <c r="H99" s="2"/>
      <c r="J99" s="58">
        <f>F92</f>
        <v>2050</v>
      </c>
      <c r="K99" s="58"/>
      <c r="L99" s="58">
        <f>F98/100</f>
        <v>1</v>
      </c>
      <c r="M99" s="58"/>
      <c r="N99" s="58">
        <f>F99</f>
        <v>30</v>
      </c>
      <c r="O99" s="59">
        <f>F114</f>
        <v>2831</v>
      </c>
      <c r="P99" s="59">
        <f>F116</f>
        <v>21.498571428571431</v>
      </c>
      <c r="Q99" s="59">
        <f>F117</f>
        <v>0</v>
      </c>
      <c r="R99" s="58"/>
      <c r="S99" s="58"/>
      <c r="T99" s="58"/>
      <c r="U99" s="58"/>
      <c r="V99" s="58"/>
      <c r="W99" s="58"/>
      <c r="X99" s="58"/>
    </row>
    <row r="100" spans="1:24" ht="15" thickBot="1">
      <c r="B100" s="3" t="s">
        <v>12</v>
      </c>
      <c r="C100" s="4"/>
      <c r="D100" s="4"/>
      <c r="E100" s="4"/>
      <c r="F100" s="4"/>
      <c r="G100" s="4"/>
      <c r="H100" s="5"/>
    </row>
    <row r="101" spans="1:24" ht="15.6" thickBot="1">
      <c r="B101" s="1" t="s">
        <v>13</v>
      </c>
      <c r="C101" s="2">
        <v>0</v>
      </c>
      <c r="D101" s="2">
        <v>0</v>
      </c>
      <c r="E101" s="2">
        <v>0</v>
      </c>
      <c r="F101" s="2">
        <v>0</v>
      </c>
      <c r="G101" s="2" t="s">
        <v>33</v>
      </c>
      <c r="H101" s="2"/>
    </row>
    <row r="102" spans="1:24" ht="15.6" thickBot="1">
      <c r="B102" s="1" t="s">
        <v>15</v>
      </c>
      <c r="C102" s="2">
        <v>0</v>
      </c>
      <c r="D102" s="2">
        <v>0</v>
      </c>
      <c r="E102" s="2">
        <v>0</v>
      </c>
      <c r="F102" s="2">
        <v>0</v>
      </c>
      <c r="G102" s="2"/>
      <c r="H102" s="2"/>
    </row>
    <row r="103" spans="1:24" ht="15.6" thickBot="1">
      <c r="B103" s="1" t="s">
        <v>17</v>
      </c>
      <c r="C103" s="2">
        <v>0</v>
      </c>
      <c r="D103" s="2">
        <v>0</v>
      </c>
      <c r="E103" s="2">
        <v>0</v>
      </c>
      <c r="F103" s="2">
        <v>0</v>
      </c>
      <c r="G103" s="2"/>
      <c r="H103" s="2"/>
    </row>
    <row r="104" spans="1:24" ht="15.6" thickBot="1">
      <c r="B104" s="1" t="s">
        <v>18</v>
      </c>
      <c r="C104" s="2">
        <v>0</v>
      </c>
      <c r="D104" s="2">
        <v>0</v>
      </c>
      <c r="E104" s="2">
        <v>0</v>
      </c>
      <c r="F104" s="2">
        <v>0</v>
      </c>
      <c r="G104" s="2"/>
      <c r="H104" s="2"/>
    </row>
    <row r="105" spans="1:24" ht="15" thickBot="1">
      <c r="B105" s="1" t="s">
        <v>19</v>
      </c>
      <c r="C105" s="2">
        <v>0</v>
      </c>
      <c r="D105" s="2">
        <v>0</v>
      </c>
      <c r="E105" s="2">
        <v>0</v>
      </c>
      <c r="F105" s="2">
        <v>0</v>
      </c>
      <c r="G105" s="2"/>
      <c r="H105" s="2"/>
    </row>
    <row r="106" spans="1:24" ht="15" thickBot="1">
      <c r="B106" s="3" t="s">
        <v>22</v>
      </c>
      <c r="C106" s="4"/>
      <c r="D106" s="4"/>
      <c r="E106" s="4"/>
      <c r="F106" s="4"/>
      <c r="G106" s="4"/>
      <c r="H106" s="5"/>
    </row>
    <row r="107" spans="1:24" ht="15" thickBot="1">
      <c r="B107" s="1" t="s">
        <v>23</v>
      </c>
      <c r="C107" s="2">
        <v>0.38</v>
      </c>
      <c r="D107" s="2">
        <v>0.38</v>
      </c>
      <c r="E107" s="2">
        <v>0.38</v>
      </c>
      <c r="F107" s="2">
        <v>0.38</v>
      </c>
      <c r="G107" s="2" t="s">
        <v>20</v>
      </c>
      <c r="H107" s="2"/>
    </row>
    <row r="108" spans="1:24">
      <c r="A108" s="36"/>
      <c r="B108" s="6" t="s">
        <v>24</v>
      </c>
      <c r="C108" s="895">
        <v>80.53691275167786</v>
      </c>
      <c r="D108" s="895">
        <v>73.825503355704697</v>
      </c>
      <c r="E108" s="895">
        <v>67.114093959731548</v>
      </c>
      <c r="F108" s="895">
        <v>60.402684563758392</v>
      </c>
      <c r="G108" s="7"/>
      <c r="H108" s="7"/>
    </row>
    <row r="109" spans="1:24">
      <c r="A109" s="36"/>
      <c r="B109" s="6" t="s">
        <v>26</v>
      </c>
      <c r="C109" s="895">
        <v>65</v>
      </c>
      <c r="D109" s="895">
        <v>65</v>
      </c>
      <c r="E109" s="895">
        <v>65</v>
      </c>
      <c r="F109" s="895">
        <v>65</v>
      </c>
      <c r="G109" s="7"/>
      <c r="H109" s="7" t="s">
        <v>129</v>
      </c>
    </row>
    <row r="110" spans="1:24" ht="15" thickBot="1">
      <c r="A110" s="36"/>
      <c r="B110" s="1" t="s">
        <v>28</v>
      </c>
      <c r="C110" s="896">
        <v>35</v>
      </c>
      <c r="D110" s="896">
        <v>35</v>
      </c>
      <c r="E110" s="896">
        <v>35</v>
      </c>
      <c r="F110" s="896">
        <v>35</v>
      </c>
      <c r="G110" s="2"/>
      <c r="H110" s="2">
        <v>8</v>
      </c>
    </row>
    <row r="111" spans="1:24" ht="24.6" thickBot="1">
      <c r="A111" s="36"/>
      <c r="B111" s="1" t="s">
        <v>30</v>
      </c>
      <c r="C111" s="896">
        <v>0</v>
      </c>
      <c r="D111" s="896">
        <v>0</v>
      </c>
      <c r="E111" s="896">
        <v>0</v>
      </c>
      <c r="F111" s="896">
        <v>0</v>
      </c>
      <c r="G111" s="2"/>
      <c r="H111" s="2"/>
    </row>
    <row r="112" spans="1:24" ht="15" thickBot="1">
      <c r="A112" s="36"/>
      <c r="B112" s="1" t="s">
        <v>64</v>
      </c>
      <c r="C112" s="896">
        <v>389</v>
      </c>
      <c r="D112" s="896">
        <v>388.249750624375</v>
      </c>
      <c r="E112" s="896">
        <v>437.5</v>
      </c>
      <c r="F112" s="896">
        <v>404</v>
      </c>
      <c r="G112" s="2" t="s">
        <v>76</v>
      </c>
      <c r="H112" s="2"/>
    </row>
    <row r="113" spans="1:8" ht="15" thickBot="1">
      <c r="A113" s="36"/>
      <c r="B113" s="1" t="s">
        <v>130</v>
      </c>
      <c r="C113" s="2">
        <v>0</v>
      </c>
      <c r="D113" s="2">
        <v>0</v>
      </c>
      <c r="E113" s="2">
        <v>0</v>
      </c>
      <c r="F113" s="2">
        <v>0</v>
      </c>
      <c r="G113" s="2" t="s">
        <v>25</v>
      </c>
      <c r="H113" s="2"/>
    </row>
    <row r="114" spans="1:8">
      <c r="B114" s="36" t="s">
        <v>353</v>
      </c>
      <c r="C114" s="60">
        <f>C107*$F$4*1000</f>
        <v>2831</v>
      </c>
      <c r="D114" s="60">
        <f>D107*$F$4*1000</f>
        <v>2831</v>
      </c>
      <c r="E114" s="60">
        <f>E107*$F$4*1000</f>
        <v>2831</v>
      </c>
      <c r="F114" s="60">
        <f>F107*$F$4*1000</f>
        <v>2831</v>
      </c>
      <c r="G114" s="63" t="s">
        <v>332</v>
      </c>
      <c r="H114" s="63"/>
    </row>
    <row r="115" spans="1:8">
      <c r="B115" s="36" t="s">
        <v>354</v>
      </c>
      <c r="C115" s="60">
        <f>C108*$F$4*1000*C66/C95</f>
        <v>25714.285714285721</v>
      </c>
      <c r="D115" s="60">
        <f>D108*$F$4*1000*D66/D95</f>
        <v>23571.428571428572</v>
      </c>
      <c r="E115" s="60">
        <f>E108*$F$4*1000*E66/E95</f>
        <v>21428.571428571431</v>
      </c>
      <c r="F115" s="60">
        <f>F108*$F$4*1000*F66/F95</f>
        <v>19285.71428571429</v>
      </c>
      <c r="G115" s="70">
        <f>C95</f>
        <v>140</v>
      </c>
      <c r="H115" s="69" t="s">
        <v>330</v>
      </c>
    </row>
    <row r="116" spans="1:8">
      <c r="B116" s="36" t="s">
        <v>355</v>
      </c>
      <c r="C116" s="60">
        <f>C112*$F$4/C95</f>
        <v>20.700357142857143</v>
      </c>
      <c r="D116" s="60">
        <f>D112*$F$4/D95</f>
        <v>20.660433158225668</v>
      </c>
      <c r="E116" s="60">
        <f>E112*$F$4/E95</f>
        <v>23.28125</v>
      </c>
      <c r="F116" s="60">
        <f>F112*$F$4/F95</f>
        <v>21.498571428571431</v>
      </c>
      <c r="G116" s="69" t="s">
        <v>331</v>
      </c>
      <c r="H116" s="69"/>
    </row>
    <row r="117" spans="1:8">
      <c r="B117" s="36" t="s">
        <v>356</v>
      </c>
      <c r="C117" s="60">
        <f>C113*$F$4/(4*3.6*C97/100)*C67/C95</f>
        <v>0</v>
      </c>
      <c r="D117" s="60">
        <f t="shared" ref="D117:F117" si="6">D113*$F$4/(4*3.6*D97/100)*D67/D95</f>
        <v>0</v>
      </c>
      <c r="E117" s="60">
        <f t="shared" si="6"/>
        <v>0</v>
      </c>
      <c r="F117" s="60">
        <f t="shared" si="6"/>
        <v>0</v>
      </c>
      <c r="G117" s="83" t="s">
        <v>423</v>
      </c>
      <c r="H117" s="61"/>
    </row>
  </sheetData>
  <mergeCells count="20">
    <mergeCell ref="B6:B7"/>
    <mergeCell ref="C6:H6"/>
    <mergeCell ref="C7:H7"/>
    <mergeCell ref="B34:B35"/>
    <mergeCell ref="C34:H34"/>
    <mergeCell ref="C35:H35"/>
    <mergeCell ref="B62:B63"/>
    <mergeCell ref="C62:H62"/>
    <mergeCell ref="C63:H63"/>
    <mergeCell ref="B90:B91"/>
    <mergeCell ref="C90:H90"/>
    <mergeCell ref="C91:H91"/>
    <mergeCell ref="J91:O91"/>
    <mergeCell ref="J6:O6"/>
    <mergeCell ref="J34:O34"/>
    <mergeCell ref="J62:O62"/>
    <mergeCell ref="J90:O90"/>
    <mergeCell ref="J7:O7"/>
    <mergeCell ref="J35:O35"/>
    <mergeCell ref="J63:O63"/>
  </mergeCells>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7EC9D-8B95-4D80-9030-8A0B0B4F00E5}">
  <sheetPr>
    <tabColor theme="4"/>
  </sheetPr>
  <dimension ref="B3:X156"/>
  <sheetViews>
    <sheetView topLeftCell="A31" workbookViewId="0">
      <selection activeCell="I24" sqref="I24"/>
    </sheetView>
  </sheetViews>
  <sheetFormatPr defaultColWidth="8.77734375" defaultRowHeight="14.4"/>
  <cols>
    <col min="1" max="1" width="8.77734375" style="224"/>
    <col min="2" max="2" width="36.77734375" style="224" customWidth="1"/>
    <col min="3" max="3" width="10" style="224" bestFit="1" customWidth="1"/>
    <col min="4" max="4" width="10.77734375" style="224" customWidth="1"/>
    <col min="5" max="8" width="8.77734375" style="224"/>
    <col min="9" max="18" width="9.21875" style="224" customWidth="1"/>
    <col min="19" max="16384" width="8.77734375" style="224"/>
  </cols>
  <sheetData>
    <row r="3" spans="2:24">
      <c r="B3" s="8" t="s">
        <v>1100</v>
      </c>
    </row>
    <row r="4" spans="2:24">
      <c r="E4" s="224" t="s">
        <v>358</v>
      </c>
      <c r="G4" s="36">
        <v>7.45</v>
      </c>
      <c r="H4" s="224" t="s">
        <v>328</v>
      </c>
    </row>
    <row r="5" spans="2:24" ht="15" thickBot="1"/>
    <row r="6" spans="2:24">
      <c r="B6" s="1254" t="s">
        <v>0</v>
      </c>
      <c r="C6" s="1256" t="s">
        <v>1101</v>
      </c>
      <c r="D6" s="1257"/>
      <c r="E6" s="1257"/>
      <c r="F6" s="1257"/>
      <c r="G6" s="1257"/>
      <c r="H6" s="1258"/>
      <c r="J6" s="1256" t="str">
        <f>C6</f>
        <v>Oil burner (mineral oil fired, &lt;10 % FAME)</v>
      </c>
      <c r="K6" s="1257"/>
      <c r="L6" s="1257"/>
      <c r="M6" s="1257"/>
      <c r="N6" s="1257"/>
      <c r="O6" s="1258"/>
    </row>
    <row r="7" spans="2:24" ht="15" thickBot="1">
      <c r="B7" s="1255"/>
      <c r="C7" s="1131" t="s">
        <v>1</v>
      </c>
      <c r="D7" s="1132"/>
      <c r="E7" s="1132"/>
      <c r="F7" s="1132"/>
      <c r="G7" s="1132"/>
      <c r="H7" s="1133"/>
      <c r="J7" s="1131" t="str">
        <f>C7</f>
        <v>One-family house, existing building</v>
      </c>
      <c r="K7" s="1132"/>
      <c r="L7" s="1132"/>
      <c r="M7" s="1132"/>
      <c r="N7" s="1132"/>
      <c r="O7" s="1133"/>
    </row>
    <row r="8" spans="2:24" ht="15" thickBot="1">
      <c r="B8" s="125"/>
      <c r="C8" s="812">
        <v>2015</v>
      </c>
      <c r="D8" s="812">
        <v>2020</v>
      </c>
      <c r="E8" s="812">
        <v>2030</v>
      </c>
      <c r="F8" s="812">
        <v>2050</v>
      </c>
      <c r="G8" s="812" t="s">
        <v>2</v>
      </c>
      <c r="H8" s="812" t="s">
        <v>3</v>
      </c>
      <c r="J8" s="53" t="s">
        <v>357</v>
      </c>
    </row>
    <row r="9" spans="2:24" ht="28.2" thickBot="1">
      <c r="B9" s="127" t="s">
        <v>4</v>
      </c>
      <c r="C9" s="128"/>
      <c r="D9" s="128"/>
      <c r="E9" s="128"/>
      <c r="F9" s="128"/>
      <c r="G9" s="128"/>
      <c r="H9" s="12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25" t="s">
        <v>5</v>
      </c>
      <c r="C10" s="812" t="s">
        <v>1102</v>
      </c>
      <c r="D10" s="812" t="s">
        <v>1102</v>
      </c>
      <c r="E10" s="812" t="s">
        <v>1102</v>
      </c>
      <c r="F10" s="812" t="s">
        <v>1102</v>
      </c>
      <c r="G10" s="812" t="s">
        <v>6</v>
      </c>
      <c r="H10" s="812"/>
      <c r="J10" s="50"/>
      <c r="K10" s="50"/>
      <c r="L10" s="51"/>
      <c r="M10" s="51"/>
      <c r="N10" s="51"/>
      <c r="O10" s="52"/>
      <c r="P10" s="50"/>
      <c r="Q10" s="50"/>
      <c r="R10" s="50"/>
      <c r="S10" s="50"/>
      <c r="T10" s="50"/>
      <c r="U10" s="50"/>
      <c r="V10" s="50"/>
      <c r="W10" s="50"/>
      <c r="X10" s="50"/>
    </row>
    <row r="11" spans="2:24" ht="24.6" thickBot="1">
      <c r="B11" s="125" t="s">
        <v>7</v>
      </c>
      <c r="C11" s="812">
        <v>100</v>
      </c>
      <c r="D11" s="812">
        <v>100</v>
      </c>
      <c r="E11" s="812">
        <v>100</v>
      </c>
      <c r="F11" s="812">
        <v>100</v>
      </c>
      <c r="G11" s="812"/>
      <c r="H11" s="81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25" t="s">
        <v>8</v>
      </c>
      <c r="C12" s="812">
        <v>100</v>
      </c>
      <c r="D12" s="812">
        <v>100</v>
      </c>
      <c r="E12" s="812">
        <v>100</v>
      </c>
      <c r="F12" s="812">
        <v>100</v>
      </c>
      <c r="G12" s="812"/>
      <c r="H12" s="812"/>
      <c r="J12" s="58">
        <f>C8</f>
        <v>2015</v>
      </c>
      <c r="K12" s="58">
        <f>J12</f>
        <v>2015</v>
      </c>
      <c r="L12" s="58">
        <f>C13/100</f>
        <v>1</v>
      </c>
      <c r="M12" s="58"/>
      <c r="N12" s="58">
        <f>C14</f>
        <v>20</v>
      </c>
      <c r="O12" s="59">
        <f>C29</f>
        <v>2235</v>
      </c>
      <c r="P12" s="59">
        <f>C31</f>
        <v>91.431818181818187</v>
      </c>
      <c r="Q12" s="59">
        <f>C32</f>
        <v>0</v>
      </c>
      <c r="R12" s="58"/>
      <c r="S12" s="58"/>
      <c r="T12" s="58">
        <f>C16</f>
        <v>0.5</v>
      </c>
      <c r="U12" s="58">
        <f>C17</f>
        <v>30</v>
      </c>
      <c r="V12" s="58">
        <f>C18</f>
        <v>0</v>
      </c>
      <c r="W12" s="58">
        <f>C19</f>
        <v>0</v>
      </c>
      <c r="X12" s="58">
        <f>C20</f>
        <v>0.03</v>
      </c>
    </row>
    <row r="13" spans="2:24" ht="15" thickBot="1">
      <c r="B13" s="125" t="s">
        <v>9</v>
      </c>
      <c r="C13" s="812">
        <v>100</v>
      </c>
      <c r="D13" s="812">
        <v>100</v>
      </c>
      <c r="E13" s="812">
        <v>100</v>
      </c>
      <c r="F13" s="812">
        <v>100</v>
      </c>
      <c r="G13" s="812"/>
      <c r="H13" s="812" t="s">
        <v>10</v>
      </c>
      <c r="J13" s="58">
        <f>D8</f>
        <v>2020</v>
      </c>
      <c r="K13" s="58"/>
      <c r="L13" s="58">
        <f>D13/100</f>
        <v>1</v>
      </c>
      <c r="M13" s="58"/>
      <c r="N13" s="58">
        <f>D14</f>
        <v>20</v>
      </c>
      <c r="O13" s="59">
        <f>D29</f>
        <v>2235</v>
      </c>
      <c r="P13" s="59">
        <f>D31</f>
        <v>91.431818181818187</v>
      </c>
      <c r="Q13" s="59">
        <f>D32</f>
        <v>0</v>
      </c>
      <c r="R13" s="58"/>
      <c r="S13" s="58"/>
      <c r="T13" s="58">
        <f>D16</f>
        <v>0.5</v>
      </c>
      <c r="U13" s="58">
        <f>D17</f>
        <v>30</v>
      </c>
      <c r="V13" s="58">
        <f>D18</f>
        <v>0</v>
      </c>
      <c r="W13" s="58">
        <f>D19</f>
        <v>0</v>
      </c>
      <c r="X13" s="58">
        <f>D20</f>
        <v>0.03</v>
      </c>
    </row>
    <row r="14" spans="2:24" ht="15" thickBot="1">
      <c r="B14" s="125" t="s">
        <v>11</v>
      </c>
      <c r="C14" s="812">
        <v>20</v>
      </c>
      <c r="D14" s="812">
        <v>20</v>
      </c>
      <c r="E14" s="812">
        <v>20</v>
      </c>
      <c r="F14" s="812">
        <v>20</v>
      </c>
      <c r="G14" s="812"/>
      <c r="H14" s="812">
        <v>4</v>
      </c>
      <c r="J14" s="58">
        <f>E8</f>
        <v>2030</v>
      </c>
      <c r="K14" s="58"/>
      <c r="L14" s="58">
        <f>E13/100</f>
        <v>1</v>
      </c>
      <c r="M14" s="58"/>
      <c r="N14" s="58">
        <f>E14</f>
        <v>20</v>
      </c>
      <c r="O14" s="59">
        <f>E29</f>
        <v>2235</v>
      </c>
      <c r="P14" s="59">
        <f>E31</f>
        <v>91.431818181818187</v>
      </c>
      <c r="Q14" s="59">
        <f>E32</f>
        <v>0</v>
      </c>
      <c r="R14" s="58"/>
      <c r="S14" s="58"/>
      <c r="T14" s="58">
        <f>E16</f>
        <v>0.5</v>
      </c>
      <c r="U14" s="58">
        <f>E17</f>
        <v>30</v>
      </c>
      <c r="V14" s="58">
        <f>E18</f>
        <v>0</v>
      </c>
      <c r="W14" s="58">
        <f>E19</f>
        <v>0</v>
      </c>
      <c r="X14" s="58">
        <f>E20</f>
        <v>0.03</v>
      </c>
    </row>
    <row r="15" spans="2:24" ht="15" thickBot="1">
      <c r="B15" s="127" t="s">
        <v>12</v>
      </c>
      <c r="C15" s="128"/>
      <c r="D15" s="128"/>
      <c r="E15" s="128"/>
      <c r="F15" s="128"/>
      <c r="G15" s="128"/>
      <c r="H15" s="129"/>
      <c r="J15" s="58">
        <f>F8</f>
        <v>2050</v>
      </c>
      <c r="K15" s="58"/>
      <c r="L15" s="58">
        <f>F13/100</f>
        <v>1</v>
      </c>
      <c r="M15" s="58"/>
      <c r="N15" s="58">
        <f>F14</f>
        <v>20</v>
      </c>
      <c r="O15" s="59">
        <f>F29</f>
        <v>2235</v>
      </c>
      <c r="P15" s="59">
        <f>F31</f>
        <v>91.431818181818187</v>
      </c>
      <c r="Q15" s="59">
        <f>F32</f>
        <v>0</v>
      </c>
      <c r="R15" s="58"/>
      <c r="S15" s="58"/>
      <c r="T15" s="58">
        <f>F16</f>
        <v>0.5</v>
      </c>
      <c r="U15" s="58">
        <f>F17</f>
        <v>30</v>
      </c>
      <c r="V15" s="58">
        <f>F18</f>
        <v>0</v>
      </c>
      <c r="W15" s="58">
        <f>F19</f>
        <v>0</v>
      </c>
      <c r="X15" s="58">
        <f>F20</f>
        <v>0.03</v>
      </c>
    </row>
    <row r="16" spans="2:24" ht="15.6" thickBot="1">
      <c r="B16" s="125" t="s">
        <v>13</v>
      </c>
      <c r="C16" s="812">
        <v>0.5</v>
      </c>
      <c r="D16" s="812">
        <v>0.5</v>
      </c>
      <c r="E16" s="812">
        <v>0.5</v>
      </c>
      <c r="F16" s="812">
        <v>0.5</v>
      </c>
      <c r="G16" s="812" t="s">
        <v>14</v>
      </c>
      <c r="H16" s="812"/>
    </row>
    <row r="17" spans="2:10" ht="15.6" thickBot="1">
      <c r="B17" s="125" t="s">
        <v>15</v>
      </c>
      <c r="C17" s="812">
        <v>30</v>
      </c>
      <c r="D17" s="812">
        <v>30</v>
      </c>
      <c r="E17" s="812">
        <v>30</v>
      </c>
      <c r="F17" s="812">
        <v>30</v>
      </c>
      <c r="G17" s="812" t="s">
        <v>16</v>
      </c>
      <c r="H17" s="812"/>
    </row>
    <row r="18" spans="2:10" ht="15.6" thickBot="1">
      <c r="B18" s="125" t="s">
        <v>17</v>
      </c>
      <c r="C18" s="812">
        <v>0</v>
      </c>
      <c r="D18" s="812">
        <v>0</v>
      </c>
      <c r="E18" s="812">
        <v>0</v>
      </c>
      <c r="F18" s="812">
        <v>0</v>
      </c>
      <c r="G18" s="812"/>
      <c r="H18" s="812"/>
    </row>
    <row r="19" spans="2:10" ht="15.6" thickBot="1">
      <c r="B19" s="125" t="s">
        <v>18</v>
      </c>
      <c r="C19" s="812">
        <v>0</v>
      </c>
      <c r="D19" s="812">
        <v>0</v>
      </c>
      <c r="E19" s="812">
        <v>0</v>
      </c>
      <c r="F19" s="812">
        <v>0</v>
      </c>
      <c r="G19" s="812"/>
      <c r="H19" s="812"/>
    </row>
    <row r="20" spans="2:10" ht="15" thickBot="1">
      <c r="B20" s="125" t="s">
        <v>19</v>
      </c>
      <c r="C20" s="812">
        <v>0.03</v>
      </c>
      <c r="D20" s="812">
        <v>0.03</v>
      </c>
      <c r="E20" s="812">
        <v>0.03</v>
      </c>
      <c r="F20" s="812">
        <v>0.03</v>
      </c>
      <c r="G20" s="812" t="s">
        <v>20</v>
      </c>
      <c r="H20" s="812" t="s">
        <v>21</v>
      </c>
    </row>
    <row r="21" spans="2:10" ht="15" thickBot="1">
      <c r="B21" s="127" t="s">
        <v>22</v>
      </c>
      <c r="C21" s="128"/>
      <c r="D21" s="128"/>
      <c r="E21" s="128"/>
      <c r="F21" s="128"/>
      <c r="G21" s="68" t="s">
        <v>329</v>
      </c>
      <c r="H21" s="812"/>
    </row>
    <row r="22" spans="2:10" ht="15" thickBot="1">
      <c r="B22" s="125" t="s">
        <v>23</v>
      </c>
      <c r="C22" s="35">
        <f>C23/$G30</f>
        <v>0.3</v>
      </c>
      <c r="D22" s="35">
        <f>D23/$G30</f>
        <v>0.3</v>
      </c>
      <c r="E22" s="35">
        <f>E23/$G30</f>
        <v>0.3</v>
      </c>
      <c r="F22" s="35">
        <f>F23/$G30</f>
        <v>0.3</v>
      </c>
      <c r="G22" s="73">
        <f>G30</f>
        <v>22</v>
      </c>
      <c r="H22" s="73" t="str">
        <f>H30</f>
        <v>kW</v>
      </c>
    </row>
    <row r="23" spans="2:10">
      <c r="B23" s="130" t="s">
        <v>24</v>
      </c>
      <c r="C23" s="131">
        <v>6.6</v>
      </c>
      <c r="D23" s="131">
        <v>6.6</v>
      </c>
      <c r="E23" s="131">
        <v>6.6</v>
      </c>
      <c r="F23" s="131">
        <v>6.6</v>
      </c>
      <c r="G23" s="131" t="s">
        <v>25</v>
      </c>
      <c r="H23" s="131"/>
    </row>
    <row r="24" spans="2:10">
      <c r="B24" s="890" t="s">
        <v>26</v>
      </c>
      <c r="C24" s="131">
        <v>70</v>
      </c>
      <c r="D24" s="131">
        <v>70</v>
      </c>
      <c r="E24" s="131">
        <v>70</v>
      </c>
      <c r="F24" s="131">
        <v>70</v>
      </c>
      <c r="G24" s="131"/>
      <c r="H24" s="131"/>
    </row>
    <row r="25" spans="2:10" ht="15" thickBot="1">
      <c r="B25" s="891" t="s">
        <v>28</v>
      </c>
      <c r="C25" s="812">
        <v>30</v>
      </c>
      <c r="D25" s="812">
        <v>30</v>
      </c>
      <c r="E25" s="812">
        <v>30</v>
      </c>
      <c r="F25" s="812">
        <v>30</v>
      </c>
      <c r="G25" s="812"/>
      <c r="H25" s="812"/>
      <c r="I25" s="419"/>
      <c r="J25" s="419"/>
    </row>
    <row r="26" spans="2:10" ht="24.6" thickBot="1">
      <c r="B26" s="125" t="s">
        <v>30</v>
      </c>
      <c r="C26" s="812"/>
      <c r="D26" s="812"/>
      <c r="E26" s="812"/>
      <c r="F26" s="812"/>
      <c r="G26" s="812"/>
      <c r="H26" s="812"/>
      <c r="I26" s="71"/>
      <c r="J26" s="419"/>
    </row>
    <row r="27" spans="2:10" ht="15" thickBot="1">
      <c r="B27" s="892" t="s">
        <v>1103</v>
      </c>
      <c r="C27" s="893">
        <v>270</v>
      </c>
      <c r="D27" s="893">
        <v>270</v>
      </c>
      <c r="E27" s="893">
        <v>270</v>
      </c>
      <c r="F27" s="893">
        <v>270</v>
      </c>
      <c r="G27" s="893" t="s">
        <v>25</v>
      </c>
      <c r="H27" s="893"/>
      <c r="I27" s="893"/>
      <c r="J27" s="893"/>
    </row>
    <row r="28" spans="2:10" ht="15" thickBot="1">
      <c r="B28" s="125" t="s">
        <v>31</v>
      </c>
      <c r="C28" s="812"/>
      <c r="D28" s="812"/>
      <c r="E28" s="812"/>
      <c r="F28" s="812"/>
      <c r="G28" s="812"/>
      <c r="H28" s="812"/>
      <c r="I28" s="894"/>
      <c r="J28" s="419"/>
    </row>
    <row r="29" spans="2:10">
      <c r="B29" s="36" t="s">
        <v>353</v>
      </c>
      <c r="C29" s="42">
        <f t="shared" ref="C29:F30" si="0">C22*$G$4*1000</f>
        <v>2235</v>
      </c>
      <c r="D29" s="42">
        <f t="shared" si="0"/>
        <v>2235</v>
      </c>
      <c r="E29" s="42">
        <f t="shared" si="0"/>
        <v>2235</v>
      </c>
      <c r="F29" s="42">
        <f t="shared" si="0"/>
        <v>2235</v>
      </c>
      <c r="G29" s="63" t="s">
        <v>332</v>
      </c>
      <c r="H29" s="63"/>
    </row>
    <row r="30" spans="2:10">
      <c r="B30" s="36" t="s">
        <v>354</v>
      </c>
      <c r="C30" s="42">
        <f t="shared" si="0"/>
        <v>49170</v>
      </c>
      <c r="D30" s="42">
        <f t="shared" si="0"/>
        <v>49170</v>
      </c>
      <c r="E30" s="42">
        <f t="shared" si="0"/>
        <v>49170</v>
      </c>
      <c r="F30" s="42">
        <f t="shared" si="0"/>
        <v>49170</v>
      </c>
      <c r="G30" s="67">
        <v>22</v>
      </c>
      <c r="H30" s="63" t="s">
        <v>330</v>
      </c>
    </row>
    <row r="31" spans="2:10">
      <c r="B31" s="36" t="s">
        <v>355</v>
      </c>
      <c r="C31" s="42">
        <f>C27*$G$4/$G$30</f>
        <v>91.431818181818187</v>
      </c>
      <c r="D31" s="42">
        <f>D27*$G$4/$G$30</f>
        <v>91.431818181818187</v>
      </c>
      <c r="E31" s="42">
        <f>E27*$G$4/$G$30</f>
        <v>91.431818181818187</v>
      </c>
      <c r="F31" s="42">
        <f>F27*$G$4/$G$30</f>
        <v>91.431818181818187</v>
      </c>
      <c r="G31" s="63" t="s">
        <v>333</v>
      </c>
      <c r="H31" s="63"/>
    </row>
    <row r="32" spans="2:10" ht="15" thickBot="1">
      <c r="B32" s="36" t="s">
        <v>356</v>
      </c>
      <c r="C32" s="42">
        <f>C28*$H$31</f>
        <v>0</v>
      </c>
      <c r="D32" s="42">
        <f>D28*$H$31</f>
        <v>0</v>
      </c>
      <c r="E32" s="42">
        <f>E28*$H$31</f>
        <v>0</v>
      </c>
      <c r="F32" s="42">
        <f>F28*$H$31</f>
        <v>0</v>
      </c>
      <c r="G32" s="66"/>
      <c r="H32" s="63"/>
    </row>
    <row r="33" spans="2:24">
      <c r="B33" s="1254" t="s">
        <v>0</v>
      </c>
      <c r="C33" s="1256" t="s">
        <v>1101</v>
      </c>
      <c r="D33" s="1257"/>
      <c r="E33" s="1257"/>
      <c r="F33" s="1257"/>
      <c r="G33" s="1257"/>
      <c r="H33" s="1258"/>
      <c r="J33" s="1256" t="str">
        <f>C33</f>
        <v>Oil burner (mineral oil fired, &lt;10 % FAME)</v>
      </c>
      <c r="K33" s="1257"/>
      <c r="L33" s="1257"/>
      <c r="M33" s="1257"/>
      <c r="N33" s="1257"/>
      <c r="O33" s="1258"/>
    </row>
    <row r="34" spans="2:24" ht="15" thickBot="1">
      <c r="B34" s="1255"/>
      <c r="C34" s="1131" t="s">
        <v>32</v>
      </c>
      <c r="D34" s="1132"/>
      <c r="E34" s="1132"/>
      <c r="F34" s="1132"/>
      <c r="G34" s="1132"/>
      <c r="H34" s="1133"/>
      <c r="J34" s="1131" t="str">
        <f>C34</f>
        <v>Apartment complex, existing building</v>
      </c>
      <c r="K34" s="1132"/>
      <c r="L34" s="1132"/>
      <c r="M34" s="1132"/>
      <c r="N34" s="1132"/>
      <c r="O34" s="1133"/>
    </row>
    <row r="35" spans="2:24" ht="15" thickBot="1">
      <c r="B35" s="125"/>
      <c r="C35" s="812">
        <v>2015</v>
      </c>
      <c r="D35" s="812">
        <v>2020</v>
      </c>
      <c r="E35" s="812">
        <v>2030</v>
      </c>
      <c r="F35" s="812">
        <v>2050</v>
      </c>
      <c r="G35" s="812" t="s">
        <v>2</v>
      </c>
      <c r="H35" s="812" t="s">
        <v>3</v>
      </c>
      <c r="J35" s="53" t="s">
        <v>357</v>
      </c>
    </row>
    <row r="36" spans="2:24" ht="28.2"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25" t="s">
        <v>5</v>
      </c>
      <c r="C37" s="812">
        <v>400</v>
      </c>
      <c r="D37" s="812">
        <v>400</v>
      </c>
      <c r="E37" s="812">
        <v>400</v>
      </c>
      <c r="F37" s="812">
        <v>400</v>
      </c>
      <c r="G37" s="812"/>
      <c r="H37" s="812"/>
      <c r="J37" s="50"/>
      <c r="K37" s="50"/>
      <c r="L37" s="51"/>
      <c r="M37" s="51"/>
      <c r="N37" s="51"/>
      <c r="O37" s="52"/>
      <c r="P37" s="50"/>
      <c r="Q37" s="50"/>
      <c r="R37" s="50"/>
      <c r="S37" s="50"/>
      <c r="T37" s="50"/>
      <c r="U37" s="50"/>
      <c r="V37" s="50"/>
      <c r="W37" s="50"/>
      <c r="X37" s="50"/>
    </row>
    <row r="38" spans="2:24" ht="24.6" thickBot="1">
      <c r="B38" s="125" t="s">
        <v>7</v>
      </c>
      <c r="C38" s="812">
        <v>100</v>
      </c>
      <c r="D38" s="812">
        <v>100</v>
      </c>
      <c r="E38" s="812">
        <v>100</v>
      </c>
      <c r="F38" s="812">
        <v>100</v>
      </c>
      <c r="G38" s="812"/>
      <c r="H38" s="81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25" t="s">
        <v>8</v>
      </c>
      <c r="C39" s="812">
        <v>100</v>
      </c>
      <c r="D39" s="812">
        <v>100</v>
      </c>
      <c r="E39" s="812">
        <v>100</v>
      </c>
      <c r="F39" s="812">
        <v>100</v>
      </c>
      <c r="G39" s="812"/>
      <c r="H39" s="812"/>
      <c r="J39" s="58">
        <f>C35</f>
        <v>2015</v>
      </c>
      <c r="K39" s="58">
        <f>J39</f>
        <v>2015</v>
      </c>
      <c r="L39" s="58">
        <f>C40/100</f>
        <v>0.96</v>
      </c>
      <c r="M39" s="58"/>
      <c r="N39" s="58">
        <f>C41</f>
        <v>20</v>
      </c>
      <c r="O39" s="59">
        <f>C56</f>
        <v>596</v>
      </c>
      <c r="P39" s="59">
        <f>C58</f>
        <v>9.3125</v>
      </c>
      <c r="Q39" s="59">
        <f>C59</f>
        <v>0</v>
      </c>
      <c r="R39" s="58"/>
      <c r="S39" s="58"/>
      <c r="T39" s="58">
        <f>C43</f>
        <v>0.5</v>
      </c>
      <c r="U39" s="78">
        <f>C44</f>
        <v>30</v>
      </c>
      <c r="V39" s="78">
        <f>C45</f>
        <v>0</v>
      </c>
      <c r="W39" s="78">
        <f>C46</f>
        <v>0</v>
      </c>
      <c r="X39" s="78">
        <f>C47</f>
        <v>0.03</v>
      </c>
    </row>
    <row r="40" spans="2:24" ht="15" thickBot="1">
      <c r="B40" s="125" t="s">
        <v>9</v>
      </c>
      <c r="C40" s="812">
        <v>96</v>
      </c>
      <c r="D40" s="812">
        <v>96</v>
      </c>
      <c r="E40" s="812">
        <v>96</v>
      </c>
      <c r="F40" s="812">
        <v>96</v>
      </c>
      <c r="G40" s="812" t="s">
        <v>33</v>
      </c>
      <c r="H40" s="812" t="s">
        <v>10</v>
      </c>
      <c r="J40" s="58">
        <f>D35</f>
        <v>2020</v>
      </c>
      <c r="K40" s="58"/>
      <c r="L40" s="58">
        <f>D40/100</f>
        <v>0.96</v>
      </c>
      <c r="M40" s="58"/>
      <c r="N40" s="58">
        <f>D41</f>
        <v>20</v>
      </c>
      <c r="O40" s="59">
        <f>D56</f>
        <v>596</v>
      </c>
      <c r="P40" s="59">
        <f>D58</f>
        <v>9.3125</v>
      </c>
      <c r="Q40" s="59">
        <f>D59</f>
        <v>0</v>
      </c>
      <c r="R40" s="58"/>
      <c r="S40" s="58"/>
      <c r="T40" s="58">
        <f>D43</f>
        <v>0.5</v>
      </c>
      <c r="U40" s="78">
        <f>D44</f>
        <v>30</v>
      </c>
      <c r="V40" s="78">
        <f>D45</f>
        <v>0</v>
      </c>
      <c r="W40" s="78">
        <f>D46</f>
        <v>0</v>
      </c>
      <c r="X40" s="78">
        <f>D47</f>
        <v>0.03</v>
      </c>
    </row>
    <row r="41" spans="2:24" ht="15" thickBot="1">
      <c r="B41" s="125" t="s">
        <v>11</v>
      </c>
      <c r="C41" s="812">
        <v>20</v>
      </c>
      <c r="D41" s="812">
        <v>20</v>
      </c>
      <c r="E41" s="812">
        <v>20</v>
      </c>
      <c r="F41" s="812">
        <v>20</v>
      </c>
      <c r="G41" s="812"/>
      <c r="H41" s="812">
        <v>4</v>
      </c>
      <c r="J41" s="58">
        <f>E35</f>
        <v>2030</v>
      </c>
      <c r="K41" s="58"/>
      <c r="L41" s="58">
        <f>E40/100</f>
        <v>0.96</v>
      </c>
      <c r="M41" s="58"/>
      <c r="N41" s="58">
        <f>E41</f>
        <v>20</v>
      </c>
      <c r="O41" s="59">
        <f>E56</f>
        <v>596</v>
      </c>
      <c r="P41" s="59">
        <f>E58</f>
        <v>9.3125</v>
      </c>
      <c r="Q41" s="59">
        <f>E59</f>
        <v>0</v>
      </c>
      <c r="R41" s="58"/>
      <c r="S41" s="58"/>
      <c r="T41" s="58">
        <f>E43</f>
        <v>0.5</v>
      </c>
      <c r="U41" s="78">
        <f>E44</f>
        <v>30</v>
      </c>
      <c r="V41" s="78">
        <f>E45</f>
        <v>0</v>
      </c>
      <c r="W41" s="78">
        <f>E46</f>
        <v>0</v>
      </c>
      <c r="X41" s="78">
        <f>E47</f>
        <v>0.03</v>
      </c>
    </row>
    <row r="42" spans="2:24" ht="15" thickBot="1">
      <c r="B42" s="127" t="s">
        <v>12</v>
      </c>
      <c r="C42" s="128"/>
      <c r="D42" s="128"/>
      <c r="E42" s="128"/>
      <c r="F42" s="128"/>
      <c r="G42" s="128"/>
      <c r="H42" s="129"/>
      <c r="J42" s="58">
        <f>F35</f>
        <v>2050</v>
      </c>
      <c r="K42" s="58"/>
      <c r="L42" s="58">
        <f>F40/100</f>
        <v>0.96</v>
      </c>
      <c r="M42" s="58"/>
      <c r="N42" s="58">
        <f>F41</f>
        <v>20</v>
      </c>
      <c r="O42" s="59">
        <f>F56</f>
        <v>596</v>
      </c>
      <c r="P42" s="59">
        <f>F58</f>
        <v>9.3125</v>
      </c>
      <c r="Q42" s="59">
        <f>F59</f>
        <v>0</v>
      </c>
      <c r="R42" s="58"/>
      <c r="S42" s="58"/>
      <c r="T42" s="58">
        <f>F43</f>
        <v>0.5</v>
      </c>
      <c r="U42" s="78">
        <f>F44</f>
        <v>30</v>
      </c>
      <c r="V42" s="78">
        <f>F45</f>
        <v>0</v>
      </c>
      <c r="W42" s="78">
        <f>F46</f>
        <v>0</v>
      </c>
      <c r="X42" s="78">
        <f>F47</f>
        <v>0.03</v>
      </c>
    </row>
    <row r="43" spans="2:24" ht="15.6" thickBot="1">
      <c r="B43" s="125" t="s">
        <v>13</v>
      </c>
      <c r="C43" s="812">
        <v>0.5</v>
      </c>
      <c r="D43" s="812">
        <v>0.5</v>
      </c>
      <c r="E43" s="812">
        <v>0.5</v>
      </c>
      <c r="F43" s="812">
        <v>0.5</v>
      </c>
      <c r="G43" s="812" t="s">
        <v>14</v>
      </c>
      <c r="H43" s="812"/>
    </row>
    <row r="44" spans="2:24" ht="15.6" thickBot="1">
      <c r="B44" s="125" t="s">
        <v>15</v>
      </c>
      <c r="C44" s="812">
        <v>30</v>
      </c>
      <c r="D44" s="812">
        <v>30</v>
      </c>
      <c r="E44" s="812">
        <v>30</v>
      </c>
      <c r="F44" s="812">
        <v>30</v>
      </c>
      <c r="G44" s="812" t="s">
        <v>16</v>
      </c>
      <c r="H44" s="812"/>
    </row>
    <row r="45" spans="2:24" ht="15.6" thickBot="1">
      <c r="B45" s="125" t="s">
        <v>17</v>
      </c>
      <c r="C45" s="812">
        <v>0</v>
      </c>
      <c r="D45" s="812">
        <v>0</v>
      </c>
      <c r="E45" s="812">
        <v>0</v>
      </c>
      <c r="F45" s="812">
        <v>0</v>
      </c>
      <c r="G45" s="812"/>
      <c r="H45" s="812"/>
    </row>
    <row r="46" spans="2:24" ht="15.6" thickBot="1">
      <c r="B46" s="125" t="s">
        <v>18</v>
      </c>
      <c r="C46" s="812">
        <v>0</v>
      </c>
      <c r="D46" s="812">
        <v>0</v>
      </c>
      <c r="E46" s="812">
        <v>0</v>
      </c>
      <c r="F46" s="812">
        <v>0</v>
      </c>
      <c r="G46" s="812"/>
      <c r="H46" s="812"/>
    </row>
    <row r="47" spans="2:24" ht="15" thickBot="1">
      <c r="B47" s="125" t="s">
        <v>19</v>
      </c>
      <c r="C47" s="812">
        <v>0.03</v>
      </c>
      <c r="D47" s="812">
        <v>0.03</v>
      </c>
      <c r="E47" s="812">
        <v>0.03</v>
      </c>
      <c r="F47" s="812">
        <v>0.03</v>
      </c>
      <c r="G47" s="812" t="s">
        <v>20</v>
      </c>
      <c r="H47" s="812" t="s">
        <v>21</v>
      </c>
    </row>
    <row r="48" spans="2:24" ht="15" thickBot="1">
      <c r="B48" s="127" t="s">
        <v>22</v>
      </c>
      <c r="C48" s="128"/>
      <c r="D48" s="128"/>
      <c r="E48" s="128"/>
      <c r="F48" s="128"/>
      <c r="G48" s="68" t="s">
        <v>329</v>
      </c>
      <c r="H48" s="812"/>
    </row>
    <row r="49" spans="2:24" ht="15" thickBot="1">
      <c r="B49" s="125" t="s">
        <v>23</v>
      </c>
      <c r="C49" s="43">
        <f>C50/C37</f>
        <v>0.08</v>
      </c>
      <c r="D49" s="43">
        <f>D50/D37</f>
        <v>0.08</v>
      </c>
      <c r="E49" s="43">
        <f>E50/E37</f>
        <v>0.08</v>
      </c>
      <c r="F49" s="43">
        <f>F50/F37</f>
        <v>0.08</v>
      </c>
      <c r="G49" s="73">
        <f>G57</f>
        <v>400</v>
      </c>
      <c r="H49" s="73" t="str">
        <f>H57</f>
        <v>kW</v>
      </c>
    </row>
    <row r="50" spans="2:24">
      <c r="B50" s="130" t="s">
        <v>24</v>
      </c>
      <c r="C50" s="131">
        <v>32</v>
      </c>
      <c r="D50" s="131">
        <v>32</v>
      </c>
      <c r="E50" s="131">
        <v>32</v>
      </c>
      <c r="F50" s="131">
        <v>32</v>
      </c>
      <c r="G50" s="131" t="s">
        <v>25</v>
      </c>
      <c r="H50" s="131"/>
    </row>
    <row r="51" spans="2:24">
      <c r="B51" s="130" t="s">
        <v>26</v>
      </c>
      <c r="C51" s="131" t="s">
        <v>27</v>
      </c>
      <c r="D51" s="131">
        <v>70</v>
      </c>
      <c r="E51" s="131">
        <v>70</v>
      </c>
      <c r="F51" s="131">
        <v>70</v>
      </c>
      <c r="G51" s="131"/>
      <c r="H51" s="131"/>
    </row>
    <row r="52" spans="2:24" ht="15" thickBot="1">
      <c r="B52" s="125" t="s">
        <v>28</v>
      </c>
      <c r="C52" s="812" t="s">
        <v>29</v>
      </c>
      <c r="D52" s="812">
        <v>30</v>
      </c>
      <c r="E52" s="812">
        <v>30</v>
      </c>
      <c r="F52" s="812">
        <v>30</v>
      </c>
      <c r="G52" s="812"/>
      <c r="H52" s="812"/>
    </row>
    <row r="53" spans="2:24" ht="24.6" thickBot="1">
      <c r="B53" s="125" t="s">
        <v>30</v>
      </c>
      <c r="C53" s="812"/>
      <c r="D53" s="812"/>
      <c r="E53" s="812"/>
      <c r="F53" s="812"/>
      <c r="G53" s="812"/>
      <c r="H53" s="812"/>
    </row>
    <row r="54" spans="2:24" ht="15" thickBot="1">
      <c r="B54" s="892" t="s">
        <v>1103</v>
      </c>
      <c r="C54" s="893">
        <v>500</v>
      </c>
      <c r="D54" s="893">
        <v>500</v>
      </c>
      <c r="E54" s="893">
        <v>500</v>
      </c>
      <c r="F54" s="893">
        <v>500</v>
      </c>
      <c r="G54" s="893" t="s">
        <v>25</v>
      </c>
      <c r="H54" s="893"/>
    </row>
    <row r="55" spans="2:24" ht="15" thickBot="1">
      <c r="B55" s="125" t="s">
        <v>31</v>
      </c>
      <c r="C55" s="812"/>
      <c r="D55" s="812"/>
      <c r="E55" s="812"/>
      <c r="F55" s="812"/>
      <c r="G55" s="812"/>
      <c r="H55" s="812"/>
    </row>
    <row r="56" spans="2:24">
      <c r="B56" s="36" t="s">
        <v>353</v>
      </c>
      <c r="C56" s="42">
        <f>C49*$G$4*1000</f>
        <v>596</v>
      </c>
      <c r="D56" s="42">
        <f>D49*$G$4*1000</f>
        <v>596</v>
      </c>
      <c r="E56" s="42">
        <f>E49*$G$4*1000</f>
        <v>596</v>
      </c>
      <c r="F56" s="42">
        <f>F49*$G$4*1000</f>
        <v>596</v>
      </c>
      <c r="G56" s="63" t="s">
        <v>332</v>
      </c>
      <c r="H56" s="63"/>
    </row>
    <row r="57" spans="2:24">
      <c r="B57" s="36" t="s">
        <v>354</v>
      </c>
      <c r="C57" s="42">
        <f>C56*$G57</f>
        <v>238400</v>
      </c>
      <c r="D57" s="42">
        <f>D56*$G57</f>
        <v>238400</v>
      </c>
      <c r="E57" s="42">
        <f>E56*$G57</f>
        <v>238400</v>
      </c>
      <c r="F57" s="42">
        <f>F56*$G57</f>
        <v>238400</v>
      </c>
      <c r="G57" s="67">
        <v>400</v>
      </c>
      <c r="H57" s="63" t="s">
        <v>330</v>
      </c>
    </row>
    <row r="58" spans="2:24">
      <c r="B58" s="36" t="s">
        <v>355</v>
      </c>
      <c r="C58" s="42">
        <f>C54*$G$4/C37</f>
        <v>9.3125</v>
      </c>
      <c r="D58" s="42">
        <f>D54*$G$4/D37</f>
        <v>9.3125</v>
      </c>
      <c r="E58" s="42">
        <f>E54*$G$4/E37</f>
        <v>9.3125</v>
      </c>
      <c r="F58" s="42">
        <f>F54*$G$4/F37</f>
        <v>9.3125</v>
      </c>
      <c r="G58" s="63" t="s">
        <v>333</v>
      </c>
      <c r="H58" s="63"/>
    </row>
    <row r="59" spans="2:24" ht="15" thickBot="1">
      <c r="B59" s="36" t="s">
        <v>356</v>
      </c>
      <c r="C59" s="42">
        <f>C55*$G$4</f>
        <v>0</v>
      </c>
      <c r="D59" s="42">
        <f>D55*$G$4</f>
        <v>0</v>
      </c>
      <c r="E59" s="42">
        <f>E55*$G$4</f>
        <v>0</v>
      </c>
      <c r="F59" s="42">
        <f>F55*$G$4</f>
        <v>0</v>
      </c>
      <c r="G59" s="66"/>
      <c r="H59" s="63"/>
    </row>
    <row r="60" spans="2:24">
      <c r="B60" s="1254" t="s">
        <v>0</v>
      </c>
      <c r="C60" s="1256" t="s">
        <v>1104</v>
      </c>
      <c r="D60" s="1257"/>
      <c r="E60" s="1257"/>
      <c r="F60" s="1257"/>
      <c r="G60" s="1257"/>
      <c r="H60" s="1258"/>
      <c r="J60" s="1256" t="str">
        <f>C60</f>
        <v>Oil burner (bio oil)</v>
      </c>
      <c r="K60" s="1257"/>
      <c r="L60" s="1257"/>
      <c r="M60" s="1257"/>
      <c r="N60" s="1257"/>
      <c r="O60" s="1258"/>
    </row>
    <row r="61" spans="2:24" ht="15" thickBot="1">
      <c r="B61" s="1255"/>
      <c r="C61" s="1131" t="s">
        <v>34</v>
      </c>
      <c r="D61" s="1132"/>
      <c r="E61" s="1132"/>
      <c r="F61" s="1132"/>
      <c r="G61" s="1132"/>
      <c r="H61" s="1133"/>
      <c r="J61" s="1131" t="str">
        <f>C61</f>
        <v>One-family house, new building</v>
      </c>
      <c r="K61" s="1132"/>
      <c r="L61" s="1132"/>
      <c r="M61" s="1132"/>
      <c r="N61" s="1132"/>
      <c r="O61" s="1133"/>
    </row>
    <row r="62" spans="2:24" ht="15" thickBot="1">
      <c r="B62" s="125"/>
      <c r="C62" s="812">
        <v>2015</v>
      </c>
      <c r="D62" s="812">
        <v>2020</v>
      </c>
      <c r="E62" s="812">
        <v>2030</v>
      </c>
      <c r="F62" s="812">
        <v>2050</v>
      </c>
      <c r="G62" s="812" t="s">
        <v>2</v>
      </c>
      <c r="H62" s="812" t="s">
        <v>3</v>
      </c>
      <c r="J62" s="53" t="s">
        <v>357</v>
      </c>
    </row>
    <row r="63" spans="2:24" ht="28.2" thickBot="1">
      <c r="B63" s="127" t="s">
        <v>4</v>
      </c>
      <c r="C63" s="128"/>
      <c r="D63" s="128"/>
      <c r="E63" s="128"/>
      <c r="F63" s="128"/>
      <c r="G63" s="128"/>
      <c r="H63" s="129"/>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25" t="s">
        <v>5</v>
      </c>
      <c r="C64" s="812">
        <v>25</v>
      </c>
      <c r="D64" s="812">
        <v>25</v>
      </c>
      <c r="E64" s="812">
        <v>25</v>
      </c>
      <c r="F64" s="812">
        <v>25</v>
      </c>
      <c r="G64" s="812" t="s">
        <v>6</v>
      </c>
      <c r="H64" s="812"/>
      <c r="J64" s="50"/>
      <c r="K64" s="50"/>
      <c r="L64" s="51"/>
      <c r="M64" s="51"/>
      <c r="N64" s="51"/>
      <c r="O64" s="52"/>
      <c r="P64" s="50"/>
      <c r="Q64" s="50"/>
      <c r="R64" s="50"/>
      <c r="S64" s="50"/>
      <c r="T64" s="50"/>
      <c r="U64" s="50"/>
      <c r="V64" s="50"/>
      <c r="W64" s="50"/>
      <c r="X64" s="50"/>
    </row>
    <row r="65" spans="2:24" ht="24.6" thickBot="1">
      <c r="B65" s="125" t="s">
        <v>7</v>
      </c>
      <c r="C65" s="812">
        <v>100</v>
      </c>
      <c r="D65" s="812">
        <v>100</v>
      </c>
      <c r="E65" s="812">
        <v>100</v>
      </c>
      <c r="F65" s="812">
        <v>100</v>
      </c>
      <c r="G65" s="812"/>
      <c r="H65" s="81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25" t="s">
        <v>8</v>
      </c>
      <c r="C66" s="812">
        <v>100</v>
      </c>
      <c r="D66" s="812">
        <v>100</v>
      </c>
      <c r="E66" s="812">
        <v>100</v>
      </c>
      <c r="F66" s="812">
        <v>100</v>
      </c>
      <c r="G66" s="812"/>
      <c r="H66" s="812"/>
      <c r="J66" s="58">
        <f>C62</f>
        <v>2015</v>
      </c>
      <c r="K66" s="58">
        <f>J66</f>
        <v>2015</v>
      </c>
      <c r="L66" s="58">
        <f>C67/100</f>
        <v>1</v>
      </c>
      <c r="M66" s="58"/>
      <c r="N66" s="58">
        <f>C68</f>
        <v>20</v>
      </c>
      <c r="O66" s="59">
        <f>C83</f>
        <v>3576</v>
      </c>
      <c r="P66" s="59">
        <f>C85</f>
        <v>149</v>
      </c>
      <c r="Q66" s="59">
        <f>C86</f>
        <v>0</v>
      </c>
      <c r="R66" s="58"/>
      <c r="S66" s="58"/>
      <c r="T66" s="58">
        <f>C70</f>
        <v>0</v>
      </c>
      <c r="U66" s="78" t="str">
        <f>C71</f>
        <v>&gt; 30</v>
      </c>
      <c r="V66" s="78">
        <f>C72</f>
        <v>0</v>
      </c>
      <c r="W66" s="78">
        <f>C73</f>
        <v>0</v>
      </c>
      <c r="X66" s="78">
        <f>C74</f>
        <v>0</v>
      </c>
    </row>
    <row r="67" spans="2:24" ht="15" thickBot="1">
      <c r="B67" s="125" t="s">
        <v>9</v>
      </c>
      <c r="C67" s="812">
        <v>100</v>
      </c>
      <c r="D67" s="812">
        <v>100</v>
      </c>
      <c r="E67" s="812">
        <v>100</v>
      </c>
      <c r="F67" s="812">
        <v>100</v>
      </c>
      <c r="G67" s="812"/>
      <c r="H67" s="812" t="s">
        <v>10</v>
      </c>
      <c r="J67" s="58">
        <f>D62</f>
        <v>2020</v>
      </c>
      <c r="K67" s="58"/>
      <c r="L67" s="58">
        <f>D67/100</f>
        <v>1</v>
      </c>
      <c r="M67" s="58"/>
      <c r="N67" s="58">
        <f>D68</f>
        <v>20</v>
      </c>
      <c r="O67" s="59">
        <f>D83</f>
        <v>3576</v>
      </c>
      <c r="P67" s="59">
        <f>D85</f>
        <v>149</v>
      </c>
      <c r="Q67" s="59">
        <f>D86</f>
        <v>0</v>
      </c>
      <c r="R67" s="58"/>
      <c r="S67" s="58"/>
      <c r="T67" s="58">
        <f>D70</f>
        <v>0</v>
      </c>
      <c r="U67" s="78" t="str">
        <f>D71</f>
        <v>&gt; 30</v>
      </c>
      <c r="V67" s="78">
        <f>D72</f>
        <v>0</v>
      </c>
      <c r="W67" s="78">
        <f>D73</f>
        <v>0</v>
      </c>
      <c r="X67" s="78">
        <f>D74</f>
        <v>0</v>
      </c>
    </row>
    <row r="68" spans="2:24" ht="15" thickBot="1">
      <c r="B68" s="125" t="s">
        <v>11</v>
      </c>
      <c r="C68" s="812">
        <v>20</v>
      </c>
      <c r="D68" s="812">
        <v>20</v>
      </c>
      <c r="E68" s="812">
        <v>20</v>
      </c>
      <c r="F68" s="812">
        <v>20</v>
      </c>
      <c r="G68" s="812"/>
      <c r="H68" s="812">
        <v>4</v>
      </c>
      <c r="J68" s="58">
        <f>E62</f>
        <v>2030</v>
      </c>
      <c r="K68" s="58"/>
      <c r="L68" s="58">
        <f>E67/100</f>
        <v>1</v>
      </c>
      <c r="M68" s="58"/>
      <c r="N68" s="58">
        <f>E68</f>
        <v>20</v>
      </c>
      <c r="O68" s="59">
        <f>E83</f>
        <v>3576</v>
      </c>
      <c r="P68" s="59">
        <f>E85</f>
        <v>149</v>
      </c>
      <c r="Q68" s="59">
        <f>E86</f>
        <v>0</v>
      </c>
      <c r="R68" s="58"/>
      <c r="S68" s="58"/>
      <c r="T68" s="58">
        <f>E70</f>
        <v>0</v>
      </c>
      <c r="U68" s="78" t="str">
        <f>E71</f>
        <v>&gt; 30</v>
      </c>
      <c r="V68" s="78">
        <f>E72</f>
        <v>0</v>
      </c>
      <c r="W68" s="78">
        <f>E73</f>
        <v>0</v>
      </c>
      <c r="X68" s="78">
        <f>E74</f>
        <v>0</v>
      </c>
    </row>
    <row r="69" spans="2:24" ht="15" thickBot="1">
      <c r="B69" s="127" t="s">
        <v>12</v>
      </c>
      <c r="C69" s="128"/>
      <c r="D69" s="128"/>
      <c r="E69" s="128"/>
      <c r="F69" s="128"/>
      <c r="G69" s="128"/>
      <c r="H69" s="129"/>
      <c r="J69" s="58">
        <f>F62</f>
        <v>2050</v>
      </c>
      <c r="K69" s="58"/>
      <c r="L69" s="58">
        <f>F67/100</f>
        <v>1</v>
      </c>
      <c r="M69" s="58"/>
      <c r="N69" s="58">
        <f>F68</f>
        <v>20</v>
      </c>
      <c r="O69" s="59">
        <f>F83</f>
        <v>3576</v>
      </c>
      <c r="P69" s="59">
        <f>F85</f>
        <v>149</v>
      </c>
      <c r="Q69" s="59">
        <f>F86</f>
        <v>0</v>
      </c>
      <c r="R69" s="58"/>
      <c r="S69" s="58"/>
      <c r="T69" s="58">
        <f>F70</f>
        <v>0</v>
      </c>
      <c r="U69" s="78" t="str">
        <f>F71</f>
        <v>&gt; 30</v>
      </c>
      <c r="V69" s="78">
        <f>F72</f>
        <v>0</v>
      </c>
      <c r="W69" s="78">
        <f>F73</f>
        <v>0</v>
      </c>
      <c r="X69" s="78">
        <f>F74</f>
        <v>0</v>
      </c>
    </row>
    <row r="70" spans="2:24" ht="15.6" thickBot="1">
      <c r="B70" s="125" t="s">
        <v>13</v>
      </c>
      <c r="C70" s="812">
        <v>0</v>
      </c>
      <c r="D70" s="812">
        <v>0</v>
      </c>
      <c r="E70" s="812">
        <v>0</v>
      </c>
      <c r="F70" s="812">
        <v>0</v>
      </c>
      <c r="G70" s="812" t="s">
        <v>14</v>
      </c>
      <c r="H70" s="812"/>
    </row>
    <row r="71" spans="2:24" ht="15.6" thickBot="1">
      <c r="B71" s="125" t="s">
        <v>15</v>
      </c>
      <c r="C71" s="812" t="s">
        <v>1105</v>
      </c>
      <c r="D71" s="812" t="s">
        <v>1105</v>
      </c>
      <c r="E71" s="812" t="s">
        <v>1105</v>
      </c>
      <c r="F71" s="812" t="s">
        <v>1105</v>
      </c>
      <c r="G71" s="812" t="s">
        <v>16</v>
      </c>
      <c r="H71" s="812"/>
    </row>
    <row r="72" spans="2:24" ht="15.6" thickBot="1">
      <c r="B72" s="125" t="s">
        <v>17</v>
      </c>
      <c r="C72" s="812">
        <v>0</v>
      </c>
      <c r="D72" s="812">
        <v>0</v>
      </c>
      <c r="E72" s="812">
        <v>0</v>
      </c>
      <c r="F72" s="812">
        <v>0</v>
      </c>
      <c r="G72" s="812"/>
      <c r="H72" s="812"/>
    </row>
    <row r="73" spans="2:24" ht="15.6" thickBot="1">
      <c r="B73" s="125" t="s">
        <v>18</v>
      </c>
      <c r="C73" s="812">
        <v>0</v>
      </c>
      <c r="D73" s="812">
        <v>0</v>
      </c>
      <c r="E73" s="812">
        <v>0</v>
      </c>
      <c r="F73" s="812">
        <v>0</v>
      </c>
      <c r="G73" s="812"/>
      <c r="H73" s="812"/>
    </row>
    <row r="74" spans="2:24" ht="15" thickBot="1">
      <c r="B74" s="125" t="s">
        <v>19</v>
      </c>
      <c r="C74" s="812"/>
      <c r="D74" s="812"/>
      <c r="E74" s="812"/>
      <c r="F74" s="812"/>
      <c r="G74" s="812" t="s">
        <v>20</v>
      </c>
      <c r="H74" s="812" t="s">
        <v>21</v>
      </c>
    </row>
    <row r="75" spans="2:24" ht="15" thickBot="1">
      <c r="B75" s="127" t="s">
        <v>22</v>
      </c>
      <c r="C75" s="128"/>
      <c r="D75" s="128"/>
      <c r="E75" s="128"/>
      <c r="F75" s="128"/>
      <c r="G75" s="68" t="s">
        <v>329</v>
      </c>
      <c r="H75" s="812"/>
    </row>
    <row r="76" spans="2:24" ht="15" thickBot="1">
      <c r="B76" s="125" t="s">
        <v>23</v>
      </c>
      <c r="C76" s="43">
        <f>C77/C64</f>
        <v>0.48</v>
      </c>
      <c r="D76" s="43">
        <f>D77/D64</f>
        <v>0.48</v>
      </c>
      <c r="E76" s="43">
        <f>E77/E64</f>
        <v>0.48</v>
      </c>
      <c r="F76" s="43">
        <f>F77/F64</f>
        <v>0.48</v>
      </c>
      <c r="G76" s="73">
        <f>G84</f>
        <v>25</v>
      </c>
      <c r="H76" s="73" t="str">
        <f>H84</f>
        <v>kW</v>
      </c>
    </row>
    <row r="77" spans="2:24">
      <c r="B77" s="130" t="s">
        <v>24</v>
      </c>
      <c r="C77" s="131">
        <v>12</v>
      </c>
      <c r="D77" s="131">
        <v>12</v>
      </c>
      <c r="E77" s="131">
        <v>12</v>
      </c>
      <c r="F77" s="131">
        <v>12</v>
      </c>
      <c r="G77" s="131" t="s">
        <v>25</v>
      </c>
      <c r="H77" s="131"/>
    </row>
    <row r="78" spans="2:24">
      <c r="B78" s="130" t="s">
        <v>26</v>
      </c>
      <c r="C78" s="131" t="s">
        <v>27</v>
      </c>
      <c r="D78" s="131">
        <v>70</v>
      </c>
      <c r="E78" s="131">
        <v>70</v>
      </c>
      <c r="F78" s="131">
        <v>70</v>
      </c>
      <c r="G78" s="131"/>
      <c r="H78" s="131"/>
    </row>
    <row r="79" spans="2:24" ht="15" thickBot="1">
      <c r="B79" s="125" t="s">
        <v>28</v>
      </c>
      <c r="C79" s="812" t="s">
        <v>29</v>
      </c>
      <c r="D79" s="812">
        <v>30</v>
      </c>
      <c r="E79" s="812">
        <v>30</v>
      </c>
      <c r="F79" s="812">
        <v>30</v>
      </c>
      <c r="G79" s="812"/>
      <c r="H79" s="812"/>
    </row>
    <row r="80" spans="2:24" ht="24.6" thickBot="1">
      <c r="B80" s="125" t="s">
        <v>30</v>
      </c>
      <c r="C80" s="812"/>
      <c r="D80" s="812"/>
      <c r="E80" s="812"/>
      <c r="F80" s="812"/>
      <c r="G80" s="812"/>
      <c r="H80" s="812"/>
    </row>
    <row r="81" spans="2:24" ht="15" thickBot="1">
      <c r="B81" s="125" t="s">
        <v>1103</v>
      </c>
      <c r="C81" s="893">
        <v>500</v>
      </c>
      <c r="D81" s="893">
        <v>500</v>
      </c>
      <c r="E81" s="893">
        <v>500</v>
      </c>
      <c r="F81" s="893">
        <v>500</v>
      </c>
      <c r="G81" s="893" t="s">
        <v>25</v>
      </c>
      <c r="H81" s="812"/>
    </row>
    <row r="82" spans="2:24" ht="15" thickBot="1">
      <c r="B82" s="125" t="s">
        <v>31</v>
      </c>
      <c r="C82" s="812"/>
      <c r="D82" s="812"/>
      <c r="E82" s="812"/>
      <c r="F82" s="812"/>
      <c r="G82" s="812"/>
      <c r="H82" s="812"/>
    </row>
    <row r="83" spans="2:24">
      <c r="B83" s="36" t="s">
        <v>353</v>
      </c>
      <c r="C83" s="42">
        <f>C76*$G$4*1000</f>
        <v>3576</v>
      </c>
      <c r="D83" s="42">
        <f>D76*$G$4*1000</f>
        <v>3576</v>
      </c>
      <c r="E83" s="42">
        <f>E76*$G$4*1000</f>
        <v>3576</v>
      </c>
      <c r="F83" s="42">
        <f>F76*$G$4*1000</f>
        <v>3576</v>
      </c>
      <c r="G83" s="63" t="s">
        <v>332</v>
      </c>
      <c r="H83" s="63"/>
    </row>
    <row r="84" spans="2:24">
      <c r="B84" s="36" t="s">
        <v>354</v>
      </c>
      <c r="C84" s="42">
        <f>C83*$G84</f>
        <v>89400</v>
      </c>
      <c r="D84" s="42">
        <f>D83*$G84</f>
        <v>89400</v>
      </c>
      <c r="E84" s="42">
        <f>E83*$G84</f>
        <v>89400</v>
      </c>
      <c r="F84" s="42">
        <f>F83*$G84</f>
        <v>89400</v>
      </c>
      <c r="G84" s="67">
        <f>C64</f>
        <v>25</v>
      </c>
      <c r="H84" s="63" t="s">
        <v>330</v>
      </c>
    </row>
    <row r="85" spans="2:24">
      <c r="B85" s="36" t="s">
        <v>355</v>
      </c>
      <c r="C85" s="42">
        <f>C81*$G$4/C64</f>
        <v>149</v>
      </c>
      <c r="D85" s="42">
        <f>D81*$G$4/D64</f>
        <v>149</v>
      </c>
      <c r="E85" s="42">
        <f>E81*$G$4/E64</f>
        <v>149</v>
      </c>
      <c r="F85" s="42">
        <f>F81*$G$4/F64</f>
        <v>149</v>
      </c>
      <c r="G85" s="63" t="s">
        <v>333</v>
      </c>
      <c r="H85" s="63"/>
    </row>
    <row r="86" spans="2:24" ht="15" thickBot="1">
      <c r="B86" s="36" t="s">
        <v>356</v>
      </c>
      <c r="C86" s="42">
        <f>C82*$G$4</f>
        <v>0</v>
      </c>
      <c r="D86" s="42">
        <f>D82*$G$4</f>
        <v>0</v>
      </c>
      <c r="E86" s="42">
        <f>E82*$G$4</f>
        <v>0</v>
      </c>
      <c r="F86" s="42">
        <f>F82*$G$4</f>
        <v>0</v>
      </c>
      <c r="G86" s="66"/>
      <c r="H86" s="63"/>
    </row>
    <row r="87" spans="2:24">
      <c r="B87" s="1254" t="s">
        <v>0</v>
      </c>
      <c r="C87" s="1256" t="s">
        <v>1104</v>
      </c>
      <c r="D87" s="1257"/>
      <c r="E87" s="1257"/>
      <c r="F87" s="1257"/>
      <c r="G87" s="1257"/>
      <c r="H87" s="1258"/>
      <c r="J87" s="1256" t="str">
        <f>C87</f>
        <v>Oil burner (bio oil)</v>
      </c>
      <c r="K87" s="1257"/>
      <c r="L87" s="1257"/>
      <c r="M87" s="1257"/>
      <c r="N87" s="1257"/>
      <c r="O87" s="1258"/>
    </row>
    <row r="88" spans="2:24" ht="15" thickBot="1">
      <c r="B88" s="1255"/>
      <c r="C88" s="1131" t="s">
        <v>35</v>
      </c>
      <c r="D88" s="1132"/>
      <c r="E88" s="1132"/>
      <c r="F88" s="1132"/>
      <c r="G88" s="1132"/>
      <c r="H88" s="1133"/>
      <c r="J88" s="1131" t="str">
        <f>C88</f>
        <v>Apartment complex, new building</v>
      </c>
      <c r="K88" s="1132"/>
      <c r="L88" s="1132"/>
      <c r="M88" s="1132"/>
      <c r="N88" s="1132"/>
      <c r="O88" s="1133"/>
    </row>
    <row r="89" spans="2:24" ht="15" thickBot="1">
      <c r="B89" s="125"/>
      <c r="C89" s="812">
        <v>2015</v>
      </c>
      <c r="D89" s="812">
        <v>2020</v>
      </c>
      <c r="E89" s="812">
        <v>2030</v>
      </c>
      <c r="F89" s="812">
        <v>2050</v>
      </c>
      <c r="G89" s="812" t="s">
        <v>2</v>
      </c>
      <c r="H89" s="812" t="s">
        <v>3</v>
      </c>
      <c r="J89" s="53" t="s">
        <v>357</v>
      </c>
    </row>
    <row r="90" spans="2:24" ht="28.2" thickBot="1">
      <c r="B90" s="127" t="s">
        <v>4</v>
      </c>
      <c r="C90" s="128"/>
      <c r="D90" s="128"/>
      <c r="E90" s="128"/>
      <c r="F90" s="128"/>
      <c r="G90" s="128"/>
      <c r="H90" s="129"/>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25" t="s">
        <v>5</v>
      </c>
      <c r="C91" s="812">
        <v>400</v>
      </c>
      <c r="D91" s="812">
        <v>400</v>
      </c>
      <c r="E91" s="812">
        <v>400</v>
      </c>
      <c r="F91" s="812">
        <v>400</v>
      </c>
      <c r="G91" s="812" t="s">
        <v>6</v>
      </c>
      <c r="H91" s="812"/>
      <c r="J91" s="50"/>
      <c r="K91" s="50"/>
      <c r="L91" s="51"/>
      <c r="M91" s="51"/>
      <c r="N91" s="51"/>
      <c r="O91" s="52"/>
      <c r="P91" s="50"/>
      <c r="Q91" s="50"/>
      <c r="R91" s="50"/>
      <c r="S91" s="50"/>
      <c r="T91" s="50"/>
      <c r="U91" s="50"/>
      <c r="V91" s="50"/>
      <c r="W91" s="50"/>
      <c r="X91" s="50"/>
    </row>
    <row r="92" spans="2:24" ht="24.6" thickBot="1">
      <c r="B92" s="125" t="s">
        <v>7</v>
      </c>
      <c r="C92" s="812">
        <v>100</v>
      </c>
      <c r="D92" s="812">
        <v>100</v>
      </c>
      <c r="E92" s="812">
        <v>100</v>
      </c>
      <c r="F92" s="812">
        <v>100</v>
      </c>
      <c r="G92" s="812"/>
      <c r="H92" s="81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25" t="s">
        <v>8</v>
      </c>
      <c r="C93" s="812">
        <v>100</v>
      </c>
      <c r="D93" s="812">
        <v>100</v>
      </c>
      <c r="E93" s="812">
        <v>100</v>
      </c>
      <c r="F93" s="812">
        <v>100</v>
      </c>
      <c r="G93" s="812"/>
      <c r="H93" s="812"/>
      <c r="J93" s="58">
        <f>C89</f>
        <v>2015</v>
      </c>
      <c r="K93" s="58">
        <f>J93</f>
        <v>2015</v>
      </c>
      <c r="L93" s="58">
        <f>C94/100</f>
        <v>1</v>
      </c>
      <c r="M93" s="58"/>
      <c r="N93" s="58">
        <f>C95</f>
        <v>20</v>
      </c>
      <c r="O93" s="59">
        <f>C110</f>
        <v>745.00000000000011</v>
      </c>
      <c r="P93" s="59">
        <f>C112</f>
        <v>18.625</v>
      </c>
      <c r="Q93" s="59">
        <f>C113</f>
        <v>0</v>
      </c>
      <c r="R93" s="58"/>
      <c r="S93" s="58"/>
      <c r="T93" s="58">
        <f>C97</f>
        <v>0</v>
      </c>
      <c r="U93" s="78" t="str">
        <f>C98</f>
        <v>&gt; 30</v>
      </c>
      <c r="V93" s="78">
        <f>C99</f>
        <v>0</v>
      </c>
      <c r="W93" s="78">
        <f>C100</f>
        <v>0</v>
      </c>
      <c r="X93" s="78" t="str">
        <f>C101</f>
        <v>-</v>
      </c>
    </row>
    <row r="94" spans="2:24" ht="15" thickBot="1">
      <c r="B94" s="125" t="s">
        <v>9</v>
      </c>
      <c r="C94" s="812">
        <v>100</v>
      </c>
      <c r="D94" s="812">
        <v>100</v>
      </c>
      <c r="E94" s="812">
        <v>100</v>
      </c>
      <c r="F94" s="812">
        <v>100</v>
      </c>
      <c r="G94" s="812"/>
      <c r="H94" s="812" t="s">
        <v>10</v>
      </c>
      <c r="J94" s="58">
        <f>D89</f>
        <v>2020</v>
      </c>
      <c r="K94" s="58"/>
      <c r="L94" s="58">
        <f>D94/100</f>
        <v>1</v>
      </c>
      <c r="M94" s="58"/>
      <c r="N94" s="58">
        <f>D95</f>
        <v>20</v>
      </c>
      <c r="O94" s="59">
        <f>D110</f>
        <v>745.00000000000011</v>
      </c>
      <c r="P94" s="59">
        <f>D112</f>
        <v>18.625</v>
      </c>
      <c r="Q94" s="59">
        <f>D113</f>
        <v>0</v>
      </c>
      <c r="R94" s="58"/>
      <c r="S94" s="58"/>
      <c r="T94" s="58">
        <f>D97</f>
        <v>0</v>
      </c>
      <c r="U94" s="78" t="str">
        <f>D98</f>
        <v>&gt; 30</v>
      </c>
      <c r="V94" s="78">
        <f>D99</f>
        <v>0</v>
      </c>
      <c r="W94" s="78">
        <f>D100</f>
        <v>0</v>
      </c>
      <c r="X94" s="78" t="str">
        <f>D101</f>
        <v>-</v>
      </c>
    </row>
    <row r="95" spans="2:24" ht="15" thickBot="1">
      <c r="B95" s="125" t="s">
        <v>11</v>
      </c>
      <c r="C95" s="812">
        <v>20</v>
      </c>
      <c r="D95" s="812">
        <v>20</v>
      </c>
      <c r="E95" s="812">
        <v>20</v>
      </c>
      <c r="F95" s="812">
        <v>20</v>
      </c>
      <c r="G95" s="812"/>
      <c r="H95" s="812">
        <v>4</v>
      </c>
      <c r="J95" s="58">
        <f>E89</f>
        <v>2030</v>
      </c>
      <c r="K95" s="58"/>
      <c r="L95" s="58">
        <f>E94/100</f>
        <v>1</v>
      </c>
      <c r="M95" s="58"/>
      <c r="N95" s="58">
        <f>E95</f>
        <v>20</v>
      </c>
      <c r="O95" s="59">
        <f>E110</f>
        <v>745.00000000000011</v>
      </c>
      <c r="P95" s="59">
        <f>E112</f>
        <v>18.625</v>
      </c>
      <c r="Q95" s="59">
        <f>E113</f>
        <v>0</v>
      </c>
      <c r="R95" s="58"/>
      <c r="S95" s="58"/>
      <c r="T95" s="58">
        <f>E97</f>
        <v>0</v>
      </c>
      <c r="U95" s="78" t="str">
        <f>E98</f>
        <v>&gt; 30</v>
      </c>
      <c r="V95" s="78">
        <f>E99</f>
        <v>0</v>
      </c>
      <c r="W95" s="78">
        <f>E100</f>
        <v>0</v>
      </c>
      <c r="X95" s="78" t="str">
        <f>E101</f>
        <v>-</v>
      </c>
    </row>
    <row r="96" spans="2:24" ht="15" thickBot="1">
      <c r="B96" s="127" t="s">
        <v>12</v>
      </c>
      <c r="C96" s="128"/>
      <c r="D96" s="128"/>
      <c r="E96" s="128"/>
      <c r="F96" s="128"/>
      <c r="G96" s="128"/>
      <c r="H96" s="129"/>
      <c r="J96" s="58">
        <f>F89</f>
        <v>2050</v>
      </c>
      <c r="K96" s="58"/>
      <c r="L96" s="58">
        <f>F94/100</f>
        <v>1</v>
      </c>
      <c r="M96" s="58"/>
      <c r="N96" s="58">
        <f>F95</f>
        <v>20</v>
      </c>
      <c r="O96" s="59">
        <f>F110</f>
        <v>745.00000000000011</v>
      </c>
      <c r="P96" s="59">
        <f>F112</f>
        <v>18.625</v>
      </c>
      <c r="Q96" s="59">
        <f>F113</f>
        <v>0</v>
      </c>
      <c r="R96" s="58"/>
      <c r="S96" s="58"/>
      <c r="T96" s="58">
        <f>F97</f>
        <v>0</v>
      </c>
      <c r="U96" s="78" t="str">
        <f>F98</f>
        <v>&gt; 30</v>
      </c>
      <c r="V96" s="78">
        <f>F99</f>
        <v>0</v>
      </c>
      <c r="W96" s="78">
        <f>F100</f>
        <v>0</v>
      </c>
      <c r="X96" s="78" t="str">
        <f>F101</f>
        <v>-</v>
      </c>
    </row>
    <row r="97" spans="2:8" ht="15.6" thickBot="1">
      <c r="B97" s="125" t="s">
        <v>13</v>
      </c>
      <c r="C97" s="812">
        <v>0</v>
      </c>
      <c r="D97" s="812">
        <v>0</v>
      </c>
      <c r="E97" s="812">
        <v>0</v>
      </c>
      <c r="F97" s="812">
        <v>0</v>
      </c>
      <c r="G97" s="812" t="s">
        <v>14</v>
      </c>
      <c r="H97" s="812"/>
    </row>
    <row r="98" spans="2:8" ht="15.6" thickBot="1">
      <c r="B98" s="125" t="s">
        <v>15</v>
      </c>
      <c r="C98" s="812" t="s">
        <v>1105</v>
      </c>
      <c r="D98" s="812" t="s">
        <v>1105</v>
      </c>
      <c r="E98" s="812" t="s">
        <v>1105</v>
      </c>
      <c r="F98" s="812" t="s">
        <v>1105</v>
      </c>
      <c r="G98" s="812" t="s">
        <v>16</v>
      </c>
      <c r="H98" s="812"/>
    </row>
    <row r="99" spans="2:8" ht="15.6" thickBot="1">
      <c r="B99" s="125" t="s">
        <v>17</v>
      </c>
      <c r="C99" s="812">
        <v>0</v>
      </c>
      <c r="D99" s="812">
        <v>0</v>
      </c>
      <c r="E99" s="812">
        <v>0</v>
      </c>
      <c r="F99" s="812">
        <v>0</v>
      </c>
      <c r="G99" s="812"/>
      <c r="H99" s="812"/>
    </row>
    <row r="100" spans="2:8" ht="15.6" thickBot="1">
      <c r="B100" s="125" t="s">
        <v>18</v>
      </c>
      <c r="C100" s="812">
        <v>0</v>
      </c>
      <c r="D100" s="812">
        <v>0</v>
      </c>
      <c r="E100" s="812">
        <v>0</v>
      </c>
      <c r="F100" s="812">
        <v>0</v>
      </c>
      <c r="G100" s="812"/>
      <c r="H100" s="812"/>
    </row>
    <row r="101" spans="2:8" ht="15" thickBot="1">
      <c r="B101" s="125" t="s">
        <v>19</v>
      </c>
      <c r="C101" s="812" t="s">
        <v>36</v>
      </c>
      <c r="D101" s="812" t="s">
        <v>36</v>
      </c>
      <c r="E101" s="812" t="s">
        <v>36</v>
      </c>
      <c r="F101" s="812" t="s">
        <v>36</v>
      </c>
      <c r="G101" s="812" t="s">
        <v>20</v>
      </c>
      <c r="H101" s="812" t="s">
        <v>21</v>
      </c>
    </row>
    <row r="102" spans="2:8" ht="15" thickBot="1">
      <c r="B102" s="127" t="s">
        <v>22</v>
      </c>
      <c r="C102" s="128"/>
      <c r="D102" s="128"/>
      <c r="E102" s="128"/>
      <c r="F102" s="128"/>
      <c r="G102" s="68" t="s">
        <v>329</v>
      </c>
      <c r="H102" s="812"/>
    </row>
    <row r="103" spans="2:8" ht="15" thickBot="1">
      <c r="B103" s="125" t="s">
        <v>23</v>
      </c>
      <c r="C103" s="43">
        <f>C104/C91</f>
        <v>0.1</v>
      </c>
      <c r="D103" s="43">
        <f>D104/D91</f>
        <v>0.1</v>
      </c>
      <c r="E103" s="43">
        <f>E104/E91</f>
        <v>0.1</v>
      </c>
      <c r="F103" s="43">
        <f>F104/F91</f>
        <v>0.1</v>
      </c>
      <c r="G103" s="73">
        <f>G111</f>
        <v>400</v>
      </c>
      <c r="H103" s="73" t="str">
        <f>H111</f>
        <v>kW</v>
      </c>
    </row>
    <row r="104" spans="2:8">
      <c r="B104" s="130" t="s">
        <v>1106</v>
      </c>
      <c r="C104" s="131">
        <v>40</v>
      </c>
      <c r="D104" s="131">
        <v>40</v>
      </c>
      <c r="E104" s="131">
        <v>40</v>
      </c>
      <c r="F104" s="131">
        <v>40</v>
      </c>
      <c r="G104" s="131" t="s">
        <v>25</v>
      </c>
      <c r="H104" s="131"/>
    </row>
    <row r="105" spans="2:8">
      <c r="B105" s="130" t="s">
        <v>26</v>
      </c>
      <c r="C105" s="131" t="s">
        <v>27</v>
      </c>
      <c r="D105" s="131">
        <v>70</v>
      </c>
      <c r="E105" s="131">
        <v>70</v>
      </c>
      <c r="F105" s="131">
        <v>70</v>
      </c>
      <c r="G105" s="131"/>
      <c r="H105" s="131"/>
    </row>
    <row r="106" spans="2:8" ht="15" thickBot="1">
      <c r="B106" s="125" t="s">
        <v>28</v>
      </c>
      <c r="C106" s="812" t="s">
        <v>29</v>
      </c>
      <c r="D106" s="812">
        <v>30</v>
      </c>
      <c r="E106" s="812">
        <v>30</v>
      </c>
      <c r="F106" s="812">
        <v>30</v>
      </c>
      <c r="G106" s="812"/>
      <c r="H106" s="812"/>
    </row>
    <row r="107" spans="2:8" ht="24.6" thickBot="1">
      <c r="B107" s="125" t="s">
        <v>30</v>
      </c>
      <c r="C107" s="812"/>
      <c r="D107" s="812"/>
      <c r="E107" s="812"/>
      <c r="F107" s="812"/>
      <c r="G107" s="812"/>
      <c r="H107" s="812"/>
    </row>
    <row r="108" spans="2:8" ht="15" thickBot="1">
      <c r="B108" s="125" t="s">
        <v>1103</v>
      </c>
      <c r="C108" s="893">
        <v>1000</v>
      </c>
      <c r="D108" s="893">
        <v>1000</v>
      </c>
      <c r="E108" s="893">
        <v>1000</v>
      </c>
      <c r="F108" s="893">
        <v>1000</v>
      </c>
      <c r="G108" s="893" t="s">
        <v>25</v>
      </c>
      <c r="H108" s="812"/>
    </row>
    <row r="109" spans="2:8" ht="15" thickBot="1">
      <c r="B109" s="125" t="s">
        <v>31</v>
      </c>
      <c r="C109" s="812"/>
      <c r="D109" s="812"/>
      <c r="E109" s="812"/>
      <c r="F109" s="812"/>
      <c r="G109" s="812"/>
      <c r="H109" s="812"/>
    </row>
    <row r="110" spans="2:8">
      <c r="B110" s="36" t="s">
        <v>353</v>
      </c>
      <c r="C110" s="42">
        <f>C103*$G$4*1000</f>
        <v>745.00000000000011</v>
      </c>
      <c r="D110" s="42">
        <f>D103*$G$4*1000</f>
        <v>745.00000000000011</v>
      </c>
      <c r="E110" s="42">
        <f>E103*$G$4*1000</f>
        <v>745.00000000000011</v>
      </c>
      <c r="F110" s="42">
        <f>F103*$G$4*1000</f>
        <v>745.00000000000011</v>
      </c>
      <c r="G110" s="63" t="s">
        <v>332</v>
      </c>
      <c r="H110" s="63"/>
    </row>
    <row r="111" spans="2:8">
      <c r="B111" s="36" t="s">
        <v>354</v>
      </c>
      <c r="C111" s="42">
        <f>C110*$G111</f>
        <v>298000.00000000006</v>
      </c>
      <c r="D111" s="42">
        <f>D110*$G111</f>
        <v>298000.00000000006</v>
      </c>
      <c r="E111" s="42">
        <f>E110*$G111</f>
        <v>298000.00000000006</v>
      </c>
      <c r="F111" s="42">
        <f>F110*$G111</f>
        <v>298000.00000000006</v>
      </c>
      <c r="G111" s="67">
        <f>C91</f>
        <v>400</v>
      </c>
      <c r="H111" s="63" t="s">
        <v>330</v>
      </c>
    </row>
    <row r="112" spans="2:8">
      <c r="B112" s="36" t="s">
        <v>355</v>
      </c>
      <c r="C112" s="42">
        <f>C108*$G$4/C91</f>
        <v>18.625</v>
      </c>
      <c r="D112" s="42">
        <f>D108*$G$4/D91</f>
        <v>18.625</v>
      </c>
      <c r="E112" s="42">
        <f>E108*$G$4/E91</f>
        <v>18.625</v>
      </c>
      <c r="F112" s="42">
        <f>F108*$G$4/F91</f>
        <v>18.625</v>
      </c>
      <c r="G112" s="63" t="s">
        <v>333</v>
      </c>
      <c r="H112" s="63"/>
    </row>
    <row r="113" spans="2:8" ht="15" thickBot="1">
      <c r="B113" s="36" t="s">
        <v>356</v>
      </c>
      <c r="C113" s="42">
        <f>C109*$G$4</f>
        <v>0</v>
      </c>
      <c r="D113" s="42">
        <f>D109*$G$4</f>
        <v>0</v>
      </c>
      <c r="E113" s="42">
        <f>E109*$G$4</f>
        <v>0</v>
      </c>
      <c r="F113" s="42">
        <f>F109*$G$4</f>
        <v>0</v>
      </c>
      <c r="G113" s="66"/>
      <c r="H113" s="63"/>
    </row>
    <row r="156" spans="7:7">
      <c r="G156" s="214" t="s">
        <v>600</v>
      </c>
    </row>
  </sheetData>
  <mergeCells count="20">
    <mergeCell ref="B33:B34"/>
    <mergeCell ref="C33:H33"/>
    <mergeCell ref="J33:O33"/>
    <mergeCell ref="C34:H34"/>
    <mergeCell ref="J34:O34"/>
    <mergeCell ref="B6:B7"/>
    <mergeCell ref="C6:H6"/>
    <mergeCell ref="J6:O6"/>
    <mergeCell ref="C7:H7"/>
    <mergeCell ref="J7:O7"/>
    <mergeCell ref="B87:B88"/>
    <mergeCell ref="C87:H87"/>
    <mergeCell ref="J87:O87"/>
    <mergeCell ref="C88:H88"/>
    <mergeCell ref="J88:O88"/>
    <mergeCell ref="B60:B61"/>
    <mergeCell ref="C60:H60"/>
    <mergeCell ref="J60:O60"/>
    <mergeCell ref="C61:H61"/>
    <mergeCell ref="J61:O61"/>
  </mergeCells>
  <pageMargins left="0.7" right="0.7" top="0.75" bottom="0.75" header="0.3" footer="0.3"/>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theme="4"/>
  </sheetPr>
  <dimension ref="B2:X156"/>
  <sheetViews>
    <sheetView workbookViewId="0">
      <selection activeCell="J26" sqref="J26"/>
    </sheetView>
  </sheetViews>
  <sheetFormatPr defaultRowHeight="14.4"/>
  <cols>
    <col min="2" max="2" width="36.77734375" customWidth="1"/>
    <col min="3" max="6" width="11" bestFit="1" customWidth="1"/>
  </cols>
  <sheetData>
    <row r="2" spans="2:24">
      <c r="B2" s="8" t="s">
        <v>308</v>
      </c>
    </row>
    <row r="4" spans="2:24" ht="15" thickBot="1">
      <c r="E4" t="s">
        <v>358</v>
      </c>
      <c r="G4" s="36">
        <v>7.45</v>
      </c>
      <c r="H4" t="s">
        <v>328</v>
      </c>
    </row>
    <row r="5" spans="2:24" ht="15" customHeight="1">
      <c r="B5" s="1254" t="s">
        <v>0</v>
      </c>
      <c r="C5" s="1256" t="s">
        <v>37</v>
      </c>
      <c r="D5" s="1257"/>
      <c r="E5" s="1257"/>
      <c r="F5" s="1257"/>
      <c r="G5" s="1257"/>
      <c r="H5" s="1258"/>
      <c r="J5" s="1256" t="str">
        <f>C5</f>
        <v>Natural gas boiler</v>
      </c>
      <c r="K5" s="1257"/>
      <c r="L5" s="1257"/>
      <c r="M5" s="1257"/>
      <c r="N5" s="1257"/>
      <c r="O5" s="1258"/>
    </row>
    <row r="6" spans="2:24" ht="15.75" customHeight="1" thickBot="1">
      <c r="B6" s="1255"/>
      <c r="C6" s="1131" t="s">
        <v>38</v>
      </c>
      <c r="D6" s="1132"/>
      <c r="E6" s="1132"/>
      <c r="F6" s="1132"/>
      <c r="G6" s="1132"/>
      <c r="H6" s="1133"/>
      <c r="J6" s="1131" t="str">
        <f>C6</f>
        <v>One-family house, existing and new building</v>
      </c>
      <c r="K6" s="1132"/>
      <c r="L6" s="1132"/>
      <c r="M6" s="1132"/>
      <c r="N6" s="1132"/>
      <c r="O6" s="1133"/>
    </row>
    <row r="7" spans="2:24" ht="15" thickBot="1">
      <c r="B7" s="1"/>
      <c r="C7" s="80">
        <v>2015</v>
      </c>
      <c r="D7" s="80">
        <v>2020</v>
      </c>
      <c r="E7" s="80">
        <v>2030</v>
      </c>
      <c r="F7" s="80">
        <v>2050</v>
      </c>
      <c r="G7" s="80" t="s">
        <v>2</v>
      </c>
      <c r="H7" s="80" t="s">
        <v>3</v>
      </c>
      <c r="J7" s="53" t="s">
        <v>357</v>
      </c>
    </row>
    <row r="8" spans="2:24" ht="28.2" thickBot="1">
      <c r="B8" s="127" t="s">
        <v>4</v>
      </c>
      <c r="C8" s="128"/>
      <c r="D8" s="128"/>
      <c r="E8" s="128"/>
      <c r="F8" s="128"/>
      <c r="G8" s="128"/>
      <c r="H8" s="129"/>
      <c r="J8" s="46" t="s">
        <v>335</v>
      </c>
      <c r="K8" s="46" t="s">
        <v>336</v>
      </c>
      <c r="L8" s="47" t="s">
        <v>337</v>
      </c>
      <c r="M8" s="47" t="s">
        <v>338</v>
      </c>
      <c r="N8" s="47" t="s">
        <v>339</v>
      </c>
      <c r="O8" s="48" t="s">
        <v>340</v>
      </c>
      <c r="P8" s="49" t="s">
        <v>341</v>
      </c>
      <c r="Q8" s="49" t="s">
        <v>342</v>
      </c>
      <c r="R8" s="49" t="s">
        <v>343</v>
      </c>
      <c r="S8" s="49" t="s">
        <v>344</v>
      </c>
      <c r="T8" s="49" t="s">
        <v>345</v>
      </c>
      <c r="U8" s="49" t="s">
        <v>346</v>
      </c>
      <c r="V8" s="49" t="s">
        <v>347</v>
      </c>
      <c r="W8" s="49" t="s">
        <v>348</v>
      </c>
      <c r="X8" s="49" t="s">
        <v>349</v>
      </c>
    </row>
    <row r="9" spans="2:24" ht="15" thickBot="1">
      <c r="B9" s="125" t="s">
        <v>5</v>
      </c>
      <c r="C9" s="138" t="s">
        <v>277</v>
      </c>
      <c r="D9" s="138" t="s">
        <v>278</v>
      </c>
      <c r="E9" s="138" t="s">
        <v>279</v>
      </c>
      <c r="F9" s="138" t="s">
        <v>280</v>
      </c>
      <c r="G9" s="132"/>
      <c r="H9" s="132"/>
      <c r="J9" s="50"/>
      <c r="K9" s="50"/>
      <c r="L9" s="51"/>
      <c r="M9" s="51"/>
      <c r="N9" s="51"/>
      <c r="O9" s="52"/>
      <c r="P9" s="50"/>
      <c r="Q9" s="50"/>
      <c r="R9" s="50"/>
      <c r="S9" s="50"/>
      <c r="T9" s="50"/>
      <c r="U9" s="50"/>
      <c r="V9" s="50"/>
      <c r="W9" s="50"/>
      <c r="X9" s="50"/>
    </row>
    <row r="10" spans="2:24" ht="72.599999999999994" thickBot="1">
      <c r="B10" s="125" t="s">
        <v>7</v>
      </c>
      <c r="C10" s="132">
        <v>100</v>
      </c>
      <c r="D10" s="132">
        <v>100</v>
      </c>
      <c r="E10" s="132">
        <v>100</v>
      </c>
      <c r="F10" s="132">
        <v>100</v>
      </c>
      <c r="G10" s="132"/>
      <c r="H10" s="132"/>
      <c r="I10" s="74" t="str">
        <f>B12</f>
        <v>Total efficiency, annual average, net (%)</v>
      </c>
      <c r="J10" s="56"/>
      <c r="K10" s="56"/>
      <c r="L10" s="57"/>
      <c r="M10" s="57"/>
      <c r="N10" s="57"/>
      <c r="O10" s="56" t="s">
        <v>350</v>
      </c>
      <c r="P10" s="56" t="s">
        <v>326</v>
      </c>
      <c r="Q10" s="56" t="s">
        <v>327</v>
      </c>
      <c r="R10" s="56" t="s">
        <v>351</v>
      </c>
      <c r="S10" s="56" t="s">
        <v>351</v>
      </c>
      <c r="T10" s="56" t="s">
        <v>352</v>
      </c>
      <c r="U10" s="56" t="s">
        <v>352</v>
      </c>
      <c r="V10" s="56" t="s">
        <v>352</v>
      </c>
      <c r="W10" s="56" t="s">
        <v>352</v>
      </c>
      <c r="X10" s="56" t="s">
        <v>352</v>
      </c>
    </row>
    <row r="11" spans="2:24" ht="24.6" thickBot="1">
      <c r="B11" s="125" t="s">
        <v>8</v>
      </c>
      <c r="C11" s="132">
        <v>100</v>
      </c>
      <c r="D11" s="132">
        <v>100</v>
      </c>
      <c r="E11" s="132">
        <v>100</v>
      </c>
      <c r="F11" s="132">
        <v>100</v>
      </c>
      <c r="G11" s="132"/>
      <c r="H11" s="132"/>
    </row>
    <row r="12" spans="2:24" ht="15" thickBot="1">
      <c r="B12" s="125" t="s">
        <v>9</v>
      </c>
      <c r="C12" s="132" t="s">
        <v>39</v>
      </c>
      <c r="D12" s="132" t="s">
        <v>39</v>
      </c>
      <c r="E12" s="132" t="s">
        <v>39</v>
      </c>
      <c r="F12" s="132" t="s">
        <v>39</v>
      </c>
      <c r="G12" s="132" t="s">
        <v>6</v>
      </c>
      <c r="H12" s="132">
        <v>1</v>
      </c>
      <c r="I12" s="71">
        <f>102</f>
        <v>102</v>
      </c>
      <c r="J12" s="58">
        <f>C7</f>
        <v>2015</v>
      </c>
      <c r="K12" s="58">
        <f>J12</f>
        <v>2015</v>
      </c>
      <c r="L12" s="58">
        <f>I12/100</f>
        <v>1.02</v>
      </c>
      <c r="M12" s="58"/>
      <c r="N12" s="58">
        <f>C14</f>
        <v>22</v>
      </c>
      <c r="O12" s="59">
        <f>C29</f>
        <v>2980.0000000000005</v>
      </c>
      <c r="P12" s="59">
        <f>C31</f>
        <v>100.575</v>
      </c>
      <c r="Q12" s="59">
        <f>C32</f>
        <v>14.9</v>
      </c>
      <c r="R12" s="58"/>
      <c r="S12" s="58"/>
      <c r="T12" s="58">
        <f>C16</f>
        <v>0</v>
      </c>
      <c r="U12" s="78">
        <f>C17</f>
        <v>20</v>
      </c>
      <c r="V12" s="78">
        <f>C18</f>
        <v>2</v>
      </c>
      <c r="W12" s="78">
        <f>C19</f>
        <v>0</v>
      </c>
      <c r="X12" s="78">
        <f>C20</f>
        <v>0</v>
      </c>
    </row>
    <row r="13" spans="2:24" ht="15" thickBot="1">
      <c r="B13" s="125" t="s">
        <v>40</v>
      </c>
      <c r="C13" s="132" t="s">
        <v>41</v>
      </c>
      <c r="D13" s="132" t="s">
        <v>42</v>
      </c>
      <c r="E13" s="132" t="s">
        <v>43</v>
      </c>
      <c r="F13" s="132" t="s">
        <v>44</v>
      </c>
      <c r="G13" s="132"/>
      <c r="H13" s="132"/>
      <c r="I13" s="71">
        <f>102</f>
        <v>102</v>
      </c>
      <c r="J13" s="58">
        <f>D7</f>
        <v>2020</v>
      </c>
      <c r="K13" s="58"/>
      <c r="L13" s="58">
        <f>I13/100</f>
        <v>1.02</v>
      </c>
      <c r="M13" s="58"/>
      <c r="N13" s="58">
        <f>D14</f>
        <v>22</v>
      </c>
      <c r="O13" s="59">
        <f>D29</f>
        <v>2980.0000000000005</v>
      </c>
      <c r="P13" s="59">
        <f>D31</f>
        <v>100.575</v>
      </c>
      <c r="Q13" s="59">
        <f>D32</f>
        <v>14.9</v>
      </c>
      <c r="R13" s="58"/>
      <c r="S13" s="58"/>
      <c r="T13" s="58">
        <f>D16</f>
        <v>0</v>
      </c>
      <c r="U13" s="78">
        <f>D17</f>
        <v>10</v>
      </c>
      <c r="V13" s="78">
        <f>D18</f>
        <v>1</v>
      </c>
      <c r="W13" s="78">
        <f>D19</f>
        <v>0</v>
      </c>
      <c r="X13" s="78">
        <f>D20</f>
        <v>0</v>
      </c>
    </row>
    <row r="14" spans="2:24" ht="15" thickBot="1">
      <c r="B14" s="125" t="s">
        <v>11</v>
      </c>
      <c r="C14" s="132">
        <v>22</v>
      </c>
      <c r="D14" s="132">
        <v>22</v>
      </c>
      <c r="E14" s="132">
        <v>22</v>
      </c>
      <c r="F14" s="132">
        <v>22</v>
      </c>
      <c r="G14" s="132" t="s">
        <v>45</v>
      </c>
      <c r="H14" s="132">
        <v>2</v>
      </c>
      <c r="I14" s="71">
        <f>102</f>
        <v>102</v>
      </c>
      <c r="J14" s="58">
        <f>E7</f>
        <v>2030</v>
      </c>
      <c r="K14" s="58"/>
      <c r="L14" s="58">
        <f>I14/100</f>
        <v>1.02</v>
      </c>
      <c r="M14" s="58"/>
      <c r="N14" s="58">
        <f>E14</f>
        <v>22</v>
      </c>
      <c r="O14" s="59">
        <f>E29</f>
        <v>2980.0000000000005</v>
      </c>
      <c r="P14" s="59">
        <f>E31</f>
        <v>100.575</v>
      </c>
      <c r="Q14" s="59">
        <f>E32</f>
        <v>14.9</v>
      </c>
      <c r="R14" s="58"/>
      <c r="S14" s="58"/>
      <c r="T14" s="58">
        <f>E16</f>
        <v>0</v>
      </c>
      <c r="U14" s="78">
        <f>E17</f>
        <v>5</v>
      </c>
      <c r="V14" s="78">
        <f>E18</f>
        <v>0.5</v>
      </c>
      <c r="W14" s="78">
        <f>E19</f>
        <v>0</v>
      </c>
      <c r="X14" s="78">
        <f>E20</f>
        <v>0</v>
      </c>
    </row>
    <row r="15" spans="2:24" ht="15" thickBot="1">
      <c r="B15" s="127" t="s">
        <v>12</v>
      </c>
      <c r="C15" s="128"/>
      <c r="D15" s="128"/>
      <c r="E15" s="128"/>
      <c r="F15" s="128"/>
      <c r="G15" s="128"/>
      <c r="H15" s="129"/>
      <c r="I15" s="71">
        <f>102</f>
        <v>102</v>
      </c>
      <c r="J15" s="58">
        <f>F7</f>
        <v>2050</v>
      </c>
      <c r="K15" s="58"/>
      <c r="L15" s="58">
        <f>I15/100</f>
        <v>1.02</v>
      </c>
      <c r="M15" s="58"/>
      <c r="N15" s="58">
        <f>F14</f>
        <v>22</v>
      </c>
      <c r="O15" s="59">
        <f>F29</f>
        <v>2980.0000000000005</v>
      </c>
      <c r="P15" s="59">
        <f>F31</f>
        <v>100.575</v>
      </c>
      <c r="Q15" s="59">
        <f>F32</f>
        <v>14.9</v>
      </c>
      <c r="R15" s="58"/>
      <c r="S15" s="58"/>
      <c r="T15" s="58">
        <f>F16</f>
        <v>0</v>
      </c>
      <c r="U15" s="78">
        <f>F17</f>
        <v>5</v>
      </c>
      <c r="V15" s="78">
        <f>F18</f>
        <v>0.5</v>
      </c>
      <c r="W15" s="78">
        <f>F19</f>
        <v>0</v>
      </c>
      <c r="X15" s="78">
        <f>F20</f>
        <v>0</v>
      </c>
    </row>
    <row r="16" spans="2:24" ht="15.6" thickBot="1">
      <c r="B16" s="125" t="s">
        <v>13</v>
      </c>
      <c r="C16" s="35">
        <v>0</v>
      </c>
      <c r="D16" s="35">
        <v>0</v>
      </c>
      <c r="E16" s="35">
        <v>0</v>
      </c>
      <c r="F16" s="35">
        <v>0</v>
      </c>
      <c r="G16" s="126"/>
      <c r="H16" s="126">
        <v>5</v>
      </c>
    </row>
    <row r="17" spans="2:10" ht="15.6" thickBot="1">
      <c r="B17" s="125" t="s">
        <v>15</v>
      </c>
      <c r="C17" s="126">
        <v>20</v>
      </c>
      <c r="D17" s="126">
        <v>10</v>
      </c>
      <c r="E17" s="126">
        <v>5</v>
      </c>
      <c r="F17" s="43">
        <f>E17</f>
        <v>5</v>
      </c>
      <c r="G17" s="126" t="s">
        <v>46</v>
      </c>
      <c r="H17" s="126">
        <v>4</v>
      </c>
    </row>
    <row r="18" spans="2:10" ht="15.6" thickBot="1">
      <c r="B18" s="125" t="s">
        <v>17</v>
      </c>
      <c r="C18" s="126">
        <v>2</v>
      </c>
      <c r="D18" s="126">
        <v>1</v>
      </c>
      <c r="E18" s="126">
        <v>0.5</v>
      </c>
      <c r="F18" s="43">
        <f>E18</f>
        <v>0.5</v>
      </c>
      <c r="G18" s="126" t="s">
        <v>25</v>
      </c>
      <c r="H18" s="126">
        <v>5</v>
      </c>
    </row>
    <row r="19" spans="2:10" ht="15.6" thickBot="1">
      <c r="B19" s="125" t="s">
        <v>18</v>
      </c>
      <c r="C19" s="35">
        <v>0</v>
      </c>
      <c r="D19" s="35">
        <v>0</v>
      </c>
      <c r="E19" s="35">
        <v>0</v>
      </c>
      <c r="F19" s="35">
        <v>0</v>
      </c>
      <c r="G19" s="126"/>
      <c r="H19" s="126"/>
    </row>
    <row r="20" spans="2:10" ht="15" thickBot="1">
      <c r="B20" s="125" t="s">
        <v>19</v>
      </c>
      <c r="C20" s="35">
        <v>0</v>
      </c>
      <c r="D20" s="35">
        <v>0</v>
      </c>
      <c r="E20" s="35">
        <v>0</v>
      </c>
      <c r="F20" s="35">
        <v>0</v>
      </c>
      <c r="G20" s="126"/>
      <c r="H20" s="126"/>
      <c r="I20" s="64"/>
      <c r="J20" s="64"/>
    </row>
    <row r="21" spans="2:10" ht="15" thickBot="1">
      <c r="B21" s="3" t="s">
        <v>22</v>
      </c>
      <c r="C21" s="44" t="s">
        <v>325</v>
      </c>
      <c r="D21" s="4"/>
      <c r="E21" s="4"/>
      <c r="F21" s="4"/>
      <c r="G21" s="68" t="s">
        <v>329</v>
      </c>
      <c r="H21" s="39"/>
      <c r="I21" s="64"/>
      <c r="J21" s="64"/>
    </row>
    <row r="22" spans="2:10" ht="15" thickBot="1">
      <c r="B22" s="1" t="s">
        <v>23</v>
      </c>
      <c r="C22" s="43">
        <f>C23/$G30</f>
        <v>0.4</v>
      </c>
      <c r="D22" s="43">
        <f>D23/$G30</f>
        <v>0.4</v>
      </c>
      <c r="E22" s="43">
        <f>E23/$G30</f>
        <v>0.4</v>
      </c>
      <c r="F22" s="43">
        <f>F23/$G30</f>
        <v>0.4</v>
      </c>
      <c r="G22" s="73">
        <f>G30</f>
        <v>10</v>
      </c>
      <c r="H22" s="73" t="str">
        <f>H30</f>
        <v>kW</v>
      </c>
      <c r="I22" s="64"/>
      <c r="J22" s="64"/>
    </row>
    <row r="23" spans="2:10">
      <c r="B23" s="140" t="s">
        <v>24</v>
      </c>
      <c r="C23" s="135">
        <v>4</v>
      </c>
      <c r="D23" s="135">
        <v>4</v>
      </c>
      <c r="E23" s="135">
        <v>4</v>
      </c>
      <c r="F23" s="135">
        <v>4</v>
      </c>
      <c r="G23" s="135" t="s">
        <v>33</v>
      </c>
      <c r="H23" s="135"/>
      <c r="I23" s="64"/>
      <c r="J23" s="64"/>
    </row>
    <row r="24" spans="2:10">
      <c r="B24" s="141" t="s">
        <v>26</v>
      </c>
      <c r="C24" s="136" t="s">
        <v>47</v>
      </c>
      <c r="D24" s="136">
        <v>45</v>
      </c>
      <c r="E24" s="136">
        <v>45</v>
      </c>
      <c r="F24" s="136">
        <v>45</v>
      </c>
      <c r="G24" s="136"/>
      <c r="H24" s="136"/>
      <c r="I24" s="64"/>
      <c r="J24" s="64"/>
    </row>
    <row r="25" spans="2:10" ht="15" thickBot="1">
      <c r="B25" s="142" t="s">
        <v>28</v>
      </c>
      <c r="C25" s="137" t="s">
        <v>48</v>
      </c>
      <c r="D25" s="137">
        <v>55</v>
      </c>
      <c r="E25" s="137">
        <v>55</v>
      </c>
      <c r="F25" s="137">
        <v>55</v>
      </c>
      <c r="G25" s="137"/>
      <c r="H25" s="137"/>
      <c r="I25" s="64"/>
      <c r="J25" s="64"/>
    </row>
    <row r="26" spans="2:10" ht="23.4" thickBot="1">
      <c r="B26" s="142" t="s">
        <v>30</v>
      </c>
      <c r="C26" s="137">
        <v>2</v>
      </c>
      <c r="D26" s="137">
        <v>2</v>
      </c>
      <c r="E26" s="137">
        <v>2</v>
      </c>
      <c r="F26" s="137">
        <v>2</v>
      </c>
      <c r="G26" s="137" t="s">
        <v>49</v>
      </c>
      <c r="H26" s="137">
        <v>6</v>
      </c>
      <c r="I26" s="64"/>
      <c r="J26" s="64"/>
    </row>
    <row r="27" spans="2:10" ht="15" thickBot="1">
      <c r="B27" s="142" t="s">
        <v>64</v>
      </c>
      <c r="C27" s="137">
        <v>135</v>
      </c>
      <c r="D27" s="137">
        <v>135</v>
      </c>
      <c r="E27" s="137">
        <v>135</v>
      </c>
      <c r="F27" s="137">
        <v>135</v>
      </c>
      <c r="G27" s="137" t="s">
        <v>51</v>
      </c>
      <c r="H27" s="137"/>
      <c r="I27" s="64"/>
      <c r="J27" s="64"/>
    </row>
    <row r="28" spans="2:10" ht="15" thickBot="1">
      <c r="B28" s="142" t="s">
        <v>130</v>
      </c>
      <c r="C28" s="137">
        <v>100</v>
      </c>
      <c r="D28" s="137">
        <v>100</v>
      </c>
      <c r="E28" s="137">
        <v>100</v>
      </c>
      <c r="F28" s="137">
        <v>100</v>
      </c>
      <c r="G28" s="137" t="s">
        <v>52</v>
      </c>
      <c r="H28" s="137"/>
      <c r="I28" s="64"/>
      <c r="J28" s="64"/>
    </row>
    <row r="29" spans="2:10">
      <c r="B29" s="36" t="s">
        <v>353</v>
      </c>
      <c r="C29" s="42">
        <f t="shared" ref="C29:F30" si="0">C22*$G$4*1000</f>
        <v>2980.0000000000005</v>
      </c>
      <c r="D29" s="42">
        <f t="shared" si="0"/>
        <v>2980.0000000000005</v>
      </c>
      <c r="E29" s="42">
        <f t="shared" si="0"/>
        <v>2980.0000000000005</v>
      </c>
      <c r="F29" s="42">
        <f t="shared" si="0"/>
        <v>2980.0000000000005</v>
      </c>
      <c r="G29" s="63" t="s">
        <v>332</v>
      </c>
      <c r="H29" s="63"/>
      <c r="I29" s="64"/>
      <c r="J29" s="64"/>
    </row>
    <row r="30" spans="2:10">
      <c r="B30" s="36" t="s">
        <v>354</v>
      </c>
      <c r="C30" s="45">
        <f t="shared" si="0"/>
        <v>29800</v>
      </c>
      <c r="D30" s="42">
        <f t="shared" si="0"/>
        <v>29800</v>
      </c>
      <c r="E30" s="42">
        <f t="shared" si="0"/>
        <v>29800</v>
      </c>
      <c r="F30" s="42">
        <f t="shared" si="0"/>
        <v>29800</v>
      </c>
      <c r="G30" s="67">
        <v>10</v>
      </c>
      <c r="H30" s="63" t="s">
        <v>330</v>
      </c>
      <c r="I30" s="64"/>
      <c r="J30" s="64"/>
    </row>
    <row r="31" spans="2:10">
      <c r="B31" s="36" t="s">
        <v>355</v>
      </c>
      <c r="C31" s="42">
        <f>C27*$G$4/$G$30</f>
        <v>100.575</v>
      </c>
      <c r="D31" s="42">
        <f>D27*$G$4/$G$30</f>
        <v>100.575</v>
      </c>
      <c r="E31" s="42">
        <f>E27*$G$4/$G$30</f>
        <v>100.575</v>
      </c>
      <c r="F31" s="42">
        <f>F27*$G$4/$G$30</f>
        <v>100.575</v>
      </c>
      <c r="G31" s="63" t="s">
        <v>333</v>
      </c>
      <c r="H31" s="63"/>
    </row>
    <row r="32" spans="2:10" ht="15" thickBot="1">
      <c r="B32" s="36" t="s">
        <v>356</v>
      </c>
      <c r="C32" s="36">
        <f>C28*$G$4/50</f>
        <v>14.9</v>
      </c>
      <c r="D32" s="36">
        <f>D28*$G$4/50</f>
        <v>14.9</v>
      </c>
      <c r="E32" s="36">
        <f>E28*$G$4/50</f>
        <v>14.9</v>
      </c>
      <c r="F32" s="36">
        <f>F28*$G$4/50</f>
        <v>14.9</v>
      </c>
      <c r="G32" s="66"/>
      <c r="H32" s="63"/>
    </row>
    <row r="33" spans="2:24" ht="15" customHeight="1">
      <c r="B33" s="1254" t="s">
        <v>0</v>
      </c>
      <c r="C33" s="1256" t="s">
        <v>37</v>
      </c>
      <c r="D33" s="1257"/>
      <c r="E33" s="1257"/>
      <c r="F33" s="1257"/>
      <c r="G33" s="1257"/>
      <c r="H33" s="1258"/>
      <c r="J33" s="1256" t="str">
        <f>C33</f>
        <v>Natural gas boiler</v>
      </c>
      <c r="K33" s="1257"/>
      <c r="L33" s="1257"/>
      <c r="M33" s="1257"/>
      <c r="N33" s="1257"/>
      <c r="O33" s="1258"/>
    </row>
    <row r="34" spans="2:24" ht="15.75" customHeight="1" thickBot="1">
      <c r="B34" s="1255"/>
      <c r="C34" s="1131" t="s">
        <v>53</v>
      </c>
      <c r="D34" s="1132"/>
      <c r="E34" s="1132"/>
      <c r="F34" s="1132"/>
      <c r="G34" s="1132"/>
      <c r="H34" s="1133"/>
      <c r="J34" s="1131" t="str">
        <f>C34</f>
        <v>Apartment complex, existing and new building</v>
      </c>
      <c r="K34" s="1132"/>
      <c r="L34" s="1132"/>
      <c r="M34" s="1132"/>
      <c r="N34" s="1132"/>
      <c r="O34" s="1133"/>
    </row>
    <row r="35" spans="2:24" ht="15" thickBot="1">
      <c r="B35" s="1"/>
      <c r="C35" s="80">
        <v>2015</v>
      </c>
      <c r="D35" s="80">
        <v>2020</v>
      </c>
      <c r="E35" s="80">
        <v>2030</v>
      </c>
      <c r="F35" s="80">
        <v>2050</v>
      </c>
      <c r="G35" s="80" t="s">
        <v>2</v>
      </c>
      <c r="H35" s="80" t="s">
        <v>3</v>
      </c>
      <c r="J35" s="53" t="s">
        <v>357</v>
      </c>
    </row>
    <row r="36" spans="2:24" ht="28.2"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25" t="s">
        <v>5</v>
      </c>
      <c r="C37" s="126" t="s">
        <v>54</v>
      </c>
      <c r="D37" s="126" t="s">
        <v>54</v>
      </c>
      <c r="E37" s="126" t="s">
        <v>54</v>
      </c>
      <c r="F37" s="126" t="s">
        <v>54</v>
      </c>
      <c r="G37" s="126"/>
      <c r="H37" s="126"/>
      <c r="J37" s="50"/>
      <c r="K37" s="50"/>
      <c r="L37" s="51"/>
      <c r="M37" s="51"/>
      <c r="N37" s="51"/>
      <c r="O37" s="52"/>
      <c r="P37" s="50"/>
      <c r="Q37" s="50"/>
      <c r="R37" s="50"/>
      <c r="S37" s="50"/>
      <c r="T37" s="50"/>
      <c r="U37" s="50"/>
      <c r="V37" s="50"/>
      <c r="W37" s="50"/>
      <c r="X37" s="50"/>
    </row>
    <row r="38" spans="2:24" ht="72.599999999999994" thickBot="1">
      <c r="B38" s="125" t="s">
        <v>7</v>
      </c>
      <c r="C38" s="126">
        <v>100</v>
      </c>
      <c r="D38" s="126">
        <v>100</v>
      </c>
      <c r="E38" s="126">
        <v>100</v>
      </c>
      <c r="F38" s="126">
        <v>100</v>
      </c>
      <c r="G38" s="126"/>
      <c r="H38" s="126"/>
      <c r="I38" s="74" t="str">
        <f>B40</f>
        <v>Total efficiency, annual average, net (%)</v>
      </c>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25" t="s">
        <v>8</v>
      </c>
      <c r="C39" s="126">
        <v>100</v>
      </c>
      <c r="D39" s="126">
        <v>100</v>
      </c>
      <c r="E39" s="126">
        <v>100</v>
      </c>
      <c r="F39" s="126">
        <v>100</v>
      </c>
      <c r="G39" s="126"/>
      <c r="H39" s="126"/>
      <c r="I39" s="71">
        <f>102</f>
        <v>102</v>
      </c>
      <c r="J39" s="58">
        <f>C35</f>
        <v>2015</v>
      </c>
      <c r="K39" s="58">
        <f>J39</f>
        <v>2015</v>
      </c>
      <c r="L39" s="58">
        <f>I39/100</f>
        <v>1.02</v>
      </c>
      <c r="M39" s="58"/>
      <c r="N39" s="58">
        <f>C42</f>
        <v>25</v>
      </c>
      <c r="O39" s="59">
        <f>C57</f>
        <v>943.66666666666674</v>
      </c>
      <c r="P39" s="59">
        <f>C59</f>
        <v>29.8</v>
      </c>
      <c r="Q39" s="59">
        <f>C60</f>
        <v>14.9</v>
      </c>
      <c r="R39" s="58"/>
      <c r="S39" s="58"/>
      <c r="T39" s="58">
        <f>C44</f>
        <v>0</v>
      </c>
      <c r="U39" s="78">
        <f>C45</f>
        <v>20</v>
      </c>
      <c r="V39" s="78">
        <f>C46</f>
        <v>2</v>
      </c>
      <c r="W39" s="78">
        <f>C47</f>
        <v>0</v>
      </c>
      <c r="X39" s="78">
        <f>C48</f>
        <v>0</v>
      </c>
    </row>
    <row r="40" spans="2:24" ht="15" thickBot="1">
      <c r="B40" s="125" t="s">
        <v>9</v>
      </c>
      <c r="C40" s="126" t="s">
        <v>39</v>
      </c>
      <c r="D40" s="126" t="s">
        <v>39</v>
      </c>
      <c r="E40" s="126" t="s">
        <v>39</v>
      </c>
      <c r="F40" s="126" t="s">
        <v>39</v>
      </c>
      <c r="G40" s="126"/>
      <c r="H40" s="126"/>
      <c r="I40" s="71">
        <f>102</f>
        <v>102</v>
      </c>
      <c r="J40" s="58">
        <f>D35</f>
        <v>2020</v>
      </c>
      <c r="K40" s="58"/>
      <c r="L40" s="58">
        <f>I40/100</f>
        <v>1.02</v>
      </c>
      <c r="M40" s="58"/>
      <c r="N40" s="58">
        <f>D42</f>
        <v>25</v>
      </c>
      <c r="O40" s="59">
        <f>D57</f>
        <v>918.83333333333337</v>
      </c>
      <c r="P40" s="59">
        <f>D59</f>
        <v>29.8</v>
      </c>
      <c r="Q40" s="59">
        <f>D60</f>
        <v>14.9</v>
      </c>
      <c r="R40" s="58"/>
      <c r="S40" s="58"/>
      <c r="T40" s="58">
        <f>D44</f>
        <v>0</v>
      </c>
      <c r="U40" s="78">
        <f>D45</f>
        <v>10</v>
      </c>
      <c r="V40" s="78">
        <f>D46</f>
        <v>1</v>
      </c>
      <c r="W40" s="78">
        <f>D47</f>
        <v>0</v>
      </c>
      <c r="X40" s="78">
        <f>D48</f>
        <v>0</v>
      </c>
    </row>
    <row r="41" spans="2:24" ht="15" thickBot="1">
      <c r="B41" s="125" t="s">
        <v>40</v>
      </c>
      <c r="C41" s="126">
        <v>400</v>
      </c>
      <c r="D41" s="126">
        <v>300</v>
      </c>
      <c r="E41" s="126">
        <v>200</v>
      </c>
      <c r="F41" s="126">
        <v>100</v>
      </c>
      <c r="G41" s="126"/>
      <c r="H41" s="126"/>
      <c r="I41" s="71">
        <f>102</f>
        <v>102</v>
      </c>
      <c r="J41" s="58">
        <f>E35</f>
        <v>2030</v>
      </c>
      <c r="K41" s="58"/>
      <c r="L41" s="58">
        <f>I41/100</f>
        <v>1.02</v>
      </c>
      <c r="M41" s="58"/>
      <c r="N41" s="58">
        <f>E42</f>
        <v>25</v>
      </c>
      <c r="O41" s="59">
        <f>E57</f>
        <v>894.00000000000011</v>
      </c>
      <c r="P41" s="59">
        <f>E59</f>
        <v>29.8</v>
      </c>
      <c r="Q41" s="59">
        <f>E60</f>
        <v>14.9</v>
      </c>
      <c r="R41" s="58"/>
      <c r="S41" s="58"/>
      <c r="T41" s="58">
        <f>E44</f>
        <v>0</v>
      </c>
      <c r="U41" s="78">
        <f>E45</f>
        <v>5</v>
      </c>
      <c r="V41" s="78">
        <f>E46</f>
        <v>0.5</v>
      </c>
      <c r="W41" s="78">
        <f>E47</f>
        <v>0</v>
      </c>
      <c r="X41" s="78">
        <f>E48</f>
        <v>0</v>
      </c>
    </row>
    <row r="42" spans="2:24" ht="15" thickBot="1">
      <c r="B42" s="125" t="s">
        <v>11</v>
      </c>
      <c r="C42" s="126">
        <v>25</v>
      </c>
      <c r="D42" s="126">
        <v>25</v>
      </c>
      <c r="E42" s="126">
        <v>25</v>
      </c>
      <c r="F42" s="126">
        <v>25</v>
      </c>
      <c r="G42" s="126"/>
      <c r="H42" s="126"/>
      <c r="I42" s="71">
        <f>102</f>
        <v>102</v>
      </c>
      <c r="J42" s="58">
        <f>F35</f>
        <v>2050</v>
      </c>
      <c r="K42" s="58"/>
      <c r="L42" s="58">
        <f>I42/100</f>
        <v>1.02</v>
      </c>
      <c r="M42" s="58"/>
      <c r="N42" s="58">
        <f>F42</f>
        <v>25</v>
      </c>
      <c r="O42" s="59">
        <f>F57</f>
        <v>894.00000000000011</v>
      </c>
      <c r="P42" s="59">
        <f>F59</f>
        <v>29.8</v>
      </c>
      <c r="Q42" s="59">
        <f>F60</f>
        <v>14.9</v>
      </c>
      <c r="R42" s="58"/>
      <c r="S42" s="58"/>
      <c r="T42" s="58">
        <f>F44</f>
        <v>0</v>
      </c>
      <c r="U42" s="78">
        <f>F45</f>
        <v>5</v>
      </c>
      <c r="V42" s="78">
        <f>F46</f>
        <v>0.5</v>
      </c>
      <c r="W42" s="78">
        <f>F47</f>
        <v>0</v>
      </c>
      <c r="X42" s="78">
        <f>F48</f>
        <v>0</v>
      </c>
    </row>
    <row r="43" spans="2:24" ht="15" thickBot="1">
      <c r="B43" s="127" t="s">
        <v>12</v>
      </c>
      <c r="C43" s="128"/>
      <c r="D43" s="128"/>
      <c r="E43" s="128"/>
      <c r="F43" s="128"/>
      <c r="G43" s="128"/>
      <c r="H43" s="129"/>
    </row>
    <row r="44" spans="2:24" ht="15.6" thickBot="1">
      <c r="B44" s="125" t="s">
        <v>13</v>
      </c>
      <c r="C44" s="35">
        <v>0</v>
      </c>
      <c r="D44" s="35">
        <v>0</v>
      </c>
      <c r="E44" s="35">
        <v>0</v>
      </c>
      <c r="F44" s="35">
        <v>0</v>
      </c>
      <c r="G44" s="126"/>
      <c r="H44" s="126"/>
    </row>
    <row r="45" spans="2:24" ht="15.6" thickBot="1">
      <c r="B45" s="125" t="s">
        <v>15</v>
      </c>
      <c r="C45" s="126">
        <v>20</v>
      </c>
      <c r="D45" s="126">
        <v>10</v>
      </c>
      <c r="E45" s="126">
        <v>5</v>
      </c>
      <c r="F45" s="126">
        <v>5</v>
      </c>
      <c r="G45" s="126"/>
      <c r="H45" s="126"/>
    </row>
    <row r="46" spans="2:24" ht="15.6" thickBot="1">
      <c r="B46" s="125" t="s">
        <v>17</v>
      </c>
      <c r="C46" s="126">
        <v>2</v>
      </c>
      <c r="D46" s="126">
        <v>1</v>
      </c>
      <c r="E46" s="126">
        <v>0.5</v>
      </c>
      <c r="F46" s="126">
        <v>0.5</v>
      </c>
      <c r="G46" s="126"/>
      <c r="H46" s="126"/>
    </row>
    <row r="47" spans="2:24" ht="15.6" thickBot="1">
      <c r="B47" s="125" t="s">
        <v>18</v>
      </c>
      <c r="C47" s="35">
        <v>0</v>
      </c>
      <c r="D47" s="35">
        <v>0</v>
      </c>
      <c r="E47" s="35">
        <v>0</v>
      </c>
      <c r="F47" s="35">
        <v>0</v>
      </c>
      <c r="G47" s="126"/>
      <c r="H47" s="126"/>
    </row>
    <row r="48" spans="2:24" ht="15" thickBot="1">
      <c r="B48" s="125" t="s">
        <v>19</v>
      </c>
      <c r="C48" s="35">
        <v>0</v>
      </c>
      <c r="D48" s="35">
        <v>0</v>
      </c>
      <c r="E48" s="35">
        <v>0</v>
      </c>
      <c r="F48" s="35">
        <v>0</v>
      </c>
      <c r="G48" s="126"/>
      <c r="H48" s="126"/>
    </row>
    <row r="49" spans="2:13" ht="15" thickBot="1">
      <c r="B49" s="3" t="s">
        <v>22</v>
      </c>
      <c r="C49" s="4"/>
      <c r="D49" s="4"/>
      <c r="E49" s="4"/>
      <c r="F49" s="4"/>
      <c r="G49" s="68" t="s">
        <v>329</v>
      </c>
      <c r="H49" s="39"/>
      <c r="I49" s="64"/>
      <c r="J49" s="64"/>
      <c r="K49" s="64"/>
      <c r="L49" s="64">
        <f>35/750</f>
        <v>4.6666666666666669E-2</v>
      </c>
    </row>
    <row r="50" spans="2:13" ht="15" thickBot="1">
      <c r="B50" s="1" t="s">
        <v>23</v>
      </c>
      <c r="C50" s="41">
        <f>(4/20+40/750)/2</f>
        <v>0.12666666666666668</v>
      </c>
      <c r="D50" s="41">
        <f>(4/20+35/750)/2</f>
        <v>0.12333333333333334</v>
      </c>
      <c r="E50" s="41">
        <f>(4/20+30/750)/2</f>
        <v>0.12000000000000001</v>
      </c>
      <c r="F50" s="41">
        <f>(4/20+30/750)/2</f>
        <v>0.12000000000000001</v>
      </c>
      <c r="G50" s="73">
        <f>G58</f>
        <v>500</v>
      </c>
      <c r="H50" s="73" t="str">
        <f>H58</f>
        <v>kW</v>
      </c>
      <c r="I50" s="64"/>
      <c r="J50" s="64"/>
      <c r="K50" s="64"/>
      <c r="L50" s="64">
        <f>4/20</f>
        <v>0.2</v>
      </c>
      <c r="M50">
        <f>L50/L49</f>
        <v>4.2857142857142856</v>
      </c>
    </row>
    <row r="51" spans="2:13">
      <c r="B51" s="130" t="s">
        <v>24</v>
      </c>
      <c r="C51" s="139" t="s">
        <v>281</v>
      </c>
      <c r="D51" s="139" t="s">
        <v>282</v>
      </c>
      <c r="E51" s="139" t="s">
        <v>283</v>
      </c>
      <c r="F51" s="139" t="s">
        <v>283</v>
      </c>
      <c r="G51" s="131" t="s">
        <v>55</v>
      </c>
      <c r="H51" s="131"/>
      <c r="I51" s="64"/>
      <c r="J51" s="64"/>
      <c r="K51" s="64"/>
      <c r="L51" s="64"/>
    </row>
    <row r="52" spans="2:13">
      <c r="B52" s="130" t="s">
        <v>26</v>
      </c>
      <c r="C52" s="131" t="s">
        <v>56</v>
      </c>
      <c r="D52" s="131" t="s">
        <v>56</v>
      </c>
      <c r="E52" s="131" t="s">
        <v>56</v>
      </c>
      <c r="F52" s="131" t="s">
        <v>56</v>
      </c>
      <c r="G52" s="131"/>
      <c r="H52" s="131"/>
      <c r="I52" s="64"/>
      <c r="J52" s="64"/>
      <c r="K52" s="64"/>
      <c r="L52" s="64"/>
    </row>
    <row r="53" spans="2:13" ht="15" thickBot="1">
      <c r="B53" s="125" t="s">
        <v>28</v>
      </c>
      <c r="C53" s="126" t="s">
        <v>57</v>
      </c>
      <c r="D53" s="126" t="s">
        <v>57</v>
      </c>
      <c r="E53" s="126" t="s">
        <v>57</v>
      </c>
      <c r="F53" s="126" t="s">
        <v>57</v>
      </c>
      <c r="G53" s="126"/>
      <c r="H53" s="126"/>
      <c r="I53" s="64"/>
      <c r="J53" s="64"/>
      <c r="K53" s="64"/>
      <c r="L53" s="64"/>
    </row>
    <row r="54" spans="2:13" ht="24.6" thickBot="1">
      <c r="B54" s="125" t="s">
        <v>30</v>
      </c>
      <c r="C54" s="126">
        <v>2</v>
      </c>
      <c r="D54" s="126">
        <v>2</v>
      </c>
      <c r="E54" s="126">
        <v>2</v>
      </c>
      <c r="F54" s="126">
        <v>2</v>
      </c>
      <c r="G54" s="126" t="s">
        <v>49</v>
      </c>
      <c r="H54" s="126">
        <v>6</v>
      </c>
      <c r="I54" s="64"/>
      <c r="J54" s="64"/>
      <c r="K54" s="64"/>
      <c r="L54" s="64"/>
    </row>
    <row r="55" spans="2:13" ht="15" thickBot="1">
      <c r="B55" s="125" t="s">
        <v>50</v>
      </c>
      <c r="C55" s="126">
        <v>4</v>
      </c>
      <c r="D55" s="126">
        <v>4</v>
      </c>
      <c r="E55" s="126">
        <v>4</v>
      </c>
      <c r="F55" s="126">
        <v>4</v>
      </c>
      <c r="G55" s="126"/>
      <c r="H55" s="126"/>
      <c r="I55" s="64"/>
      <c r="J55" s="64"/>
      <c r="K55" s="64"/>
      <c r="L55" s="64"/>
    </row>
    <row r="56" spans="2:13" ht="15" thickBot="1">
      <c r="B56" s="125" t="s">
        <v>31</v>
      </c>
      <c r="C56" s="126">
        <v>2</v>
      </c>
      <c r="D56" s="126">
        <v>2</v>
      </c>
      <c r="E56" s="126">
        <v>2</v>
      </c>
      <c r="F56" s="126">
        <v>2</v>
      </c>
      <c r="G56" s="126"/>
      <c r="H56" s="126"/>
      <c r="I56" s="64"/>
      <c r="J56" s="64"/>
      <c r="K56" s="64"/>
      <c r="L56" s="64"/>
    </row>
    <row r="57" spans="2:13">
      <c r="B57" s="36" t="s">
        <v>353</v>
      </c>
      <c r="C57" s="42">
        <f>C50*$G$4*1000</f>
        <v>943.66666666666674</v>
      </c>
      <c r="D57" s="42">
        <f>D50*$G$4*1000</f>
        <v>918.83333333333337</v>
      </c>
      <c r="E57" s="42">
        <f>E50*$G$4*1000</f>
        <v>894.00000000000011</v>
      </c>
      <c r="F57" s="42">
        <f>F50*$G$4*1000</f>
        <v>894.00000000000011</v>
      </c>
      <c r="G57" s="63" t="s">
        <v>332</v>
      </c>
      <c r="H57" s="63"/>
      <c r="I57" s="64"/>
      <c r="J57" s="64"/>
      <c r="K57" s="64"/>
      <c r="L57" s="64"/>
    </row>
    <row r="58" spans="2:13">
      <c r="B58" s="36" t="s">
        <v>354</v>
      </c>
      <c r="C58" s="42">
        <f>C57*$G58</f>
        <v>471833.33333333337</v>
      </c>
      <c r="D58" s="42">
        <f>D57*$G58</f>
        <v>459416.66666666669</v>
      </c>
      <c r="E58" s="42">
        <f>E57*$G58</f>
        <v>447000.00000000006</v>
      </c>
      <c r="F58" s="42">
        <f>F57*$G58</f>
        <v>447000.00000000006</v>
      </c>
      <c r="G58" s="67">
        <v>500</v>
      </c>
      <c r="H58" s="63" t="s">
        <v>330</v>
      </c>
      <c r="I58" s="64"/>
      <c r="J58" s="64"/>
      <c r="K58" s="64"/>
      <c r="L58" s="64"/>
    </row>
    <row r="59" spans="2:13">
      <c r="B59" s="36" t="s">
        <v>355</v>
      </c>
      <c r="C59" s="36">
        <f t="shared" ref="C59:F60" si="1">C55*$G$4</f>
        <v>29.8</v>
      </c>
      <c r="D59" s="36">
        <f t="shared" si="1"/>
        <v>29.8</v>
      </c>
      <c r="E59" s="36">
        <f t="shared" si="1"/>
        <v>29.8</v>
      </c>
      <c r="F59" s="36">
        <f t="shared" si="1"/>
        <v>29.8</v>
      </c>
      <c r="G59" s="63" t="s">
        <v>333</v>
      </c>
      <c r="H59" s="63"/>
      <c r="I59" s="64"/>
      <c r="J59" s="64"/>
      <c r="K59" s="64"/>
      <c r="L59" s="64"/>
    </row>
    <row r="60" spans="2:13" ht="15" thickBot="1">
      <c r="B60" s="36" t="s">
        <v>356</v>
      </c>
      <c r="C60" s="36">
        <f t="shared" si="1"/>
        <v>14.9</v>
      </c>
      <c r="D60" s="36">
        <f t="shared" si="1"/>
        <v>14.9</v>
      </c>
      <c r="E60" s="36">
        <f t="shared" si="1"/>
        <v>14.9</v>
      </c>
      <c r="F60" s="36">
        <f t="shared" si="1"/>
        <v>14.9</v>
      </c>
      <c r="G60" s="66"/>
      <c r="H60" s="63"/>
      <c r="I60" s="64"/>
      <c r="J60" s="64"/>
      <c r="K60" s="64"/>
      <c r="L60" s="64"/>
    </row>
    <row r="61" spans="2:13">
      <c r="I61" s="64"/>
      <c r="J61" s="64"/>
      <c r="K61" s="64"/>
      <c r="L61" s="64"/>
    </row>
    <row r="62" spans="2:13">
      <c r="I62" s="64"/>
      <c r="J62" s="64"/>
      <c r="K62" s="64"/>
      <c r="L62" s="64"/>
    </row>
    <row r="156" spans="7:7">
      <c r="G156" s="263" t="s">
        <v>600</v>
      </c>
    </row>
  </sheetData>
  <mergeCells count="10">
    <mergeCell ref="J5:O5"/>
    <mergeCell ref="J6:O6"/>
    <mergeCell ref="J33:O33"/>
    <mergeCell ref="J34:O34"/>
    <mergeCell ref="B5:B6"/>
    <mergeCell ref="C5:H5"/>
    <mergeCell ref="C6:H6"/>
    <mergeCell ref="C33:H33"/>
    <mergeCell ref="B33:B34"/>
    <mergeCell ref="C34:H34"/>
  </mergeCells>
  <pageMargins left="0.7" right="0.7" top="0.75" bottom="0.75" header="0.3" footer="0.3"/>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
    <tabColor theme="4"/>
  </sheetPr>
  <dimension ref="B1:X156"/>
  <sheetViews>
    <sheetView workbookViewId="0">
      <selection activeCell="M27" sqref="M27"/>
    </sheetView>
  </sheetViews>
  <sheetFormatPr defaultColWidth="9.21875" defaultRowHeight="14.4"/>
  <cols>
    <col min="1" max="1" width="9.21875" style="224"/>
    <col min="2" max="2" width="40.77734375" style="224" customWidth="1"/>
    <col min="3" max="3" width="18.21875" style="224" customWidth="1"/>
    <col min="4" max="5" width="11.5546875" style="224" bestFit="1" customWidth="1"/>
    <col min="6" max="6" width="12.77734375" style="224" bestFit="1" customWidth="1"/>
    <col min="7" max="8" width="9.21875" style="224"/>
    <col min="9" max="9" width="7.5546875" style="224" customWidth="1"/>
    <col min="10" max="16384" width="9.21875" style="224"/>
  </cols>
  <sheetData>
    <row r="1" spans="2:24">
      <c r="B1" s="229" t="s">
        <v>480</v>
      </c>
    </row>
    <row r="2" spans="2:24">
      <c r="B2" s="8" t="s">
        <v>481</v>
      </c>
    </row>
    <row r="3" spans="2:24">
      <c r="B3" s="8"/>
    </row>
    <row r="4" spans="2:24">
      <c r="E4" s="224" t="s">
        <v>358</v>
      </c>
      <c r="G4" s="36">
        <v>7.45</v>
      </c>
      <c r="H4" s="224" t="s">
        <v>328</v>
      </c>
    </row>
    <row r="5" spans="2:24" ht="15" thickBot="1"/>
    <row r="6" spans="2:24">
      <c r="B6" s="1265" t="s">
        <v>0</v>
      </c>
      <c r="C6" s="1266" t="s">
        <v>482</v>
      </c>
      <c r="D6" s="1267"/>
      <c r="E6" s="1267"/>
      <c r="F6" s="1267"/>
      <c r="G6" s="1267"/>
      <c r="H6" s="1268"/>
      <c r="J6" s="1256" t="str">
        <f>C6</f>
        <v>District Heating Boiler, Wood Chips</v>
      </c>
      <c r="K6" s="1257"/>
      <c r="L6" s="1257"/>
      <c r="M6" s="1257"/>
      <c r="N6" s="1257"/>
      <c r="O6" s="1258"/>
    </row>
    <row r="7" spans="2:24" ht="15" thickBot="1">
      <c r="B7" s="1265"/>
      <c r="C7" s="1269"/>
      <c r="D7" s="1270"/>
      <c r="E7" s="1270"/>
      <c r="F7" s="1270"/>
      <c r="G7" s="1270"/>
      <c r="H7" s="1271"/>
      <c r="J7" s="1131"/>
      <c r="K7" s="1132"/>
      <c r="L7" s="1132"/>
      <c r="M7" s="1132"/>
      <c r="N7" s="1132"/>
      <c r="O7" s="1133"/>
    </row>
    <row r="8" spans="2:24">
      <c r="B8" s="233"/>
      <c r="C8" s="234">
        <v>2015</v>
      </c>
      <c r="D8" s="234">
        <v>2020</v>
      </c>
      <c r="E8" s="234">
        <v>2030</v>
      </c>
      <c r="F8" s="234">
        <v>2050</v>
      </c>
      <c r="G8" s="234" t="s">
        <v>2</v>
      </c>
      <c r="H8" s="234" t="s">
        <v>3</v>
      </c>
      <c r="J8" s="53" t="s">
        <v>357</v>
      </c>
    </row>
    <row r="9" spans="2:24" ht="27.6">
      <c r="B9" s="235" t="s">
        <v>4</v>
      </c>
      <c r="C9" s="230"/>
      <c r="D9" s="230"/>
      <c r="E9" s="230"/>
      <c r="F9" s="230"/>
      <c r="G9" s="230"/>
      <c r="H9" s="236"/>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233" t="s">
        <v>483</v>
      </c>
      <c r="C10" s="237" t="s">
        <v>487</v>
      </c>
      <c r="D10" s="237" t="s">
        <v>487</v>
      </c>
      <c r="E10" s="237" t="s">
        <v>487</v>
      </c>
      <c r="F10" s="237" t="s">
        <v>487</v>
      </c>
      <c r="G10" s="238"/>
      <c r="H10" s="238" t="s">
        <v>488</v>
      </c>
      <c r="J10" s="50"/>
      <c r="K10" s="50"/>
      <c r="L10" s="51"/>
      <c r="M10" s="51"/>
      <c r="N10" s="51"/>
      <c r="O10" s="52"/>
      <c r="P10" s="50"/>
      <c r="Q10" s="50"/>
      <c r="R10" s="50"/>
      <c r="S10" s="50"/>
      <c r="T10" s="50"/>
      <c r="U10" s="50"/>
      <c r="V10" s="50"/>
      <c r="W10" s="50"/>
      <c r="X10" s="50"/>
    </row>
    <row r="11" spans="2:24">
      <c r="B11" s="233" t="s">
        <v>363</v>
      </c>
      <c r="C11" s="232">
        <v>108</v>
      </c>
      <c r="D11" s="232">
        <v>108</v>
      </c>
      <c r="E11" s="232">
        <v>108</v>
      </c>
      <c r="F11" s="232">
        <v>108</v>
      </c>
      <c r="G11" s="232"/>
      <c r="H11" s="238" t="s">
        <v>488</v>
      </c>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c r="B12" s="233" t="s">
        <v>484</v>
      </c>
      <c r="C12" s="232" t="s">
        <v>489</v>
      </c>
      <c r="D12" s="232" t="s">
        <v>489</v>
      </c>
      <c r="E12" s="232" t="s">
        <v>489</v>
      </c>
      <c r="F12" s="232" t="s">
        <v>489</v>
      </c>
      <c r="G12" s="232"/>
      <c r="H12" s="238" t="s">
        <v>86</v>
      </c>
      <c r="J12" s="58">
        <f>C8</f>
        <v>2015</v>
      </c>
      <c r="K12" s="58">
        <f>J12</f>
        <v>2015</v>
      </c>
      <c r="L12" s="58">
        <f>C11/100</f>
        <v>1.08</v>
      </c>
      <c r="M12" s="58"/>
      <c r="N12" s="58">
        <f>C13</f>
        <v>20</v>
      </c>
      <c r="O12" s="59">
        <f>C23</f>
        <v>5960.0000000000009</v>
      </c>
      <c r="P12" s="59">
        <f>C26*$D$39</f>
        <v>5.5875000000000004</v>
      </c>
      <c r="Q12" s="59">
        <f>C26*$D$40</f>
        <v>5.5875000000000004</v>
      </c>
      <c r="R12" s="58"/>
      <c r="S12" s="58"/>
      <c r="T12" s="58">
        <f>C16</f>
        <v>1.9</v>
      </c>
      <c r="U12" s="78">
        <f>C17</f>
        <v>81</v>
      </c>
      <c r="V12" s="78">
        <f>C18</f>
        <v>6.1</v>
      </c>
      <c r="W12" s="78">
        <f>C19</f>
        <v>0.8</v>
      </c>
      <c r="X12" s="78"/>
    </row>
    <row r="13" spans="2:24">
      <c r="B13" s="233" t="s">
        <v>11</v>
      </c>
      <c r="C13" s="232">
        <v>20</v>
      </c>
      <c r="D13" s="232">
        <v>20</v>
      </c>
      <c r="E13" s="232">
        <v>20</v>
      </c>
      <c r="F13" s="232">
        <v>20</v>
      </c>
      <c r="G13" s="232"/>
      <c r="H13" s="238" t="s">
        <v>488</v>
      </c>
      <c r="J13" s="58">
        <f>D8</f>
        <v>2020</v>
      </c>
      <c r="K13" s="58"/>
      <c r="L13" s="58">
        <f>D11/100</f>
        <v>1.08</v>
      </c>
      <c r="M13" s="58"/>
      <c r="N13" s="58">
        <f>D13</f>
        <v>20</v>
      </c>
      <c r="O13" s="59">
        <f>D23</f>
        <v>5960.0000000000009</v>
      </c>
      <c r="P13" s="59">
        <f>D26*D$39</f>
        <v>5.5875000000000004</v>
      </c>
      <c r="Q13" s="59">
        <f>D26*$D$40</f>
        <v>5.5875000000000004</v>
      </c>
      <c r="R13" s="58"/>
      <c r="S13" s="58"/>
      <c r="T13" s="58">
        <f>D16</f>
        <v>1.9</v>
      </c>
      <c r="U13" s="78">
        <f>D17</f>
        <v>81</v>
      </c>
      <c r="V13" s="78">
        <f>D18</f>
        <v>6.1</v>
      </c>
      <c r="W13" s="78">
        <f>D19</f>
        <v>0.8</v>
      </c>
      <c r="X13" s="78"/>
    </row>
    <row r="14" spans="2:24">
      <c r="B14" s="233" t="s">
        <v>273</v>
      </c>
      <c r="C14" s="232" t="s">
        <v>490</v>
      </c>
      <c r="D14" s="232" t="s">
        <v>490</v>
      </c>
      <c r="E14" s="232" t="s">
        <v>490</v>
      </c>
      <c r="F14" s="232" t="s">
        <v>490</v>
      </c>
      <c r="G14" s="232"/>
      <c r="H14" s="238" t="s">
        <v>86</v>
      </c>
      <c r="J14" s="58">
        <f>E8</f>
        <v>2030</v>
      </c>
      <c r="K14" s="58"/>
      <c r="L14" s="58">
        <f>E11/100</f>
        <v>1.08</v>
      </c>
      <c r="M14" s="58"/>
      <c r="N14" s="58">
        <f>E13</f>
        <v>20</v>
      </c>
      <c r="O14" s="59">
        <f>E23</f>
        <v>5960.0000000000009</v>
      </c>
      <c r="P14" s="59">
        <f>E26*$D$39</f>
        <v>5.5875000000000004</v>
      </c>
      <c r="Q14" s="59">
        <f>E26*$D$40</f>
        <v>5.5875000000000004</v>
      </c>
      <c r="R14" s="58"/>
      <c r="S14" s="58"/>
      <c r="T14" s="58">
        <f>E16</f>
        <v>1.9</v>
      </c>
      <c r="U14" s="78">
        <f>E17</f>
        <v>81</v>
      </c>
      <c r="V14" s="78">
        <f>E18</f>
        <v>6.1</v>
      </c>
      <c r="W14" s="78">
        <f>E19</f>
        <v>0.8</v>
      </c>
      <c r="X14" s="78"/>
    </row>
    <row r="15" spans="2:24">
      <c r="B15" s="239" t="s">
        <v>12</v>
      </c>
      <c r="C15" s="240"/>
      <c r="D15" s="240"/>
      <c r="E15" s="240"/>
      <c r="F15" s="240"/>
      <c r="G15" s="240"/>
      <c r="H15" s="241"/>
      <c r="J15" s="58">
        <f>F8</f>
        <v>2050</v>
      </c>
      <c r="K15" s="58"/>
      <c r="L15" s="58">
        <f>F11/100</f>
        <v>1.08</v>
      </c>
      <c r="M15" s="58"/>
      <c r="N15" s="58">
        <f>F13</f>
        <v>20</v>
      </c>
      <c r="O15" s="59">
        <f>F23</f>
        <v>5960.0000000000009</v>
      </c>
      <c r="P15" s="59">
        <f>F26*$D$39</f>
        <v>5.5875000000000004</v>
      </c>
      <c r="Q15" s="59">
        <f>F26*$D$40</f>
        <v>5.5875000000000004</v>
      </c>
      <c r="R15" s="58"/>
      <c r="S15" s="58"/>
      <c r="T15" s="58">
        <f>F16</f>
        <v>1.9</v>
      </c>
      <c r="U15" s="78">
        <f>F17</f>
        <v>81</v>
      </c>
      <c r="V15" s="78">
        <f>F18</f>
        <v>6.1</v>
      </c>
      <c r="W15" s="78">
        <f>F19</f>
        <v>0.8</v>
      </c>
      <c r="X15" s="78"/>
    </row>
    <row r="16" spans="2:24" ht="15">
      <c r="B16" s="233" t="s">
        <v>13</v>
      </c>
      <c r="C16" s="231">
        <v>1.9</v>
      </c>
      <c r="D16" s="231">
        <v>1.9</v>
      </c>
      <c r="E16" s="231">
        <v>1.9</v>
      </c>
      <c r="F16" s="231">
        <v>1.9</v>
      </c>
      <c r="G16" s="232"/>
      <c r="H16" s="238" t="s">
        <v>492</v>
      </c>
    </row>
    <row r="17" spans="2:15" ht="15">
      <c r="B17" s="233" t="s">
        <v>15</v>
      </c>
      <c r="C17" s="232">
        <v>81</v>
      </c>
      <c r="D17" s="232">
        <v>81</v>
      </c>
      <c r="E17" s="232">
        <v>81</v>
      </c>
      <c r="F17" s="232">
        <v>81</v>
      </c>
      <c r="G17" s="232"/>
      <c r="H17" s="238" t="s">
        <v>492</v>
      </c>
    </row>
    <row r="18" spans="2:15">
      <c r="B18" s="233" t="s">
        <v>491</v>
      </c>
      <c r="C18" s="232">
        <v>6.1</v>
      </c>
      <c r="D18" s="232">
        <v>6.1</v>
      </c>
      <c r="E18" s="232">
        <v>6.1</v>
      </c>
      <c r="F18" s="232">
        <v>6.1</v>
      </c>
      <c r="G18" s="232"/>
      <c r="H18" s="238" t="s">
        <v>492</v>
      </c>
    </row>
    <row r="19" spans="2:15">
      <c r="B19" s="233" t="s">
        <v>367</v>
      </c>
      <c r="C19" s="244">
        <v>0.8</v>
      </c>
      <c r="D19" s="244">
        <v>0.8</v>
      </c>
      <c r="E19" s="244">
        <v>0.8</v>
      </c>
      <c r="F19" s="244">
        <v>0.8</v>
      </c>
      <c r="G19" s="244"/>
      <c r="H19" s="238" t="s">
        <v>492</v>
      </c>
    </row>
    <row r="20" spans="2:15">
      <c r="B20" s="243" t="s">
        <v>22</v>
      </c>
      <c r="C20" s="245"/>
      <c r="D20" s="246"/>
      <c r="E20" s="246"/>
      <c r="F20" s="246"/>
      <c r="G20" s="247"/>
      <c r="H20" s="248"/>
    </row>
    <row r="21" spans="2:15">
      <c r="B21" s="233" t="s">
        <v>485</v>
      </c>
      <c r="C21" s="249" t="s">
        <v>493</v>
      </c>
      <c r="D21" s="249" t="s">
        <v>493</v>
      </c>
      <c r="E21" s="249" t="s">
        <v>493</v>
      </c>
      <c r="F21" s="249" t="s">
        <v>493</v>
      </c>
      <c r="G21" s="250"/>
      <c r="H21" s="250">
        <v>1</v>
      </c>
      <c r="I21" s="55"/>
      <c r="J21" s="55"/>
      <c r="K21" s="55"/>
      <c r="L21" s="55"/>
      <c r="M21" s="55"/>
      <c r="N21" s="55"/>
      <c r="O21" s="55"/>
    </row>
    <row r="22" spans="2:15">
      <c r="B22" s="233" t="s">
        <v>486</v>
      </c>
      <c r="C22" s="231">
        <v>5.4</v>
      </c>
      <c r="D22" s="231">
        <v>5.4</v>
      </c>
      <c r="E22" s="231">
        <v>5.4</v>
      </c>
      <c r="F22" s="231">
        <v>5.4</v>
      </c>
      <c r="G22" s="231"/>
      <c r="H22" s="231">
        <v>1</v>
      </c>
      <c r="I22" s="242"/>
      <c r="J22" s="54"/>
      <c r="K22" s="54"/>
      <c r="L22" s="75"/>
      <c r="M22" s="75"/>
      <c r="N22" s="54"/>
      <c r="O22" s="54"/>
    </row>
    <row r="23" spans="2:15">
      <c r="B23" s="36" t="s">
        <v>353</v>
      </c>
      <c r="C23" s="42">
        <f>((1.1+0.5)/2*$G$4)*1000</f>
        <v>5960.0000000000009</v>
      </c>
      <c r="D23" s="42">
        <f>((1.1+0.5)/2*$G$4)*1000</f>
        <v>5960.0000000000009</v>
      </c>
      <c r="E23" s="42">
        <f>((1.1+0.5)/2*$G$4)*1000</f>
        <v>5960.0000000000009</v>
      </c>
      <c r="F23" s="42">
        <f>((1.1+0.5)/2*$G$4)*1000</f>
        <v>5960.0000000000009</v>
      </c>
      <c r="G23" s="63" t="s">
        <v>332</v>
      </c>
      <c r="H23" s="63"/>
    </row>
    <row r="24" spans="2:15">
      <c r="B24" s="36" t="s">
        <v>354</v>
      </c>
      <c r="C24" s="42">
        <f>C23*$G$24</f>
        <v>2980000.0000000005</v>
      </c>
      <c r="D24" s="42">
        <f>D23*$G$24</f>
        <v>2980000.0000000005</v>
      </c>
      <c r="E24" s="42">
        <f>E23*$G$24</f>
        <v>2980000.0000000005</v>
      </c>
      <c r="F24" s="42">
        <f>F23*$G$24</f>
        <v>2980000.0000000005</v>
      </c>
      <c r="G24" s="67">
        <v>500</v>
      </c>
      <c r="H24" s="63" t="s">
        <v>330</v>
      </c>
      <c r="I24" s="37"/>
    </row>
    <row r="25" spans="2:15">
      <c r="B25" s="36" t="s">
        <v>355</v>
      </c>
      <c r="C25" s="42"/>
      <c r="D25" s="42"/>
      <c r="E25" s="42"/>
      <c r="F25" s="42"/>
      <c r="G25" s="63"/>
      <c r="H25" s="63"/>
    </row>
    <row r="26" spans="2:15" ht="15" thickBot="1">
      <c r="B26" s="36" t="s">
        <v>356</v>
      </c>
      <c r="C26" s="251">
        <f>C22*$G$4/3.6</f>
        <v>11.175000000000001</v>
      </c>
      <c r="D26" s="251">
        <f>D22*$G$4/3.6</f>
        <v>11.175000000000001</v>
      </c>
      <c r="E26" s="251">
        <f>E22*$G$4/3.6</f>
        <v>11.175000000000001</v>
      </c>
      <c r="F26" s="251">
        <f>F22*$G$4/3.6</f>
        <v>11.175000000000001</v>
      </c>
      <c r="G26" s="66"/>
      <c r="H26" s="63"/>
    </row>
    <row r="30" spans="2:15">
      <c r="B30" s="224" t="s">
        <v>494</v>
      </c>
    </row>
    <row r="31" spans="2:15">
      <c r="B31" s="224" t="s">
        <v>495</v>
      </c>
    </row>
    <row r="32" spans="2:15">
      <c r="B32" s="224" t="s">
        <v>496</v>
      </c>
    </row>
    <row r="34" spans="2:4">
      <c r="B34" s="304" t="s">
        <v>610</v>
      </c>
      <c r="C34" s="302"/>
      <c r="D34" s="302"/>
    </row>
    <row r="35" spans="2:4">
      <c r="B35" s="302"/>
      <c r="C35" s="302"/>
      <c r="D35" s="302"/>
    </row>
    <row r="36" spans="2:4">
      <c r="B36" s="302" t="s">
        <v>611</v>
      </c>
      <c r="C36" s="302"/>
      <c r="D36" s="302"/>
    </row>
    <row r="37" spans="2:4">
      <c r="B37" s="302" t="s">
        <v>612</v>
      </c>
      <c r="C37" s="302"/>
      <c r="D37" s="302"/>
    </row>
    <row r="38" spans="2:4">
      <c r="B38" s="302"/>
      <c r="C38" s="302"/>
      <c r="D38" s="302"/>
    </row>
    <row r="39" spans="2:4">
      <c r="B39" s="302" t="s">
        <v>613</v>
      </c>
      <c r="C39" s="302" t="s">
        <v>614</v>
      </c>
      <c r="D39" s="303">
        <v>0.5</v>
      </c>
    </row>
    <row r="40" spans="2:4">
      <c r="B40" s="302"/>
      <c r="C40" s="302" t="s">
        <v>615</v>
      </c>
      <c r="D40" s="303">
        <f>1-D39</f>
        <v>0.5</v>
      </c>
    </row>
    <row r="156" spans="7:7">
      <c r="G156" s="263" t="s">
        <v>600</v>
      </c>
    </row>
  </sheetData>
  <mergeCells count="5">
    <mergeCell ref="B6:B7"/>
    <mergeCell ref="C6:H6"/>
    <mergeCell ref="J6:O6"/>
    <mergeCell ref="C7:H7"/>
    <mergeCell ref="J7:O7"/>
  </mergeCells>
  <pageMargins left="0.7" right="0.7" top="0.75" bottom="0.75" header="0.3" footer="0.3"/>
  <pageSetup paperSize="9" orientation="portrait"/>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8">
    <tabColor theme="4"/>
  </sheetPr>
  <dimension ref="B3:X156"/>
  <sheetViews>
    <sheetView topLeftCell="A85" workbookViewId="0">
      <selection activeCell="L46" sqref="L46"/>
    </sheetView>
  </sheetViews>
  <sheetFormatPr defaultRowHeight="14.4"/>
  <cols>
    <col min="2" max="2" width="40.77734375" customWidth="1"/>
    <col min="3" max="3" width="18.21875" customWidth="1"/>
    <col min="4" max="5" width="11.5546875" bestFit="1" customWidth="1"/>
    <col min="6" max="6" width="12.77734375" bestFit="1" customWidth="1"/>
    <col min="9" max="9" width="7.5546875" customWidth="1"/>
  </cols>
  <sheetData>
    <row r="3" spans="2:24">
      <c r="B3" s="8" t="s">
        <v>310</v>
      </c>
    </row>
    <row r="4" spans="2:24">
      <c r="E4" t="s">
        <v>358</v>
      </c>
      <c r="G4" s="36">
        <v>7.45</v>
      </c>
      <c r="H4" t="s">
        <v>328</v>
      </c>
    </row>
    <row r="5" spans="2:24" ht="15" thickBot="1"/>
    <row r="6" spans="2:24">
      <c r="B6" s="1254" t="s">
        <v>0</v>
      </c>
      <c r="C6" s="1256" t="s">
        <v>66</v>
      </c>
      <c r="D6" s="1257"/>
      <c r="E6" s="1257"/>
      <c r="F6" s="1257"/>
      <c r="G6" s="1257"/>
      <c r="H6" s="1258"/>
      <c r="J6" s="1256" t="str">
        <f>C6</f>
        <v>Biomass boiler, automatic stoking</v>
      </c>
      <c r="K6" s="1257"/>
      <c r="L6" s="1257"/>
      <c r="M6" s="1257"/>
      <c r="N6" s="1257"/>
      <c r="O6" s="1258"/>
    </row>
    <row r="7" spans="2:24" ht="15" thickBot="1">
      <c r="B7" s="1255"/>
      <c r="C7" s="1131" t="s">
        <v>1</v>
      </c>
      <c r="D7" s="1132"/>
      <c r="E7" s="1132"/>
      <c r="F7" s="1132"/>
      <c r="G7" s="1132"/>
      <c r="H7" s="1133"/>
      <c r="J7" s="1131" t="str">
        <f>C7</f>
        <v>One-family house, existing building</v>
      </c>
      <c r="K7" s="1132"/>
      <c r="L7" s="1132"/>
      <c r="M7" s="1132"/>
      <c r="N7" s="1132"/>
      <c r="O7" s="113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7" t="s">
        <v>284</v>
      </c>
      <c r="D10" s="27" t="s">
        <v>277</v>
      </c>
      <c r="E10" s="27" t="s">
        <v>285</v>
      </c>
      <c r="F10" s="27" t="s">
        <v>285</v>
      </c>
      <c r="G10" s="2" t="s">
        <v>6</v>
      </c>
      <c r="H10" s="2" t="s">
        <v>67</v>
      </c>
      <c r="J10" s="50"/>
      <c r="K10" s="50"/>
      <c r="L10" s="51"/>
      <c r="M10" s="51"/>
      <c r="N10" s="51"/>
      <c r="O10" s="52"/>
      <c r="P10" s="50"/>
      <c r="Q10" s="50"/>
      <c r="R10" s="50"/>
      <c r="S10" s="50"/>
      <c r="T10" s="50"/>
      <c r="U10" s="50"/>
      <c r="V10" s="50"/>
      <c r="W10" s="50"/>
      <c r="X10" s="50"/>
    </row>
    <row r="11" spans="2:24" ht="24.6"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2">
        <v>100</v>
      </c>
      <c r="D12" s="2">
        <v>100</v>
      </c>
      <c r="E12" s="2">
        <v>100</v>
      </c>
      <c r="F12" s="2">
        <v>100</v>
      </c>
      <c r="G12" s="2"/>
      <c r="H12" s="2"/>
      <c r="J12" s="58">
        <f>C8</f>
        <v>2015</v>
      </c>
      <c r="K12" s="58">
        <f>J12</f>
        <v>2015</v>
      </c>
      <c r="L12" s="58">
        <f>C13/100</f>
        <v>0.8</v>
      </c>
      <c r="M12" s="58"/>
      <c r="N12" s="58">
        <f>C14</f>
        <v>20</v>
      </c>
      <c r="O12" s="59">
        <f>C29</f>
        <v>3600.8333333333339</v>
      </c>
      <c r="P12" s="59">
        <f>C31</f>
        <v>14.9</v>
      </c>
      <c r="Q12" s="59">
        <f>C32</f>
        <v>0</v>
      </c>
      <c r="R12" s="58"/>
      <c r="S12" s="58"/>
      <c r="T12" s="58">
        <f>C16</f>
        <v>0</v>
      </c>
      <c r="U12" s="78">
        <f>C17</f>
        <v>90</v>
      </c>
      <c r="V12" s="78">
        <f>C18</f>
        <v>3</v>
      </c>
      <c r="W12" s="78">
        <f>C19</f>
        <v>0</v>
      </c>
      <c r="X12" s="78">
        <f>C20</f>
        <v>10</v>
      </c>
    </row>
    <row r="13" spans="2:24" ht="15" thickBot="1">
      <c r="B13" s="1" t="s">
        <v>9</v>
      </c>
      <c r="C13" s="2">
        <v>80</v>
      </c>
      <c r="D13" s="2">
        <v>87</v>
      </c>
      <c r="E13" s="2">
        <v>91</v>
      </c>
      <c r="F13" s="2">
        <v>95</v>
      </c>
      <c r="G13" s="2" t="s">
        <v>59</v>
      </c>
      <c r="H13" s="2" t="s">
        <v>21</v>
      </c>
      <c r="J13" s="58">
        <f>D8</f>
        <v>2020</v>
      </c>
      <c r="K13" s="58"/>
      <c r="L13" s="58">
        <f>D13/100</f>
        <v>0.87</v>
      </c>
      <c r="M13" s="58"/>
      <c r="N13" s="58">
        <f>D14</f>
        <v>20</v>
      </c>
      <c r="O13" s="59">
        <f>D29</f>
        <v>3911.2500000000005</v>
      </c>
      <c r="P13" s="59">
        <f>D31</f>
        <v>14.9</v>
      </c>
      <c r="Q13" s="59">
        <f>D32</f>
        <v>0</v>
      </c>
      <c r="R13" s="58"/>
      <c r="S13" s="58"/>
      <c r="T13" s="58">
        <f>D16</f>
        <v>0</v>
      </c>
      <c r="U13" s="78">
        <f>D17</f>
        <v>70</v>
      </c>
      <c r="V13" s="78">
        <f>D18</f>
        <v>2</v>
      </c>
      <c r="W13" s="78">
        <f>D19</f>
        <v>0</v>
      </c>
      <c r="X13" s="78">
        <f>D20</f>
        <v>8</v>
      </c>
    </row>
    <row r="14" spans="2:24" ht="15" thickBot="1">
      <c r="B14" s="1" t="s">
        <v>11</v>
      </c>
      <c r="C14" s="2">
        <v>20</v>
      </c>
      <c r="D14" s="2">
        <v>20</v>
      </c>
      <c r="E14" s="2">
        <v>20</v>
      </c>
      <c r="F14" s="2">
        <v>20</v>
      </c>
      <c r="G14" s="2"/>
      <c r="H14" s="2">
        <v>7</v>
      </c>
      <c r="J14" s="58">
        <f>E8</f>
        <v>2030</v>
      </c>
      <c r="K14" s="58"/>
      <c r="L14" s="58">
        <f>E13/100</f>
        <v>0.91</v>
      </c>
      <c r="M14" s="58"/>
      <c r="N14" s="58">
        <f>E14</f>
        <v>20</v>
      </c>
      <c r="O14" s="59">
        <f>E29</f>
        <v>4842.5</v>
      </c>
      <c r="P14" s="59">
        <f>E31</f>
        <v>22.35</v>
      </c>
      <c r="Q14" s="59">
        <f>E32</f>
        <v>0</v>
      </c>
      <c r="R14" s="58"/>
      <c r="S14" s="58"/>
      <c r="T14" s="58">
        <f>E16</f>
        <v>0</v>
      </c>
      <c r="U14" s="78">
        <f>E17</f>
        <v>50</v>
      </c>
      <c r="V14" s="78">
        <f>E18</f>
        <v>1</v>
      </c>
      <c r="W14" s="78">
        <f>E19</f>
        <v>0</v>
      </c>
      <c r="X14" s="78">
        <f>E20</f>
        <v>6</v>
      </c>
    </row>
    <row r="15" spans="2:24" ht="15" thickBot="1">
      <c r="B15" s="3" t="s">
        <v>12</v>
      </c>
      <c r="C15" s="4"/>
      <c r="D15" s="4"/>
      <c r="E15" s="4"/>
      <c r="F15" s="4"/>
      <c r="G15" s="4"/>
      <c r="H15" s="5"/>
      <c r="J15" s="58">
        <f>F8</f>
        <v>2050</v>
      </c>
      <c r="K15" s="58"/>
      <c r="L15" s="58">
        <f>F13/100</f>
        <v>0.95</v>
      </c>
      <c r="M15" s="58"/>
      <c r="N15" s="58">
        <f>F14</f>
        <v>20</v>
      </c>
      <c r="O15" s="59">
        <f>F29</f>
        <v>4842.5</v>
      </c>
      <c r="P15" s="59">
        <f>F31</f>
        <v>22.35</v>
      </c>
      <c r="Q15" s="59">
        <f>F32</f>
        <v>0</v>
      </c>
      <c r="R15" s="58"/>
      <c r="S15" s="58"/>
      <c r="T15" s="58">
        <f>F16</f>
        <v>0</v>
      </c>
      <c r="U15" s="78">
        <f>F17</f>
        <v>40</v>
      </c>
      <c r="V15" s="78">
        <f>F18</f>
        <v>0</v>
      </c>
      <c r="W15" s="78">
        <f>F19</f>
        <v>0</v>
      </c>
      <c r="X15" s="78">
        <f>F20</f>
        <v>4</v>
      </c>
    </row>
    <row r="16" spans="2:24" ht="15.6" thickBot="1">
      <c r="B16" s="1" t="s">
        <v>13</v>
      </c>
      <c r="C16" s="35">
        <v>0</v>
      </c>
      <c r="D16" s="35">
        <v>0</v>
      </c>
      <c r="E16" s="35">
        <v>0</v>
      </c>
      <c r="F16" s="35">
        <v>0</v>
      </c>
      <c r="G16" s="2"/>
      <c r="H16" s="2"/>
    </row>
    <row r="17" spans="2:15" ht="15.6" thickBot="1">
      <c r="B17" s="1" t="s">
        <v>15</v>
      </c>
      <c r="C17" s="2">
        <v>90</v>
      </c>
      <c r="D17" s="2">
        <v>70</v>
      </c>
      <c r="E17" s="2">
        <v>50</v>
      </c>
      <c r="F17" s="2">
        <v>40</v>
      </c>
      <c r="G17" s="2"/>
      <c r="H17" s="2">
        <v>5</v>
      </c>
    </row>
    <row r="18" spans="2:15" ht="15.6" thickBot="1">
      <c r="B18" s="1" t="s">
        <v>17</v>
      </c>
      <c r="C18" s="2">
        <v>3</v>
      </c>
      <c r="D18" s="2">
        <v>2</v>
      </c>
      <c r="E18" s="2">
        <v>1</v>
      </c>
      <c r="F18" s="2">
        <v>0</v>
      </c>
      <c r="G18" s="2"/>
      <c r="H18" s="2" t="s">
        <v>69</v>
      </c>
    </row>
    <row r="19" spans="2:15" ht="15.6" thickBot="1">
      <c r="B19" s="1" t="s">
        <v>18</v>
      </c>
      <c r="C19" s="35">
        <v>0</v>
      </c>
      <c r="D19" s="35">
        <v>0</v>
      </c>
      <c r="E19" s="35">
        <v>0</v>
      </c>
      <c r="F19" s="35">
        <v>0</v>
      </c>
      <c r="G19" s="2"/>
      <c r="H19" s="2"/>
    </row>
    <row r="20" spans="2:15" ht="15" thickBot="1">
      <c r="B20" s="1" t="s">
        <v>19</v>
      </c>
      <c r="C20" s="2">
        <v>10</v>
      </c>
      <c r="D20" s="2">
        <v>8</v>
      </c>
      <c r="E20" s="2">
        <v>6</v>
      </c>
      <c r="F20" s="2">
        <v>4</v>
      </c>
      <c r="G20" s="2" t="s">
        <v>16</v>
      </c>
      <c r="H20" s="2" t="s">
        <v>69</v>
      </c>
    </row>
    <row r="21" spans="2:15" ht="15" thickBot="1">
      <c r="B21" s="3" t="s">
        <v>22</v>
      </c>
      <c r="C21" s="4"/>
      <c r="D21" s="4"/>
      <c r="E21" s="4"/>
      <c r="F21" s="4"/>
      <c r="G21" s="68" t="s">
        <v>329</v>
      </c>
      <c r="H21" s="39"/>
    </row>
    <row r="22" spans="2:15" ht="15" thickBot="1">
      <c r="B22" s="1" t="s">
        <v>23</v>
      </c>
      <c r="C22" s="41">
        <f>(2.5/6+11/20)/2</f>
        <v>0.48333333333333339</v>
      </c>
      <c r="D22" s="41">
        <f>(2.5/5+11/20)/2</f>
        <v>0.52500000000000002</v>
      </c>
      <c r="E22" s="41">
        <f>(3/4+11/20)/2</f>
        <v>0.65</v>
      </c>
      <c r="F22" s="41">
        <f>(3/4+11/20)/2</f>
        <v>0.65</v>
      </c>
      <c r="G22" s="73">
        <f>G30</f>
        <v>13</v>
      </c>
      <c r="H22" s="73" t="str">
        <f>H30</f>
        <v>kW</v>
      </c>
      <c r="I22" s="62"/>
      <c r="J22" s="55"/>
      <c r="K22" s="55"/>
      <c r="L22" s="55"/>
      <c r="M22" s="55"/>
      <c r="N22" s="55"/>
      <c r="O22" s="55"/>
    </row>
    <row r="23" spans="2:15">
      <c r="B23" s="6" t="s">
        <v>24</v>
      </c>
      <c r="C23" s="7" t="s">
        <v>70</v>
      </c>
      <c r="D23" s="7" t="s">
        <v>70</v>
      </c>
      <c r="E23" s="28" t="s">
        <v>286</v>
      </c>
      <c r="F23" s="28" t="s">
        <v>286</v>
      </c>
      <c r="G23" s="7" t="s">
        <v>33</v>
      </c>
      <c r="H23" s="54"/>
      <c r="I23" s="77"/>
      <c r="J23" s="54"/>
      <c r="K23" s="54"/>
      <c r="L23" s="75"/>
      <c r="M23" s="75"/>
      <c r="N23" s="54"/>
      <c r="O23" s="54"/>
    </row>
    <row r="24" spans="2:15">
      <c r="B24" s="6" t="s">
        <v>71</v>
      </c>
      <c r="C24" s="29" t="s">
        <v>72</v>
      </c>
      <c r="D24" s="28" t="s">
        <v>72</v>
      </c>
      <c r="E24" s="29" t="s">
        <v>70</v>
      </c>
      <c r="F24" s="29" t="s">
        <v>70</v>
      </c>
      <c r="G24" s="7"/>
      <c r="H24" s="54"/>
      <c r="I24" s="77"/>
      <c r="J24" s="76"/>
      <c r="K24" s="75"/>
      <c r="L24" s="76"/>
      <c r="M24" s="76"/>
      <c r="N24" s="54"/>
      <c r="O24" s="54"/>
    </row>
    <row r="25" spans="2:15" ht="15" thickBot="1">
      <c r="B25" s="1" t="s">
        <v>73</v>
      </c>
      <c r="C25" s="2" t="s">
        <v>74</v>
      </c>
      <c r="D25" s="2" t="s">
        <v>74</v>
      </c>
      <c r="E25" s="2" t="s">
        <v>74</v>
      </c>
      <c r="F25" s="2" t="s">
        <v>74</v>
      </c>
      <c r="G25" s="2"/>
      <c r="H25" s="38"/>
      <c r="I25" s="77"/>
      <c r="J25" s="54"/>
      <c r="K25" s="54"/>
      <c r="L25" s="54"/>
      <c r="M25" s="54"/>
      <c r="N25" s="54"/>
      <c r="O25" s="54"/>
    </row>
    <row r="26" spans="2:15" ht="15" thickBot="1">
      <c r="B26" s="1" t="s">
        <v>30</v>
      </c>
      <c r="C26" s="2">
        <v>1.6</v>
      </c>
      <c r="D26" s="2">
        <v>1.6</v>
      </c>
      <c r="E26" s="2">
        <v>1.6</v>
      </c>
      <c r="F26" s="2">
        <v>1.6</v>
      </c>
      <c r="G26" s="2" t="s">
        <v>75</v>
      </c>
      <c r="H26" s="38"/>
      <c r="I26" s="62"/>
      <c r="J26" s="55"/>
      <c r="K26" s="55"/>
      <c r="L26" s="55"/>
      <c r="M26" s="55"/>
      <c r="N26" s="55"/>
      <c r="O26" s="55"/>
    </row>
    <row r="27" spans="2:15" ht="15" thickBot="1">
      <c r="B27" s="1" t="s">
        <v>50</v>
      </c>
      <c r="C27" s="2">
        <v>2</v>
      </c>
      <c r="D27" s="2">
        <v>2</v>
      </c>
      <c r="E27" s="2">
        <v>3</v>
      </c>
      <c r="F27" s="2">
        <v>3</v>
      </c>
      <c r="G27" s="2" t="s">
        <v>76</v>
      </c>
      <c r="H27" s="2">
        <v>6</v>
      </c>
    </row>
    <row r="28" spans="2:15" ht="15" thickBot="1">
      <c r="B28" s="1" t="s">
        <v>31</v>
      </c>
      <c r="C28" s="35">
        <v>0</v>
      </c>
      <c r="D28" s="35">
        <v>0</v>
      </c>
      <c r="E28" s="35">
        <v>0</v>
      </c>
      <c r="F28" s="35">
        <v>0</v>
      </c>
      <c r="G28" s="2"/>
      <c r="H28" s="2"/>
    </row>
    <row r="29" spans="2:15">
      <c r="B29" s="36" t="s">
        <v>353</v>
      </c>
      <c r="C29" s="42">
        <f>C22*$G$4*1000</f>
        <v>3600.8333333333339</v>
      </c>
      <c r="D29" s="42">
        <f>D22*$G$4*1000</f>
        <v>3911.2500000000005</v>
      </c>
      <c r="E29" s="42">
        <f>E22*$G$4*1000</f>
        <v>4842.5</v>
      </c>
      <c r="F29" s="42">
        <f>F22*$G$4*1000</f>
        <v>4842.5</v>
      </c>
      <c r="G29" s="63" t="s">
        <v>332</v>
      </c>
      <c r="H29" s="63"/>
    </row>
    <row r="30" spans="2:15">
      <c r="B30" s="36" t="s">
        <v>354</v>
      </c>
      <c r="C30" s="42">
        <f>C29*$G$30</f>
        <v>46810.833333333343</v>
      </c>
      <c r="D30" s="42">
        <f>D29*$G$30</f>
        <v>50846.250000000007</v>
      </c>
      <c r="E30" s="42">
        <f>E29*$G$30</f>
        <v>62952.5</v>
      </c>
      <c r="F30" s="42">
        <f>F29*$G$30</f>
        <v>62952.5</v>
      </c>
      <c r="G30" s="67">
        <v>13</v>
      </c>
      <c r="H30" s="63" t="s">
        <v>330</v>
      </c>
      <c r="I30" s="37"/>
    </row>
    <row r="31" spans="2:15">
      <c r="B31" s="36" t="s">
        <v>355</v>
      </c>
      <c r="C31" s="42">
        <f>C27*$G$4</f>
        <v>14.9</v>
      </c>
      <c r="D31" s="42">
        <f>D27*$G$4</f>
        <v>14.9</v>
      </c>
      <c r="E31" s="42">
        <f>E27*$G$4</f>
        <v>22.35</v>
      </c>
      <c r="F31" s="42">
        <f>F27*$G$4</f>
        <v>22.35</v>
      </c>
      <c r="G31" s="63" t="s">
        <v>333</v>
      </c>
      <c r="H31" s="63"/>
    </row>
    <row r="32" spans="2:15" ht="15" thickBot="1">
      <c r="B32" s="36" t="s">
        <v>356</v>
      </c>
      <c r="C32" s="103">
        <f>C28</f>
        <v>0</v>
      </c>
      <c r="D32" s="103">
        <f>D28</f>
        <v>0</v>
      </c>
      <c r="E32" s="103">
        <f>E28</f>
        <v>0</v>
      </c>
      <c r="F32" s="103">
        <f>F28</f>
        <v>0</v>
      </c>
      <c r="G32" s="66"/>
      <c r="H32" s="63"/>
    </row>
    <row r="33" spans="2:24">
      <c r="B33" s="1254" t="s">
        <v>0</v>
      </c>
      <c r="C33" s="1256" t="s">
        <v>66</v>
      </c>
      <c r="D33" s="1257"/>
      <c r="E33" s="1257"/>
      <c r="F33" s="1257"/>
      <c r="G33" s="1257"/>
      <c r="H33" s="1258"/>
      <c r="J33" s="1256" t="str">
        <f>C33</f>
        <v>Biomass boiler, automatic stoking</v>
      </c>
      <c r="K33" s="1257"/>
      <c r="L33" s="1257"/>
      <c r="M33" s="1257"/>
      <c r="N33" s="1257"/>
      <c r="O33" s="1258"/>
    </row>
    <row r="34" spans="2:24" ht="15" thickBot="1">
      <c r="B34" s="1255"/>
      <c r="C34" s="1131" t="s">
        <v>32</v>
      </c>
      <c r="D34" s="1132"/>
      <c r="E34" s="1132"/>
      <c r="F34" s="1132"/>
      <c r="G34" s="1132"/>
      <c r="H34" s="1133"/>
      <c r="J34" s="1131" t="str">
        <f>C34</f>
        <v>Apartment complex, existing building</v>
      </c>
      <c r="K34" s="1132"/>
      <c r="L34" s="1132"/>
      <c r="M34" s="1132"/>
      <c r="N34" s="1132"/>
      <c r="O34" s="1133"/>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9" t="s">
        <v>77</v>
      </c>
      <c r="D37" s="9" t="s">
        <v>77</v>
      </c>
      <c r="E37" s="9" t="s">
        <v>77</v>
      </c>
      <c r="F37" s="9" t="s">
        <v>77</v>
      </c>
      <c r="G37" s="9"/>
      <c r="H37" s="9"/>
      <c r="J37" s="50"/>
      <c r="K37" s="50"/>
      <c r="L37" s="51"/>
      <c r="M37" s="51"/>
      <c r="N37" s="51"/>
      <c r="O37" s="52"/>
      <c r="P37" s="50"/>
      <c r="Q37" s="50"/>
      <c r="R37" s="50"/>
      <c r="S37" s="50"/>
      <c r="T37" s="50"/>
      <c r="U37" s="50"/>
      <c r="V37" s="50"/>
      <c r="W37" s="50"/>
      <c r="X37" s="50"/>
    </row>
    <row r="38" spans="2:24" ht="24.6" thickBot="1">
      <c r="B38" s="1" t="s">
        <v>7</v>
      </c>
      <c r="C38" s="9">
        <v>100</v>
      </c>
      <c r="D38" s="9">
        <v>100</v>
      </c>
      <c r="E38" s="9">
        <v>100</v>
      </c>
      <c r="F38" s="9">
        <v>100</v>
      </c>
      <c r="G38" s="9"/>
      <c r="H38" s="9"/>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8</v>
      </c>
      <c r="C39" s="9">
        <v>100</v>
      </c>
      <c r="D39" s="9">
        <v>100</v>
      </c>
      <c r="E39" s="9">
        <v>100</v>
      </c>
      <c r="F39" s="9">
        <v>100</v>
      </c>
      <c r="G39" s="9"/>
      <c r="H39" s="9"/>
      <c r="J39" s="58">
        <f>C35</f>
        <v>2015</v>
      </c>
      <c r="K39" s="58">
        <f>J39</f>
        <v>2015</v>
      </c>
      <c r="L39" s="58">
        <f>C40/100</f>
        <v>0.85</v>
      </c>
      <c r="M39" s="58"/>
      <c r="N39" s="58">
        <f>C41</f>
        <v>20</v>
      </c>
      <c r="O39" s="59">
        <f>C56</f>
        <v>1490.0000000000002</v>
      </c>
      <c r="P39" s="59">
        <f>C58</f>
        <v>46.935000000000002</v>
      </c>
      <c r="Q39" s="59">
        <f>C59</f>
        <v>0</v>
      </c>
      <c r="R39" s="58"/>
      <c r="S39" s="58"/>
      <c r="T39" s="58">
        <f>C43</f>
        <v>0</v>
      </c>
      <c r="U39" s="78">
        <f>C44</f>
        <v>90</v>
      </c>
      <c r="V39" s="78">
        <f>C45</f>
        <v>3</v>
      </c>
      <c r="W39" s="78">
        <f>C46</f>
        <v>0</v>
      </c>
      <c r="X39" s="78">
        <f>C47</f>
        <v>10</v>
      </c>
    </row>
    <row r="40" spans="2:24" ht="15" thickBot="1">
      <c r="B40" s="1" t="s">
        <v>9</v>
      </c>
      <c r="C40" s="9">
        <v>85</v>
      </c>
      <c r="D40" s="9">
        <v>87</v>
      </c>
      <c r="E40" s="9">
        <v>91</v>
      </c>
      <c r="F40" s="9">
        <v>95</v>
      </c>
      <c r="G40" s="9"/>
      <c r="H40" s="9">
        <v>5</v>
      </c>
      <c r="J40" s="58">
        <f>D35</f>
        <v>2020</v>
      </c>
      <c r="K40" s="58"/>
      <c r="L40" s="58">
        <f>D40/100</f>
        <v>0.87</v>
      </c>
      <c r="M40" s="58"/>
      <c r="N40" s="58">
        <f>D41</f>
        <v>20</v>
      </c>
      <c r="O40" s="59">
        <f>D56</f>
        <v>1490.0000000000002</v>
      </c>
      <c r="P40" s="59">
        <f>D58</f>
        <v>46.935000000000002</v>
      </c>
      <c r="Q40" s="59">
        <f>D59</f>
        <v>0</v>
      </c>
      <c r="R40" s="58"/>
      <c r="S40" s="58"/>
      <c r="T40" s="58">
        <f>D43</f>
        <v>0</v>
      </c>
      <c r="U40" s="78">
        <f>D44</f>
        <v>70</v>
      </c>
      <c r="V40" s="78">
        <f>D45</f>
        <v>2</v>
      </c>
      <c r="W40" s="78">
        <f>D46</f>
        <v>0</v>
      </c>
      <c r="X40" s="78">
        <f>D47</f>
        <v>8</v>
      </c>
    </row>
    <row r="41" spans="2:24" ht="15" thickBot="1">
      <c r="B41" s="1" t="s">
        <v>11</v>
      </c>
      <c r="C41" s="9">
        <v>20</v>
      </c>
      <c r="D41" s="9">
        <v>20</v>
      </c>
      <c r="E41" s="9">
        <v>20</v>
      </c>
      <c r="F41" s="9">
        <v>20</v>
      </c>
      <c r="G41" s="9"/>
      <c r="H41" s="9">
        <v>7</v>
      </c>
      <c r="J41" s="58">
        <f>E35</f>
        <v>2030</v>
      </c>
      <c r="K41" s="58"/>
      <c r="L41" s="58">
        <f>E40/100</f>
        <v>0.91</v>
      </c>
      <c r="M41" s="58"/>
      <c r="N41" s="58">
        <f>E41</f>
        <v>20</v>
      </c>
      <c r="O41" s="59">
        <f>E56</f>
        <v>1490.0000000000002</v>
      </c>
      <c r="P41" s="59">
        <f>E58</f>
        <v>52.15</v>
      </c>
      <c r="Q41" s="59">
        <f>E59</f>
        <v>0</v>
      </c>
      <c r="R41" s="58"/>
      <c r="S41" s="58"/>
      <c r="T41" s="58">
        <f>E43</f>
        <v>0</v>
      </c>
      <c r="U41" s="78">
        <f>E44</f>
        <v>50</v>
      </c>
      <c r="V41" s="78">
        <f>E45</f>
        <v>1</v>
      </c>
      <c r="W41" s="78">
        <f>E46</f>
        <v>0</v>
      </c>
      <c r="X41" s="78">
        <f>E47</f>
        <v>6</v>
      </c>
    </row>
    <row r="42" spans="2:24" ht="15" thickBot="1">
      <c r="B42" s="3" t="s">
        <v>12</v>
      </c>
      <c r="C42" s="12"/>
      <c r="D42" s="12"/>
      <c r="E42" s="12"/>
      <c r="F42" s="12"/>
      <c r="G42" s="12"/>
      <c r="H42" s="13"/>
      <c r="J42" s="58">
        <f>F35</f>
        <v>2050</v>
      </c>
      <c r="K42" s="58"/>
      <c r="L42" s="58">
        <f>F40/100</f>
        <v>0.95</v>
      </c>
      <c r="M42" s="58"/>
      <c r="N42" s="58">
        <f>F41</f>
        <v>20</v>
      </c>
      <c r="O42" s="59">
        <f>F56</f>
        <v>1490.0000000000002</v>
      </c>
      <c r="P42" s="59">
        <f>F58</f>
        <v>59.6</v>
      </c>
      <c r="Q42" s="59">
        <f>F59</f>
        <v>0</v>
      </c>
      <c r="R42" s="58"/>
      <c r="S42" s="58"/>
      <c r="T42" s="58">
        <f>F43</f>
        <v>0</v>
      </c>
      <c r="U42" s="78">
        <f>F44</f>
        <v>40</v>
      </c>
      <c r="V42" s="78">
        <f>F45</f>
        <v>0</v>
      </c>
      <c r="W42" s="78">
        <f>F46</f>
        <v>0</v>
      </c>
      <c r="X42" s="78">
        <f>F47</f>
        <v>4</v>
      </c>
    </row>
    <row r="43" spans="2:24" ht="15.6" thickBot="1">
      <c r="B43" s="1" t="s">
        <v>13</v>
      </c>
      <c r="C43" s="179">
        <v>0</v>
      </c>
      <c r="D43" s="179">
        <v>0</v>
      </c>
      <c r="E43" s="179">
        <v>0</v>
      </c>
      <c r="F43" s="179">
        <v>0</v>
      </c>
      <c r="G43" s="9"/>
      <c r="H43" s="9"/>
    </row>
    <row r="44" spans="2:24" ht="15.6" thickBot="1">
      <c r="B44" s="1" t="s">
        <v>15</v>
      </c>
      <c r="C44" s="9">
        <v>90</v>
      </c>
      <c r="D44" s="9">
        <v>70</v>
      </c>
      <c r="E44" s="9">
        <v>50</v>
      </c>
      <c r="F44" s="9">
        <v>40</v>
      </c>
      <c r="G44" s="9"/>
      <c r="H44" s="9">
        <v>5</v>
      </c>
    </row>
    <row r="45" spans="2:24" ht="15.6" thickBot="1">
      <c r="B45" s="1" t="s">
        <v>17</v>
      </c>
      <c r="C45" s="9">
        <v>3</v>
      </c>
      <c r="D45" s="9">
        <v>2</v>
      </c>
      <c r="E45" s="9">
        <v>1</v>
      </c>
      <c r="F45" s="9">
        <v>0</v>
      </c>
      <c r="G45" s="9"/>
      <c r="H45" s="9" t="s">
        <v>69</v>
      </c>
    </row>
    <row r="46" spans="2:24" ht="15.6" thickBot="1">
      <c r="B46" s="1" t="s">
        <v>18</v>
      </c>
      <c r="C46" s="179">
        <v>0</v>
      </c>
      <c r="D46" s="179">
        <v>0</v>
      </c>
      <c r="E46" s="179">
        <v>0</v>
      </c>
      <c r="F46" s="179">
        <v>0</v>
      </c>
      <c r="G46" s="9"/>
      <c r="H46" s="9"/>
    </row>
    <row r="47" spans="2:24" ht="15" thickBot="1">
      <c r="B47" s="1" t="s">
        <v>19</v>
      </c>
      <c r="C47" s="9">
        <v>10</v>
      </c>
      <c r="D47" s="9">
        <v>8</v>
      </c>
      <c r="E47" s="9">
        <v>6</v>
      </c>
      <c r="F47" s="9">
        <v>4</v>
      </c>
      <c r="G47" s="9"/>
      <c r="H47" s="9">
        <v>5</v>
      </c>
    </row>
    <row r="48" spans="2:24" ht="15" thickBot="1">
      <c r="B48" s="3" t="s">
        <v>22</v>
      </c>
      <c r="C48" s="12"/>
      <c r="D48" s="12"/>
      <c r="E48" s="12"/>
      <c r="F48" s="12"/>
      <c r="G48" s="12"/>
      <c r="H48" s="13"/>
    </row>
    <row r="49" spans="2:24" ht="15" thickBot="1">
      <c r="B49" s="1" t="s">
        <v>23</v>
      </c>
      <c r="C49" s="9">
        <v>0.17</v>
      </c>
      <c r="D49" s="9">
        <v>0.17</v>
      </c>
      <c r="E49" s="9">
        <v>0.17</v>
      </c>
      <c r="F49" s="9">
        <v>0.17</v>
      </c>
      <c r="G49" s="9"/>
      <c r="H49" s="9">
        <v>7</v>
      </c>
    </row>
    <row r="50" spans="2:24">
      <c r="B50" s="6" t="s">
        <v>24</v>
      </c>
      <c r="C50" s="14" t="s">
        <v>68</v>
      </c>
      <c r="D50" s="14" t="s">
        <v>68</v>
      </c>
      <c r="E50" s="14" t="s">
        <v>68</v>
      </c>
      <c r="F50" s="14" t="s">
        <v>68</v>
      </c>
      <c r="G50" s="14"/>
      <c r="H50" s="14"/>
    </row>
    <row r="51" spans="2:24">
      <c r="B51" s="6" t="s">
        <v>71</v>
      </c>
      <c r="C51" s="14" t="s">
        <v>68</v>
      </c>
      <c r="D51" s="14" t="s">
        <v>68</v>
      </c>
      <c r="E51" s="14" t="s">
        <v>68</v>
      </c>
      <c r="F51" s="14" t="s">
        <v>68</v>
      </c>
      <c r="G51" s="14"/>
      <c r="H51" s="14"/>
    </row>
    <row r="52" spans="2:24" ht="15" thickBot="1">
      <c r="B52" s="1" t="s">
        <v>73</v>
      </c>
      <c r="C52" s="9" t="s">
        <v>68</v>
      </c>
      <c r="D52" s="9" t="s">
        <v>68</v>
      </c>
      <c r="E52" s="9" t="s">
        <v>68</v>
      </c>
      <c r="F52" s="9" t="s">
        <v>68</v>
      </c>
      <c r="G52" s="9"/>
      <c r="H52" s="9"/>
    </row>
    <row r="53" spans="2:24" ht="15" thickBot="1">
      <c r="B53" s="1" t="s">
        <v>30</v>
      </c>
      <c r="C53" s="25" t="s">
        <v>287</v>
      </c>
      <c r="D53" s="25" t="s">
        <v>287</v>
      </c>
      <c r="E53" s="25" t="s">
        <v>288</v>
      </c>
      <c r="F53" s="25" t="s">
        <v>288</v>
      </c>
      <c r="G53" s="9" t="s">
        <v>76</v>
      </c>
      <c r="H53" s="9"/>
    </row>
    <row r="54" spans="2:24" ht="15" thickBot="1">
      <c r="B54" s="1" t="s">
        <v>50</v>
      </c>
      <c r="C54" s="9">
        <v>6.3</v>
      </c>
      <c r="D54" s="9">
        <v>6.3</v>
      </c>
      <c r="E54" s="9">
        <v>7</v>
      </c>
      <c r="F54" s="9">
        <v>8</v>
      </c>
      <c r="G54" s="9" t="s">
        <v>25</v>
      </c>
      <c r="H54" s="9">
        <v>7</v>
      </c>
    </row>
    <row r="55" spans="2:24" ht="15" thickBot="1">
      <c r="B55" s="1" t="s">
        <v>31</v>
      </c>
      <c r="C55" s="179">
        <v>0</v>
      </c>
      <c r="D55" s="179">
        <v>0</v>
      </c>
      <c r="E55" s="179">
        <v>0</v>
      </c>
      <c r="F55" s="179">
        <v>0</v>
      </c>
      <c r="G55" s="9"/>
      <c r="H55" s="9"/>
    </row>
    <row r="56" spans="2:24">
      <c r="B56" s="36" t="s">
        <v>353</v>
      </c>
      <c r="C56" s="42">
        <f>(C49+((5+25)/2/$G$57))*$G$4*1000</f>
        <v>1490.0000000000002</v>
      </c>
      <c r="D56" s="42">
        <f>(D49+((5+25)/2/$G$57))*$G$4*1000</f>
        <v>1490.0000000000002</v>
      </c>
      <c r="E56" s="42">
        <f>(E49+((5+25)/2/$G$57))*$G$4*1000</f>
        <v>1490.0000000000002</v>
      </c>
      <c r="F56" s="42">
        <f>(F49+((5+25)/2/$G$57))*$G$4*1000</f>
        <v>1490.0000000000002</v>
      </c>
      <c r="G56" s="63" t="s">
        <v>332</v>
      </c>
      <c r="H56" s="63"/>
    </row>
    <row r="57" spans="2:24">
      <c r="B57" s="36" t="s">
        <v>354</v>
      </c>
      <c r="C57" s="42">
        <f>C56*$G$57</f>
        <v>745000.00000000012</v>
      </c>
      <c r="D57" s="42">
        <f>D56*$G$57</f>
        <v>745000.00000000012</v>
      </c>
      <c r="E57" s="42">
        <f>E56*$G$57</f>
        <v>745000.00000000012</v>
      </c>
      <c r="F57" s="42">
        <f>F56*$G$57</f>
        <v>745000.00000000012</v>
      </c>
      <c r="G57" s="67">
        <v>500</v>
      </c>
      <c r="H57" s="63" t="s">
        <v>330</v>
      </c>
    </row>
    <row r="58" spans="2:24">
      <c r="B58" s="36" t="s">
        <v>355</v>
      </c>
      <c r="C58" s="42">
        <f>C54*$G$4</f>
        <v>46.935000000000002</v>
      </c>
      <c r="D58" s="42">
        <f>D54*$G$4</f>
        <v>46.935000000000002</v>
      </c>
      <c r="E58" s="42">
        <f>E54*$G$4</f>
        <v>52.15</v>
      </c>
      <c r="F58" s="42">
        <f>F54*$G$4</f>
        <v>59.6</v>
      </c>
      <c r="G58" s="63" t="s">
        <v>333</v>
      </c>
      <c r="H58" s="63"/>
    </row>
    <row r="59" spans="2:24" ht="15" thickBot="1">
      <c r="B59" s="36" t="s">
        <v>356</v>
      </c>
      <c r="C59" s="42">
        <f>C55</f>
        <v>0</v>
      </c>
      <c r="D59" s="42">
        <f>D55</f>
        <v>0</v>
      </c>
      <c r="E59" s="42">
        <f>E55</f>
        <v>0</v>
      </c>
      <c r="F59" s="42">
        <f>F55</f>
        <v>0</v>
      </c>
      <c r="G59" s="66"/>
      <c r="H59" s="63"/>
    </row>
    <row r="60" spans="2:24">
      <c r="B60" s="1254" t="s">
        <v>0</v>
      </c>
      <c r="C60" s="1256" t="s">
        <v>66</v>
      </c>
      <c r="D60" s="1257"/>
      <c r="E60" s="1257"/>
      <c r="F60" s="1257"/>
      <c r="G60" s="1257"/>
      <c r="H60" s="1258"/>
      <c r="J60" s="1256" t="str">
        <f>C60</f>
        <v>Biomass boiler, automatic stoking</v>
      </c>
      <c r="K60" s="1257"/>
      <c r="L60" s="1257"/>
      <c r="M60" s="1257"/>
      <c r="N60" s="1257"/>
      <c r="O60" s="1258"/>
    </row>
    <row r="61" spans="2:24" ht="15" thickBot="1">
      <c r="B61" s="1255"/>
      <c r="C61" s="1131" t="s">
        <v>34</v>
      </c>
      <c r="D61" s="1132"/>
      <c r="E61" s="1132"/>
      <c r="F61" s="1132"/>
      <c r="G61" s="1132"/>
      <c r="H61" s="1133"/>
      <c r="J61" s="1131" t="str">
        <f>C61</f>
        <v>One-family house, new building</v>
      </c>
      <c r="K61" s="1132"/>
      <c r="L61" s="1132"/>
      <c r="M61" s="1132"/>
      <c r="N61" s="1132"/>
      <c r="O61" s="1133"/>
    </row>
    <row r="62" spans="2:24" ht="15" thickBot="1">
      <c r="B62" s="1"/>
      <c r="C62" s="2">
        <v>2015</v>
      </c>
      <c r="D62" s="2">
        <v>2020</v>
      </c>
      <c r="E62" s="2">
        <v>2030</v>
      </c>
      <c r="F62" s="2">
        <v>2050</v>
      </c>
      <c r="G62" s="2" t="s">
        <v>2</v>
      </c>
      <c r="H62" s="2" t="s">
        <v>3</v>
      </c>
      <c r="J62" s="53" t="s">
        <v>357</v>
      </c>
    </row>
    <row r="63" spans="2:24" ht="28.2"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 t="s">
        <v>5</v>
      </c>
      <c r="C64" s="25" t="s">
        <v>284</v>
      </c>
      <c r="D64" s="25" t="s">
        <v>289</v>
      </c>
      <c r="E64" s="25" t="s">
        <v>290</v>
      </c>
      <c r="F64" s="25" t="s">
        <v>291</v>
      </c>
      <c r="G64" s="9" t="s">
        <v>6</v>
      </c>
      <c r="H64" s="9" t="s">
        <v>67</v>
      </c>
      <c r="J64" s="50"/>
      <c r="K64" s="50"/>
      <c r="L64" s="51"/>
      <c r="M64" s="51"/>
      <c r="N64" s="51"/>
      <c r="O64" s="52"/>
      <c r="P64" s="50"/>
      <c r="Q64" s="50"/>
      <c r="R64" s="50"/>
      <c r="S64" s="50"/>
      <c r="T64" s="50"/>
      <c r="U64" s="50"/>
      <c r="V64" s="50"/>
      <c r="W64" s="50"/>
      <c r="X64" s="50"/>
    </row>
    <row r="65" spans="2:24" ht="24.6" thickBot="1">
      <c r="B65" s="1" t="s">
        <v>7</v>
      </c>
      <c r="C65" s="9">
        <v>100</v>
      </c>
      <c r="D65" s="9">
        <v>100</v>
      </c>
      <c r="E65" s="9">
        <v>100</v>
      </c>
      <c r="F65" s="9">
        <v>100</v>
      </c>
      <c r="G65" s="9"/>
      <c r="H65" s="9"/>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 t="s">
        <v>8</v>
      </c>
      <c r="C66" s="9">
        <v>100</v>
      </c>
      <c r="D66" s="9">
        <v>100</v>
      </c>
      <c r="E66" s="9">
        <v>100</v>
      </c>
      <c r="F66" s="9">
        <v>100</v>
      </c>
      <c r="G66" s="9"/>
      <c r="H66" s="9"/>
      <c r="J66" s="58">
        <f>C62</f>
        <v>2015</v>
      </c>
      <c r="K66" s="58">
        <f>J66</f>
        <v>2015</v>
      </c>
      <c r="L66" s="58">
        <f>C67/100</f>
        <v>0.8</v>
      </c>
      <c r="M66" s="58"/>
      <c r="N66" s="58">
        <f>C68</f>
        <v>20</v>
      </c>
      <c r="O66" s="59">
        <f>C83</f>
        <v>3620.2033333333338</v>
      </c>
      <c r="P66" s="59">
        <f>C85</f>
        <v>14.9</v>
      </c>
      <c r="Q66" s="59">
        <f>C86</f>
        <v>0</v>
      </c>
      <c r="R66" s="58"/>
      <c r="S66" s="58"/>
      <c r="T66" s="58">
        <f>C70</f>
        <v>0</v>
      </c>
      <c r="U66" s="78">
        <f>C71</f>
        <v>90</v>
      </c>
      <c r="V66" s="78">
        <f>C72</f>
        <v>3</v>
      </c>
      <c r="W66" s="78">
        <f>C73</f>
        <v>0</v>
      </c>
      <c r="X66" s="78">
        <f>C74</f>
        <v>10</v>
      </c>
    </row>
    <row r="67" spans="2:24" ht="15" thickBot="1">
      <c r="B67" s="1" t="s">
        <v>9</v>
      </c>
      <c r="C67" s="9">
        <v>80</v>
      </c>
      <c r="D67" s="9">
        <v>87</v>
      </c>
      <c r="E67" s="9">
        <v>91</v>
      </c>
      <c r="F67" s="9">
        <v>95</v>
      </c>
      <c r="G67" s="9" t="s">
        <v>59</v>
      </c>
      <c r="H67" s="9" t="s">
        <v>21</v>
      </c>
      <c r="J67" s="58">
        <f>D62</f>
        <v>2020</v>
      </c>
      <c r="K67" s="58"/>
      <c r="L67" s="58">
        <f>D67/100</f>
        <v>0.87</v>
      </c>
      <c r="M67" s="58"/>
      <c r="N67" s="58">
        <f>D68</f>
        <v>20</v>
      </c>
      <c r="O67" s="59">
        <f>D83</f>
        <v>4158.2588888888895</v>
      </c>
      <c r="P67" s="59">
        <f>D85</f>
        <v>14.9</v>
      </c>
      <c r="Q67" s="59">
        <f>D86</f>
        <v>0</v>
      </c>
      <c r="R67" s="58"/>
      <c r="S67" s="58"/>
      <c r="T67" s="58">
        <f>D70</f>
        <v>0</v>
      </c>
      <c r="U67" s="78">
        <f>D71</f>
        <v>70</v>
      </c>
      <c r="V67" s="78">
        <f>D72</f>
        <v>2</v>
      </c>
      <c r="W67" s="78">
        <f>D73</f>
        <v>0</v>
      </c>
      <c r="X67" s="78">
        <f>D74</f>
        <v>8</v>
      </c>
    </row>
    <row r="68" spans="2:24" ht="15" thickBot="1">
      <c r="B68" s="1" t="s">
        <v>11</v>
      </c>
      <c r="C68" s="9">
        <v>20</v>
      </c>
      <c r="D68" s="9">
        <v>20</v>
      </c>
      <c r="E68" s="9">
        <v>20</v>
      </c>
      <c r="F68" s="9">
        <v>20</v>
      </c>
      <c r="G68" s="9"/>
      <c r="H68" s="9">
        <v>7</v>
      </c>
      <c r="J68" s="58">
        <f>E62</f>
        <v>2030</v>
      </c>
      <c r="K68" s="58"/>
      <c r="L68" s="58">
        <f>E67/100</f>
        <v>0.91</v>
      </c>
      <c r="M68" s="58"/>
      <c r="N68" s="58">
        <f>E68</f>
        <v>20</v>
      </c>
      <c r="O68" s="59">
        <f>E83</f>
        <v>5606.8700000000008</v>
      </c>
      <c r="P68" s="59">
        <f>E85</f>
        <v>22.35</v>
      </c>
      <c r="Q68" s="59">
        <f>E86</f>
        <v>0</v>
      </c>
      <c r="R68" s="58"/>
      <c r="S68" s="58"/>
      <c r="T68" s="58">
        <f>E70</f>
        <v>0</v>
      </c>
      <c r="U68" s="78">
        <f>E71</f>
        <v>50</v>
      </c>
      <c r="V68" s="78">
        <f>E72</f>
        <v>1</v>
      </c>
      <c r="W68" s="78">
        <f>E73</f>
        <v>0</v>
      </c>
      <c r="X68" s="78">
        <f>E74</f>
        <v>6</v>
      </c>
    </row>
    <row r="69" spans="2:24" ht="15" thickBot="1">
      <c r="B69" s="3" t="s">
        <v>12</v>
      </c>
      <c r="C69" s="12"/>
      <c r="D69" s="12"/>
      <c r="E69" s="12"/>
      <c r="F69" s="12"/>
      <c r="G69" s="12"/>
      <c r="H69" s="13"/>
      <c r="J69" s="58">
        <f>F62</f>
        <v>2050</v>
      </c>
      <c r="K69" s="58"/>
      <c r="L69" s="58">
        <f>F67/100</f>
        <v>0.95</v>
      </c>
      <c r="M69" s="58"/>
      <c r="N69" s="58">
        <f>F68</f>
        <v>20</v>
      </c>
      <c r="O69" s="59">
        <f>F83</f>
        <v>6005.9771428571439</v>
      </c>
      <c r="P69" s="59">
        <f>F85</f>
        <v>22.35</v>
      </c>
      <c r="Q69" s="59">
        <f>F86</f>
        <v>0</v>
      </c>
      <c r="R69" s="58"/>
      <c r="S69" s="58"/>
      <c r="T69" s="58">
        <f>F70</f>
        <v>0</v>
      </c>
      <c r="U69" s="78">
        <f>F71</f>
        <v>40</v>
      </c>
      <c r="V69" s="78">
        <f>F72</f>
        <v>0</v>
      </c>
      <c r="W69" s="78">
        <f>F73</f>
        <v>0</v>
      </c>
      <c r="X69" s="78">
        <f>F74</f>
        <v>4</v>
      </c>
    </row>
    <row r="70" spans="2:24" ht="15.6" thickBot="1">
      <c r="B70" s="1" t="s">
        <v>13</v>
      </c>
      <c r="C70" s="179">
        <v>0</v>
      </c>
      <c r="D70" s="179">
        <v>0</v>
      </c>
      <c r="E70" s="179">
        <v>0</v>
      </c>
      <c r="F70" s="179">
        <v>0</v>
      </c>
      <c r="G70" s="9"/>
      <c r="H70" s="9"/>
    </row>
    <row r="71" spans="2:24" ht="15.6" thickBot="1">
      <c r="B71" s="1" t="s">
        <v>15</v>
      </c>
      <c r="C71" s="9">
        <v>90</v>
      </c>
      <c r="D71" s="9">
        <v>70</v>
      </c>
      <c r="E71" s="9">
        <v>50</v>
      </c>
      <c r="F71" s="9">
        <v>40</v>
      </c>
      <c r="G71" s="9"/>
      <c r="H71" s="9">
        <v>5</v>
      </c>
    </row>
    <row r="72" spans="2:24" ht="15.6" thickBot="1">
      <c r="B72" s="1" t="s">
        <v>17</v>
      </c>
      <c r="C72" s="9">
        <v>3</v>
      </c>
      <c r="D72" s="9">
        <v>2</v>
      </c>
      <c r="E72" s="9">
        <v>1</v>
      </c>
      <c r="F72" s="9">
        <v>0</v>
      </c>
      <c r="G72" s="9"/>
      <c r="H72" s="9" t="s">
        <v>69</v>
      </c>
    </row>
    <row r="73" spans="2:24" ht="15.6" thickBot="1">
      <c r="B73" s="1" t="s">
        <v>18</v>
      </c>
      <c r="C73" s="179">
        <v>0</v>
      </c>
      <c r="D73" s="179">
        <v>0</v>
      </c>
      <c r="E73" s="179">
        <v>0</v>
      </c>
      <c r="F73" s="179">
        <v>0</v>
      </c>
      <c r="G73" s="9"/>
      <c r="H73" s="9"/>
    </row>
    <row r="74" spans="2:24" ht="15" thickBot="1">
      <c r="B74" s="1" t="s">
        <v>19</v>
      </c>
      <c r="C74" s="9">
        <v>10</v>
      </c>
      <c r="D74" s="9">
        <v>8</v>
      </c>
      <c r="E74" s="9">
        <v>6</v>
      </c>
      <c r="F74" s="9">
        <v>4</v>
      </c>
      <c r="G74" s="9" t="s">
        <v>16</v>
      </c>
      <c r="H74" s="9" t="s">
        <v>69</v>
      </c>
    </row>
    <row r="75" spans="2:24" ht="15" thickBot="1">
      <c r="B75" s="3" t="s">
        <v>22</v>
      </c>
      <c r="C75" s="4"/>
      <c r="D75" s="4"/>
      <c r="E75" s="4"/>
      <c r="F75" s="4"/>
      <c r="G75" s="68" t="s">
        <v>329</v>
      </c>
      <c r="H75" s="39"/>
    </row>
    <row r="76" spans="2:24" ht="15" thickBot="1">
      <c r="B76" s="1" t="s">
        <v>23</v>
      </c>
      <c r="C76" s="41">
        <f>(2.5/6+11/20)/2</f>
        <v>0.48333333333333339</v>
      </c>
      <c r="D76" s="41">
        <f>(2.5/5+11/18)/2</f>
        <v>0.55555555555555558</v>
      </c>
      <c r="E76" s="41">
        <f>(3/4+12/16)/2</f>
        <v>0.75</v>
      </c>
      <c r="F76" s="41">
        <f>(3/4+12/14)/2</f>
        <v>0.8035714285714286</v>
      </c>
      <c r="G76" s="73">
        <f>G84</f>
        <v>500</v>
      </c>
      <c r="H76" s="73" t="str">
        <f>H84</f>
        <v>kW</v>
      </c>
    </row>
    <row r="77" spans="2:24">
      <c r="B77" s="6" t="s">
        <v>24</v>
      </c>
      <c r="C77" s="30" t="s">
        <v>70</v>
      </c>
      <c r="D77" s="30" t="s">
        <v>70</v>
      </c>
      <c r="E77" s="31" t="s">
        <v>286</v>
      </c>
      <c r="F77" s="31" t="s">
        <v>286</v>
      </c>
      <c r="G77" s="14" t="s">
        <v>33</v>
      </c>
      <c r="H77" s="14"/>
    </row>
    <row r="78" spans="2:24">
      <c r="B78" s="6" t="s">
        <v>71</v>
      </c>
      <c r="C78" s="30" t="s">
        <v>72</v>
      </c>
      <c r="D78" s="31" t="s">
        <v>72</v>
      </c>
      <c r="E78" s="14" t="s">
        <v>70</v>
      </c>
      <c r="F78" s="14" t="s">
        <v>70</v>
      </c>
      <c r="G78" s="14"/>
      <c r="H78" s="14"/>
    </row>
    <row r="79" spans="2:24" ht="15" thickBot="1">
      <c r="B79" s="1" t="s">
        <v>73</v>
      </c>
      <c r="C79" s="9" t="s">
        <v>74</v>
      </c>
      <c r="D79" s="9" t="s">
        <v>74</v>
      </c>
      <c r="E79" s="9" t="s">
        <v>74</v>
      </c>
      <c r="F79" s="9" t="s">
        <v>74</v>
      </c>
      <c r="G79" s="9"/>
      <c r="H79" s="9"/>
    </row>
    <row r="80" spans="2:24" ht="15" thickBot="1">
      <c r="B80" s="1" t="s">
        <v>30</v>
      </c>
      <c r="C80" s="9">
        <v>1.3</v>
      </c>
      <c r="D80" s="9">
        <v>1.3</v>
      </c>
      <c r="E80" s="9">
        <v>1.3</v>
      </c>
      <c r="F80" s="9">
        <v>1.3</v>
      </c>
      <c r="G80" s="9" t="s">
        <v>75</v>
      </c>
      <c r="H80" s="9"/>
    </row>
    <row r="81" spans="2:24" ht="15" thickBot="1">
      <c r="B81" s="1" t="s">
        <v>50</v>
      </c>
      <c r="C81" s="9">
        <v>2</v>
      </c>
      <c r="D81" s="9">
        <v>2</v>
      </c>
      <c r="E81" s="9">
        <v>3</v>
      </c>
      <c r="F81" s="9">
        <v>3</v>
      </c>
      <c r="G81" s="9" t="s">
        <v>76</v>
      </c>
      <c r="H81" s="9">
        <v>6</v>
      </c>
    </row>
    <row r="82" spans="2:24" ht="15" thickBot="1">
      <c r="B82" s="1" t="s">
        <v>31</v>
      </c>
      <c r="C82" s="179">
        <v>0</v>
      </c>
      <c r="D82" s="179">
        <v>0</v>
      </c>
      <c r="E82" s="179">
        <v>0</v>
      </c>
      <c r="F82" s="179">
        <v>0</v>
      </c>
      <c r="G82" s="9"/>
      <c r="H82" s="9"/>
    </row>
    <row r="83" spans="2:24">
      <c r="B83" s="36" t="s">
        <v>353</v>
      </c>
      <c r="C83" s="42">
        <f>(C76+C80/$G$76)*$G$4*1000</f>
        <v>3620.2033333333338</v>
      </c>
      <c r="D83" s="42">
        <f>(D76+D80/$G$76)*$G$4*1000</f>
        <v>4158.2588888888895</v>
      </c>
      <c r="E83" s="42">
        <f>(E76+E80/$G$76)*$G$4*1000</f>
        <v>5606.8700000000008</v>
      </c>
      <c r="F83" s="42">
        <f>(F76+F80/$G$76)*$G$4*1000</f>
        <v>6005.9771428571439</v>
      </c>
      <c r="G83" s="63" t="s">
        <v>332</v>
      </c>
      <c r="H83" s="63"/>
    </row>
    <row r="84" spans="2:24">
      <c r="B84" s="36" t="s">
        <v>354</v>
      </c>
      <c r="C84" s="42">
        <f>C83*$G84</f>
        <v>1810101.666666667</v>
      </c>
      <c r="D84" s="42">
        <f>D83*$G84</f>
        <v>2079129.4444444447</v>
      </c>
      <c r="E84" s="42">
        <f>E83*$G84</f>
        <v>2803435.0000000005</v>
      </c>
      <c r="F84" s="42">
        <f>F83*$G84</f>
        <v>3002988.5714285718</v>
      </c>
      <c r="G84" s="67">
        <v>500</v>
      </c>
      <c r="H84" s="63" t="s">
        <v>330</v>
      </c>
    </row>
    <row r="85" spans="2:24">
      <c r="B85" s="36" t="s">
        <v>355</v>
      </c>
      <c r="C85" s="42">
        <f>C81*$G$4</f>
        <v>14.9</v>
      </c>
      <c r="D85" s="42">
        <f>D81*$G$4</f>
        <v>14.9</v>
      </c>
      <c r="E85" s="42">
        <f>E81*$G$4</f>
        <v>22.35</v>
      </c>
      <c r="F85" s="42">
        <f>F81*$G$4</f>
        <v>22.35</v>
      </c>
      <c r="G85" s="63" t="s">
        <v>333</v>
      </c>
      <c r="H85" s="63"/>
    </row>
    <row r="86" spans="2:24" ht="15" thickBot="1">
      <c r="B86" s="36" t="s">
        <v>356</v>
      </c>
      <c r="C86" s="42">
        <f>C82</f>
        <v>0</v>
      </c>
      <c r="D86" s="42">
        <f>D82</f>
        <v>0</v>
      </c>
      <c r="E86" s="42">
        <f>E82</f>
        <v>0</v>
      </c>
      <c r="F86" s="42">
        <f>F82</f>
        <v>0</v>
      </c>
      <c r="G86" s="66"/>
      <c r="H86" s="63"/>
    </row>
    <row r="87" spans="2:24">
      <c r="B87" s="1254" t="s">
        <v>0</v>
      </c>
      <c r="C87" s="1256" t="s">
        <v>66</v>
      </c>
      <c r="D87" s="1257"/>
      <c r="E87" s="1257"/>
      <c r="F87" s="1257"/>
      <c r="G87" s="1257"/>
      <c r="H87" s="1258"/>
      <c r="J87" s="1256" t="str">
        <f>C87</f>
        <v>Biomass boiler, automatic stoking</v>
      </c>
      <c r="K87" s="1257"/>
      <c r="L87" s="1257"/>
      <c r="M87" s="1257"/>
      <c r="N87" s="1257"/>
      <c r="O87" s="1258"/>
    </row>
    <row r="88" spans="2:24" ht="15" thickBot="1">
      <c r="B88" s="1255"/>
      <c r="C88" s="1131" t="s">
        <v>35</v>
      </c>
      <c r="D88" s="1132"/>
      <c r="E88" s="1132"/>
      <c r="F88" s="1132"/>
      <c r="G88" s="1132"/>
      <c r="H88" s="1133"/>
      <c r="J88" s="1131" t="str">
        <f>C88</f>
        <v>Apartment complex, new building</v>
      </c>
      <c r="K88" s="1132"/>
      <c r="L88" s="1132"/>
      <c r="M88" s="1132"/>
      <c r="N88" s="1132"/>
      <c r="O88" s="1133"/>
    </row>
    <row r="89" spans="2:24" ht="15" thickBot="1">
      <c r="B89" s="1"/>
      <c r="C89" s="2">
        <v>2015</v>
      </c>
      <c r="D89" s="2">
        <v>2020</v>
      </c>
      <c r="E89" s="2">
        <v>2030</v>
      </c>
      <c r="F89" s="2">
        <v>2050</v>
      </c>
      <c r="G89" s="2" t="s">
        <v>2</v>
      </c>
      <c r="H89" s="2" t="s">
        <v>3</v>
      </c>
      <c r="J89" s="53" t="s">
        <v>357</v>
      </c>
    </row>
    <row r="90" spans="2:24" ht="28.2"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 t="s">
        <v>5</v>
      </c>
      <c r="C91" s="9" t="s">
        <v>77</v>
      </c>
      <c r="D91" s="9" t="s">
        <v>77</v>
      </c>
      <c r="E91" s="9" t="s">
        <v>77</v>
      </c>
      <c r="F91" s="9" t="s">
        <v>77</v>
      </c>
      <c r="G91" s="9"/>
      <c r="H91" s="9"/>
      <c r="J91" s="50"/>
      <c r="K91" s="50"/>
      <c r="L91" s="51"/>
      <c r="M91" s="51"/>
      <c r="N91" s="51"/>
      <c r="O91" s="52"/>
      <c r="P91" s="50"/>
      <c r="Q91" s="50"/>
      <c r="R91" s="50"/>
      <c r="S91" s="50"/>
      <c r="T91" s="50"/>
      <c r="U91" s="50"/>
      <c r="V91" s="50"/>
      <c r="W91" s="50"/>
      <c r="X91" s="50"/>
    </row>
    <row r="92" spans="2:24" ht="24.6" thickBot="1">
      <c r="B92" s="1" t="s">
        <v>7</v>
      </c>
      <c r="C92" s="9">
        <v>100</v>
      </c>
      <c r="D92" s="9">
        <v>100</v>
      </c>
      <c r="E92" s="9">
        <v>100</v>
      </c>
      <c r="F92" s="9">
        <v>100</v>
      </c>
      <c r="G92" s="9"/>
      <c r="H92" s="9"/>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 t="s">
        <v>8</v>
      </c>
      <c r="C93" s="9">
        <v>100</v>
      </c>
      <c r="D93" s="9">
        <v>100</v>
      </c>
      <c r="E93" s="9">
        <v>100</v>
      </c>
      <c r="F93" s="9">
        <v>100</v>
      </c>
      <c r="G93" s="9"/>
      <c r="H93" s="9"/>
      <c r="J93" s="58">
        <f>C89</f>
        <v>2015</v>
      </c>
      <c r="K93" s="58">
        <f>J93</f>
        <v>2015</v>
      </c>
      <c r="L93" s="58">
        <f>C94/100</f>
        <v>0.8</v>
      </c>
      <c r="M93" s="58"/>
      <c r="N93" s="58">
        <f>C95</f>
        <v>20</v>
      </c>
      <c r="O93" s="59">
        <f>C110</f>
        <v>1490.0000000000002</v>
      </c>
      <c r="P93" s="59">
        <f>C112</f>
        <v>46.935000000000002</v>
      </c>
      <c r="Q93" s="59">
        <f>C113</f>
        <v>0</v>
      </c>
      <c r="R93" s="58"/>
      <c r="S93" s="58"/>
      <c r="T93" s="58">
        <f>C97</f>
        <v>0</v>
      </c>
      <c r="U93" s="78">
        <f>C98</f>
        <v>90</v>
      </c>
      <c r="V93" s="78">
        <f>C99</f>
        <v>3</v>
      </c>
      <c r="W93" s="78">
        <f>C100</f>
        <v>0</v>
      </c>
      <c r="X93" s="78">
        <f>C101</f>
        <v>10</v>
      </c>
    </row>
    <row r="94" spans="2:24" ht="15" thickBot="1">
      <c r="B94" s="1" t="s">
        <v>9</v>
      </c>
      <c r="C94" s="9">
        <v>80</v>
      </c>
      <c r="D94" s="9">
        <v>87</v>
      </c>
      <c r="E94" s="9">
        <v>91</v>
      </c>
      <c r="F94" s="9">
        <v>95</v>
      </c>
      <c r="G94" s="9"/>
      <c r="H94" s="9">
        <v>5</v>
      </c>
      <c r="J94" s="58">
        <f>D89</f>
        <v>2020</v>
      </c>
      <c r="K94" s="58"/>
      <c r="L94" s="58">
        <f>D94/100</f>
        <v>0.87</v>
      </c>
      <c r="M94" s="58"/>
      <c r="N94" s="58">
        <f>D95</f>
        <v>20</v>
      </c>
      <c r="O94" s="59">
        <f>D110</f>
        <v>1490.0000000000002</v>
      </c>
      <c r="P94" s="59">
        <f>D112</f>
        <v>46.935000000000002</v>
      </c>
      <c r="Q94" s="59">
        <f>D113</f>
        <v>0</v>
      </c>
      <c r="R94" s="58"/>
      <c r="S94" s="58"/>
      <c r="T94" s="58">
        <f>D97</f>
        <v>0</v>
      </c>
      <c r="U94" s="78">
        <f>D98</f>
        <v>70</v>
      </c>
      <c r="V94" s="78">
        <f>D99</f>
        <v>2</v>
      </c>
      <c r="W94" s="78">
        <f>D100</f>
        <v>0</v>
      </c>
      <c r="X94" s="78">
        <f>D101</f>
        <v>8</v>
      </c>
    </row>
    <row r="95" spans="2:24" ht="15" thickBot="1">
      <c r="B95" s="1" t="s">
        <v>11</v>
      </c>
      <c r="C95" s="9">
        <v>20</v>
      </c>
      <c r="D95" s="9">
        <v>20</v>
      </c>
      <c r="E95" s="9">
        <v>20</v>
      </c>
      <c r="F95" s="9">
        <v>20</v>
      </c>
      <c r="G95" s="9"/>
      <c r="H95" s="9">
        <v>7</v>
      </c>
      <c r="J95" s="58">
        <f>E89</f>
        <v>2030</v>
      </c>
      <c r="K95" s="58"/>
      <c r="L95" s="58">
        <f>E94/100</f>
        <v>0.91</v>
      </c>
      <c r="M95" s="58"/>
      <c r="N95" s="58">
        <f>E95</f>
        <v>20</v>
      </c>
      <c r="O95" s="59">
        <f>E110</f>
        <v>1490.0000000000002</v>
      </c>
      <c r="P95" s="59">
        <f>E112</f>
        <v>52.15</v>
      </c>
      <c r="Q95" s="59">
        <f>E113</f>
        <v>0</v>
      </c>
      <c r="R95" s="58"/>
      <c r="S95" s="58"/>
      <c r="T95" s="58">
        <f>E97</f>
        <v>0</v>
      </c>
      <c r="U95" s="78">
        <f>E98</f>
        <v>50</v>
      </c>
      <c r="V95" s="78">
        <f>E99</f>
        <v>1</v>
      </c>
      <c r="W95" s="78">
        <f>E100</f>
        <v>0</v>
      </c>
      <c r="X95" s="78">
        <f>E101</f>
        <v>6</v>
      </c>
    </row>
    <row r="96" spans="2:24" ht="15" thickBot="1">
      <c r="B96" s="3" t="s">
        <v>12</v>
      </c>
      <c r="C96" s="12"/>
      <c r="D96" s="12"/>
      <c r="E96" s="12"/>
      <c r="F96" s="12"/>
      <c r="G96" s="12"/>
      <c r="H96" s="13"/>
      <c r="J96" s="58">
        <f>F89</f>
        <v>2050</v>
      </c>
      <c r="K96" s="58"/>
      <c r="L96" s="58">
        <f>F94/100</f>
        <v>0.95</v>
      </c>
      <c r="M96" s="58"/>
      <c r="N96" s="58">
        <f>F95</f>
        <v>20</v>
      </c>
      <c r="O96" s="59">
        <f>F110</f>
        <v>1490.0000000000002</v>
      </c>
      <c r="P96" s="59">
        <f>F112</f>
        <v>59.6</v>
      </c>
      <c r="Q96" s="59">
        <f>F113</f>
        <v>0</v>
      </c>
      <c r="R96" s="58"/>
      <c r="S96" s="58"/>
      <c r="T96" s="58">
        <f>F97</f>
        <v>0</v>
      </c>
      <c r="U96" s="78">
        <f>F98</f>
        <v>40</v>
      </c>
      <c r="V96" s="78">
        <f>F99</f>
        <v>0</v>
      </c>
      <c r="W96" s="78">
        <f>F100</f>
        <v>0</v>
      </c>
      <c r="X96" s="78">
        <f>F101</f>
        <v>4</v>
      </c>
    </row>
    <row r="97" spans="2:8" ht="15.6" thickBot="1">
      <c r="B97" s="1" t="s">
        <v>13</v>
      </c>
      <c r="C97" s="179">
        <v>0</v>
      </c>
      <c r="D97" s="179">
        <v>0</v>
      </c>
      <c r="E97" s="179">
        <v>0</v>
      </c>
      <c r="F97" s="179">
        <v>0</v>
      </c>
      <c r="G97" s="9"/>
      <c r="H97" s="9"/>
    </row>
    <row r="98" spans="2:8" ht="15.6" thickBot="1">
      <c r="B98" s="1" t="s">
        <v>15</v>
      </c>
      <c r="C98" s="9">
        <v>90</v>
      </c>
      <c r="D98" s="9">
        <v>70</v>
      </c>
      <c r="E98" s="9">
        <v>50</v>
      </c>
      <c r="F98" s="9">
        <v>40</v>
      </c>
      <c r="G98" s="9"/>
      <c r="H98" s="9">
        <v>5</v>
      </c>
    </row>
    <row r="99" spans="2:8" ht="15.6" thickBot="1">
      <c r="B99" s="1" t="s">
        <v>17</v>
      </c>
      <c r="C99" s="9">
        <v>3</v>
      </c>
      <c r="D99" s="9">
        <v>2</v>
      </c>
      <c r="E99" s="9">
        <v>1</v>
      </c>
      <c r="F99" s="9">
        <v>0</v>
      </c>
      <c r="G99" s="9"/>
      <c r="H99" s="9" t="s">
        <v>69</v>
      </c>
    </row>
    <row r="100" spans="2:8" ht="15.6" thickBot="1">
      <c r="B100" s="1" t="s">
        <v>18</v>
      </c>
      <c r="C100" s="179">
        <v>0</v>
      </c>
      <c r="D100" s="179">
        <v>0</v>
      </c>
      <c r="E100" s="179">
        <v>0</v>
      </c>
      <c r="F100" s="179">
        <v>0</v>
      </c>
      <c r="G100" s="9"/>
      <c r="H100" s="9"/>
    </row>
    <row r="101" spans="2:8" ht="15" thickBot="1">
      <c r="B101" s="1" t="s">
        <v>19</v>
      </c>
      <c r="C101" s="9">
        <v>10</v>
      </c>
      <c r="D101" s="9">
        <v>8</v>
      </c>
      <c r="E101" s="9">
        <v>6</v>
      </c>
      <c r="F101" s="9">
        <v>4</v>
      </c>
      <c r="G101" s="9"/>
      <c r="H101" s="9" t="s">
        <v>69</v>
      </c>
    </row>
    <row r="102" spans="2:8" ht="15" thickBot="1">
      <c r="B102" s="3" t="s">
        <v>22</v>
      </c>
      <c r="C102" s="12"/>
      <c r="D102" s="12"/>
      <c r="E102" s="12"/>
      <c r="F102" s="12"/>
      <c r="G102" s="12"/>
      <c r="H102" s="13"/>
    </row>
    <row r="103" spans="2:8" ht="15" thickBot="1">
      <c r="B103" s="1" t="s">
        <v>23</v>
      </c>
      <c r="C103" s="9">
        <v>0.17</v>
      </c>
      <c r="D103" s="9">
        <v>0.17</v>
      </c>
      <c r="E103" s="15">
        <v>0.17</v>
      </c>
      <c r="F103" s="15">
        <v>0.17</v>
      </c>
      <c r="G103" s="9"/>
      <c r="H103" s="9">
        <v>7</v>
      </c>
    </row>
    <row r="104" spans="2:8">
      <c r="B104" s="6" t="s">
        <v>24</v>
      </c>
      <c r="C104" s="14" t="s">
        <v>68</v>
      </c>
      <c r="D104" s="14" t="s">
        <v>68</v>
      </c>
      <c r="E104" s="14" t="s">
        <v>68</v>
      </c>
      <c r="F104" s="14" t="s">
        <v>68</v>
      </c>
      <c r="G104" s="14"/>
      <c r="H104" s="14"/>
    </row>
    <row r="105" spans="2:8">
      <c r="B105" s="6" t="s">
        <v>71</v>
      </c>
      <c r="C105" s="14" t="s">
        <v>68</v>
      </c>
      <c r="D105" s="14" t="s">
        <v>68</v>
      </c>
      <c r="E105" s="14" t="s">
        <v>68</v>
      </c>
      <c r="F105" s="14" t="s">
        <v>68</v>
      </c>
      <c r="G105" s="14"/>
      <c r="H105" s="14"/>
    </row>
    <row r="106" spans="2:8" ht="15" thickBot="1">
      <c r="B106" s="1" t="s">
        <v>73</v>
      </c>
      <c r="C106" s="9" t="s">
        <v>68</v>
      </c>
      <c r="D106" s="9" t="s">
        <v>68</v>
      </c>
      <c r="E106" s="9" t="s">
        <v>68</v>
      </c>
      <c r="F106" s="9" t="s">
        <v>68</v>
      </c>
      <c r="G106" s="9"/>
      <c r="H106" s="9"/>
    </row>
    <row r="107" spans="2:8" ht="15" thickBot="1">
      <c r="B107" s="1" t="s">
        <v>30</v>
      </c>
      <c r="C107" s="25" t="s">
        <v>287</v>
      </c>
      <c r="D107" s="25" t="s">
        <v>287</v>
      </c>
      <c r="E107" s="25" t="s">
        <v>288</v>
      </c>
      <c r="F107" s="25" t="s">
        <v>288</v>
      </c>
      <c r="G107" s="9" t="s">
        <v>76</v>
      </c>
      <c r="H107" s="9"/>
    </row>
    <row r="108" spans="2:8" ht="15" thickBot="1">
      <c r="B108" s="1" t="s">
        <v>50</v>
      </c>
      <c r="C108" s="9">
        <v>6.3</v>
      </c>
      <c r="D108" s="9">
        <v>6.3</v>
      </c>
      <c r="E108" s="9">
        <v>7</v>
      </c>
      <c r="F108" s="9">
        <v>8</v>
      </c>
      <c r="G108" s="9" t="s">
        <v>25</v>
      </c>
      <c r="H108" s="9">
        <v>7</v>
      </c>
    </row>
    <row r="109" spans="2:8" ht="15" thickBot="1">
      <c r="B109" s="1" t="s">
        <v>31</v>
      </c>
      <c r="C109" s="179">
        <v>0</v>
      </c>
      <c r="D109" s="179">
        <v>0</v>
      </c>
      <c r="E109" s="179">
        <v>0</v>
      </c>
      <c r="F109" s="179">
        <v>0</v>
      </c>
      <c r="G109" s="9"/>
      <c r="H109" s="9"/>
    </row>
    <row r="110" spans="2:8">
      <c r="B110" s="36" t="s">
        <v>353</v>
      </c>
      <c r="C110" s="42">
        <f>(C103+((5+25)/2/$G$57))*$G$4*1000</f>
        <v>1490.0000000000002</v>
      </c>
      <c r="D110" s="42">
        <f>(D103+((5+25)/2/$G$57))*$G$4*1000</f>
        <v>1490.0000000000002</v>
      </c>
      <c r="E110" s="42">
        <f>(E103+((5+25)/2/$G$57))*$G$4*1000</f>
        <v>1490.0000000000002</v>
      </c>
      <c r="F110" s="42">
        <f>(F103+((5+25)/2/$G$57))*$G$4*1000</f>
        <v>1490.0000000000002</v>
      </c>
      <c r="G110" s="63" t="s">
        <v>332</v>
      </c>
      <c r="H110" s="63"/>
    </row>
    <row r="111" spans="2:8">
      <c r="B111" s="36" t="s">
        <v>354</v>
      </c>
      <c r="C111" s="42">
        <f>C110*$G111</f>
        <v>745000.00000000012</v>
      </c>
      <c r="D111" s="42">
        <f>D110*$G111</f>
        <v>745000.00000000012</v>
      </c>
      <c r="E111" s="42">
        <f>E110*$G111</f>
        <v>745000.00000000012</v>
      </c>
      <c r="F111" s="42">
        <f>F110*$G111</f>
        <v>745000.00000000012</v>
      </c>
      <c r="G111" s="67">
        <v>500</v>
      </c>
      <c r="H111" s="63" t="s">
        <v>330</v>
      </c>
    </row>
    <row r="112" spans="2:8">
      <c r="B112" s="36" t="s">
        <v>355</v>
      </c>
      <c r="C112" s="42">
        <f>C108*$G$4</f>
        <v>46.935000000000002</v>
      </c>
      <c r="D112" s="42">
        <f>D108*$G$4</f>
        <v>46.935000000000002</v>
      </c>
      <c r="E112" s="42">
        <f>E108*$G$4</f>
        <v>52.15</v>
      </c>
      <c r="F112" s="42">
        <f>F108*$G$4</f>
        <v>59.6</v>
      </c>
      <c r="G112" s="63" t="s">
        <v>333</v>
      </c>
      <c r="H112" s="63"/>
    </row>
    <row r="113" spans="2:8" ht="15" thickBot="1">
      <c r="B113" s="36" t="s">
        <v>356</v>
      </c>
      <c r="C113" s="42">
        <f>C109</f>
        <v>0</v>
      </c>
      <c r="D113" s="42">
        <f>D109</f>
        <v>0</v>
      </c>
      <c r="E113" s="42">
        <f>E109</f>
        <v>0</v>
      </c>
      <c r="F113" s="42">
        <f>F109</f>
        <v>0</v>
      </c>
      <c r="G113" s="66"/>
      <c r="H113" s="63"/>
    </row>
    <row r="156" spans="7:7">
      <c r="G156" s="263" t="s">
        <v>600</v>
      </c>
    </row>
  </sheetData>
  <mergeCells count="20">
    <mergeCell ref="J87:O87"/>
    <mergeCell ref="J88:O88"/>
    <mergeCell ref="J60:O60"/>
    <mergeCell ref="J61:O61"/>
    <mergeCell ref="J33:O33"/>
    <mergeCell ref="J34:O34"/>
    <mergeCell ref="B87:B88"/>
    <mergeCell ref="C87:H87"/>
    <mergeCell ref="C88:H88"/>
    <mergeCell ref="B33:B34"/>
    <mergeCell ref="C33:H33"/>
    <mergeCell ref="C34:H34"/>
    <mergeCell ref="B60:B61"/>
    <mergeCell ref="C60:H60"/>
    <mergeCell ref="C61:H61"/>
    <mergeCell ref="J6:O6"/>
    <mergeCell ref="J7:O7"/>
    <mergeCell ref="B6:B7"/>
    <mergeCell ref="C6:H6"/>
    <mergeCell ref="C7:H7"/>
  </mergeCells>
  <pageMargins left="0.7" right="0.7" top="0.75" bottom="0.75" header="0.3" footer="0.3"/>
  <pageSetup paperSize="9" orientation="portrait"/>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
    <tabColor theme="4"/>
  </sheetPr>
  <dimension ref="B3:H156"/>
  <sheetViews>
    <sheetView topLeftCell="A4" workbookViewId="0">
      <selection activeCell="F153" sqref="F153"/>
    </sheetView>
  </sheetViews>
  <sheetFormatPr defaultRowHeight="14.4"/>
  <cols>
    <col min="2" max="2" width="36.77734375" customWidth="1"/>
  </cols>
  <sheetData>
    <row r="3" spans="2:8">
      <c r="B3" s="8" t="s">
        <v>311</v>
      </c>
    </row>
    <row r="5" spans="2:8" ht="15" thickBot="1"/>
    <row r="6" spans="2:8">
      <c r="B6" s="1254" t="s">
        <v>0</v>
      </c>
      <c r="C6" s="1256" t="s">
        <v>78</v>
      </c>
      <c r="D6" s="1257"/>
      <c r="E6" s="1257"/>
      <c r="F6" s="1257"/>
      <c r="G6" s="1257"/>
      <c r="H6" s="1258"/>
    </row>
    <row r="7" spans="2:8" ht="15" thickBot="1">
      <c r="B7" s="1255"/>
      <c r="C7" s="1131" t="s">
        <v>1</v>
      </c>
      <c r="D7" s="1132"/>
      <c r="E7" s="1132"/>
      <c r="F7" s="1132"/>
      <c r="G7" s="1132"/>
      <c r="H7" s="113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27" t="s">
        <v>284</v>
      </c>
      <c r="D10" s="27" t="s">
        <v>277</v>
      </c>
      <c r="E10" s="27" t="s">
        <v>285</v>
      </c>
      <c r="F10" s="27" t="s">
        <v>285</v>
      </c>
      <c r="G10" s="2" t="s">
        <v>6</v>
      </c>
      <c r="H10" s="2" t="s">
        <v>67</v>
      </c>
    </row>
    <row r="11" spans="2:8" ht="24.6" thickBot="1">
      <c r="B11" s="1" t="s">
        <v>7</v>
      </c>
      <c r="C11" s="2">
        <v>100</v>
      </c>
      <c r="D11" s="2">
        <v>100</v>
      </c>
      <c r="E11" s="2">
        <v>100</v>
      </c>
      <c r="F11" s="2">
        <v>100</v>
      </c>
      <c r="G11" s="2"/>
      <c r="H11" s="2"/>
    </row>
    <row r="12" spans="2:8" ht="24.6" thickBot="1">
      <c r="B12" s="1" t="s">
        <v>8</v>
      </c>
      <c r="C12" s="2">
        <v>100</v>
      </c>
      <c r="D12" s="2">
        <v>100</v>
      </c>
      <c r="E12" s="2">
        <v>100</v>
      </c>
      <c r="F12" s="2">
        <v>100</v>
      </c>
      <c r="G12" s="2"/>
      <c r="H12" s="2"/>
    </row>
    <row r="13" spans="2:8" ht="15" thickBot="1">
      <c r="B13" s="1" t="s">
        <v>9</v>
      </c>
      <c r="C13" s="2">
        <v>75</v>
      </c>
      <c r="D13" s="2">
        <v>82</v>
      </c>
      <c r="E13" s="2">
        <v>86</v>
      </c>
      <c r="F13" s="2">
        <v>90</v>
      </c>
      <c r="G13" s="2"/>
      <c r="H13" s="2">
        <v>5</v>
      </c>
    </row>
    <row r="14" spans="2:8" ht="15" thickBot="1">
      <c r="B14" s="1" t="s">
        <v>11</v>
      </c>
      <c r="C14" s="2">
        <v>20</v>
      </c>
      <c r="D14" s="2">
        <v>20</v>
      </c>
      <c r="E14" s="2">
        <v>20</v>
      </c>
      <c r="F14" s="2">
        <v>20</v>
      </c>
      <c r="G14" s="2"/>
      <c r="H14" s="2">
        <v>6</v>
      </c>
    </row>
    <row r="15" spans="2:8" ht="15" thickBot="1">
      <c r="B15" s="3" t="s">
        <v>12</v>
      </c>
      <c r="C15" s="4"/>
      <c r="D15" s="4"/>
      <c r="E15" s="4"/>
      <c r="F15" s="4"/>
      <c r="G15" s="4"/>
      <c r="H15" s="5"/>
    </row>
    <row r="16" spans="2:8" ht="15.6" thickBot="1">
      <c r="B16" s="1" t="s">
        <v>13</v>
      </c>
      <c r="C16" s="35">
        <v>0</v>
      </c>
      <c r="D16" s="35">
        <v>0</v>
      </c>
      <c r="E16" s="35">
        <v>0</v>
      </c>
      <c r="F16" s="35">
        <v>0</v>
      </c>
      <c r="G16" s="2"/>
      <c r="H16" s="2"/>
    </row>
    <row r="17" spans="2:8" ht="15.6" thickBot="1">
      <c r="B17" s="1" t="s">
        <v>15</v>
      </c>
      <c r="C17" s="2">
        <v>80</v>
      </c>
      <c r="D17" s="2">
        <v>70</v>
      </c>
      <c r="E17" s="2">
        <v>60</v>
      </c>
      <c r="F17" s="2">
        <v>50</v>
      </c>
      <c r="G17" s="2"/>
      <c r="H17" s="2">
        <v>5</v>
      </c>
    </row>
    <row r="18" spans="2:8" ht="15.6" thickBot="1">
      <c r="B18" s="1" t="s">
        <v>17</v>
      </c>
      <c r="C18" s="2">
        <v>3</v>
      </c>
      <c r="D18" s="2">
        <v>2</v>
      </c>
      <c r="E18" s="2">
        <v>1</v>
      </c>
      <c r="F18" s="2">
        <v>0</v>
      </c>
      <c r="G18" s="2"/>
      <c r="H18" s="2" t="s">
        <v>69</v>
      </c>
    </row>
    <row r="19" spans="2:8" ht="15.6" thickBot="1">
      <c r="B19" s="1" t="s">
        <v>18</v>
      </c>
      <c r="C19" s="35">
        <v>0</v>
      </c>
      <c r="D19" s="35">
        <v>0</v>
      </c>
      <c r="E19" s="35">
        <v>0</v>
      </c>
      <c r="F19" s="35">
        <v>0</v>
      </c>
      <c r="G19" s="2"/>
      <c r="H19" s="2"/>
    </row>
    <row r="20" spans="2:8" ht="15" thickBot="1">
      <c r="B20" s="1" t="s">
        <v>19</v>
      </c>
      <c r="C20" s="2">
        <v>15</v>
      </c>
      <c r="D20" s="2">
        <v>12</v>
      </c>
      <c r="E20" s="2">
        <v>9</v>
      </c>
      <c r="F20" s="2">
        <v>6</v>
      </c>
      <c r="G20" s="2" t="s">
        <v>16</v>
      </c>
      <c r="H20" s="2">
        <v>5</v>
      </c>
    </row>
    <row r="21" spans="2:8" ht="15" thickBot="1">
      <c r="B21" s="3" t="s">
        <v>22</v>
      </c>
      <c r="C21" s="4"/>
      <c r="D21" s="4"/>
      <c r="E21" s="4"/>
      <c r="F21" s="4"/>
      <c r="G21" s="4"/>
      <c r="H21" s="5"/>
    </row>
    <row r="22" spans="2:8" ht="15" thickBot="1">
      <c r="B22" s="1" t="s">
        <v>23</v>
      </c>
      <c r="C22" s="2" t="s">
        <v>68</v>
      </c>
      <c r="D22" s="2" t="s">
        <v>68</v>
      </c>
      <c r="E22" s="2" t="s">
        <v>68</v>
      </c>
      <c r="F22" s="2" t="s">
        <v>68</v>
      </c>
      <c r="G22" s="2"/>
      <c r="H22" s="2"/>
    </row>
    <row r="23" spans="2:8">
      <c r="B23" s="6" t="s">
        <v>24</v>
      </c>
      <c r="C23" s="7">
        <v>4.5</v>
      </c>
      <c r="D23" s="7">
        <v>4.5</v>
      </c>
      <c r="E23" s="7">
        <v>4.5</v>
      </c>
      <c r="F23" s="7">
        <v>4.5</v>
      </c>
      <c r="G23" s="7"/>
      <c r="H23" s="7"/>
    </row>
    <row r="24" spans="2:8">
      <c r="B24" s="6" t="s">
        <v>71</v>
      </c>
      <c r="C24" s="7" t="s">
        <v>79</v>
      </c>
      <c r="D24" s="7">
        <v>3</v>
      </c>
      <c r="E24" s="7">
        <v>3</v>
      </c>
      <c r="F24" s="7">
        <v>3</v>
      </c>
      <c r="G24" s="7"/>
      <c r="H24" s="7"/>
    </row>
    <row r="25" spans="2:8" ht="15" thickBot="1">
      <c r="B25" s="1" t="s">
        <v>73</v>
      </c>
      <c r="C25" s="2" t="s">
        <v>80</v>
      </c>
      <c r="D25" s="2">
        <v>1.5</v>
      </c>
      <c r="E25" s="2">
        <v>1.5</v>
      </c>
      <c r="F25" s="2">
        <v>1.5</v>
      </c>
      <c r="G25" s="2"/>
      <c r="H25" s="2"/>
    </row>
    <row r="26" spans="2:8" ht="24.6" thickBot="1">
      <c r="B26" s="1" t="s">
        <v>30</v>
      </c>
      <c r="C26" s="2">
        <v>3.1</v>
      </c>
      <c r="D26" s="2">
        <v>3.1</v>
      </c>
      <c r="E26" s="2">
        <v>3.1</v>
      </c>
      <c r="F26" s="2">
        <v>3.1</v>
      </c>
      <c r="G26" s="2" t="s">
        <v>14</v>
      </c>
      <c r="H26" s="2"/>
    </row>
    <row r="27" spans="2:8" ht="15" thickBot="1">
      <c r="B27" s="1" t="s">
        <v>50</v>
      </c>
      <c r="C27" s="2">
        <v>2</v>
      </c>
      <c r="D27" s="2">
        <v>2</v>
      </c>
      <c r="E27" s="2">
        <v>2</v>
      </c>
      <c r="F27" s="2">
        <v>2</v>
      </c>
      <c r="G27" s="2" t="s">
        <v>20</v>
      </c>
      <c r="H27" s="2">
        <v>6</v>
      </c>
    </row>
    <row r="28" spans="2:8" ht="15" thickBot="1">
      <c r="B28" s="1" t="s">
        <v>31</v>
      </c>
      <c r="C28" s="2" t="s">
        <v>68</v>
      </c>
      <c r="D28" s="2" t="s">
        <v>68</v>
      </c>
      <c r="E28" s="2" t="s">
        <v>68</v>
      </c>
      <c r="F28" s="2" t="s">
        <v>68</v>
      </c>
      <c r="G28" s="2"/>
      <c r="H28" s="2"/>
    </row>
    <row r="32" spans="2:8" ht="15" thickBot="1"/>
    <row r="33" spans="2:8">
      <c r="B33" s="1254" t="s">
        <v>0</v>
      </c>
      <c r="C33" s="1256" t="s">
        <v>78</v>
      </c>
      <c r="D33" s="1257"/>
      <c r="E33" s="1257"/>
      <c r="F33" s="1257"/>
      <c r="G33" s="1257"/>
      <c r="H33" s="1258"/>
    </row>
    <row r="34" spans="2:8" ht="15" thickBot="1">
      <c r="B34" s="1255"/>
      <c r="C34" s="1131" t="s">
        <v>34</v>
      </c>
      <c r="D34" s="1132"/>
      <c r="E34" s="1132"/>
      <c r="F34" s="1132"/>
      <c r="G34" s="1132"/>
      <c r="H34" s="1133"/>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27" t="s">
        <v>284</v>
      </c>
      <c r="D37" s="27" t="s">
        <v>289</v>
      </c>
      <c r="E37" s="27" t="s">
        <v>290</v>
      </c>
      <c r="F37" s="27" t="s">
        <v>291</v>
      </c>
      <c r="G37" s="2" t="s">
        <v>6</v>
      </c>
      <c r="H37" s="2" t="s">
        <v>67</v>
      </c>
    </row>
    <row r="38" spans="2:8" ht="24.6" thickBot="1">
      <c r="B38" s="1" t="s">
        <v>7</v>
      </c>
      <c r="C38" s="2">
        <v>100</v>
      </c>
      <c r="D38" s="2">
        <v>100</v>
      </c>
      <c r="E38" s="2">
        <v>100</v>
      </c>
      <c r="F38" s="2">
        <v>100</v>
      </c>
      <c r="G38" s="2"/>
      <c r="H38" s="2"/>
    </row>
    <row r="39" spans="2:8" ht="24.6" thickBot="1">
      <c r="B39" s="1" t="s">
        <v>8</v>
      </c>
      <c r="C39" s="2">
        <v>100</v>
      </c>
      <c r="D39" s="2">
        <v>100</v>
      </c>
      <c r="E39" s="2">
        <v>100</v>
      </c>
      <c r="F39" s="2">
        <v>100</v>
      </c>
      <c r="G39" s="2"/>
      <c r="H39" s="2"/>
    </row>
    <row r="40" spans="2:8" ht="15" thickBot="1">
      <c r="B40" s="1" t="s">
        <v>9</v>
      </c>
      <c r="C40" s="2">
        <v>75</v>
      </c>
      <c r="D40" s="2">
        <v>82</v>
      </c>
      <c r="E40" s="2">
        <v>86</v>
      </c>
      <c r="F40" s="2">
        <v>90</v>
      </c>
      <c r="G40" s="2"/>
      <c r="H40" s="2">
        <v>5</v>
      </c>
    </row>
    <row r="41" spans="2:8" ht="15" thickBot="1">
      <c r="B41" s="1" t="s">
        <v>11</v>
      </c>
      <c r="C41" s="2">
        <v>20</v>
      </c>
      <c r="D41" s="2">
        <v>20</v>
      </c>
      <c r="E41" s="2">
        <v>20</v>
      </c>
      <c r="F41" s="2">
        <v>20</v>
      </c>
      <c r="G41" s="2"/>
      <c r="H41" s="2">
        <v>6</v>
      </c>
    </row>
    <row r="42" spans="2:8" ht="15" thickBot="1">
      <c r="B42" s="3" t="s">
        <v>12</v>
      </c>
      <c r="C42" s="4"/>
      <c r="D42" s="4"/>
      <c r="E42" s="4"/>
      <c r="F42" s="4"/>
      <c r="G42" s="4"/>
      <c r="H42" s="5"/>
    </row>
    <row r="43" spans="2:8" ht="15.6" thickBot="1">
      <c r="B43" s="1" t="s">
        <v>13</v>
      </c>
      <c r="C43" s="35">
        <v>0</v>
      </c>
      <c r="D43" s="35">
        <v>0</v>
      </c>
      <c r="E43" s="35">
        <v>0</v>
      </c>
      <c r="F43" s="35">
        <v>0</v>
      </c>
      <c r="G43" s="2"/>
      <c r="H43" s="2"/>
    </row>
    <row r="44" spans="2:8" ht="15.6" thickBot="1">
      <c r="B44" s="1" t="s">
        <v>15</v>
      </c>
      <c r="C44" s="2">
        <v>80</v>
      </c>
      <c r="D44" s="2">
        <v>70</v>
      </c>
      <c r="E44" s="2">
        <v>60</v>
      </c>
      <c r="F44" s="2">
        <v>50</v>
      </c>
      <c r="G44" s="2"/>
      <c r="H44" s="2">
        <v>5</v>
      </c>
    </row>
    <row r="45" spans="2:8" ht="15.6" thickBot="1">
      <c r="B45" s="1" t="s">
        <v>17</v>
      </c>
      <c r="C45" s="2">
        <v>3</v>
      </c>
      <c r="D45" s="2">
        <v>2</v>
      </c>
      <c r="E45" s="2">
        <v>1</v>
      </c>
      <c r="F45" s="2">
        <v>0</v>
      </c>
      <c r="G45" s="2"/>
      <c r="H45" s="2" t="s">
        <v>69</v>
      </c>
    </row>
    <row r="46" spans="2:8" ht="15.6" thickBot="1">
      <c r="B46" s="1" t="s">
        <v>18</v>
      </c>
      <c r="C46" s="35">
        <v>0</v>
      </c>
      <c r="D46" s="35">
        <v>0</v>
      </c>
      <c r="E46" s="35">
        <v>0</v>
      </c>
      <c r="F46" s="35">
        <v>0</v>
      </c>
      <c r="G46" s="2"/>
      <c r="H46" s="2"/>
    </row>
    <row r="47" spans="2:8" ht="15" thickBot="1">
      <c r="B47" s="1" t="s">
        <v>19</v>
      </c>
      <c r="C47" s="2">
        <v>15</v>
      </c>
      <c r="D47" s="2">
        <v>12</v>
      </c>
      <c r="E47" s="2">
        <v>9</v>
      </c>
      <c r="F47" s="2">
        <v>6</v>
      </c>
      <c r="G47" s="2" t="s">
        <v>16</v>
      </c>
      <c r="H47" s="2">
        <v>5</v>
      </c>
    </row>
    <row r="48" spans="2:8" ht="15" thickBot="1">
      <c r="B48" s="3" t="s">
        <v>22</v>
      </c>
      <c r="C48" s="4"/>
      <c r="D48" s="4"/>
      <c r="E48" s="4"/>
      <c r="F48" s="4"/>
      <c r="G48" s="4"/>
      <c r="H48" s="5"/>
    </row>
    <row r="49" spans="2:8" ht="15" thickBot="1">
      <c r="B49" s="1" t="s">
        <v>23</v>
      </c>
      <c r="C49" s="2" t="s">
        <v>68</v>
      </c>
      <c r="D49" s="2" t="s">
        <v>68</v>
      </c>
      <c r="E49" s="2" t="s">
        <v>68</v>
      </c>
      <c r="F49" s="2" t="s">
        <v>68</v>
      </c>
      <c r="G49" s="2"/>
      <c r="H49" s="2"/>
    </row>
    <row r="50" spans="2:8">
      <c r="B50" s="6" t="s">
        <v>24</v>
      </c>
      <c r="C50" s="7">
        <v>4.5</v>
      </c>
      <c r="D50" s="7">
        <v>4.5</v>
      </c>
      <c r="E50" s="7">
        <v>4.5</v>
      </c>
      <c r="F50" s="7">
        <v>4.5</v>
      </c>
      <c r="G50" s="7"/>
      <c r="H50" s="7"/>
    </row>
    <row r="51" spans="2:8">
      <c r="B51" s="6" t="s">
        <v>71</v>
      </c>
      <c r="C51" s="7" t="s">
        <v>79</v>
      </c>
      <c r="D51" s="7">
        <v>3</v>
      </c>
      <c r="E51" s="7">
        <v>3</v>
      </c>
      <c r="F51" s="7">
        <v>3</v>
      </c>
      <c r="G51" s="7"/>
      <c r="H51" s="7"/>
    </row>
    <row r="52" spans="2:8" ht="15" thickBot="1">
      <c r="B52" s="1" t="s">
        <v>73</v>
      </c>
      <c r="C52" s="2" t="s">
        <v>80</v>
      </c>
      <c r="D52" s="2">
        <v>1.5</v>
      </c>
      <c r="E52" s="2">
        <v>1.5</v>
      </c>
      <c r="F52" s="2">
        <v>1.5</v>
      </c>
      <c r="G52" s="2"/>
      <c r="H52" s="2"/>
    </row>
    <row r="53" spans="2:8" ht="24.6" thickBot="1">
      <c r="B53" s="1" t="s">
        <v>30</v>
      </c>
      <c r="C53" s="2">
        <v>2.8</v>
      </c>
      <c r="D53" s="2">
        <v>2.8</v>
      </c>
      <c r="E53" s="2">
        <v>2.8</v>
      </c>
      <c r="F53" s="2">
        <v>2.8</v>
      </c>
      <c r="G53" s="2" t="s">
        <v>14</v>
      </c>
      <c r="H53" s="2"/>
    </row>
    <row r="54" spans="2:8" ht="15" thickBot="1">
      <c r="B54" s="1" t="s">
        <v>50</v>
      </c>
      <c r="C54" s="2">
        <v>2</v>
      </c>
      <c r="D54" s="2">
        <v>2</v>
      </c>
      <c r="E54" s="2">
        <v>2</v>
      </c>
      <c r="F54" s="2">
        <v>2</v>
      </c>
      <c r="G54" s="2" t="s">
        <v>81</v>
      </c>
      <c r="H54" s="2"/>
    </row>
    <row r="55" spans="2:8" ht="15" thickBot="1">
      <c r="B55" s="1" t="s">
        <v>31</v>
      </c>
      <c r="C55" s="2" t="s">
        <v>68</v>
      </c>
      <c r="D55" s="2" t="s">
        <v>68</v>
      </c>
      <c r="E55" s="2" t="s">
        <v>68</v>
      </c>
      <c r="F55" s="2" t="s">
        <v>68</v>
      </c>
      <c r="G55" s="2"/>
      <c r="H55" s="2"/>
    </row>
    <row r="156" spans="7:7">
      <c r="G156" s="263" t="s">
        <v>600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0">
    <tabColor theme="4"/>
  </sheetPr>
  <dimension ref="B3:H156"/>
  <sheetViews>
    <sheetView workbookViewId="0">
      <selection activeCell="F153" sqref="F153"/>
    </sheetView>
  </sheetViews>
  <sheetFormatPr defaultRowHeight="14.4"/>
  <cols>
    <col min="2" max="2" width="36.77734375" customWidth="1"/>
  </cols>
  <sheetData>
    <row r="3" spans="2:8">
      <c r="B3" s="8" t="s">
        <v>312</v>
      </c>
    </row>
    <row r="5" spans="2:8" ht="15" thickBot="1"/>
    <row r="6" spans="2:8">
      <c r="B6" s="1254" t="s">
        <v>0</v>
      </c>
      <c r="C6" s="1256" t="s">
        <v>82</v>
      </c>
      <c r="D6" s="1257"/>
      <c r="E6" s="1257"/>
      <c r="F6" s="1257"/>
      <c r="G6" s="1257"/>
      <c r="H6" s="1258"/>
    </row>
    <row r="7" spans="2:8" ht="15" thickBot="1">
      <c r="B7" s="1255"/>
      <c r="C7" s="1131" t="s">
        <v>38</v>
      </c>
      <c r="D7" s="1132"/>
      <c r="E7" s="1132"/>
      <c r="F7" s="1132"/>
      <c r="G7" s="1132"/>
      <c r="H7" s="113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32" t="s">
        <v>286</v>
      </c>
      <c r="D10" s="32" t="s">
        <v>292</v>
      </c>
      <c r="E10" s="33" t="s">
        <v>83</v>
      </c>
      <c r="F10" s="33" t="s">
        <v>84</v>
      </c>
      <c r="G10" s="9"/>
      <c r="H10" s="9"/>
    </row>
    <row r="11" spans="2:8" ht="24.6" thickBot="1">
      <c r="B11" s="1" t="s">
        <v>7</v>
      </c>
      <c r="C11" s="9" t="s">
        <v>85</v>
      </c>
      <c r="D11" s="9" t="s">
        <v>85</v>
      </c>
      <c r="E11" s="9" t="s">
        <v>85</v>
      </c>
      <c r="F11" s="9" t="s">
        <v>85</v>
      </c>
      <c r="G11" s="9" t="s">
        <v>16</v>
      </c>
      <c r="H11" s="9"/>
    </row>
    <row r="12" spans="2:8" ht="24.6" thickBot="1">
      <c r="B12" s="1" t="s">
        <v>8</v>
      </c>
      <c r="C12" s="9">
        <v>0</v>
      </c>
      <c r="D12" s="9">
        <v>0</v>
      </c>
      <c r="E12" s="9">
        <v>0</v>
      </c>
      <c r="F12" s="9">
        <v>0</v>
      </c>
      <c r="G12" s="9" t="s">
        <v>76</v>
      </c>
      <c r="H12" s="9"/>
    </row>
    <row r="13" spans="2:8" ht="15" thickBot="1">
      <c r="B13" s="1" t="s">
        <v>9</v>
      </c>
      <c r="C13" s="9">
        <v>65</v>
      </c>
      <c r="D13" s="9">
        <v>70</v>
      </c>
      <c r="E13" s="9">
        <v>75</v>
      </c>
      <c r="F13" s="9">
        <v>75</v>
      </c>
      <c r="G13" s="9"/>
      <c r="H13" s="9"/>
    </row>
    <row r="14" spans="2:8" ht="15" thickBot="1">
      <c r="B14" s="1" t="s">
        <v>11</v>
      </c>
      <c r="C14" s="9">
        <v>24</v>
      </c>
      <c r="D14" s="9">
        <v>24</v>
      </c>
      <c r="E14" s="9">
        <v>24</v>
      </c>
      <c r="F14" s="9">
        <v>24</v>
      </c>
      <c r="G14" s="9"/>
      <c r="H14" s="9">
        <v>2</v>
      </c>
    </row>
    <row r="15" spans="2:8" ht="15" thickBot="1">
      <c r="B15" s="3" t="s">
        <v>12</v>
      </c>
      <c r="C15" s="12"/>
      <c r="D15" s="12"/>
      <c r="E15" s="12"/>
      <c r="F15" s="12"/>
      <c r="G15" s="12"/>
      <c r="H15" s="13"/>
    </row>
    <row r="16" spans="2:8" ht="15.6" thickBot="1">
      <c r="B16" s="1" t="s">
        <v>13</v>
      </c>
      <c r="C16" s="179">
        <v>0</v>
      </c>
      <c r="D16" s="179">
        <v>0</v>
      </c>
      <c r="E16" s="179">
        <v>0</v>
      </c>
      <c r="F16" s="179">
        <v>0</v>
      </c>
      <c r="G16" s="9"/>
      <c r="H16" s="9"/>
    </row>
    <row r="17" spans="2:8" ht="15.6" thickBot="1">
      <c r="B17" s="1" t="s">
        <v>15</v>
      </c>
      <c r="C17" s="9">
        <v>90</v>
      </c>
      <c r="D17" s="9">
        <v>90</v>
      </c>
      <c r="E17" s="9">
        <v>90</v>
      </c>
      <c r="F17" s="9">
        <v>90</v>
      </c>
      <c r="G17" s="9"/>
      <c r="H17" s="9"/>
    </row>
    <row r="18" spans="2:8" ht="15.6" thickBot="1">
      <c r="B18" s="1" t="s">
        <v>17</v>
      </c>
      <c r="C18" s="9">
        <v>320</v>
      </c>
      <c r="D18" s="9">
        <v>125</v>
      </c>
      <c r="E18" s="9">
        <v>100</v>
      </c>
      <c r="F18" s="9">
        <v>100</v>
      </c>
      <c r="G18" s="9"/>
      <c r="H18" s="9">
        <v>1</v>
      </c>
    </row>
    <row r="19" spans="2:8" ht="15.6" thickBot="1">
      <c r="B19" s="1" t="s">
        <v>18</v>
      </c>
      <c r="C19" s="179">
        <v>0</v>
      </c>
      <c r="D19" s="179">
        <v>0</v>
      </c>
      <c r="E19" s="179">
        <v>0</v>
      </c>
      <c r="F19" s="179">
        <v>0</v>
      </c>
      <c r="G19" s="9"/>
      <c r="H19" s="9"/>
    </row>
    <row r="20" spans="2:8" ht="15" thickBot="1">
      <c r="B20" s="1" t="s">
        <v>19</v>
      </c>
      <c r="C20" s="9">
        <v>50</v>
      </c>
      <c r="D20" s="9">
        <v>40</v>
      </c>
      <c r="E20" s="9">
        <v>30</v>
      </c>
      <c r="F20" s="9">
        <v>25</v>
      </c>
      <c r="G20" s="9" t="s">
        <v>6</v>
      </c>
      <c r="H20" s="9">
        <v>1</v>
      </c>
    </row>
    <row r="21" spans="2:8" ht="15" thickBot="1">
      <c r="B21" s="3" t="s">
        <v>22</v>
      </c>
      <c r="C21" s="12"/>
      <c r="D21" s="12"/>
      <c r="E21" s="12"/>
      <c r="F21" s="12"/>
      <c r="G21" s="12"/>
      <c r="H21" s="13"/>
    </row>
    <row r="22" spans="2:8" ht="15" thickBot="1">
      <c r="B22" s="1" t="s">
        <v>23</v>
      </c>
      <c r="C22" s="9" t="s">
        <v>68</v>
      </c>
      <c r="D22" s="9" t="s">
        <v>68</v>
      </c>
      <c r="E22" s="9" t="s">
        <v>68</v>
      </c>
      <c r="F22" s="9" t="s">
        <v>68</v>
      </c>
      <c r="G22" s="9"/>
      <c r="H22" s="9"/>
    </row>
    <row r="23" spans="2:8">
      <c r="B23" s="6" t="s">
        <v>24</v>
      </c>
      <c r="C23" s="14">
        <v>2.6</v>
      </c>
      <c r="D23" s="14">
        <v>2.6</v>
      </c>
      <c r="E23" s="14">
        <v>3.5</v>
      </c>
      <c r="F23" s="14">
        <v>3.5</v>
      </c>
      <c r="G23" s="14" t="s">
        <v>20</v>
      </c>
      <c r="H23" s="14">
        <v>2</v>
      </c>
    </row>
    <row r="24" spans="2:8">
      <c r="B24" s="6" t="s">
        <v>71</v>
      </c>
      <c r="C24" s="14" t="s">
        <v>86</v>
      </c>
      <c r="D24" s="14">
        <v>2</v>
      </c>
      <c r="E24" s="14">
        <v>2.5</v>
      </c>
      <c r="F24" s="14">
        <v>2.5</v>
      </c>
      <c r="G24" s="14"/>
      <c r="H24" s="14">
        <v>2</v>
      </c>
    </row>
    <row r="25" spans="2:8" ht="15" thickBot="1">
      <c r="B25" s="1" t="s">
        <v>87</v>
      </c>
      <c r="C25" s="9" t="s">
        <v>88</v>
      </c>
      <c r="D25" s="9">
        <v>0.6</v>
      </c>
      <c r="E25" s="9">
        <v>1</v>
      </c>
      <c r="F25" s="9">
        <v>1</v>
      </c>
      <c r="G25" s="9"/>
      <c r="H25" s="9">
        <v>2</v>
      </c>
    </row>
    <row r="26" spans="2:8" ht="24.6" thickBot="1">
      <c r="B26" s="1" t="s">
        <v>30</v>
      </c>
      <c r="C26" s="9">
        <v>1.6</v>
      </c>
      <c r="D26" s="9">
        <v>1.6</v>
      </c>
      <c r="E26" s="9">
        <v>1.6</v>
      </c>
      <c r="F26" s="9">
        <v>1.6</v>
      </c>
      <c r="G26" s="9" t="s">
        <v>59</v>
      </c>
      <c r="H26" s="9"/>
    </row>
    <row r="27" spans="2:8" ht="15" thickBot="1">
      <c r="B27" s="1" t="s">
        <v>50</v>
      </c>
      <c r="C27" s="9">
        <v>0.1</v>
      </c>
      <c r="D27" s="9">
        <v>0.1</v>
      </c>
      <c r="E27" s="9">
        <v>0.1</v>
      </c>
      <c r="F27" s="9">
        <v>0.2</v>
      </c>
      <c r="G27" s="9"/>
      <c r="H27" s="9"/>
    </row>
    <row r="28" spans="2:8" ht="15" thickBot="1">
      <c r="B28" s="1" t="s">
        <v>31</v>
      </c>
      <c r="C28" s="9" t="s">
        <v>68</v>
      </c>
      <c r="D28" s="9" t="s">
        <v>68</v>
      </c>
      <c r="E28" s="9" t="s">
        <v>68</v>
      </c>
      <c r="F28" s="9" t="s">
        <v>68</v>
      </c>
      <c r="G28" s="9"/>
      <c r="H28" s="9"/>
    </row>
    <row r="32" spans="2:8" ht="15" thickBot="1"/>
    <row r="33" spans="2:8">
      <c r="B33" s="1254" t="s">
        <v>0</v>
      </c>
      <c r="C33" s="1256" t="s">
        <v>89</v>
      </c>
      <c r="D33" s="1257"/>
      <c r="E33" s="1257"/>
      <c r="F33" s="1257"/>
      <c r="G33" s="1257"/>
      <c r="H33" s="1258"/>
    </row>
    <row r="34" spans="2:8" ht="15" thickBot="1">
      <c r="B34" s="1255"/>
      <c r="C34" s="1131" t="s">
        <v>38</v>
      </c>
      <c r="D34" s="1132"/>
      <c r="E34" s="1132"/>
      <c r="F34" s="1132"/>
      <c r="G34" s="1132"/>
      <c r="H34" s="1133"/>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32" t="s">
        <v>293</v>
      </c>
      <c r="D37" s="32" t="s">
        <v>294</v>
      </c>
      <c r="E37" s="33" t="s">
        <v>90</v>
      </c>
      <c r="F37" s="33" t="s">
        <v>91</v>
      </c>
      <c r="G37" s="13"/>
      <c r="H37" s="13"/>
    </row>
    <row r="38" spans="2:8" ht="24.6" thickBot="1">
      <c r="B38" s="1" t="s">
        <v>7</v>
      </c>
      <c r="C38" s="9" t="s">
        <v>92</v>
      </c>
      <c r="D38" s="9" t="s">
        <v>92</v>
      </c>
      <c r="E38" s="9" t="s">
        <v>92</v>
      </c>
      <c r="F38" s="9" t="s">
        <v>92</v>
      </c>
      <c r="G38" s="13" t="s">
        <v>16</v>
      </c>
      <c r="H38" s="13"/>
    </row>
    <row r="39" spans="2:8" ht="24.6" thickBot="1">
      <c r="B39" s="1" t="s">
        <v>8</v>
      </c>
      <c r="C39" s="9">
        <v>20</v>
      </c>
      <c r="D39" s="9">
        <v>20</v>
      </c>
      <c r="E39" s="9">
        <v>20</v>
      </c>
      <c r="F39" s="9">
        <v>20</v>
      </c>
      <c r="G39" s="13" t="s">
        <v>76</v>
      </c>
      <c r="H39" s="13"/>
    </row>
    <row r="40" spans="2:8" ht="15" thickBot="1">
      <c r="B40" s="1" t="s">
        <v>9</v>
      </c>
      <c r="C40" s="9">
        <v>65</v>
      </c>
      <c r="D40" s="9">
        <v>70</v>
      </c>
      <c r="E40" s="9">
        <v>75</v>
      </c>
      <c r="F40" s="9">
        <v>75</v>
      </c>
      <c r="G40" s="9"/>
      <c r="H40" s="9"/>
    </row>
    <row r="41" spans="2:8" ht="15" thickBot="1">
      <c r="B41" s="1" t="s">
        <v>11</v>
      </c>
      <c r="C41" s="9">
        <v>24</v>
      </c>
      <c r="D41" s="9">
        <v>24</v>
      </c>
      <c r="E41" s="9">
        <v>24</v>
      </c>
      <c r="F41" s="9">
        <v>24</v>
      </c>
      <c r="G41" s="9"/>
      <c r="H41" s="9">
        <v>2</v>
      </c>
    </row>
    <row r="42" spans="2:8" ht="15" thickBot="1">
      <c r="B42" s="3" t="s">
        <v>12</v>
      </c>
      <c r="C42" s="16"/>
      <c r="D42" s="16"/>
      <c r="E42" s="16"/>
      <c r="F42" s="16"/>
      <c r="G42" s="16"/>
      <c r="H42" s="9"/>
    </row>
    <row r="43" spans="2:8" ht="15.6" thickBot="1">
      <c r="B43" s="1" t="s">
        <v>13</v>
      </c>
      <c r="C43" s="179">
        <v>0</v>
      </c>
      <c r="D43" s="179">
        <v>0</v>
      </c>
      <c r="E43" s="179">
        <v>0</v>
      </c>
      <c r="F43" s="179">
        <v>0</v>
      </c>
      <c r="G43" s="9"/>
      <c r="H43" s="9"/>
    </row>
    <row r="44" spans="2:8" ht="15.6" thickBot="1">
      <c r="B44" s="1" t="s">
        <v>15</v>
      </c>
      <c r="C44" s="9">
        <v>90</v>
      </c>
      <c r="D44" s="9">
        <v>90</v>
      </c>
      <c r="E44" s="9">
        <v>90</v>
      </c>
      <c r="F44" s="9">
        <v>90</v>
      </c>
      <c r="G44" s="13"/>
      <c r="H44" s="13"/>
    </row>
    <row r="45" spans="2:8" ht="15.6" thickBot="1">
      <c r="B45" s="1" t="s">
        <v>17</v>
      </c>
      <c r="C45" s="9">
        <v>320</v>
      </c>
      <c r="D45" s="9">
        <v>125</v>
      </c>
      <c r="E45" s="9">
        <v>100</v>
      </c>
      <c r="F45" s="9">
        <v>100</v>
      </c>
      <c r="G45" s="9"/>
      <c r="H45" s="9">
        <v>1</v>
      </c>
    </row>
    <row r="46" spans="2:8" ht="15.6" thickBot="1">
      <c r="B46" s="1" t="s">
        <v>18</v>
      </c>
      <c r="C46" s="179">
        <v>0</v>
      </c>
      <c r="D46" s="179">
        <v>0</v>
      </c>
      <c r="E46" s="179">
        <v>0</v>
      </c>
      <c r="F46" s="179">
        <v>0</v>
      </c>
      <c r="G46" s="9"/>
      <c r="H46" s="9"/>
    </row>
    <row r="47" spans="2:8" ht="15" thickBot="1">
      <c r="B47" s="1" t="s">
        <v>19</v>
      </c>
      <c r="C47" s="9"/>
      <c r="D47" s="9"/>
      <c r="E47" s="9"/>
      <c r="F47" s="9"/>
      <c r="G47" s="9"/>
      <c r="H47" s="9">
        <v>1</v>
      </c>
    </row>
    <row r="48" spans="2:8" ht="15" thickBot="1">
      <c r="B48" s="3" t="s">
        <v>22</v>
      </c>
      <c r="C48" s="16"/>
      <c r="D48" s="16"/>
      <c r="E48" s="16"/>
      <c r="F48" s="16"/>
      <c r="G48" s="16"/>
      <c r="H48" s="9"/>
    </row>
    <row r="49" spans="2:8" ht="15" thickBot="1">
      <c r="B49" s="1" t="s">
        <v>23</v>
      </c>
      <c r="C49" s="9" t="s">
        <v>68</v>
      </c>
      <c r="D49" s="9" t="s">
        <v>68</v>
      </c>
      <c r="E49" s="9" t="s">
        <v>68</v>
      </c>
      <c r="F49" s="9" t="s">
        <v>68</v>
      </c>
      <c r="G49" s="9" t="s">
        <v>6</v>
      </c>
      <c r="H49" s="9">
        <v>1</v>
      </c>
    </row>
    <row r="50" spans="2:8">
      <c r="B50" s="6" t="s">
        <v>24</v>
      </c>
      <c r="C50" s="14">
        <v>2.6</v>
      </c>
      <c r="D50" s="14">
        <v>2.6</v>
      </c>
      <c r="E50" s="14">
        <v>3.5</v>
      </c>
      <c r="F50" s="14">
        <v>3.5</v>
      </c>
      <c r="G50" s="17" t="s">
        <v>20</v>
      </c>
      <c r="H50" s="17">
        <v>2</v>
      </c>
    </row>
    <row r="51" spans="2:8">
      <c r="B51" s="6" t="s">
        <v>26</v>
      </c>
      <c r="C51" s="14" t="s">
        <v>86</v>
      </c>
      <c r="D51" s="14">
        <v>2</v>
      </c>
      <c r="E51" s="14">
        <v>2.5</v>
      </c>
      <c r="F51" s="14">
        <v>2.5</v>
      </c>
      <c r="G51" s="14"/>
      <c r="H51" s="14">
        <v>2</v>
      </c>
    </row>
    <row r="52" spans="2:8" ht="15" thickBot="1">
      <c r="B52" s="1" t="s">
        <v>28</v>
      </c>
      <c r="C52" s="9" t="s">
        <v>68</v>
      </c>
      <c r="D52" s="9" t="s">
        <v>68</v>
      </c>
      <c r="E52" s="9" t="s">
        <v>68</v>
      </c>
      <c r="F52" s="9" t="s">
        <v>68</v>
      </c>
      <c r="G52" s="9"/>
      <c r="H52" s="9">
        <v>2</v>
      </c>
    </row>
    <row r="53" spans="2:8" ht="24.6" thickBot="1">
      <c r="B53" s="1" t="s">
        <v>30</v>
      </c>
      <c r="C53" s="9">
        <v>1.3</v>
      </c>
      <c r="D53" s="9">
        <v>1.3</v>
      </c>
      <c r="E53" s="9">
        <v>1.3</v>
      </c>
      <c r="F53" s="9">
        <v>1.3</v>
      </c>
      <c r="G53" s="9" t="s">
        <v>59</v>
      </c>
      <c r="H53" s="9"/>
    </row>
    <row r="54" spans="2:8" ht="15" thickBot="1">
      <c r="B54" s="1" t="s">
        <v>50</v>
      </c>
      <c r="C54" s="9">
        <v>0.1</v>
      </c>
      <c r="D54" s="9">
        <v>0.1</v>
      </c>
      <c r="E54" s="9">
        <v>0.1</v>
      </c>
      <c r="F54" s="9">
        <v>0.2</v>
      </c>
      <c r="G54" s="9"/>
      <c r="H54" s="9"/>
    </row>
    <row r="55" spans="2:8" ht="15" thickBot="1">
      <c r="B55" s="1" t="s">
        <v>31</v>
      </c>
      <c r="C55" s="9" t="s">
        <v>68</v>
      </c>
      <c r="D55" s="9" t="s">
        <v>68</v>
      </c>
      <c r="E55" s="9" t="s">
        <v>68</v>
      </c>
      <c r="F55" s="9" t="s">
        <v>68</v>
      </c>
      <c r="G55" s="9"/>
      <c r="H55" s="9"/>
    </row>
    <row r="156" spans="7:7">
      <c r="G156" s="263" t="s">
        <v>600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tabColor theme="4"/>
  </sheetPr>
  <dimension ref="B3:X156"/>
  <sheetViews>
    <sheetView workbookViewId="0">
      <selection activeCell="E46" sqref="E46"/>
    </sheetView>
  </sheetViews>
  <sheetFormatPr defaultRowHeight="14.4"/>
  <cols>
    <col min="2" max="2" width="36.77734375" customWidth="1"/>
  </cols>
  <sheetData>
    <row r="3" spans="2:24">
      <c r="B3" s="8" t="s">
        <v>313</v>
      </c>
      <c r="G3" t="s">
        <v>334</v>
      </c>
      <c r="H3" s="36">
        <v>7.45</v>
      </c>
    </row>
    <row r="5" spans="2:24" ht="15" thickBot="1"/>
    <row r="6" spans="2:24">
      <c r="B6" s="1254" t="s">
        <v>0</v>
      </c>
      <c r="C6" s="1256" t="s">
        <v>93</v>
      </c>
      <c r="D6" s="1257"/>
      <c r="E6" s="1257"/>
      <c r="F6" s="1257"/>
      <c r="G6" s="1257"/>
      <c r="H6" s="1258"/>
      <c r="J6" s="1256" t="str">
        <f>C6</f>
        <v>Heat pump, air-to-air</v>
      </c>
      <c r="K6" s="1257"/>
      <c r="L6" s="1257"/>
      <c r="M6" s="1257"/>
      <c r="N6" s="1257"/>
      <c r="O6" s="1258"/>
    </row>
    <row r="7" spans="2:24" ht="15" thickBot="1">
      <c r="B7" s="1255"/>
      <c r="C7" s="1131" t="s">
        <v>38</v>
      </c>
      <c r="D7" s="1132"/>
      <c r="E7" s="1132"/>
      <c r="F7" s="1132"/>
      <c r="G7" s="1132"/>
      <c r="H7" s="1133"/>
      <c r="J7" s="1131" t="str">
        <f>C7</f>
        <v>One-family house, existing and new building</v>
      </c>
      <c r="K7" s="1132"/>
      <c r="L7" s="1132"/>
      <c r="M7" s="1132"/>
      <c r="N7" s="1132"/>
      <c r="O7" s="1133"/>
    </row>
    <row r="8" spans="2:24" ht="15" thickBot="1">
      <c r="B8" s="1"/>
      <c r="C8" s="80">
        <v>2015</v>
      </c>
      <c r="D8" s="80">
        <v>2020</v>
      </c>
      <c r="E8" s="80">
        <v>2030</v>
      </c>
      <c r="F8" s="80">
        <v>2050</v>
      </c>
      <c r="G8" s="80" t="s">
        <v>2</v>
      </c>
      <c r="H8" s="80" t="s">
        <v>3</v>
      </c>
      <c r="J8" s="53" t="s">
        <v>357</v>
      </c>
    </row>
    <row r="9" spans="2:24" ht="28.2" thickBot="1">
      <c r="B9" s="3" t="s">
        <v>4</v>
      </c>
      <c r="C9" s="79"/>
      <c r="D9" s="79"/>
      <c r="E9" s="79"/>
      <c r="F9" s="79"/>
      <c r="G9" s="79"/>
      <c r="H9" s="80"/>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34" t="s">
        <v>295</v>
      </c>
      <c r="D10" s="34" t="s">
        <v>295</v>
      </c>
      <c r="E10" s="34" t="s">
        <v>295</v>
      </c>
      <c r="F10" s="34" t="s">
        <v>295</v>
      </c>
      <c r="G10" s="80" t="s">
        <v>20</v>
      </c>
      <c r="H10" s="80"/>
      <c r="J10" s="50"/>
      <c r="K10" s="50"/>
      <c r="L10" s="51"/>
      <c r="M10" s="51"/>
      <c r="N10" s="51"/>
      <c r="O10" s="52"/>
      <c r="P10" s="50"/>
      <c r="Q10" s="50"/>
      <c r="R10" s="50"/>
      <c r="S10" s="50"/>
      <c r="T10" s="50"/>
      <c r="U10" s="50"/>
      <c r="V10" s="50"/>
      <c r="W10" s="50"/>
      <c r="X10" s="50"/>
    </row>
    <row r="11" spans="2:24" ht="24.6" thickBot="1">
      <c r="B11" s="1" t="s">
        <v>7</v>
      </c>
      <c r="C11" s="80">
        <v>60</v>
      </c>
      <c r="D11" s="80">
        <v>60</v>
      </c>
      <c r="E11" s="80">
        <v>60</v>
      </c>
      <c r="F11" s="80">
        <v>60</v>
      </c>
      <c r="G11" s="80" t="s">
        <v>16</v>
      </c>
      <c r="H11" s="80"/>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80">
        <v>0</v>
      </c>
      <c r="D12" s="80">
        <v>0</v>
      </c>
      <c r="E12" s="80">
        <v>0</v>
      </c>
      <c r="F12" s="80">
        <v>0</v>
      </c>
      <c r="G12" s="80"/>
      <c r="H12" s="80"/>
      <c r="J12" s="58">
        <f>C8</f>
        <v>2015</v>
      </c>
      <c r="K12" s="58">
        <f>J12</f>
        <v>2015</v>
      </c>
      <c r="L12" s="58">
        <f>C13/100</f>
        <v>3</v>
      </c>
      <c r="M12" s="58"/>
      <c r="N12" s="58">
        <f>C14</f>
        <v>20</v>
      </c>
      <c r="O12" s="59">
        <f>C29</f>
        <v>4023.0000000000005</v>
      </c>
      <c r="P12" s="59">
        <f>C31</f>
        <v>62.580000000000005</v>
      </c>
      <c r="Q12" s="197">
        <f>C32</f>
        <v>0</v>
      </c>
      <c r="R12" s="58"/>
      <c r="S12" s="58"/>
      <c r="T12" s="58">
        <f>C16</f>
        <v>0</v>
      </c>
      <c r="U12" s="58">
        <f>C17</f>
        <v>0</v>
      </c>
      <c r="V12" s="58">
        <f>C18</f>
        <v>0</v>
      </c>
      <c r="W12" s="58">
        <f>C19</f>
        <v>0</v>
      </c>
      <c r="X12" s="58">
        <f>C20</f>
        <v>0</v>
      </c>
    </row>
    <row r="13" spans="2:24" ht="15" thickBot="1">
      <c r="B13" s="1" t="s">
        <v>9</v>
      </c>
      <c r="C13" s="80">
        <v>300</v>
      </c>
      <c r="D13" s="80">
        <v>320</v>
      </c>
      <c r="E13" s="80">
        <v>370</v>
      </c>
      <c r="F13" s="80">
        <v>400</v>
      </c>
      <c r="G13" s="80" t="s">
        <v>6</v>
      </c>
      <c r="H13" s="80" t="s">
        <v>10</v>
      </c>
      <c r="J13" s="58">
        <f>D8</f>
        <v>2020</v>
      </c>
      <c r="K13" s="58"/>
      <c r="L13" s="58">
        <f>D13/100</f>
        <v>3.2</v>
      </c>
      <c r="M13" s="58"/>
      <c r="N13" s="58">
        <f>D14</f>
        <v>20</v>
      </c>
      <c r="O13" s="59">
        <f>D29</f>
        <v>3874</v>
      </c>
      <c r="P13" s="59">
        <f>D31</f>
        <v>62.580000000000005</v>
      </c>
      <c r="Q13" s="197">
        <f>D32</f>
        <v>0</v>
      </c>
      <c r="R13" s="58"/>
      <c r="S13" s="58"/>
      <c r="T13" s="58">
        <f>D16</f>
        <v>0</v>
      </c>
      <c r="U13" s="58">
        <f>D17</f>
        <v>0</v>
      </c>
      <c r="V13" s="58">
        <f>D18</f>
        <v>0</v>
      </c>
      <c r="W13" s="58">
        <f>D19</f>
        <v>0</v>
      </c>
      <c r="X13" s="58">
        <f>D20</f>
        <v>0</v>
      </c>
    </row>
    <row r="14" spans="2:24" ht="15" thickBot="1">
      <c r="B14" s="1" t="s">
        <v>11</v>
      </c>
      <c r="C14" s="80">
        <v>20</v>
      </c>
      <c r="D14" s="80">
        <v>20</v>
      </c>
      <c r="E14" s="80">
        <v>20</v>
      </c>
      <c r="F14" s="80">
        <v>20</v>
      </c>
      <c r="G14" s="80"/>
      <c r="H14" s="80"/>
      <c r="J14" s="58">
        <f>E8</f>
        <v>2030</v>
      </c>
      <c r="K14" s="58"/>
      <c r="L14" s="58">
        <f>E13/100</f>
        <v>3.7</v>
      </c>
      <c r="M14" s="58"/>
      <c r="N14" s="58">
        <f>E14</f>
        <v>20</v>
      </c>
      <c r="O14" s="59">
        <f>E29</f>
        <v>3576</v>
      </c>
      <c r="P14" s="59">
        <f>E31</f>
        <v>62.580000000000005</v>
      </c>
      <c r="Q14" s="197">
        <f>E32</f>
        <v>0</v>
      </c>
      <c r="R14" s="58"/>
      <c r="S14" s="58"/>
      <c r="T14" s="58">
        <f>E16</f>
        <v>0</v>
      </c>
      <c r="U14" s="58">
        <f>E17</f>
        <v>0</v>
      </c>
      <c r="V14" s="58">
        <f>E18</f>
        <v>0</v>
      </c>
      <c r="W14" s="58">
        <f>E19</f>
        <v>0</v>
      </c>
      <c r="X14" s="58">
        <f>E20</f>
        <v>0</v>
      </c>
    </row>
    <row r="15" spans="2:24" ht="15" thickBot="1">
      <c r="B15" s="3" t="s">
        <v>12</v>
      </c>
      <c r="C15" s="79"/>
      <c r="D15" s="79"/>
      <c r="E15" s="79"/>
      <c r="F15" s="79"/>
      <c r="G15" s="79"/>
      <c r="H15" s="80"/>
      <c r="J15" s="58">
        <f>F8</f>
        <v>2050</v>
      </c>
      <c r="K15" s="58"/>
      <c r="L15" s="58">
        <f>F13/100</f>
        <v>4</v>
      </c>
      <c r="M15" s="58"/>
      <c r="N15" s="58">
        <f>F14</f>
        <v>20</v>
      </c>
      <c r="O15" s="59">
        <f>F29</f>
        <v>3426.9999999999995</v>
      </c>
      <c r="P15" s="59">
        <f>F31</f>
        <v>62.580000000000005</v>
      </c>
      <c r="Q15" s="197">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2" t="s">
        <v>98</v>
      </c>
      <c r="H16" s="175"/>
      <c r="J16" s="54"/>
      <c r="K16" s="54"/>
      <c r="L16" s="54"/>
      <c r="M16" s="54"/>
    </row>
    <row r="17" spans="2:13" ht="15.6" thickBot="1">
      <c r="B17" s="1" t="s">
        <v>15</v>
      </c>
      <c r="C17" s="193">
        <v>0</v>
      </c>
      <c r="D17" s="189">
        <v>0</v>
      </c>
      <c r="E17" s="189">
        <v>0</v>
      </c>
      <c r="F17" s="185">
        <v>0</v>
      </c>
      <c r="G17" s="1273"/>
      <c r="H17" s="176"/>
      <c r="J17" s="55"/>
      <c r="K17" s="55"/>
      <c r="L17" s="55"/>
      <c r="M17" s="55"/>
    </row>
    <row r="18" spans="2:13" ht="15.6" thickBot="1">
      <c r="B18" s="1" t="s">
        <v>17</v>
      </c>
      <c r="C18" s="193">
        <v>0</v>
      </c>
      <c r="D18" s="189">
        <v>0</v>
      </c>
      <c r="E18" s="189">
        <v>0</v>
      </c>
      <c r="F18" s="185">
        <v>0</v>
      </c>
      <c r="G18" s="1273"/>
      <c r="H18" s="176"/>
    </row>
    <row r="19" spans="2:13" ht="15.6" thickBot="1">
      <c r="B19" s="1" t="s">
        <v>18</v>
      </c>
      <c r="C19" s="193">
        <v>0</v>
      </c>
      <c r="D19" s="189">
        <v>0</v>
      </c>
      <c r="E19" s="189">
        <v>0</v>
      </c>
      <c r="F19" s="185">
        <v>0</v>
      </c>
      <c r="G19" s="1273"/>
      <c r="H19" s="176"/>
    </row>
    <row r="20" spans="2:13" ht="15" thickBot="1">
      <c r="B20" s="1" t="s">
        <v>19</v>
      </c>
      <c r="C20" s="194">
        <v>0</v>
      </c>
      <c r="D20" s="195">
        <v>0</v>
      </c>
      <c r="E20" s="195">
        <v>0</v>
      </c>
      <c r="F20" s="35">
        <v>0</v>
      </c>
      <c r="G20" s="1274"/>
      <c r="H20" s="177"/>
    </row>
    <row r="21" spans="2:13" ht="15" thickBot="1">
      <c r="B21" s="3" t="s">
        <v>22</v>
      </c>
      <c r="C21" s="18"/>
      <c r="D21" s="18"/>
      <c r="E21" s="18"/>
      <c r="F21" s="18"/>
      <c r="G21" s="68" t="s">
        <v>329</v>
      </c>
      <c r="H21" s="2"/>
    </row>
    <row r="22" spans="2:13" ht="15" thickBot="1">
      <c r="B22" s="1" t="s">
        <v>23</v>
      </c>
      <c r="C22" s="41">
        <f>C23/$G22</f>
        <v>0.54</v>
      </c>
      <c r="D22" s="41">
        <f>D23/$G22</f>
        <v>0.52</v>
      </c>
      <c r="E22" s="41">
        <f>E23/$G22</f>
        <v>0.48</v>
      </c>
      <c r="F22" s="41">
        <f>F23/$G22</f>
        <v>0.45999999999999996</v>
      </c>
      <c r="G22" s="73">
        <v>5</v>
      </c>
      <c r="H22" s="73" t="str">
        <f>H30</f>
        <v>kW</v>
      </c>
    </row>
    <row r="23" spans="2:13">
      <c r="B23" s="6" t="s">
        <v>24</v>
      </c>
      <c r="C23" s="7">
        <v>2.7</v>
      </c>
      <c r="D23" s="7">
        <v>2.6</v>
      </c>
      <c r="E23" s="7">
        <v>2.4</v>
      </c>
      <c r="F23" s="7">
        <v>2.2999999999999998</v>
      </c>
      <c r="G23" s="7" t="s">
        <v>6</v>
      </c>
      <c r="H23" s="7" t="s">
        <v>94</v>
      </c>
    </row>
    <row r="24" spans="2:13">
      <c r="B24" s="6" t="s">
        <v>26</v>
      </c>
      <c r="C24" s="7" t="s">
        <v>95</v>
      </c>
      <c r="D24" s="7">
        <v>80</v>
      </c>
      <c r="E24" s="7">
        <v>80</v>
      </c>
      <c r="F24" s="7">
        <v>80</v>
      </c>
      <c r="G24" s="7"/>
      <c r="H24" s="7"/>
    </row>
    <row r="25" spans="2:13" ht="15" thickBot="1">
      <c r="B25" s="1" t="s">
        <v>96</v>
      </c>
      <c r="C25" s="2" t="s">
        <v>97</v>
      </c>
      <c r="D25" s="2">
        <v>20</v>
      </c>
      <c r="E25" s="2">
        <v>20</v>
      </c>
      <c r="F25" s="2">
        <v>20</v>
      </c>
      <c r="G25" s="2"/>
      <c r="H25" s="2"/>
    </row>
    <row r="26" spans="2:13" ht="24.6" thickBot="1">
      <c r="B26" s="1" t="s">
        <v>30</v>
      </c>
      <c r="C26" s="2"/>
      <c r="D26" s="2"/>
      <c r="E26" s="2"/>
      <c r="F26" s="2"/>
      <c r="G26" s="2"/>
      <c r="H26" s="2"/>
    </row>
    <row r="27" spans="2:13" ht="15" thickBot="1">
      <c r="B27" s="1" t="s">
        <v>64</v>
      </c>
      <c r="C27" s="2">
        <v>42</v>
      </c>
      <c r="D27" s="2">
        <v>42</v>
      </c>
      <c r="E27" s="2">
        <v>42</v>
      </c>
      <c r="F27" s="2">
        <v>42</v>
      </c>
      <c r="G27" s="2" t="s">
        <v>59</v>
      </c>
      <c r="H27" s="2">
        <v>2</v>
      </c>
    </row>
    <row r="28" spans="2:13" ht="15" thickBot="1">
      <c r="B28" s="1" t="s">
        <v>31</v>
      </c>
      <c r="C28" s="2"/>
      <c r="D28" s="2"/>
      <c r="E28" s="2"/>
      <c r="F28" s="2"/>
      <c r="G28" s="2"/>
      <c r="H28" s="2"/>
      <c r="I28" s="64"/>
      <c r="J28" s="64"/>
    </row>
    <row r="29" spans="2:13">
      <c r="B29" s="36" t="s">
        <v>353</v>
      </c>
      <c r="C29" s="42">
        <f>C22*$H$3*1000</f>
        <v>4023.0000000000005</v>
      </c>
      <c r="D29" s="42">
        <f>D22*$H$3*1000</f>
        <v>3874</v>
      </c>
      <c r="E29" s="42">
        <f>E22*$H$3*1000</f>
        <v>3576</v>
      </c>
      <c r="F29" s="42">
        <f>F22*$H$3*1000</f>
        <v>3426.9999999999995</v>
      </c>
      <c r="G29" s="63" t="s">
        <v>332</v>
      </c>
      <c r="H29" s="63"/>
      <c r="I29" s="64"/>
    </row>
    <row r="30" spans="2:13">
      <c r="B30" s="36" t="s">
        <v>354</v>
      </c>
      <c r="C30" s="42">
        <f>C23*$H$3</f>
        <v>20.115000000000002</v>
      </c>
      <c r="D30" s="42">
        <f>D23*$H$3</f>
        <v>19.37</v>
      </c>
      <c r="E30" s="42">
        <f>E23*$H$3</f>
        <v>17.88</v>
      </c>
      <c r="F30" s="42">
        <f>F23*$H$3</f>
        <v>17.134999999999998</v>
      </c>
      <c r="G30" s="67">
        <v>5</v>
      </c>
      <c r="H30" s="63" t="s">
        <v>330</v>
      </c>
      <c r="I30" s="64"/>
    </row>
    <row r="31" spans="2:13">
      <c r="B31" s="36" t="s">
        <v>355</v>
      </c>
      <c r="C31" s="42">
        <f>C27*$H$3/$G30</f>
        <v>62.580000000000005</v>
      </c>
      <c r="D31" s="42">
        <f>D27*$H$3/$G30</f>
        <v>62.580000000000005</v>
      </c>
      <c r="E31" s="42">
        <f>E27*$H$3/$G30</f>
        <v>62.580000000000005</v>
      </c>
      <c r="F31" s="42">
        <f>F27*$H$3/$G30</f>
        <v>62.580000000000005</v>
      </c>
      <c r="G31" s="63" t="s">
        <v>333</v>
      </c>
      <c r="H31" s="63"/>
      <c r="I31" s="64"/>
    </row>
    <row r="32" spans="2:13" ht="15" thickBot="1">
      <c r="B32" s="36" t="s">
        <v>356</v>
      </c>
      <c r="C32" s="42">
        <f>C28*$H$3</f>
        <v>0</v>
      </c>
      <c r="D32" s="42">
        <f>D28*$H$3</f>
        <v>0</v>
      </c>
      <c r="E32" s="42">
        <f>E28*$H$3</f>
        <v>0</v>
      </c>
      <c r="F32" s="42">
        <f>F28*$H$3</f>
        <v>0</v>
      </c>
      <c r="G32" s="66"/>
      <c r="H32" s="63"/>
      <c r="I32" s="64"/>
    </row>
    <row r="33" spans="9:9">
      <c r="I33" s="64"/>
    </row>
    <row r="156" spans="7:7">
      <c r="G156" s="263" t="s">
        <v>600</v>
      </c>
    </row>
  </sheetData>
  <mergeCells count="6">
    <mergeCell ref="G16:G20"/>
    <mergeCell ref="B6:B7"/>
    <mergeCell ref="C6:H6"/>
    <mergeCell ref="C7:H7"/>
    <mergeCell ref="J6:O6"/>
    <mergeCell ref="J7:O7"/>
  </mergeCells>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
    <tabColor theme="4"/>
  </sheetPr>
  <dimension ref="B3:X156"/>
  <sheetViews>
    <sheetView zoomScale="85" zoomScaleNormal="85" workbookViewId="0">
      <selection activeCell="F153" sqref="F153"/>
    </sheetView>
  </sheetViews>
  <sheetFormatPr defaultRowHeight="14.4"/>
  <cols>
    <col min="2" max="2" width="36.77734375" customWidth="1"/>
    <col min="3" max="6" width="10" bestFit="1" customWidth="1"/>
    <col min="10" max="10" width="9.21875" customWidth="1"/>
    <col min="18" max="18" width="9.21875" customWidth="1"/>
  </cols>
  <sheetData>
    <row r="3" spans="2:24">
      <c r="B3" s="8" t="s">
        <v>314</v>
      </c>
    </row>
    <row r="4" spans="2:24">
      <c r="E4" t="s">
        <v>334</v>
      </c>
      <c r="F4" s="36">
        <v>7.45</v>
      </c>
      <c r="G4" t="s">
        <v>328</v>
      </c>
    </row>
    <row r="5" spans="2:24" ht="15" thickBot="1"/>
    <row r="6" spans="2:24">
      <c r="B6" s="1254" t="s">
        <v>0</v>
      </c>
      <c r="C6" s="1256" t="s">
        <v>99</v>
      </c>
      <c r="D6" s="1257"/>
      <c r="E6" s="1257"/>
      <c r="F6" s="1257"/>
      <c r="G6" s="1257"/>
      <c r="H6" s="1258"/>
      <c r="J6" s="1256" t="str">
        <f>C6</f>
        <v>Heat pump, air-to-water</v>
      </c>
      <c r="K6" s="1257"/>
      <c r="L6" s="1257"/>
      <c r="M6" s="1257"/>
      <c r="N6" s="1257"/>
      <c r="O6" s="1258"/>
    </row>
    <row r="7" spans="2:24" ht="15" thickBot="1">
      <c r="B7" s="1255"/>
      <c r="C7" s="1131" t="s">
        <v>1</v>
      </c>
      <c r="D7" s="1132"/>
      <c r="E7" s="1132"/>
      <c r="F7" s="1132"/>
      <c r="G7" s="1132"/>
      <c r="H7" s="1133"/>
      <c r="J7" s="1131" t="str">
        <f>C7</f>
        <v>One-family house, existing building</v>
      </c>
      <c r="K7" s="1132"/>
      <c r="L7" s="1132"/>
      <c r="M7" s="1132"/>
      <c r="N7" s="1132"/>
      <c r="O7" s="113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4.6" thickBot="1">
      <c r="B11" s="1" t="s">
        <v>100</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101</v>
      </c>
      <c r="C12" s="2">
        <v>100</v>
      </c>
      <c r="D12" s="2">
        <v>100</v>
      </c>
      <c r="E12" s="2">
        <v>100</v>
      </c>
      <c r="F12" s="2">
        <v>100</v>
      </c>
      <c r="G12" s="2" t="s">
        <v>16</v>
      </c>
      <c r="H12" s="2"/>
      <c r="J12" s="58">
        <f>C8</f>
        <v>2015</v>
      </c>
      <c r="K12" s="58">
        <f>J12</f>
        <v>2015</v>
      </c>
      <c r="L12" s="58">
        <f>C13/100</f>
        <v>3</v>
      </c>
      <c r="M12" s="58"/>
      <c r="N12" s="58">
        <f>C14</f>
        <v>20</v>
      </c>
      <c r="O12" s="59">
        <f>C29</f>
        <v>9685</v>
      </c>
      <c r="P12" s="59">
        <f>C31</f>
        <v>100.575</v>
      </c>
      <c r="Q12" s="59">
        <f>C32</f>
        <v>0</v>
      </c>
      <c r="R12" s="58"/>
      <c r="S12" s="58"/>
      <c r="T12" s="58">
        <f>C16</f>
        <v>0</v>
      </c>
      <c r="U12" s="58">
        <f>C17</f>
        <v>0</v>
      </c>
      <c r="V12" s="58">
        <f>C18</f>
        <v>0</v>
      </c>
      <c r="W12" s="58">
        <f>C19</f>
        <v>0</v>
      </c>
      <c r="X12" s="58">
        <f>C20</f>
        <v>0</v>
      </c>
    </row>
    <row r="13" spans="2:24" ht="24.6" thickBot="1">
      <c r="B13" s="1" t="s">
        <v>9</v>
      </c>
      <c r="C13" s="2">
        <v>300</v>
      </c>
      <c r="D13" s="2">
        <v>330</v>
      </c>
      <c r="E13" s="2">
        <v>370</v>
      </c>
      <c r="F13" s="2">
        <v>400</v>
      </c>
      <c r="G13" s="2" t="s">
        <v>102</v>
      </c>
      <c r="H13" s="2" t="s">
        <v>103</v>
      </c>
      <c r="J13" s="58">
        <f>D8</f>
        <v>2020</v>
      </c>
      <c r="K13" s="58"/>
      <c r="L13" s="58">
        <f>D13/100</f>
        <v>3.3</v>
      </c>
      <c r="M13" s="58"/>
      <c r="N13" s="58">
        <f>D14</f>
        <v>20</v>
      </c>
      <c r="O13" s="59">
        <f>D29</f>
        <v>8940</v>
      </c>
      <c r="P13" s="59">
        <f>D31</f>
        <v>100.575</v>
      </c>
      <c r="Q13" s="59">
        <f>D32</f>
        <v>0</v>
      </c>
      <c r="R13" s="58"/>
      <c r="S13" s="58"/>
      <c r="T13" s="58">
        <f>D16</f>
        <v>0</v>
      </c>
      <c r="U13" s="58">
        <f>D17</f>
        <v>0</v>
      </c>
      <c r="V13" s="58">
        <f>D18</f>
        <v>0</v>
      </c>
      <c r="W13" s="58">
        <f>D19</f>
        <v>0</v>
      </c>
      <c r="X13" s="58">
        <f>D20</f>
        <v>0</v>
      </c>
    </row>
    <row r="14" spans="2:24" ht="15" thickBot="1">
      <c r="B14" s="1" t="s">
        <v>11</v>
      </c>
      <c r="C14" s="2">
        <v>20</v>
      </c>
      <c r="D14" s="2">
        <v>20</v>
      </c>
      <c r="E14" s="2">
        <v>20</v>
      </c>
      <c r="F14" s="2">
        <v>20</v>
      </c>
      <c r="G14" s="2"/>
      <c r="H14" s="2"/>
      <c r="J14" s="58">
        <f>E8</f>
        <v>2030</v>
      </c>
      <c r="K14" s="58"/>
      <c r="L14" s="58">
        <f>E13/100</f>
        <v>3.7</v>
      </c>
      <c r="M14" s="58"/>
      <c r="N14" s="58">
        <f>E14</f>
        <v>20</v>
      </c>
      <c r="O14" s="59">
        <f>E29</f>
        <v>8940</v>
      </c>
      <c r="P14" s="59">
        <f>E31</f>
        <v>100.575</v>
      </c>
      <c r="Q14" s="59">
        <f>E32</f>
        <v>0</v>
      </c>
      <c r="R14" s="58"/>
      <c r="S14" s="58"/>
      <c r="T14" s="58">
        <f>E16</f>
        <v>0</v>
      </c>
      <c r="U14" s="58">
        <f>E17</f>
        <v>0</v>
      </c>
      <c r="V14" s="58">
        <f>E18</f>
        <v>0</v>
      </c>
      <c r="W14" s="58">
        <f>E19</f>
        <v>0</v>
      </c>
      <c r="X14" s="58">
        <f>E20</f>
        <v>0</v>
      </c>
    </row>
    <row r="15" spans="2:24" ht="15" thickBot="1">
      <c r="B15" s="3" t="s">
        <v>12</v>
      </c>
      <c r="C15" s="18"/>
      <c r="D15" s="18"/>
      <c r="E15" s="18"/>
      <c r="F15" s="18"/>
      <c r="G15" s="18"/>
      <c r="H15" s="2"/>
      <c r="J15" s="58">
        <f>F8</f>
        <v>2050</v>
      </c>
      <c r="K15" s="58"/>
      <c r="L15" s="58">
        <f>F13/100</f>
        <v>4</v>
      </c>
      <c r="M15" s="58"/>
      <c r="N15" s="58">
        <f>F14</f>
        <v>20</v>
      </c>
      <c r="O15" s="59">
        <f>F29</f>
        <v>8195</v>
      </c>
      <c r="P15" s="59">
        <f>F31</f>
        <v>100.575</v>
      </c>
      <c r="Q15" s="59">
        <f>F32</f>
        <v>0</v>
      </c>
      <c r="R15" s="58"/>
      <c r="S15" s="58"/>
      <c r="T15" s="58"/>
      <c r="U15" s="58">
        <f>F17</f>
        <v>0</v>
      </c>
      <c r="V15" s="58">
        <f>F18</f>
        <v>0</v>
      </c>
      <c r="W15" s="58">
        <f>F19</f>
        <v>0</v>
      </c>
      <c r="X15" s="58">
        <f>F20</f>
        <v>0</v>
      </c>
    </row>
    <row r="16" spans="2:24" ht="27" customHeight="1" thickBot="1">
      <c r="B16" s="1" t="s">
        <v>13</v>
      </c>
      <c r="C16" s="189">
        <v>0</v>
      </c>
      <c r="D16" s="189">
        <v>0</v>
      </c>
      <c r="E16" s="189">
        <v>0</v>
      </c>
      <c r="F16" s="189">
        <v>0</v>
      </c>
      <c r="G16" s="1272" t="s">
        <v>98</v>
      </c>
      <c r="H16" s="175"/>
    </row>
    <row r="17" spans="2:9" ht="15.6" thickBot="1">
      <c r="B17" s="1" t="s">
        <v>15</v>
      </c>
      <c r="C17" s="189">
        <v>0</v>
      </c>
      <c r="D17" s="189">
        <v>0</v>
      </c>
      <c r="E17" s="189">
        <v>0</v>
      </c>
      <c r="F17" s="189">
        <v>0</v>
      </c>
      <c r="G17" s="1273"/>
      <c r="H17" s="176"/>
    </row>
    <row r="18" spans="2:9" ht="15.6" thickBot="1">
      <c r="B18" s="1" t="s">
        <v>17</v>
      </c>
      <c r="C18" s="189">
        <v>0</v>
      </c>
      <c r="D18" s="189">
        <v>0</v>
      </c>
      <c r="E18" s="189">
        <v>0</v>
      </c>
      <c r="F18" s="189">
        <v>0</v>
      </c>
      <c r="G18" s="1273"/>
      <c r="H18" s="176"/>
    </row>
    <row r="19" spans="2:9" ht="15.6" thickBot="1">
      <c r="B19" s="1" t="s">
        <v>18</v>
      </c>
      <c r="C19" s="189">
        <v>0</v>
      </c>
      <c r="D19" s="189">
        <v>0</v>
      </c>
      <c r="E19" s="189">
        <v>0</v>
      </c>
      <c r="F19" s="189">
        <v>0</v>
      </c>
      <c r="G19" s="1273"/>
      <c r="H19" s="176"/>
    </row>
    <row r="20" spans="2:9" ht="15" thickBot="1">
      <c r="B20" s="1" t="s">
        <v>19</v>
      </c>
      <c r="C20" s="189">
        <v>0</v>
      </c>
      <c r="D20" s="189">
        <v>0</v>
      </c>
      <c r="E20" s="189">
        <v>0</v>
      </c>
      <c r="F20" s="189">
        <v>0</v>
      </c>
      <c r="G20" s="1274"/>
      <c r="H20" s="177"/>
    </row>
    <row r="21" spans="2:9" ht="15" thickBot="1">
      <c r="B21" s="3" t="s">
        <v>22</v>
      </c>
      <c r="C21" s="18"/>
      <c r="D21" s="18"/>
      <c r="E21" s="18"/>
      <c r="F21" s="18"/>
      <c r="G21" s="68" t="s">
        <v>329</v>
      </c>
      <c r="H21" s="2"/>
    </row>
    <row r="22" spans="2:9" ht="15" thickBot="1">
      <c r="B22" s="1" t="s">
        <v>23</v>
      </c>
      <c r="C22" s="43">
        <f>C23/C10</f>
        <v>1.3</v>
      </c>
      <c r="D22" s="43">
        <f>D23/D10</f>
        <v>1.2</v>
      </c>
      <c r="E22" s="43">
        <f>E23/E10</f>
        <v>1.2</v>
      </c>
      <c r="F22" s="43">
        <f>F23/F10</f>
        <v>1.1000000000000001</v>
      </c>
      <c r="G22" s="68">
        <f>G30</f>
        <v>10</v>
      </c>
      <c r="H22" s="68" t="s">
        <v>359</v>
      </c>
      <c r="I22" s="64"/>
    </row>
    <row r="23" spans="2:9">
      <c r="B23" s="6" t="s">
        <v>24</v>
      </c>
      <c r="C23" s="7">
        <v>13</v>
      </c>
      <c r="D23" s="7">
        <v>12</v>
      </c>
      <c r="E23" s="7">
        <v>12</v>
      </c>
      <c r="F23" s="7">
        <v>11</v>
      </c>
      <c r="G23" s="7" t="s">
        <v>104</v>
      </c>
      <c r="H23" s="7" t="s">
        <v>105</v>
      </c>
    </row>
    <row r="24" spans="2:9">
      <c r="B24" s="6" t="s">
        <v>26</v>
      </c>
      <c r="C24" s="7" t="s">
        <v>106</v>
      </c>
      <c r="D24" s="7">
        <v>85</v>
      </c>
      <c r="E24" s="7">
        <v>85</v>
      </c>
      <c r="F24" s="7">
        <v>85</v>
      </c>
      <c r="G24" s="7"/>
      <c r="H24" s="7"/>
    </row>
    <row r="25" spans="2:9" ht="15" thickBot="1">
      <c r="B25" s="1" t="s">
        <v>96</v>
      </c>
      <c r="C25" s="2" t="s">
        <v>107</v>
      </c>
      <c r="D25" s="2">
        <v>15</v>
      </c>
      <c r="E25" s="2">
        <v>15</v>
      </c>
      <c r="F25" s="2">
        <v>15</v>
      </c>
      <c r="G25" s="2"/>
      <c r="H25" s="2"/>
    </row>
    <row r="26" spans="2:9" ht="24.6" thickBot="1">
      <c r="B26" s="1" t="s">
        <v>30</v>
      </c>
      <c r="C26" s="2"/>
      <c r="D26" s="2"/>
      <c r="E26" s="2"/>
      <c r="F26" s="2"/>
      <c r="G26" s="2"/>
      <c r="H26" s="2"/>
    </row>
    <row r="27" spans="2:9" ht="15" thickBot="1">
      <c r="B27" s="1" t="s">
        <v>64</v>
      </c>
      <c r="C27" s="2">
        <v>135</v>
      </c>
      <c r="D27" s="2">
        <v>135</v>
      </c>
      <c r="E27" s="2">
        <v>135</v>
      </c>
      <c r="F27" s="2">
        <v>135</v>
      </c>
      <c r="G27" s="2" t="s">
        <v>20</v>
      </c>
      <c r="H27" s="2">
        <v>2</v>
      </c>
    </row>
    <row r="28" spans="2:9">
      <c r="B28" s="6" t="s">
        <v>31</v>
      </c>
      <c r="C28" s="187"/>
      <c r="D28" s="187"/>
      <c r="E28" s="187"/>
      <c r="F28" s="187"/>
      <c r="G28" s="7"/>
      <c r="H28" s="7"/>
    </row>
    <row r="29" spans="2:9">
      <c r="B29" s="36" t="s">
        <v>353</v>
      </c>
      <c r="C29" s="60">
        <f>C22*$F$4*1000</f>
        <v>9685</v>
      </c>
      <c r="D29" s="60">
        <f t="shared" ref="C29:F30" si="0">D22*$F$4*1000</f>
        <v>8940</v>
      </c>
      <c r="E29" s="60">
        <f t="shared" si="0"/>
        <v>8940</v>
      </c>
      <c r="F29" s="60">
        <f t="shared" si="0"/>
        <v>8195</v>
      </c>
      <c r="G29" s="63" t="s">
        <v>332</v>
      </c>
      <c r="H29" s="63"/>
    </row>
    <row r="30" spans="2:9">
      <c r="B30" s="36" t="s">
        <v>354</v>
      </c>
      <c r="C30" s="60">
        <f t="shared" si="0"/>
        <v>96850.000000000015</v>
      </c>
      <c r="D30" s="60">
        <f t="shared" si="0"/>
        <v>89400</v>
      </c>
      <c r="E30" s="60">
        <f t="shared" si="0"/>
        <v>89400</v>
      </c>
      <c r="F30" s="60">
        <f t="shared" si="0"/>
        <v>81950</v>
      </c>
      <c r="G30" s="70">
        <f>C10</f>
        <v>10</v>
      </c>
      <c r="H30" s="69" t="s">
        <v>330</v>
      </c>
    </row>
    <row r="31" spans="2:9">
      <c r="B31" s="36" t="s">
        <v>355</v>
      </c>
      <c r="C31" s="60">
        <f>C27*$F$4/C10</f>
        <v>100.575</v>
      </c>
      <c r="D31" s="60">
        <f>D27*$F$4/D10</f>
        <v>100.575</v>
      </c>
      <c r="E31" s="60">
        <f>E27*$F$4/E10</f>
        <v>100.575</v>
      </c>
      <c r="F31" s="60">
        <f>F27*$F$4/F10</f>
        <v>100.575</v>
      </c>
      <c r="G31" s="69" t="s">
        <v>331</v>
      </c>
      <c r="H31" s="69"/>
    </row>
    <row r="32" spans="2:9" ht="15" thickBot="1">
      <c r="B32" s="36" t="s">
        <v>356</v>
      </c>
      <c r="C32" s="186">
        <f>C28*$F$4</f>
        <v>0</v>
      </c>
      <c r="D32" s="186">
        <f>D28*$F$4</f>
        <v>0</v>
      </c>
      <c r="E32" s="186">
        <f>E28*$F$4</f>
        <v>0</v>
      </c>
      <c r="F32" s="186">
        <f>F28*$F$4</f>
        <v>0</v>
      </c>
      <c r="G32" s="61"/>
      <c r="H32" s="61"/>
    </row>
    <row r="33" spans="2:24">
      <c r="B33" s="1275" t="s">
        <v>0</v>
      </c>
      <c r="C33" s="1139" t="s">
        <v>99</v>
      </c>
      <c r="D33" s="1264"/>
      <c r="E33" s="1264"/>
      <c r="F33" s="1264"/>
      <c r="G33" s="1264"/>
      <c r="H33" s="1141"/>
      <c r="J33" s="1256" t="str">
        <f>C33</f>
        <v>Heat pump, air-to-water</v>
      </c>
      <c r="K33" s="1257"/>
      <c r="L33" s="1257"/>
      <c r="M33" s="1257"/>
      <c r="N33" s="1257"/>
      <c r="O33" s="1258"/>
    </row>
    <row r="34" spans="2:24" ht="15" thickBot="1">
      <c r="B34" s="1255"/>
      <c r="C34" s="1131" t="s">
        <v>32</v>
      </c>
      <c r="D34" s="1132"/>
      <c r="E34" s="1132"/>
      <c r="F34" s="1132"/>
      <c r="G34" s="1132"/>
      <c r="H34" s="1133"/>
      <c r="J34" s="1131" t="str">
        <f>C34</f>
        <v>Apartment complex, existing building</v>
      </c>
      <c r="K34" s="1132"/>
      <c r="L34" s="1132"/>
      <c r="M34" s="1132"/>
      <c r="N34" s="1132"/>
      <c r="O34" s="1133"/>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4.6" thickBot="1">
      <c r="B38" s="1" t="s">
        <v>100</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101</v>
      </c>
      <c r="C39" s="2">
        <v>100</v>
      </c>
      <c r="D39" s="2">
        <v>100</v>
      </c>
      <c r="E39" s="2">
        <v>100</v>
      </c>
      <c r="F39" s="2">
        <v>100</v>
      </c>
      <c r="G39" s="2" t="s">
        <v>16</v>
      </c>
      <c r="H39" s="2"/>
      <c r="J39" s="58">
        <f>C35</f>
        <v>2015</v>
      </c>
      <c r="K39" s="58">
        <f>J39</f>
        <v>2015</v>
      </c>
      <c r="L39" s="58">
        <f>C40/100</f>
        <v>3</v>
      </c>
      <c r="M39" s="58"/>
      <c r="N39" s="58">
        <f>C41</f>
        <v>20</v>
      </c>
      <c r="O39" s="59">
        <f>C56</f>
        <v>7450</v>
      </c>
      <c r="P39" s="59">
        <f>C58</f>
        <v>7.45</v>
      </c>
      <c r="Q39" s="59">
        <f>C59</f>
        <v>0</v>
      </c>
      <c r="R39" s="58"/>
      <c r="S39" s="58"/>
      <c r="T39" s="58"/>
      <c r="U39" s="58"/>
      <c r="V39" s="58"/>
      <c r="W39" s="58"/>
      <c r="X39" s="58"/>
    </row>
    <row r="40" spans="2:24" ht="24.6" thickBot="1">
      <c r="B40" s="1" t="s">
        <v>9</v>
      </c>
      <c r="C40" s="2">
        <v>300</v>
      </c>
      <c r="D40" s="2">
        <v>330</v>
      </c>
      <c r="E40" s="2">
        <v>370</v>
      </c>
      <c r="F40" s="2">
        <v>400</v>
      </c>
      <c r="G40" s="2" t="s">
        <v>102</v>
      </c>
      <c r="H40" s="2" t="s">
        <v>103</v>
      </c>
      <c r="J40" s="58">
        <f>D35</f>
        <v>2020</v>
      </c>
      <c r="K40" s="58"/>
      <c r="L40" s="58">
        <f>D40/100</f>
        <v>3.3</v>
      </c>
      <c r="M40" s="58"/>
      <c r="N40" s="58">
        <f>D41</f>
        <v>20</v>
      </c>
      <c r="O40" s="59">
        <f>D56</f>
        <v>7450</v>
      </c>
      <c r="P40" s="59">
        <f>D58</f>
        <v>7.45</v>
      </c>
      <c r="Q40" s="59">
        <f>D59</f>
        <v>0</v>
      </c>
      <c r="R40" s="58"/>
      <c r="S40" s="58"/>
      <c r="T40" s="58"/>
      <c r="U40" s="58"/>
      <c r="V40" s="58"/>
      <c r="W40" s="58"/>
      <c r="X40" s="58"/>
    </row>
    <row r="41" spans="2:24" ht="15" thickBot="1">
      <c r="B41" s="1" t="s">
        <v>11</v>
      </c>
      <c r="C41" s="2">
        <v>20</v>
      </c>
      <c r="D41" s="2">
        <v>20</v>
      </c>
      <c r="E41" s="2">
        <v>20</v>
      </c>
      <c r="F41" s="2">
        <v>20</v>
      </c>
      <c r="G41" s="2"/>
      <c r="H41" s="2"/>
      <c r="J41" s="58">
        <f>E35</f>
        <v>2030</v>
      </c>
      <c r="K41" s="58"/>
      <c r="L41" s="58">
        <f>E40/100</f>
        <v>3.7</v>
      </c>
      <c r="M41" s="58"/>
      <c r="N41" s="58">
        <f>E41</f>
        <v>20</v>
      </c>
      <c r="O41" s="59">
        <f>E56</f>
        <v>6705</v>
      </c>
      <c r="P41" s="59">
        <f>E58</f>
        <v>7.45</v>
      </c>
      <c r="Q41" s="59">
        <f>E59</f>
        <v>0</v>
      </c>
      <c r="R41" s="58"/>
      <c r="S41" s="58"/>
      <c r="T41" s="58"/>
      <c r="U41" s="58"/>
      <c r="V41" s="58"/>
      <c r="W41" s="58"/>
      <c r="X41" s="58"/>
    </row>
    <row r="42" spans="2:24" ht="15" thickBot="1">
      <c r="B42" s="3" t="s">
        <v>12</v>
      </c>
      <c r="C42" s="18"/>
      <c r="D42" s="18"/>
      <c r="E42" s="18"/>
      <c r="F42" s="18"/>
      <c r="G42" s="18"/>
      <c r="H42" s="2"/>
      <c r="J42" s="58">
        <f>F35</f>
        <v>2050</v>
      </c>
      <c r="K42" s="58"/>
      <c r="L42" s="58">
        <f>F40/100</f>
        <v>4</v>
      </c>
      <c r="M42" s="58"/>
      <c r="N42" s="58">
        <f>F41</f>
        <v>20</v>
      </c>
      <c r="O42" s="59">
        <f>F56</f>
        <v>6705</v>
      </c>
      <c r="P42" s="59">
        <f>F58</f>
        <v>7.45</v>
      </c>
      <c r="Q42" s="59">
        <f>F59</f>
        <v>0</v>
      </c>
      <c r="R42" s="58"/>
      <c r="S42" s="58"/>
      <c r="T42" s="58"/>
      <c r="U42" s="58"/>
      <c r="V42" s="58"/>
      <c r="W42" s="58"/>
      <c r="X42" s="58"/>
    </row>
    <row r="43" spans="2:24" ht="27" customHeight="1" thickBot="1">
      <c r="B43" s="1" t="s">
        <v>13</v>
      </c>
      <c r="C43" s="1276" t="s">
        <v>98</v>
      </c>
      <c r="D43" s="1277"/>
      <c r="E43" s="1277"/>
      <c r="F43" s="1277"/>
      <c r="G43" s="1277"/>
      <c r="H43" s="1278"/>
    </row>
    <row r="44" spans="2:24" ht="15.6" thickBot="1">
      <c r="B44" s="1" t="s">
        <v>15</v>
      </c>
      <c r="C44" s="1279"/>
      <c r="D44" s="1280"/>
      <c r="E44" s="1280"/>
      <c r="F44" s="1280"/>
      <c r="G44" s="1280"/>
      <c r="H44" s="1281"/>
    </row>
    <row r="45" spans="2:24" ht="15.6" thickBot="1">
      <c r="B45" s="1" t="s">
        <v>17</v>
      </c>
      <c r="C45" s="1279"/>
      <c r="D45" s="1280"/>
      <c r="E45" s="1280"/>
      <c r="F45" s="1280"/>
      <c r="G45" s="1280"/>
      <c r="H45" s="1281"/>
    </row>
    <row r="46" spans="2:24" ht="15.6" thickBot="1">
      <c r="B46" s="1" t="s">
        <v>18</v>
      </c>
      <c r="C46" s="1279"/>
      <c r="D46" s="1280"/>
      <c r="E46" s="1280"/>
      <c r="F46" s="1280"/>
      <c r="G46" s="1280"/>
      <c r="H46" s="1281"/>
    </row>
    <row r="47" spans="2:24" ht="15" thickBot="1">
      <c r="B47" s="1" t="s">
        <v>19</v>
      </c>
      <c r="C47" s="1282"/>
      <c r="D47" s="1283"/>
      <c r="E47" s="1283"/>
      <c r="F47" s="1283"/>
      <c r="G47" s="1283"/>
      <c r="H47" s="1284"/>
    </row>
    <row r="48" spans="2:24" ht="15" thickBot="1">
      <c r="B48" s="3" t="s">
        <v>22</v>
      </c>
      <c r="C48" s="18"/>
      <c r="D48" s="18"/>
      <c r="E48" s="18"/>
      <c r="F48" s="18"/>
      <c r="G48" s="18"/>
      <c r="H48" s="2"/>
    </row>
    <row r="49" spans="2:24" ht="15" thickBot="1">
      <c r="B49" s="1" t="s">
        <v>23</v>
      </c>
      <c r="C49" s="2">
        <v>1</v>
      </c>
      <c r="D49" s="2">
        <v>1</v>
      </c>
      <c r="E49" s="2">
        <v>0.9</v>
      </c>
      <c r="F49" s="2">
        <v>0.9</v>
      </c>
      <c r="G49" s="2" t="s">
        <v>109</v>
      </c>
      <c r="H49" s="2" t="s">
        <v>105</v>
      </c>
    </row>
    <row r="50" spans="2:24">
      <c r="B50" s="6" t="s">
        <v>24</v>
      </c>
      <c r="C50" s="7"/>
      <c r="D50" s="7"/>
      <c r="E50" s="7"/>
      <c r="F50" s="7"/>
      <c r="G50" s="7"/>
      <c r="H50" s="7"/>
    </row>
    <row r="51" spans="2:24">
      <c r="B51" s="6" t="s">
        <v>26</v>
      </c>
      <c r="C51" s="7"/>
      <c r="D51" s="7"/>
      <c r="E51" s="7"/>
      <c r="F51" s="7"/>
      <c r="G51" s="7"/>
      <c r="H51" s="7"/>
    </row>
    <row r="52" spans="2:24" ht="15" thickBot="1">
      <c r="B52" s="1" t="s">
        <v>96</v>
      </c>
      <c r="C52" s="2"/>
      <c r="D52" s="2"/>
      <c r="E52" s="2"/>
      <c r="F52" s="2"/>
      <c r="G52" s="2"/>
      <c r="H52" s="2"/>
    </row>
    <row r="53" spans="2:24" ht="24.6" thickBot="1">
      <c r="B53" s="1" t="s">
        <v>30</v>
      </c>
      <c r="C53" s="2"/>
      <c r="D53" s="2"/>
      <c r="E53" s="2"/>
      <c r="F53" s="2"/>
      <c r="G53" s="2"/>
      <c r="H53" s="2"/>
    </row>
    <row r="54" spans="2:24" ht="15" thickBot="1">
      <c r="B54" s="1" t="s">
        <v>64</v>
      </c>
      <c r="C54" s="2">
        <v>400</v>
      </c>
      <c r="D54" s="2">
        <v>400</v>
      </c>
      <c r="E54" s="2">
        <v>400</v>
      </c>
      <c r="F54" s="2">
        <v>400</v>
      </c>
      <c r="G54" s="2" t="s">
        <v>20</v>
      </c>
      <c r="H54" s="2">
        <v>2</v>
      </c>
    </row>
    <row r="55" spans="2:24" ht="15" thickBot="1">
      <c r="B55" s="1" t="s">
        <v>31</v>
      </c>
      <c r="C55" s="2"/>
      <c r="D55" s="2"/>
      <c r="E55" s="2"/>
      <c r="F55" s="2"/>
      <c r="G55" s="2"/>
      <c r="H55" s="2"/>
      <c r="I55" s="40"/>
    </row>
    <row r="56" spans="2:24">
      <c r="B56" s="36" t="s">
        <v>353</v>
      </c>
      <c r="C56" s="42">
        <f>C49*$F$4*1000</f>
        <v>7450</v>
      </c>
      <c r="D56" s="42">
        <f>D49*$F$4*1000</f>
        <v>7450</v>
      </c>
      <c r="E56" s="42">
        <f>E49*$F$4*1000</f>
        <v>6705</v>
      </c>
      <c r="F56" s="42">
        <f>F49*$F$4*1000</f>
        <v>6705</v>
      </c>
      <c r="G56" s="63" t="s">
        <v>332</v>
      </c>
      <c r="H56" s="63"/>
      <c r="J56" s="40"/>
    </row>
    <row r="57" spans="2:24">
      <c r="B57" s="36" t="s">
        <v>354</v>
      </c>
      <c r="C57" s="42">
        <f>C56*$G57</f>
        <v>2980000</v>
      </c>
      <c r="D57" s="42">
        <f>D56*$G57</f>
        <v>2980000</v>
      </c>
      <c r="E57" s="42">
        <f>E56*$G57</f>
        <v>2682000</v>
      </c>
      <c r="F57" s="42">
        <f>F56*$G57</f>
        <v>2682000</v>
      </c>
      <c r="G57" s="67">
        <v>400</v>
      </c>
      <c r="H57" s="63" t="s">
        <v>330</v>
      </c>
      <c r="I57" s="40"/>
    </row>
    <row r="58" spans="2:24">
      <c r="B58" s="36" t="s">
        <v>355</v>
      </c>
      <c r="C58" s="36">
        <f>C54*$F$4/$G57</f>
        <v>7.45</v>
      </c>
      <c r="D58" s="36">
        <f>D54*$F$4/$G57</f>
        <v>7.45</v>
      </c>
      <c r="E58" s="36">
        <f>E54*$F$4/$G57</f>
        <v>7.45</v>
      </c>
      <c r="F58" s="36">
        <f>F54*$F$4/$G57</f>
        <v>7.45</v>
      </c>
      <c r="G58" s="63" t="s">
        <v>333</v>
      </c>
      <c r="H58" s="63"/>
    </row>
    <row r="59" spans="2:24" ht="15" thickBot="1">
      <c r="B59" s="36" t="s">
        <v>356</v>
      </c>
      <c r="C59" s="36">
        <f>C55*$F$4</f>
        <v>0</v>
      </c>
      <c r="D59" s="36">
        <f>D55*$F$4</f>
        <v>0</v>
      </c>
      <c r="E59" s="36">
        <f>E55*$F$4</f>
        <v>0</v>
      </c>
      <c r="F59" s="36">
        <f>F55*$F$4</f>
        <v>0</v>
      </c>
      <c r="G59" s="66"/>
      <c r="H59" s="63"/>
    </row>
    <row r="60" spans="2:24">
      <c r="B60" s="1254" t="s">
        <v>0</v>
      </c>
      <c r="C60" s="1256" t="s">
        <v>99</v>
      </c>
      <c r="D60" s="1257"/>
      <c r="E60" s="1257"/>
      <c r="F60" s="1257"/>
      <c r="G60" s="1257"/>
      <c r="H60" s="1258"/>
      <c r="J60" s="1256" t="str">
        <f>C60</f>
        <v>Heat pump, air-to-water</v>
      </c>
      <c r="K60" s="1257"/>
      <c r="L60" s="1257"/>
      <c r="M60" s="1257"/>
      <c r="N60" s="1257"/>
      <c r="O60" s="1258"/>
    </row>
    <row r="61" spans="2:24" ht="15" thickBot="1">
      <c r="B61" s="1255"/>
      <c r="C61" s="1131" t="s">
        <v>34</v>
      </c>
      <c r="D61" s="1132"/>
      <c r="E61" s="1132"/>
      <c r="F61" s="1132"/>
      <c r="G61" s="1132"/>
      <c r="H61" s="1133"/>
      <c r="J61" s="1131" t="str">
        <f>C61</f>
        <v>One-family house, new building</v>
      </c>
      <c r="K61" s="1132"/>
      <c r="L61" s="1132"/>
      <c r="M61" s="1132"/>
      <c r="N61" s="1132"/>
      <c r="O61" s="1133"/>
    </row>
    <row r="62" spans="2:24" ht="15" thickBot="1">
      <c r="B62" s="1"/>
      <c r="C62" s="2">
        <v>2015</v>
      </c>
      <c r="D62" s="2">
        <v>2020</v>
      </c>
      <c r="E62" s="2">
        <v>2030</v>
      </c>
      <c r="F62" s="2">
        <v>2050</v>
      </c>
      <c r="G62" s="2" t="s">
        <v>2</v>
      </c>
      <c r="H62" s="2" t="s">
        <v>3</v>
      </c>
      <c r="J62" s="53" t="s">
        <v>357</v>
      </c>
    </row>
    <row r="63" spans="2:24" ht="28.2"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4.6"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 t="s">
        <v>8</v>
      </c>
      <c r="C66" s="2">
        <v>100</v>
      </c>
      <c r="D66" s="2">
        <v>100</v>
      </c>
      <c r="E66" s="2">
        <v>100</v>
      </c>
      <c r="F66" s="2">
        <v>100</v>
      </c>
      <c r="G66" s="2" t="s">
        <v>16</v>
      </c>
      <c r="H66" s="2"/>
      <c r="J66" s="58">
        <f>C62</f>
        <v>2015</v>
      </c>
      <c r="K66" s="58">
        <f>J66</f>
        <v>2015</v>
      </c>
      <c r="L66" s="58">
        <f>C67/100</f>
        <v>3</v>
      </c>
      <c r="M66" s="58"/>
      <c r="N66" s="58">
        <f>C68</f>
        <v>20</v>
      </c>
      <c r="O66" s="59">
        <f>C83</f>
        <v>15645.000000000002</v>
      </c>
      <c r="P66" s="59">
        <f>C85</f>
        <v>198.17000000000002</v>
      </c>
      <c r="Q66" s="59">
        <f>C86</f>
        <v>0</v>
      </c>
      <c r="R66" s="58"/>
      <c r="S66" s="58"/>
      <c r="T66" s="58"/>
      <c r="U66" s="58"/>
      <c r="V66" s="58"/>
      <c r="W66" s="58"/>
      <c r="X66" s="58"/>
    </row>
    <row r="67" spans="2:24" ht="24.6" thickBot="1">
      <c r="B67" s="1" t="s">
        <v>9</v>
      </c>
      <c r="C67" s="2">
        <v>300</v>
      </c>
      <c r="D67" s="2">
        <v>330</v>
      </c>
      <c r="E67" s="2">
        <v>370</v>
      </c>
      <c r="F67" s="2">
        <v>400</v>
      </c>
      <c r="G67" s="2" t="s">
        <v>102</v>
      </c>
      <c r="H67" s="2" t="s">
        <v>103</v>
      </c>
      <c r="J67" s="58">
        <f>D62</f>
        <v>2020</v>
      </c>
      <c r="K67" s="58"/>
      <c r="L67" s="58">
        <f>D67/100</f>
        <v>3.3</v>
      </c>
      <c r="M67" s="58"/>
      <c r="N67" s="58">
        <f>D68</f>
        <v>20</v>
      </c>
      <c r="O67" s="59">
        <f>D83</f>
        <v>15049.000000000002</v>
      </c>
      <c r="P67" s="59">
        <f>D85</f>
        <v>198.17000000000002</v>
      </c>
      <c r="Q67" s="59">
        <f>D86</f>
        <v>0</v>
      </c>
      <c r="R67" s="58"/>
      <c r="S67" s="58"/>
      <c r="T67" s="58"/>
      <c r="U67" s="58"/>
      <c r="V67" s="58"/>
      <c r="W67" s="58"/>
      <c r="X67" s="58"/>
    </row>
    <row r="68" spans="2:24" ht="15" thickBot="1">
      <c r="B68" s="1" t="s">
        <v>11</v>
      </c>
      <c r="C68" s="2">
        <v>20</v>
      </c>
      <c r="D68" s="2">
        <v>20</v>
      </c>
      <c r="E68" s="2">
        <v>20</v>
      </c>
      <c r="F68" s="2">
        <v>20</v>
      </c>
      <c r="G68" s="2"/>
      <c r="H68" s="2"/>
      <c r="J68" s="58">
        <f>E62</f>
        <v>2030</v>
      </c>
      <c r="K68" s="58"/>
      <c r="L68" s="58">
        <f>E67/100</f>
        <v>3.7</v>
      </c>
      <c r="M68" s="58"/>
      <c r="N68" s="58">
        <f>E68</f>
        <v>20</v>
      </c>
      <c r="O68" s="59">
        <f>E83</f>
        <v>13857.000000000002</v>
      </c>
      <c r="P68" s="59">
        <f>E85</f>
        <v>198.17000000000002</v>
      </c>
      <c r="Q68" s="59">
        <f>E86</f>
        <v>0</v>
      </c>
      <c r="R68" s="58"/>
      <c r="S68" s="58"/>
      <c r="T68" s="58"/>
      <c r="U68" s="58"/>
      <c r="V68" s="58"/>
      <c r="W68" s="58"/>
      <c r="X68" s="58"/>
    </row>
    <row r="69" spans="2:24" ht="15" thickBot="1">
      <c r="B69" s="3" t="s">
        <v>12</v>
      </c>
      <c r="C69" s="18"/>
      <c r="D69" s="18"/>
      <c r="E69" s="18"/>
      <c r="F69" s="18"/>
      <c r="G69" s="18"/>
      <c r="H69" s="2"/>
      <c r="J69" s="58">
        <f>F62</f>
        <v>2050</v>
      </c>
      <c r="K69" s="58"/>
      <c r="L69" s="58">
        <f>F67/100</f>
        <v>4</v>
      </c>
      <c r="M69" s="58"/>
      <c r="N69" s="58">
        <f>F68</f>
        <v>20</v>
      </c>
      <c r="O69" s="59">
        <f>F83</f>
        <v>13261.000000000002</v>
      </c>
      <c r="P69" s="59">
        <f>F85</f>
        <v>198.17000000000002</v>
      </c>
      <c r="Q69" s="59">
        <f>F86</f>
        <v>0</v>
      </c>
      <c r="R69" s="58"/>
      <c r="S69" s="58"/>
      <c r="T69" s="58"/>
      <c r="U69" s="58"/>
      <c r="V69" s="58"/>
      <c r="W69" s="58"/>
      <c r="X69" s="58"/>
    </row>
    <row r="70" spans="2:24" ht="27" customHeight="1" thickBot="1">
      <c r="B70" s="1" t="s">
        <v>13</v>
      </c>
      <c r="C70" s="1276" t="s">
        <v>98</v>
      </c>
      <c r="D70" s="1277"/>
      <c r="E70" s="1277"/>
      <c r="F70" s="1277"/>
      <c r="G70" s="1277"/>
      <c r="H70" s="1278"/>
    </row>
    <row r="71" spans="2:24" ht="15.6" thickBot="1">
      <c r="B71" s="1" t="s">
        <v>15</v>
      </c>
      <c r="C71" s="1279"/>
      <c r="D71" s="1280"/>
      <c r="E71" s="1280"/>
      <c r="F71" s="1280"/>
      <c r="G71" s="1280"/>
      <c r="H71" s="1281"/>
    </row>
    <row r="72" spans="2:24" ht="15.6" thickBot="1">
      <c r="B72" s="1" t="s">
        <v>17</v>
      </c>
      <c r="C72" s="1279"/>
      <c r="D72" s="1280"/>
      <c r="E72" s="1280"/>
      <c r="F72" s="1280"/>
      <c r="G72" s="1280"/>
      <c r="H72" s="1281"/>
    </row>
    <row r="73" spans="2:24" ht="15.6" thickBot="1">
      <c r="B73" s="1" t="s">
        <v>18</v>
      </c>
      <c r="C73" s="1279"/>
      <c r="D73" s="1280"/>
      <c r="E73" s="1280"/>
      <c r="F73" s="1280"/>
      <c r="G73" s="1280"/>
      <c r="H73" s="1281"/>
    </row>
    <row r="74" spans="2:24" ht="15" thickBot="1">
      <c r="B74" s="1" t="s">
        <v>19</v>
      </c>
      <c r="C74" s="1282"/>
      <c r="D74" s="1283"/>
      <c r="E74" s="1283"/>
      <c r="F74" s="1283"/>
      <c r="G74" s="1283"/>
      <c r="H74" s="1284"/>
    </row>
    <row r="75" spans="2:24" ht="15" thickBot="1">
      <c r="B75" s="3" t="s">
        <v>22</v>
      </c>
      <c r="C75" s="18"/>
      <c r="D75" s="18"/>
      <c r="E75" s="18"/>
      <c r="F75" s="18"/>
      <c r="G75" s="68" t="s">
        <v>329</v>
      </c>
      <c r="H75" s="2"/>
    </row>
    <row r="76" spans="2:24" ht="15" thickBot="1">
      <c r="B76" s="1" t="s">
        <v>23</v>
      </c>
      <c r="C76" s="43">
        <f>C77/C64</f>
        <v>2.1</v>
      </c>
      <c r="D76" s="43">
        <f>D77/D64</f>
        <v>2.02</v>
      </c>
      <c r="E76" s="43">
        <f>E77/E64</f>
        <v>1.86</v>
      </c>
      <c r="F76" s="43">
        <f>F77/F64</f>
        <v>1.78</v>
      </c>
      <c r="G76" s="68">
        <f>G84</f>
        <v>5</v>
      </c>
      <c r="H76" s="68" t="str">
        <f>H84</f>
        <v>kW</v>
      </c>
      <c r="I76" s="64"/>
      <c r="J76" s="64"/>
      <c r="K76" s="64"/>
      <c r="L76" s="64"/>
      <c r="M76" s="64"/>
    </row>
    <row r="77" spans="2:24">
      <c r="B77" s="6" t="s">
        <v>24</v>
      </c>
      <c r="C77" s="7">
        <v>10.5</v>
      </c>
      <c r="D77" s="7">
        <v>10.1</v>
      </c>
      <c r="E77" s="7">
        <v>9.3000000000000007</v>
      </c>
      <c r="F77" s="7">
        <v>8.9</v>
      </c>
      <c r="G77" s="7" t="s">
        <v>109</v>
      </c>
      <c r="H77" s="7" t="s">
        <v>105</v>
      </c>
    </row>
    <row r="78" spans="2:24">
      <c r="B78" s="6" t="s">
        <v>26</v>
      </c>
      <c r="C78" s="7" t="s">
        <v>95</v>
      </c>
      <c r="D78" s="7">
        <v>80</v>
      </c>
      <c r="E78" s="7">
        <v>80</v>
      </c>
      <c r="F78" s="7">
        <v>80</v>
      </c>
      <c r="G78" s="7"/>
      <c r="H78" s="7"/>
    </row>
    <row r="79" spans="2:24" ht="15" thickBot="1">
      <c r="B79" s="1" t="s">
        <v>96</v>
      </c>
      <c r="C79" s="2" t="s">
        <v>97</v>
      </c>
      <c r="D79" s="2">
        <v>20</v>
      </c>
      <c r="E79" s="2">
        <v>20</v>
      </c>
      <c r="F79" s="2">
        <v>20</v>
      </c>
      <c r="G79" s="2"/>
      <c r="H79" s="2"/>
    </row>
    <row r="80" spans="2:24" ht="24.6" thickBot="1">
      <c r="B80" s="1" t="s">
        <v>30</v>
      </c>
      <c r="C80" s="2"/>
      <c r="D80" s="2"/>
      <c r="E80" s="2"/>
      <c r="F80" s="2"/>
      <c r="G80" s="2"/>
      <c r="H80" s="2"/>
    </row>
    <row r="81" spans="2:24" ht="15" thickBot="1">
      <c r="B81" s="1" t="s">
        <v>64</v>
      </c>
      <c r="C81" s="2">
        <v>133</v>
      </c>
      <c r="D81" s="2">
        <v>133</v>
      </c>
      <c r="E81" s="2">
        <v>133</v>
      </c>
      <c r="F81" s="2">
        <v>133</v>
      </c>
      <c r="G81" s="2" t="s">
        <v>20</v>
      </c>
      <c r="H81" s="2">
        <v>2</v>
      </c>
    </row>
    <row r="82" spans="2:24" ht="15" thickBot="1">
      <c r="B82" s="1" t="s">
        <v>31</v>
      </c>
      <c r="C82" s="2"/>
      <c r="D82" s="2"/>
      <c r="E82" s="2"/>
      <c r="F82" s="2"/>
      <c r="G82" s="2"/>
      <c r="H82" s="2"/>
    </row>
    <row r="83" spans="2:24" ht="15" thickBot="1">
      <c r="B83" s="36" t="s">
        <v>353</v>
      </c>
      <c r="C83" s="42">
        <f t="shared" ref="C83:F84" si="1">C76*$F$4*1000</f>
        <v>15645.000000000002</v>
      </c>
      <c r="D83" s="42">
        <f t="shared" si="1"/>
        <v>15049.000000000002</v>
      </c>
      <c r="E83" s="42">
        <f t="shared" si="1"/>
        <v>13857.000000000002</v>
      </c>
      <c r="F83" s="42">
        <f t="shared" si="1"/>
        <v>13261.000000000002</v>
      </c>
      <c r="G83" s="63" t="s">
        <v>332</v>
      </c>
      <c r="H83" s="63"/>
    </row>
    <row r="84" spans="2:24" ht="15" thickBot="1">
      <c r="B84" s="36" t="s">
        <v>354</v>
      </c>
      <c r="C84" s="42">
        <f t="shared" si="1"/>
        <v>78225.000000000015</v>
      </c>
      <c r="D84" s="42">
        <f t="shared" si="1"/>
        <v>75245</v>
      </c>
      <c r="E84" s="42">
        <f t="shared" si="1"/>
        <v>69285.000000000015</v>
      </c>
      <c r="F84" s="42">
        <f t="shared" si="1"/>
        <v>66305</v>
      </c>
      <c r="G84" s="72">
        <f>C64</f>
        <v>5</v>
      </c>
      <c r="H84" s="63" t="s">
        <v>330</v>
      </c>
    </row>
    <row r="85" spans="2:24">
      <c r="B85" s="36" t="s">
        <v>355</v>
      </c>
      <c r="C85" s="42">
        <f>C81*$F$4/C64</f>
        <v>198.17000000000002</v>
      </c>
      <c r="D85" s="42">
        <f>D81*$F$4/D64</f>
        <v>198.17000000000002</v>
      </c>
      <c r="E85" s="42">
        <f>E81*$F$4/E64</f>
        <v>198.17000000000002</v>
      </c>
      <c r="F85" s="42">
        <f>F81*$F$4/F64</f>
        <v>198.17000000000002</v>
      </c>
      <c r="G85" s="63" t="s">
        <v>333</v>
      </c>
      <c r="H85" s="63"/>
    </row>
    <row r="86" spans="2:24" ht="15" thickBot="1">
      <c r="B86" s="36" t="s">
        <v>356</v>
      </c>
      <c r="C86" s="188">
        <f>C82*$F$4</f>
        <v>0</v>
      </c>
      <c r="D86" s="188">
        <f>D82*$F$4</f>
        <v>0</v>
      </c>
      <c r="E86" s="188">
        <f>E82*$F$4</f>
        <v>0</v>
      </c>
      <c r="F86" s="188">
        <f>F82*$F$4</f>
        <v>0</v>
      </c>
      <c r="G86" s="66"/>
      <c r="H86" s="63"/>
    </row>
    <row r="87" spans="2:24" ht="15" customHeight="1">
      <c r="B87" s="1254" t="s">
        <v>0</v>
      </c>
      <c r="C87" s="1256" t="s">
        <v>99</v>
      </c>
      <c r="D87" s="1257"/>
      <c r="E87" s="1257"/>
      <c r="F87" s="1257"/>
      <c r="G87" s="1257"/>
      <c r="H87" s="1258"/>
      <c r="J87" s="1256" t="str">
        <f>C87</f>
        <v>Heat pump, air-to-water</v>
      </c>
      <c r="K87" s="1257"/>
      <c r="L87" s="1257"/>
      <c r="M87" s="1257"/>
      <c r="N87" s="1257"/>
      <c r="O87" s="1258"/>
    </row>
    <row r="88" spans="2:24" ht="15.75" customHeight="1" thickBot="1">
      <c r="B88" s="1255"/>
      <c r="C88" s="1131" t="s">
        <v>35</v>
      </c>
      <c r="D88" s="1132"/>
      <c r="E88" s="1132"/>
      <c r="F88" s="1132"/>
      <c r="G88" s="1132"/>
      <c r="H88" s="1133"/>
      <c r="J88" s="1131" t="str">
        <f>C88</f>
        <v>Apartment complex, new building</v>
      </c>
      <c r="K88" s="1132"/>
      <c r="L88" s="1132"/>
      <c r="M88" s="1132"/>
      <c r="N88" s="1132"/>
      <c r="O88" s="1133"/>
    </row>
    <row r="89" spans="2:24" ht="15" thickBot="1">
      <c r="B89" s="1"/>
      <c r="C89" s="2">
        <v>2015</v>
      </c>
      <c r="D89" s="2">
        <v>2020</v>
      </c>
      <c r="E89" s="2">
        <v>2030</v>
      </c>
      <c r="F89" s="2">
        <v>2050</v>
      </c>
      <c r="G89" s="2" t="s">
        <v>2</v>
      </c>
      <c r="H89" s="2" t="s">
        <v>3</v>
      </c>
      <c r="J89" s="53" t="s">
        <v>357</v>
      </c>
    </row>
    <row r="90" spans="2:24" ht="28.2"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4.6"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 t="s">
        <v>8</v>
      </c>
      <c r="C93" s="2">
        <v>100</v>
      </c>
      <c r="D93" s="2">
        <v>100</v>
      </c>
      <c r="E93" s="2">
        <v>100</v>
      </c>
      <c r="F93" s="2">
        <v>100</v>
      </c>
      <c r="G93" s="2" t="s">
        <v>16</v>
      </c>
      <c r="H93" s="2"/>
      <c r="J93" s="58">
        <f>C89</f>
        <v>2015</v>
      </c>
      <c r="K93" s="58">
        <f>J93</f>
        <v>2015</v>
      </c>
      <c r="L93" s="58">
        <f>C94/100</f>
        <v>3</v>
      </c>
      <c r="M93" s="58"/>
      <c r="N93" s="58">
        <f>C95</f>
        <v>20</v>
      </c>
      <c r="O93" s="59">
        <f>C110</f>
        <v>7450</v>
      </c>
      <c r="P93" s="59">
        <f>C112</f>
        <v>17.529411764705884</v>
      </c>
      <c r="Q93" s="59">
        <f>C113</f>
        <v>0</v>
      </c>
      <c r="R93" s="58"/>
      <c r="S93" s="58"/>
      <c r="T93" s="58"/>
      <c r="U93" s="58"/>
      <c r="V93" s="58"/>
      <c r="W93" s="58"/>
      <c r="X93" s="58"/>
    </row>
    <row r="94" spans="2:24" ht="24.6" thickBot="1">
      <c r="B94" s="1" t="s">
        <v>9</v>
      </c>
      <c r="C94" s="2">
        <v>300</v>
      </c>
      <c r="D94" s="2">
        <v>330</v>
      </c>
      <c r="E94" s="2">
        <v>370</v>
      </c>
      <c r="F94" s="2">
        <v>400</v>
      </c>
      <c r="G94" s="2" t="s">
        <v>102</v>
      </c>
      <c r="H94" s="2" t="s">
        <v>103</v>
      </c>
      <c r="J94" s="58">
        <f>D89</f>
        <v>2020</v>
      </c>
      <c r="K94" s="58"/>
      <c r="L94" s="58">
        <f>D94/100</f>
        <v>3.3</v>
      </c>
      <c r="M94" s="58"/>
      <c r="N94" s="58">
        <f>D95</f>
        <v>20</v>
      </c>
      <c r="O94" s="59">
        <f>D110</f>
        <v>7450</v>
      </c>
      <c r="P94" s="59">
        <f>D112</f>
        <v>17.529411764705884</v>
      </c>
      <c r="Q94" s="59">
        <f>D113</f>
        <v>0</v>
      </c>
      <c r="R94" s="58"/>
      <c r="S94" s="58"/>
      <c r="T94" s="58"/>
      <c r="U94" s="58"/>
      <c r="V94" s="58"/>
      <c r="W94" s="58"/>
      <c r="X94" s="58"/>
    </row>
    <row r="95" spans="2:24" ht="15" thickBot="1">
      <c r="B95" s="1" t="s">
        <v>11</v>
      </c>
      <c r="C95" s="2">
        <v>20</v>
      </c>
      <c r="D95" s="2">
        <v>20</v>
      </c>
      <c r="E95" s="2">
        <v>20</v>
      </c>
      <c r="F95" s="2">
        <v>20</v>
      </c>
      <c r="G95" s="2"/>
      <c r="H95" s="2"/>
      <c r="J95" s="58">
        <f>E89</f>
        <v>2030</v>
      </c>
      <c r="K95" s="58"/>
      <c r="L95" s="58">
        <f>E94/100</f>
        <v>3.7</v>
      </c>
      <c r="M95" s="58"/>
      <c r="N95" s="58">
        <f>E95</f>
        <v>20</v>
      </c>
      <c r="O95" s="59">
        <f>E110</f>
        <v>6705</v>
      </c>
      <c r="P95" s="59">
        <f>E112</f>
        <v>17.529411764705884</v>
      </c>
      <c r="Q95" s="59">
        <f>E113</f>
        <v>0</v>
      </c>
      <c r="R95" s="58"/>
      <c r="S95" s="58"/>
      <c r="T95" s="58"/>
      <c r="U95" s="58"/>
      <c r="V95" s="58"/>
      <c r="W95" s="58"/>
      <c r="X95" s="58"/>
    </row>
    <row r="96" spans="2:24" ht="15" thickBot="1">
      <c r="B96" s="3" t="s">
        <v>12</v>
      </c>
      <c r="C96" s="18"/>
      <c r="D96" s="18"/>
      <c r="E96" s="18"/>
      <c r="F96" s="18"/>
      <c r="G96" s="18"/>
      <c r="H96" s="2"/>
      <c r="J96" s="58">
        <f>F89</f>
        <v>2050</v>
      </c>
      <c r="K96" s="58"/>
      <c r="L96" s="58">
        <f>F94/100</f>
        <v>4</v>
      </c>
      <c r="M96" s="58"/>
      <c r="N96" s="58">
        <f>F95</f>
        <v>20</v>
      </c>
      <c r="O96" s="59">
        <f>F110</f>
        <v>6705</v>
      </c>
      <c r="P96" s="59">
        <f>F112</f>
        <v>17.529411764705884</v>
      </c>
      <c r="Q96" s="59">
        <f>F113</f>
        <v>0</v>
      </c>
      <c r="R96" s="58"/>
      <c r="S96" s="58"/>
      <c r="T96" s="58"/>
      <c r="U96" s="58"/>
      <c r="V96" s="58"/>
      <c r="W96" s="58"/>
      <c r="X96" s="58"/>
    </row>
    <row r="97" spans="2:19" ht="27" customHeight="1" thickBot="1">
      <c r="B97" s="1" t="s">
        <v>13</v>
      </c>
      <c r="C97" s="196">
        <v>0</v>
      </c>
      <c r="D97" s="196">
        <v>0</v>
      </c>
      <c r="E97" s="196">
        <v>0</v>
      </c>
      <c r="F97" s="196">
        <v>0</v>
      </c>
      <c r="G97" s="1272" t="s">
        <v>98</v>
      </c>
      <c r="H97" s="175"/>
    </row>
    <row r="98" spans="2:19" ht="15.6" thickBot="1">
      <c r="B98" s="1" t="s">
        <v>15</v>
      </c>
      <c r="C98" s="196">
        <v>0</v>
      </c>
      <c r="D98" s="196">
        <v>0</v>
      </c>
      <c r="E98" s="196">
        <v>0</v>
      </c>
      <c r="F98" s="196">
        <v>0</v>
      </c>
      <c r="G98" s="1273"/>
      <c r="H98" s="176"/>
    </row>
    <row r="99" spans="2:19" ht="15.6" thickBot="1">
      <c r="B99" s="1" t="s">
        <v>17</v>
      </c>
      <c r="C99" s="196">
        <v>0</v>
      </c>
      <c r="D99" s="196">
        <v>0</v>
      </c>
      <c r="E99" s="196">
        <v>0</v>
      </c>
      <c r="F99" s="196">
        <v>0</v>
      </c>
      <c r="G99" s="1273"/>
      <c r="H99" s="176"/>
    </row>
    <row r="100" spans="2:19" ht="15.6" thickBot="1">
      <c r="B100" s="1" t="s">
        <v>18</v>
      </c>
      <c r="C100" s="196">
        <v>0</v>
      </c>
      <c r="D100" s="196">
        <v>0</v>
      </c>
      <c r="E100" s="196">
        <v>0</v>
      </c>
      <c r="F100" s="196">
        <v>0</v>
      </c>
      <c r="G100" s="1273"/>
      <c r="H100" s="176"/>
    </row>
    <row r="101" spans="2:19" ht="15" thickBot="1">
      <c r="B101" s="1" t="s">
        <v>19</v>
      </c>
      <c r="C101" s="196">
        <v>0</v>
      </c>
      <c r="D101" s="196">
        <v>0</v>
      </c>
      <c r="E101" s="196">
        <v>0</v>
      </c>
      <c r="F101" s="196">
        <v>0</v>
      </c>
      <c r="G101" s="1274"/>
      <c r="H101" s="177"/>
    </row>
    <row r="102" spans="2:19" ht="15" thickBot="1">
      <c r="B102" s="3" t="s">
        <v>22</v>
      </c>
      <c r="C102" s="18"/>
      <c r="D102" s="18"/>
      <c r="E102" s="18"/>
      <c r="F102" s="18"/>
      <c r="G102" s="18"/>
      <c r="H102" s="2"/>
    </row>
    <row r="103" spans="2:19" ht="15" thickBot="1">
      <c r="B103" s="1" t="s">
        <v>23</v>
      </c>
      <c r="C103" s="2">
        <v>1</v>
      </c>
      <c r="D103" s="2">
        <v>1</v>
      </c>
      <c r="E103" s="2">
        <v>0.9</v>
      </c>
      <c r="F103" s="2">
        <v>0.9</v>
      </c>
      <c r="G103" s="2" t="s">
        <v>109</v>
      </c>
      <c r="H103" s="2" t="s">
        <v>105</v>
      </c>
    </row>
    <row r="104" spans="2:19">
      <c r="B104" s="6" t="s">
        <v>24</v>
      </c>
      <c r="C104" s="7"/>
      <c r="D104" s="7"/>
      <c r="E104" s="7"/>
      <c r="F104" s="7"/>
      <c r="G104" s="7"/>
      <c r="H104" s="7"/>
    </row>
    <row r="105" spans="2:19">
      <c r="B105" s="6" t="s">
        <v>26</v>
      </c>
      <c r="C105" s="7"/>
      <c r="D105" s="7"/>
      <c r="E105" s="7"/>
      <c r="F105" s="7"/>
      <c r="G105" s="7"/>
      <c r="H105" s="7"/>
    </row>
    <row r="106" spans="2:19" ht="15" thickBot="1">
      <c r="B106" s="1" t="s">
        <v>96</v>
      </c>
      <c r="C106" s="2"/>
      <c r="D106" s="2"/>
      <c r="E106" s="2"/>
      <c r="F106" s="2"/>
      <c r="G106" s="2"/>
      <c r="H106" s="2"/>
    </row>
    <row r="107" spans="2:19" ht="24.6" thickBot="1">
      <c r="B107" s="1" t="s">
        <v>30</v>
      </c>
      <c r="C107" s="2"/>
      <c r="D107" s="2"/>
      <c r="E107" s="2"/>
      <c r="F107" s="2"/>
      <c r="G107" s="2"/>
      <c r="H107" s="2"/>
    </row>
    <row r="108" spans="2:19" ht="15" thickBot="1">
      <c r="B108" s="1" t="s">
        <v>64</v>
      </c>
      <c r="C108" s="2">
        <v>400</v>
      </c>
      <c r="D108" s="2">
        <v>400</v>
      </c>
      <c r="E108" s="2">
        <v>400</v>
      </c>
      <c r="F108" s="2">
        <v>400</v>
      </c>
      <c r="G108" s="2"/>
      <c r="H108" s="2">
        <v>2</v>
      </c>
    </row>
    <row r="109" spans="2:19" ht="15" thickBot="1">
      <c r="B109" s="1" t="s">
        <v>31</v>
      </c>
      <c r="C109" s="2"/>
      <c r="D109" s="2"/>
      <c r="E109" s="2"/>
      <c r="F109" s="2"/>
      <c r="G109" s="2"/>
      <c r="H109" s="2"/>
    </row>
    <row r="110" spans="2:19">
      <c r="B110" s="36" t="s">
        <v>353</v>
      </c>
      <c r="C110" s="42">
        <f>C103*$F$4*1000</f>
        <v>7450</v>
      </c>
      <c r="D110" s="42">
        <f>D103*$F$4*1000</f>
        <v>7450</v>
      </c>
      <c r="E110" s="42">
        <f>E103*$F$4*1000</f>
        <v>6705</v>
      </c>
      <c r="F110" s="42">
        <f>F103*$F$4*1000</f>
        <v>6705</v>
      </c>
      <c r="G110" s="63" t="s">
        <v>332</v>
      </c>
      <c r="H110" s="63"/>
      <c r="I110" s="64"/>
      <c r="J110" s="64"/>
      <c r="K110" s="64"/>
      <c r="L110" s="64"/>
      <c r="M110" s="64"/>
      <c r="N110" s="64"/>
      <c r="O110" s="64"/>
      <c r="P110" s="64"/>
      <c r="Q110" s="64"/>
      <c r="R110" s="64"/>
      <c r="S110" s="64"/>
    </row>
    <row r="111" spans="2:19">
      <c r="B111" s="36" t="s">
        <v>354</v>
      </c>
      <c r="C111" s="42">
        <f>C110*$G111</f>
        <v>1266500</v>
      </c>
      <c r="D111" s="42">
        <f>D110*$G111</f>
        <v>1266500</v>
      </c>
      <c r="E111" s="42">
        <f>E110*$G111</f>
        <v>1139850</v>
      </c>
      <c r="F111" s="42">
        <f>F110*$G111</f>
        <v>1139850</v>
      </c>
      <c r="G111" s="67">
        <v>170</v>
      </c>
      <c r="H111" s="63" t="s">
        <v>330</v>
      </c>
      <c r="I111" s="64"/>
      <c r="J111" s="64"/>
      <c r="K111" s="64"/>
      <c r="L111" s="64"/>
      <c r="M111" s="64"/>
      <c r="N111" s="64"/>
      <c r="O111" s="64"/>
      <c r="P111" s="64"/>
      <c r="Q111" s="64"/>
      <c r="R111" s="64"/>
      <c r="S111" s="64"/>
    </row>
    <row r="112" spans="2:19">
      <c r="B112" s="36" t="s">
        <v>355</v>
      </c>
      <c r="C112" s="42">
        <f>C108*$F$4/$G111</f>
        <v>17.529411764705884</v>
      </c>
      <c r="D112" s="42">
        <f>D108*$F$4/$G111</f>
        <v>17.529411764705884</v>
      </c>
      <c r="E112" s="42">
        <f>E108*$F$4/$G111</f>
        <v>17.529411764705884</v>
      </c>
      <c r="F112" s="42">
        <f>F108*$F$4/$G111</f>
        <v>17.529411764705884</v>
      </c>
      <c r="G112" s="63" t="s">
        <v>333</v>
      </c>
      <c r="H112" s="63"/>
      <c r="I112" s="64"/>
      <c r="J112" s="64"/>
      <c r="K112" s="64"/>
      <c r="L112" s="64"/>
      <c r="M112" s="64"/>
      <c r="N112" s="64"/>
      <c r="O112" s="64"/>
      <c r="P112" s="64"/>
      <c r="Q112" s="64"/>
      <c r="R112" s="64"/>
      <c r="S112" s="64"/>
    </row>
    <row r="113" spans="2:8" ht="15" thickBot="1">
      <c r="B113" s="36" t="s">
        <v>356</v>
      </c>
      <c r="C113" s="36">
        <f>C109*$F$4</f>
        <v>0</v>
      </c>
      <c r="D113" s="36">
        <f>D109*$F$4</f>
        <v>0</v>
      </c>
      <c r="E113" s="36">
        <f>E109*$F$4</f>
        <v>0</v>
      </c>
      <c r="F113" s="36">
        <f>F109*$F$4</f>
        <v>0</v>
      </c>
      <c r="G113" s="66"/>
      <c r="H113" s="63"/>
    </row>
    <row r="122" spans="2:8">
      <c r="H122" s="71"/>
    </row>
    <row r="156" spans="7:7">
      <c r="G156" s="263" t="s">
        <v>600</v>
      </c>
    </row>
  </sheetData>
  <mergeCells count="24">
    <mergeCell ref="J61:O61"/>
    <mergeCell ref="J87:O87"/>
    <mergeCell ref="J88:O88"/>
    <mergeCell ref="J6:O6"/>
    <mergeCell ref="J7:O7"/>
    <mergeCell ref="J33:O33"/>
    <mergeCell ref="J34:O34"/>
    <mergeCell ref="J60:O60"/>
    <mergeCell ref="G97:G101"/>
    <mergeCell ref="B6:B7"/>
    <mergeCell ref="C6:H6"/>
    <mergeCell ref="C7:H7"/>
    <mergeCell ref="B33:B34"/>
    <mergeCell ref="C33:H33"/>
    <mergeCell ref="C34:H34"/>
    <mergeCell ref="G16:G20"/>
    <mergeCell ref="C43:H47"/>
    <mergeCell ref="B60:B61"/>
    <mergeCell ref="C60:H60"/>
    <mergeCell ref="C61:H61"/>
    <mergeCell ref="C70:H74"/>
    <mergeCell ref="B87:B88"/>
    <mergeCell ref="C87:H87"/>
    <mergeCell ref="C88:H88"/>
  </mergeCells>
  <pageMargins left="0.7" right="0.7" top="0.75" bottom="0.75" header="0.3" footer="0.3"/>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3">
    <tabColor theme="4"/>
  </sheetPr>
  <dimension ref="B3:X156"/>
  <sheetViews>
    <sheetView workbookViewId="0">
      <selection activeCell="F153" sqref="F153"/>
    </sheetView>
  </sheetViews>
  <sheetFormatPr defaultRowHeight="14.4"/>
  <cols>
    <col min="2" max="2" width="36.77734375" customWidth="1"/>
    <col min="10" max="10" width="42.5546875" customWidth="1"/>
  </cols>
  <sheetData>
    <row r="3" spans="2:24">
      <c r="B3" s="8" t="s">
        <v>315</v>
      </c>
    </row>
    <row r="4" spans="2:24">
      <c r="E4" t="s">
        <v>334</v>
      </c>
      <c r="F4" s="36">
        <v>7.45</v>
      </c>
      <c r="G4" t="s">
        <v>328</v>
      </c>
    </row>
    <row r="5" spans="2:24" ht="15" thickBot="1"/>
    <row r="6" spans="2:24">
      <c r="B6" s="1254" t="s">
        <v>0</v>
      </c>
      <c r="C6" s="1256" t="s">
        <v>111</v>
      </c>
      <c r="D6" s="1257"/>
      <c r="E6" s="1257"/>
      <c r="F6" s="1257"/>
      <c r="G6" s="1257"/>
      <c r="H6" s="1258"/>
      <c r="J6" s="1256" t="str">
        <f>C6</f>
        <v>Heat pump, brine-to-water</v>
      </c>
      <c r="K6" s="1257"/>
      <c r="L6" s="1257"/>
      <c r="M6" s="1257"/>
      <c r="N6" s="1257"/>
      <c r="O6" s="1258"/>
    </row>
    <row r="7" spans="2:24" ht="15" thickBot="1">
      <c r="B7" s="1255"/>
      <c r="C7" s="1131" t="s">
        <v>1</v>
      </c>
      <c r="D7" s="1132"/>
      <c r="E7" s="1132"/>
      <c r="F7" s="1132"/>
      <c r="G7" s="1132"/>
      <c r="H7" s="1133"/>
      <c r="J7" s="1131" t="str">
        <f>C7</f>
        <v>One-family house, existing building</v>
      </c>
      <c r="K7" s="1132"/>
      <c r="L7" s="1132"/>
      <c r="M7" s="1132"/>
      <c r="N7" s="1132"/>
      <c r="O7" s="113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4.6" thickBot="1">
      <c r="B11" s="1" t="s">
        <v>7</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2">
        <v>100</v>
      </c>
      <c r="D12" s="2">
        <v>100</v>
      </c>
      <c r="E12" s="2">
        <v>100</v>
      </c>
      <c r="F12" s="2">
        <v>100</v>
      </c>
      <c r="G12" s="2" t="s">
        <v>16</v>
      </c>
      <c r="H12" s="2"/>
      <c r="J12" s="58">
        <f>C8</f>
        <v>2015</v>
      </c>
      <c r="K12" s="58">
        <f>J12</f>
        <v>2015</v>
      </c>
      <c r="L12" s="58">
        <f>C13/100</f>
        <v>3.3</v>
      </c>
      <c r="M12" s="58"/>
      <c r="N12" s="58">
        <f>C14</f>
        <v>20</v>
      </c>
      <c r="O12" s="59">
        <f>C29</f>
        <v>12665</v>
      </c>
      <c r="P12" s="59">
        <f>C31</f>
        <v>100.575</v>
      </c>
      <c r="Q12" s="59">
        <f>C32</f>
        <v>0</v>
      </c>
      <c r="R12" s="58"/>
      <c r="S12" s="58"/>
      <c r="T12" s="58">
        <f>C16</f>
        <v>0</v>
      </c>
      <c r="U12" s="58">
        <f>C17</f>
        <v>0</v>
      </c>
      <c r="V12" s="58">
        <f>C18</f>
        <v>0</v>
      </c>
      <c r="W12" s="58">
        <f>C19</f>
        <v>0</v>
      </c>
      <c r="X12" s="58">
        <f>C20</f>
        <v>0</v>
      </c>
    </row>
    <row r="13" spans="2:24" ht="24.6" thickBot="1">
      <c r="B13" s="1" t="s">
        <v>9</v>
      </c>
      <c r="C13" s="2">
        <v>330</v>
      </c>
      <c r="D13" s="2">
        <v>350</v>
      </c>
      <c r="E13" s="2">
        <v>400</v>
      </c>
      <c r="F13" s="2">
        <v>450</v>
      </c>
      <c r="G13" s="2" t="s">
        <v>109</v>
      </c>
      <c r="H13" s="2" t="s">
        <v>103</v>
      </c>
      <c r="J13" s="58">
        <f>D8</f>
        <v>2020</v>
      </c>
      <c r="K13" s="58"/>
      <c r="L13" s="58">
        <f>D13/100</f>
        <v>3.5</v>
      </c>
      <c r="M13" s="58"/>
      <c r="N13" s="58">
        <f>D14</f>
        <v>20</v>
      </c>
      <c r="O13" s="59">
        <f>D29</f>
        <v>11920.000000000002</v>
      </c>
      <c r="P13" s="59">
        <f>D31</f>
        <v>100.575</v>
      </c>
      <c r="Q13" s="59">
        <f>D32</f>
        <v>0</v>
      </c>
      <c r="R13" s="58"/>
      <c r="S13" s="58"/>
      <c r="T13" s="58">
        <f>D16</f>
        <v>0</v>
      </c>
      <c r="U13" s="58">
        <f>D17</f>
        <v>0</v>
      </c>
      <c r="V13" s="58">
        <f>D18</f>
        <v>0</v>
      </c>
      <c r="W13" s="58">
        <f>D19</f>
        <v>0</v>
      </c>
      <c r="X13" s="58">
        <f>D20</f>
        <v>0</v>
      </c>
    </row>
    <row r="14" spans="2:24" ht="15" thickBot="1">
      <c r="B14" s="1" t="s">
        <v>11</v>
      </c>
      <c r="C14" s="2">
        <v>20</v>
      </c>
      <c r="D14" s="2">
        <v>20</v>
      </c>
      <c r="E14" s="2">
        <v>20</v>
      </c>
      <c r="F14" s="2">
        <v>20</v>
      </c>
      <c r="G14" s="2"/>
      <c r="H14" s="2"/>
      <c r="J14" s="58">
        <f>E8</f>
        <v>2030</v>
      </c>
      <c r="K14" s="58"/>
      <c r="L14" s="58">
        <f>E13/100</f>
        <v>4</v>
      </c>
      <c r="M14" s="58"/>
      <c r="N14" s="58">
        <f>E14</f>
        <v>20</v>
      </c>
      <c r="O14" s="59">
        <f>E29</f>
        <v>11175</v>
      </c>
      <c r="P14" s="59">
        <f>E31</f>
        <v>100.575</v>
      </c>
      <c r="Q14" s="59">
        <f>E32</f>
        <v>0</v>
      </c>
      <c r="R14" s="58"/>
      <c r="S14" s="58"/>
      <c r="T14" s="58">
        <f>E16</f>
        <v>0</v>
      </c>
      <c r="U14" s="58">
        <f>E17</f>
        <v>0</v>
      </c>
      <c r="V14" s="58">
        <f>E18</f>
        <v>0</v>
      </c>
      <c r="W14" s="58">
        <f>E19</f>
        <v>0</v>
      </c>
      <c r="X14" s="58">
        <f>E20</f>
        <v>0</v>
      </c>
    </row>
    <row r="15" spans="2:24" ht="15" thickBot="1">
      <c r="B15" s="3" t="s">
        <v>12</v>
      </c>
      <c r="C15" s="18"/>
      <c r="D15" s="18"/>
      <c r="E15" s="18"/>
      <c r="F15" s="18"/>
      <c r="G15" s="18"/>
      <c r="H15" s="2"/>
      <c r="J15" s="58">
        <f>F8</f>
        <v>2050</v>
      </c>
      <c r="K15" s="58"/>
      <c r="L15" s="58">
        <f>F13/100</f>
        <v>4.5</v>
      </c>
      <c r="M15" s="58"/>
      <c r="N15" s="58">
        <f>F14</f>
        <v>20</v>
      </c>
      <c r="O15" s="59">
        <f>F29</f>
        <v>10430</v>
      </c>
      <c r="P15" s="59">
        <f>F31</f>
        <v>100.575</v>
      </c>
      <c r="Q15" s="59">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2" t="s">
        <v>98</v>
      </c>
      <c r="H16" s="175"/>
    </row>
    <row r="17" spans="2:8" ht="15.6" thickBot="1">
      <c r="B17" s="1" t="s">
        <v>15</v>
      </c>
      <c r="C17" s="193">
        <v>0</v>
      </c>
      <c r="D17" s="189">
        <v>0</v>
      </c>
      <c r="E17" s="189">
        <v>0</v>
      </c>
      <c r="F17" s="185">
        <v>0</v>
      </c>
      <c r="G17" s="1273"/>
      <c r="H17" s="176"/>
    </row>
    <row r="18" spans="2:8" ht="15.6" thickBot="1">
      <c r="B18" s="1" t="s">
        <v>17</v>
      </c>
      <c r="C18" s="193">
        <v>0</v>
      </c>
      <c r="D18" s="189">
        <v>0</v>
      </c>
      <c r="E18" s="189">
        <v>0</v>
      </c>
      <c r="F18" s="185">
        <v>0</v>
      </c>
      <c r="G18" s="1273"/>
      <c r="H18" s="176"/>
    </row>
    <row r="19" spans="2:8" ht="15.6" thickBot="1">
      <c r="B19" s="1" t="s">
        <v>18</v>
      </c>
      <c r="C19" s="193">
        <v>0</v>
      </c>
      <c r="D19" s="189">
        <v>0</v>
      </c>
      <c r="E19" s="189">
        <v>0</v>
      </c>
      <c r="F19" s="185">
        <v>0</v>
      </c>
      <c r="G19" s="1273"/>
      <c r="H19" s="176"/>
    </row>
    <row r="20" spans="2:8" ht="15" thickBot="1">
      <c r="B20" s="1" t="s">
        <v>19</v>
      </c>
      <c r="C20" s="194">
        <v>0</v>
      </c>
      <c r="D20" s="195">
        <v>0</v>
      </c>
      <c r="E20" s="195">
        <v>0</v>
      </c>
      <c r="F20" s="35">
        <v>0</v>
      </c>
      <c r="G20" s="1274"/>
      <c r="H20" s="177"/>
    </row>
    <row r="21" spans="2:8" ht="15" thickBot="1">
      <c r="B21" s="3" t="s">
        <v>22</v>
      </c>
      <c r="C21" s="38"/>
      <c r="D21" s="38"/>
      <c r="E21" s="38"/>
      <c r="F21" s="38"/>
      <c r="G21" s="68" t="s">
        <v>329</v>
      </c>
      <c r="H21" s="39"/>
    </row>
    <row r="22" spans="2:8" ht="15" thickBot="1">
      <c r="B22" s="1" t="s">
        <v>23</v>
      </c>
      <c r="C22" s="43">
        <f>C23/C10</f>
        <v>1.7</v>
      </c>
      <c r="D22" s="43">
        <f>D23/D10</f>
        <v>1.6</v>
      </c>
      <c r="E22" s="43">
        <f>E23/E10</f>
        <v>1.5</v>
      </c>
      <c r="F22" s="43">
        <f>F23/F10</f>
        <v>1.4</v>
      </c>
      <c r="G22" s="68">
        <f>G30</f>
        <v>10</v>
      </c>
      <c r="H22" s="68" t="str">
        <f>H30</f>
        <v>kW</v>
      </c>
    </row>
    <row r="23" spans="2:8" ht="24">
      <c r="B23" s="6" t="s">
        <v>24</v>
      </c>
      <c r="C23" s="7">
        <v>17</v>
      </c>
      <c r="D23" s="7">
        <v>16</v>
      </c>
      <c r="E23" s="7">
        <v>15</v>
      </c>
      <c r="F23" s="7">
        <v>14</v>
      </c>
      <c r="G23" s="7" t="s">
        <v>112</v>
      </c>
      <c r="H23" s="7" t="s">
        <v>105</v>
      </c>
    </row>
    <row r="24" spans="2:8">
      <c r="B24" s="6" t="s">
        <v>26</v>
      </c>
      <c r="C24" s="7" t="s">
        <v>27</v>
      </c>
      <c r="D24" s="7">
        <v>70</v>
      </c>
      <c r="E24" s="7">
        <v>70</v>
      </c>
      <c r="F24" s="7">
        <v>70</v>
      </c>
      <c r="G24" s="7"/>
      <c r="H24" s="7"/>
    </row>
    <row r="25" spans="2:8" ht="15" thickBot="1">
      <c r="B25" s="1" t="s">
        <v>96</v>
      </c>
      <c r="C25" s="2" t="s">
        <v>29</v>
      </c>
      <c r="D25" s="2">
        <v>30</v>
      </c>
      <c r="E25" s="2">
        <v>30</v>
      </c>
      <c r="F25" s="2">
        <v>30</v>
      </c>
      <c r="G25" s="2"/>
      <c r="H25" s="2"/>
    </row>
    <row r="26" spans="2:8" ht="24.6" thickBot="1">
      <c r="B26" s="1" t="s">
        <v>30</v>
      </c>
      <c r="C26" s="2">
        <v>6</v>
      </c>
      <c r="D26" s="2">
        <v>6</v>
      </c>
      <c r="E26" s="2">
        <v>6</v>
      </c>
      <c r="F26" s="2">
        <v>6</v>
      </c>
      <c r="G26" s="2" t="s">
        <v>20</v>
      </c>
      <c r="H26" s="2"/>
    </row>
    <row r="27" spans="2:8" ht="15" thickBot="1">
      <c r="B27" s="1" t="s">
        <v>64</v>
      </c>
      <c r="C27" s="2">
        <v>135</v>
      </c>
      <c r="D27" s="2">
        <v>135</v>
      </c>
      <c r="E27" s="2">
        <v>135</v>
      </c>
      <c r="F27" s="2">
        <v>135</v>
      </c>
      <c r="G27" s="2" t="s">
        <v>25</v>
      </c>
      <c r="H27" s="2">
        <v>2</v>
      </c>
    </row>
    <row r="28" spans="2:8" ht="15" thickBot="1">
      <c r="B28" s="1" t="s">
        <v>31</v>
      </c>
      <c r="C28" s="2"/>
      <c r="D28" s="2"/>
      <c r="E28" s="2"/>
      <c r="F28" s="2"/>
      <c r="G28" s="2"/>
      <c r="H28" s="2"/>
    </row>
    <row r="29" spans="2:8">
      <c r="B29" s="36" t="s">
        <v>353</v>
      </c>
      <c r="C29" s="60">
        <f>C22*$F$4*1000</f>
        <v>12665</v>
      </c>
      <c r="D29" s="60">
        <f t="shared" ref="D29:F30" si="0">D22*$F$4*1000</f>
        <v>11920.000000000002</v>
      </c>
      <c r="E29" s="60">
        <f t="shared" si="0"/>
        <v>11175</v>
      </c>
      <c r="F29" s="60">
        <f t="shared" si="0"/>
        <v>10430</v>
      </c>
      <c r="G29" s="63" t="s">
        <v>332</v>
      </c>
      <c r="H29" s="63"/>
    </row>
    <row r="30" spans="2:8">
      <c r="B30" s="36" t="s">
        <v>354</v>
      </c>
      <c r="C30" s="60">
        <f>C23*$F$4*1000</f>
        <v>126650</v>
      </c>
      <c r="D30" s="60">
        <f t="shared" si="0"/>
        <v>119200</v>
      </c>
      <c r="E30" s="60">
        <f t="shared" si="0"/>
        <v>111750</v>
      </c>
      <c r="F30" s="60">
        <f t="shared" si="0"/>
        <v>104300</v>
      </c>
      <c r="G30" s="70">
        <f>C10</f>
        <v>10</v>
      </c>
      <c r="H30" s="69" t="s">
        <v>330</v>
      </c>
    </row>
    <row r="31" spans="2:8">
      <c r="B31" s="36" t="s">
        <v>355</v>
      </c>
      <c r="C31" s="60">
        <f>C27*$F$4/C10</f>
        <v>100.575</v>
      </c>
      <c r="D31" s="60">
        <f>D27*$F$4/D10</f>
        <v>100.575</v>
      </c>
      <c r="E31" s="60">
        <f>E27*$F$4/E10</f>
        <v>100.575</v>
      </c>
      <c r="F31" s="60">
        <f>F27*$F$4/F10</f>
        <v>100.575</v>
      </c>
      <c r="G31" s="69" t="s">
        <v>331</v>
      </c>
      <c r="H31" s="69"/>
    </row>
    <row r="32" spans="2:8" ht="15" thickBot="1">
      <c r="B32" s="36" t="s">
        <v>356</v>
      </c>
      <c r="C32" s="60">
        <f>C28*$F$4</f>
        <v>0</v>
      </c>
      <c r="D32" s="60">
        <f>D28*$F$4</f>
        <v>0</v>
      </c>
      <c r="E32" s="60">
        <f>E28*$F$4</f>
        <v>0</v>
      </c>
      <c r="F32" s="60">
        <f>F28*$F$4</f>
        <v>0</v>
      </c>
      <c r="G32" s="61"/>
      <c r="H32" s="61"/>
    </row>
    <row r="33" spans="2:24">
      <c r="B33" s="1254" t="s">
        <v>0</v>
      </c>
      <c r="C33" s="1256" t="s">
        <v>111</v>
      </c>
      <c r="D33" s="1257"/>
      <c r="E33" s="1257"/>
      <c r="F33" s="1257"/>
      <c r="G33" s="1257"/>
      <c r="H33" s="1258"/>
      <c r="J33" s="1256" t="str">
        <f>C33</f>
        <v>Heat pump, brine-to-water</v>
      </c>
      <c r="K33" s="1257"/>
      <c r="L33" s="1257"/>
      <c r="M33" s="1257"/>
      <c r="N33" s="1257"/>
      <c r="O33" s="1258"/>
    </row>
    <row r="34" spans="2:24" ht="15" thickBot="1">
      <c r="B34" s="1255"/>
      <c r="C34" s="1131" t="s">
        <v>32</v>
      </c>
      <c r="D34" s="1132"/>
      <c r="E34" s="1132"/>
      <c r="F34" s="1132"/>
      <c r="G34" s="1132"/>
      <c r="H34" s="1133"/>
      <c r="J34" s="1131" t="str">
        <f>C34</f>
        <v>Apartment complex, existing building</v>
      </c>
      <c r="K34" s="1132"/>
      <c r="L34" s="1132"/>
      <c r="M34" s="1132"/>
      <c r="N34" s="1132"/>
      <c r="O34" s="1133"/>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4.6" thickBot="1">
      <c r="B38" s="1" t="s">
        <v>7</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8</v>
      </c>
      <c r="C39" s="2">
        <v>100</v>
      </c>
      <c r="D39" s="2">
        <v>100</v>
      </c>
      <c r="E39" s="2">
        <v>100</v>
      </c>
      <c r="F39" s="2">
        <v>100</v>
      </c>
      <c r="G39" s="2" t="s">
        <v>16</v>
      </c>
      <c r="H39" s="2"/>
      <c r="J39" s="58">
        <f>C35</f>
        <v>2015</v>
      </c>
      <c r="K39" s="58">
        <f>J39</f>
        <v>2015</v>
      </c>
      <c r="L39" s="58">
        <f>C40/100</f>
        <v>3.3</v>
      </c>
      <c r="M39" s="58"/>
      <c r="N39" s="58">
        <f>C41</f>
        <v>20</v>
      </c>
      <c r="O39" s="59">
        <f>C56</f>
        <v>8195</v>
      </c>
      <c r="P39" s="59">
        <f>C58</f>
        <v>7.45</v>
      </c>
      <c r="Q39" s="59">
        <f>C59</f>
        <v>0</v>
      </c>
      <c r="R39" s="58"/>
      <c r="S39" s="58"/>
      <c r="T39" s="58"/>
      <c r="U39" s="58"/>
      <c r="V39" s="58"/>
      <c r="W39" s="58"/>
      <c r="X39" s="58"/>
    </row>
    <row r="40" spans="2:24" ht="24.6" thickBot="1">
      <c r="B40" s="1" t="s">
        <v>9</v>
      </c>
      <c r="C40" s="2">
        <v>330</v>
      </c>
      <c r="D40" s="2">
        <v>350</v>
      </c>
      <c r="E40" s="2">
        <v>400</v>
      </c>
      <c r="F40" s="2">
        <v>450</v>
      </c>
      <c r="G40" s="2" t="s">
        <v>102</v>
      </c>
      <c r="H40" s="2" t="s">
        <v>103</v>
      </c>
      <c r="J40" s="58">
        <f>D35</f>
        <v>2020</v>
      </c>
      <c r="K40" s="58"/>
      <c r="L40" s="58">
        <f>D40/100</f>
        <v>3.5</v>
      </c>
      <c r="M40" s="58"/>
      <c r="N40" s="58">
        <f>D41</f>
        <v>20</v>
      </c>
      <c r="O40" s="59">
        <f>D56</f>
        <v>8195</v>
      </c>
      <c r="P40" s="59">
        <f>D58</f>
        <v>7.45</v>
      </c>
      <c r="Q40" s="59">
        <f>D59</f>
        <v>0</v>
      </c>
      <c r="R40" s="58"/>
      <c r="S40" s="58"/>
      <c r="T40" s="58"/>
      <c r="U40" s="58"/>
      <c r="V40" s="58"/>
      <c r="W40" s="58"/>
      <c r="X40" s="58"/>
    </row>
    <row r="41" spans="2:24" ht="15" thickBot="1">
      <c r="B41" s="1" t="s">
        <v>11</v>
      </c>
      <c r="C41" s="2">
        <v>20</v>
      </c>
      <c r="D41" s="2">
        <v>20</v>
      </c>
      <c r="E41" s="2">
        <v>20</v>
      </c>
      <c r="F41" s="2">
        <v>20</v>
      </c>
      <c r="G41" s="2"/>
      <c r="H41" s="2"/>
      <c r="J41" s="58">
        <f>E35</f>
        <v>2030</v>
      </c>
      <c r="K41" s="58"/>
      <c r="L41" s="58">
        <f>E40/100</f>
        <v>4</v>
      </c>
      <c r="M41" s="58"/>
      <c r="N41" s="58">
        <f>E41</f>
        <v>20</v>
      </c>
      <c r="O41" s="59">
        <f>E56</f>
        <v>7450</v>
      </c>
      <c r="P41" s="59">
        <f>E58</f>
        <v>7.45</v>
      </c>
      <c r="Q41" s="59">
        <f>E59</f>
        <v>0</v>
      </c>
      <c r="R41" s="58"/>
      <c r="S41" s="58"/>
      <c r="T41" s="58"/>
      <c r="U41" s="58"/>
      <c r="V41" s="58"/>
      <c r="W41" s="58"/>
      <c r="X41" s="58"/>
    </row>
    <row r="42" spans="2:24" ht="15" thickBot="1">
      <c r="B42" s="3" t="s">
        <v>12</v>
      </c>
      <c r="C42" s="18"/>
      <c r="D42" s="18"/>
      <c r="E42" s="18"/>
      <c r="F42" s="18"/>
      <c r="G42" s="18"/>
      <c r="H42" s="2"/>
      <c r="J42" s="58">
        <f>F35</f>
        <v>2050</v>
      </c>
      <c r="K42" s="58"/>
      <c r="L42" s="58">
        <f>F40/100</f>
        <v>4.5</v>
      </c>
      <c r="M42" s="58"/>
      <c r="N42" s="58">
        <f>F41</f>
        <v>20</v>
      </c>
      <c r="O42" s="59">
        <f>F56</f>
        <v>6705</v>
      </c>
      <c r="P42" s="59">
        <f>F58</f>
        <v>7.45</v>
      </c>
      <c r="Q42" s="59">
        <f>F59</f>
        <v>0</v>
      </c>
      <c r="R42" s="58"/>
      <c r="S42" s="58"/>
      <c r="T42" s="58"/>
      <c r="U42" s="58"/>
      <c r="V42" s="58"/>
      <c r="W42" s="58"/>
      <c r="X42" s="58"/>
    </row>
    <row r="43" spans="2:24" ht="27" customHeight="1" thickBot="1">
      <c r="B43" s="1" t="s">
        <v>13</v>
      </c>
      <c r="C43" s="190">
        <v>0</v>
      </c>
      <c r="D43" s="191">
        <v>0</v>
      </c>
      <c r="E43" s="191">
        <v>0</v>
      </c>
      <c r="F43" s="192">
        <v>0</v>
      </c>
      <c r="G43" s="1272" t="s">
        <v>98</v>
      </c>
      <c r="H43" s="175"/>
    </row>
    <row r="44" spans="2:24" ht="15.6" thickBot="1">
      <c r="B44" s="1" t="s">
        <v>15</v>
      </c>
      <c r="C44" s="193">
        <v>0</v>
      </c>
      <c r="D44" s="189">
        <v>0</v>
      </c>
      <c r="E44" s="189">
        <v>0</v>
      </c>
      <c r="F44" s="185">
        <v>0</v>
      </c>
      <c r="G44" s="1273"/>
      <c r="H44" s="176"/>
    </row>
    <row r="45" spans="2:24" ht="15.6" thickBot="1">
      <c r="B45" s="1" t="s">
        <v>17</v>
      </c>
      <c r="C45" s="193">
        <v>0</v>
      </c>
      <c r="D45" s="189">
        <v>0</v>
      </c>
      <c r="E45" s="189">
        <v>0</v>
      </c>
      <c r="F45" s="185">
        <v>0</v>
      </c>
      <c r="G45" s="1273"/>
      <c r="H45" s="176"/>
    </row>
    <row r="46" spans="2:24" ht="15.6" thickBot="1">
      <c r="B46" s="1" t="s">
        <v>18</v>
      </c>
      <c r="C46" s="193">
        <v>0</v>
      </c>
      <c r="D46" s="189">
        <v>0</v>
      </c>
      <c r="E46" s="189">
        <v>0</v>
      </c>
      <c r="F46" s="185">
        <v>0</v>
      </c>
      <c r="G46" s="1273"/>
      <c r="H46" s="176"/>
    </row>
    <row r="47" spans="2:24" ht="15" thickBot="1">
      <c r="B47" s="1" t="s">
        <v>19</v>
      </c>
      <c r="C47" s="194">
        <v>0</v>
      </c>
      <c r="D47" s="195">
        <v>0</v>
      </c>
      <c r="E47" s="195">
        <v>0</v>
      </c>
      <c r="F47" s="35">
        <v>0</v>
      </c>
      <c r="G47" s="1274"/>
      <c r="H47" s="177"/>
    </row>
    <row r="48" spans="2:24" ht="15" thickBot="1">
      <c r="B48" s="3" t="s">
        <v>22</v>
      </c>
      <c r="C48" s="18"/>
      <c r="D48" s="18"/>
      <c r="E48" s="18"/>
      <c r="F48" s="18"/>
      <c r="G48" s="18"/>
      <c r="H48" s="2"/>
    </row>
    <row r="49" spans="2:24" ht="15" thickBot="1">
      <c r="B49" s="1" t="s">
        <v>23</v>
      </c>
      <c r="C49" s="2">
        <v>1.1000000000000001</v>
      </c>
      <c r="D49" s="2">
        <v>1.1000000000000001</v>
      </c>
      <c r="E49" s="2">
        <v>1</v>
      </c>
      <c r="F49" s="2">
        <v>0.9</v>
      </c>
      <c r="G49" s="2" t="s">
        <v>102</v>
      </c>
      <c r="H49" s="2" t="s">
        <v>105</v>
      </c>
    </row>
    <row r="50" spans="2:24">
      <c r="B50" s="6" t="s">
        <v>24</v>
      </c>
      <c r="C50" s="7"/>
      <c r="D50" s="7"/>
      <c r="E50" s="7"/>
      <c r="F50" s="7"/>
      <c r="G50" s="7"/>
      <c r="H50" s="7"/>
    </row>
    <row r="51" spans="2:24">
      <c r="B51" s="6" t="s">
        <v>26</v>
      </c>
      <c r="C51" s="7"/>
      <c r="D51" s="7"/>
      <c r="E51" s="7"/>
      <c r="F51" s="7"/>
      <c r="G51" s="7"/>
      <c r="H51" s="7"/>
    </row>
    <row r="52" spans="2:24" ht="15" thickBot="1">
      <c r="B52" s="1" t="s">
        <v>96</v>
      </c>
      <c r="C52" s="2"/>
      <c r="D52" s="2"/>
      <c r="E52" s="2"/>
      <c r="F52" s="2"/>
      <c r="G52" s="2"/>
      <c r="H52" s="2"/>
    </row>
    <row r="53" spans="2:24" ht="24.6" thickBot="1">
      <c r="B53" s="1" t="s">
        <v>113</v>
      </c>
      <c r="C53" s="2">
        <v>0.67</v>
      </c>
      <c r="D53" s="2">
        <v>0.67</v>
      </c>
      <c r="E53" s="2">
        <v>0.67</v>
      </c>
      <c r="F53" s="2">
        <v>0.67</v>
      </c>
      <c r="G53" s="2" t="s">
        <v>20</v>
      </c>
      <c r="H53" s="2"/>
    </row>
    <row r="54" spans="2:24" ht="15" thickBot="1">
      <c r="B54" s="1" t="s">
        <v>64</v>
      </c>
      <c r="C54" s="2">
        <v>400</v>
      </c>
      <c r="D54" s="2">
        <v>400</v>
      </c>
      <c r="E54" s="2">
        <v>400</v>
      </c>
      <c r="F54" s="2">
        <v>400</v>
      </c>
      <c r="G54" s="2" t="s">
        <v>25</v>
      </c>
      <c r="H54" s="2">
        <v>2</v>
      </c>
    </row>
    <row r="55" spans="2:24" ht="15" thickBot="1">
      <c r="B55" s="1" t="s">
        <v>31</v>
      </c>
      <c r="C55" s="2"/>
      <c r="D55" s="2"/>
      <c r="E55" s="2"/>
      <c r="F55" s="2"/>
      <c r="G55" s="2"/>
      <c r="H55" s="2"/>
    </row>
    <row r="56" spans="2:24">
      <c r="B56" s="36" t="s">
        <v>353</v>
      </c>
      <c r="C56" s="60">
        <f t="shared" ref="C56:F57" si="1">C49*$F$4*1000</f>
        <v>8195</v>
      </c>
      <c r="D56" s="60">
        <f t="shared" si="1"/>
        <v>8195</v>
      </c>
      <c r="E56" s="60">
        <f t="shared" si="1"/>
        <v>7450</v>
      </c>
      <c r="F56" s="60">
        <f t="shared" si="1"/>
        <v>6705</v>
      </c>
      <c r="G56" s="63" t="s">
        <v>332</v>
      </c>
      <c r="H56" s="63"/>
      <c r="J56" s="40"/>
    </row>
    <row r="57" spans="2:24">
      <c r="B57" s="36" t="s">
        <v>354</v>
      </c>
      <c r="C57" s="186">
        <f t="shared" si="1"/>
        <v>0</v>
      </c>
      <c r="D57" s="186">
        <f t="shared" si="1"/>
        <v>0</v>
      </c>
      <c r="E57" s="186">
        <f t="shared" si="1"/>
        <v>0</v>
      </c>
      <c r="F57" s="186">
        <f t="shared" si="1"/>
        <v>0</v>
      </c>
      <c r="G57" s="70">
        <v>400</v>
      </c>
      <c r="H57" s="69" t="s">
        <v>330</v>
      </c>
    </row>
    <row r="58" spans="2:24">
      <c r="B58" s="36" t="s">
        <v>355</v>
      </c>
      <c r="C58" s="60">
        <f>C54*$F$4/$G$57</f>
        <v>7.45</v>
      </c>
      <c r="D58" s="60">
        <f>D54*$F$4/$G$57</f>
        <v>7.45</v>
      </c>
      <c r="E58" s="60">
        <f>E54*$F$4/$G$57</f>
        <v>7.45</v>
      </c>
      <c r="F58" s="60">
        <f>F54*$F$4/$G$57</f>
        <v>7.45</v>
      </c>
      <c r="G58" s="69" t="s">
        <v>331</v>
      </c>
      <c r="H58" s="69"/>
    </row>
    <row r="59" spans="2:24" ht="15" thickBot="1">
      <c r="B59" s="36" t="s">
        <v>356</v>
      </c>
      <c r="C59" s="186">
        <f>C55*$F$4</f>
        <v>0</v>
      </c>
      <c r="D59" s="186">
        <f>D55*$F$4</f>
        <v>0</v>
      </c>
      <c r="E59" s="186">
        <f>E55*$F$4</f>
        <v>0</v>
      </c>
      <c r="F59" s="186">
        <f>F55*$F$4</f>
        <v>0</v>
      </c>
      <c r="G59" s="61"/>
      <c r="H59" s="61"/>
    </row>
    <row r="60" spans="2:24">
      <c r="B60" s="1254" t="s">
        <v>0</v>
      </c>
      <c r="C60" s="1256" t="s">
        <v>111</v>
      </c>
      <c r="D60" s="1257"/>
      <c r="E60" s="1257"/>
      <c r="F60" s="1257"/>
      <c r="G60" s="1257"/>
      <c r="H60" s="1258"/>
      <c r="J60" s="1256" t="str">
        <f>C60</f>
        <v>Heat pump, brine-to-water</v>
      </c>
      <c r="K60" s="1257"/>
      <c r="L60" s="1257"/>
      <c r="M60" s="1257"/>
      <c r="N60" s="1257"/>
      <c r="O60" s="1258"/>
    </row>
    <row r="61" spans="2:24" ht="15" thickBot="1">
      <c r="B61" s="1255"/>
      <c r="C61" s="1131" t="s">
        <v>34</v>
      </c>
      <c r="D61" s="1132"/>
      <c r="E61" s="1132"/>
      <c r="F61" s="1132"/>
      <c r="G61" s="1132"/>
      <c r="H61" s="1133"/>
      <c r="J61" s="1131" t="str">
        <f>C61</f>
        <v>One-family house, new building</v>
      </c>
      <c r="K61" s="1132"/>
      <c r="L61" s="1132"/>
      <c r="M61" s="1132"/>
      <c r="N61" s="1132"/>
      <c r="O61" s="1133"/>
    </row>
    <row r="62" spans="2:24" ht="15" thickBot="1">
      <c r="B62" s="1"/>
      <c r="C62" s="2">
        <v>2015</v>
      </c>
      <c r="D62" s="2">
        <v>2020</v>
      </c>
      <c r="E62" s="2">
        <v>2030</v>
      </c>
      <c r="F62" s="2">
        <v>2050</v>
      </c>
      <c r="G62" s="2" t="s">
        <v>2</v>
      </c>
      <c r="H62" s="2" t="s">
        <v>3</v>
      </c>
      <c r="J62" s="53" t="s">
        <v>357</v>
      </c>
    </row>
    <row r="63" spans="2:24" ht="28.2"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4.6"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 t="s">
        <v>8</v>
      </c>
      <c r="C66" s="2">
        <v>100</v>
      </c>
      <c r="D66" s="2">
        <v>100</v>
      </c>
      <c r="E66" s="2">
        <v>100</v>
      </c>
      <c r="F66" s="2">
        <v>100</v>
      </c>
      <c r="G66" s="2" t="s">
        <v>16</v>
      </c>
      <c r="H66" s="2"/>
      <c r="J66" s="58">
        <f>C62</f>
        <v>2015</v>
      </c>
      <c r="K66" s="58">
        <f>J66</f>
        <v>2015</v>
      </c>
      <c r="L66" s="58">
        <f>C67/100</f>
        <v>3.3</v>
      </c>
      <c r="M66" s="58"/>
      <c r="N66" s="58">
        <f>C68</f>
        <v>20</v>
      </c>
      <c r="O66" s="59">
        <f>C83</f>
        <v>0</v>
      </c>
      <c r="P66" s="59">
        <f>C85</f>
        <v>201.15</v>
      </c>
      <c r="Q66" s="59">
        <f>C86</f>
        <v>0</v>
      </c>
      <c r="R66" s="58"/>
      <c r="S66" s="58"/>
      <c r="T66" s="58"/>
      <c r="U66" s="58"/>
      <c r="V66" s="58"/>
      <c r="W66" s="58"/>
      <c r="X66" s="58"/>
    </row>
    <row r="67" spans="2:24" ht="24.6" thickBot="1">
      <c r="B67" s="1" t="s">
        <v>9</v>
      </c>
      <c r="C67" s="2">
        <v>330</v>
      </c>
      <c r="D67" s="2">
        <v>350</v>
      </c>
      <c r="E67" s="2">
        <v>400</v>
      </c>
      <c r="F67" s="2">
        <v>450</v>
      </c>
      <c r="G67" s="2" t="s">
        <v>102</v>
      </c>
      <c r="H67" s="2" t="s">
        <v>103</v>
      </c>
      <c r="J67" s="58">
        <f>D62</f>
        <v>2020</v>
      </c>
      <c r="K67" s="58"/>
      <c r="L67" s="58">
        <f>D67/100</f>
        <v>3.5</v>
      </c>
      <c r="M67" s="58"/>
      <c r="N67" s="58">
        <f>D68</f>
        <v>20</v>
      </c>
      <c r="O67" s="59">
        <f>D83</f>
        <v>0</v>
      </c>
      <c r="P67" s="59">
        <f>D85</f>
        <v>201.15</v>
      </c>
      <c r="Q67" s="59">
        <f>D86</f>
        <v>0</v>
      </c>
      <c r="R67" s="58"/>
      <c r="S67" s="58"/>
      <c r="T67" s="58"/>
      <c r="U67" s="58"/>
      <c r="V67" s="58"/>
      <c r="W67" s="58"/>
      <c r="X67" s="58"/>
    </row>
    <row r="68" spans="2:24" ht="15" thickBot="1">
      <c r="B68" s="1" t="s">
        <v>11</v>
      </c>
      <c r="C68" s="2">
        <v>20</v>
      </c>
      <c r="D68" s="2">
        <v>20</v>
      </c>
      <c r="E68" s="2">
        <v>20</v>
      </c>
      <c r="F68" s="2">
        <v>20</v>
      </c>
      <c r="G68" s="2"/>
      <c r="H68" s="2"/>
      <c r="J68" s="58">
        <f>E62</f>
        <v>2030</v>
      </c>
      <c r="K68" s="58"/>
      <c r="L68" s="58">
        <f>E67/100</f>
        <v>4</v>
      </c>
      <c r="M68" s="58"/>
      <c r="N68" s="58">
        <f>E68</f>
        <v>20</v>
      </c>
      <c r="O68" s="59">
        <f>E83</f>
        <v>0</v>
      </c>
      <c r="P68" s="59">
        <f>E85</f>
        <v>201.15</v>
      </c>
      <c r="Q68" s="59">
        <f>E86</f>
        <v>0</v>
      </c>
      <c r="R68" s="58"/>
      <c r="S68" s="58"/>
      <c r="T68" s="58"/>
      <c r="U68" s="58"/>
      <c r="V68" s="58"/>
      <c r="W68" s="58"/>
      <c r="X68" s="58"/>
    </row>
    <row r="69" spans="2:24" ht="15" thickBot="1">
      <c r="B69" s="3" t="s">
        <v>12</v>
      </c>
      <c r="C69" s="18"/>
      <c r="D69" s="18"/>
      <c r="E69" s="18"/>
      <c r="F69" s="18"/>
      <c r="G69" s="18"/>
      <c r="H69" s="2"/>
      <c r="J69" s="58">
        <f>F62</f>
        <v>2050</v>
      </c>
      <c r="K69" s="58"/>
      <c r="L69" s="58">
        <f>F67/100</f>
        <v>4.5</v>
      </c>
      <c r="M69" s="58"/>
      <c r="N69" s="58">
        <f>F68</f>
        <v>20</v>
      </c>
      <c r="O69" s="59">
        <f>F83</f>
        <v>0</v>
      </c>
      <c r="P69" s="59">
        <f>F85</f>
        <v>201.15</v>
      </c>
      <c r="Q69" s="59">
        <f>F86</f>
        <v>0</v>
      </c>
      <c r="R69" s="58"/>
      <c r="S69" s="58"/>
      <c r="T69" s="58"/>
      <c r="U69" s="58"/>
      <c r="V69" s="58"/>
      <c r="W69" s="58"/>
      <c r="X69" s="58"/>
    </row>
    <row r="70" spans="2:24" ht="27" customHeight="1" thickBot="1">
      <c r="B70" s="1" t="s">
        <v>13</v>
      </c>
      <c r="C70" s="190">
        <v>0</v>
      </c>
      <c r="D70" s="191">
        <v>0</v>
      </c>
      <c r="E70" s="191">
        <v>0</v>
      </c>
      <c r="F70" s="192">
        <v>0</v>
      </c>
      <c r="G70" s="1272" t="s">
        <v>98</v>
      </c>
      <c r="H70" s="175"/>
    </row>
    <row r="71" spans="2:24" ht="15.6" thickBot="1">
      <c r="B71" s="1" t="s">
        <v>15</v>
      </c>
      <c r="C71" s="193">
        <v>0</v>
      </c>
      <c r="D71" s="189">
        <v>0</v>
      </c>
      <c r="E71" s="189">
        <v>0</v>
      </c>
      <c r="F71" s="185">
        <v>0</v>
      </c>
      <c r="G71" s="1273"/>
      <c r="H71" s="176"/>
    </row>
    <row r="72" spans="2:24" ht="15.6" thickBot="1">
      <c r="B72" s="1" t="s">
        <v>17</v>
      </c>
      <c r="C72" s="193">
        <v>0</v>
      </c>
      <c r="D72" s="189">
        <v>0</v>
      </c>
      <c r="E72" s="189">
        <v>0</v>
      </c>
      <c r="F72" s="185">
        <v>0</v>
      </c>
      <c r="G72" s="1273"/>
      <c r="H72" s="176"/>
    </row>
    <row r="73" spans="2:24" ht="15.6" thickBot="1">
      <c r="B73" s="1" t="s">
        <v>18</v>
      </c>
      <c r="C73" s="193">
        <v>0</v>
      </c>
      <c r="D73" s="189">
        <v>0</v>
      </c>
      <c r="E73" s="189">
        <v>0</v>
      </c>
      <c r="F73" s="185">
        <v>0</v>
      </c>
      <c r="G73" s="1273"/>
      <c r="H73" s="176"/>
    </row>
    <row r="74" spans="2:24" ht="15" thickBot="1">
      <c r="B74" s="1" t="s">
        <v>19</v>
      </c>
      <c r="C74" s="194">
        <v>0</v>
      </c>
      <c r="D74" s="195">
        <v>0</v>
      </c>
      <c r="E74" s="195">
        <v>0</v>
      </c>
      <c r="F74" s="35">
        <v>0</v>
      </c>
      <c r="G74" s="1274"/>
      <c r="H74" s="177"/>
    </row>
    <row r="75" spans="2:24" ht="15" thickBot="1">
      <c r="B75" s="3" t="s">
        <v>22</v>
      </c>
      <c r="C75" s="18"/>
      <c r="D75" s="18"/>
      <c r="E75" s="18"/>
      <c r="F75" s="18"/>
      <c r="G75" s="18"/>
      <c r="H75" s="2"/>
    </row>
    <row r="76" spans="2:24" ht="15" thickBot="1">
      <c r="B76" s="1" t="s">
        <v>23</v>
      </c>
      <c r="C76" s="2"/>
      <c r="D76" s="2"/>
      <c r="E76" s="2"/>
      <c r="F76" s="2"/>
      <c r="G76" s="2"/>
      <c r="H76" s="2"/>
      <c r="J76" s="64"/>
      <c r="K76" s="64"/>
      <c r="L76" s="64"/>
      <c r="M76" s="64"/>
    </row>
    <row r="77" spans="2:24">
      <c r="B77" s="6" t="s">
        <v>24</v>
      </c>
      <c r="C77" s="7">
        <v>14</v>
      </c>
      <c r="D77" s="7">
        <v>13</v>
      </c>
      <c r="E77" s="7">
        <v>12</v>
      </c>
      <c r="F77" s="7">
        <v>12</v>
      </c>
      <c r="G77" s="7" t="s">
        <v>114</v>
      </c>
      <c r="H77" s="7" t="s">
        <v>105</v>
      </c>
    </row>
    <row r="78" spans="2:24">
      <c r="B78" s="6" t="s">
        <v>26</v>
      </c>
      <c r="C78" s="7" t="s">
        <v>115</v>
      </c>
      <c r="D78" s="7">
        <v>75</v>
      </c>
      <c r="E78" s="7">
        <v>75</v>
      </c>
      <c r="F78" s="7">
        <v>75</v>
      </c>
      <c r="G78" s="7"/>
      <c r="H78" s="7"/>
    </row>
    <row r="79" spans="2:24" ht="15" thickBot="1">
      <c r="B79" s="1" t="s">
        <v>96</v>
      </c>
      <c r="C79" s="2" t="s">
        <v>116</v>
      </c>
      <c r="D79" s="2">
        <v>25</v>
      </c>
      <c r="E79" s="2">
        <v>25</v>
      </c>
      <c r="F79" s="2">
        <v>25</v>
      </c>
      <c r="G79" s="2"/>
      <c r="H79" s="2"/>
    </row>
    <row r="80" spans="2:24" ht="24.6" thickBot="1">
      <c r="B80" s="1" t="s">
        <v>30</v>
      </c>
      <c r="C80" s="2">
        <v>6</v>
      </c>
      <c r="D80" s="2">
        <v>6</v>
      </c>
      <c r="E80" s="2">
        <v>6</v>
      </c>
      <c r="F80" s="2">
        <v>6</v>
      </c>
      <c r="G80" s="2" t="s">
        <v>20</v>
      </c>
      <c r="H80" s="2"/>
    </row>
    <row r="81" spans="2:24" ht="15" thickBot="1">
      <c r="B81" s="1" t="s">
        <v>64</v>
      </c>
      <c r="C81" s="2">
        <v>135</v>
      </c>
      <c r="D81" s="2">
        <v>135</v>
      </c>
      <c r="E81" s="2">
        <v>135</v>
      </c>
      <c r="F81" s="2">
        <v>135</v>
      </c>
      <c r="G81" s="2" t="s">
        <v>25</v>
      </c>
      <c r="H81" s="2">
        <v>2</v>
      </c>
    </row>
    <row r="82" spans="2:24" ht="15" thickBot="1">
      <c r="B82" s="1" t="s">
        <v>31</v>
      </c>
      <c r="C82" s="2"/>
      <c r="D82" s="2"/>
      <c r="E82" s="2"/>
      <c r="F82" s="2"/>
      <c r="G82" s="2"/>
      <c r="H82" s="2"/>
    </row>
    <row r="83" spans="2:24">
      <c r="B83" s="36" t="s">
        <v>353</v>
      </c>
      <c r="C83" s="186">
        <f t="shared" ref="C83:F84" si="2">C76*$F$4*1000</f>
        <v>0</v>
      </c>
      <c r="D83" s="186">
        <f t="shared" si="2"/>
        <v>0</v>
      </c>
      <c r="E83" s="186">
        <f t="shared" si="2"/>
        <v>0</v>
      </c>
      <c r="F83" s="186">
        <f t="shared" si="2"/>
        <v>0</v>
      </c>
      <c r="G83" s="63" t="s">
        <v>332</v>
      </c>
      <c r="H83" s="63"/>
    </row>
    <row r="84" spans="2:24">
      <c r="B84" s="36" t="s">
        <v>354</v>
      </c>
      <c r="C84" s="60">
        <f t="shared" si="2"/>
        <v>104300</v>
      </c>
      <c r="D84" s="60">
        <f t="shared" si="2"/>
        <v>96850.000000000015</v>
      </c>
      <c r="E84" s="60">
        <f t="shared" si="2"/>
        <v>89400</v>
      </c>
      <c r="F84" s="60">
        <f t="shared" si="2"/>
        <v>89400</v>
      </c>
      <c r="G84" s="70">
        <f>C64</f>
        <v>5</v>
      </c>
      <c r="H84" s="69" t="s">
        <v>330</v>
      </c>
    </row>
    <row r="85" spans="2:24">
      <c r="B85" s="36" t="s">
        <v>355</v>
      </c>
      <c r="C85" s="60">
        <f>C81*$F$4/C64</f>
        <v>201.15</v>
      </c>
      <c r="D85" s="60">
        <f>D81*$F$4/D64</f>
        <v>201.15</v>
      </c>
      <c r="E85" s="60">
        <f>E81*$F$4/E64</f>
        <v>201.15</v>
      </c>
      <c r="F85" s="60">
        <f>F81*$F$4/F64</f>
        <v>201.15</v>
      </c>
      <c r="G85" s="69" t="s">
        <v>331</v>
      </c>
      <c r="H85" s="69"/>
    </row>
    <row r="86" spans="2:24" ht="15" thickBot="1">
      <c r="B86" s="36" t="s">
        <v>356</v>
      </c>
      <c r="C86" s="186">
        <f>C82*$F$4</f>
        <v>0</v>
      </c>
      <c r="D86" s="186">
        <f>D82*$F$4</f>
        <v>0</v>
      </c>
      <c r="E86" s="186">
        <f>E82*$F$4</f>
        <v>0</v>
      </c>
      <c r="F86" s="186">
        <f>F82*$F$4</f>
        <v>0</v>
      </c>
      <c r="G86" s="61"/>
      <c r="H86" s="61"/>
    </row>
    <row r="87" spans="2:24">
      <c r="B87" s="1254" t="s">
        <v>0</v>
      </c>
      <c r="C87" s="1256" t="s">
        <v>111</v>
      </c>
      <c r="D87" s="1257"/>
      <c r="E87" s="1257"/>
      <c r="F87" s="1257"/>
      <c r="G87" s="1257"/>
      <c r="H87" s="1258"/>
      <c r="J87" s="1256" t="str">
        <f>C87</f>
        <v>Heat pump, brine-to-water</v>
      </c>
      <c r="K87" s="1257"/>
      <c r="L87" s="1257"/>
      <c r="M87" s="1257"/>
      <c r="N87" s="1257"/>
      <c r="O87" s="1258"/>
    </row>
    <row r="88" spans="2:24" ht="15" thickBot="1">
      <c r="B88" s="1255"/>
      <c r="C88" s="1131" t="s">
        <v>35</v>
      </c>
      <c r="D88" s="1132"/>
      <c r="E88" s="1132"/>
      <c r="F88" s="1132"/>
      <c r="G88" s="1132"/>
      <c r="H88" s="1133"/>
      <c r="J88" s="1131" t="str">
        <f>C88</f>
        <v>Apartment complex, new building</v>
      </c>
      <c r="K88" s="1132"/>
      <c r="L88" s="1132"/>
      <c r="M88" s="1132"/>
      <c r="N88" s="1132"/>
      <c r="O88" s="1133"/>
    </row>
    <row r="89" spans="2:24" ht="15" thickBot="1">
      <c r="B89" s="1"/>
      <c r="C89" s="2">
        <v>2015</v>
      </c>
      <c r="D89" s="2">
        <v>2020</v>
      </c>
      <c r="E89" s="2">
        <v>2030</v>
      </c>
      <c r="F89" s="2">
        <v>2050</v>
      </c>
      <c r="G89" s="2" t="s">
        <v>2</v>
      </c>
      <c r="H89" s="2" t="s">
        <v>3</v>
      </c>
      <c r="J89" s="53" t="s">
        <v>357</v>
      </c>
    </row>
    <row r="90" spans="2:24" ht="28.2"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4.6"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 t="s">
        <v>8</v>
      </c>
      <c r="C93" s="2">
        <v>100</v>
      </c>
      <c r="D93" s="2">
        <v>100</v>
      </c>
      <c r="E93" s="2">
        <v>100</v>
      </c>
      <c r="F93" s="2">
        <v>100</v>
      </c>
      <c r="G93" s="2" t="s">
        <v>16</v>
      </c>
      <c r="H93" s="2"/>
      <c r="J93" s="58">
        <f>C89</f>
        <v>2015</v>
      </c>
      <c r="K93" s="58">
        <f>J93</f>
        <v>2015</v>
      </c>
      <c r="L93" s="58">
        <f>C94/100</f>
        <v>3.3</v>
      </c>
      <c r="M93" s="58"/>
      <c r="N93" s="58">
        <f>C95</f>
        <v>20</v>
      </c>
      <c r="O93" s="59">
        <f>C110</f>
        <v>8195</v>
      </c>
      <c r="P93" s="59">
        <f>C112</f>
        <v>16.555555555555557</v>
      </c>
      <c r="Q93" s="59">
        <f>C113</f>
        <v>0</v>
      </c>
      <c r="R93" s="58"/>
      <c r="S93" s="58"/>
      <c r="T93" s="58"/>
      <c r="U93" s="58"/>
      <c r="V93" s="58"/>
      <c r="W93" s="58"/>
      <c r="X93" s="58"/>
    </row>
    <row r="94" spans="2:24" ht="24.6" thickBot="1">
      <c r="B94" s="1" t="s">
        <v>9</v>
      </c>
      <c r="C94" s="2">
        <v>330</v>
      </c>
      <c r="D94" s="2">
        <v>350</v>
      </c>
      <c r="E94" s="2">
        <v>400</v>
      </c>
      <c r="F94" s="2">
        <v>450</v>
      </c>
      <c r="G94" s="2" t="s">
        <v>109</v>
      </c>
      <c r="H94" s="2" t="s">
        <v>103</v>
      </c>
      <c r="J94" s="58">
        <f>D89</f>
        <v>2020</v>
      </c>
      <c r="K94" s="58"/>
      <c r="L94" s="58">
        <f>D94/100</f>
        <v>3.5</v>
      </c>
      <c r="M94" s="58"/>
      <c r="N94" s="58">
        <f>D95</f>
        <v>20</v>
      </c>
      <c r="O94" s="59">
        <f>D110</f>
        <v>8195</v>
      </c>
      <c r="P94" s="59">
        <f>D112</f>
        <v>16.555555555555557</v>
      </c>
      <c r="Q94" s="59">
        <f>D113</f>
        <v>0</v>
      </c>
      <c r="R94" s="58"/>
      <c r="S94" s="58"/>
      <c r="T94" s="58"/>
      <c r="U94" s="58"/>
      <c r="V94" s="58"/>
      <c r="W94" s="58"/>
      <c r="X94" s="58"/>
    </row>
    <row r="95" spans="2:24" ht="15" thickBot="1">
      <c r="B95" s="1" t="s">
        <v>11</v>
      </c>
      <c r="C95" s="2">
        <v>20</v>
      </c>
      <c r="D95" s="2">
        <v>20</v>
      </c>
      <c r="E95" s="2">
        <v>20</v>
      </c>
      <c r="F95" s="2">
        <v>20</v>
      </c>
      <c r="G95" s="2"/>
      <c r="H95" s="2"/>
      <c r="J95" s="58">
        <f>E89</f>
        <v>2030</v>
      </c>
      <c r="K95" s="58"/>
      <c r="L95" s="58">
        <f>E94/100</f>
        <v>4</v>
      </c>
      <c r="M95" s="58"/>
      <c r="N95" s="58">
        <f>E95</f>
        <v>20</v>
      </c>
      <c r="O95" s="59">
        <f>E110</f>
        <v>7450</v>
      </c>
      <c r="P95" s="59">
        <f>E112</f>
        <v>16.555555555555557</v>
      </c>
      <c r="Q95" s="59">
        <f>E113</f>
        <v>0</v>
      </c>
      <c r="R95" s="58"/>
      <c r="S95" s="58"/>
      <c r="T95" s="58"/>
      <c r="U95" s="58"/>
      <c r="V95" s="58"/>
      <c r="W95" s="58"/>
      <c r="X95" s="58"/>
    </row>
    <row r="96" spans="2:24" ht="15" thickBot="1">
      <c r="B96" s="3" t="s">
        <v>12</v>
      </c>
      <c r="C96" s="18"/>
      <c r="D96" s="18"/>
      <c r="E96" s="18"/>
      <c r="F96" s="18"/>
      <c r="G96" s="18"/>
      <c r="H96" s="2"/>
      <c r="J96" s="58">
        <f>F89</f>
        <v>2050</v>
      </c>
      <c r="K96" s="58"/>
      <c r="L96" s="58">
        <f>F94/100</f>
        <v>4.5</v>
      </c>
      <c r="M96" s="58"/>
      <c r="N96" s="58">
        <f>F95</f>
        <v>20</v>
      </c>
      <c r="O96" s="59">
        <f>F110</f>
        <v>6705</v>
      </c>
      <c r="P96" s="59">
        <f>F112</f>
        <v>16.555555555555557</v>
      </c>
      <c r="Q96" s="59">
        <f>F113</f>
        <v>0</v>
      </c>
      <c r="R96" s="58"/>
      <c r="S96" s="58"/>
      <c r="T96" s="58"/>
      <c r="U96" s="58"/>
      <c r="V96" s="58"/>
      <c r="W96" s="58"/>
      <c r="X96" s="58"/>
    </row>
    <row r="97" spans="2:15" ht="27" customHeight="1" thickBot="1">
      <c r="B97" s="1" t="s">
        <v>13</v>
      </c>
      <c r="C97" s="190">
        <v>0</v>
      </c>
      <c r="D97" s="191">
        <v>0</v>
      </c>
      <c r="E97" s="191">
        <v>0</v>
      </c>
      <c r="F97" s="192">
        <v>0</v>
      </c>
      <c r="G97" s="1272" t="s">
        <v>98</v>
      </c>
      <c r="H97" s="175"/>
      <c r="J97" s="1256"/>
      <c r="K97" s="1257"/>
      <c r="L97" s="1257"/>
      <c r="M97" s="1257"/>
      <c r="N97" s="1257"/>
      <c r="O97" s="1258"/>
    </row>
    <row r="98" spans="2:15" ht="15.6" thickBot="1">
      <c r="B98" s="1" t="s">
        <v>15</v>
      </c>
      <c r="C98" s="193">
        <v>0</v>
      </c>
      <c r="D98" s="189">
        <v>0</v>
      </c>
      <c r="E98" s="189">
        <v>0</v>
      </c>
      <c r="F98" s="185">
        <v>0</v>
      </c>
      <c r="G98" s="1273"/>
      <c r="H98" s="176"/>
      <c r="J98" s="1131"/>
      <c r="K98" s="1132"/>
      <c r="L98" s="1132"/>
      <c r="M98" s="1132"/>
      <c r="N98" s="1132"/>
      <c r="O98" s="1133"/>
    </row>
    <row r="99" spans="2:15" ht="15.6" thickBot="1">
      <c r="B99" s="1" t="s">
        <v>17</v>
      </c>
      <c r="C99" s="193">
        <v>0</v>
      </c>
      <c r="D99" s="189">
        <v>0</v>
      </c>
      <c r="E99" s="189">
        <v>0</v>
      </c>
      <c r="F99" s="185">
        <v>0</v>
      </c>
      <c r="G99" s="1273"/>
      <c r="H99" s="176"/>
      <c r="J99" s="53"/>
    </row>
    <row r="100" spans="2:15" ht="15.6" thickBot="1">
      <c r="B100" s="1" t="s">
        <v>18</v>
      </c>
      <c r="C100" s="193">
        <v>0</v>
      </c>
      <c r="D100" s="189">
        <v>0</v>
      </c>
      <c r="E100" s="189">
        <v>0</v>
      </c>
      <c r="F100" s="185">
        <v>0</v>
      </c>
      <c r="G100" s="1273"/>
      <c r="H100" s="176"/>
      <c r="J100" s="46"/>
      <c r="K100" s="46"/>
      <c r="L100" s="47"/>
      <c r="M100" s="47"/>
      <c r="N100" s="47"/>
      <c r="O100" s="48"/>
    </row>
    <row r="101" spans="2:15" ht="15" thickBot="1">
      <c r="B101" s="1" t="s">
        <v>19</v>
      </c>
      <c r="C101" s="194">
        <v>0</v>
      </c>
      <c r="D101" s="195">
        <v>0</v>
      </c>
      <c r="E101" s="195">
        <v>0</v>
      </c>
      <c r="F101" s="35">
        <v>0</v>
      </c>
      <c r="G101" s="1274"/>
      <c r="H101" s="177"/>
      <c r="J101" s="50"/>
      <c r="K101" s="50"/>
      <c r="L101" s="51"/>
      <c r="M101" s="51"/>
      <c r="N101" s="51"/>
      <c r="O101" s="52"/>
    </row>
    <row r="102" spans="2:15" ht="15" thickBot="1">
      <c r="B102" s="3" t="s">
        <v>22</v>
      </c>
      <c r="C102" s="18"/>
      <c r="D102" s="18"/>
      <c r="E102" s="18"/>
      <c r="F102" s="18"/>
      <c r="G102" s="18"/>
      <c r="H102" s="2"/>
      <c r="J102" s="56"/>
      <c r="K102" s="56"/>
      <c r="L102" s="57"/>
      <c r="M102" s="57"/>
      <c r="N102" s="57"/>
      <c r="O102" s="56"/>
    </row>
    <row r="103" spans="2:15" ht="15" thickBot="1">
      <c r="B103" s="1" t="s">
        <v>23</v>
      </c>
      <c r="C103" s="2">
        <v>1.1000000000000001</v>
      </c>
      <c r="D103" s="2">
        <v>1.1000000000000001</v>
      </c>
      <c r="E103" s="2">
        <v>1</v>
      </c>
      <c r="F103" s="2">
        <v>0.9</v>
      </c>
      <c r="G103" s="2" t="s">
        <v>114</v>
      </c>
      <c r="H103" s="2" t="s">
        <v>105</v>
      </c>
      <c r="J103" s="58"/>
      <c r="K103" s="58"/>
      <c r="L103" s="58"/>
      <c r="M103" s="58"/>
      <c r="N103" s="58"/>
      <c r="O103" s="59"/>
    </row>
    <row r="104" spans="2:15">
      <c r="B104" s="6" t="s">
        <v>24</v>
      </c>
      <c r="C104" s="7"/>
      <c r="D104" s="7"/>
      <c r="E104" s="7"/>
      <c r="F104" s="7"/>
      <c r="G104" s="7"/>
      <c r="H104" s="7"/>
      <c r="J104" s="58"/>
      <c r="K104" s="58"/>
      <c r="L104" s="58"/>
      <c r="M104" s="58"/>
      <c r="N104" s="58"/>
      <c r="O104" s="59"/>
    </row>
    <row r="105" spans="2:15">
      <c r="B105" s="6" t="s">
        <v>26</v>
      </c>
      <c r="C105" s="7"/>
      <c r="D105" s="7"/>
      <c r="E105" s="7"/>
      <c r="F105" s="7"/>
      <c r="G105" s="7"/>
      <c r="H105" s="7"/>
      <c r="J105" s="58"/>
      <c r="K105" s="58"/>
      <c r="L105" s="58"/>
      <c r="M105" s="58"/>
      <c r="N105" s="58"/>
      <c r="O105" s="59"/>
    </row>
    <row r="106" spans="2:15" ht="15" thickBot="1">
      <c r="B106" s="1" t="s">
        <v>96</v>
      </c>
      <c r="C106" s="2"/>
      <c r="D106" s="2"/>
      <c r="E106" s="2"/>
      <c r="F106" s="2"/>
      <c r="G106" s="2"/>
      <c r="H106" s="2"/>
      <c r="J106" s="58"/>
      <c r="K106" s="58"/>
      <c r="L106" s="58"/>
      <c r="M106" s="58"/>
      <c r="N106" s="58"/>
      <c r="O106" s="59"/>
    </row>
    <row r="107" spans="2:15" ht="24.6" thickBot="1">
      <c r="B107" s="1" t="s">
        <v>113</v>
      </c>
      <c r="C107" s="2">
        <v>0.67</v>
      </c>
      <c r="D107" s="2">
        <v>0.67</v>
      </c>
      <c r="E107" s="2">
        <v>0.67</v>
      </c>
      <c r="F107" s="2">
        <v>0.67</v>
      </c>
      <c r="G107" s="2" t="s">
        <v>20</v>
      </c>
      <c r="H107" s="2"/>
    </row>
    <row r="108" spans="2:15" ht="15" thickBot="1">
      <c r="B108" s="1" t="s">
        <v>50</v>
      </c>
      <c r="C108" s="2">
        <v>400</v>
      </c>
      <c r="D108" s="2">
        <v>400</v>
      </c>
      <c r="E108" s="2">
        <v>400</v>
      </c>
      <c r="F108" s="2">
        <v>400</v>
      </c>
      <c r="G108" s="2" t="s">
        <v>25</v>
      </c>
      <c r="H108" s="2">
        <v>2</v>
      </c>
    </row>
    <row r="109" spans="2:15" ht="15" thickBot="1">
      <c r="B109" s="1" t="s">
        <v>31</v>
      </c>
      <c r="C109" s="2"/>
      <c r="D109" s="2"/>
      <c r="E109" s="2"/>
      <c r="F109" s="2"/>
      <c r="G109" s="2"/>
      <c r="H109" s="2"/>
    </row>
    <row r="110" spans="2:15">
      <c r="B110" s="36" t="s">
        <v>353</v>
      </c>
      <c r="C110" s="60">
        <f t="shared" ref="C110:F111" si="3">C103*$F$4*1000</f>
        <v>8195</v>
      </c>
      <c r="D110" s="60">
        <f t="shared" si="3"/>
        <v>8195</v>
      </c>
      <c r="E110" s="60">
        <f t="shared" si="3"/>
        <v>7450</v>
      </c>
      <c r="F110" s="60">
        <f t="shared" si="3"/>
        <v>6705</v>
      </c>
      <c r="G110" s="63" t="s">
        <v>332</v>
      </c>
      <c r="H110" s="63"/>
    </row>
    <row r="111" spans="2:15">
      <c r="B111" s="36" t="s">
        <v>354</v>
      </c>
      <c r="C111" s="186">
        <f t="shared" si="3"/>
        <v>0</v>
      </c>
      <c r="D111" s="186">
        <f t="shared" si="3"/>
        <v>0</v>
      </c>
      <c r="E111" s="186">
        <f t="shared" si="3"/>
        <v>0</v>
      </c>
      <c r="F111" s="186">
        <f t="shared" si="3"/>
        <v>0</v>
      </c>
      <c r="G111" s="70">
        <v>180</v>
      </c>
      <c r="H111" s="69" t="s">
        <v>330</v>
      </c>
    </row>
    <row r="112" spans="2:15">
      <c r="B112" s="36" t="s">
        <v>355</v>
      </c>
      <c r="C112" s="60">
        <f>C108*$F$4/$G111</f>
        <v>16.555555555555557</v>
      </c>
      <c r="D112" s="60">
        <f>D108*$F$4/$G111</f>
        <v>16.555555555555557</v>
      </c>
      <c r="E112" s="60">
        <f>E108*$F$4/$G111</f>
        <v>16.555555555555557</v>
      </c>
      <c r="F112" s="60">
        <f>F108*$F$4/$G111</f>
        <v>16.555555555555557</v>
      </c>
      <c r="G112" s="69" t="s">
        <v>331</v>
      </c>
      <c r="H112" s="69"/>
    </row>
    <row r="113" spans="2:8">
      <c r="B113" s="36" t="s">
        <v>356</v>
      </c>
      <c r="C113" s="186">
        <f>C109*$F$4</f>
        <v>0</v>
      </c>
      <c r="D113" s="186">
        <f>D109*$F$4</f>
        <v>0</v>
      </c>
      <c r="E113" s="186">
        <f>E109*$F$4</f>
        <v>0</v>
      </c>
      <c r="F113" s="186">
        <f>F109*$F$4</f>
        <v>0</v>
      </c>
      <c r="G113" s="61"/>
      <c r="H113" s="61"/>
    </row>
    <row r="156" spans="7:7">
      <c r="G156" s="263" t="s">
        <v>600</v>
      </c>
    </row>
  </sheetData>
  <mergeCells count="26">
    <mergeCell ref="B6:B7"/>
    <mergeCell ref="C6:H6"/>
    <mergeCell ref="C7:H7"/>
    <mergeCell ref="B33:B34"/>
    <mergeCell ref="C33:H33"/>
    <mergeCell ref="C34:H34"/>
    <mergeCell ref="G16:G20"/>
    <mergeCell ref="B60:B61"/>
    <mergeCell ref="C60:H60"/>
    <mergeCell ref="C61:H61"/>
    <mergeCell ref="B87:B88"/>
    <mergeCell ref="C87:H87"/>
    <mergeCell ref="C88:H88"/>
    <mergeCell ref="J6:O6"/>
    <mergeCell ref="J7:O7"/>
    <mergeCell ref="J33:O33"/>
    <mergeCell ref="J34:O34"/>
    <mergeCell ref="J60:O60"/>
    <mergeCell ref="G43:G47"/>
    <mergeCell ref="G70:G74"/>
    <mergeCell ref="G97:G101"/>
    <mergeCell ref="J87:O87"/>
    <mergeCell ref="J88:O88"/>
    <mergeCell ref="J97:O97"/>
    <mergeCell ref="J98:O98"/>
    <mergeCell ref="J61:O61"/>
  </mergeCell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tabColor theme="4"/>
  </sheetPr>
  <dimension ref="B3:CP130"/>
  <sheetViews>
    <sheetView topLeftCell="A19" workbookViewId="0">
      <selection activeCell="C31" sqref="C31"/>
    </sheetView>
  </sheetViews>
  <sheetFormatPr defaultRowHeight="14.4"/>
  <cols>
    <col min="2" max="2" width="51.44140625" customWidth="1"/>
    <col min="3" max="3" width="14.77734375" style="85" bestFit="1" customWidth="1"/>
    <col min="4" max="8" width="9.21875" style="85"/>
  </cols>
  <sheetData>
    <row r="3" spans="2:94" ht="28.8">
      <c r="B3" s="84" t="s">
        <v>393</v>
      </c>
    </row>
    <row r="4" spans="2:94" ht="15" customHeight="1">
      <c r="E4" t="s">
        <v>358</v>
      </c>
      <c r="F4"/>
      <c r="G4" s="36">
        <v>7.45</v>
      </c>
      <c r="H4" t="s">
        <v>328</v>
      </c>
    </row>
    <row r="5" spans="2:94" ht="15" customHeight="1" thickBot="1"/>
    <row r="6" spans="2:94" ht="15.75" customHeight="1" thickBot="1">
      <c r="C6" s="1287" t="s">
        <v>394</v>
      </c>
      <c r="D6" s="1285"/>
      <c r="E6" s="1285"/>
      <c r="F6" s="1285"/>
      <c r="G6" s="1285"/>
      <c r="H6" s="1286"/>
      <c r="J6" s="1256" t="str">
        <f>C6</f>
        <v>Absorption heat pump</v>
      </c>
      <c r="K6" s="1257"/>
      <c r="L6" s="1257"/>
      <c r="M6" s="1257"/>
      <c r="N6" s="1257"/>
      <c r="O6" s="1258"/>
    </row>
    <row r="7" spans="2:94" s="8" customFormat="1" ht="15.75" customHeight="1" thickBot="1">
      <c r="B7" s="86" t="s">
        <v>0</v>
      </c>
      <c r="C7" s="8" t="s">
        <v>362</v>
      </c>
      <c r="J7" s="1131" t="str">
        <f>C7</f>
        <v>One family house, new and existing buildings</v>
      </c>
      <c r="K7" s="1132"/>
      <c r="L7" s="1132"/>
      <c r="M7" s="1132"/>
      <c r="N7" s="1132"/>
      <c r="O7" s="1133"/>
      <c r="P7"/>
      <c r="Q7"/>
      <c r="R7"/>
      <c r="S7"/>
      <c r="T7"/>
      <c r="U7"/>
      <c r="V7"/>
      <c r="W7"/>
      <c r="X7"/>
    </row>
    <row r="8" spans="2:94" ht="25.5" customHeight="1" thickBot="1">
      <c r="B8" s="111"/>
      <c r="C8" s="112">
        <v>2015</v>
      </c>
      <c r="D8" s="112">
        <v>2020</v>
      </c>
      <c r="E8" s="112">
        <v>2030</v>
      </c>
      <c r="F8" s="112">
        <v>2050</v>
      </c>
      <c r="G8" s="112" t="s">
        <v>2</v>
      </c>
      <c r="H8" s="113"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25.5" customHeight="1" thickBot="1">
      <c r="B9" s="114" t="s">
        <v>4</v>
      </c>
      <c r="C9" s="108"/>
      <c r="D9" s="108"/>
      <c r="E9" s="108"/>
      <c r="F9" s="108"/>
      <c r="G9" s="108"/>
      <c r="H9" s="10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5380.5555555555566</v>
      </c>
      <c r="P12" s="59">
        <f>C31</f>
        <v>99.333333333333329</v>
      </c>
      <c r="Q12" s="59">
        <f>C32</f>
        <v>14.9</v>
      </c>
      <c r="R12" s="58"/>
      <c r="S12" s="58"/>
      <c r="T12" s="58">
        <f>C16</f>
        <v>0</v>
      </c>
      <c r="U12" s="58">
        <f>C17</f>
        <v>15</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2980</v>
      </c>
      <c r="P13" s="59">
        <f>D31</f>
        <v>59.6</v>
      </c>
      <c r="Q13" s="59">
        <f>D32</f>
        <v>14.9</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2483.3333333333335</v>
      </c>
      <c r="P14" s="59">
        <f>E31</f>
        <v>59.6</v>
      </c>
      <c r="Q14" s="59">
        <f>E32</f>
        <v>14.9</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2483.3333333333335</v>
      </c>
      <c r="P15" s="59">
        <f>F31</f>
        <v>59.6</v>
      </c>
      <c r="Q15" s="59">
        <f>F32</f>
        <v>14.9</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10" t="s">
        <v>368</v>
      </c>
      <c r="C21" s="1285" t="s">
        <v>397</v>
      </c>
      <c r="D21" s="1285"/>
      <c r="E21" s="1285"/>
      <c r="F21" s="1285"/>
      <c r="G21" s="1285"/>
      <c r="H21" s="1286"/>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c r="B22" s="115" t="s">
        <v>23</v>
      </c>
      <c r="C22" s="120"/>
      <c r="D22" s="120"/>
      <c r="E22" s="120"/>
      <c r="F22" s="120"/>
      <c r="G22" s="118"/>
      <c r="H22" s="11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c r="B23" s="115" t="s">
        <v>24</v>
      </c>
      <c r="C23" s="118">
        <v>13</v>
      </c>
      <c r="D23" s="118">
        <v>12</v>
      </c>
      <c r="E23" s="118">
        <v>10</v>
      </c>
      <c r="F23" s="118">
        <v>10</v>
      </c>
      <c r="G23" s="118" t="s">
        <v>398</v>
      </c>
      <c r="H23" s="11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c r="B24" s="115" t="s">
        <v>26</v>
      </c>
      <c r="C24" s="119">
        <v>0.77</v>
      </c>
      <c r="D24" s="119">
        <v>0.75</v>
      </c>
      <c r="E24" s="119">
        <v>0.7</v>
      </c>
      <c r="F24" s="119">
        <v>0.7</v>
      </c>
      <c r="G24" s="118"/>
      <c r="H24" s="11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c r="B25" s="115" t="s">
        <v>28</v>
      </c>
      <c r="C25" s="119">
        <v>0.23</v>
      </c>
      <c r="D25" s="119">
        <v>0.25</v>
      </c>
      <c r="E25" s="119">
        <v>0.3</v>
      </c>
      <c r="F25" s="119">
        <v>0.3</v>
      </c>
      <c r="G25" s="118"/>
      <c r="H25" s="11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c r="B26" s="115" t="s">
        <v>369</v>
      </c>
      <c r="C26" s="107">
        <v>2</v>
      </c>
      <c r="D26" s="118">
        <v>2</v>
      </c>
      <c r="E26" s="118">
        <v>2</v>
      </c>
      <c r="F26" s="118">
        <v>2</v>
      </c>
      <c r="G26" s="118" t="s">
        <v>51</v>
      </c>
      <c r="H26" s="11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c r="B27" s="115" t="s">
        <v>64</v>
      </c>
      <c r="C27" s="107">
        <v>240</v>
      </c>
      <c r="D27" s="118">
        <v>240</v>
      </c>
      <c r="E27" s="118">
        <v>240</v>
      </c>
      <c r="F27" s="118">
        <v>240</v>
      </c>
      <c r="G27" s="118" t="s">
        <v>399</v>
      </c>
      <c r="H27" s="11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c r="B28" s="122" t="s">
        <v>406</v>
      </c>
      <c r="C28" s="121">
        <v>2</v>
      </c>
      <c r="D28" s="120">
        <v>2</v>
      </c>
      <c r="E28" s="120">
        <v>2</v>
      </c>
      <c r="F28" s="120">
        <v>2</v>
      </c>
      <c r="G28" s="120" t="s">
        <v>396</v>
      </c>
      <c r="H28" s="11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5380.5555555555566</v>
      </c>
      <c r="D29" s="42">
        <f>D30/D10</f>
        <v>2980</v>
      </c>
      <c r="E29" s="42">
        <f>E30/E10</f>
        <v>2483.3333333333335</v>
      </c>
      <c r="F29" s="42">
        <f>F30/F10</f>
        <v>2483.3333333333335</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96850.000000000015</v>
      </c>
      <c r="D30" s="42">
        <f>D23*$G$4*1000</f>
        <v>89400</v>
      </c>
      <c r="E30" s="42">
        <f>E23*$G$4*1000</f>
        <v>74500</v>
      </c>
      <c r="F30" s="42">
        <f>F23*$G$4*1000</f>
        <v>74500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99.333333333333329</v>
      </c>
      <c r="D31" s="106">
        <f>D27*$G$4/D10</f>
        <v>59.6</v>
      </c>
      <c r="E31" s="106">
        <f>E27*$G$4/E10</f>
        <v>59.6</v>
      </c>
      <c r="F31" s="106">
        <f>F27*$G$4/F10</f>
        <v>59.6</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5" thickBot="1">
      <c r="B32" s="36" t="s">
        <v>356</v>
      </c>
      <c r="C32" s="42">
        <f>C28*$G$4</f>
        <v>14.9</v>
      </c>
      <c r="D32" s="42">
        <f>D28*$G$4</f>
        <v>14.9</v>
      </c>
      <c r="E32" s="42">
        <f>E28*$G$4</f>
        <v>14.9</v>
      </c>
      <c r="F32" s="42">
        <f>F28*$G$4</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87" t="s">
        <v>394</v>
      </c>
      <c r="D33" s="1285"/>
      <c r="E33" s="1285"/>
      <c r="F33" s="1285"/>
      <c r="G33" s="1285"/>
      <c r="H33" s="1286"/>
      <c r="J33" s="1256" t="str">
        <f>C33</f>
        <v>Absorption heat pump</v>
      </c>
      <c r="K33" s="1257"/>
      <c r="L33" s="1257"/>
      <c r="M33" s="1257"/>
      <c r="N33" s="1257"/>
      <c r="O33" s="125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31" t="str">
        <f>C34</f>
        <v>Apartment complex, existing and new buildings</v>
      </c>
      <c r="K34" s="1132"/>
      <c r="L34" s="1132"/>
      <c r="M34" s="1132"/>
      <c r="N34" s="1132"/>
      <c r="O34" s="1133"/>
      <c r="P34"/>
      <c r="Q34"/>
      <c r="R34"/>
      <c r="S34"/>
      <c r="T34"/>
      <c r="U34"/>
      <c r="V34"/>
      <c r="W34"/>
      <c r="X34"/>
    </row>
    <row r="35" spans="2:94" ht="15"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28.2"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5"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5"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5" thickBot="1">
      <c r="B39" s="148" t="s">
        <v>8</v>
      </c>
      <c r="C39" s="125">
        <v>100</v>
      </c>
      <c r="D39" s="151">
        <v>100</v>
      </c>
      <c r="E39" s="151">
        <v>100</v>
      </c>
      <c r="F39" s="151">
        <v>100</v>
      </c>
      <c r="G39" s="151"/>
      <c r="H39" s="151"/>
      <c r="J39" s="58">
        <f>C35</f>
        <v>2015</v>
      </c>
      <c r="K39" s="58">
        <f>J39</f>
        <v>2015</v>
      </c>
      <c r="L39" s="58">
        <f>C40/100</f>
        <v>1.35</v>
      </c>
      <c r="M39" s="58"/>
      <c r="N39" s="58">
        <f>C41</f>
        <v>22</v>
      </c>
      <c r="O39" s="59">
        <f>C56</f>
        <v>3047.7272727272725</v>
      </c>
      <c r="P39" s="59">
        <f>C58</f>
        <v>22.857954545454547</v>
      </c>
      <c r="Q39" s="59">
        <f>C59</f>
        <v>18</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5" thickBot="1">
      <c r="B40" s="148" t="s">
        <v>363</v>
      </c>
      <c r="C40" s="125">
        <v>135</v>
      </c>
      <c r="D40" s="151">
        <v>145</v>
      </c>
      <c r="E40" s="151">
        <v>170</v>
      </c>
      <c r="F40" s="151">
        <v>170</v>
      </c>
      <c r="G40" s="151" t="s">
        <v>59</v>
      </c>
      <c r="H40" s="151">
        <v>2.16</v>
      </c>
      <c r="J40" s="58">
        <f>D35</f>
        <v>2020</v>
      </c>
      <c r="K40" s="58"/>
      <c r="L40" s="58">
        <f>D40/100</f>
        <v>1.45</v>
      </c>
      <c r="M40" s="58"/>
      <c r="N40" s="58">
        <f>D41</f>
        <v>22</v>
      </c>
      <c r="O40" s="59">
        <f>D56</f>
        <v>1676.25</v>
      </c>
      <c r="P40" s="59">
        <f>D58</f>
        <v>12.571875</v>
      </c>
      <c r="Q40" s="59">
        <f>D59</f>
        <v>18</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5" thickBot="1">
      <c r="B41" s="148" t="s">
        <v>11</v>
      </c>
      <c r="C41" s="125">
        <v>22</v>
      </c>
      <c r="D41" s="151">
        <v>22</v>
      </c>
      <c r="E41" s="151">
        <v>22</v>
      </c>
      <c r="F41" s="151">
        <v>22</v>
      </c>
      <c r="G41" s="151" t="s">
        <v>16</v>
      </c>
      <c r="H41" s="151"/>
      <c r="J41" s="58">
        <f>E35</f>
        <v>2030</v>
      </c>
      <c r="K41" s="58"/>
      <c r="L41" s="58">
        <f>E40/100</f>
        <v>1.7</v>
      </c>
      <c r="M41" s="58"/>
      <c r="N41" s="58">
        <f>E41</f>
        <v>22</v>
      </c>
      <c r="O41" s="59">
        <f>E56</f>
        <v>1583.125</v>
      </c>
      <c r="P41" s="59">
        <f>E58</f>
        <v>12.571875</v>
      </c>
      <c r="Q41" s="59">
        <f>E59</f>
        <v>18</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5" thickBot="1">
      <c r="B42" s="143" t="s">
        <v>12</v>
      </c>
      <c r="C42" s="133"/>
      <c r="D42" s="133"/>
      <c r="E42" s="133"/>
      <c r="F42" s="133"/>
      <c r="G42" s="133"/>
      <c r="H42" s="134"/>
      <c r="J42" s="58">
        <f>F35</f>
        <v>2050</v>
      </c>
      <c r="K42" s="58"/>
      <c r="L42" s="58">
        <f>F40/100</f>
        <v>1.7</v>
      </c>
      <c r="M42" s="58"/>
      <c r="N42" s="58">
        <f>F41</f>
        <v>22</v>
      </c>
      <c r="O42" s="59">
        <f>F56</f>
        <v>1583.125</v>
      </c>
      <c r="P42" s="59">
        <f>F58</f>
        <v>12.571875</v>
      </c>
      <c r="Q42" s="59">
        <f>F59</f>
        <v>18</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5"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5"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5"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5"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5"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368</v>
      </c>
      <c r="C48" s="1285" t="s">
        <v>397</v>
      </c>
      <c r="D48" s="1285"/>
      <c r="E48" s="1285"/>
      <c r="F48" s="1285"/>
      <c r="G48" s="1285"/>
      <c r="H48" s="1286"/>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5" thickBot="1">
      <c r="B49" s="148" t="s">
        <v>23</v>
      </c>
      <c r="C49" s="152" t="s">
        <v>68</v>
      </c>
      <c r="D49" s="152" t="s">
        <v>68</v>
      </c>
      <c r="E49" s="152" t="s">
        <v>68</v>
      </c>
      <c r="F49" s="152" t="s">
        <v>68</v>
      </c>
      <c r="G49" s="152" t="s">
        <v>374</v>
      </c>
      <c r="H49" s="151"/>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5" thickBot="1">
      <c r="B50" s="148" t="s">
        <v>24</v>
      </c>
      <c r="C50" s="152">
        <v>18</v>
      </c>
      <c r="D50" s="152">
        <v>18</v>
      </c>
      <c r="E50" s="152">
        <v>17</v>
      </c>
      <c r="F50" s="152">
        <v>17</v>
      </c>
      <c r="G50" s="152" t="s">
        <v>400</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ht="15" thickBot="1">
      <c r="B51" s="148" t="s">
        <v>26</v>
      </c>
      <c r="C51" s="153">
        <v>0.78</v>
      </c>
      <c r="D51" s="153"/>
      <c r="E51" s="153"/>
      <c r="F51" s="153"/>
      <c r="G51" s="152"/>
      <c r="H51" s="152"/>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2:94" ht="15" thickBot="1">
      <c r="B52" s="148" t="s">
        <v>28</v>
      </c>
      <c r="C52" s="153">
        <v>0.22</v>
      </c>
      <c r="D52" s="153"/>
      <c r="E52" s="153"/>
      <c r="F52" s="153"/>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5" thickBot="1">
      <c r="B53" s="148" t="s">
        <v>369</v>
      </c>
      <c r="C53" s="154">
        <v>1.6</v>
      </c>
      <c r="D53" s="152">
        <v>1.6</v>
      </c>
      <c r="E53" s="152">
        <v>1.6</v>
      </c>
      <c r="F53" s="152">
        <v>1.6</v>
      </c>
      <c r="G53" s="152" t="s">
        <v>33</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5"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5"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3047.7272727272725</v>
      </c>
      <c r="D56" s="42">
        <f>D57/D37</f>
        <v>1676.25</v>
      </c>
      <c r="E56" s="42">
        <f>E57/E37</f>
        <v>1583.125</v>
      </c>
      <c r="F56" s="42">
        <f>F57/F37</f>
        <v>1583.125</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134100</v>
      </c>
      <c r="D57" s="42">
        <f>D50*$G$4*1000</f>
        <v>134100</v>
      </c>
      <c r="E57" s="42">
        <f>E50*$G$4*1000</f>
        <v>126650</v>
      </c>
      <c r="F57" s="42">
        <f>F50*$G$4*1000</f>
        <v>126650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5" thickBot="1">
      <c r="B59" s="36" t="s">
        <v>356</v>
      </c>
      <c r="C59" s="188">
        <f>C55/$C$64</f>
        <v>18</v>
      </c>
      <c r="D59" s="188">
        <f>D55/$C$64</f>
        <v>18</v>
      </c>
      <c r="E59" s="188">
        <f>E55/$C$64</f>
        <v>18</v>
      </c>
      <c r="F59" s="188">
        <f>F55/$C$64</f>
        <v>18</v>
      </c>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C62" s="85">
        <v>20000</v>
      </c>
      <c r="D62" s="85" t="s">
        <v>360</v>
      </c>
      <c r="F62" s="85">
        <v>5</v>
      </c>
      <c r="G62" s="85" t="s">
        <v>409</v>
      </c>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C63" s="85">
        <f>C62/3.6</f>
        <v>5555.5555555555557</v>
      </c>
      <c r="D63" s="85" t="s">
        <v>408</v>
      </c>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C64" s="85">
        <f>C63/1000</f>
        <v>5.5555555555555554</v>
      </c>
      <c r="D64" s="85" t="s">
        <v>361</v>
      </c>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C65" s="165">
        <v>400000000</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C66" s="165">
        <f>C65/C64</f>
        <v>72000000</v>
      </c>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33:H33"/>
    <mergeCell ref="J33:O33"/>
    <mergeCell ref="C21:H21"/>
  </mergeCells>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5">
    <tabColor theme="4"/>
  </sheetPr>
  <dimension ref="B3:CP130"/>
  <sheetViews>
    <sheetView workbookViewId="0">
      <selection activeCell="K36" sqref="K36"/>
    </sheetView>
  </sheetViews>
  <sheetFormatPr defaultRowHeight="14.4"/>
  <cols>
    <col min="2" max="2" width="51.44140625" customWidth="1"/>
    <col min="3" max="8" width="9.21875" style="85"/>
  </cols>
  <sheetData>
    <row r="3" spans="2:94" ht="28.8">
      <c r="B3" s="84" t="s">
        <v>401</v>
      </c>
    </row>
    <row r="4" spans="2:94" ht="15" customHeight="1">
      <c r="E4" t="s">
        <v>358</v>
      </c>
      <c r="F4"/>
      <c r="G4" s="36">
        <v>7.45</v>
      </c>
      <c r="H4" t="s">
        <v>328</v>
      </c>
    </row>
    <row r="5" spans="2:94" ht="15" customHeight="1" thickBot="1"/>
    <row r="6" spans="2:94" ht="15.75" customHeight="1" thickBot="1">
      <c r="C6" s="1287" t="s">
        <v>394</v>
      </c>
      <c r="D6" s="1285"/>
      <c r="E6" s="1285"/>
      <c r="F6" s="1285"/>
      <c r="G6" s="1285"/>
      <c r="H6" s="1286"/>
      <c r="J6" s="1256" t="str">
        <f>C6</f>
        <v>Absorption heat pump</v>
      </c>
      <c r="K6" s="1257"/>
      <c r="L6" s="1257"/>
      <c r="M6" s="1257"/>
      <c r="N6" s="1257"/>
      <c r="O6" s="1258"/>
    </row>
    <row r="7" spans="2:94" s="8" customFormat="1" ht="15.75" customHeight="1" thickBot="1">
      <c r="B7" s="86" t="s">
        <v>0</v>
      </c>
      <c r="C7" s="8" t="s">
        <v>362</v>
      </c>
      <c r="J7" s="1131" t="str">
        <f>C7</f>
        <v>One family house, new and existing buildings</v>
      </c>
      <c r="K7" s="1132"/>
      <c r="L7" s="1132"/>
      <c r="M7" s="1132"/>
      <c r="N7" s="1132"/>
      <c r="O7" s="1133"/>
      <c r="P7"/>
      <c r="Q7"/>
      <c r="R7"/>
      <c r="S7"/>
      <c r="T7"/>
      <c r="U7"/>
      <c r="V7"/>
      <c r="W7"/>
      <c r="X7"/>
    </row>
    <row r="8" spans="2:94" ht="15"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15.75" customHeight="1" thickBot="1">
      <c r="B9" s="90" t="s">
        <v>4</v>
      </c>
      <c r="C9" s="12"/>
      <c r="D9" s="12"/>
      <c r="E9" s="12"/>
      <c r="F9" s="12"/>
      <c r="G9" s="12"/>
      <c r="H9" s="13"/>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6456.666666666667</v>
      </c>
      <c r="P12" s="59">
        <f>C31</f>
        <v>55.875</v>
      </c>
      <c r="Q12" s="59">
        <f>C32</f>
        <v>41.388888888888886</v>
      </c>
      <c r="R12" s="58"/>
      <c r="S12" s="58"/>
      <c r="T12" s="58">
        <f>C16</f>
        <v>0</v>
      </c>
      <c r="U12" s="78">
        <f>C17</f>
        <v>15</v>
      </c>
      <c r="V12" s="78">
        <f>C18</f>
        <v>2</v>
      </c>
      <c r="W12" s="78">
        <f>C19</f>
        <v>0</v>
      </c>
      <c r="X12" s="7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3625.6666666666665</v>
      </c>
      <c r="P13" s="59">
        <f>D31</f>
        <v>33.524999999999999</v>
      </c>
      <c r="Q13" s="59">
        <f>D32</f>
        <v>24.833333333333332</v>
      </c>
      <c r="R13" s="58"/>
      <c r="S13" s="58"/>
      <c r="T13" s="58">
        <f>D16</f>
        <v>0</v>
      </c>
      <c r="U13" s="78">
        <f>D17</f>
        <v>10</v>
      </c>
      <c r="V13" s="78">
        <f>D18</f>
        <v>1</v>
      </c>
      <c r="W13" s="78">
        <f>D19</f>
        <v>0</v>
      </c>
      <c r="X13" s="7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3129</v>
      </c>
      <c r="P14" s="59">
        <f>E31</f>
        <v>33.524999999999999</v>
      </c>
      <c r="Q14" s="59">
        <f>E32</f>
        <v>24.833333333333332</v>
      </c>
      <c r="R14" s="58"/>
      <c r="S14" s="58"/>
      <c r="T14" s="58">
        <f>E16</f>
        <v>0</v>
      </c>
      <c r="U14" s="78">
        <f>E17</f>
        <v>5</v>
      </c>
      <c r="V14" s="78">
        <f>E18</f>
        <v>0.5</v>
      </c>
      <c r="W14" s="78">
        <f>E19</f>
        <v>0</v>
      </c>
      <c r="X14" s="7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3129</v>
      </c>
      <c r="P15" s="59">
        <f>F31</f>
        <v>33.524999999999999</v>
      </c>
      <c r="Q15" s="59">
        <f>F32</f>
        <v>24.833333333333332</v>
      </c>
      <c r="R15" s="58"/>
      <c r="S15" s="58"/>
      <c r="T15" s="58">
        <f>F16</f>
        <v>0</v>
      </c>
      <c r="U15" s="78">
        <f>F17</f>
        <v>5</v>
      </c>
      <c r="V15" s="78">
        <f>F18</f>
        <v>0.5</v>
      </c>
      <c r="W15" s="78">
        <f>F19</f>
        <v>0</v>
      </c>
      <c r="X15" s="7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43" t="s">
        <v>371</v>
      </c>
      <c r="C21" s="1290" t="s">
        <v>372</v>
      </c>
      <c r="D21" s="1290"/>
      <c r="E21" s="1290"/>
      <c r="F21" s="1290"/>
      <c r="G21" s="1290"/>
      <c r="H21" s="1291"/>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 thickBot="1">
      <c r="B22" s="148" t="s">
        <v>23</v>
      </c>
      <c r="C22" s="152"/>
      <c r="D22" s="152"/>
      <c r="E22" s="152"/>
      <c r="F22" s="152"/>
      <c r="G22" s="151"/>
      <c r="H22" s="151"/>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 thickBot="1">
      <c r="B23" s="148" t="s">
        <v>24</v>
      </c>
      <c r="C23" s="151">
        <v>15.6</v>
      </c>
      <c r="D23" s="151">
        <v>14.6</v>
      </c>
      <c r="E23" s="151">
        <v>12.6</v>
      </c>
      <c r="F23" s="151">
        <v>12.6</v>
      </c>
      <c r="G23" s="151"/>
      <c r="H23" s="151"/>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s="8" customFormat="1" ht="15.75" customHeight="1" thickBot="1">
      <c r="B24" s="148" t="s">
        <v>26</v>
      </c>
      <c r="C24" s="162">
        <v>0.64</v>
      </c>
      <c r="D24" s="162">
        <v>0.61</v>
      </c>
      <c r="E24" s="162">
        <v>0.55000000000000004</v>
      </c>
      <c r="F24" s="162">
        <v>0.55000000000000004</v>
      </c>
      <c r="G24" s="151"/>
      <c r="H24" s="151"/>
    </row>
    <row r="25" spans="2:94" ht="15" thickBot="1">
      <c r="B25" s="148" t="s">
        <v>28</v>
      </c>
      <c r="C25" s="162">
        <v>0.36</v>
      </c>
      <c r="D25" s="162">
        <v>0.39</v>
      </c>
      <c r="E25" s="162">
        <v>0.45</v>
      </c>
      <c r="F25" s="162">
        <v>0.45</v>
      </c>
      <c r="G25" s="151"/>
      <c r="H25" s="151"/>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 thickBot="1">
      <c r="B26" s="148" t="s">
        <v>369</v>
      </c>
      <c r="C26" s="125">
        <f>4.8+1.6</f>
        <v>6.4</v>
      </c>
      <c r="D26" s="125">
        <f>4.8+1.6</f>
        <v>6.4</v>
      </c>
      <c r="E26" s="125">
        <f>4.8+1.6</f>
        <v>6.4</v>
      </c>
      <c r="F26" s="125">
        <f>4.8+1.6</f>
        <v>6.4</v>
      </c>
      <c r="G26" s="151" t="s">
        <v>402</v>
      </c>
      <c r="H26" s="151"/>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 thickBot="1">
      <c r="B27" s="148" t="s">
        <v>64</v>
      </c>
      <c r="C27" s="148">
        <v>135</v>
      </c>
      <c r="D27" s="149">
        <v>135</v>
      </c>
      <c r="E27" s="149">
        <v>135</v>
      </c>
      <c r="F27" s="149">
        <v>135</v>
      </c>
      <c r="G27" s="151" t="s">
        <v>399</v>
      </c>
      <c r="H27" s="151"/>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 thickBot="1">
      <c r="B28" s="163" t="s">
        <v>130</v>
      </c>
      <c r="C28" s="164">
        <v>100</v>
      </c>
      <c r="D28" s="164">
        <v>100</v>
      </c>
      <c r="E28" s="164">
        <v>100</v>
      </c>
      <c r="F28" s="164">
        <v>100</v>
      </c>
      <c r="G28" s="164" t="s">
        <v>396</v>
      </c>
      <c r="H28" s="164"/>
      <c r="J28" s="8"/>
      <c r="K28" s="102"/>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6456.666666666667</v>
      </c>
      <c r="D29" s="42">
        <f>D30/D10</f>
        <v>3625.6666666666665</v>
      </c>
      <c r="E29" s="42">
        <f>E30/E10</f>
        <v>3129</v>
      </c>
      <c r="F29" s="42">
        <f>F30/F10</f>
        <v>3129</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116220</v>
      </c>
      <c r="D30" s="42">
        <f>D23*$G$4*1000</f>
        <v>108770</v>
      </c>
      <c r="E30" s="42">
        <f>E23*$G$4*1000</f>
        <v>93870</v>
      </c>
      <c r="F30" s="42">
        <f>F23*$G$4*1000</f>
        <v>93870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55.875</v>
      </c>
      <c r="D31" s="106">
        <f>D27*$G$4/D10</f>
        <v>33.524999999999999</v>
      </c>
      <c r="E31" s="106">
        <f>E27*$G$4/E10</f>
        <v>33.524999999999999</v>
      </c>
      <c r="F31" s="106">
        <f>F27*$G$4/F10</f>
        <v>33.524999999999999</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5" thickBot="1">
      <c r="B32" s="36" t="s">
        <v>356</v>
      </c>
      <c r="C32" s="106">
        <f>C28*$G$4/C10</f>
        <v>41.388888888888886</v>
      </c>
      <c r="D32" s="106">
        <f>D28*$G$4/D10</f>
        <v>24.833333333333332</v>
      </c>
      <c r="E32" s="106">
        <f>E28*$G$4/E10</f>
        <v>24.833333333333332</v>
      </c>
      <c r="F32" s="106">
        <f>F28*$G$4/F10</f>
        <v>24.833333333333332</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87" t="s">
        <v>394</v>
      </c>
      <c r="D33" s="1285"/>
      <c r="E33" s="1285"/>
      <c r="F33" s="1285"/>
      <c r="G33" s="1285"/>
      <c r="H33" s="1286"/>
      <c r="J33" s="1256" t="str">
        <f>C33</f>
        <v>Absorption heat pump</v>
      </c>
      <c r="K33" s="1257"/>
      <c r="L33" s="1257"/>
      <c r="M33" s="1257"/>
      <c r="N33" s="1257"/>
      <c r="O33" s="125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31" t="str">
        <f>C34</f>
        <v>Apartment complex, existing and new buildings</v>
      </c>
      <c r="K34" s="1132"/>
      <c r="L34" s="1132"/>
      <c r="M34" s="1132"/>
      <c r="N34" s="1132"/>
      <c r="O34" s="1133"/>
      <c r="P34"/>
      <c r="Q34"/>
      <c r="R34"/>
      <c r="S34"/>
      <c r="T34"/>
      <c r="U34"/>
      <c r="V34"/>
      <c r="W34"/>
      <c r="X34"/>
    </row>
    <row r="35" spans="2:94" ht="15"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28.2"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5"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5"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5" thickBot="1">
      <c r="B39" s="148" t="s">
        <v>8</v>
      </c>
      <c r="C39" s="125">
        <v>100</v>
      </c>
      <c r="D39" s="151">
        <v>100</v>
      </c>
      <c r="E39" s="151">
        <v>100</v>
      </c>
      <c r="F39" s="151">
        <v>100</v>
      </c>
      <c r="G39" s="151"/>
      <c r="H39" s="151"/>
      <c r="J39" s="58">
        <f>C35</f>
        <v>2015</v>
      </c>
      <c r="K39" s="58">
        <f>J39</f>
        <v>2015</v>
      </c>
      <c r="L39" s="58">
        <f>C40/100</f>
        <v>1.35</v>
      </c>
      <c r="M39" s="58"/>
      <c r="N39" s="58">
        <f>C41</f>
        <v>22</v>
      </c>
      <c r="O39" s="59">
        <f>C56</f>
        <v>5587.5</v>
      </c>
      <c r="P39" s="59">
        <f>C58</f>
        <v>22.857954545454547</v>
      </c>
      <c r="Q39" s="59">
        <f>C59</f>
        <v>0</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5" thickBot="1">
      <c r="B40" s="148" t="s">
        <v>363</v>
      </c>
      <c r="C40" s="125">
        <v>135</v>
      </c>
      <c r="D40" s="151">
        <v>145</v>
      </c>
      <c r="E40" s="151">
        <v>170</v>
      </c>
      <c r="F40" s="151">
        <v>170</v>
      </c>
      <c r="G40" s="151" t="s">
        <v>59</v>
      </c>
      <c r="H40" s="151">
        <v>2.16</v>
      </c>
      <c r="J40" s="58">
        <f>D35</f>
        <v>2020</v>
      </c>
      <c r="K40" s="58"/>
      <c r="L40" s="58">
        <f>D40/100</f>
        <v>1.45</v>
      </c>
      <c r="M40" s="58"/>
      <c r="N40" s="58">
        <f>D41</f>
        <v>22</v>
      </c>
      <c r="O40" s="59">
        <f>D56</f>
        <v>3073.125</v>
      </c>
      <c r="P40" s="59">
        <f>D58</f>
        <v>12.571875</v>
      </c>
      <c r="Q40" s="59">
        <f>D59</f>
        <v>0</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5" thickBot="1">
      <c r="B41" s="148" t="s">
        <v>11</v>
      </c>
      <c r="C41" s="125">
        <v>22</v>
      </c>
      <c r="D41" s="151">
        <v>22</v>
      </c>
      <c r="E41" s="151">
        <v>22</v>
      </c>
      <c r="F41" s="151">
        <v>22</v>
      </c>
      <c r="G41" s="151" t="s">
        <v>16</v>
      </c>
      <c r="H41" s="151"/>
      <c r="J41" s="58">
        <f>E35</f>
        <v>2030</v>
      </c>
      <c r="K41" s="58"/>
      <c r="L41" s="58">
        <f>E40/100</f>
        <v>1.7</v>
      </c>
      <c r="M41" s="58"/>
      <c r="N41" s="58">
        <f>E41</f>
        <v>22</v>
      </c>
      <c r="O41" s="59">
        <f>E56</f>
        <v>2980</v>
      </c>
      <c r="P41" s="59">
        <f>E58</f>
        <v>12.571875</v>
      </c>
      <c r="Q41" s="59">
        <f>E59</f>
        <v>0</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5" thickBot="1">
      <c r="B42" s="143" t="s">
        <v>12</v>
      </c>
      <c r="C42" s="133"/>
      <c r="D42" s="133"/>
      <c r="E42" s="133"/>
      <c r="F42" s="133"/>
      <c r="G42" s="133"/>
      <c r="H42" s="134"/>
      <c r="J42" s="58">
        <f>F35</f>
        <v>2050</v>
      </c>
      <c r="K42" s="58"/>
      <c r="L42" s="58">
        <f>F40/100</f>
        <v>1.7</v>
      </c>
      <c r="M42" s="58"/>
      <c r="N42" s="58">
        <f>F41</f>
        <v>22</v>
      </c>
      <c r="O42" s="59">
        <f>F56</f>
        <v>2980</v>
      </c>
      <c r="P42" s="59">
        <f>F58</f>
        <v>12.571875</v>
      </c>
      <c r="Q42" s="59">
        <f>F59</f>
        <v>0</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5"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5"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5"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5"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5"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371</v>
      </c>
      <c r="C48" s="1288"/>
      <c r="D48" s="1288"/>
      <c r="E48" s="1288"/>
      <c r="F48" s="1288"/>
      <c r="G48" s="1288"/>
      <c r="H48" s="1289"/>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5" thickBot="1">
      <c r="B49" s="148" t="s">
        <v>23</v>
      </c>
      <c r="C49" s="152" t="s">
        <v>68</v>
      </c>
      <c r="D49" s="152" t="s">
        <v>68</v>
      </c>
      <c r="E49" s="152" t="s">
        <v>68</v>
      </c>
      <c r="F49" s="152" t="s">
        <v>68</v>
      </c>
      <c r="G49" s="152" t="s">
        <v>374</v>
      </c>
      <c r="H49" s="152"/>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5" thickBot="1">
      <c r="B50" s="148" t="s">
        <v>24</v>
      </c>
      <c r="C50" s="152">
        <f>18+15</f>
        <v>33</v>
      </c>
      <c r="D50" s="152">
        <f>18+15</f>
        <v>33</v>
      </c>
      <c r="E50" s="152">
        <f>17+15</f>
        <v>32</v>
      </c>
      <c r="F50" s="152">
        <f>17+15</f>
        <v>32</v>
      </c>
      <c r="G50" s="155" t="s">
        <v>403</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s="8" customFormat="1" ht="15.75" customHeight="1" thickBot="1">
      <c r="B51" s="148" t="s">
        <v>26</v>
      </c>
      <c r="C51" s="152">
        <v>42</v>
      </c>
      <c r="D51" s="152">
        <v>42</v>
      </c>
      <c r="E51" s="152"/>
      <c r="F51" s="152"/>
      <c r="G51" s="152"/>
      <c r="H51" s="152"/>
    </row>
    <row r="52" spans="2:94" ht="15" thickBot="1">
      <c r="B52" s="148" t="s">
        <v>28</v>
      </c>
      <c r="C52" s="152">
        <v>58</v>
      </c>
      <c r="D52" s="152">
        <v>58</v>
      </c>
      <c r="E52" s="152"/>
      <c r="F52" s="152"/>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5" thickBot="1">
      <c r="B53" s="148" t="s">
        <v>369</v>
      </c>
      <c r="C53" s="154" t="s">
        <v>404</v>
      </c>
      <c r="D53" s="152" t="s">
        <v>404</v>
      </c>
      <c r="E53" s="152" t="s">
        <v>404</v>
      </c>
      <c r="F53" s="152" t="s">
        <v>404</v>
      </c>
      <c r="G53" s="152" t="s">
        <v>405</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5"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5"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5587.5</v>
      </c>
      <c r="D56" s="42">
        <f>D57/D37</f>
        <v>3073.125</v>
      </c>
      <c r="E56" s="42">
        <f>E57/E37</f>
        <v>2980</v>
      </c>
      <c r="F56" s="42">
        <f>F57/F37</f>
        <v>2980</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245850</v>
      </c>
      <c r="D57" s="42">
        <f>D50*$G$4*1000</f>
        <v>245850</v>
      </c>
      <c r="E57" s="42">
        <f>E50*$G$4*1000</f>
        <v>238400</v>
      </c>
      <c r="F57" s="42">
        <f>F50*$G$4*1000</f>
        <v>238400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5" thickBot="1">
      <c r="B59" s="36" t="s">
        <v>356</v>
      </c>
      <c r="C59" s="106"/>
      <c r="D59" s="106"/>
      <c r="E59" s="106"/>
      <c r="F59" s="106"/>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21:H21"/>
    <mergeCell ref="C33:H33"/>
    <mergeCell ref="J33:O3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6">
    <tabColor theme="4"/>
  </sheetPr>
  <dimension ref="B2:CO147"/>
  <sheetViews>
    <sheetView workbookViewId="0">
      <selection activeCell="K36" sqref="K36"/>
    </sheetView>
  </sheetViews>
  <sheetFormatPr defaultRowHeight="14.4"/>
  <cols>
    <col min="2" max="2" width="51.44140625" customWidth="1"/>
    <col min="3" max="8" width="9.21875" style="85"/>
    <col min="11" max="11" width="43.21875" customWidth="1"/>
  </cols>
  <sheetData>
    <row r="2" spans="2:93" ht="28.8">
      <c r="B2" s="93" t="s">
        <v>375</v>
      </c>
    </row>
    <row r="3" spans="2:93" ht="15" customHeight="1"/>
    <row r="4" spans="2:93">
      <c r="E4" t="s">
        <v>358</v>
      </c>
      <c r="F4"/>
      <c r="G4" s="36">
        <v>7.45</v>
      </c>
      <c r="H4" t="s">
        <v>328</v>
      </c>
    </row>
    <row r="5" spans="2:93" ht="15"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5" thickBot="1">
      <c r="J6" s="1256">
        <f>C6</f>
        <v>0</v>
      </c>
      <c r="K6" s="1257"/>
      <c r="L6" s="1257"/>
      <c r="M6" s="1257"/>
      <c r="N6" s="1257"/>
      <c r="O6" s="125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5" thickBot="1">
      <c r="B7" s="86" t="s">
        <v>0</v>
      </c>
      <c r="C7" s="1287" t="s">
        <v>376</v>
      </c>
      <c r="D7" s="1285"/>
      <c r="E7" s="1285"/>
      <c r="F7" s="1285"/>
      <c r="G7" s="1285"/>
      <c r="H7" s="1286"/>
      <c r="J7" s="1131" t="str">
        <f>C7</f>
        <v>Gas engine driven heat pump heat pump</v>
      </c>
      <c r="K7" s="1132"/>
      <c r="L7" s="1132"/>
      <c r="M7" s="1132"/>
      <c r="N7" s="1132"/>
      <c r="O7" s="1133"/>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5" thickBot="1">
      <c r="B8" s="87"/>
      <c r="C8" s="104">
        <v>2015</v>
      </c>
      <c r="D8" s="104">
        <v>2020</v>
      </c>
      <c r="E8" s="104">
        <v>2030</v>
      </c>
      <c r="F8" s="104">
        <v>2050</v>
      </c>
      <c r="G8" s="104" t="s">
        <v>2</v>
      </c>
      <c r="H8" s="105"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28.2"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5"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5"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5" thickBot="1">
      <c r="B12" s="148" t="s">
        <v>8</v>
      </c>
      <c r="C12" s="125">
        <v>100</v>
      </c>
      <c r="D12" s="151">
        <v>100</v>
      </c>
      <c r="E12" s="151">
        <v>100</v>
      </c>
      <c r="F12" s="151">
        <v>100</v>
      </c>
      <c r="G12" s="151"/>
      <c r="H12" s="151"/>
      <c r="J12" s="58">
        <f>C8</f>
        <v>2015</v>
      </c>
      <c r="K12" s="58">
        <f>J12</f>
        <v>2015</v>
      </c>
      <c r="L12" s="58">
        <f>C13/100</f>
        <v>1.5</v>
      </c>
      <c r="M12" s="58"/>
      <c r="N12" s="58">
        <f>C14</f>
        <v>12.5</v>
      </c>
      <c r="O12" s="59">
        <f>C29</f>
        <v>596</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5" thickBot="1">
      <c r="B13" s="148" t="s">
        <v>363</v>
      </c>
      <c r="C13" s="125">
        <v>150</v>
      </c>
      <c r="D13" s="151">
        <v>155</v>
      </c>
      <c r="E13" s="151">
        <v>155</v>
      </c>
      <c r="F13" s="151">
        <v>160</v>
      </c>
      <c r="G13" s="151"/>
      <c r="H13" s="151">
        <v>14</v>
      </c>
      <c r="J13" s="58">
        <f>D8</f>
        <v>2020</v>
      </c>
      <c r="K13" s="58"/>
      <c r="L13" s="58">
        <f>D13/100</f>
        <v>1.55</v>
      </c>
      <c r="M13" s="58"/>
      <c r="N13" s="58">
        <f>D14</f>
        <v>17.5</v>
      </c>
      <c r="O13" s="59">
        <f>D29</f>
        <v>596</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596</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5" thickBot="1">
      <c r="B15" s="143" t="s">
        <v>12</v>
      </c>
      <c r="C15" s="133"/>
      <c r="D15" s="133"/>
      <c r="E15" s="133"/>
      <c r="F15" s="133"/>
      <c r="G15" s="133"/>
      <c r="H15" s="134"/>
      <c r="J15" s="58">
        <f>F8</f>
        <v>2050</v>
      </c>
      <c r="K15" s="58"/>
      <c r="L15" s="58">
        <f>F13/100</f>
        <v>1.6</v>
      </c>
      <c r="M15" s="58"/>
      <c r="N15" s="58">
        <f>F14</f>
        <v>17.5</v>
      </c>
      <c r="O15" s="59">
        <f>F29</f>
        <v>596</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5"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c r="B17" s="148" t="s">
        <v>365</v>
      </c>
      <c r="C17" s="184">
        <f>(30+200)/2</f>
        <v>115</v>
      </c>
      <c r="D17" s="183">
        <f>(20+150)/2</f>
        <v>85</v>
      </c>
      <c r="E17" s="183">
        <f>(10+100)/2</f>
        <v>55</v>
      </c>
      <c r="F17" s="151">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368</v>
      </c>
      <c r="C21" s="1285" t="s">
        <v>378</v>
      </c>
      <c r="D21" s="1285"/>
      <c r="E21" s="1285"/>
      <c r="F21" s="1285"/>
      <c r="G21" s="1285"/>
      <c r="H21" s="1286"/>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c r="B23" s="148" t="s">
        <v>24</v>
      </c>
      <c r="C23" s="152">
        <v>4</v>
      </c>
      <c r="D23" s="152">
        <v>4</v>
      </c>
      <c r="E23" s="152">
        <v>4</v>
      </c>
      <c r="F23" s="152">
        <v>4</v>
      </c>
      <c r="G23" s="152" t="s">
        <v>381</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c r="B24" s="148" t="s">
        <v>26</v>
      </c>
      <c r="C24" s="152">
        <v>83</v>
      </c>
      <c r="D24" s="152">
        <v>83</v>
      </c>
      <c r="E24" s="152">
        <v>83</v>
      </c>
      <c r="F24" s="152">
        <v>83</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c r="B25" s="148" t="s">
        <v>28</v>
      </c>
      <c r="C25" s="152">
        <v>17</v>
      </c>
      <c r="D25" s="152">
        <v>17</v>
      </c>
      <c r="E25" s="152">
        <v>17</v>
      </c>
      <c r="F25" s="152">
        <v>17</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c r="B26" s="148" t="s">
        <v>369</v>
      </c>
      <c r="C26" s="154">
        <v>1.6</v>
      </c>
      <c r="D26" s="152">
        <v>1.6</v>
      </c>
      <c r="E26" s="152">
        <v>1.6</v>
      </c>
      <c r="F26" s="152">
        <v>1.6</v>
      </c>
      <c r="G26" s="152" t="s">
        <v>55</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thickBot="1">
      <c r="B28" s="148" t="s">
        <v>407</v>
      </c>
      <c r="C28" s="157">
        <v>100</v>
      </c>
      <c r="D28" s="157">
        <v>100</v>
      </c>
      <c r="E28" s="157">
        <v>100</v>
      </c>
      <c r="F28" s="157">
        <v>100</v>
      </c>
      <c r="G28" s="157"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596</v>
      </c>
      <c r="D29" s="42">
        <f>D30/$G30</f>
        <v>596</v>
      </c>
      <c r="E29" s="42">
        <f>E30/$G30</f>
        <v>596</v>
      </c>
      <c r="F29" s="42">
        <f>F30/$G30</f>
        <v>596</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29800</v>
      </c>
      <c r="D30" s="42">
        <f>D23*$G$4*1000</f>
        <v>29800</v>
      </c>
      <c r="E30" s="42">
        <f>E23*$G$4*1000</f>
        <v>29800</v>
      </c>
      <c r="F30" s="42">
        <f>F23*$G$4*1000</f>
        <v>29800</v>
      </c>
      <c r="G30" s="67">
        <v>50</v>
      </c>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J6:O6"/>
    <mergeCell ref="C7:H7"/>
    <mergeCell ref="J7:O7"/>
    <mergeCell ref="C21:H2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7">
    <tabColor theme="4"/>
  </sheetPr>
  <dimension ref="B2:CO147"/>
  <sheetViews>
    <sheetView workbookViewId="0">
      <selection activeCell="K36" sqref="K36"/>
    </sheetView>
  </sheetViews>
  <sheetFormatPr defaultRowHeight="14.4"/>
  <cols>
    <col min="2" max="2" width="51.44140625" customWidth="1"/>
    <col min="3" max="8" width="9.21875" style="85"/>
    <col min="11" max="11" width="43.21875" customWidth="1"/>
  </cols>
  <sheetData>
    <row r="2" spans="2:93" ht="28.8">
      <c r="B2" s="93" t="s">
        <v>375</v>
      </c>
    </row>
    <row r="3" spans="2:93" ht="15" customHeight="1"/>
    <row r="4" spans="2:93">
      <c r="E4" t="s">
        <v>358</v>
      </c>
      <c r="F4"/>
      <c r="G4" s="36">
        <v>7.45</v>
      </c>
      <c r="H4" t="s">
        <v>328</v>
      </c>
    </row>
    <row r="5" spans="2:93" ht="15"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5" thickBot="1">
      <c r="J6" s="1256">
        <f>C6</f>
        <v>0</v>
      </c>
      <c r="K6" s="1257"/>
      <c r="L6" s="1257"/>
      <c r="M6" s="1257"/>
      <c r="N6" s="1257"/>
      <c r="O6" s="125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5" thickBot="1">
      <c r="B7" s="86" t="s">
        <v>0</v>
      </c>
      <c r="C7" s="1287" t="s">
        <v>376</v>
      </c>
      <c r="D7" s="1285"/>
      <c r="E7" s="1285"/>
      <c r="F7" s="1285"/>
      <c r="G7" s="1285"/>
      <c r="H7" s="1286"/>
      <c r="J7" s="1131" t="str">
        <f>C7</f>
        <v>Gas engine driven heat pump heat pump</v>
      </c>
      <c r="K7" s="1132"/>
      <c r="L7" s="1132"/>
      <c r="M7" s="1132"/>
      <c r="N7" s="1132"/>
      <c r="O7" s="1133"/>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5"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28.2"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5"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5"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5" thickBot="1">
      <c r="B12" s="148" t="s">
        <v>8</v>
      </c>
      <c r="C12" s="125">
        <v>100</v>
      </c>
      <c r="D12" s="151">
        <v>100</v>
      </c>
      <c r="E12" s="151">
        <v>100</v>
      </c>
      <c r="F12" s="151">
        <v>100</v>
      </c>
      <c r="G12" s="151"/>
      <c r="H12" s="151"/>
      <c r="J12" s="58">
        <f>C8</f>
        <v>2015</v>
      </c>
      <c r="K12" s="58">
        <f>J12</f>
        <v>2015</v>
      </c>
      <c r="L12" s="58">
        <f>C13/100</f>
        <v>1.5</v>
      </c>
      <c r="M12" s="58"/>
      <c r="N12" s="58">
        <f>C14</f>
        <v>12.5</v>
      </c>
      <c r="O12" s="59">
        <f>C29</f>
        <v>2831</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5" thickBot="1">
      <c r="B13" s="148" t="s">
        <v>363</v>
      </c>
      <c r="C13" s="125">
        <v>150</v>
      </c>
      <c r="D13" s="151">
        <v>155</v>
      </c>
      <c r="E13" s="151">
        <v>155</v>
      </c>
      <c r="F13" s="151">
        <v>160</v>
      </c>
      <c r="G13" s="151"/>
      <c r="H13" s="151">
        <v>14</v>
      </c>
      <c r="J13" s="58">
        <f>D8</f>
        <v>2020</v>
      </c>
      <c r="K13" s="58"/>
      <c r="L13" s="58">
        <f>D13/100</f>
        <v>1.55</v>
      </c>
      <c r="M13" s="58"/>
      <c r="N13" s="58">
        <f>D14</f>
        <v>17.5</v>
      </c>
      <c r="O13" s="59">
        <f>D29</f>
        <v>2831</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2831</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5" thickBot="1">
      <c r="B15" s="143" t="s">
        <v>12</v>
      </c>
      <c r="C15" s="133"/>
      <c r="D15" s="133"/>
      <c r="E15" s="133"/>
      <c r="F15" s="133"/>
      <c r="G15" s="133"/>
      <c r="H15" s="134"/>
      <c r="J15" s="58">
        <f>F8</f>
        <v>2050</v>
      </c>
      <c r="K15" s="58"/>
      <c r="L15" s="58">
        <f>F13/100</f>
        <v>1.6</v>
      </c>
      <c r="M15" s="58"/>
      <c r="N15" s="58">
        <f>F14</f>
        <v>17.5</v>
      </c>
      <c r="O15" s="59">
        <f>F29</f>
        <v>2831</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5"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c r="B17" s="148" t="s">
        <v>365</v>
      </c>
      <c r="C17" s="184">
        <f>(30+200)/2</f>
        <v>115</v>
      </c>
      <c r="D17" s="183">
        <f>(20+150)/2</f>
        <v>85</v>
      </c>
      <c r="E17" s="183">
        <f>(10+100)/2</f>
        <v>55</v>
      </c>
      <c r="F17" s="183">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371</v>
      </c>
      <c r="C21" s="1288" t="s">
        <v>384</v>
      </c>
      <c r="D21" s="1288"/>
      <c r="E21" s="1288"/>
      <c r="F21" s="1288"/>
      <c r="G21" s="1288"/>
      <c r="H21" s="1289"/>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c r="B23" s="148" t="s">
        <v>24</v>
      </c>
      <c r="C23" s="152">
        <f>4+15</f>
        <v>19</v>
      </c>
      <c r="D23" s="152">
        <f>4+15</f>
        <v>19</v>
      </c>
      <c r="E23" s="152">
        <f>4+15</f>
        <v>19</v>
      </c>
      <c r="F23" s="152">
        <f>4+15</f>
        <v>19</v>
      </c>
      <c r="G23" s="152" t="s">
        <v>385</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c r="B24" s="148" t="s">
        <v>26</v>
      </c>
      <c r="C24" s="152">
        <v>51</v>
      </c>
      <c r="D24" s="152">
        <v>51</v>
      </c>
      <c r="E24" s="152">
        <v>51</v>
      </c>
      <c r="F24" s="152">
        <v>51</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c r="B25" s="148" t="s">
        <v>28</v>
      </c>
      <c r="C25" s="152">
        <v>49</v>
      </c>
      <c r="D25" s="152">
        <v>49</v>
      </c>
      <c r="E25" s="152">
        <v>49</v>
      </c>
      <c r="F25" s="152">
        <v>49</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c r="B26" s="148" t="s">
        <v>369</v>
      </c>
      <c r="C26" s="154" t="s">
        <v>386</v>
      </c>
      <c r="D26" s="152" t="s">
        <v>386</v>
      </c>
      <c r="E26" s="152" t="s">
        <v>386</v>
      </c>
      <c r="F26" s="152" t="s">
        <v>386</v>
      </c>
      <c r="G26" s="152" t="s">
        <v>387</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thickBot="1">
      <c r="B28" s="148" t="s">
        <v>407</v>
      </c>
      <c r="C28" s="152">
        <v>100</v>
      </c>
      <c r="D28" s="152">
        <v>100</v>
      </c>
      <c r="E28" s="152">
        <v>100</v>
      </c>
      <c r="F28" s="152">
        <v>100</v>
      </c>
      <c r="G28" s="152"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2831</v>
      </c>
      <c r="D29" s="42">
        <f>D30/$G30</f>
        <v>2831</v>
      </c>
      <c r="E29" s="42">
        <f>E30/$G30</f>
        <v>2831</v>
      </c>
      <c r="F29" s="42">
        <f>F30/$G30</f>
        <v>2831</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141550</v>
      </c>
      <c r="D30" s="42">
        <f>D23*$G$4*1000</f>
        <v>141550</v>
      </c>
      <c r="E30" s="42">
        <f>E23*$G$4*1000</f>
        <v>141550</v>
      </c>
      <c r="F30" s="42">
        <f>F23*$G$4*1000</f>
        <v>141550</v>
      </c>
      <c r="G30" s="67">
        <v>50</v>
      </c>
      <c r="H30" s="63" t="s">
        <v>330</v>
      </c>
      <c r="I30" s="63" t="s">
        <v>332</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C7:H7"/>
    <mergeCell ref="C21:H21"/>
    <mergeCell ref="J6:O6"/>
    <mergeCell ref="J7:O7"/>
  </mergeCells>
  <pageMargins left="0.7" right="0.7"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8">
    <tabColor theme="4"/>
  </sheetPr>
  <dimension ref="B3:CZ134"/>
  <sheetViews>
    <sheetView topLeftCell="A19" zoomScaleNormal="100" workbookViewId="0">
      <selection activeCell="C31" sqref="C31"/>
    </sheetView>
  </sheetViews>
  <sheetFormatPr defaultRowHeight="14.4"/>
  <cols>
    <col min="2" max="2" width="51.44140625" customWidth="1"/>
    <col min="3" max="8" width="9.21875" style="85"/>
    <col min="11" max="12" width="8.77734375" customWidth="1"/>
    <col min="13" max="13" width="9" customWidth="1"/>
  </cols>
  <sheetData>
    <row r="3" spans="2:104" ht="28.8">
      <c r="B3" s="84" t="s">
        <v>388</v>
      </c>
    </row>
    <row r="4" spans="2:104" ht="15" customHeight="1">
      <c r="E4" t="s">
        <v>358</v>
      </c>
      <c r="F4"/>
      <c r="G4" s="36">
        <v>7.45</v>
      </c>
      <c r="H4" t="s">
        <v>328</v>
      </c>
      <c r="K4" s="94"/>
      <c r="L4" s="94"/>
    </row>
    <row r="5" spans="2:104" ht="15" customHeight="1" thickBot="1">
      <c r="E5"/>
      <c r="F5"/>
      <c r="G5" s="36"/>
      <c r="H5"/>
      <c r="K5" s="94"/>
      <c r="L5" s="94"/>
    </row>
    <row r="6" spans="2:104" ht="15" thickBot="1">
      <c r="C6" s="1287" t="s">
        <v>372</v>
      </c>
      <c r="D6" s="1285"/>
      <c r="E6" s="1285"/>
      <c r="F6" s="1285"/>
      <c r="G6" s="1285"/>
      <c r="H6" s="1286"/>
      <c r="J6" s="1256" t="str">
        <f>C6</f>
        <v>Absorption heat pump, brine-to-water</v>
      </c>
      <c r="K6" s="1257"/>
      <c r="L6" s="1257"/>
      <c r="M6" s="1257"/>
      <c r="N6" s="1257"/>
      <c r="O6" s="1258"/>
    </row>
    <row r="7" spans="2:104" s="8" customFormat="1" ht="15.75" customHeight="1" thickBot="1">
      <c r="B7" s="143" t="s">
        <v>0</v>
      </c>
      <c r="C7" s="1287" t="s">
        <v>372</v>
      </c>
      <c r="D7" s="1285"/>
      <c r="E7" s="1285"/>
      <c r="F7" s="1285"/>
      <c r="G7" s="1285"/>
      <c r="H7" s="1286"/>
      <c r="J7" s="1131" t="str">
        <f>C7</f>
        <v>Absorption heat pump, brine-to-water</v>
      </c>
      <c r="K7" s="1132"/>
      <c r="L7" s="1132"/>
      <c r="M7" s="1132"/>
      <c r="N7" s="1132"/>
      <c r="O7" s="1133"/>
      <c r="P7"/>
      <c r="Q7"/>
      <c r="R7"/>
      <c r="S7"/>
      <c r="T7"/>
      <c r="U7"/>
      <c r="V7"/>
      <c r="W7"/>
      <c r="X7"/>
    </row>
    <row r="8" spans="2:104" ht="15" thickBot="1">
      <c r="B8" s="144"/>
      <c r="C8" s="145">
        <v>2015</v>
      </c>
      <c r="D8" s="145">
        <v>2020</v>
      </c>
      <c r="E8" s="145">
        <v>2030</v>
      </c>
      <c r="F8" s="145">
        <v>2050</v>
      </c>
      <c r="G8" s="145" t="s">
        <v>2</v>
      </c>
      <c r="H8" s="146"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row>
    <row r="9" spans="2:104" ht="15.75" customHeight="1" thickBot="1">
      <c r="B9" s="143"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row>
    <row r="10" spans="2:104" ht="15.75" customHeight="1" thickBot="1">
      <c r="B10" s="148" t="s">
        <v>5</v>
      </c>
      <c r="C10" s="158" t="s">
        <v>389</v>
      </c>
      <c r="D10" s="158"/>
      <c r="E10" s="158"/>
      <c r="F10" s="158"/>
      <c r="G10" s="158" t="s">
        <v>390</v>
      </c>
      <c r="H10" s="150"/>
      <c r="J10" s="50"/>
      <c r="K10" s="50"/>
      <c r="L10" s="51"/>
      <c r="M10" s="51"/>
      <c r="N10" s="51"/>
      <c r="O10" s="52"/>
      <c r="P10" s="50"/>
      <c r="Q10" s="50"/>
      <c r="R10" s="50"/>
      <c r="S10" s="50"/>
      <c r="T10" s="50"/>
      <c r="U10" s="50"/>
      <c r="V10" s="50"/>
      <c r="W10" s="50"/>
      <c r="X10" s="50"/>
      <c r="Y10" s="8"/>
      <c r="Z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row>
    <row r="11" spans="2:104" ht="15.75" customHeight="1" thickBot="1">
      <c r="B11" s="148" t="s">
        <v>7</v>
      </c>
      <c r="C11" s="148">
        <v>100</v>
      </c>
      <c r="D11" s="149">
        <v>100</v>
      </c>
      <c r="E11" s="149">
        <v>100</v>
      </c>
      <c r="F11" s="149">
        <v>100</v>
      </c>
      <c r="G11" s="149"/>
      <c r="H11" s="149"/>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row>
    <row r="12" spans="2:104" ht="15.75" customHeight="1" thickBot="1">
      <c r="B12" s="148" t="s">
        <v>8</v>
      </c>
      <c r="C12" s="125">
        <v>100</v>
      </c>
      <c r="D12" s="151">
        <v>100</v>
      </c>
      <c r="E12" s="151">
        <v>100</v>
      </c>
      <c r="F12" s="151">
        <v>100</v>
      </c>
      <c r="G12" s="151"/>
      <c r="H12" s="151"/>
      <c r="J12" s="58">
        <f>C8</f>
        <v>2015</v>
      </c>
      <c r="K12" s="58">
        <f>J12</f>
        <v>2015</v>
      </c>
      <c r="L12" s="58">
        <f>C13/100</f>
        <v>1.35</v>
      </c>
      <c r="M12" s="58"/>
      <c r="N12" s="58">
        <f>C14</f>
        <v>20</v>
      </c>
      <c r="O12" s="59">
        <f>C29</f>
        <v>13037.5</v>
      </c>
      <c r="P12" s="59">
        <f>C31</f>
        <v>125.71875</v>
      </c>
      <c r="Q12" s="59">
        <f>C32</f>
        <v>93.125</v>
      </c>
      <c r="R12" s="58"/>
      <c r="S12" s="58"/>
      <c r="T12" s="58">
        <f>C16</f>
        <v>0</v>
      </c>
      <c r="U12" s="58">
        <f>C17</f>
        <v>20</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row>
    <row r="13" spans="2:104" ht="15.75" customHeight="1" thickBot="1">
      <c r="B13" s="148" t="s">
        <v>363</v>
      </c>
      <c r="C13" s="125">
        <v>135</v>
      </c>
      <c r="D13" s="183">
        <f>C13</f>
        <v>135</v>
      </c>
      <c r="E13" s="183">
        <f>D13</f>
        <v>135</v>
      </c>
      <c r="F13" s="183">
        <f>E13</f>
        <v>135</v>
      </c>
      <c r="G13" s="151" t="s">
        <v>59</v>
      </c>
      <c r="H13" s="151" t="s">
        <v>391</v>
      </c>
      <c r="J13" s="58">
        <f>D8</f>
        <v>2020</v>
      </c>
      <c r="K13" s="58"/>
      <c r="L13" s="58">
        <f>D13/100</f>
        <v>1.35</v>
      </c>
      <c r="M13" s="58"/>
      <c r="N13" s="58">
        <f>D14</f>
        <v>20</v>
      </c>
      <c r="O13" s="59">
        <f>D29</f>
        <v>13037.5</v>
      </c>
      <c r="P13" s="59">
        <f>D31</f>
        <v>125.71875</v>
      </c>
      <c r="Q13" s="59">
        <f>D32</f>
        <v>93.125</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row>
    <row r="14" spans="2:104" ht="15.75" customHeight="1" thickBot="1">
      <c r="B14" s="148" t="s">
        <v>11</v>
      </c>
      <c r="C14" s="125">
        <v>20</v>
      </c>
      <c r="D14" s="151">
        <v>20</v>
      </c>
      <c r="E14" s="151">
        <v>20</v>
      </c>
      <c r="F14" s="151">
        <v>20</v>
      </c>
      <c r="G14" s="151" t="s">
        <v>25</v>
      </c>
      <c r="H14" s="151"/>
      <c r="J14" s="58">
        <f>E8</f>
        <v>2030</v>
      </c>
      <c r="K14" s="58"/>
      <c r="L14" s="58">
        <f>E13/100</f>
        <v>1.35</v>
      </c>
      <c r="M14" s="58"/>
      <c r="N14" s="58">
        <f>E14</f>
        <v>20</v>
      </c>
      <c r="O14" s="59">
        <f>E29</f>
        <v>13037.5</v>
      </c>
      <c r="P14" s="59">
        <f>E31</f>
        <v>125.71875</v>
      </c>
      <c r="Q14" s="59">
        <f>E32</f>
        <v>93.125</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row>
    <row r="15" spans="2:104" ht="15.75" customHeight="1" thickBot="1">
      <c r="B15" s="143" t="s">
        <v>12</v>
      </c>
      <c r="C15" s="133"/>
      <c r="D15" s="133"/>
      <c r="E15" s="133"/>
      <c r="F15" s="133"/>
      <c r="G15" s="133"/>
      <c r="H15" s="134"/>
      <c r="J15" s="58">
        <f>F8</f>
        <v>2050</v>
      </c>
      <c r="K15" s="58"/>
      <c r="L15" s="58">
        <f>F13/100</f>
        <v>1.35</v>
      </c>
      <c r="M15" s="58"/>
      <c r="N15" s="58">
        <f>F14</f>
        <v>20</v>
      </c>
      <c r="O15" s="59">
        <f>F29</f>
        <v>13037.5</v>
      </c>
      <c r="P15" s="59">
        <f>F31</f>
        <v>125.71875</v>
      </c>
      <c r="Q15" s="59">
        <f>F32</f>
        <v>93.125</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row>
    <row r="16" spans="2:104" ht="15.75" customHeight="1" thickBot="1">
      <c r="B16" s="148" t="s">
        <v>364</v>
      </c>
      <c r="C16" s="159">
        <v>0</v>
      </c>
      <c r="D16" s="159">
        <v>0</v>
      </c>
      <c r="E16" s="159">
        <v>0</v>
      </c>
      <c r="F16" s="159">
        <v>0</v>
      </c>
      <c r="G16" s="160"/>
      <c r="H16" s="161"/>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row>
    <row r="17" spans="2:104" ht="15.75" customHeight="1" thickBot="1">
      <c r="B17" s="148" t="s">
        <v>365</v>
      </c>
      <c r="C17" s="154">
        <v>20</v>
      </c>
      <c r="D17" s="154">
        <v>10</v>
      </c>
      <c r="E17" s="154">
        <v>5</v>
      </c>
      <c r="F17" s="184">
        <f>E17</f>
        <v>5</v>
      </c>
      <c r="G17" s="152" t="s">
        <v>20</v>
      </c>
      <c r="H17" s="16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row>
    <row r="18" spans="2:104" ht="15.75" customHeight="1" thickBot="1">
      <c r="B18" s="148" t="s">
        <v>366</v>
      </c>
      <c r="C18" s="154">
        <v>2</v>
      </c>
      <c r="D18" s="154">
        <v>1</v>
      </c>
      <c r="E18" s="154">
        <v>0.5</v>
      </c>
      <c r="F18" s="184">
        <f>E18</f>
        <v>0.5</v>
      </c>
      <c r="G18" s="152" t="s">
        <v>20</v>
      </c>
      <c r="H18" s="161"/>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c r="B19" s="148" t="s">
        <v>367</v>
      </c>
      <c r="C19" s="154">
        <v>0</v>
      </c>
      <c r="D19" s="154">
        <v>0</v>
      </c>
      <c r="E19" s="154">
        <v>0</v>
      </c>
      <c r="F19" s="154">
        <v>0</v>
      </c>
      <c r="G19" s="152"/>
      <c r="H19" s="161"/>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c r="B20" s="148" t="s">
        <v>19</v>
      </c>
      <c r="C20" s="154">
        <v>0</v>
      </c>
      <c r="D20" s="154">
        <v>0</v>
      </c>
      <c r="E20" s="154">
        <v>0</v>
      </c>
      <c r="F20" s="154">
        <v>0</v>
      </c>
      <c r="G20" s="152"/>
      <c r="H20" s="161"/>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c r="B21" s="86" t="s">
        <v>22</v>
      </c>
      <c r="C21" s="95"/>
      <c r="D21" s="95"/>
      <c r="E21" s="95"/>
      <c r="F21" s="95"/>
      <c r="G21" s="95"/>
      <c r="H21" s="68" t="s">
        <v>329</v>
      </c>
      <c r="I21" s="80"/>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c r="B22" s="91" t="s">
        <v>23</v>
      </c>
      <c r="C22" s="35">
        <f>C23/$G30</f>
        <v>1.75</v>
      </c>
      <c r="D22" s="35">
        <f>D23/$G30</f>
        <v>1.75</v>
      </c>
      <c r="E22" s="35">
        <f>E23/$G30</f>
        <v>1.75</v>
      </c>
      <c r="F22" s="35">
        <f>F23/$G30</f>
        <v>1.75</v>
      </c>
      <c r="G22" s="96" t="s">
        <v>52</v>
      </c>
      <c r="H22" s="73" t="str">
        <f>H30</f>
        <v>kW</v>
      </c>
      <c r="I22" s="73">
        <f>I30</f>
        <v>0</v>
      </c>
      <c r="J22" s="64"/>
      <c r="K22" s="64"/>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c r="B23" s="91" t="s">
        <v>24</v>
      </c>
      <c r="C23" s="101">
        <f>(10+4)</f>
        <v>14</v>
      </c>
      <c r="D23" s="101">
        <f>(10+4)</f>
        <v>14</v>
      </c>
      <c r="E23" s="101">
        <f>(10+4)</f>
        <v>14</v>
      </c>
      <c r="F23" s="101">
        <f>(10+4)</f>
        <v>14</v>
      </c>
      <c r="G23" s="92" t="s">
        <v>392</v>
      </c>
      <c r="H23" s="92"/>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c r="B24" s="97" t="s">
        <v>26</v>
      </c>
      <c r="C24" s="100">
        <v>71</v>
      </c>
      <c r="D24" s="100">
        <v>71</v>
      </c>
      <c r="E24" s="100">
        <v>71</v>
      </c>
      <c r="F24" s="100">
        <v>71</v>
      </c>
      <c r="G24" s="92"/>
      <c r="H24" s="92"/>
      <c r="J24" s="64"/>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c r="B25" s="97" t="s">
        <v>28</v>
      </c>
      <c r="C25" s="99">
        <v>29</v>
      </c>
      <c r="D25" s="99">
        <v>29</v>
      </c>
      <c r="E25" s="99">
        <v>29</v>
      </c>
      <c r="F25" s="99">
        <v>29</v>
      </c>
      <c r="G25" s="92"/>
      <c r="H25" s="92"/>
      <c r="J25" s="65"/>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c r="B26" s="97" t="s">
        <v>369</v>
      </c>
      <c r="C26" s="98">
        <v>1.6</v>
      </c>
      <c r="D26" s="98">
        <v>1.6</v>
      </c>
      <c r="E26" s="98">
        <v>1.6</v>
      </c>
      <c r="F26" s="98">
        <v>1.6</v>
      </c>
      <c r="G26" s="92" t="s">
        <v>109</v>
      </c>
      <c r="H26" s="92"/>
      <c r="J26" s="65"/>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c r="B27" s="91" t="s">
        <v>50</v>
      </c>
      <c r="C27" s="92">
        <v>135</v>
      </c>
      <c r="D27" s="92">
        <v>135</v>
      </c>
      <c r="E27" s="92">
        <v>135</v>
      </c>
      <c r="F27" s="92">
        <v>135</v>
      </c>
      <c r="G27" s="92"/>
      <c r="H27" s="92"/>
      <c r="J27" s="65"/>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c r="B28" s="91" t="s">
        <v>370</v>
      </c>
      <c r="C28" s="92">
        <v>100</v>
      </c>
      <c r="D28" s="92">
        <v>100</v>
      </c>
      <c r="E28" s="92">
        <v>100</v>
      </c>
      <c r="F28" s="92">
        <v>100</v>
      </c>
      <c r="G28" s="92"/>
      <c r="H28" s="92"/>
      <c r="J28" s="65"/>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c r="B29" s="36" t="s">
        <v>353</v>
      </c>
      <c r="C29" s="42">
        <f>C30/$G30</f>
        <v>13037.5</v>
      </c>
      <c r="D29" s="42">
        <f>D30/$G30</f>
        <v>13037.5</v>
      </c>
      <c r="E29" s="42">
        <f>E30/$G30</f>
        <v>13037.5</v>
      </c>
      <c r="F29" s="42">
        <f>F30/$G30</f>
        <v>13037.5</v>
      </c>
      <c r="G29" s="63" t="s">
        <v>332</v>
      </c>
      <c r="H29" s="63"/>
      <c r="J29" s="64"/>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c r="B30" s="36" t="s">
        <v>354</v>
      </c>
      <c r="C30" s="42">
        <f>C23*$G$4*1000</f>
        <v>104300</v>
      </c>
      <c r="D30" s="42">
        <f>D23*$G$4*1000</f>
        <v>104300</v>
      </c>
      <c r="E30" s="42">
        <f>E23*$G$4*1000</f>
        <v>104300</v>
      </c>
      <c r="F30" s="42">
        <f>F23*$G$4*1000</f>
        <v>104300</v>
      </c>
      <c r="G30" s="67">
        <v>8</v>
      </c>
      <c r="H30" s="63" t="s">
        <v>330</v>
      </c>
      <c r="J30" s="64"/>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c r="B31" s="36" t="s">
        <v>355</v>
      </c>
      <c r="C31" s="42">
        <f>C27*$G$4/$G30</f>
        <v>125.71875</v>
      </c>
      <c r="D31" s="42">
        <f>D27*$G$4/$G30</f>
        <v>125.71875</v>
      </c>
      <c r="E31" s="42">
        <f>E27*$G$4/$G30</f>
        <v>125.71875</v>
      </c>
      <c r="F31" s="42">
        <f>F27*$G$4/$G30</f>
        <v>125.71875</v>
      </c>
      <c r="G31" s="63" t="s">
        <v>333</v>
      </c>
      <c r="H31" s="63"/>
      <c r="J31" s="64"/>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5" thickBot="1">
      <c r="B32" s="36" t="s">
        <v>356</v>
      </c>
      <c r="C32" s="42">
        <f>C28*$G$4/$G30</f>
        <v>93.125</v>
      </c>
      <c r="D32" s="42">
        <f>D28*$G$4/$G30</f>
        <v>93.125</v>
      </c>
      <c r="E32" s="42">
        <f>E28*$G$4/$G30</f>
        <v>93.125</v>
      </c>
      <c r="F32" s="42">
        <f>F28*$G$4/$G30</f>
        <v>93.125</v>
      </c>
      <c r="G32" s="66"/>
      <c r="H32" s="63"/>
      <c r="J32" s="64"/>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3:104">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3:104">
      <c r="C34"/>
      <c r="D34"/>
      <c r="E34"/>
      <c r="F34"/>
      <c r="G34"/>
      <c r="H34"/>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3:104">
      <c r="C35"/>
      <c r="D35"/>
      <c r="E35"/>
      <c r="F35"/>
      <c r="G35"/>
      <c r="H35"/>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3:104">
      <c r="C36"/>
      <c r="D36"/>
      <c r="E36"/>
      <c r="F36"/>
      <c r="G36"/>
      <c r="H36"/>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3:104">
      <c r="C37"/>
      <c r="D37"/>
      <c r="E37"/>
      <c r="F37"/>
      <c r="G37"/>
      <c r="H37"/>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3:104">
      <c r="C38"/>
      <c r="D38"/>
      <c r="E38"/>
      <c r="F38"/>
      <c r="G38"/>
      <c r="H3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3:104">
      <c r="C39"/>
      <c r="D39"/>
      <c r="E39"/>
      <c r="F39"/>
      <c r="G39"/>
      <c r="H39"/>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3:104">
      <c r="C40"/>
      <c r="D40"/>
      <c r="E40"/>
      <c r="F40"/>
      <c r="G40"/>
      <c r="H40"/>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3:104">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3:104">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3:104">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3:104">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3:104">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3:104">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3:104">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3:104">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sheetData>
  <mergeCells count="4">
    <mergeCell ref="C6:H6"/>
    <mergeCell ref="J6:O6"/>
    <mergeCell ref="J7:O7"/>
    <mergeCell ref="C7:H7"/>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0">
    <tabColor theme="4"/>
  </sheetPr>
  <dimension ref="B3:H55"/>
  <sheetViews>
    <sheetView topLeftCell="A37" workbookViewId="0">
      <selection activeCell="K36" sqref="K36"/>
    </sheetView>
  </sheetViews>
  <sheetFormatPr defaultRowHeight="14.4"/>
  <cols>
    <col min="2" max="2" width="36.77734375" customWidth="1"/>
  </cols>
  <sheetData>
    <row r="3" spans="2:8">
      <c r="B3" s="8" t="s">
        <v>316</v>
      </c>
    </row>
    <row r="5" spans="2:8" ht="15" thickBot="1"/>
    <row r="6" spans="2:8">
      <c r="B6" s="1254" t="s">
        <v>0</v>
      </c>
      <c r="C6" s="1256" t="s">
        <v>117</v>
      </c>
      <c r="D6" s="1257"/>
      <c r="E6" s="1257"/>
      <c r="F6" s="1257"/>
      <c r="G6" s="1257"/>
      <c r="H6" s="1258"/>
    </row>
    <row r="7" spans="2:8" ht="15" thickBot="1">
      <c r="B7" s="1255"/>
      <c r="C7" s="1131" t="s">
        <v>34</v>
      </c>
      <c r="D7" s="1132"/>
      <c r="E7" s="1132"/>
      <c r="F7" s="1132"/>
      <c r="G7" s="1132"/>
      <c r="H7" s="113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2">
        <v>2</v>
      </c>
      <c r="D10" s="2">
        <v>2</v>
      </c>
      <c r="E10" s="2">
        <v>2</v>
      </c>
      <c r="F10" s="2">
        <v>2</v>
      </c>
      <c r="G10" s="2"/>
      <c r="H10" s="2"/>
    </row>
    <row r="11" spans="2:8" ht="24.6" thickBot="1">
      <c r="B11" s="1" t="s">
        <v>7</v>
      </c>
      <c r="C11" s="2">
        <v>40</v>
      </c>
      <c r="D11" s="2">
        <v>40</v>
      </c>
      <c r="E11" s="2">
        <v>40</v>
      </c>
      <c r="F11" s="2">
        <v>40</v>
      </c>
      <c r="G11" s="2" t="s">
        <v>6</v>
      </c>
      <c r="H11" s="2"/>
    </row>
    <row r="12" spans="2:8" ht="24.6" thickBot="1">
      <c r="B12" s="1" t="s">
        <v>8</v>
      </c>
      <c r="C12" s="2">
        <v>0</v>
      </c>
      <c r="D12" s="2">
        <v>0</v>
      </c>
      <c r="E12" s="2">
        <v>0</v>
      </c>
      <c r="F12" s="2">
        <v>0</v>
      </c>
      <c r="G12" s="2" t="s">
        <v>59</v>
      </c>
      <c r="H12" s="2"/>
    </row>
    <row r="13" spans="2:8" ht="15" thickBot="1">
      <c r="B13" s="1" t="s">
        <v>9</v>
      </c>
      <c r="C13" s="2">
        <v>300</v>
      </c>
      <c r="D13" s="2">
        <v>310</v>
      </c>
      <c r="E13" s="2">
        <v>340</v>
      </c>
      <c r="F13" s="2">
        <v>350</v>
      </c>
      <c r="G13" s="2"/>
      <c r="H13" s="2" t="s">
        <v>118</v>
      </c>
    </row>
    <row r="14" spans="2:8" ht="15" thickBot="1">
      <c r="B14" s="1" t="s">
        <v>11</v>
      </c>
      <c r="C14" s="2">
        <v>20</v>
      </c>
      <c r="D14" s="2">
        <v>20</v>
      </c>
      <c r="E14" s="2">
        <v>20</v>
      </c>
      <c r="F14" s="2">
        <v>20</v>
      </c>
      <c r="G14" s="2"/>
      <c r="H14" s="2">
        <v>4</v>
      </c>
    </row>
    <row r="15" spans="2:8" ht="15" thickBot="1">
      <c r="B15" s="3" t="s">
        <v>12</v>
      </c>
      <c r="C15" s="18"/>
      <c r="D15" s="18"/>
      <c r="E15" s="18"/>
      <c r="F15" s="18"/>
      <c r="G15" s="18"/>
      <c r="H15" s="2"/>
    </row>
    <row r="16" spans="2:8" ht="27" customHeight="1" thickBot="1">
      <c r="B16" s="1" t="s">
        <v>13</v>
      </c>
      <c r="C16" s="1276" t="s">
        <v>98</v>
      </c>
      <c r="D16" s="1277"/>
      <c r="E16" s="1277"/>
      <c r="F16" s="1277"/>
      <c r="G16" s="1277"/>
      <c r="H16" s="1278"/>
    </row>
    <row r="17" spans="2:8" ht="15.6" thickBot="1">
      <c r="B17" s="1" t="s">
        <v>15</v>
      </c>
      <c r="C17" s="1279"/>
      <c r="D17" s="1280"/>
      <c r="E17" s="1280"/>
      <c r="F17" s="1280"/>
      <c r="G17" s="1280"/>
      <c r="H17" s="1281"/>
    </row>
    <row r="18" spans="2:8" ht="15.6" thickBot="1">
      <c r="B18" s="1" t="s">
        <v>17</v>
      </c>
      <c r="C18" s="1279"/>
      <c r="D18" s="1280"/>
      <c r="E18" s="1280"/>
      <c r="F18" s="1280"/>
      <c r="G18" s="1280"/>
      <c r="H18" s="1281"/>
    </row>
    <row r="19" spans="2:8" ht="15.6" thickBot="1">
      <c r="B19" s="1" t="s">
        <v>18</v>
      </c>
      <c r="C19" s="1279"/>
      <c r="D19" s="1280"/>
      <c r="E19" s="1280"/>
      <c r="F19" s="1280"/>
      <c r="G19" s="1280"/>
      <c r="H19" s="1281"/>
    </row>
    <row r="20" spans="2:8" ht="15" thickBot="1">
      <c r="B20" s="1" t="s">
        <v>19</v>
      </c>
      <c r="C20" s="1282"/>
      <c r="D20" s="1283"/>
      <c r="E20" s="1283"/>
      <c r="F20" s="1283"/>
      <c r="G20" s="1283"/>
      <c r="H20" s="1284"/>
    </row>
    <row r="21" spans="2:8" ht="15" thickBot="1">
      <c r="B21" s="3" t="s">
        <v>22</v>
      </c>
      <c r="C21" s="18"/>
      <c r="D21" s="18"/>
      <c r="E21" s="18"/>
      <c r="F21" s="18"/>
      <c r="G21" s="18"/>
      <c r="H21" s="2"/>
    </row>
    <row r="22" spans="2:8" ht="15" thickBot="1">
      <c r="B22" s="1" t="s">
        <v>23</v>
      </c>
      <c r="C22" s="2"/>
      <c r="D22" s="2"/>
      <c r="E22" s="2"/>
      <c r="F22" s="2"/>
      <c r="G22" s="2"/>
      <c r="H22" s="2"/>
    </row>
    <row r="23" spans="2:8">
      <c r="B23" s="6" t="s">
        <v>24</v>
      </c>
      <c r="C23" s="7">
        <v>2.5</v>
      </c>
      <c r="D23" s="7">
        <v>2.4</v>
      </c>
      <c r="E23" s="7">
        <v>2.2000000000000002</v>
      </c>
      <c r="F23" s="7">
        <v>2.1</v>
      </c>
      <c r="G23" s="7" t="s">
        <v>119</v>
      </c>
      <c r="H23" s="7" t="s">
        <v>65</v>
      </c>
    </row>
    <row r="24" spans="2:8">
      <c r="B24" s="6" t="s">
        <v>26</v>
      </c>
      <c r="C24" s="7" t="s">
        <v>120</v>
      </c>
      <c r="D24" s="7">
        <v>90</v>
      </c>
      <c r="E24" s="7">
        <v>90</v>
      </c>
      <c r="F24" s="7">
        <v>90</v>
      </c>
      <c r="G24" s="7" t="s">
        <v>20</v>
      </c>
      <c r="H24" s="7"/>
    </row>
    <row r="25" spans="2:8" ht="15" thickBot="1">
      <c r="B25" s="1" t="s">
        <v>96</v>
      </c>
      <c r="C25" s="2" t="s">
        <v>121</v>
      </c>
      <c r="D25" s="2">
        <v>10</v>
      </c>
      <c r="E25" s="2">
        <v>10</v>
      </c>
      <c r="F25" s="2">
        <v>10</v>
      </c>
      <c r="G25" s="2" t="s">
        <v>20</v>
      </c>
      <c r="H25" s="2"/>
    </row>
    <row r="26" spans="2:8" ht="24.6" thickBot="1">
      <c r="B26" s="1" t="s">
        <v>30</v>
      </c>
      <c r="C26" s="2"/>
      <c r="D26" s="2"/>
      <c r="E26" s="2"/>
      <c r="F26" s="2"/>
      <c r="G26" s="2"/>
      <c r="H26" s="2"/>
    </row>
    <row r="27" spans="2:8" ht="15" thickBot="1">
      <c r="B27" s="1" t="s">
        <v>64</v>
      </c>
      <c r="C27" s="2">
        <v>44</v>
      </c>
      <c r="D27" s="2">
        <v>44</v>
      </c>
      <c r="E27" s="2">
        <v>44</v>
      </c>
      <c r="F27" s="2">
        <v>44</v>
      </c>
      <c r="G27" s="2" t="s">
        <v>76</v>
      </c>
      <c r="H27" s="2">
        <v>2</v>
      </c>
    </row>
    <row r="28" spans="2:8" ht="15" thickBot="1">
      <c r="B28" s="1" t="s">
        <v>31</v>
      </c>
      <c r="C28" s="2"/>
      <c r="D28" s="2"/>
      <c r="E28" s="2"/>
      <c r="F28" s="2"/>
      <c r="G28" s="2"/>
      <c r="H28" s="2"/>
    </row>
    <row r="32" spans="2:8" ht="15" thickBot="1"/>
    <row r="33" spans="2:8">
      <c r="B33" s="1254" t="s">
        <v>0</v>
      </c>
      <c r="C33" s="1256" t="s">
        <v>117</v>
      </c>
      <c r="D33" s="1257"/>
      <c r="E33" s="1257"/>
      <c r="F33" s="1257"/>
      <c r="G33" s="1257"/>
      <c r="H33" s="1258"/>
    </row>
    <row r="34" spans="2:8" ht="15" thickBot="1">
      <c r="B34" s="1255"/>
      <c r="C34" s="1131" t="s">
        <v>35</v>
      </c>
      <c r="D34" s="1132"/>
      <c r="E34" s="1132"/>
      <c r="F34" s="1132"/>
      <c r="G34" s="1132"/>
      <c r="H34" s="1133"/>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2" t="s">
        <v>122</v>
      </c>
      <c r="D37" s="2" t="s">
        <v>122</v>
      </c>
      <c r="E37" s="2" t="s">
        <v>122</v>
      </c>
      <c r="F37" s="2" t="s">
        <v>122</v>
      </c>
      <c r="G37" s="2"/>
      <c r="H37" s="2"/>
    </row>
    <row r="38" spans="2:8" ht="24.6" thickBot="1">
      <c r="B38" s="1" t="s">
        <v>7</v>
      </c>
      <c r="C38" s="2">
        <v>40</v>
      </c>
      <c r="D38" s="2">
        <v>40</v>
      </c>
      <c r="E38" s="2">
        <v>40</v>
      </c>
      <c r="F38" s="2">
        <v>40</v>
      </c>
      <c r="G38" s="2" t="s">
        <v>6</v>
      </c>
      <c r="H38" s="2"/>
    </row>
    <row r="39" spans="2:8" ht="24.6" thickBot="1">
      <c r="B39" s="1" t="s">
        <v>8</v>
      </c>
      <c r="C39" s="2">
        <v>0</v>
      </c>
      <c r="D39" s="2">
        <v>0</v>
      </c>
      <c r="E39" s="2">
        <v>0</v>
      </c>
      <c r="F39" s="2">
        <v>0</v>
      </c>
      <c r="G39" s="2"/>
      <c r="H39" s="2"/>
    </row>
    <row r="40" spans="2:8" ht="15" thickBot="1">
      <c r="B40" s="1" t="s">
        <v>9</v>
      </c>
      <c r="C40" s="2">
        <v>300</v>
      </c>
      <c r="D40" s="2">
        <v>310</v>
      </c>
      <c r="E40" s="2">
        <v>340</v>
      </c>
      <c r="F40" s="2">
        <v>350</v>
      </c>
      <c r="G40" s="2"/>
      <c r="H40" s="2" t="s">
        <v>118</v>
      </c>
    </row>
    <row r="41" spans="2:8" ht="15" thickBot="1">
      <c r="B41" s="1" t="s">
        <v>11</v>
      </c>
      <c r="C41" s="2">
        <v>20</v>
      </c>
      <c r="D41" s="2">
        <v>20</v>
      </c>
      <c r="E41" s="2">
        <v>20</v>
      </c>
      <c r="F41" s="2">
        <v>20</v>
      </c>
      <c r="G41" s="2"/>
      <c r="H41" s="2">
        <v>4</v>
      </c>
    </row>
    <row r="42" spans="2:8" ht="15" thickBot="1">
      <c r="B42" s="3" t="s">
        <v>12</v>
      </c>
      <c r="C42" s="18"/>
      <c r="D42" s="18"/>
      <c r="E42" s="18"/>
      <c r="F42" s="18"/>
      <c r="G42" s="20"/>
      <c r="H42" s="21"/>
    </row>
    <row r="43" spans="2:8" ht="27" customHeight="1" thickBot="1">
      <c r="B43" s="1" t="s">
        <v>13</v>
      </c>
      <c r="C43" s="1276" t="s">
        <v>98</v>
      </c>
      <c r="D43" s="1277"/>
      <c r="E43" s="1277"/>
      <c r="F43" s="1277"/>
      <c r="G43" s="1277"/>
      <c r="H43" s="1278"/>
    </row>
    <row r="44" spans="2:8" ht="15.6" thickBot="1">
      <c r="B44" s="1" t="s">
        <v>15</v>
      </c>
      <c r="C44" s="1279"/>
      <c r="D44" s="1280"/>
      <c r="E44" s="1280"/>
      <c r="F44" s="1280"/>
      <c r="G44" s="1280"/>
      <c r="H44" s="1281"/>
    </row>
    <row r="45" spans="2:8" ht="15.6" thickBot="1">
      <c r="B45" s="1" t="s">
        <v>17</v>
      </c>
      <c r="C45" s="1279"/>
      <c r="D45" s="1280"/>
      <c r="E45" s="1280"/>
      <c r="F45" s="1280"/>
      <c r="G45" s="1280"/>
      <c r="H45" s="1281"/>
    </row>
    <row r="46" spans="2:8" ht="15.6" thickBot="1">
      <c r="B46" s="1" t="s">
        <v>18</v>
      </c>
      <c r="C46" s="1279"/>
      <c r="D46" s="1280"/>
      <c r="E46" s="1280"/>
      <c r="F46" s="1280"/>
      <c r="G46" s="1280"/>
      <c r="H46" s="1281"/>
    </row>
    <row r="47" spans="2:8" ht="15" thickBot="1">
      <c r="B47" s="1" t="s">
        <v>19</v>
      </c>
      <c r="C47" s="1282"/>
      <c r="D47" s="1283"/>
      <c r="E47" s="1283"/>
      <c r="F47" s="1283"/>
      <c r="G47" s="1283"/>
      <c r="H47" s="1284"/>
    </row>
    <row r="48" spans="2:8" ht="15" thickBot="1">
      <c r="B48" s="3" t="s">
        <v>22</v>
      </c>
      <c r="C48" s="18"/>
      <c r="D48" s="18"/>
      <c r="E48" s="18"/>
      <c r="F48" s="18"/>
      <c r="G48" s="20"/>
      <c r="H48" s="21"/>
    </row>
    <row r="49" spans="2:8" ht="15" thickBot="1">
      <c r="B49" s="1" t="s">
        <v>23</v>
      </c>
      <c r="C49" s="2">
        <v>1</v>
      </c>
      <c r="D49" s="2">
        <v>1</v>
      </c>
      <c r="E49" s="2">
        <v>0.9</v>
      </c>
      <c r="F49" s="2">
        <v>0.9</v>
      </c>
      <c r="G49" s="2" t="s">
        <v>16</v>
      </c>
      <c r="H49" s="2" t="s">
        <v>65</v>
      </c>
    </row>
    <row r="50" spans="2:8">
      <c r="B50" s="6" t="s">
        <v>24</v>
      </c>
      <c r="C50" s="7"/>
      <c r="D50" s="7"/>
      <c r="E50" s="7"/>
      <c r="F50" s="7"/>
      <c r="G50" s="7"/>
      <c r="H50" s="7"/>
    </row>
    <row r="51" spans="2:8">
      <c r="B51" s="6" t="s">
        <v>26</v>
      </c>
      <c r="C51" s="7"/>
      <c r="D51" s="7"/>
      <c r="E51" s="7"/>
      <c r="F51" s="7"/>
      <c r="G51" s="7"/>
      <c r="H51" s="7"/>
    </row>
    <row r="52" spans="2:8" ht="15" thickBot="1">
      <c r="B52" s="1" t="s">
        <v>96</v>
      </c>
      <c r="C52" s="2"/>
      <c r="D52" s="2"/>
      <c r="E52" s="2"/>
      <c r="F52" s="2"/>
      <c r="G52" s="2"/>
      <c r="H52" s="2"/>
    </row>
    <row r="53" spans="2:8" ht="24.6" thickBot="1">
      <c r="B53" s="1" t="s">
        <v>30</v>
      </c>
      <c r="C53" s="2"/>
      <c r="D53" s="2"/>
      <c r="E53" s="2"/>
      <c r="F53" s="2"/>
      <c r="G53" s="2"/>
      <c r="H53" s="2"/>
    </row>
    <row r="54" spans="2:8" ht="15" thickBot="1">
      <c r="B54" s="1" t="s">
        <v>64</v>
      </c>
      <c r="C54" s="2">
        <v>135</v>
      </c>
      <c r="D54" s="2">
        <v>135</v>
      </c>
      <c r="E54" s="2">
        <v>135</v>
      </c>
      <c r="F54" s="2">
        <v>135</v>
      </c>
      <c r="G54" s="2" t="s">
        <v>76</v>
      </c>
      <c r="H54" s="2">
        <v>2</v>
      </c>
    </row>
    <row r="55" spans="2:8" ht="15" thickBot="1">
      <c r="B55" s="1" t="s">
        <v>31</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1">
    <tabColor theme="4"/>
  </sheetPr>
  <dimension ref="B3:X140"/>
  <sheetViews>
    <sheetView topLeftCell="A49" workbookViewId="0">
      <selection activeCell="L43" sqref="L43"/>
    </sheetView>
  </sheetViews>
  <sheetFormatPr defaultRowHeight="14.4"/>
  <cols>
    <col min="2" max="2" width="36.77734375" customWidth="1"/>
    <col min="3" max="6" width="10" bestFit="1" customWidth="1"/>
    <col min="10" max="10" width="15.77734375" customWidth="1"/>
    <col min="15" max="15" width="10" bestFit="1" customWidth="1"/>
  </cols>
  <sheetData>
    <row r="3" spans="2:24">
      <c r="B3" s="8" t="s">
        <v>318</v>
      </c>
    </row>
    <row r="4" spans="2:24">
      <c r="E4" t="s">
        <v>334</v>
      </c>
      <c r="F4" s="36">
        <v>7.45</v>
      </c>
      <c r="G4" t="s">
        <v>328</v>
      </c>
    </row>
    <row r="5" spans="2:24" ht="15" thickBot="1"/>
    <row r="6" spans="2:24">
      <c r="B6" s="1254" t="s">
        <v>0</v>
      </c>
      <c r="C6" s="1256" t="s">
        <v>131</v>
      </c>
      <c r="D6" s="1257"/>
      <c r="E6" s="1257"/>
      <c r="F6" s="1257"/>
      <c r="G6" s="1257"/>
      <c r="H6" s="1258"/>
      <c r="J6" s="1256" t="str">
        <f>C6</f>
        <v>Electric heating</v>
      </c>
      <c r="K6" s="1257"/>
      <c r="L6" s="1257"/>
      <c r="M6" s="1257"/>
      <c r="N6" s="1257"/>
      <c r="O6" s="1258"/>
    </row>
    <row r="7" spans="2:24" ht="15" thickBot="1">
      <c r="B7" s="1255"/>
      <c r="C7" s="1131" t="s">
        <v>34</v>
      </c>
      <c r="D7" s="1132"/>
      <c r="E7" s="1132"/>
      <c r="F7" s="1132"/>
      <c r="G7" s="1132"/>
      <c r="H7" s="1133"/>
      <c r="J7" s="1131" t="str">
        <f>C7</f>
        <v>One-family house, new building</v>
      </c>
      <c r="K7" s="1132"/>
      <c r="L7" s="1132"/>
      <c r="M7" s="1132"/>
      <c r="N7" s="1132"/>
      <c r="O7" s="1133"/>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
        <v>5</v>
      </c>
      <c r="D10" s="2">
        <v>5</v>
      </c>
      <c r="E10" s="2">
        <v>5</v>
      </c>
      <c r="F10" s="2">
        <v>5</v>
      </c>
      <c r="G10" s="2"/>
      <c r="H10" s="2"/>
      <c r="J10" s="50"/>
      <c r="K10" s="50"/>
      <c r="L10" s="51"/>
      <c r="M10" s="51"/>
      <c r="N10" s="51"/>
      <c r="O10" s="52"/>
      <c r="P10" s="50"/>
      <c r="Q10" s="50"/>
      <c r="R10" s="50"/>
      <c r="S10" s="50"/>
      <c r="T10" s="50"/>
      <c r="U10" s="50"/>
      <c r="V10" s="50"/>
      <c r="W10" s="50"/>
      <c r="X10" s="50"/>
    </row>
    <row r="11" spans="2:24" ht="24.6"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2">
        <v>100</v>
      </c>
      <c r="D12" s="2">
        <v>100</v>
      </c>
      <c r="E12" s="2">
        <v>100</v>
      </c>
      <c r="F12" s="2">
        <v>100</v>
      </c>
      <c r="G12" s="2"/>
      <c r="H12" s="2"/>
      <c r="J12" s="58">
        <f>C8</f>
        <v>2015</v>
      </c>
      <c r="K12" s="58">
        <f>J12</f>
        <v>2015</v>
      </c>
      <c r="L12" s="58">
        <f>C13/100</f>
        <v>1</v>
      </c>
      <c r="M12" s="58"/>
      <c r="N12" s="58">
        <f>C14</f>
        <v>30</v>
      </c>
      <c r="O12" s="59">
        <f>C29</f>
        <v>5960</v>
      </c>
      <c r="P12" s="59">
        <f>C31</f>
        <v>74.5</v>
      </c>
      <c r="Q12" s="59">
        <f>C32</f>
        <v>0</v>
      </c>
      <c r="R12" s="58"/>
      <c r="S12" s="58"/>
      <c r="T12" s="58"/>
      <c r="U12" s="58"/>
      <c r="V12" s="58"/>
      <c r="W12" s="58"/>
      <c r="X12" s="58"/>
    </row>
    <row r="13" spans="2:24" ht="15" thickBot="1">
      <c r="B13" s="1" t="s">
        <v>9</v>
      </c>
      <c r="C13" s="2">
        <v>100</v>
      </c>
      <c r="D13" s="2">
        <v>100</v>
      </c>
      <c r="E13" s="2">
        <v>100</v>
      </c>
      <c r="F13" s="2">
        <v>100</v>
      </c>
      <c r="G13" s="2" t="s">
        <v>6</v>
      </c>
      <c r="H13" s="2"/>
      <c r="J13" s="58">
        <f>D8</f>
        <v>2020</v>
      </c>
      <c r="K13" s="58"/>
      <c r="L13" s="58">
        <f>D13/100</f>
        <v>1</v>
      </c>
      <c r="M13" s="58"/>
      <c r="N13" s="58">
        <f>D14</f>
        <v>30</v>
      </c>
      <c r="O13" s="59">
        <f>D29</f>
        <v>5960</v>
      </c>
      <c r="P13" s="59">
        <f>D31</f>
        <v>74.5</v>
      </c>
      <c r="Q13" s="59">
        <f>D32</f>
        <v>0</v>
      </c>
      <c r="R13" s="58"/>
      <c r="S13" s="58"/>
      <c r="T13" s="58"/>
      <c r="U13" s="58"/>
      <c r="V13" s="58"/>
      <c r="W13" s="58"/>
      <c r="X13" s="58"/>
    </row>
    <row r="14" spans="2:24" ht="15" thickBot="1">
      <c r="B14" s="1" t="s">
        <v>11</v>
      </c>
      <c r="C14" s="2">
        <v>30</v>
      </c>
      <c r="D14" s="2">
        <v>30</v>
      </c>
      <c r="E14" s="2">
        <v>30</v>
      </c>
      <c r="F14" s="2">
        <v>30</v>
      </c>
      <c r="G14" s="2"/>
      <c r="H14" s="2"/>
      <c r="J14" s="58">
        <f>E8</f>
        <v>2030</v>
      </c>
      <c r="K14" s="58"/>
      <c r="L14" s="58">
        <f>E13/100</f>
        <v>1</v>
      </c>
      <c r="M14" s="58"/>
      <c r="N14" s="58">
        <f>E14</f>
        <v>30</v>
      </c>
      <c r="O14" s="59">
        <f>E29</f>
        <v>5960</v>
      </c>
      <c r="P14" s="59">
        <f>E31</f>
        <v>74.5</v>
      </c>
      <c r="Q14" s="59">
        <f>E32</f>
        <v>0</v>
      </c>
      <c r="R14" s="58"/>
      <c r="S14" s="58"/>
      <c r="T14" s="58"/>
      <c r="U14" s="58"/>
      <c r="V14" s="58"/>
      <c r="W14" s="58"/>
      <c r="X14" s="58"/>
    </row>
    <row r="15" spans="2:24" ht="15" thickBot="1">
      <c r="B15" s="3" t="s">
        <v>12</v>
      </c>
      <c r="C15" s="4"/>
      <c r="D15" s="4"/>
      <c r="E15" s="4"/>
      <c r="F15" s="4"/>
      <c r="G15" s="4"/>
      <c r="H15" s="5"/>
      <c r="J15" s="58">
        <f>F8</f>
        <v>2050</v>
      </c>
      <c r="K15" s="58"/>
      <c r="L15" s="58">
        <f>F13/100</f>
        <v>1</v>
      </c>
      <c r="M15" s="58"/>
      <c r="N15" s="58">
        <f>F14</f>
        <v>30</v>
      </c>
      <c r="O15" s="59">
        <f>F29</f>
        <v>5960</v>
      </c>
      <c r="P15" s="59">
        <f>F31</f>
        <v>74.5</v>
      </c>
      <c r="Q15" s="59">
        <f>F32</f>
        <v>0</v>
      </c>
      <c r="R15" s="58"/>
      <c r="S15" s="58"/>
      <c r="T15" s="58"/>
      <c r="U15" s="58"/>
      <c r="V15" s="58"/>
      <c r="W15" s="58"/>
      <c r="X15" s="58"/>
    </row>
    <row r="16" spans="2:24" ht="27" customHeight="1" thickBot="1">
      <c r="B16" s="1" t="s">
        <v>13</v>
      </c>
      <c r="C16" s="1276" t="s">
        <v>133</v>
      </c>
      <c r="D16" s="1277"/>
      <c r="E16" s="1277"/>
      <c r="F16" s="1277"/>
      <c r="G16" s="1277"/>
      <c r="H16" s="1278"/>
    </row>
    <row r="17" spans="2:8" ht="15.6" thickBot="1">
      <c r="B17" s="1" t="s">
        <v>15</v>
      </c>
      <c r="C17" s="1279"/>
      <c r="D17" s="1280"/>
      <c r="E17" s="1280"/>
      <c r="F17" s="1280"/>
      <c r="G17" s="1280"/>
      <c r="H17" s="1281"/>
    </row>
    <row r="18" spans="2:8" ht="15.6" thickBot="1">
      <c r="B18" s="1" t="s">
        <v>17</v>
      </c>
      <c r="C18" s="1279"/>
      <c r="D18" s="1280"/>
      <c r="E18" s="1280"/>
      <c r="F18" s="1280"/>
      <c r="G18" s="1280"/>
      <c r="H18" s="1281"/>
    </row>
    <row r="19" spans="2:8" ht="15.6" thickBot="1">
      <c r="B19" s="1" t="s">
        <v>18</v>
      </c>
      <c r="C19" s="1279"/>
      <c r="D19" s="1280"/>
      <c r="E19" s="1280"/>
      <c r="F19" s="1280"/>
      <c r="G19" s="1280"/>
      <c r="H19" s="1281"/>
    </row>
    <row r="20" spans="2:8" ht="15" thickBot="1">
      <c r="B20" s="1" t="s">
        <v>19</v>
      </c>
      <c r="C20" s="1282"/>
      <c r="D20" s="1283"/>
      <c r="E20" s="1283"/>
      <c r="F20" s="1283"/>
      <c r="G20" s="1283"/>
      <c r="H20" s="1284"/>
    </row>
    <row r="21" spans="2:8" ht="15" thickBot="1">
      <c r="B21" s="3" t="s">
        <v>22</v>
      </c>
      <c r="C21" s="4"/>
      <c r="D21" s="4"/>
      <c r="E21" s="4"/>
      <c r="F21" s="4"/>
      <c r="G21" s="4"/>
      <c r="H21" s="5"/>
    </row>
    <row r="22" spans="2:8" ht="15" thickBot="1">
      <c r="B22" s="1" t="s">
        <v>23</v>
      </c>
      <c r="C22" s="2"/>
      <c r="D22" s="2"/>
      <c r="E22" s="2"/>
      <c r="F22" s="2"/>
      <c r="G22" s="2"/>
      <c r="H22" s="2"/>
    </row>
    <row r="23" spans="2:8">
      <c r="B23" s="6" t="s">
        <v>24</v>
      </c>
      <c r="C23" s="7">
        <v>4</v>
      </c>
      <c r="D23" s="7">
        <v>4</v>
      </c>
      <c r="E23" s="7">
        <v>4</v>
      </c>
      <c r="F23" s="7">
        <v>4</v>
      </c>
      <c r="G23" s="7" t="s">
        <v>20</v>
      </c>
      <c r="H23" s="7">
        <v>6</v>
      </c>
    </row>
    <row r="24" spans="2:8">
      <c r="B24" s="6" t="s">
        <v>26</v>
      </c>
      <c r="C24" s="7" t="s">
        <v>27</v>
      </c>
      <c r="D24" s="7">
        <v>70</v>
      </c>
      <c r="E24" s="7">
        <v>70</v>
      </c>
      <c r="F24" s="7">
        <v>70</v>
      </c>
      <c r="G24" s="7"/>
      <c r="H24" s="7">
        <v>6</v>
      </c>
    </row>
    <row r="25" spans="2:8" ht="15" thickBot="1">
      <c r="B25" s="1" t="s">
        <v>96</v>
      </c>
      <c r="C25" s="2" t="s">
        <v>29</v>
      </c>
      <c r="D25" s="2">
        <v>30</v>
      </c>
      <c r="E25" s="2">
        <v>30</v>
      </c>
      <c r="F25" s="2">
        <v>30</v>
      </c>
      <c r="G25" s="2"/>
      <c r="H25" s="2">
        <v>6</v>
      </c>
    </row>
    <row r="26" spans="2:8" ht="24.6" thickBot="1">
      <c r="B26" s="1" t="s">
        <v>30</v>
      </c>
      <c r="C26" s="2"/>
      <c r="D26" s="2"/>
      <c r="E26" s="2"/>
      <c r="F26" s="2"/>
      <c r="G26" s="2"/>
      <c r="H26" s="2"/>
    </row>
    <row r="27" spans="2:8" ht="15" thickBot="1">
      <c r="B27" s="1" t="s">
        <v>50</v>
      </c>
      <c r="C27" s="2">
        <v>10</v>
      </c>
      <c r="D27" s="2">
        <v>10</v>
      </c>
      <c r="E27" s="2">
        <v>10</v>
      </c>
      <c r="F27" s="2">
        <v>10</v>
      </c>
      <c r="G27" s="2" t="s">
        <v>16</v>
      </c>
      <c r="H27" s="2"/>
    </row>
    <row r="28" spans="2:8" ht="15" thickBot="1">
      <c r="B28" s="1" t="s">
        <v>31</v>
      </c>
      <c r="C28" s="2"/>
      <c r="D28" s="2"/>
      <c r="E28" s="2"/>
      <c r="F28" s="2"/>
      <c r="G28" s="2"/>
      <c r="H28" s="2"/>
    </row>
    <row r="29" spans="2:8">
      <c r="B29" s="36" t="s">
        <v>353</v>
      </c>
      <c r="C29" s="60">
        <f>C30/C10</f>
        <v>5960</v>
      </c>
      <c r="D29" s="60">
        <f>D30/D10</f>
        <v>5960</v>
      </c>
      <c r="E29" s="60">
        <f>E30/E10</f>
        <v>5960</v>
      </c>
      <c r="F29" s="60">
        <f>F30/F10</f>
        <v>5960</v>
      </c>
      <c r="G29" s="63" t="s">
        <v>332</v>
      </c>
      <c r="H29" s="63"/>
    </row>
    <row r="30" spans="2:8">
      <c r="B30" s="36" t="s">
        <v>354</v>
      </c>
      <c r="C30" s="60">
        <f>C23*$F$4*1000</f>
        <v>29800</v>
      </c>
      <c r="D30" s="60">
        <f>D23*$F$4*1000</f>
        <v>29800</v>
      </c>
      <c r="E30" s="60">
        <f>E23*$F$4*1000</f>
        <v>29800</v>
      </c>
      <c r="F30" s="60">
        <f>F23*$F$4*1000</f>
        <v>29800</v>
      </c>
      <c r="G30" s="70">
        <f>C10</f>
        <v>5</v>
      </c>
      <c r="H30" s="69" t="s">
        <v>330</v>
      </c>
    </row>
    <row r="31" spans="2:8">
      <c r="B31" s="36" t="s">
        <v>355</v>
      </c>
      <c r="C31" s="60">
        <f>C27*$F$4</f>
        <v>74.5</v>
      </c>
      <c r="D31" s="60">
        <f t="shared" ref="D31:F31" si="0">D27*$F$4</f>
        <v>74.5</v>
      </c>
      <c r="E31" s="60">
        <f t="shared" si="0"/>
        <v>74.5</v>
      </c>
      <c r="F31" s="60">
        <f t="shared" si="0"/>
        <v>74.5</v>
      </c>
      <c r="G31" s="69" t="s">
        <v>331</v>
      </c>
      <c r="H31" s="69"/>
    </row>
    <row r="32" spans="2:8" ht="15" thickBot="1">
      <c r="B32" s="36" t="s">
        <v>356</v>
      </c>
      <c r="C32" s="60">
        <f t="shared" ref="C32:F32" si="1">C28*$F$4</f>
        <v>0</v>
      </c>
      <c r="D32" s="60">
        <f t="shared" si="1"/>
        <v>0</v>
      </c>
      <c r="E32" s="60">
        <f t="shared" si="1"/>
        <v>0</v>
      </c>
      <c r="F32" s="60">
        <f t="shared" si="1"/>
        <v>0</v>
      </c>
      <c r="G32" s="61"/>
      <c r="H32" s="61"/>
    </row>
    <row r="33" spans="2:24">
      <c r="B33" s="1254" t="s">
        <v>0</v>
      </c>
      <c r="C33" s="1256" t="s">
        <v>131</v>
      </c>
      <c r="D33" s="1257"/>
      <c r="E33" s="1257"/>
      <c r="F33" s="1257"/>
      <c r="G33" s="1257"/>
      <c r="H33" s="1258"/>
      <c r="J33" s="1254" t="s">
        <v>0</v>
      </c>
      <c r="K33" s="1256" t="s">
        <v>131</v>
      </c>
      <c r="L33" s="1257"/>
      <c r="M33" s="1257"/>
      <c r="N33" s="1257"/>
      <c r="O33" s="1257"/>
      <c r="P33" s="1258"/>
    </row>
    <row r="34" spans="2:24" ht="15.75" customHeight="1" thickBot="1">
      <c r="B34" s="1255"/>
      <c r="C34" s="1131" t="s">
        <v>35</v>
      </c>
      <c r="D34" s="1132"/>
      <c r="E34" s="1132"/>
      <c r="F34" s="1132"/>
      <c r="G34" s="1132"/>
      <c r="H34" s="1133"/>
      <c r="J34" s="1255"/>
      <c r="K34" s="1131" t="s">
        <v>35</v>
      </c>
      <c r="L34" s="1132"/>
      <c r="M34" s="1132"/>
      <c r="N34" s="1132"/>
      <c r="O34" s="1132"/>
      <c r="P34" s="1133"/>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2">
        <v>400</v>
      </c>
      <c r="D37" s="2">
        <v>400</v>
      </c>
      <c r="E37" s="2">
        <v>400</v>
      </c>
      <c r="F37" s="2">
        <v>400</v>
      </c>
      <c r="G37" s="2" t="s">
        <v>59</v>
      </c>
      <c r="H37" s="2"/>
      <c r="J37" s="50"/>
      <c r="K37" s="50"/>
      <c r="L37" s="51"/>
      <c r="M37" s="51"/>
      <c r="N37" s="51"/>
      <c r="O37" s="52"/>
      <c r="P37" s="50"/>
      <c r="Q37" s="50"/>
      <c r="R37" s="50"/>
      <c r="S37" s="50"/>
      <c r="T37" s="50"/>
      <c r="U37" s="50"/>
      <c r="V37" s="50"/>
      <c r="W37" s="50"/>
      <c r="X37" s="50"/>
    </row>
    <row r="38" spans="2:24" ht="24.6" thickBot="1">
      <c r="B38" s="1" t="s">
        <v>7</v>
      </c>
      <c r="C38" s="2">
        <v>100</v>
      </c>
      <c r="D38" s="2">
        <v>100</v>
      </c>
      <c r="E38" s="2">
        <v>100</v>
      </c>
      <c r="F38" s="2">
        <v>100</v>
      </c>
      <c r="G38" s="2"/>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8</v>
      </c>
      <c r="C39" s="2">
        <v>100</v>
      </c>
      <c r="D39" s="2">
        <v>100</v>
      </c>
      <c r="E39" s="2">
        <v>100</v>
      </c>
      <c r="F39" s="2">
        <v>100</v>
      </c>
      <c r="G39" s="2"/>
      <c r="H39" s="2"/>
      <c r="J39" s="58">
        <f>C35</f>
        <v>2015</v>
      </c>
      <c r="K39" s="58">
        <f>J39</f>
        <v>2015</v>
      </c>
      <c r="L39" s="352">
        <f>C109/100</f>
        <v>0.98</v>
      </c>
      <c r="M39" s="352"/>
      <c r="N39" s="352">
        <f>C114</f>
        <v>20</v>
      </c>
      <c r="O39" s="353">
        <f>C129*1000*7.5</f>
        <v>1125</v>
      </c>
      <c r="P39" s="354">
        <f>C135/1000</f>
        <v>1.1000000000000001</v>
      </c>
      <c r="Q39" s="353">
        <f>C136</f>
        <v>0.8</v>
      </c>
      <c r="R39" s="58"/>
      <c r="S39" s="58"/>
      <c r="T39" s="58"/>
      <c r="U39" s="58"/>
      <c r="V39" s="58"/>
      <c r="W39" s="58"/>
      <c r="X39" s="58"/>
    </row>
    <row r="40" spans="2:24" ht="15" thickBot="1">
      <c r="B40" s="1" t="s">
        <v>9</v>
      </c>
      <c r="C40" s="2">
        <v>95</v>
      </c>
      <c r="D40" s="2">
        <v>95</v>
      </c>
      <c r="E40" s="2">
        <v>95</v>
      </c>
      <c r="F40" s="2">
        <v>95</v>
      </c>
      <c r="G40" s="2" t="s">
        <v>6</v>
      </c>
      <c r="H40" s="2"/>
      <c r="J40" s="58">
        <f>D35</f>
        <v>2020</v>
      </c>
      <c r="K40" s="58"/>
      <c r="L40" s="352">
        <f>D109/100</f>
        <v>0.99</v>
      </c>
      <c r="M40" s="352"/>
      <c r="N40" s="352">
        <f>C114</f>
        <v>20</v>
      </c>
      <c r="O40" s="353">
        <f>D129*1000*7.5</f>
        <v>1125</v>
      </c>
      <c r="P40" s="354">
        <f>D135/1000</f>
        <v>1.07</v>
      </c>
      <c r="Q40" s="353">
        <f>D136</f>
        <v>0.9</v>
      </c>
      <c r="R40" s="58"/>
      <c r="S40" s="58"/>
      <c r="T40" s="58"/>
      <c r="U40" s="58"/>
      <c r="V40" s="58"/>
      <c r="W40" s="58"/>
      <c r="X40" s="58"/>
    </row>
    <row r="41" spans="2:24" ht="15" thickBot="1">
      <c r="B41" s="1" t="s">
        <v>11</v>
      </c>
      <c r="C41" s="2">
        <v>30</v>
      </c>
      <c r="D41" s="2">
        <v>30</v>
      </c>
      <c r="E41" s="2">
        <v>30</v>
      </c>
      <c r="F41" s="2">
        <v>30</v>
      </c>
      <c r="G41" s="2"/>
      <c r="H41" s="2"/>
      <c r="J41" s="58">
        <f>E35</f>
        <v>2030</v>
      </c>
      <c r="K41" s="58"/>
      <c r="L41" s="352">
        <f>E109/100</f>
        <v>0.99</v>
      </c>
      <c r="M41" s="352"/>
      <c r="N41" s="352">
        <f>E114</f>
        <v>20</v>
      </c>
      <c r="O41" s="353">
        <f>E129*1000*7.5</f>
        <v>1050</v>
      </c>
      <c r="P41" s="354">
        <f>E135/1000</f>
        <v>1.02</v>
      </c>
      <c r="Q41" s="353">
        <f>E136</f>
        <v>1</v>
      </c>
      <c r="R41" s="58"/>
      <c r="S41" s="58"/>
      <c r="T41" s="58"/>
      <c r="U41" s="58"/>
      <c r="V41" s="58"/>
      <c r="W41" s="58"/>
      <c r="X41" s="58"/>
    </row>
    <row r="42" spans="2:24" ht="15" thickBot="1">
      <c r="B42" s="3" t="s">
        <v>12</v>
      </c>
      <c r="C42" s="4"/>
      <c r="D42" s="4"/>
      <c r="E42" s="4"/>
      <c r="F42" s="4"/>
      <c r="G42" s="4"/>
      <c r="H42" s="5"/>
      <c r="J42" s="58">
        <f>F35</f>
        <v>2050</v>
      </c>
      <c r="K42" s="58"/>
      <c r="L42" s="352">
        <f>F109/100</f>
        <v>0.99</v>
      </c>
      <c r="M42" s="352"/>
      <c r="N42" s="352">
        <f>F114</f>
        <v>20</v>
      </c>
      <c r="O42" s="353">
        <f>F129*1000*7.5</f>
        <v>975</v>
      </c>
      <c r="P42" s="354">
        <f>F135/1000</f>
        <v>0.92</v>
      </c>
      <c r="Q42" s="353">
        <f>F136</f>
        <v>1</v>
      </c>
      <c r="R42" s="58"/>
      <c r="S42" s="58"/>
      <c r="T42" s="58"/>
      <c r="U42" s="58"/>
      <c r="V42" s="58"/>
      <c r="W42" s="58"/>
      <c r="X42" s="58"/>
    </row>
    <row r="43" spans="2:24" ht="27" customHeight="1" thickBot="1">
      <c r="B43" s="1" t="s">
        <v>13</v>
      </c>
      <c r="C43" s="1276" t="s">
        <v>133</v>
      </c>
      <c r="D43" s="1277"/>
      <c r="E43" s="1277"/>
      <c r="F43" s="1277"/>
      <c r="G43" s="1277"/>
      <c r="H43" s="1278"/>
      <c r="J43" s="58"/>
      <c r="K43" s="58"/>
      <c r="L43" s="58"/>
      <c r="M43" s="58"/>
      <c r="N43" s="58"/>
      <c r="O43" s="59"/>
      <c r="P43" s="59"/>
      <c r="Q43" s="59"/>
      <c r="R43" s="58"/>
      <c r="S43" s="58"/>
      <c r="T43" s="58"/>
      <c r="U43" s="58"/>
      <c r="V43" s="58"/>
      <c r="W43" s="58"/>
      <c r="X43" s="58"/>
    </row>
    <row r="44" spans="2:24" ht="15.6" thickBot="1">
      <c r="B44" s="1" t="s">
        <v>15</v>
      </c>
      <c r="C44" s="1279"/>
      <c r="D44" s="1280"/>
      <c r="E44" s="1280"/>
      <c r="F44" s="1280"/>
      <c r="G44" s="1280"/>
      <c r="H44" s="1281"/>
    </row>
    <row r="45" spans="2:24" ht="15.6" thickBot="1">
      <c r="B45" s="1" t="s">
        <v>17</v>
      </c>
      <c r="C45" s="1279"/>
      <c r="D45" s="1280"/>
      <c r="E45" s="1280"/>
      <c r="F45" s="1280"/>
      <c r="G45" s="1280"/>
      <c r="H45" s="1281"/>
    </row>
    <row r="46" spans="2:24" ht="15.6" thickBot="1">
      <c r="B46" s="1" t="s">
        <v>18</v>
      </c>
      <c r="C46" s="1279"/>
      <c r="D46" s="1280"/>
      <c r="E46" s="1280"/>
      <c r="F46" s="1280"/>
      <c r="G46" s="1280"/>
      <c r="H46" s="1281"/>
    </row>
    <row r="47" spans="2:24" ht="15" thickBot="1">
      <c r="B47" s="1" t="s">
        <v>19</v>
      </c>
      <c r="C47" s="1282"/>
      <c r="D47" s="1283"/>
      <c r="E47" s="1283"/>
      <c r="F47" s="1283"/>
      <c r="G47" s="1283"/>
      <c r="H47" s="1284"/>
    </row>
    <row r="48" spans="2:24" ht="15" thickBot="1">
      <c r="B48" s="3" t="s">
        <v>22</v>
      </c>
      <c r="C48" s="4"/>
      <c r="D48" s="4"/>
      <c r="E48" s="4"/>
      <c r="F48" s="4"/>
      <c r="G48" s="4"/>
      <c r="H48" s="5"/>
    </row>
    <row r="49" spans="2:15" ht="15" thickBot="1">
      <c r="B49" s="1" t="s">
        <v>23</v>
      </c>
      <c r="C49" s="2"/>
      <c r="D49" s="2"/>
      <c r="E49" s="2"/>
      <c r="F49" s="2"/>
      <c r="G49" s="2"/>
      <c r="H49" s="2"/>
    </row>
    <row r="50" spans="2:15">
      <c r="B50" s="6" t="s">
        <v>24</v>
      </c>
      <c r="C50" s="7">
        <v>266</v>
      </c>
      <c r="D50" s="7">
        <v>266</v>
      </c>
      <c r="E50" s="7">
        <v>266</v>
      </c>
      <c r="F50" s="7">
        <v>266</v>
      </c>
      <c r="G50" s="7" t="s">
        <v>132</v>
      </c>
      <c r="H50" s="7">
        <v>6</v>
      </c>
    </row>
    <row r="51" spans="2:15">
      <c r="B51" s="6" t="s">
        <v>26</v>
      </c>
      <c r="C51" s="7" t="s">
        <v>27</v>
      </c>
      <c r="D51" s="7">
        <v>70</v>
      </c>
      <c r="E51" s="7">
        <v>70</v>
      </c>
      <c r="F51" s="7">
        <v>70</v>
      </c>
      <c r="G51" s="7"/>
      <c r="H51" s="7">
        <v>6</v>
      </c>
    </row>
    <row r="52" spans="2:15" ht="15" thickBot="1">
      <c r="B52" s="1" t="s">
        <v>96</v>
      </c>
      <c r="C52" s="2" t="s">
        <v>29</v>
      </c>
      <c r="D52" s="2">
        <v>30</v>
      </c>
      <c r="E52" s="2">
        <v>30</v>
      </c>
      <c r="F52" s="2">
        <v>30</v>
      </c>
      <c r="G52" s="2"/>
      <c r="H52" s="2">
        <v>6</v>
      </c>
    </row>
    <row r="53" spans="2:15" ht="24.6" thickBot="1">
      <c r="B53" s="1" t="s">
        <v>30</v>
      </c>
      <c r="C53" s="2"/>
      <c r="D53" s="2"/>
      <c r="E53" s="2"/>
      <c r="F53" s="2"/>
      <c r="G53" s="2"/>
      <c r="H53" s="2"/>
    </row>
    <row r="54" spans="2:15" ht="15" thickBot="1">
      <c r="B54" s="1" t="s">
        <v>50</v>
      </c>
      <c r="C54" s="2">
        <v>10</v>
      </c>
      <c r="D54" s="2">
        <v>10</v>
      </c>
      <c r="E54" s="2">
        <v>10</v>
      </c>
      <c r="F54" s="2">
        <v>10</v>
      </c>
      <c r="G54" s="2" t="s">
        <v>16</v>
      </c>
      <c r="H54" s="2"/>
    </row>
    <row r="55" spans="2:15" ht="15" thickBot="1">
      <c r="B55" s="1" t="s">
        <v>31</v>
      </c>
      <c r="C55" s="2"/>
      <c r="D55" s="2"/>
      <c r="E55" s="2"/>
      <c r="F55" s="2"/>
      <c r="G55" s="2"/>
      <c r="H55" s="2"/>
    </row>
    <row r="56" spans="2:15">
      <c r="B56" s="36" t="s">
        <v>353</v>
      </c>
      <c r="C56" s="60">
        <f>C50*$F$4/C37*1000</f>
        <v>4954.25</v>
      </c>
      <c r="D56" s="60">
        <f>D50*$F$4/D37*1000</f>
        <v>4954.25</v>
      </c>
      <c r="E56" s="60">
        <f>E50*$F$4/E37*1000</f>
        <v>4954.25</v>
      </c>
      <c r="F56" s="60">
        <f>F50*$F$4/F37*1000</f>
        <v>4954.25</v>
      </c>
      <c r="G56" s="63" t="s">
        <v>332</v>
      </c>
      <c r="H56" s="63"/>
    </row>
    <row r="57" spans="2:15">
      <c r="B57" s="36" t="s">
        <v>354</v>
      </c>
      <c r="C57" s="60">
        <f>C50*$F$4*1000</f>
        <v>1981700</v>
      </c>
      <c r="D57" s="60">
        <f>D50*$F$4*1000</f>
        <v>1981700</v>
      </c>
      <c r="E57" s="60">
        <f>E50*$F$4*1000</f>
        <v>1981700</v>
      </c>
      <c r="F57" s="60">
        <f>F50*$F$4*1000</f>
        <v>1981700</v>
      </c>
      <c r="G57" s="70">
        <f>C37</f>
        <v>400</v>
      </c>
      <c r="H57" s="69" t="s">
        <v>330</v>
      </c>
    </row>
    <row r="58" spans="2:15">
      <c r="B58" s="36" t="s">
        <v>355</v>
      </c>
      <c r="C58" s="306">
        <f>C54*$F$4</f>
        <v>74.5</v>
      </c>
      <c r="D58" s="306">
        <f t="shared" ref="C58:F59" si="2">D54*$F$4</f>
        <v>74.5</v>
      </c>
      <c r="E58" s="306">
        <f t="shared" si="2"/>
        <v>74.5</v>
      </c>
      <c r="F58" s="306">
        <f t="shared" si="2"/>
        <v>74.5</v>
      </c>
      <c r="G58" s="69" t="s">
        <v>331</v>
      </c>
      <c r="H58" s="69"/>
    </row>
    <row r="59" spans="2:15">
      <c r="B59" s="36" t="s">
        <v>356</v>
      </c>
      <c r="C59" s="60">
        <f t="shared" si="2"/>
        <v>0</v>
      </c>
      <c r="D59" s="60">
        <f t="shared" si="2"/>
        <v>0</v>
      </c>
      <c r="E59" s="60">
        <f t="shared" si="2"/>
        <v>0</v>
      </c>
      <c r="F59" s="60">
        <f t="shared" si="2"/>
        <v>0</v>
      </c>
      <c r="G59" s="61"/>
      <c r="H59" s="61"/>
    </row>
    <row r="60" spans="2:15">
      <c r="C60">
        <f>C58/1000</f>
        <v>7.4499999999999997E-2</v>
      </c>
    </row>
    <row r="61" spans="2:15" ht="15" thickBot="1"/>
    <row r="62" spans="2:15">
      <c r="J62" s="1256">
        <f>C62</f>
        <v>0</v>
      </c>
      <c r="K62" s="1257"/>
      <c r="L62" s="1257"/>
      <c r="M62" s="1257"/>
      <c r="N62" s="1257"/>
      <c r="O62" s="1258"/>
    </row>
    <row r="63" spans="2:15" ht="15" thickBot="1">
      <c r="B63" s="124" t="s">
        <v>410</v>
      </c>
      <c r="J63" s="1131">
        <f>C63</f>
        <v>0</v>
      </c>
      <c r="K63" s="1132"/>
      <c r="L63" s="1132"/>
      <c r="M63" s="1132"/>
      <c r="N63" s="1132"/>
      <c r="O63" s="1133"/>
    </row>
    <row r="64" spans="2:15">
      <c r="B64" s="124" t="s">
        <v>411</v>
      </c>
      <c r="J64" s="53" t="s">
        <v>357</v>
      </c>
    </row>
    <row r="65" spans="2:24" ht="27.6">
      <c r="B65" s="124" t="s">
        <v>412</v>
      </c>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2:24" ht="15" thickBot="1">
      <c r="B66" s="124" t="s">
        <v>413</v>
      </c>
      <c r="J66" s="50"/>
      <c r="K66" s="50"/>
      <c r="L66" s="51"/>
      <c r="M66" s="51"/>
      <c r="N66" s="51"/>
      <c r="O66" s="52"/>
      <c r="P66" s="50"/>
      <c r="Q66" s="50"/>
      <c r="R66" s="50"/>
      <c r="S66" s="50"/>
      <c r="T66" s="50"/>
      <c r="U66" s="50"/>
      <c r="V66" s="50"/>
      <c r="W66" s="50"/>
      <c r="X66" s="50"/>
    </row>
    <row r="67" spans="2:24">
      <c r="B67" s="124" t="s">
        <v>414</v>
      </c>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2:24">
      <c r="B68" s="124"/>
      <c r="J68" s="58">
        <f>C64</f>
        <v>0</v>
      </c>
      <c r="K68" s="58">
        <f>J68</f>
        <v>0</v>
      </c>
      <c r="L68" s="58">
        <f>C69/100</f>
        <v>0</v>
      </c>
      <c r="M68" s="58"/>
      <c r="N68" s="58">
        <f>C70</f>
        <v>0</v>
      </c>
      <c r="O68" s="59">
        <f>C85</f>
        <v>0</v>
      </c>
      <c r="P68" s="59">
        <f>C87</f>
        <v>0</v>
      </c>
      <c r="Q68" s="59">
        <f>C88</f>
        <v>0</v>
      </c>
      <c r="R68" s="58"/>
      <c r="S68" s="58"/>
      <c r="T68" s="58"/>
      <c r="U68" s="58"/>
      <c r="V68" s="58"/>
      <c r="W68" s="58"/>
      <c r="X68" s="58"/>
    </row>
    <row r="69" spans="2:24">
      <c r="B69" s="124"/>
      <c r="J69" s="58">
        <f>D64</f>
        <v>0</v>
      </c>
      <c r="K69" s="58"/>
      <c r="L69" s="58">
        <f>D69/100</f>
        <v>0</v>
      </c>
      <c r="M69" s="58"/>
      <c r="N69" s="58">
        <f>D70</f>
        <v>0</v>
      </c>
      <c r="O69" s="59">
        <f>D85</f>
        <v>0</v>
      </c>
      <c r="P69" s="59">
        <f>D87</f>
        <v>0</v>
      </c>
      <c r="Q69" s="59">
        <f>D88</f>
        <v>0</v>
      </c>
      <c r="R69" s="58"/>
      <c r="S69" s="58"/>
      <c r="T69" s="58"/>
      <c r="U69" s="58"/>
      <c r="V69" s="58"/>
      <c r="W69" s="58"/>
      <c r="X69" s="58"/>
    </row>
    <row r="70" spans="2:24">
      <c r="B70" s="124" t="s">
        <v>415</v>
      </c>
      <c r="J70" s="58">
        <f>E64</f>
        <v>0</v>
      </c>
      <c r="K70" s="58"/>
      <c r="L70" s="58">
        <f>E69/100</f>
        <v>0</v>
      </c>
      <c r="M70" s="58"/>
      <c r="N70" s="58">
        <f>E70</f>
        <v>0</v>
      </c>
      <c r="O70" s="59">
        <f>E85</f>
        <v>0</v>
      </c>
      <c r="P70" s="59">
        <f>E87</f>
        <v>0</v>
      </c>
      <c r="Q70" s="59">
        <f>E88</f>
        <v>0</v>
      </c>
      <c r="R70" s="58"/>
      <c r="S70" s="58"/>
      <c r="T70" s="58"/>
      <c r="U70" s="58"/>
      <c r="V70" s="58"/>
      <c r="W70" s="58"/>
      <c r="X70" s="58"/>
    </row>
    <row r="71" spans="2:24">
      <c r="B71" s="124" t="s">
        <v>416</v>
      </c>
      <c r="J71" s="58">
        <f>F64</f>
        <v>0</v>
      </c>
      <c r="K71" s="58"/>
      <c r="L71" s="58">
        <f>F69/100</f>
        <v>0</v>
      </c>
      <c r="M71" s="58"/>
      <c r="N71" s="58">
        <f>F70</f>
        <v>0</v>
      </c>
      <c r="O71" s="59">
        <f>F85</f>
        <v>0</v>
      </c>
      <c r="P71" s="59">
        <f>F87</f>
        <v>0</v>
      </c>
      <c r="Q71" s="59">
        <f>F88</f>
        <v>0</v>
      </c>
      <c r="R71" s="58"/>
      <c r="S71" s="58"/>
      <c r="T71" s="58"/>
      <c r="U71" s="58"/>
      <c r="V71" s="58"/>
      <c r="W71" s="58"/>
      <c r="X71" s="58"/>
    </row>
    <row r="72" spans="2:24">
      <c r="B72" s="124" t="s">
        <v>417</v>
      </c>
    </row>
    <row r="73" spans="2:24">
      <c r="B73" s="124" t="s">
        <v>418</v>
      </c>
    </row>
    <row r="74" spans="2:24">
      <c r="B74" s="124" t="s">
        <v>419</v>
      </c>
    </row>
    <row r="75" spans="2:24">
      <c r="B75" s="124" t="s">
        <v>420</v>
      </c>
    </row>
    <row r="76" spans="2:24">
      <c r="B76" s="124" t="s">
        <v>421</v>
      </c>
    </row>
    <row r="89" spans="10:24" ht="15" thickBot="1"/>
    <row r="90" spans="10:24">
      <c r="J90" s="1256">
        <f>C90</f>
        <v>0</v>
      </c>
      <c r="K90" s="1257"/>
      <c r="L90" s="1257"/>
      <c r="M90" s="1257"/>
      <c r="N90" s="1257"/>
      <c r="O90" s="1258"/>
    </row>
    <row r="91" spans="10:24" ht="15" thickBot="1">
      <c r="J91" s="1131">
        <f>C91</f>
        <v>0</v>
      </c>
      <c r="K91" s="1132"/>
      <c r="L91" s="1132"/>
      <c r="M91" s="1132"/>
      <c r="N91" s="1132"/>
      <c r="O91" s="1133"/>
    </row>
    <row r="92" spans="10:24">
      <c r="J92" s="53" t="s">
        <v>357</v>
      </c>
    </row>
    <row r="93" spans="10:24" ht="27.6">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0:24" ht="15" thickBot="1">
      <c r="J94" s="50"/>
      <c r="K94" s="50"/>
      <c r="L94" s="51"/>
      <c r="M94" s="51"/>
      <c r="N94" s="51"/>
      <c r="O94" s="52"/>
      <c r="P94" s="50"/>
      <c r="Q94" s="50"/>
      <c r="R94" s="50"/>
      <c r="S94" s="50"/>
      <c r="T94" s="50"/>
      <c r="U94" s="50"/>
      <c r="V94" s="50"/>
      <c r="W94" s="50"/>
      <c r="X94" s="50"/>
    </row>
    <row r="95" spans="10:24">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0:24">
      <c r="J96" s="58">
        <f>C92</f>
        <v>0</v>
      </c>
      <c r="K96" s="58">
        <f>J96</f>
        <v>0</v>
      </c>
      <c r="L96" s="58">
        <f>C97/100</f>
        <v>0</v>
      </c>
      <c r="M96" s="58"/>
      <c r="N96" s="58">
        <f>C98</f>
        <v>0</v>
      </c>
      <c r="O96" s="59" t="str">
        <f>C113</f>
        <v>0.2</v>
      </c>
      <c r="P96" s="59" t="str">
        <f>C115</f>
        <v>0.5</v>
      </c>
      <c r="Q96" s="59">
        <f>C116</f>
        <v>0</v>
      </c>
      <c r="R96" s="58"/>
      <c r="S96" s="58"/>
      <c r="T96" s="58"/>
      <c r="U96" s="58"/>
      <c r="V96" s="58"/>
      <c r="W96" s="58"/>
      <c r="X96" s="58"/>
    </row>
    <row r="97" spans="2:24">
      <c r="J97" s="58">
        <f>D92</f>
        <v>0</v>
      </c>
      <c r="K97" s="58"/>
      <c r="L97" s="58">
        <f>D97/100</f>
        <v>0</v>
      </c>
      <c r="M97" s="58"/>
      <c r="N97" s="58">
        <f>D98</f>
        <v>0</v>
      </c>
      <c r="O97" s="59" t="str">
        <f>D113</f>
        <v>0.2</v>
      </c>
      <c r="P97" s="59" t="str">
        <f>D115</f>
        <v>0.5</v>
      </c>
      <c r="Q97" s="59">
        <f>D116</f>
        <v>0</v>
      </c>
      <c r="R97" s="58"/>
      <c r="S97" s="58"/>
      <c r="T97" s="58"/>
      <c r="U97" s="58"/>
      <c r="V97" s="58"/>
      <c r="W97" s="58"/>
      <c r="X97" s="58"/>
    </row>
    <row r="98" spans="2:24">
      <c r="J98" s="58">
        <f>E92</f>
        <v>0</v>
      </c>
      <c r="K98" s="58"/>
      <c r="L98" s="58">
        <f>E97/100</f>
        <v>0</v>
      </c>
      <c r="M98" s="58"/>
      <c r="N98" s="58">
        <f>E98</f>
        <v>0</v>
      </c>
      <c r="O98" s="59" t="str">
        <f>E113</f>
        <v>0.2</v>
      </c>
      <c r="P98" s="59" t="str">
        <f>E115</f>
        <v>0.5</v>
      </c>
      <c r="Q98" s="59">
        <f>E116</f>
        <v>0</v>
      </c>
      <c r="R98" s="58"/>
      <c r="S98" s="58"/>
      <c r="T98" s="58"/>
      <c r="U98" s="58"/>
      <c r="V98" s="58"/>
      <c r="W98" s="58"/>
      <c r="X98" s="58"/>
    </row>
    <row r="99" spans="2:24">
      <c r="J99" s="58">
        <f>F92</f>
        <v>0</v>
      </c>
      <c r="K99" s="58"/>
      <c r="L99" s="58">
        <f>F97/100</f>
        <v>0</v>
      </c>
      <c r="M99" s="58"/>
      <c r="N99" s="58">
        <f>F98</f>
        <v>0</v>
      </c>
      <c r="O99" s="59" t="str">
        <f>F113</f>
        <v>0.2</v>
      </c>
      <c r="P99" s="59" t="str">
        <f>F115</f>
        <v>0.5</v>
      </c>
      <c r="Q99" s="59">
        <f>F116</f>
        <v>0</v>
      </c>
      <c r="R99" s="58"/>
      <c r="S99" s="58"/>
      <c r="T99" s="58"/>
      <c r="U99" s="58"/>
      <c r="V99" s="58"/>
      <c r="W99" s="58"/>
      <c r="X99" s="58"/>
    </row>
    <row r="105" spans="2:24">
      <c r="B105" s="333" t="s">
        <v>0</v>
      </c>
      <c r="C105" s="1303" t="s">
        <v>626</v>
      </c>
      <c r="D105" s="1304"/>
      <c r="E105" s="1304"/>
      <c r="F105" s="1304"/>
      <c r="G105" s="1304"/>
      <c r="H105" s="1304"/>
      <c r="I105" s="1304"/>
      <c r="J105" s="1304"/>
      <c r="K105" s="1304"/>
      <c r="L105" s="1304"/>
    </row>
    <row r="106" spans="2:24">
      <c r="B106" s="334"/>
      <c r="C106" s="335">
        <v>2015</v>
      </c>
      <c r="D106" s="335">
        <v>2020</v>
      </c>
      <c r="E106" s="335">
        <v>2030</v>
      </c>
      <c r="F106" s="335">
        <v>2050</v>
      </c>
      <c r="G106" s="1303" t="s">
        <v>627</v>
      </c>
      <c r="H106" s="1303"/>
      <c r="I106" s="1303" t="s">
        <v>628</v>
      </c>
      <c r="J106" s="1303"/>
      <c r="K106" s="335" t="s">
        <v>2</v>
      </c>
      <c r="L106" s="335" t="s">
        <v>3</v>
      </c>
    </row>
    <row r="107" spans="2:24">
      <c r="B107" s="333" t="s">
        <v>4</v>
      </c>
      <c r="C107" s="333"/>
      <c r="D107" s="333"/>
      <c r="E107" s="333"/>
      <c r="F107" s="333"/>
      <c r="G107" s="335" t="s">
        <v>629</v>
      </c>
      <c r="H107" s="335" t="s">
        <v>630</v>
      </c>
      <c r="I107" s="335" t="s">
        <v>629</v>
      </c>
      <c r="J107" s="335" t="s">
        <v>630</v>
      </c>
      <c r="K107" s="333"/>
      <c r="L107" s="333"/>
    </row>
    <row r="108" spans="2:24">
      <c r="B108" s="334" t="s">
        <v>631</v>
      </c>
      <c r="C108" s="1293">
        <v>5</v>
      </c>
      <c r="D108" s="1293"/>
      <c r="E108" s="1304"/>
      <c r="F108" s="1304"/>
      <c r="G108" s="336">
        <v>1</v>
      </c>
      <c r="H108" s="336">
        <v>25</v>
      </c>
      <c r="I108" s="336">
        <v>1</v>
      </c>
      <c r="J108" s="336">
        <v>25</v>
      </c>
      <c r="K108" s="337"/>
      <c r="L108" s="337"/>
    </row>
    <row r="109" spans="2:24">
      <c r="B109" s="334" t="s">
        <v>632</v>
      </c>
      <c r="C109" s="337">
        <v>98</v>
      </c>
      <c r="D109" s="337">
        <v>99</v>
      </c>
      <c r="E109" s="337">
        <v>99</v>
      </c>
      <c r="F109" s="337">
        <v>99</v>
      </c>
      <c r="G109" s="337">
        <v>98</v>
      </c>
      <c r="H109" s="337">
        <v>99</v>
      </c>
      <c r="I109" s="337">
        <v>99</v>
      </c>
      <c r="J109" s="337">
        <v>99</v>
      </c>
      <c r="K109" s="337"/>
      <c r="L109" s="337">
        <v>1</v>
      </c>
    </row>
    <row r="110" spans="2:24">
      <c r="B110" s="334" t="s">
        <v>633</v>
      </c>
      <c r="C110" s="337">
        <v>98</v>
      </c>
      <c r="D110" s="337">
        <v>99</v>
      </c>
      <c r="E110" s="337">
        <v>99</v>
      </c>
      <c r="F110" s="337">
        <v>99</v>
      </c>
      <c r="G110" s="337">
        <v>98</v>
      </c>
      <c r="H110" s="337">
        <v>99</v>
      </c>
      <c r="I110" s="337">
        <v>99</v>
      </c>
      <c r="J110" s="337">
        <v>99</v>
      </c>
      <c r="K110" s="337"/>
      <c r="L110" s="337">
        <v>1</v>
      </c>
    </row>
    <row r="111" spans="2:24" ht="22.8">
      <c r="B111" s="334" t="s">
        <v>634</v>
      </c>
      <c r="C111" s="338" t="s">
        <v>635</v>
      </c>
      <c r="D111" s="338" t="s">
        <v>635</v>
      </c>
      <c r="E111" s="338" t="s">
        <v>635</v>
      </c>
      <c r="F111" s="338" t="s">
        <v>635</v>
      </c>
      <c r="G111" s="337" t="s">
        <v>636</v>
      </c>
      <c r="H111" s="337" t="s">
        <v>635</v>
      </c>
      <c r="I111" s="337" t="s">
        <v>636</v>
      </c>
      <c r="J111" s="337" t="s">
        <v>635</v>
      </c>
      <c r="K111" s="337"/>
      <c r="L111" s="337">
        <v>1</v>
      </c>
    </row>
    <row r="112" spans="2:24">
      <c r="B112" s="334" t="s">
        <v>637</v>
      </c>
      <c r="C112" s="337">
        <v>1</v>
      </c>
      <c r="D112" s="337">
        <v>1</v>
      </c>
      <c r="E112" s="337">
        <v>1</v>
      </c>
      <c r="F112" s="337">
        <v>1</v>
      </c>
      <c r="G112" s="337" t="s">
        <v>635</v>
      </c>
      <c r="H112" s="337">
        <v>1</v>
      </c>
      <c r="I112" s="337" t="s">
        <v>635</v>
      </c>
      <c r="J112" s="337">
        <v>1</v>
      </c>
      <c r="K112" s="337" t="s">
        <v>76</v>
      </c>
      <c r="L112" s="337">
        <v>1</v>
      </c>
    </row>
    <row r="113" spans="2:12">
      <c r="B113" s="334" t="s">
        <v>638</v>
      </c>
      <c r="C113" s="337" t="s">
        <v>639</v>
      </c>
      <c r="D113" s="337" t="s">
        <v>639</v>
      </c>
      <c r="E113" s="337" t="s">
        <v>639</v>
      </c>
      <c r="F113" s="337" t="s">
        <v>639</v>
      </c>
      <c r="G113" s="337" t="s">
        <v>639</v>
      </c>
      <c r="H113" s="337" t="s">
        <v>639</v>
      </c>
      <c r="I113" s="337" t="s">
        <v>639</v>
      </c>
      <c r="J113" s="337" t="s">
        <v>639</v>
      </c>
      <c r="K113" s="337" t="s">
        <v>76</v>
      </c>
      <c r="L113" s="337">
        <v>1</v>
      </c>
    </row>
    <row r="114" spans="2:12">
      <c r="B114" s="334" t="s">
        <v>11</v>
      </c>
      <c r="C114" s="337">
        <v>20</v>
      </c>
      <c r="D114" s="337">
        <v>20</v>
      </c>
      <c r="E114" s="337">
        <v>20</v>
      </c>
      <c r="F114" s="337">
        <v>20</v>
      </c>
      <c r="G114" s="337">
        <v>20</v>
      </c>
      <c r="H114" s="337">
        <v>20</v>
      </c>
      <c r="I114" s="337">
        <v>20</v>
      </c>
      <c r="J114" s="337">
        <v>20</v>
      </c>
      <c r="K114" s="337"/>
      <c r="L114" s="337">
        <v>1</v>
      </c>
    </row>
    <row r="115" spans="2:12">
      <c r="B115" s="334" t="s">
        <v>273</v>
      </c>
      <c r="C115" s="337" t="s">
        <v>635</v>
      </c>
      <c r="D115" s="337" t="s">
        <v>635</v>
      </c>
      <c r="E115" s="337" t="s">
        <v>635</v>
      </c>
      <c r="F115" s="337" t="s">
        <v>635</v>
      </c>
      <c r="G115" s="337" t="s">
        <v>635</v>
      </c>
      <c r="H115" s="337">
        <v>1</v>
      </c>
      <c r="I115" s="337" t="s">
        <v>635</v>
      </c>
      <c r="J115" s="337">
        <v>1</v>
      </c>
      <c r="K115" s="337"/>
      <c r="L115" s="337">
        <v>1</v>
      </c>
    </row>
    <row r="116" spans="2:12">
      <c r="B116" s="1292" t="s">
        <v>640</v>
      </c>
      <c r="C116" s="1292"/>
      <c r="D116" s="1292"/>
      <c r="E116" s="1292"/>
      <c r="F116" s="1292"/>
      <c r="G116" s="1292"/>
      <c r="H116" s="1292"/>
      <c r="I116" s="1292"/>
      <c r="J116" s="1292"/>
      <c r="K116" s="1292"/>
      <c r="L116" s="1292"/>
    </row>
    <row r="117" spans="2:12">
      <c r="B117" s="334" t="s">
        <v>641</v>
      </c>
      <c r="C117" s="337">
        <v>100</v>
      </c>
      <c r="D117" s="337">
        <v>100</v>
      </c>
      <c r="E117" s="337">
        <v>100</v>
      </c>
      <c r="F117" s="337">
        <v>100</v>
      </c>
      <c r="G117" s="337">
        <v>100</v>
      </c>
      <c r="H117" s="337">
        <v>100</v>
      </c>
      <c r="I117" s="337">
        <v>100</v>
      </c>
      <c r="J117" s="337">
        <v>100</v>
      </c>
      <c r="K117" s="337"/>
      <c r="L117" s="337">
        <v>1</v>
      </c>
    </row>
    <row r="118" spans="2:12">
      <c r="B118" s="334" t="s">
        <v>642</v>
      </c>
      <c r="C118" s="337">
        <v>100</v>
      </c>
      <c r="D118" s="337">
        <v>100</v>
      </c>
      <c r="E118" s="337">
        <v>100</v>
      </c>
      <c r="F118" s="337">
        <v>100</v>
      </c>
      <c r="G118" s="337">
        <v>100</v>
      </c>
      <c r="H118" s="337">
        <v>100</v>
      </c>
      <c r="I118" s="337">
        <v>100</v>
      </c>
      <c r="J118" s="337">
        <v>100</v>
      </c>
      <c r="K118" s="337"/>
      <c r="L118" s="337">
        <v>1</v>
      </c>
    </row>
    <row r="119" spans="2:12">
      <c r="B119" s="334" t="s">
        <v>643</v>
      </c>
      <c r="C119" s="1293">
        <v>5</v>
      </c>
      <c r="D119" s="1293"/>
      <c r="E119" s="1293"/>
      <c r="F119" s="1293"/>
      <c r="G119" s="1293"/>
      <c r="H119" s="1293"/>
      <c r="I119" s="1293"/>
      <c r="J119" s="1293"/>
      <c r="K119" s="337"/>
      <c r="L119" s="337">
        <v>1</v>
      </c>
    </row>
    <row r="120" spans="2:12">
      <c r="B120" s="334" t="s">
        <v>644</v>
      </c>
      <c r="C120" s="1293" t="s">
        <v>645</v>
      </c>
      <c r="D120" s="1293"/>
      <c r="E120" s="1293"/>
      <c r="F120" s="1293"/>
      <c r="G120" s="1293"/>
      <c r="H120" s="1293"/>
      <c r="I120" s="1293"/>
      <c r="J120" s="1293"/>
      <c r="K120" s="337"/>
      <c r="L120" s="337">
        <v>2</v>
      </c>
    </row>
    <row r="121" spans="2:12">
      <c r="B121" s="334" t="s">
        <v>646</v>
      </c>
      <c r="C121" s="1293" t="s">
        <v>647</v>
      </c>
      <c r="D121" s="1293"/>
      <c r="E121" s="1293"/>
      <c r="F121" s="1293"/>
      <c r="G121" s="1293"/>
      <c r="H121" s="1293"/>
      <c r="I121" s="1293"/>
      <c r="J121" s="1293"/>
      <c r="K121" s="337"/>
      <c r="L121" s="337">
        <v>2</v>
      </c>
    </row>
    <row r="122" spans="2:12">
      <c r="B122" s="1292" t="s">
        <v>12</v>
      </c>
      <c r="C122" s="1292"/>
      <c r="D122" s="1292"/>
      <c r="E122" s="1292"/>
      <c r="F122" s="1292"/>
      <c r="G122" s="1292"/>
      <c r="H122" s="1292"/>
      <c r="I122" s="1292"/>
      <c r="J122" s="1292"/>
      <c r="K122" s="1292"/>
      <c r="L122" s="1292"/>
    </row>
    <row r="123" spans="2:12" ht="15">
      <c r="B123" s="334" t="s">
        <v>648</v>
      </c>
      <c r="C123" s="1294" t="s">
        <v>649</v>
      </c>
      <c r="D123" s="1295"/>
      <c r="E123" s="1295"/>
      <c r="F123" s="1295"/>
      <c r="G123" s="1295"/>
      <c r="H123" s="1295"/>
      <c r="I123" s="1295"/>
      <c r="J123" s="1295"/>
      <c r="K123" s="1296"/>
      <c r="L123" s="337"/>
    </row>
    <row r="124" spans="2:12" ht="15">
      <c r="B124" s="334" t="s">
        <v>650</v>
      </c>
      <c r="C124" s="1297"/>
      <c r="D124" s="1298"/>
      <c r="E124" s="1298"/>
      <c r="F124" s="1298"/>
      <c r="G124" s="1298"/>
      <c r="H124" s="1298"/>
      <c r="I124" s="1298"/>
      <c r="J124" s="1298"/>
      <c r="K124" s="1299"/>
      <c r="L124" s="337"/>
    </row>
    <row r="125" spans="2:12" ht="15">
      <c r="B125" s="334" t="s">
        <v>651</v>
      </c>
      <c r="C125" s="1297"/>
      <c r="D125" s="1298"/>
      <c r="E125" s="1298"/>
      <c r="F125" s="1298"/>
      <c r="G125" s="1298"/>
      <c r="H125" s="1298"/>
      <c r="I125" s="1298"/>
      <c r="J125" s="1298"/>
      <c r="K125" s="1299"/>
      <c r="L125" s="337"/>
    </row>
    <row r="126" spans="2:12" ht="15">
      <c r="B126" s="334" t="s">
        <v>652</v>
      </c>
      <c r="C126" s="1297"/>
      <c r="D126" s="1298"/>
      <c r="E126" s="1298"/>
      <c r="F126" s="1298"/>
      <c r="G126" s="1298"/>
      <c r="H126" s="1298"/>
      <c r="I126" s="1298"/>
      <c r="J126" s="1298"/>
      <c r="K126" s="1299"/>
      <c r="L126" s="337"/>
    </row>
    <row r="127" spans="2:12">
      <c r="B127" s="339" t="s">
        <v>653</v>
      </c>
      <c r="C127" s="1300"/>
      <c r="D127" s="1301"/>
      <c r="E127" s="1301"/>
      <c r="F127" s="1301"/>
      <c r="G127" s="1301"/>
      <c r="H127" s="1301"/>
      <c r="I127" s="1301"/>
      <c r="J127" s="1301"/>
      <c r="K127" s="1302"/>
      <c r="L127" s="337"/>
    </row>
    <row r="128" spans="2:12">
      <c r="B128" s="1292" t="s">
        <v>654</v>
      </c>
      <c r="C128" s="1292"/>
      <c r="D128" s="1292"/>
      <c r="E128" s="1292"/>
      <c r="F128" s="1292"/>
      <c r="G128" s="1292"/>
      <c r="H128" s="1292"/>
      <c r="I128" s="1292"/>
      <c r="J128" s="1292"/>
      <c r="K128" s="1292"/>
      <c r="L128" s="1292"/>
    </row>
    <row r="129" spans="2:12" ht="22.8">
      <c r="B129" s="334" t="s">
        <v>655</v>
      </c>
      <c r="C129" s="340">
        <v>0.15</v>
      </c>
      <c r="D129" s="341">
        <v>0.15</v>
      </c>
      <c r="E129" s="341">
        <v>0.14000000000000001</v>
      </c>
      <c r="F129" s="341">
        <v>0.13</v>
      </c>
      <c r="G129" s="342">
        <v>0.1</v>
      </c>
      <c r="H129" s="343">
        <v>0.25</v>
      </c>
      <c r="I129" s="342">
        <v>0.1</v>
      </c>
      <c r="J129" s="343">
        <v>0.25</v>
      </c>
      <c r="K129" s="337" t="s">
        <v>6</v>
      </c>
      <c r="L129" s="337">
        <v>1</v>
      </c>
    </row>
    <row r="130" spans="2:12">
      <c r="B130" s="334" t="s">
        <v>656</v>
      </c>
      <c r="C130" s="343">
        <v>0.12</v>
      </c>
      <c r="D130" s="342">
        <f>$C$29*0.995^(D$5-$C$5)</f>
        <v>5960</v>
      </c>
      <c r="E130" s="342">
        <f>$C$29*0.995^(E$5-$C$5)</f>
        <v>5960</v>
      </c>
      <c r="F130" s="342">
        <f>$C$29*0.995^(F$5-$C$5)</f>
        <v>5960</v>
      </c>
      <c r="G130" s="343">
        <v>0.08</v>
      </c>
      <c r="H130" s="342">
        <v>0.2</v>
      </c>
      <c r="I130" s="342">
        <v>0.08</v>
      </c>
      <c r="J130" s="342">
        <v>0.2</v>
      </c>
      <c r="K130" s="337" t="s">
        <v>59</v>
      </c>
      <c r="L130" s="337">
        <v>1</v>
      </c>
    </row>
    <row r="131" spans="2:12">
      <c r="B131" s="334" t="s">
        <v>657</v>
      </c>
      <c r="C131" s="343">
        <v>0.03</v>
      </c>
      <c r="D131" s="342">
        <f>$C131*0.995^(D$5-$C$5)</f>
        <v>0.03</v>
      </c>
      <c r="E131" s="342">
        <f>$C131*0.995^(E$5-$C$5)</f>
        <v>0.03</v>
      </c>
      <c r="F131" s="342">
        <f>$C131*0.995^(F$5-$C$5)</f>
        <v>0.03</v>
      </c>
      <c r="G131" s="343">
        <v>0.02</v>
      </c>
      <c r="H131" s="343">
        <v>0.05</v>
      </c>
      <c r="I131" s="343">
        <v>0.02</v>
      </c>
      <c r="J131" s="343">
        <v>0.05</v>
      </c>
      <c r="K131" s="337" t="s">
        <v>20</v>
      </c>
      <c r="L131" s="337">
        <v>1</v>
      </c>
    </row>
    <row r="132" spans="2:12" ht="22.8">
      <c r="B132" s="334" t="s">
        <v>658</v>
      </c>
      <c r="C132" s="344">
        <v>7.0000000000000007E-2</v>
      </c>
      <c r="D132" s="344">
        <v>7.0000000000000007E-2</v>
      </c>
      <c r="E132" s="344">
        <v>0.06</v>
      </c>
      <c r="F132" s="344">
        <v>0.06</v>
      </c>
      <c r="G132" s="345">
        <v>0.02</v>
      </c>
      <c r="H132" s="345">
        <v>0.17</v>
      </c>
      <c r="I132" s="345">
        <v>0.02</v>
      </c>
      <c r="J132" s="345">
        <v>0.17</v>
      </c>
      <c r="K132" s="336" t="s">
        <v>6</v>
      </c>
      <c r="L132" s="337">
        <v>1</v>
      </c>
    </row>
    <row r="133" spans="2:12">
      <c r="B133" s="334" t="s">
        <v>656</v>
      </c>
      <c r="C133" s="344">
        <v>0.06</v>
      </c>
      <c r="D133" s="344">
        <f>$C133*0.995^(D$5-$C$5)</f>
        <v>0.06</v>
      </c>
      <c r="E133" s="344">
        <v>0.05</v>
      </c>
      <c r="F133" s="344">
        <f>$C133*0.995^(F$5-$C$5)</f>
        <v>0.06</v>
      </c>
      <c r="G133" s="345">
        <v>0.02</v>
      </c>
      <c r="H133" s="345">
        <v>0.14000000000000001</v>
      </c>
      <c r="I133" s="345">
        <v>0.02</v>
      </c>
      <c r="J133" s="345">
        <v>0.14000000000000001</v>
      </c>
      <c r="K133" s="336" t="s">
        <v>16</v>
      </c>
      <c r="L133" s="337">
        <v>1</v>
      </c>
    </row>
    <row r="134" spans="2:12">
      <c r="B134" s="334" t="s">
        <v>657</v>
      </c>
      <c r="C134" s="344">
        <v>0.01</v>
      </c>
      <c r="D134" s="344">
        <f>$C134*0.995^(D$5-$C$5)</f>
        <v>0.01</v>
      </c>
      <c r="E134" s="344">
        <f>$C134*0.995^(E$5-$C$5)</f>
        <v>0.01</v>
      </c>
      <c r="F134" s="344">
        <f>$C134*0.995^(F$5-$C$5)</f>
        <v>0.01</v>
      </c>
      <c r="G134" s="345">
        <v>0</v>
      </c>
      <c r="H134" s="345">
        <v>0.03</v>
      </c>
      <c r="I134" s="345">
        <v>0</v>
      </c>
      <c r="J134" s="345">
        <v>0.03</v>
      </c>
      <c r="K134" s="336" t="s">
        <v>20</v>
      </c>
      <c r="L134" s="337">
        <v>1</v>
      </c>
    </row>
    <row r="135" spans="2:12">
      <c r="B135" s="334" t="s">
        <v>276</v>
      </c>
      <c r="C135" s="346">
        <v>1100</v>
      </c>
      <c r="D135" s="346">
        <v>1070</v>
      </c>
      <c r="E135" s="346">
        <v>1020</v>
      </c>
      <c r="F135" s="346">
        <v>920</v>
      </c>
      <c r="G135" s="336">
        <v>1000</v>
      </c>
      <c r="H135" s="336">
        <v>1100</v>
      </c>
      <c r="I135" s="336">
        <v>900</v>
      </c>
      <c r="J135" s="336">
        <v>1000</v>
      </c>
      <c r="K135" s="336" t="s">
        <v>6</v>
      </c>
      <c r="L135" s="337">
        <v>1</v>
      </c>
    </row>
    <row r="136" spans="2:12">
      <c r="B136" s="334" t="s">
        <v>659</v>
      </c>
      <c r="C136" s="347">
        <v>0.8</v>
      </c>
      <c r="D136" s="347">
        <v>0.9</v>
      </c>
      <c r="E136" s="347">
        <v>1</v>
      </c>
      <c r="F136" s="347">
        <v>1</v>
      </c>
      <c r="G136" s="347">
        <v>0.5</v>
      </c>
      <c r="H136" s="347">
        <v>0.9</v>
      </c>
      <c r="I136" s="347">
        <v>0.5</v>
      </c>
      <c r="J136" s="347">
        <v>1</v>
      </c>
      <c r="K136" s="348"/>
      <c r="L136" s="337">
        <v>1</v>
      </c>
    </row>
    <row r="137" spans="2:12">
      <c r="B137" s="349" t="s">
        <v>660</v>
      </c>
      <c r="C137" s="347">
        <v>0.3</v>
      </c>
      <c r="D137" s="347">
        <v>0.4</v>
      </c>
      <c r="E137" s="347">
        <v>0.5</v>
      </c>
      <c r="F137" s="347">
        <v>0.8</v>
      </c>
      <c r="G137" s="347">
        <v>0.1</v>
      </c>
      <c r="H137" s="347">
        <v>0.4</v>
      </c>
      <c r="I137" s="347">
        <v>0.2</v>
      </c>
      <c r="J137" s="347">
        <v>0.8</v>
      </c>
      <c r="K137" s="350" t="s">
        <v>25</v>
      </c>
      <c r="L137" s="350"/>
    </row>
    <row r="138" spans="2:12">
      <c r="B138" s="349" t="s">
        <v>661</v>
      </c>
      <c r="C138" s="347">
        <v>0.5</v>
      </c>
      <c r="D138" s="347">
        <v>0.5</v>
      </c>
      <c r="E138" s="347">
        <v>0.5</v>
      </c>
      <c r="F138" s="347">
        <v>0.4</v>
      </c>
      <c r="G138" s="347">
        <v>0.4</v>
      </c>
      <c r="H138" s="347">
        <v>0.5</v>
      </c>
      <c r="I138" s="347">
        <v>0.3</v>
      </c>
      <c r="J138" s="347">
        <v>0.5</v>
      </c>
      <c r="K138" s="336" t="s">
        <v>6</v>
      </c>
      <c r="L138" s="350">
        <v>1</v>
      </c>
    </row>
    <row r="139" spans="2:12">
      <c r="B139" s="1292" t="s">
        <v>662</v>
      </c>
      <c r="C139" s="1292"/>
      <c r="D139" s="1292"/>
      <c r="E139" s="1292"/>
      <c r="F139" s="1292"/>
      <c r="G139" s="1292"/>
      <c r="H139" s="1292"/>
      <c r="I139" s="1292"/>
      <c r="J139" s="1292"/>
      <c r="K139" s="1292"/>
      <c r="L139" s="1292"/>
    </row>
    <row r="140" spans="2:12">
      <c r="B140" s="334" t="s">
        <v>663</v>
      </c>
      <c r="C140" s="351">
        <v>0</v>
      </c>
      <c r="D140" s="351">
        <v>0</v>
      </c>
      <c r="E140" s="351">
        <v>0</v>
      </c>
      <c r="F140" s="351">
        <v>0</v>
      </c>
      <c r="G140" s="351">
        <v>0</v>
      </c>
      <c r="H140" s="351">
        <v>0</v>
      </c>
      <c r="I140" s="351">
        <v>0</v>
      </c>
      <c r="J140" s="351">
        <v>0</v>
      </c>
      <c r="K140" s="337"/>
      <c r="L140" s="337">
        <v>1</v>
      </c>
    </row>
  </sheetData>
  <mergeCells count="29">
    <mergeCell ref="C43:H47"/>
    <mergeCell ref="B6:B7"/>
    <mergeCell ref="C6:H6"/>
    <mergeCell ref="C7:H7"/>
    <mergeCell ref="C16:H20"/>
    <mergeCell ref="B33:B34"/>
    <mergeCell ref="C33:H33"/>
    <mergeCell ref="C34:H34"/>
    <mergeCell ref="J63:O63"/>
    <mergeCell ref="J90:O90"/>
    <mergeCell ref="J91:O91"/>
    <mergeCell ref="J6:O6"/>
    <mergeCell ref="J7:O7"/>
    <mergeCell ref="J62:O62"/>
    <mergeCell ref="J33:J34"/>
    <mergeCell ref="K33:P33"/>
    <mergeCell ref="K34:P34"/>
    <mergeCell ref="C105:L105"/>
    <mergeCell ref="G106:H106"/>
    <mergeCell ref="I106:J106"/>
    <mergeCell ref="C108:F108"/>
    <mergeCell ref="B116:L116"/>
    <mergeCell ref="B128:L128"/>
    <mergeCell ref="B139:L139"/>
    <mergeCell ref="C119:J119"/>
    <mergeCell ref="C120:J120"/>
    <mergeCell ref="C121:J121"/>
    <mergeCell ref="B122:L122"/>
    <mergeCell ref="C123:K127"/>
  </mergeCells>
  <pageMargins left="0.7" right="0.7" top="0.75" bottom="0.75" header="0.3" footer="0.3"/>
  <pageSetup paperSize="9"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2">
    <tabColor theme="4"/>
  </sheetPr>
  <dimension ref="B3:H30"/>
  <sheetViews>
    <sheetView workbookViewId="0">
      <selection activeCell="K36" sqref="K36"/>
    </sheetView>
  </sheetViews>
  <sheetFormatPr defaultRowHeight="14.4"/>
  <cols>
    <col min="2" max="2" width="36.77734375" customWidth="1"/>
  </cols>
  <sheetData>
    <row r="3" spans="2:8">
      <c r="B3" s="8" t="s">
        <v>319</v>
      </c>
    </row>
    <row r="5" spans="2:8" ht="15" thickBot="1"/>
    <row r="6" spans="2:8" ht="15" customHeight="1">
      <c r="B6" s="1254" t="s">
        <v>0</v>
      </c>
      <c r="C6" s="1256" t="s">
        <v>134</v>
      </c>
      <c r="D6" s="1257"/>
      <c r="E6" s="1257"/>
      <c r="F6" s="1257"/>
      <c r="G6" s="1257"/>
      <c r="H6" s="1258"/>
    </row>
    <row r="7" spans="2:8" ht="15.75" customHeight="1" thickBot="1">
      <c r="B7" s="1255"/>
      <c r="C7" s="1131" t="s">
        <v>38</v>
      </c>
      <c r="D7" s="1132"/>
      <c r="E7" s="1132"/>
      <c r="F7" s="1132"/>
      <c r="G7" s="1132"/>
      <c r="H7" s="1133"/>
    </row>
    <row r="8" spans="2:8" ht="15" thickBot="1">
      <c r="B8" s="125"/>
      <c r="C8" s="126">
        <v>2015</v>
      </c>
      <c r="D8" s="126">
        <v>2020</v>
      </c>
      <c r="E8" s="126">
        <v>2030</v>
      </c>
      <c r="F8" s="126">
        <v>2050</v>
      </c>
      <c r="G8" s="126" t="s">
        <v>2</v>
      </c>
      <c r="H8" s="126" t="s">
        <v>3</v>
      </c>
    </row>
    <row r="9" spans="2:8" ht="15" thickBot="1">
      <c r="B9" s="127" t="s">
        <v>4</v>
      </c>
      <c r="C9" s="128"/>
      <c r="D9" s="128"/>
      <c r="E9" s="128"/>
      <c r="F9" s="128"/>
      <c r="G9" s="128"/>
      <c r="H9" s="129"/>
    </row>
    <row r="10" spans="2:8" ht="15" thickBot="1">
      <c r="B10" s="125" t="s">
        <v>5</v>
      </c>
      <c r="C10" s="132" t="s">
        <v>135</v>
      </c>
      <c r="D10" s="132" t="s">
        <v>135</v>
      </c>
      <c r="E10" s="132" t="s">
        <v>135</v>
      </c>
      <c r="F10" s="132"/>
      <c r="G10" s="132" t="s">
        <v>16</v>
      </c>
      <c r="H10" s="132" t="s">
        <v>136</v>
      </c>
    </row>
    <row r="11" spans="2:8" ht="15" thickBot="1">
      <c r="B11" s="125" t="s">
        <v>137</v>
      </c>
      <c r="C11" s="132" t="s">
        <v>138</v>
      </c>
      <c r="D11" s="132" t="s">
        <v>138</v>
      </c>
      <c r="E11" s="132" t="s">
        <v>138</v>
      </c>
      <c r="F11" s="132"/>
      <c r="G11" s="132"/>
      <c r="H11" s="132">
        <v>1</v>
      </c>
    </row>
    <row r="12" spans="2:8" ht="24.6" thickBot="1">
      <c r="B12" s="125" t="s">
        <v>7</v>
      </c>
      <c r="C12" s="132" t="s">
        <v>139</v>
      </c>
      <c r="D12" s="132" t="s">
        <v>139</v>
      </c>
      <c r="E12" s="132" t="s">
        <v>139</v>
      </c>
      <c r="F12" s="132"/>
      <c r="G12" s="132" t="s">
        <v>20</v>
      </c>
      <c r="H12" s="132"/>
    </row>
    <row r="13" spans="2:8" ht="24.6" thickBot="1">
      <c r="B13" s="125" t="s">
        <v>8</v>
      </c>
      <c r="C13" s="132" t="s">
        <v>140</v>
      </c>
      <c r="D13" s="132" t="s">
        <v>140</v>
      </c>
      <c r="E13" s="132" t="s">
        <v>140</v>
      </c>
      <c r="F13" s="132"/>
      <c r="G13" s="132" t="s">
        <v>141</v>
      </c>
      <c r="H13" s="132"/>
    </row>
    <row r="14" spans="2:8" ht="15" thickBot="1">
      <c r="B14" s="125" t="s">
        <v>142</v>
      </c>
      <c r="C14" s="132" t="s">
        <v>143</v>
      </c>
      <c r="D14" s="132" t="s">
        <v>144</v>
      </c>
      <c r="E14" s="132" t="s">
        <v>145</v>
      </c>
      <c r="F14" s="132"/>
      <c r="G14" s="132" t="s">
        <v>51</v>
      </c>
      <c r="H14" s="132">
        <v>1</v>
      </c>
    </row>
    <row r="15" spans="2:8" ht="15" thickBot="1">
      <c r="B15" s="125" t="s">
        <v>146</v>
      </c>
      <c r="C15" s="132" t="s">
        <v>147</v>
      </c>
      <c r="D15" s="132" t="s">
        <v>148</v>
      </c>
      <c r="E15" s="132" t="s">
        <v>148</v>
      </c>
      <c r="F15" s="132"/>
      <c r="G15" s="132" t="s">
        <v>51</v>
      </c>
      <c r="H15" s="132">
        <v>1</v>
      </c>
    </row>
    <row r="16" spans="2:8" ht="15" thickBot="1">
      <c r="B16" s="125" t="s">
        <v>9</v>
      </c>
      <c r="C16" s="132" t="s">
        <v>149</v>
      </c>
      <c r="D16" s="132" t="s">
        <v>150</v>
      </c>
      <c r="E16" s="132" t="s">
        <v>151</v>
      </c>
      <c r="F16" s="132"/>
      <c r="G16" s="132" t="s">
        <v>51</v>
      </c>
      <c r="H16" s="132">
        <v>1</v>
      </c>
    </row>
    <row r="17" spans="2:8" ht="15" thickBot="1">
      <c r="B17" s="125" t="s">
        <v>11</v>
      </c>
      <c r="C17" s="132" t="s">
        <v>152</v>
      </c>
      <c r="D17" s="132" t="s">
        <v>153</v>
      </c>
      <c r="E17" s="132" t="s">
        <v>153</v>
      </c>
      <c r="F17" s="132"/>
      <c r="G17" s="132"/>
      <c r="H17" s="132">
        <v>6</v>
      </c>
    </row>
    <row r="18" spans="2:8" ht="15" thickBot="1">
      <c r="B18" s="127" t="s">
        <v>12</v>
      </c>
      <c r="C18" s="128"/>
      <c r="D18" s="128"/>
      <c r="E18" s="128"/>
      <c r="F18" s="128"/>
      <c r="G18" s="128"/>
      <c r="H18" s="129"/>
    </row>
    <row r="19" spans="2:8" ht="15.6" thickBot="1">
      <c r="B19" s="125" t="s">
        <v>13</v>
      </c>
      <c r="C19" s="126">
        <v>0</v>
      </c>
      <c r="D19" s="126">
        <v>0</v>
      </c>
      <c r="E19" s="126">
        <v>0</v>
      </c>
      <c r="F19" s="126"/>
      <c r="G19" s="126"/>
      <c r="H19" s="126"/>
    </row>
    <row r="20" spans="2:8" ht="15.6" thickBot="1">
      <c r="B20" s="125" t="s">
        <v>15</v>
      </c>
      <c r="C20" s="35">
        <v>2</v>
      </c>
      <c r="D20" s="35">
        <v>2</v>
      </c>
      <c r="E20" s="35">
        <v>2</v>
      </c>
      <c r="F20" s="126"/>
      <c r="G20" s="126"/>
      <c r="H20" s="126" t="s">
        <v>154</v>
      </c>
    </row>
    <row r="21" spans="2:8" ht="15.6" thickBot="1">
      <c r="B21" s="125" t="s">
        <v>17</v>
      </c>
      <c r="C21" s="126" t="s">
        <v>155</v>
      </c>
      <c r="D21" s="126" t="s">
        <v>155</v>
      </c>
      <c r="E21" s="126" t="s">
        <v>155</v>
      </c>
      <c r="F21" s="126"/>
      <c r="G21" s="126" t="s">
        <v>25</v>
      </c>
      <c r="H21" s="126" t="s">
        <v>154</v>
      </c>
    </row>
    <row r="22" spans="2:8" ht="15.6" thickBot="1">
      <c r="B22" s="125" t="s">
        <v>18</v>
      </c>
      <c r="C22" s="35">
        <v>0</v>
      </c>
      <c r="D22" s="35">
        <v>0</v>
      </c>
      <c r="E22" s="35">
        <v>0</v>
      </c>
      <c r="F22" s="126"/>
      <c r="G22" s="126"/>
      <c r="H22" s="126"/>
    </row>
    <row r="23" spans="2:8" ht="15" thickBot="1">
      <c r="B23" s="125" t="s">
        <v>19</v>
      </c>
      <c r="C23" s="126">
        <v>0</v>
      </c>
      <c r="D23" s="126">
        <v>0</v>
      </c>
      <c r="E23" s="126">
        <v>0</v>
      </c>
      <c r="F23" s="126"/>
      <c r="G23" s="126"/>
      <c r="H23" s="126">
        <v>7</v>
      </c>
    </row>
    <row r="24" spans="2:8" ht="15" thickBot="1">
      <c r="B24" s="127" t="s">
        <v>22</v>
      </c>
      <c r="C24" s="128"/>
      <c r="D24" s="128"/>
      <c r="E24" s="128"/>
      <c r="F24" s="128"/>
      <c r="G24" s="128"/>
      <c r="H24" s="129"/>
    </row>
    <row r="25" spans="2:8">
      <c r="B25" s="130" t="s">
        <v>24</v>
      </c>
      <c r="C25" s="139" t="s">
        <v>296</v>
      </c>
      <c r="D25" s="131">
        <v>4.4000000000000004</v>
      </c>
      <c r="E25" s="131">
        <v>2.6</v>
      </c>
      <c r="F25" s="131"/>
      <c r="G25" s="131" t="s">
        <v>109</v>
      </c>
      <c r="H25" s="131" t="s">
        <v>156</v>
      </c>
    </row>
    <row r="26" spans="2:8">
      <c r="B26" s="130" t="s">
        <v>26</v>
      </c>
      <c r="C26" s="131" t="s">
        <v>95</v>
      </c>
      <c r="D26" s="131">
        <v>80</v>
      </c>
      <c r="E26" s="131">
        <v>80</v>
      </c>
      <c r="F26" s="131"/>
      <c r="G26" s="131"/>
      <c r="H26" s="131"/>
    </row>
    <row r="27" spans="2:8" ht="15" thickBot="1">
      <c r="B27" s="125" t="s">
        <v>28</v>
      </c>
      <c r="C27" s="126" t="s">
        <v>97</v>
      </c>
      <c r="D27" s="126">
        <v>20</v>
      </c>
      <c r="E27" s="126">
        <v>20</v>
      </c>
      <c r="F27" s="126"/>
      <c r="G27" s="126"/>
      <c r="H27" s="126"/>
    </row>
    <row r="28" spans="2:8" ht="24.6" thickBot="1">
      <c r="B28" s="125" t="s">
        <v>30</v>
      </c>
      <c r="C28" s="126" t="s">
        <v>157</v>
      </c>
      <c r="D28" s="126" t="s">
        <v>157</v>
      </c>
      <c r="E28" s="126" t="s">
        <v>157</v>
      </c>
      <c r="F28" s="126"/>
      <c r="G28" s="126" t="s">
        <v>76</v>
      </c>
      <c r="H28" s="126"/>
    </row>
    <row r="29" spans="2:8" ht="15" thickBot="1">
      <c r="B29" s="125" t="s">
        <v>50</v>
      </c>
      <c r="C29" s="126" t="s">
        <v>68</v>
      </c>
      <c r="D29" s="126" t="s">
        <v>68</v>
      </c>
      <c r="E29" s="126" t="s">
        <v>68</v>
      </c>
      <c r="F29" s="126"/>
      <c r="G29" s="126"/>
      <c r="H29" s="126"/>
    </row>
    <row r="30" spans="2:8" ht="15" thickBot="1">
      <c r="B30" s="125" t="s">
        <v>31</v>
      </c>
      <c r="C30" s="126" t="s">
        <v>68</v>
      </c>
      <c r="D30" s="126" t="s">
        <v>68</v>
      </c>
      <c r="E30" s="126" t="s">
        <v>68</v>
      </c>
      <c r="F30" s="126"/>
      <c r="G30" s="126"/>
      <c r="H30" s="126"/>
    </row>
  </sheetData>
  <mergeCells count="3">
    <mergeCell ref="B6:B7"/>
    <mergeCell ref="C6:H6"/>
    <mergeCell ref="C7:H7"/>
  </mergeCells>
  <pageMargins left="0.7" right="0.7"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3">
    <tabColor theme="4"/>
  </sheetPr>
  <dimension ref="B3:H31"/>
  <sheetViews>
    <sheetView workbookViewId="0">
      <selection activeCell="K36" sqref="K36"/>
    </sheetView>
  </sheetViews>
  <sheetFormatPr defaultRowHeight="14.4"/>
  <cols>
    <col min="2" max="2" width="36.77734375" customWidth="1"/>
  </cols>
  <sheetData>
    <row r="3" spans="2:8">
      <c r="B3" s="8" t="s">
        <v>320</v>
      </c>
    </row>
    <row r="5" spans="2:8" ht="15" thickBot="1"/>
    <row r="6" spans="2:8">
      <c r="B6" s="1254" t="s">
        <v>0</v>
      </c>
      <c r="C6" s="1256" t="s">
        <v>158</v>
      </c>
      <c r="D6" s="1257"/>
      <c r="E6" s="1257"/>
      <c r="F6" s="1257"/>
      <c r="G6" s="1257"/>
      <c r="H6" s="1258"/>
    </row>
    <row r="7" spans="2:8" ht="15" thickBot="1">
      <c r="B7" s="1255"/>
      <c r="C7" s="1131" t="s">
        <v>38</v>
      </c>
      <c r="D7" s="1132"/>
      <c r="E7" s="1132"/>
      <c r="F7" s="1132"/>
      <c r="G7" s="1132"/>
      <c r="H7" s="113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9">
        <v>1.6</v>
      </c>
      <c r="D10" s="9">
        <v>1.6</v>
      </c>
      <c r="E10" s="9">
        <v>1.6</v>
      </c>
      <c r="F10" s="9"/>
      <c r="G10" s="9" t="s">
        <v>6</v>
      </c>
      <c r="H10" s="9">
        <v>3</v>
      </c>
    </row>
    <row r="11" spans="2:8" ht="15" thickBot="1">
      <c r="B11" s="1" t="s">
        <v>137</v>
      </c>
      <c r="C11" s="9">
        <v>1.4</v>
      </c>
      <c r="D11" s="9">
        <v>1.4</v>
      </c>
      <c r="E11" s="9">
        <v>1.4</v>
      </c>
      <c r="F11" s="9"/>
      <c r="G11" s="9"/>
      <c r="H11" s="9">
        <v>3</v>
      </c>
    </row>
    <row r="12" spans="2:8" ht="24.6" thickBot="1">
      <c r="B12" s="1" t="s">
        <v>7</v>
      </c>
      <c r="C12" s="9" t="s">
        <v>159</v>
      </c>
      <c r="D12" s="9" t="s">
        <v>159</v>
      </c>
      <c r="E12" s="9" t="s">
        <v>159</v>
      </c>
      <c r="F12" s="9"/>
      <c r="G12" s="9" t="s">
        <v>20</v>
      </c>
      <c r="H12" s="9"/>
    </row>
    <row r="13" spans="2:8" ht="24.6" thickBot="1">
      <c r="B13" s="1" t="s">
        <v>8</v>
      </c>
      <c r="C13" s="9" t="s">
        <v>159</v>
      </c>
      <c r="D13" s="9" t="s">
        <v>159</v>
      </c>
      <c r="E13" s="9" t="s">
        <v>159</v>
      </c>
      <c r="F13" s="9"/>
      <c r="G13" s="9" t="s">
        <v>20</v>
      </c>
      <c r="H13" s="9"/>
    </row>
    <row r="14" spans="2:8" ht="15" thickBot="1">
      <c r="B14" s="1" t="s">
        <v>142</v>
      </c>
      <c r="C14" s="9" t="s">
        <v>160</v>
      </c>
      <c r="D14" s="9" t="s">
        <v>161</v>
      </c>
      <c r="E14" s="9" t="s">
        <v>162</v>
      </c>
      <c r="F14" s="9"/>
      <c r="G14" s="9" t="s">
        <v>76</v>
      </c>
      <c r="H14" s="9">
        <v>1</v>
      </c>
    </row>
    <row r="15" spans="2:8" ht="15" thickBot="1">
      <c r="B15" s="1" t="s">
        <v>146</v>
      </c>
      <c r="C15" s="9" t="s">
        <v>163</v>
      </c>
      <c r="D15" s="9" t="s">
        <v>164</v>
      </c>
      <c r="E15" s="9" t="s">
        <v>144</v>
      </c>
      <c r="F15" s="9"/>
      <c r="G15" s="9" t="s">
        <v>76</v>
      </c>
      <c r="H15" s="9">
        <v>1</v>
      </c>
    </row>
    <row r="16" spans="2:8" ht="15" thickBot="1">
      <c r="B16" s="1" t="s">
        <v>9</v>
      </c>
      <c r="C16" s="9" t="s">
        <v>149</v>
      </c>
      <c r="D16" s="9" t="s">
        <v>165</v>
      </c>
      <c r="E16" s="9" t="s">
        <v>151</v>
      </c>
      <c r="F16" s="9"/>
      <c r="G16" s="9" t="s">
        <v>166</v>
      </c>
      <c r="H16" s="9">
        <v>1</v>
      </c>
    </row>
    <row r="17" spans="2:8" ht="24.6" thickBot="1">
      <c r="B17" s="1" t="s">
        <v>167</v>
      </c>
      <c r="C17" s="9" t="s">
        <v>168</v>
      </c>
      <c r="D17" s="9" t="s">
        <v>169</v>
      </c>
      <c r="E17" s="9" t="s">
        <v>170</v>
      </c>
      <c r="F17" s="9"/>
      <c r="G17" s="9"/>
      <c r="H17" s="9" t="s">
        <v>65</v>
      </c>
    </row>
    <row r="18" spans="2:8" ht="15" thickBot="1">
      <c r="B18" s="1" t="s">
        <v>11</v>
      </c>
      <c r="C18" s="9">
        <v>7</v>
      </c>
      <c r="D18" s="9" t="s">
        <v>153</v>
      </c>
      <c r="E18" s="9" t="s">
        <v>153</v>
      </c>
      <c r="F18" s="9"/>
      <c r="G18" s="9" t="s">
        <v>59</v>
      </c>
      <c r="H18" s="9">
        <v>1</v>
      </c>
    </row>
    <row r="19" spans="2:8" ht="15" thickBot="1">
      <c r="B19" s="3" t="s">
        <v>12</v>
      </c>
      <c r="C19" s="4"/>
      <c r="D19" s="4"/>
      <c r="E19" s="4"/>
      <c r="F19" s="4"/>
      <c r="G19" s="4"/>
      <c r="H19" s="5"/>
    </row>
    <row r="20" spans="2:8" ht="15.75" customHeight="1" thickBot="1">
      <c r="B20" s="22" t="s">
        <v>13</v>
      </c>
      <c r="C20" s="1305" t="s">
        <v>173</v>
      </c>
      <c r="D20" s="1306"/>
      <c r="E20" s="1306"/>
      <c r="F20" s="1306"/>
      <c r="G20" s="1306"/>
      <c r="H20" s="1307"/>
    </row>
    <row r="21" spans="2:8" ht="15.75" customHeight="1" thickBot="1">
      <c r="B21" s="1" t="s">
        <v>15</v>
      </c>
      <c r="C21" s="1308"/>
      <c r="D21" s="1309"/>
      <c r="E21" s="1309"/>
      <c r="F21" s="1309"/>
      <c r="G21" s="1309"/>
      <c r="H21" s="1310"/>
    </row>
    <row r="22" spans="2:8" ht="15.6" thickBot="1">
      <c r="B22" s="1" t="s">
        <v>17</v>
      </c>
      <c r="C22" s="1308"/>
      <c r="D22" s="1309"/>
      <c r="E22" s="1309"/>
      <c r="F22" s="1309"/>
      <c r="G22" s="1309"/>
      <c r="H22" s="1310"/>
    </row>
    <row r="23" spans="2:8" ht="15.6" thickBot="1">
      <c r="B23" s="1" t="s">
        <v>18</v>
      </c>
      <c r="C23" s="1308"/>
      <c r="D23" s="1309"/>
      <c r="E23" s="1309"/>
      <c r="F23" s="1309"/>
      <c r="G23" s="1309"/>
      <c r="H23" s="1310"/>
    </row>
    <row r="24" spans="2:8" ht="15" thickBot="1">
      <c r="B24" s="1" t="s">
        <v>19</v>
      </c>
      <c r="C24" s="1311"/>
      <c r="D24" s="1312"/>
      <c r="E24" s="1312"/>
      <c r="F24" s="1312"/>
      <c r="G24" s="1312"/>
      <c r="H24" s="1313"/>
    </row>
    <row r="25" spans="2:8" ht="15" thickBot="1">
      <c r="B25" s="3" t="s">
        <v>22</v>
      </c>
      <c r="C25" s="4"/>
      <c r="D25" s="4"/>
      <c r="E25" s="4"/>
      <c r="F25" s="4"/>
      <c r="G25" s="4"/>
      <c r="H25" s="5"/>
    </row>
    <row r="26" spans="2:8">
      <c r="B26" s="6" t="s">
        <v>24</v>
      </c>
      <c r="C26" s="7">
        <v>10.5</v>
      </c>
      <c r="D26" s="7">
        <v>4.4000000000000004</v>
      </c>
      <c r="E26" s="7">
        <v>2.6</v>
      </c>
      <c r="F26" s="7"/>
      <c r="G26" s="7"/>
      <c r="H26" s="7">
        <v>1</v>
      </c>
    </row>
    <row r="27" spans="2:8">
      <c r="B27" s="6" t="s">
        <v>26</v>
      </c>
      <c r="C27" s="7" t="s">
        <v>171</v>
      </c>
      <c r="D27" s="7">
        <v>70</v>
      </c>
      <c r="E27" s="7">
        <v>70</v>
      </c>
      <c r="F27" s="7"/>
      <c r="G27" s="7"/>
      <c r="H27" s="7"/>
    </row>
    <row r="28" spans="2:8" ht="15" thickBot="1">
      <c r="B28" s="1" t="s">
        <v>96</v>
      </c>
      <c r="C28" s="2" t="s">
        <v>172</v>
      </c>
      <c r="D28" s="2">
        <v>30</v>
      </c>
      <c r="E28" s="2">
        <v>30</v>
      </c>
      <c r="F28" s="2"/>
      <c r="G28" s="2"/>
      <c r="H28" s="2"/>
    </row>
    <row r="29" spans="2:8" ht="24.6" thickBot="1">
      <c r="B29" s="1" t="s">
        <v>30</v>
      </c>
      <c r="C29" s="2" t="s">
        <v>157</v>
      </c>
      <c r="D29" s="2" t="s">
        <v>157</v>
      </c>
      <c r="E29" s="2" t="s">
        <v>157</v>
      </c>
      <c r="F29" s="2"/>
      <c r="G29" s="2" t="s">
        <v>25</v>
      </c>
      <c r="H29" s="2"/>
    </row>
    <row r="30" spans="2:8" ht="15" thickBot="1">
      <c r="B30" s="1" t="s">
        <v>50</v>
      </c>
      <c r="C30" s="2" t="s">
        <v>68</v>
      </c>
      <c r="D30" s="2" t="s">
        <v>68</v>
      </c>
      <c r="E30" s="2" t="s">
        <v>68</v>
      </c>
      <c r="F30" s="2"/>
      <c r="G30" s="2"/>
      <c r="H30" s="2"/>
    </row>
    <row r="31" spans="2:8" ht="15" thickBot="1">
      <c r="B31" s="1" t="s">
        <v>31</v>
      </c>
      <c r="C31" s="2" t="s">
        <v>68</v>
      </c>
      <c r="D31" s="2" t="s">
        <v>68</v>
      </c>
      <c r="E31" s="2" t="s">
        <v>68</v>
      </c>
      <c r="F31" s="2"/>
      <c r="G31" s="2"/>
      <c r="H31" s="2"/>
    </row>
  </sheetData>
  <mergeCells count="4">
    <mergeCell ref="C20:H24"/>
    <mergeCell ref="B6:B7"/>
    <mergeCell ref="C6:H6"/>
    <mergeCell ref="C7:H7"/>
  </mergeCell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tabColor theme="4"/>
  </sheetPr>
  <dimension ref="B3:H91"/>
  <sheetViews>
    <sheetView topLeftCell="A10" workbookViewId="0">
      <selection activeCell="K36" sqref="K36"/>
    </sheetView>
  </sheetViews>
  <sheetFormatPr defaultRowHeight="14.4"/>
  <cols>
    <col min="2" max="2" width="36.77734375" customWidth="1"/>
  </cols>
  <sheetData>
    <row r="3" spans="2:8">
      <c r="B3" s="8" t="s">
        <v>321</v>
      </c>
    </row>
    <row r="5" spans="2:8" ht="15" thickBot="1"/>
    <row r="6" spans="2:8">
      <c r="B6" s="1254" t="s">
        <v>0</v>
      </c>
      <c r="C6" s="1256" t="s">
        <v>174</v>
      </c>
      <c r="D6" s="1257"/>
      <c r="E6" s="1257"/>
      <c r="F6" s="1257"/>
      <c r="G6" s="1257"/>
      <c r="H6" s="1258"/>
    </row>
    <row r="7" spans="2:8" ht="15" thickBot="1">
      <c r="B7" s="1255"/>
      <c r="C7" s="1131" t="s">
        <v>1</v>
      </c>
      <c r="D7" s="1132"/>
      <c r="E7" s="1132"/>
      <c r="F7" s="1132"/>
      <c r="G7" s="1132"/>
      <c r="H7" s="113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32" t="s">
        <v>297</v>
      </c>
      <c r="D10" s="32" t="s">
        <v>298</v>
      </c>
      <c r="E10" s="32" t="s">
        <v>299</v>
      </c>
      <c r="F10" s="9"/>
      <c r="G10" s="9" t="s">
        <v>6</v>
      </c>
      <c r="H10" s="9"/>
    </row>
    <row r="11" spans="2:8" ht="15" thickBot="1">
      <c r="B11" s="1" t="s">
        <v>137</v>
      </c>
      <c r="C11" s="9">
        <v>1</v>
      </c>
      <c r="D11" s="9">
        <v>1</v>
      </c>
      <c r="E11" s="9">
        <v>1</v>
      </c>
      <c r="F11" s="9"/>
      <c r="G11" s="9"/>
      <c r="H11" s="9"/>
    </row>
    <row r="12" spans="2:8" ht="24.6" thickBot="1">
      <c r="B12" s="1" t="s">
        <v>7</v>
      </c>
      <c r="C12" s="9" t="s">
        <v>175</v>
      </c>
      <c r="D12" s="9" t="s">
        <v>175</v>
      </c>
      <c r="E12" s="9" t="s">
        <v>175</v>
      </c>
      <c r="F12" s="9"/>
      <c r="G12" s="9" t="s">
        <v>16</v>
      </c>
      <c r="H12" s="9"/>
    </row>
    <row r="13" spans="2:8" ht="24.6" thickBot="1">
      <c r="B13" s="1" t="s">
        <v>8</v>
      </c>
      <c r="C13" s="9" t="s">
        <v>159</v>
      </c>
      <c r="D13" s="9" t="s">
        <v>159</v>
      </c>
      <c r="E13" s="9" t="s">
        <v>159</v>
      </c>
      <c r="F13" s="9"/>
      <c r="G13" s="9" t="s">
        <v>16</v>
      </c>
      <c r="H13" s="9"/>
    </row>
    <row r="14" spans="2:8" ht="15" thickBot="1">
      <c r="B14" s="1" t="s">
        <v>142</v>
      </c>
      <c r="C14" s="9">
        <v>12</v>
      </c>
      <c r="D14" s="9">
        <v>14</v>
      </c>
      <c r="E14" s="9">
        <v>16</v>
      </c>
      <c r="F14" s="9"/>
      <c r="G14" s="9"/>
      <c r="H14" s="9">
        <v>-4</v>
      </c>
    </row>
    <row r="15" spans="2:8" ht="15" thickBot="1">
      <c r="B15" s="1" t="s">
        <v>146</v>
      </c>
      <c r="C15" s="9" t="s">
        <v>63</v>
      </c>
      <c r="D15" s="9" t="s">
        <v>176</v>
      </c>
      <c r="E15" s="9" t="s">
        <v>169</v>
      </c>
      <c r="F15" s="9"/>
      <c r="G15" s="9"/>
      <c r="H15" s="9">
        <v>-4</v>
      </c>
    </row>
    <row r="16" spans="2:8" ht="15" thickBot="1">
      <c r="B16" s="1" t="s">
        <v>9</v>
      </c>
      <c r="C16" s="9" t="s">
        <v>177</v>
      </c>
      <c r="D16" s="9" t="s">
        <v>178</v>
      </c>
      <c r="E16" s="9" t="s">
        <v>179</v>
      </c>
      <c r="F16" s="9"/>
      <c r="G16" s="9"/>
      <c r="H16" s="9">
        <v>-4</v>
      </c>
    </row>
    <row r="17" spans="2:8" ht="15" thickBot="1">
      <c r="B17" s="1" t="s">
        <v>11</v>
      </c>
      <c r="C17" s="9">
        <v>10</v>
      </c>
      <c r="D17" s="9" t="s">
        <v>153</v>
      </c>
      <c r="E17" s="9" t="s">
        <v>153</v>
      </c>
      <c r="F17" s="9"/>
      <c r="G17" s="9"/>
      <c r="H17" s="9"/>
    </row>
    <row r="18" spans="2:8" ht="15" thickBot="1">
      <c r="B18" s="3" t="s">
        <v>12</v>
      </c>
      <c r="C18" s="4"/>
      <c r="D18" s="4"/>
      <c r="E18" s="4"/>
      <c r="F18" s="4"/>
      <c r="G18" s="4"/>
      <c r="H18" s="5"/>
    </row>
    <row r="19" spans="2:8" ht="15.6" thickBot="1">
      <c r="B19" s="1" t="s">
        <v>13</v>
      </c>
      <c r="C19" s="2">
        <v>0</v>
      </c>
      <c r="D19" s="2">
        <v>0</v>
      </c>
      <c r="E19" s="2">
        <v>0</v>
      </c>
      <c r="F19" s="2"/>
      <c r="G19" s="2"/>
      <c r="H19" s="2"/>
    </row>
    <row r="20" spans="2:8" ht="15.6" thickBot="1">
      <c r="B20" s="1" t="s">
        <v>15</v>
      </c>
      <c r="C20" s="2" t="s">
        <v>180</v>
      </c>
      <c r="D20" s="27" t="s">
        <v>300</v>
      </c>
      <c r="E20" s="27" t="s">
        <v>300</v>
      </c>
      <c r="F20" s="2"/>
      <c r="G20" s="2" t="s">
        <v>59</v>
      </c>
      <c r="H20" s="2">
        <v>3</v>
      </c>
    </row>
    <row r="21" spans="2:8" ht="15.6" thickBot="1">
      <c r="B21" s="1" t="s">
        <v>17</v>
      </c>
      <c r="C21" s="35">
        <v>0</v>
      </c>
      <c r="D21" s="35">
        <v>0</v>
      </c>
      <c r="E21" s="35">
        <v>0</v>
      </c>
      <c r="F21" s="2"/>
      <c r="G21" s="2"/>
      <c r="H21" s="2">
        <v>3</v>
      </c>
    </row>
    <row r="22" spans="2:8" ht="15.6" thickBot="1">
      <c r="B22" s="1" t="s">
        <v>18</v>
      </c>
      <c r="C22" s="35">
        <v>0</v>
      </c>
      <c r="D22" s="35">
        <v>0</v>
      </c>
      <c r="E22" s="35">
        <v>0</v>
      </c>
      <c r="F22" s="2"/>
      <c r="G22" s="2"/>
      <c r="H22" s="2"/>
    </row>
    <row r="23" spans="2:8" ht="15" thickBot="1">
      <c r="B23" s="1" t="s">
        <v>19</v>
      </c>
      <c r="C23" s="35">
        <v>0</v>
      </c>
      <c r="D23" s="35">
        <v>0</v>
      </c>
      <c r="E23" s="35">
        <v>0</v>
      </c>
      <c r="F23" s="2"/>
      <c r="G23" s="2"/>
      <c r="H23" s="2"/>
    </row>
    <row r="24" spans="2:8" ht="15" thickBot="1">
      <c r="B24" s="3" t="s">
        <v>22</v>
      </c>
      <c r="C24" s="4"/>
      <c r="D24" s="4"/>
      <c r="E24" s="4"/>
      <c r="F24" s="4"/>
      <c r="G24" s="4"/>
      <c r="H24" s="5"/>
    </row>
    <row r="25" spans="2:8">
      <c r="B25" s="6" t="s">
        <v>24</v>
      </c>
      <c r="C25" s="26" t="s">
        <v>301</v>
      </c>
      <c r="D25" s="28" t="s">
        <v>302</v>
      </c>
      <c r="E25" s="7">
        <v>5</v>
      </c>
      <c r="F25" s="7"/>
      <c r="G25" s="7"/>
      <c r="H25" s="7" t="s">
        <v>94</v>
      </c>
    </row>
    <row r="26" spans="2:8">
      <c r="B26" s="6" t="s">
        <v>26</v>
      </c>
      <c r="C26" s="7" t="s">
        <v>27</v>
      </c>
      <c r="D26" s="7">
        <v>70</v>
      </c>
      <c r="E26" s="7">
        <v>70</v>
      </c>
      <c r="F26" s="7"/>
      <c r="G26" s="7"/>
      <c r="H26" s="7"/>
    </row>
    <row r="27" spans="2:8" ht="15" thickBot="1">
      <c r="B27" s="1" t="s">
        <v>28</v>
      </c>
      <c r="C27" s="2" t="s">
        <v>29</v>
      </c>
      <c r="D27" s="2">
        <v>30</v>
      </c>
      <c r="E27" s="2">
        <v>30</v>
      </c>
      <c r="F27" s="2"/>
      <c r="G27" s="2"/>
      <c r="H27" s="2"/>
    </row>
    <row r="28" spans="2:8" ht="24.6" thickBot="1">
      <c r="B28" s="1" t="s">
        <v>30</v>
      </c>
      <c r="C28" s="2" t="s">
        <v>157</v>
      </c>
      <c r="D28" s="2" t="s">
        <v>157</v>
      </c>
      <c r="E28" s="2" t="s">
        <v>157</v>
      </c>
      <c r="F28" s="2"/>
      <c r="G28" s="2" t="s">
        <v>16</v>
      </c>
      <c r="H28" s="2"/>
    </row>
    <row r="29" spans="2:8" ht="15" thickBot="1">
      <c r="B29" s="1" t="s">
        <v>50</v>
      </c>
      <c r="C29" s="2" t="s">
        <v>68</v>
      </c>
      <c r="D29" s="2" t="s">
        <v>68</v>
      </c>
      <c r="E29" s="2" t="s">
        <v>68</v>
      </c>
      <c r="F29" s="2"/>
      <c r="G29" s="2"/>
      <c r="H29" s="2"/>
    </row>
    <row r="30" spans="2:8" ht="15" thickBot="1">
      <c r="B30" s="1" t="s">
        <v>31</v>
      </c>
      <c r="C30" s="2" t="s">
        <v>74</v>
      </c>
      <c r="D30" s="2" t="s">
        <v>74</v>
      </c>
      <c r="E30" s="2" t="s">
        <v>74</v>
      </c>
      <c r="F30" s="2"/>
      <c r="G30" s="2"/>
      <c r="H30" s="2">
        <v>3</v>
      </c>
    </row>
    <row r="34" spans="2:8" ht="15" thickBot="1"/>
    <row r="35" spans="2:8">
      <c r="B35" s="1254" t="s">
        <v>0</v>
      </c>
      <c r="C35" s="1256" t="s">
        <v>174</v>
      </c>
      <c r="D35" s="1257"/>
      <c r="E35" s="1257"/>
      <c r="F35" s="1257"/>
      <c r="G35" s="1257"/>
      <c r="H35" s="1258"/>
    </row>
    <row r="36" spans="2:8" ht="15" thickBot="1">
      <c r="B36" s="1255"/>
      <c r="C36" s="1131" t="s">
        <v>34</v>
      </c>
      <c r="D36" s="1132"/>
      <c r="E36" s="1132"/>
      <c r="F36" s="1132"/>
      <c r="G36" s="1132"/>
      <c r="H36" s="1133"/>
    </row>
    <row r="37" spans="2:8" ht="15" thickBot="1">
      <c r="B37" s="1"/>
      <c r="C37" s="2">
        <v>2015</v>
      </c>
      <c r="D37" s="2">
        <v>2020</v>
      </c>
      <c r="E37" s="2">
        <v>2030</v>
      </c>
      <c r="F37" s="2">
        <v>2050</v>
      </c>
      <c r="G37" s="2" t="s">
        <v>2</v>
      </c>
      <c r="H37" s="2" t="s">
        <v>3</v>
      </c>
    </row>
    <row r="38" spans="2:8" ht="15" thickBot="1">
      <c r="B38" s="3" t="s">
        <v>4</v>
      </c>
      <c r="C38" s="4"/>
      <c r="D38" s="4"/>
      <c r="E38" s="4"/>
      <c r="F38" s="4"/>
      <c r="G38" s="4"/>
      <c r="H38" s="5"/>
    </row>
    <row r="39" spans="2:8" ht="15" thickBot="1">
      <c r="B39" s="1" t="s">
        <v>5</v>
      </c>
      <c r="C39" s="32" t="s">
        <v>297</v>
      </c>
      <c r="D39" s="32" t="s">
        <v>298</v>
      </c>
      <c r="E39" s="32" t="s">
        <v>299</v>
      </c>
      <c r="F39" s="9"/>
      <c r="G39" s="9" t="s">
        <v>6</v>
      </c>
      <c r="H39" s="9"/>
    </row>
    <row r="40" spans="2:8" ht="15" thickBot="1">
      <c r="B40" s="1" t="s">
        <v>137</v>
      </c>
      <c r="C40" s="9">
        <v>1</v>
      </c>
      <c r="D40" s="9">
        <v>1</v>
      </c>
      <c r="E40" s="9">
        <v>1</v>
      </c>
      <c r="F40" s="9"/>
      <c r="G40" s="9"/>
      <c r="H40" s="9"/>
    </row>
    <row r="41" spans="2:8" ht="24.6" thickBot="1">
      <c r="B41" s="1" t="s">
        <v>7</v>
      </c>
      <c r="C41" s="9" t="s">
        <v>181</v>
      </c>
      <c r="D41" s="9" t="s">
        <v>181</v>
      </c>
      <c r="E41" s="9" t="s">
        <v>181</v>
      </c>
      <c r="F41" s="9"/>
      <c r="G41" s="9" t="s">
        <v>16</v>
      </c>
      <c r="H41" s="9"/>
    </row>
    <row r="42" spans="2:8" ht="24.6" thickBot="1">
      <c r="B42" s="1" t="s">
        <v>8</v>
      </c>
      <c r="C42" s="9" t="s">
        <v>182</v>
      </c>
      <c r="D42" s="9" t="s">
        <v>182</v>
      </c>
      <c r="E42" s="9" t="s">
        <v>182</v>
      </c>
      <c r="F42" s="9"/>
      <c r="G42" s="9" t="s">
        <v>16</v>
      </c>
      <c r="H42" s="9"/>
    </row>
    <row r="43" spans="2:8" ht="15" thickBot="1">
      <c r="B43" s="1" t="s">
        <v>142</v>
      </c>
      <c r="C43" s="9">
        <v>12</v>
      </c>
      <c r="D43" s="9">
        <v>14</v>
      </c>
      <c r="E43" s="9">
        <v>16</v>
      </c>
      <c r="F43" s="9"/>
      <c r="G43" s="9"/>
      <c r="H43" s="9">
        <v>-4</v>
      </c>
    </row>
    <row r="44" spans="2:8" ht="15" thickBot="1">
      <c r="B44" s="1" t="s">
        <v>146</v>
      </c>
      <c r="C44" s="9" t="s">
        <v>63</v>
      </c>
      <c r="D44" s="9" t="s">
        <v>176</v>
      </c>
      <c r="E44" s="9" t="s">
        <v>169</v>
      </c>
      <c r="F44" s="9"/>
      <c r="G44" s="9"/>
      <c r="H44" s="9">
        <v>-4</v>
      </c>
    </row>
    <row r="45" spans="2:8" ht="15" thickBot="1">
      <c r="B45" s="1" t="s">
        <v>9</v>
      </c>
      <c r="C45" s="9" t="s">
        <v>177</v>
      </c>
      <c r="D45" s="9" t="s">
        <v>178</v>
      </c>
      <c r="E45" s="9" t="s">
        <v>179</v>
      </c>
      <c r="F45" s="9"/>
      <c r="G45" s="9"/>
      <c r="H45" s="9">
        <v>-4</v>
      </c>
    </row>
    <row r="46" spans="2:8" ht="15" thickBot="1">
      <c r="B46" s="1" t="s">
        <v>11</v>
      </c>
      <c r="C46" s="9">
        <v>15</v>
      </c>
      <c r="D46" s="9" t="s">
        <v>183</v>
      </c>
      <c r="E46" s="9" t="s">
        <v>183</v>
      </c>
      <c r="F46" s="9"/>
      <c r="G46" s="9" t="s">
        <v>20</v>
      </c>
      <c r="H46" s="9"/>
    </row>
    <row r="47" spans="2:8" ht="15" thickBot="1">
      <c r="B47" s="3" t="s">
        <v>12</v>
      </c>
      <c r="C47" s="4"/>
      <c r="D47" s="4"/>
      <c r="E47" s="4"/>
      <c r="F47" s="4"/>
      <c r="G47" s="4"/>
      <c r="H47" s="5"/>
    </row>
    <row r="48" spans="2:8" ht="15.6" thickBot="1">
      <c r="B48" s="1" t="s">
        <v>13</v>
      </c>
      <c r="C48" s="2">
        <v>0</v>
      </c>
      <c r="D48" s="2">
        <v>0</v>
      </c>
      <c r="E48" s="2">
        <v>0</v>
      </c>
      <c r="F48" s="2"/>
      <c r="G48" s="2"/>
      <c r="H48" s="2"/>
    </row>
    <row r="49" spans="2:8" ht="15.6" thickBot="1">
      <c r="B49" s="1" t="s">
        <v>15</v>
      </c>
      <c r="C49" s="2" t="s">
        <v>180</v>
      </c>
      <c r="D49" s="27" t="s">
        <v>300</v>
      </c>
      <c r="E49" s="27" t="s">
        <v>300</v>
      </c>
      <c r="F49" s="2"/>
      <c r="G49" s="2" t="s">
        <v>59</v>
      </c>
      <c r="H49" s="2">
        <v>3</v>
      </c>
    </row>
    <row r="50" spans="2:8" ht="15.6" thickBot="1">
      <c r="B50" s="1" t="s">
        <v>17</v>
      </c>
      <c r="C50" s="2">
        <v>0</v>
      </c>
      <c r="D50" s="178">
        <v>0</v>
      </c>
      <c r="E50" s="178">
        <v>0</v>
      </c>
      <c r="F50" s="2"/>
      <c r="G50" s="2"/>
      <c r="H50" s="2">
        <v>3</v>
      </c>
    </row>
    <row r="51" spans="2:8" ht="15.6" thickBot="1">
      <c r="B51" s="1" t="s">
        <v>18</v>
      </c>
      <c r="C51" s="178">
        <v>0</v>
      </c>
      <c r="D51" s="178">
        <v>0</v>
      </c>
      <c r="E51" s="178">
        <v>0</v>
      </c>
      <c r="F51" s="2"/>
      <c r="G51" s="2"/>
      <c r="H51" s="2"/>
    </row>
    <row r="52" spans="2:8" ht="15" thickBot="1">
      <c r="B52" s="1" t="s">
        <v>19</v>
      </c>
      <c r="C52" s="178">
        <v>0</v>
      </c>
      <c r="D52" s="178">
        <v>0</v>
      </c>
      <c r="E52" s="178">
        <v>0</v>
      </c>
      <c r="F52" s="2"/>
      <c r="G52" s="2"/>
      <c r="H52" s="2"/>
    </row>
    <row r="53" spans="2:8" ht="15" thickBot="1">
      <c r="B53" s="3" t="s">
        <v>22</v>
      </c>
      <c r="C53" s="4"/>
      <c r="D53" s="4"/>
      <c r="E53" s="4"/>
      <c r="F53" s="4"/>
      <c r="G53" s="4"/>
      <c r="H53" s="5"/>
    </row>
    <row r="54" spans="2:8">
      <c r="B54" s="6" t="s">
        <v>24</v>
      </c>
      <c r="C54" s="26" t="s">
        <v>301</v>
      </c>
      <c r="D54" s="28" t="s">
        <v>302</v>
      </c>
      <c r="E54" s="7">
        <v>5</v>
      </c>
      <c r="F54" s="7"/>
      <c r="G54" s="7"/>
      <c r="H54" s="7" t="s">
        <v>94</v>
      </c>
    </row>
    <row r="55" spans="2:8">
      <c r="B55" s="6" t="s">
        <v>26</v>
      </c>
      <c r="C55" s="7" t="s">
        <v>27</v>
      </c>
      <c r="D55" s="7">
        <v>70</v>
      </c>
      <c r="E55" s="7">
        <v>70</v>
      </c>
      <c r="F55" s="7"/>
      <c r="G55" s="7"/>
      <c r="H55" s="7"/>
    </row>
    <row r="56" spans="2:8" ht="15" thickBot="1">
      <c r="B56" s="1" t="s">
        <v>28</v>
      </c>
      <c r="C56" s="2" t="s">
        <v>29</v>
      </c>
      <c r="D56" s="2">
        <v>30</v>
      </c>
      <c r="E56" s="2">
        <v>30</v>
      </c>
      <c r="F56" s="2"/>
      <c r="G56" s="2"/>
      <c r="H56" s="2"/>
    </row>
    <row r="57" spans="2:8" ht="24.6" thickBot="1">
      <c r="B57" s="1" t="s">
        <v>30</v>
      </c>
      <c r="C57" s="2" t="s">
        <v>157</v>
      </c>
      <c r="D57" s="2" t="s">
        <v>157</v>
      </c>
      <c r="E57" s="2" t="s">
        <v>157</v>
      </c>
      <c r="F57" s="2"/>
      <c r="G57" s="2" t="s">
        <v>16</v>
      </c>
      <c r="H57" s="2"/>
    </row>
    <row r="58" spans="2:8" ht="15" thickBot="1">
      <c r="B58" s="1" t="s">
        <v>50</v>
      </c>
      <c r="C58" s="2" t="s">
        <v>68</v>
      </c>
      <c r="D58" s="2" t="s">
        <v>68</v>
      </c>
      <c r="E58" s="2" t="s">
        <v>68</v>
      </c>
      <c r="F58" s="2"/>
      <c r="G58" s="2"/>
      <c r="H58" s="2"/>
    </row>
    <row r="59" spans="2:8" ht="15" thickBot="1">
      <c r="B59" s="1" t="s">
        <v>31</v>
      </c>
      <c r="C59" s="2" t="s">
        <v>74</v>
      </c>
      <c r="D59" s="2" t="s">
        <v>74</v>
      </c>
      <c r="E59" s="2" t="s">
        <v>74</v>
      </c>
      <c r="F59" s="2"/>
      <c r="G59" s="2"/>
      <c r="H59" s="2">
        <v>3</v>
      </c>
    </row>
    <row r="63" spans="2:8" ht="15" thickBot="1"/>
    <row r="64" spans="2:8">
      <c r="B64" s="1254" t="s">
        <v>0</v>
      </c>
      <c r="C64" s="1256" t="s">
        <v>184</v>
      </c>
      <c r="D64" s="1257"/>
      <c r="E64" s="1257"/>
      <c r="F64" s="1257"/>
      <c r="G64" s="1257"/>
      <c r="H64" s="1258"/>
    </row>
    <row r="65" spans="2:8" ht="15.75" customHeight="1" thickBot="1">
      <c r="B65" s="1255"/>
      <c r="C65" s="1314" t="s">
        <v>188</v>
      </c>
      <c r="D65" s="1315"/>
      <c r="E65" s="1315"/>
      <c r="F65" s="1315"/>
      <c r="G65" s="1315"/>
      <c r="H65" s="1316"/>
    </row>
    <row r="66" spans="2:8" ht="15" thickBot="1">
      <c r="B66" s="1"/>
      <c r="C66" s="2">
        <v>2015</v>
      </c>
      <c r="D66" s="2">
        <v>2020</v>
      </c>
      <c r="E66" s="2">
        <v>2030</v>
      </c>
      <c r="F66" s="2">
        <v>2050</v>
      </c>
      <c r="G66" s="2" t="s">
        <v>2</v>
      </c>
      <c r="H66" s="2" t="s">
        <v>3</v>
      </c>
    </row>
    <row r="67" spans="2:8" ht="15" thickBot="1">
      <c r="B67" s="3" t="s">
        <v>4</v>
      </c>
      <c r="C67" s="4"/>
      <c r="D67" s="4"/>
      <c r="E67" s="4"/>
      <c r="F67" s="4"/>
      <c r="G67" s="4"/>
      <c r="H67" s="5"/>
    </row>
    <row r="68" spans="2:8" ht="15" thickBot="1">
      <c r="B68" s="1" t="s">
        <v>5</v>
      </c>
      <c r="C68" s="9">
        <v>15</v>
      </c>
      <c r="D68" s="9">
        <v>14</v>
      </c>
      <c r="E68" s="9">
        <v>13</v>
      </c>
      <c r="F68" s="9"/>
      <c r="G68" s="9" t="s">
        <v>185</v>
      </c>
      <c r="H68" s="9"/>
    </row>
    <row r="69" spans="2:8" ht="15" thickBot="1">
      <c r="B69" s="1" t="s">
        <v>137</v>
      </c>
      <c r="C69" s="9">
        <v>7</v>
      </c>
      <c r="D69" s="9">
        <v>7</v>
      </c>
      <c r="E69" s="9">
        <v>7</v>
      </c>
      <c r="F69" s="9"/>
      <c r="G69" s="9" t="s">
        <v>6</v>
      </c>
      <c r="H69" s="9"/>
    </row>
    <row r="70" spans="2:8" ht="24.6" thickBot="1">
      <c r="B70" s="1" t="s">
        <v>7</v>
      </c>
      <c r="C70" s="9" t="s">
        <v>175</v>
      </c>
      <c r="D70" s="9" t="s">
        <v>175</v>
      </c>
      <c r="E70" s="9" t="s">
        <v>175</v>
      </c>
      <c r="F70" s="9"/>
      <c r="G70" s="9" t="s">
        <v>45</v>
      </c>
      <c r="H70" s="9"/>
    </row>
    <row r="71" spans="2:8" ht="24.6" thickBot="1">
      <c r="B71" s="1" t="s">
        <v>8</v>
      </c>
      <c r="C71" s="9" t="s">
        <v>186</v>
      </c>
      <c r="D71" s="9" t="s">
        <v>186</v>
      </c>
      <c r="E71" s="9" t="s">
        <v>186</v>
      </c>
      <c r="F71" s="9"/>
      <c r="G71" s="9" t="s">
        <v>45</v>
      </c>
      <c r="H71" s="9"/>
    </row>
    <row r="72" spans="2:8" ht="15" thickBot="1">
      <c r="B72" s="1" t="s">
        <v>142</v>
      </c>
      <c r="C72" s="9">
        <v>25</v>
      </c>
      <c r="D72" s="9">
        <v>27</v>
      </c>
      <c r="E72" s="9">
        <v>30</v>
      </c>
      <c r="F72" s="9"/>
      <c r="G72" s="9"/>
      <c r="H72" s="9">
        <v>1</v>
      </c>
    </row>
    <row r="73" spans="2:8" ht="15" thickBot="1">
      <c r="B73" s="1" t="s">
        <v>146</v>
      </c>
      <c r="C73" s="9">
        <v>55</v>
      </c>
      <c r="D73" s="9">
        <v>55</v>
      </c>
      <c r="E73" s="9">
        <v>55</v>
      </c>
      <c r="F73" s="9"/>
      <c r="G73" s="9"/>
      <c r="H73" s="9">
        <v>1</v>
      </c>
    </row>
    <row r="74" spans="2:8" ht="15" thickBot="1">
      <c r="B74" s="1" t="s">
        <v>9</v>
      </c>
      <c r="C74" s="9">
        <v>80</v>
      </c>
      <c r="D74" s="9">
        <v>82</v>
      </c>
      <c r="E74" s="9">
        <v>85</v>
      </c>
      <c r="F74" s="9"/>
      <c r="G74" s="9"/>
      <c r="H74" s="9">
        <v>1</v>
      </c>
    </row>
    <row r="75" spans="2:8" ht="15" thickBot="1">
      <c r="B75" s="1" t="s">
        <v>11</v>
      </c>
      <c r="C75" s="9">
        <v>10</v>
      </c>
      <c r="D75" s="9" t="s">
        <v>153</v>
      </c>
      <c r="E75" s="9" t="s">
        <v>153</v>
      </c>
      <c r="F75" s="9"/>
      <c r="G75" s="9"/>
      <c r="H75" s="9"/>
    </row>
    <row r="76" spans="2:8" ht="15" thickBot="1">
      <c r="B76" s="3" t="s">
        <v>12</v>
      </c>
      <c r="C76" s="4"/>
      <c r="D76" s="4"/>
      <c r="E76" s="4"/>
      <c r="F76" s="4"/>
      <c r="G76" s="4"/>
      <c r="H76" s="5"/>
    </row>
    <row r="77" spans="2:8" ht="15.6" thickBot="1">
      <c r="B77" s="1" t="s">
        <v>13</v>
      </c>
      <c r="C77" s="2">
        <v>0</v>
      </c>
      <c r="D77" s="2">
        <v>0</v>
      </c>
      <c r="E77" s="2">
        <v>0</v>
      </c>
      <c r="F77" s="2"/>
      <c r="G77" s="2"/>
      <c r="H77" s="2"/>
    </row>
    <row r="78" spans="2:8" ht="15.6" thickBot="1">
      <c r="B78" s="1" t="s">
        <v>15</v>
      </c>
      <c r="C78" s="2">
        <v>20</v>
      </c>
      <c r="D78" s="27" t="s">
        <v>300</v>
      </c>
      <c r="E78" s="27" t="s">
        <v>300</v>
      </c>
      <c r="F78" s="2"/>
      <c r="G78" s="2"/>
      <c r="H78" s="2">
        <v>1</v>
      </c>
    </row>
    <row r="79" spans="2:8" ht="15.6" thickBot="1">
      <c r="B79" s="1" t="s">
        <v>17</v>
      </c>
      <c r="C79" s="35">
        <v>1</v>
      </c>
      <c r="D79" s="35">
        <v>1</v>
      </c>
      <c r="E79" s="35">
        <v>1</v>
      </c>
      <c r="F79" s="2"/>
      <c r="G79" s="2"/>
      <c r="H79" s="2">
        <v>1</v>
      </c>
    </row>
    <row r="80" spans="2:8" ht="15.6" thickBot="1">
      <c r="B80" s="1" t="s">
        <v>18</v>
      </c>
      <c r="C80" s="35">
        <v>0</v>
      </c>
      <c r="D80" s="35">
        <v>0</v>
      </c>
      <c r="E80" s="35">
        <v>0</v>
      </c>
      <c r="F80" s="2"/>
      <c r="G80" s="2"/>
      <c r="H80" s="2"/>
    </row>
    <row r="81" spans="2:8" ht="15" thickBot="1">
      <c r="B81" s="1" t="s">
        <v>19</v>
      </c>
      <c r="C81" s="35">
        <v>0</v>
      </c>
      <c r="D81" s="35">
        <v>0</v>
      </c>
      <c r="E81" s="35">
        <v>0</v>
      </c>
      <c r="F81" s="2"/>
      <c r="G81" s="2"/>
      <c r="H81" s="2"/>
    </row>
    <row r="82" spans="2:8" ht="15" thickBot="1">
      <c r="B82" s="3" t="s">
        <v>22</v>
      </c>
      <c r="C82" s="4"/>
      <c r="D82" s="4"/>
      <c r="E82" s="4"/>
      <c r="F82" s="4"/>
      <c r="G82" s="4"/>
      <c r="H82" s="5"/>
    </row>
    <row r="83" spans="2:8">
      <c r="B83" s="6" t="s">
        <v>24</v>
      </c>
      <c r="C83" s="7">
        <v>20</v>
      </c>
      <c r="D83" s="7">
        <v>18</v>
      </c>
      <c r="E83" s="7">
        <v>15</v>
      </c>
      <c r="F83" s="7"/>
      <c r="G83" s="7"/>
      <c r="H83" s="7"/>
    </row>
    <row r="84" spans="2:8">
      <c r="B84" s="6" t="s">
        <v>26</v>
      </c>
      <c r="C84" s="7" t="s">
        <v>115</v>
      </c>
      <c r="D84" s="7">
        <v>75</v>
      </c>
      <c r="E84" s="7">
        <v>75</v>
      </c>
      <c r="F84" s="7"/>
      <c r="G84" s="7"/>
      <c r="H84" s="7"/>
    </row>
    <row r="85" spans="2:8" ht="15" thickBot="1">
      <c r="B85" s="1" t="s">
        <v>96</v>
      </c>
      <c r="C85" s="2" t="s">
        <v>116</v>
      </c>
      <c r="D85" s="2">
        <v>25</v>
      </c>
      <c r="E85" s="2">
        <v>25</v>
      </c>
      <c r="F85" s="2"/>
      <c r="G85" s="2"/>
      <c r="H85" s="2"/>
    </row>
    <row r="86" spans="2:8" ht="24.6" thickBot="1">
      <c r="B86" s="1" t="s">
        <v>113</v>
      </c>
      <c r="C86" s="2">
        <v>0.2</v>
      </c>
      <c r="D86" s="2">
        <v>0.2</v>
      </c>
      <c r="E86" s="2">
        <v>0.2</v>
      </c>
      <c r="F86" s="2"/>
      <c r="G86" s="2" t="s">
        <v>16</v>
      </c>
      <c r="H86" s="2"/>
    </row>
    <row r="87" spans="2:8" ht="15" thickBot="1">
      <c r="B87" s="1" t="s">
        <v>50</v>
      </c>
      <c r="C87" s="2" t="s">
        <v>68</v>
      </c>
      <c r="D87" s="2" t="s">
        <v>68</v>
      </c>
      <c r="E87" s="2" t="s">
        <v>68</v>
      </c>
      <c r="F87" s="2"/>
      <c r="G87" s="2"/>
      <c r="H87" s="2"/>
    </row>
    <row r="88" spans="2:8" ht="15" thickBot="1">
      <c r="B88" s="1" t="s">
        <v>31</v>
      </c>
      <c r="C88" s="2" t="s">
        <v>187</v>
      </c>
      <c r="D88" s="2" t="s">
        <v>187</v>
      </c>
      <c r="E88" s="2" t="s">
        <v>187</v>
      </c>
      <c r="F88" s="2"/>
      <c r="G88" s="2"/>
      <c r="H88" s="2">
        <v>2</v>
      </c>
    </row>
    <row r="91" spans="2:8">
      <c r="B91" s="23"/>
    </row>
  </sheetData>
  <mergeCells count="9">
    <mergeCell ref="B64:B65"/>
    <mergeCell ref="C64:H64"/>
    <mergeCell ref="C65:H65"/>
    <mergeCell ref="B6:B7"/>
    <mergeCell ref="C6:H6"/>
    <mergeCell ref="C7:H7"/>
    <mergeCell ref="B35:B36"/>
    <mergeCell ref="C35:H35"/>
    <mergeCell ref="C36:H36"/>
  </mergeCell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tabColor theme="4"/>
  </sheetPr>
  <dimension ref="B3:H117"/>
  <sheetViews>
    <sheetView workbookViewId="0">
      <selection activeCell="K36" sqref="K36"/>
    </sheetView>
  </sheetViews>
  <sheetFormatPr defaultRowHeight="14.4"/>
  <cols>
    <col min="2" max="2" width="36.77734375" customWidth="1"/>
  </cols>
  <sheetData>
    <row r="3" spans="2:8">
      <c r="B3" s="8" t="s">
        <v>322</v>
      </c>
    </row>
    <row r="5" spans="2:8" ht="15" thickBot="1"/>
    <row r="6" spans="2:8">
      <c r="B6" s="1254" t="s">
        <v>0</v>
      </c>
      <c r="C6" s="1256" t="s">
        <v>189</v>
      </c>
      <c r="D6" s="1257"/>
      <c r="E6" s="1257"/>
      <c r="F6" s="1257"/>
      <c r="G6" s="1257"/>
      <c r="H6" s="1258"/>
    </row>
    <row r="7" spans="2:8" ht="15" thickBot="1">
      <c r="B7" s="1255"/>
      <c r="C7" s="1131" t="s">
        <v>1</v>
      </c>
      <c r="D7" s="1132"/>
      <c r="E7" s="1132"/>
      <c r="F7" s="1132"/>
      <c r="G7" s="1132"/>
      <c r="H7" s="1133"/>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9">
        <v>3.2</v>
      </c>
      <c r="D10" s="9">
        <v>3.2</v>
      </c>
      <c r="E10" s="9">
        <v>3.2</v>
      </c>
      <c r="F10" s="9"/>
      <c r="G10" s="9" t="s">
        <v>16</v>
      </c>
      <c r="H10" s="9">
        <v>2</v>
      </c>
    </row>
    <row r="11" spans="2:8" ht="15" thickBot="1">
      <c r="B11" s="1" t="s">
        <v>137</v>
      </c>
      <c r="C11" s="9">
        <v>1</v>
      </c>
      <c r="D11" s="9">
        <v>1</v>
      </c>
      <c r="E11" s="9">
        <v>1</v>
      </c>
      <c r="F11" s="9"/>
      <c r="G11" s="9"/>
      <c r="H11" s="9">
        <v>2</v>
      </c>
    </row>
    <row r="12" spans="2:8" ht="24.6" thickBot="1">
      <c r="B12" s="1" t="s">
        <v>7</v>
      </c>
      <c r="C12" s="9" t="s">
        <v>168</v>
      </c>
      <c r="D12" s="9" t="s">
        <v>190</v>
      </c>
      <c r="E12" s="9" t="s">
        <v>190</v>
      </c>
      <c r="F12" s="9"/>
      <c r="G12" s="9" t="s">
        <v>6</v>
      </c>
      <c r="H12" s="9"/>
    </row>
    <row r="13" spans="2:8" ht="24.6" thickBot="1">
      <c r="B13" s="1" t="s">
        <v>8</v>
      </c>
      <c r="C13" s="9" t="s">
        <v>191</v>
      </c>
      <c r="D13" s="9" t="s">
        <v>191</v>
      </c>
      <c r="E13" s="9" t="s">
        <v>192</v>
      </c>
      <c r="F13" s="9"/>
      <c r="G13" s="9" t="s">
        <v>6</v>
      </c>
      <c r="H13" s="9"/>
    </row>
    <row r="14" spans="2:8" ht="15" thickBot="1">
      <c r="B14" s="1" t="s">
        <v>142</v>
      </c>
      <c r="C14" s="9">
        <v>20</v>
      </c>
      <c r="D14" s="9">
        <v>22</v>
      </c>
      <c r="E14" s="9">
        <v>25</v>
      </c>
      <c r="F14" s="9"/>
      <c r="G14" s="9"/>
      <c r="H14" s="9">
        <v>2</v>
      </c>
    </row>
    <row r="15" spans="2:8" ht="15" thickBot="1">
      <c r="B15" s="1" t="s">
        <v>146</v>
      </c>
      <c r="C15" s="9">
        <v>65</v>
      </c>
      <c r="D15" s="9">
        <v>70</v>
      </c>
      <c r="E15" s="9" t="s">
        <v>193</v>
      </c>
      <c r="F15" s="9"/>
      <c r="G15" s="9"/>
      <c r="H15" s="9">
        <v>2</v>
      </c>
    </row>
    <row r="16" spans="2:8" ht="15" thickBot="1">
      <c r="B16" s="1" t="s">
        <v>9</v>
      </c>
      <c r="C16" s="9">
        <v>85</v>
      </c>
      <c r="D16" s="9">
        <v>92</v>
      </c>
      <c r="E16" s="9" t="s">
        <v>150</v>
      </c>
      <c r="F16" s="9"/>
      <c r="G16" s="9"/>
      <c r="H16" s="9">
        <v>2</v>
      </c>
    </row>
    <row r="17" spans="2:8" ht="15" thickBot="1">
      <c r="B17" s="1" t="s">
        <v>11</v>
      </c>
      <c r="C17" s="9">
        <v>10</v>
      </c>
      <c r="D17" s="9" t="s">
        <v>153</v>
      </c>
      <c r="E17" s="9" t="s">
        <v>153</v>
      </c>
      <c r="F17" s="9"/>
      <c r="G17" s="9"/>
      <c r="H17" s="9"/>
    </row>
    <row r="18" spans="2:8" ht="15" thickBot="1">
      <c r="B18" s="3" t="s">
        <v>12</v>
      </c>
      <c r="C18" s="4"/>
      <c r="D18" s="4"/>
      <c r="E18" s="4"/>
      <c r="F18" s="4"/>
      <c r="G18" s="4"/>
      <c r="H18" s="5"/>
    </row>
    <row r="19" spans="2:8" ht="15.6" thickBot="1">
      <c r="B19" s="1" t="s">
        <v>13</v>
      </c>
      <c r="C19" s="2">
        <v>0</v>
      </c>
      <c r="D19" s="2">
        <v>0</v>
      </c>
      <c r="E19" s="2">
        <v>0</v>
      </c>
      <c r="F19" s="2"/>
      <c r="G19" s="2"/>
      <c r="H19" s="2"/>
    </row>
    <row r="20" spans="2:8" ht="15.6" thickBot="1">
      <c r="B20" s="1" t="s">
        <v>15</v>
      </c>
      <c r="C20" s="2">
        <v>25</v>
      </c>
      <c r="D20" s="2">
        <v>15</v>
      </c>
      <c r="E20" s="2">
        <v>10</v>
      </c>
      <c r="F20" s="2"/>
      <c r="G20" s="2" t="s">
        <v>59</v>
      </c>
      <c r="H20" s="2">
        <v>1</v>
      </c>
    </row>
    <row r="21" spans="2:8" ht="15.6" thickBot="1">
      <c r="B21" s="1" t="s">
        <v>17</v>
      </c>
      <c r="C21" s="35">
        <v>5</v>
      </c>
      <c r="D21" s="35">
        <v>5</v>
      </c>
      <c r="E21" s="35">
        <v>5</v>
      </c>
      <c r="F21" s="2"/>
      <c r="G21" s="2"/>
      <c r="H21" s="2">
        <v>1</v>
      </c>
    </row>
    <row r="22" spans="2:8" ht="15.6" thickBot="1">
      <c r="B22" s="1" t="s">
        <v>18</v>
      </c>
      <c r="C22" s="35">
        <v>0</v>
      </c>
      <c r="D22" s="35">
        <v>0</v>
      </c>
      <c r="E22" s="35">
        <v>0</v>
      </c>
      <c r="F22" s="2"/>
      <c r="G22" s="2"/>
      <c r="H22" s="2"/>
    </row>
    <row r="23" spans="2:8" ht="15" thickBot="1">
      <c r="B23" s="1" t="s">
        <v>19</v>
      </c>
      <c r="C23" s="35">
        <v>0</v>
      </c>
      <c r="D23" s="35">
        <v>0</v>
      </c>
      <c r="E23" s="35">
        <v>0</v>
      </c>
      <c r="F23" s="2"/>
      <c r="G23" s="2"/>
      <c r="H23" s="2"/>
    </row>
    <row r="24" spans="2:8" ht="15" thickBot="1">
      <c r="B24" s="3" t="s">
        <v>22</v>
      </c>
      <c r="C24" s="4"/>
      <c r="D24" s="4"/>
      <c r="E24" s="4"/>
      <c r="F24" s="4"/>
      <c r="G24" s="4"/>
      <c r="H24" s="5"/>
    </row>
    <row r="25" spans="2:8">
      <c r="B25" s="6" t="s">
        <v>24</v>
      </c>
      <c r="C25" s="7">
        <v>15</v>
      </c>
      <c r="D25" s="7">
        <v>12</v>
      </c>
      <c r="E25" s="7">
        <v>10</v>
      </c>
      <c r="F25" s="7"/>
      <c r="G25" s="7"/>
      <c r="H25" s="7" t="s">
        <v>94</v>
      </c>
    </row>
    <row r="26" spans="2:8">
      <c r="B26" s="6" t="s">
        <v>26</v>
      </c>
      <c r="C26" s="7" t="s">
        <v>27</v>
      </c>
      <c r="D26" s="7">
        <v>70</v>
      </c>
      <c r="E26" s="7">
        <v>70</v>
      </c>
      <c r="F26" s="7"/>
      <c r="G26" s="7"/>
      <c r="H26" s="7"/>
    </row>
    <row r="27" spans="2:8" ht="15" thickBot="1">
      <c r="B27" s="1" t="s">
        <v>28</v>
      </c>
      <c r="C27" s="2" t="s">
        <v>29</v>
      </c>
      <c r="D27" s="2">
        <v>30</v>
      </c>
      <c r="E27" s="2">
        <v>30</v>
      </c>
      <c r="F27" s="2"/>
      <c r="G27" s="2"/>
      <c r="H27" s="2"/>
    </row>
    <row r="28" spans="2:8" ht="24.6" thickBot="1">
      <c r="B28" s="1" t="s">
        <v>30</v>
      </c>
      <c r="C28" s="2" t="s">
        <v>157</v>
      </c>
      <c r="D28" s="2" t="s">
        <v>157</v>
      </c>
      <c r="E28" s="2" t="s">
        <v>157</v>
      </c>
      <c r="F28" s="2"/>
      <c r="G28" s="2" t="s">
        <v>6</v>
      </c>
      <c r="H28" s="2"/>
    </row>
    <row r="29" spans="2:8" ht="15" thickBot="1">
      <c r="B29" s="1" t="s">
        <v>50</v>
      </c>
      <c r="C29" s="2" t="s">
        <v>68</v>
      </c>
      <c r="D29" s="2" t="s">
        <v>68</v>
      </c>
      <c r="E29" s="2" t="s">
        <v>68</v>
      </c>
      <c r="F29" s="2"/>
      <c r="G29" s="2"/>
      <c r="H29" s="2"/>
    </row>
    <row r="30" spans="2:8" ht="15" thickBot="1">
      <c r="B30" s="1" t="s">
        <v>31</v>
      </c>
      <c r="C30" s="2" t="s">
        <v>194</v>
      </c>
      <c r="D30" s="2" t="s">
        <v>194</v>
      </c>
      <c r="E30" s="2" t="s">
        <v>194</v>
      </c>
      <c r="F30" s="2"/>
      <c r="G30" s="2"/>
      <c r="H30" s="2">
        <v>3</v>
      </c>
    </row>
    <row r="34" spans="2:8" ht="15" thickBot="1"/>
    <row r="35" spans="2:8">
      <c r="B35" s="1254" t="s">
        <v>0</v>
      </c>
      <c r="C35" s="1256" t="s">
        <v>195</v>
      </c>
      <c r="D35" s="1257"/>
      <c r="E35" s="1257"/>
      <c r="F35" s="1257"/>
      <c r="G35" s="1257"/>
      <c r="H35" s="1258"/>
    </row>
    <row r="36" spans="2:8" ht="15" thickBot="1">
      <c r="B36" s="1255"/>
      <c r="C36" s="1131" t="s">
        <v>32</v>
      </c>
      <c r="D36" s="1132"/>
      <c r="E36" s="1132"/>
      <c r="F36" s="1132"/>
      <c r="G36" s="1132"/>
      <c r="H36" s="1133"/>
    </row>
    <row r="37" spans="2:8" ht="15" thickBot="1">
      <c r="B37" s="1"/>
      <c r="C37" s="2">
        <v>2015</v>
      </c>
      <c r="D37" s="2">
        <v>2020</v>
      </c>
      <c r="E37" s="2">
        <v>2030</v>
      </c>
      <c r="F37" s="2">
        <v>2050</v>
      </c>
      <c r="G37" s="2" t="s">
        <v>2</v>
      </c>
      <c r="H37" s="2" t="s">
        <v>3</v>
      </c>
    </row>
    <row r="38" spans="2:8" ht="15" thickBot="1">
      <c r="B38" s="3" t="s">
        <v>4</v>
      </c>
      <c r="C38" s="4"/>
      <c r="D38" s="4"/>
      <c r="E38" s="4"/>
      <c r="F38" s="4"/>
      <c r="G38" s="4"/>
      <c r="H38" s="5"/>
    </row>
    <row r="39" spans="2:8" ht="15" thickBot="1">
      <c r="B39" s="1" t="s">
        <v>5</v>
      </c>
      <c r="C39" s="9" t="s">
        <v>196</v>
      </c>
      <c r="D39" s="9" t="s">
        <v>196</v>
      </c>
      <c r="E39" s="9" t="s">
        <v>196</v>
      </c>
      <c r="F39" s="9"/>
      <c r="G39" s="9"/>
      <c r="H39" s="9">
        <v>1</v>
      </c>
    </row>
    <row r="40" spans="2:8" ht="15" thickBot="1">
      <c r="B40" s="1" t="s">
        <v>137</v>
      </c>
      <c r="C40" s="9" t="s">
        <v>197</v>
      </c>
      <c r="D40" s="9" t="s">
        <v>198</v>
      </c>
      <c r="E40" s="9" t="s">
        <v>199</v>
      </c>
      <c r="F40" s="9"/>
      <c r="G40" s="9"/>
      <c r="H40" s="9">
        <v>1</v>
      </c>
    </row>
    <row r="41" spans="2:8" ht="24.6" thickBot="1">
      <c r="B41" s="1" t="s">
        <v>7</v>
      </c>
      <c r="C41" s="9" t="s">
        <v>200</v>
      </c>
      <c r="D41" s="9" t="s">
        <v>200</v>
      </c>
      <c r="E41" s="9" t="s">
        <v>200</v>
      </c>
      <c r="F41" s="9"/>
      <c r="G41" s="9" t="s">
        <v>6</v>
      </c>
      <c r="H41" s="9">
        <v>3</v>
      </c>
    </row>
    <row r="42" spans="2:8" ht="24.6" thickBot="1">
      <c r="B42" s="1" t="s">
        <v>8</v>
      </c>
      <c r="C42" s="9" t="s">
        <v>159</v>
      </c>
      <c r="D42" s="9" t="s">
        <v>159</v>
      </c>
      <c r="E42" s="9" t="s">
        <v>159</v>
      </c>
      <c r="F42" s="9"/>
      <c r="G42" s="9" t="s">
        <v>6</v>
      </c>
      <c r="H42" s="9"/>
    </row>
    <row r="43" spans="2:8" ht="15" thickBot="1">
      <c r="B43" s="1" t="s">
        <v>142</v>
      </c>
      <c r="C43" s="9" t="s">
        <v>201</v>
      </c>
      <c r="D43" s="9" t="s">
        <v>202</v>
      </c>
      <c r="E43" s="9" t="s">
        <v>203</v>
      </c>
      <c r="F43" s="9"/>
      <c r="G43" s="9"/>
      <c r="H43" s="9">
        <v>-1</v>
      </c>
    </row>
    <row r="44" spans="2:8" ht="15" thickBot="1">
      <c r="B44" s="1" t="s">
        <v>146</v>
      </c>
      <c r="C44" s="9" t="s">
        <v>204</v>
      </c>
      <c r="D44" s="9" t="s">
        <v>205</v>
      </c>
      <c r="E44" s="9" t="s">
        <v>206</v>
      </c>
      <c r="F44" s="9"/>
      <c r="G44" s="9"/>
      <c r="H44" s="9">
        <v>-1</v>
      </c>
    </row>
    <row r="45" spans="2:8" ht="15" thickBot="1">
      <c r="B45" s="1" t="s">
        <v>9</v>
      </c>
      <c r="C45" s="9" t="s">
        <v>207</v>
      </c>
      <c r="D45" s="9" t="s">
        <v>208</v>
      </c>
      <c r="E45" s="9" t="s">
        <v>209</v>
      </c>
      <c r="F45" s="9"/>
      <c r="G45" s="9"/>
      <c r="H45" s="9">
        <v>-1</v>
      </c>
    </row>
    <row r="46" spans="2:8" ht="15" thickBot="1">
      <c r="B46" s="1" t="s">
        <v>11</v>
      </c>
      <c r="C46" s="25" t="s">
        <v>303</v>
      </c>
      <c r="D46" s="25" t="s">
        <v>303</v>
      </c>
      <c r="E46" s="25" t="s">
        <v>303</v>
      </c>
      <c r="F46" s="9"/>
      <c r="G46" s="9"/>
      <c r="H46" s="9"/>
    </row>
    <row r="47" spans="2:8" ht="15" thickBot="1">
      <c r="B47" s="3" t="s">
        <v>12</v>
      </c>
      <c r="C47" s="4"/>
      <c r="D47" s="4"/>
      <c r="E47" s="4"/>
      <c r="F47" s="4"/>
      <c r="G47" s="4"/>
      <c r="H47" s="5"/>
    </row>
    <row r="48" spans="2:8" ht="15.6" thickBot="1">
      <c r="B48" s="1" t="s">
        <v>13</v>
      </c>
      <c r="C48" s="2">
        <v>0</v>
      </c>
      <c r="D48" s="2">
        <v>0</v>
      </c>
      <c r="E48" s="2">
        <v>0</v>
      </c>
      <c r="F48" s="2"/>
      <c r="G48" s="2"/>
      <c r="H48" s="2"/>
    </row>
    <row r="49" spans="2:8" ht="15.6" thickBot="1">
      <c r="B49" s="1" t="s">
        <v>15</v>
      </c>
      <c r="C49" s="2" t="s">
        <v>210</v>
      </c>
      <c r="D49" s="11">
        <v>29495</v>
      </c>
      <c r="E49" s="11">
        <v>18537</v>
      </c>
      <c r="F49" s="2"/>
      <c r="G49" s="2"/>
      <c r="H49" s="2"/>
    </row>
    <row r="50" spans="2:8" ht="15.6" thickBot="1">
      <c r="B50" s="1" t="s">
        <v>17</v>
      </c>
      <c r="C50" s="2" t="s">
        <v>211</v>
      </c>
      <c r="D50" s="2" t="s">
        <v>212</v>
      </c>
      <c r="E50" s="2" t="s">
        <v>213</v>
      </c>
      <c r="F50" s="2"/>
      <c r="G50" s="2"/>
      <c r="H50" s="2">
        <v>2</v>
      </c>
    </row>
    <row r="51" spans="2:8" ht="15.6" thickBot="1">
      <c r="B51" s="1" t="s">
        <v>18</v>
      </c>
      <c r="C51" s="2" t="s">
        <v>214</v>
      </c>
      <c r="D51" s="2" t="s">
        <v>215</v>
      </c>
      <c r="E51" s="2" t="s">
        <v>215</v>
      </c>
      <c r="F51" s="2"/>
      <c r="G51" s="2"/>
      <c r="H51" s="2">
        <v>2</v>
      </c>
    </row>
    <row r="52" spans="2:8" ht="15" thickBot="1">
      <c r="B52" s="1" t="s">
        <v>19</v>
      </c>
      <c r="C52" s="35">
        <v>0</v>
      </c>
      <c r="D52" s="35">
        <v>0</v>
      </c>
      <c r="E52" s="35">
        <v>0</v>
      </c>
      <c r="F52" s="2"/>
      <c r="G52" s="2"/>
      <c r="H52" s="2">
        <v>2</v>
      </c>
    </row>
    <row r="53" spans="2:8" ht="15" thickBot="1">
      <c r="B53" s="3" t="s">
        <v>22</v>
      </c>
      <c r="C53" s="4"/>
      <c r="D53" s="4"/>
      <c r="E53" s="4"/>
      <c r="F53" s="4"/>
      <c r="G53" s="4"/>
      <c r="H53" s="5"/>
    </row>
    <row r="54" spans="2:8">
      <c r="B54" s="6" t="s">
        <v>24</v>
      </c>
      <c r="C54" s="7" t="s">
        <v>216</v>
      </c>
      <c r="D54" s="7" t="s">
        <v>216</v>
      </c>
      <c r="E54" s="7" t="s">
        <v>216</v>
      </c>
      <c r="F54" s="7"/>
      <c r="G54" s="7"/>
      <c r="H54" s="7">
        <v>-1</v>
      </c>
    </row>
    <row r="55" spans="2:8">
      <c r="B55" s="6" t="s">
        <v>26</v>
      </c>
      <c r="C55" s="7" t="s">
        <v>217</v>
      </c>
      <c r="D55" s="7" t="s">
        <v>217</v>
      </c>
      <c r="E55" s="7" t="s">
        <v>217</v>
      </c>
      <c r="F55" s="7"/>
      <c r="G55" s="7"/>
      <c r="H55" s="7"/>
    </row>
    <row r="56" spans="2:8" ht="15" thickBot="1">
      <c r="B56" s="1" t="s">
        <v>28</v>
      </c>
      <c r="C56" s="2" t="s">
        <v>218</v>
      </c>
      <c r="D56" s="2" t="s">
        <v>218</v>
      </c>
      <c r="E56" s="2" t="s">
        <v>218</v>
      </c>
      <c r="F56" s="2"/>
      <c r="G56" s="2"/>
      <c r="H56" s="2"/>
    </row>
    <row r="57" spans="2:8" ht="24.6" thickBot="1">
      <c r="B57" s="1" t="s">
        <v>113</v>
      </c>
      <c r="C57" s="2">
        <v>0.2</v>
      </c>
      <c r="D57" s="2">
        <v>0.2</v>
      </c>
      <c r="E57" s="2">
        <v>0.2</v>
      </c>
      <c r="F57" s="2"/>
      <c r="G57" s="2" t="s">
        <v>6</v>
      </c>
      <c r="H57" s="2"/>
    </row>
    <row r="58" spans="2:8" ht="15" thickBot="1">
      <c r="B58" s="1" t="s">
        <v>50</v>
      </c>
      <c r="C58" s="2" t="s">
        <v>68</v>
      </c>
      <c r="D58" s="2" t="s">
        <v>68</v>
      </c>
      <c r="E58" s="2" t="s">
        <v>68</v>
      </c>
      <c r="F58" s="2"/>
      <c r="G58" s="2"/>
      <c r="H58" s="2"/>
    </row>
    <row r="59" spans="2:8" ht="15" thickBot="1">
      <c r="B59" s="1" t="s">
        <v>31</v>
      </c>
      <c r="C59" s="2" t="s">
        <v>219</v>
      </c>
      <c r="D59" s="2" t="s">
        <v>219</v>
      </c>
      <c r="E59" s="2" t="s">
        <v>219</v>
      </c>
      <c r="F59" s="2"/>
      <c r="G59" s="2" t="s">
        <v>59</v>
      </c>
      <c r="H59" s="2">
        <v>4</v>
      </c>
    </row>
    <row r="63" spans="2:8" ht="15" thickBot="1"/>
    <row r="64" spans="2:8">
      <c r="B64" s="1254" t="s">
        <v>0</v>
      </c>
      <c r="C64" s="1256" t="s">
        <v>189</v>
      </c>
      <c r="D64" s="1257"/>
      <c r="E64" s="1257"/>
      <c r="F64" s="1257"/>
      <c r="G64" s="1257"/>
      <c r="H64" s="1258"/>
    </row>
    <row r="65" spans="2:8" ht="15" thickBot="1">
      <c r="B65" s="1255"/>
      <c r="C65" s="1131" t="s">
        <v>34</v>
      </c>
      <c r="D65" s="1132"/>
      <c r="E65" s="1132"/>
      <c r="F65" s="1132"/>
      <c r="G65" s="1132"/>
      <c r="H65" s="1133"/>
    </row>
    <row r="66" spans="2:8" ht="15" thickBot="1">
      <c r="B66" s="1"/>
      <c r="C66" s="2">
        <v>2015</v>
      </c>
      <c r="D66" s="2">
        <v>2020</v>
      </c>
      <c r="E66" s="2">
        <v>2030</v>
      </c>
      <c r="F66" s="2">
        <v>2050</v>
      </c>
      <c r="G66" s="2" t="s">
        <v>2</v>
      </c>
      <c r="H66" s="2" t="s">
        <v>3</v>
      </c>
    </row>
    <row r="67" spans="2:8" ht="15" thickBot="1">
      <c r="B67" s="3" t="s">
        <v>4</v>
      </c>
      <c r="C67" s="4"/>
      <c r="D67" s="4"/>
      <c r="E67" s="4"/>
      <c r="F67" s="4"/>
      <c r="G67" s="4"/>
      <c r="H67" s="5"/>
    </row>
    <row r="68" spans="2:8" ht="15" thickBot="1">
      <c r="B68" s="1" t="s">
        <v>5</v>
      </c>
      <c r="C68" s="2">
        <v>3.2</v>
      </c>
      <c r="D68" s="2">
        <v>3.2</v>
      </c>
      <c r="E68" s="2">
        <v>3</v>
      </c>
      <c r="F68" s="2"/>
      <c r="G68" s="2" t="s">
        <v>16</v>
      </c>
      <c r="H68" s="2">
        <v>2</v>
      </c>
    </row>
    <row r="69" spans="2:8" ht="15" thickBot="1">
      <c r="B69" s="1" t="s">
        <v>137</v>
      </c>
      <c r="C69" s="2">
        <v>1</v>
      </c>
      <c r="D69" s="2">
        <v>1</v>
      </c>
      <c r="E69" s="2">
        <v>1</v>
      </c>
      <c r="F69" s="2"/>
      <c r="G69" s="2"/>
      <c r="H69" s="2">
        <v>2</v>
      </c>
    </row>
    <row r="70" spans="2:8" ht="24.6" thickBot="1">
      <c r="B70" s="1" t="s">
        <v>7</v>
      </c>
      <c r="C70" s="2" t="s">
        <v>175</v>
      </c>
      <c r="D70" s="2" t="s">
        <v>220</v>
      </c>
      <c r="E70" s="2" t="s">
        <v>181</v>
      </c>
      <c r="F70" s="2"/>
      <c r="G70" s="2" t="s">
        <v>6</v>
      </c>
      <c r="H70" s="2"/>
    </row>
    <row r="71" spans="2:8" ht="24.6" thickBot="1">
      <c r="B71" s="1" t="s">
        <v>8</v>
      </c>
      <c r="C71" s="2" t="s">
        <v>221</v>
      </c>
      <c r="D71" s="2" t="s">
        <v>222</v>
      </c>
      <c r="E71" s="2" t="s">
        <v>139</v>
      </c>
      <c r="F71" s="2"/>
      <c r="G71" s="2" t="s">
        <v>6</v>
      </c>
      <c r="H71" s="2"/>
    </row>
    <row r="72" spans="2:8" ht="15" thickBot="1">
      <c r="B72" s="1" t="s">
        <v>142</v>
      </c>
      <c r="C72" s="2">
        <v>20</v>
      </c>
      <c r="D72" s="2">
        <v>22</v>
      </c>
      <c r="E72" s="2">
        <v>25</v>
      </c>
      <c r="F72" s="2"/>
      <c r="G72" s="2"/>
      <c r="H72" s="2"/>
    </row>
    <row r="73" spans="2:8" ht="15" thickBot="1">
      <c r="B73" s="1" t="s">
        <v>146</v>
      </c>
      <c r="C73" s="2">
        <v>65</v>
      </c>
      <c r="D73" s="2">
        <v>70</v>
      </c>
      <c r="E73" s="2" t="s">
        <v>193</v>
      </c>
      <c r="F73" s="2"/>
      <c r="G73" s="2"/>
      <c r="H73" s="2">
        <v>2</v>
      </c>
    </row>
    <row r="74" spans="2:8" ht="15" thickBot="1">
      <c r="B74" s="1" t="s">
        <v>223</v>
      </c>
      <c r="C74" s="2">
        <v>85</v>
      </c>
      <c r="D74" s="2">
        <v>92</v>
      </c>
      <c r="E74" s="2" t="s">
        <v>150</v>
      </c>
      <c r="F74" s="2"/>
      <c r="G74" s="2"/>
      <c r="H74" s="2">
        <v>2</v>
      </c>
    </row>
    <row r="75" spans="2:8" ht="15" thickBot="1">
      <c r="B75" s="1" t="s">
        <v>11</v>
      </c>
      <c r="C75" s="2">
        <v>10</v>
      </c>
      <c r="D75" s="2" t="s">
        <v>153</v>
      </c>
      <c r="E75" s="2" t="s">
        <v>153</v>
      </c>
      <c r="F75" s="2"/>
      <c r="G75" s="2"/>
      <c r="H75" s="2"/>
    </row>
    <row r="76" spans="2:8" ht="15" thickBot="1">
      <c r="B76" s="3" t="s">
        <v>12</v>
      </c>
      <c r="C76" s="4"/>
      <c r="D76" s="4"/>
      <c r="E76" s="4"/>
      <c r="F76" s="4"/>
      <c r="G76" s="4"/>
      <c r="H76" s="5"/>
    </row>
    <row r="77" spans="2:8" ht="15.6" thickBot="1">
      <c r="B77" s="1" t="s">
        <v>13</v>
      </c>
      <c r="C77" s="2">
        <v>0</v>
      </c>
      <c r="D77" s="2">
        <v>0</v>
      </c>
      <c r="E77" s="2">
        <v>0</v>
      </c>
      <c r="F77" s="2"/>
      <c r="G77" s="2"/>
      <c r="H77" s="2"/>
    </row>
    <row r="78" spans="2:8" ht="15.6" thickBot="1">
      <c r="B78" s="1" t="s">
        <v>15</v>
      </c>
      <c r="C78" s="2">
        <v>25</v>
      </c>
      <c r="D78" s="2">
        <v>15</v>
      </c>
      <c r="E78" s="2">
        <v>10</v>
      </c>
      <c r="F78" s="2"/>
      <c r="G78" s="2" t="s">
        <v>59</v>
      </c>
      <c r="H78" s="2">
        <v>1</v>
      </c>
    </row>
    <row r="79" spans="2:8" ht="15.6" thickBot="1">
      <c r="B79" s="1" t="s">
        <v>17</v>
      </c>
      <c r="C79" s="35">
        <v>5</v>
      </c>
      <c r="D79" s="35">
        <v>5</v>
      </c>
      <c r="E79" s="35">
        <v>5</v>
      </c>
      <c r="F79" s="2"/>
      <c r="G79" s="2"/>
      <c r="H79" s="2">
        <v>1</v>
      </c>
    </row>
    <row r="80" spans="2:8" ht="15.6" thickBot="1">
      <c r="B80" s="1" t="s">
        <v>18</v>
      </c>
      <c r="C80" s="35">
        <v>0</v>
      </c>
      <c r="D80" s="35">
        <v>0</v>
      </c>
      <c r="E80" s="35">
        <v>0</v>
      </c>
      <c r="F80" s="2"/>
      <c r="G80" s="2"/>
      <c r="H80" s="2"/>
    </row>
    <row r="81" spans="2:8" ht="15" thickBot="1">
      <c r="B81" s="1" t="s">
        <v>19</v>
      </c>
      <c r="C81" s="35">
        <v>0</v>
      </c>
      <c r="D81" s="35">
        <v>0</v>
      </c>
      <c r="E81" s="35">
        <v>0</v>
      </c>
      <c r="F81" s="2"/>
      <c r="G81" s="2"/>
      <c r="H81" s="2"/>
    </row>
    <row r="82" spans="2:8" ht="15" thickBot="1">
      <c r="B82" s="3" t="s">
        <v>22</v>
      </c>
      <c r="C82" s="4"/>
      <c r="D82" s="4"/>
      <c r="E82" s="4"/>
      <c r="F82" s="4"/>
      <c r="G82" s="4"/>
      <c r="H82" s="5"/>
    </row>
    <row r="83" spans="2:8">
      <c r="B83" s="6" t="s">
        <v>24</v>
      </c>
      <c r="C83" s="7">
        <v>15</v>
      </c>
      <c r="D83" s="7">
        <v>12</v>
      </c>
      <c r="E83" s="7">
        <v>10</v>
      </c>
      <c r="F83" s="7"/>
      <c r="G83" s="7"/>
      <c r="H83" s="7" t="s">
        <v>94</v>
      </c>
    </row>
    <row r="84" spans="2:8">
      <c r="B84" s="6" t="s">
        <v>26</v>
      </c>
      <c r="C84" s="7" t="s">
        <v>27</v>
      </c>
      <c r="D84" s="7">
        <v>70</v>
      </c>
      <c r="E84" s="7">
        <v>70</v>
      </c>
      <c r="F84" s="7"/>
      <c r="G84" s="7"/>
      <c r="H84" s="7"/>
    </row>
    <row r="85" spans="2:8" ht="15" thickBot="1">
      <c r="B85" s="1" t="s">
        <v>28</v>
      </c>
      <c r="C85" s="2" t="s">
        <v>29</v>
      </c>
      <c r="D85" s="2">
        <v>30</v>
      </c>
      <c r="E85" s="2">
        <v>30</v>
      </c>
      <c r="F85" s="2"/>
      <c r="G85" s="2"/>
      <c r="H85" s="2"/>
    </row>
    <row r="86" spans="2:8" ht="24.6" thickBot="1">
      <c r="B86" s="1" t="s">
        <v>30</v>
      </c>
      <c r="C86" s="2" t="s">
        <v>157</v>
      </c>
      <c r="D86" s="2" t="s">
        <v>157</v>
      </c>
      <c r="E86" s="2" t="s">
        <v>157</v>
      </c>
      <c r="F86" s="2"/>
      <c r="G86" s="2" t="s">
        <v>6</v>
      </c>
      <c r="H86" s="2"/>
    </row>
    <row r="87" spans="2:8" ht="15" thickBot="1">
      <c r="B87" s="1" t="s">
        <v>50</v>
      </c>
      <c r="C87" s="2" t="s">
        <v>68</v>
      </c>
      <c r="D87" s="2" t="s">
        <v>68</v>
      </c>
      <c r="E87" s="2" t="s">
        <v>68</v>
      </c>
      <c r="F87" s="2"/>
      <c r="G87" s="2"/>
      <c r="H87" s="2"/>
    </row>
    <row r="88" spans="2:8" ht="15" thickBot="1">
      <c r="B88" s="1" t="s">
        <v>31</v>
      </c>
      <c r="C88" s="2" t="s">
        <v>194</v>
      </c>
      <c r="D88" s="2" t="s">
        <v>194</v>
      </c>
      <c r="E88" s="2" t="s">
        <v>194</v>
      </c>
      <c r="F88" s="2"/>
      <c r="G88" s="2"/>
      <c r="H88" s="2">
        <v>3</v>
      </c>
    </row>
    <row r="92" spans="2:8" ht="15" thickBot="1"/>
    <row r="93" spans="2:8">
      <c r="B93" s="1254" t="s">
        <v>0</v>
      </c>
      <c r="C93" s="1256" t="s">
        <v>195</v>
      </c>
      <c r="D93" s="1257"/>
      <c r="E93" s="1257"/>
      <c r="F93" s="1257"/>
      <c r="G93" s="1257"/>
      <c r="H93" s="1258"/>
    </row>
    <row r="94" spans="2:8" ht="15" thickBot="1">
      <c r="B94" s="1255"/>
      <c r="C94" s="1131" t="s">
        <v>35</v>
      </c>
      <c r="D94" s="1132"/>
      <c r="E94" s="1132"/>
      <c r="F94" s="1132"/>
      <c r="G94" s="1132"/>
      <c r="H94" s="1133"/>
    </row>
    <row r="95" spans="2:8" ht="15" thickBot="1">
      <c r="B95" s="1"/>
      <c r="C95" s="2">
        <v>2015</v>
      </c>
      <c r="D95" s="2">
        <v>2020</v>
      </c>
      <c r="E95" s="2">
        <v>2030</v>
      </c>
      <c r="F95" s="2">
        <v>2050</v>
      </c>
      <c r="G95" s="2" t="s">
        <v>2</v>
      </c>
      <c r="H95" s="2" t="s">
        <v>3</v>
      </c>
    </row>
    <row r="96" spans="2:8" ht="15" thickBot="1">
      <c r="B96" s="3" t="s">
        <v>4</v>
      </c>
      <c r="C96" s="4"/>
      <c r="D96" s="4"/>
      <c r="E96" s="4"/>
      <c r="F96" s="4"/>
      <c r="G96" s="4"/>
      <c r="H96" s="5"/>
    </row>
    <row r="97" spans="2:8" ht="15" thickBot="1">
      <c r="B97" s="1" t="s">
        <v>5</v>
      </c>
      <c r="C97" s="2" t="s">
        <v>224</v>
      </c>
      <c r="D97" s="2" t="s">
        <v>224</v>
      </c>
      <c r="E97" s="2" t="s">
        <v>224</v>
      </c>
      <c r="F97" s="2"/>
      <c r="G97" s="2"/>
      <c r="H97" s="2">
        <v>1</v>
      </c>
    </row>
    <row r="98" spans="2:8" ht="15" thickBot="1">
      <c r="B98" s="1" t="s">
        <v>137</v>
      </c>
      <c r="C98" s="2" t="s">
        <v>225</v>
      </c>
      <c r="D98" s="2" t="s">
        <v>226</v>
      </c>
      <c r="E98" s="2" t="s">
        <v>227</v>
      </c>
      <c r="F98" s="2"/>
      <c r="G98" s="2"/>
      <c r="H98" s="2">
        <v>1</v>
      </c>
    </row>
    <row r="99" spans="2:8" ht="24.6" thickBot="1">
      <c r="B99" s="1" t="s">
        <v>7</v>
      </c>
      <c r="C99" s="2" t="s">
        <v>169</v>
      </c>
      <c r="D99" s="2" t="s">
        <v>169</v>
      </c>
      <c r="E99" s="2" t="s">
        <v>169</v>
      </c>
      <c r="F99" s="2"/>
      <c r="G99" s="2" t="s">
        <v>6</v>
      </c>
      <c r="H99" s="2"/>
    </row>
    <row r="100" spans="2:8" ht="24.6" thickBot="1">
      <c r="B100" s="1" t="s">
        <v>8</v>
      </c>
      <c r="C100" s="2" t="s">
        <v>159</v>
      </c>
      <c r="D100" s="2" t="s">
        <v>159</v>
      </c>
      <c r="E100" s="2" t="s">
        <v>159</v>
      </c>
      <c r="F100" s="2"/>
      <c r="G100" s="2" t="s">
        <v>6</v>
      </c>
      <c r="H100" s="2"/>
    </row>
    <row r="101" spans="2:8" ht="15" thickBot="1">
      <c r="B101" s="1" t="s">
        <v>142</v>
      </c>
      <c r="C101" s="2" t="s">
        <v>228</v>
      </c>
      <c r="D101" s="2" t="s">
        <v>229</v>
      </c>
      <c r="E101" s="2" t="s">
        <v>230</v>
      </c>
      <c r="F101" s="2"/>
      <c r="G101" s="2"/>
      <c r="H101" s="2">
        <v>-1</v>
      </c>
    </row>
    <row r="102" spans="2:8" ht="15" thickBot="1">
      <c r="B102" s="1" t="s">
        <v>146</v>
      </c>
      <c r="C102" s="2" t="s">
        <v>231</v>
      </c>
      <c r="D102" s="2" t="s">
        <v>232</v>
      </c>
      <c r="E102" s="2" t="s">
        <v>233</v>
      </c>
      <c r="F102" s="2"/>
      <c r="G102" s="2"/>
      <c r="H102" s="2">
        <v>-1</v>
      </c>
    </row>
    <row r="103" spans="2:8" ht="15" thickBot="1">
      <c r="B103" s="1" t="s">
        <v>9</v>
      </c>
      <c r="C103" s="2" t="s">
        <v>234</v>
      </c>
      <c r="D103" s="2" t="s">
        <v>235</v>
      </c>
      <c r="E103" s="2" t="s">
        <v>236</v>
      </c>
      <c r="F103" s="2"/>
      <c r="G103" s="2"/>
      <c r="H103" s="2">
        <v>-1</v>
      </c>
    </row>
    <row r="104" spans="2:8" ht="15" thickBot="1">
      <c r="B104" s="1" t="s">
        <v>11</v>
      </c>
      <c r="C104" s="27" t="s">
        <v>303</v>
      </c>
      <c r="D104" s="27" t="s">
        <v>303</v>
      </c>
      <c r="E104" s="27" t="s">
        <v>303</v>
      </c>
      <c r="F104" s="2"/>
      <c r="G104" s="2"/>
      <c r="H104" s="2"/>
    </row>
    <row r="105" spans="2:8" ht="15" thickBot="1">
      <c r="B105" s="3" t="s">
        <v>12</v>
      </c>
      <c r="C105" s="4"/>
      <c r="D105" s="4"/>
      <c r="E105" s="4"/>
      <c r="F105" s="4"/>
      <c r="G105" s="4"/>
      <c r="H105" s="5"/>
    </row>
    <row r="106" spans="2:8" ht="15.6" thickBot="1">
      <c r="B106" s="1" t="s">
        <v>13</v>
      </c>
      <c r="C106" s="2">
        <v>0</v>
      </c>
      <c r="D106" s="2">
        <v>0</v>
      </c>
      <c r="E106" s="2">
        <v>0</v>
      </c>
      <c r="F106" s="2"/>
      <c r="G106" s="2"/>
      <c r="H106" s="2"/>
    </row>
    <row r="107" spans="2:8" ht="15.6" thickBot="1">
      <c r="B107" s="1" t="s">
        <v>15</v>
      </c>
      <c r="C107" s="2" t="s">
        <v>210</v>
      </c>
      <c r="D107" s="27" t="s">
        <v>304</v>
      </c>
      <c r="E107" s="27" t="s">
        <v>305</v>
      </c>
      <c r="F107" s="2"/>
      <c r="G107" s="2"/>
      <c r="H107" s="2">
        <v>1</v>
      </c>
    </row>
    <row r="108" spans="2:8" ht="15.6" thickBot="1">
      <c r="B108" s="1" t="s">
        <v>17</v>
      </c>
      <c r="C108" s="2" t="s">
        <v>211</v>
      </c>
      <c r="D108" s="2" t="s">
        <v>212</v>
      </c>
      <c r="E108" s="2" t="s">
        <v>213</v>
      </c>
      <c r="F108" s="2"/>
      <c r="G108" s="2"/>
      <c r="H108" s="2">
        <v>2</v>
      </c>
    </row>
    <row r="109" spans="2:8" ht="15.6" thickBot="1">
      <c r="B109" s="1" t="s">
        <v>18</v>
      </c>
      <c r="C109" s="2" t="s">
        <v>214</v>
      </c>
      <c r="D109" s="2" t="s">
        <v>215</v>
      </c>
      <c r="E109" s="2" t="s">
        <v>215</v>
      </c>
      <c r="F109" s="2"/>
      <c r="G109" s="2"/>
      <c r="H109" s="2">
        <v>2</v>
      </c>
    </row>
    <row r="110" spans="2:8" ht="15" thickBot="1">
      <c r="B110" s="1" t="s">
        <v>19</v>
      </c>
      <c r="C110" s="35">
        <v>0</v>
      </c>
      <c r="D110" s="35">
        <v>0</v>
      </c>
      <c r="E110" s="35">
        <v>0</v>
      </c>
      <c r="F110" s="2"/>
      <c r="G110" s="2"/>
      <c r="H110" s="2">
        <v>2</v>
      </c>
    </row>
    <row r="111" spans="2:8" ht="15" thickBot="1">
      <c r="B111" s="3" t="s">
        <v>22</v>
      </c>
      <c r="C111" s="4"/>
      <c r="D111" s="4"/>
      <c r="E111" s="4"/>
      <c r="F111" s="4"/>
      <c r="G111" s="4"/>
      <c r="H111" s="5"/>
    </row>
    <row r="112" spans="2:8">
      <c r="B112" s="6" t="s">
        <v>24</v>
      </c>
      <c r="C112" s="7" t="s">
        <v>237</v>
      </c>
      <c r="D112" s="7" t="s">
        <v>237</v>
      </c>
      <c r="E112" s="7" t="s">
        <v>237</v>
      </c>
      <c r="F112" s="7"/>
      <c r="G112" s="7"/>
      <c r="H112" s="7">
        <v>1</v>
      </c>
    </row>
    <row r="113" spans="2:8">
      <c r="B113" s="6" t="s">
        <v>26</v>
      </c>
      <c r="C113" s="7" t="s">
        <v>27</v>
      </c>
      <c r="D113" s="7">
        <v>70</v>
      </c>
      <c r="E113" s="7">
        <v>70</v>
      </c>
      <c r="F113" s="7"/>
      <c r="G113" s="7"/>
      <c r="H113" s="7"/>
    </row>
    <row r="114" spans="2:8" ht="15" thickBot="1">
      <c r="B114" s="1" t="s">
        <v>28</v>
      </c>
      <c r="C114" s="2" t="s">
        <v>29</v>
      </c>
      <c r="D114" s="2">
        <v>30</v>
      </c>
      <c r="E114" s="2">
        <v>30</v>
      </c>
      <c r="F114" s="2"/>
      <c r="G114" s="2"/>
      <c r="H114" s="2"/>
    </row>
    <row r="115" spans="2:8" ht="24.6" thickBot="1">
      <c r="B115" s="1" t="s">
        <v>113</v>
      </c>
      <c r="C115" s="2">
        <v>0.2</v>
      </c>
      <c r="D115" s="2">
        <v>0.2</v>
      </c>
      <c r="E115" s="2">
        <v>0.2</v>
      </c>
      <c r="F115" s="2"/>
      <c r="G115" s="2" t="s">
        <v>6</v>
      </c>
      <c r="H115" s="2"/>
    </row>
    <row r="116" spans="2:8" ht="15" thickBot="1">
      <c r="B116" s="1" t="s">
        <v>50</v>
      </c>
      <c r="C116" s="2" t="s">
        <v>68</v>
      </c>
      <c r="D116" s="2" t="s">
        <v>68</v>
      </c>
      <c r="E116" s="2" t="s">
        <v>68</v>
      </c>
      <c r="F116" s="2"/>
      <c r="G116" s="2"/>
      <c r="H116" s="2"/>
    </row>
    <row r="117" spans="2:8" ht="15" thickBot="1">
      <c r="B117" s="1" t="s">
        <v>31</v>
      </c>
      <c r="C117" s="2" t="s">
        <v>219</v>
      </c>
      <c r="D117" s="2" t="s">
        <v>219</v>
      </c>
      <c r="E117" s="2" t="s">
        <v>219</v>
      </c>
      <c r="F117" s="2"/>
      <c r="G117" s="2" t="s">
        <v>59</v>
      </c>
      <c r="H117" s="2">
        <v>3</v>
      </c>
    </row>
  </sheetData>
  <mergeCells count="12">
    <mergeCell ref="B6:B7"/>
    <mergeCell ref="C6:H6"/>
    <mergeCell ref="C7:H7"/>
    <mergeCell ref="B35:B36"/>
    <mergeCell ref="C35:H35"/>
    <mergeCell ref="C36:H36"/>
    <mergeCell ref="B64:B65"/>
    <mergeCell ref="C64:H64"/>
    <mergeCell ref="C65:H65"/>
    <mergeCell ref="B93:B94"/>
    <mergeCell ref="C93:H93"/>
    <mergeCell ref="C94:H94"/>
  </mergeCell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2FD97-A13A-4F61-AE74-4DF246F3970E}">
  <sheetPr>
    <tabColor rgb="FF00B0F0"/>
  </sheetPr>
  <dimension ref="B3:P35"/>
  <sheetViews>
    <sheetView workbookViewId="0">
      <selection activeCell="M14" sqref="M14"/>
    </sheetView>
  </sheetViews>
  <sheetFormatPr defaultColWidth="9.109375" defaultRowHeight="13.2"/>
  <cols>
    <col min="1" max="16384" width="9.109375" style="903"/>
  </cols>
  <sheetData>
    <row r="3" spans="2:16" ht="43.2">
      <c r="B3" s="933" t="s">
        <v>1143</v>
      </c>
      <c r="C3" s="933" t="s">
        <v>1095</v>
      </c>
      <c r="D3" s="933" t="s">
        <v>337</v>
      </c>
      <c r="E3" s="933" t="s">
        <v>1134</v>
      </c>
      <c r="F3" s="933" t="s">
        <v>1135</v>
      </c>
      <c r="G3" s="932" t="s">
        <v>340</v>
      </c>
      <c r="H3" s="932" t="s">
        <v>341</v>
      </c>
      <c r="I3" s="932" t="s">
        <v>342</v>
      </c>
      <c r="J3" s="932" t="s">
        <v>343</v>
      </c>
      <c r="K3" s="932" t="s">
        <v>344</v>
      </c>
      <c r="L3" s="932" t="s">
        <v>1133</v>
      </c>
      <c r="M3" s="932" t="s">
        <v>339</v>
      </c>
      <c r="N3" s="904"/>
      <c r="O3" s="904"/>
      <c r="P3" s="904"/>
    </row>
    <row r="4" spans="2:16" ht="72">
      <c r="B4" s="931" t="s">
        <v>1142</v>
      </c>
      <c r="C4" s="931"/>
      <c r="D4" s="931"/>
      <c r="E4" s="931" t="s">
        <v>1131</v>
      </c>
      <c r="F4" s="931" t="s">
        <v>1132</v>
      </c>
      <c r="G4" s="931" t="s">
        <v>1130</v>
      </c>
      <c r="H4" s="931" t="s">
        <v>1129</v>
      </c>
      <c r="I4" s="931" t="s">
        <v>1128</v>
      </c>
      <c r="J4" s="931" t="s">
        <v>1127</v>
      </c>
      <c r="K4" s="931" t="s">
        <v>1126</v>
      </c>
      <c r="L4" s="931" t="s">
        <v>1125</v>
      </c>
      <c r="M4" s="931" t="s">
        <v>1124</v>
      </c>
      <c r="N4" s="904"/>
      <c r="O4" s="904"/>
      <c r="P4" s="904"/>
    </row>
    <row r="5" spans="2:16" ht="15" thickBot="1">
      <c r="B5" s="930"/>
      <c r="C5" s="930"/>
      <c r="D5" s="930"/>
      <c r="E5" s="930"/>
      <c r="F5" s="930" t="s">
        <v>330</v>
      </c>
      <c r="G5" s="930" t="s">
        <v>1121</v>
      </c>
      <c r="H5" s="930" t="s">
        <v>1121</v>
      </c>
      <c r="I5" s="930" t="s">
        <v>1120</v>
      </c>
      <c r="J5" s="930" t="s">
        <v>351</v>
      </c>
      <c r="K5" s="930" t="s">
        <v>351</v>
      </c>
      <c r="L5" s="930"/>
      <c r="M5" s="930" t="s">
        <v>1119</v>
      </c>
      <c r="N5" s="904"/>
      <c r="O5" s="904" t="s">
        <v>1141</v>
      </c>
      <c r="P5" s="904">
        <v>7.45</v>
      </c>
    </row>
    <row r="6" spans="2:16" ht="14.4">
      <c r="B6" s="927"/>
      <c r="C6" s="927">
        <v>2015</v>
      </c>
      <c r="D6" s="927">
        <v>1</v>
      </c>
      <c r="E6" s="926"/>
      <c r="F6" s="912">
        <v>250</v>
      </c>
      <c r="G6" s="926">
        <v>0.52150000000000007</v>
      </c>
      <c r="H6" s="904">
        <v>3.7249999999999998E-2</v>
      </c>
      <c r="I6" s="904">
        <v>0</v>
      </c>
      <c r="J6" s="928">
        <v>3.1536000000000002E-2</v>
      </c>
      <c r="K6" s="929">
        <v>1</v>
      </c>
      <c r="L6" s="928">
        <v>1</v>
      </c>
      <c r="M6" s="904">
        <v>20</v>
      </c>
      <c r="N6" s="904"/>
      <c r="O6" s="904"/>
      <c r="P6" s="904"/>
    </row>
    <row r="7" spans="2:16" ht="14.4">
      <c r="B7" s="927"/>
      <c r="C7" s="927">
        <v>2020</v>
      </c>
      <c r="D7" s="927">
        <v>1</v>
      </c>
      <c r="E7" s="926"/>
      <c r="F7" s="912">
        <v>250</v>
      </c>
      <c r="G7" s="926">
        <v>0.52150000000000007</v>
      </c>
      <c r="H7" s="904">
        <v>3.7249999999999998E-2</v>
      </c>
      <c r="I7" s="904">
        <v>0</v>
      </c>
      <c r="J7" s="904"/>
      <c r="K7" s="904"/>
      <c r="L7" s="904"/>
      <c r="M7" s="904">
        <v>20</v>
      </c>
      <c r="N7" s="904"/>
      <c r="O7" s="904"/>
      <c r="P7" s="904"/>
    </row>
    <row r="8" spans="2:16" ht="14.4">
      <c r="B8" s="927"/>
      <c r="C8" s="927">
        <v>2030</v>
      </c>
      <c r="D8" s="927">
        <v>1</v>
      </c>
      <c r="E8" s="926"/>
      <c r="F8" s="912">
        <v>250</v>
      </c>
      <c r="G8" s="926">
        <v>0.52150000000000007</v>
      </c>
      <c r="H8" s="904">
        <v>3.7249999999999998E-2</v>
      </c>
      <c r="I8" s="904">
        <v>0</v>
      </c>
      <c r="J8" s="904"/>
      <c r="K8" s="904"/>
      <c r="L8" s="904"/>
      <c r="M8" s="904">
        <v>20</v>
      </c>
      <c r="N8" s="904"/>
      <c r="O8" s="904"/>
      <c r="P8" s="904"/>
    </row>
    <row r="9" spans="2:16" ht="14.4">
      <c r="B9" s="927"/>
      <c r="C9" s="927">
        <v>2050</v>
      </c>
      <c r="D9" s="927">
        <v>1</v>
      </c>
      <c r="E9" s="926"/>
      <c r="F9" s="912">
        <v>250</v>
      </c>
      <c r="G9" s="926">
        <v>0.52150000000000007</v>
      </c>
      <c r="H9" s="904">
        <v>3.7249999999999998E-2</v>
      </c>
      <c r="I9" s="904">
        <v>0</v>
      </c>
      <c r="J9" s="904"/>
      <c r="K9" s="904"/>
      <c r="L9" s="904"/>
      <c r="M9" s="904">
        <v>20</v>
      </c>
      <c r="N9" s="904"/>
      <c r="O9" s="904"/>
      <c r="P9" s="904"/>
    </row>
    <row r="11" spans="2:16" ht="14.4">
      <c r="B11" s="904" t="s">
        <v>1140</v>
      </c>
      <c r="C11" s="904"/>
      <c r="D11" s="904"/>
      <c r="E11" s="904"/>
      <c r="F11" s="904"/>
      <c r="G11" s="904"/>
      <c r="H11" s="904"/>
      <c r="I11" s="904"/>
      <c r="J11" s="904"/>
      <c r="K11" s="904"/>
      <c r="L11" s="904"/>
      <c r="M11" s="904"/>
      <c r="N11" s="904"/>
      <c r="O11" s="904"/>
      <c r="P11" s="904"/>
    </row>
    <row r="12" spans="2:16" ht="15" thickBot="1">
      <c r="B12" s="904"/>
      <c r="C12" s="904"/>
      <c r="D12" s="904"/>
      <c r="E12" s="904"/>
      <c r="F12" s="904"/>
      <c r="G12" s="904"/>
      <c r="H12" s="904"/>
      <c r="I12" s="904"/>
      <c r="J12" s="904"/>
      <c r="K12" s="904"/>
      <c r="L12" s="904"/>
      <c r="M12" s="904"/>
      <c r="N12" s="904"/>
      <c r="O12" s="904"/>
      <c r="P12" s="904"/>
    </row>
    <row r="13" spans="2:16" ht="14.4">
      <c r="B13" s="1317" t="s">
        <v>0</v>
      </c>
      <c r="C13" s="1319" t="s">
        <v>58</v>
      </c>
      <c r="D13" s="1320"/>
      <c r="E13" s="1320"/>
      <c r="F13" s="1320"/>
      <c r="G13" s="1320"/>
      <c r="H13" s="1321"/>
      <c r="I13" s="904"/>
      <c r="J13" s="904"/>
      <c r="K13" s="904"/>
      <c r="L13" s="904"/>
      <c r="M13" s="904"/>
      <c r="N13" s="904"/>
      <c r="O13" s="904"/>
      <c r="P13" s="904"/>
    </row>
    <row r="14" spans="2:16" ht="15" thickBot="1">
      <c r="B14" s="1318"/>
      <c r="C14" s="1322" t="s">
        <v>53</v>
      </c>
      <c r="D14" s="1323"/>
      <c r="E14" s="1323"/>
      <c r="F14" s="1323"/>
      <c r="G14" s="1323"/>
      <c r="H14" s="1324"/>
      <c r="I14" s="904"/>
      <c r="J14" s="904"/>
      <c r="K14" s="904"/>
      <c r="L14" s="904"/>
      <c r="M14" s="904"/>
      <c r="N14" s="904"/>
      <c r="O14" s="904"/>
      <c r="P14" s="904"/>
    </row>
    <row r="15" spans="2:16" ht="15" thickBot="1">
      <c r="B15" s="919"/>
      <c r="C15" s="918">
        <v>2015</v>
      </c>
      <c r="D15" s="918">
        <v>2020</v>
      </c>
      <c r="E15" s="918">
        <v>2030</v>
      </c>
      <c r="F15" s="918">
        <v>2050</v>
      </c>
      <c r="G15" s="918" t="s">
        <v>2</v>
      </c>
      <c r="H15" s="918" t="s">
        <v>3</v>
      </c>
      <c r="I15" s="904"/>
      <c r="J15" s="904"/>
      <c r="K15" s="904"/>
      <c r="L15" s="904"/>
      <c r="M15" s="904"/>
      <c r="N15" s="904"/>
      <c r="O15" s="904"/>
      <c r="P15" s="904"/>
    </row>
    <row r="16" spans="2:16" ht="37.200000000000003" thickBot="1">
      <c r="B16" s="925" t="s">
        <v>4</v>
      </c>
      <c r="C16" s="924"/>
      <c r="D16" s="924"/>
      <c r="E16" s="924"/>
      <c r="F16" s="924"/>
      <c r="G16" s="924"/>
      <c r="H16" s="923"/>
      <c r="I16" s="904"/>
      <c r="J16" s="904"/>
      <c r="K16" s="904"/>
      <c r="L16" s="904"/>
      <c r="M16" s="904"/>
      <c r="N16" s="904"/>
      <c r="O16" s="904"/>
      <c r="P16" s="904"/>
    </row>
    <row r="17" spans="2:8" ht="58.2" thickBot="1">
      <c r="B17" s="919" t="s">
        <v>5</v>
      </c>
      <c r="C17" s="918">
        <v>250</v>
      </c>
      <c r="D17" s="918">
        <v>250</v>
      </c>
      <c r="E17" s="918">
        <v>250</v>
      </c>
      <c r="F17" s="918">
        <v>250</v>
      </c>
      <c r="G17" s="918" t="s">
        <v>6</v>
      </c>
      <c r="H17" s="918"/>
    </row>
    <row r="18" spans="2:8" ht="81" thickBot="1">
      <c r="B18" s="919" t="s">
        <v>7</v>
      </c>
      <c r="C18" s="918">
        <v>100</v>
      </c>
      <c r="D18" s="918">
        <v>100</v>
      </c>
      <c r="E18" s="918">
        <v>100</v>
      </c>
      <c r="F18" s="918">
        <v>100</v>
      </c>
      <c r="G18" s="918"/>
      <c r="H18" s="918"/>
    </row>
    <row r="19" spans="2:8" ht="81" thickBot="1">
      <c r="B19" s="919" t="s">
        <v>8</v>
      </c>
      <c r="C19" s="918">
        <v>100</v>
      </c>
      <c r="D19" s="918">
        <v>100</v>
      </c>
      <c r="E19" s="918">
        <v>100</v>
      </c>
      <c r="F19" s="918">
        <v>100</v>
      </c>
      <c r="G19" s="918"/>
      <c r="H19" s="918"/>
    </row>
    <row r="20" spans="2:8" ht="58.2" thickBot="1">
      <c r="B20" s="919" t="s">
        <v>9</v>
      </c>
      <c r="C20" s="918">
        <v>100</v>
      </c>
      <c r="D20" s="918">
        <v>100</v>
      </c>
      <c r="E20" s="918">
        <v>100</v>
      </c>
      <c r="F20" s="918">
        <v>100</v>
      </c>
      <c r="G20" s="918" t="s">
        <v>59</v>
      </c>
      <c r="H20" s="918"/>
    </row>
    <row r="21" spans="2:8" ht="35.4" thickBot="1">
      <c r="B21" s="919" t="s">
        <v>11</v>
      </c>
      <c r="C21" s="918">
        <v>20</v>
      </c>
      <c r="D21" s="918">
        <v>20</v>
      </c>
      <c r="E21" s="918">
        <v>20</v>
      </c>
      <c r="F21" s="918">
        <v>20</v>
      </c>
      <c r="G21" s="918"/>
      <c r="H21" s="918"/>
    </row>
    <row r="22" spans="2:8" ht="24.6" thickBot="1">
      <c r="B22" s="925" t="s">
        <v>12</v>
      </c>
      <c r="C22" s="924"/>
      <c r="D22" s="924"/>
      <c r="E22" s="924"/>
      <c r="F22" s="924"/>
      <c r="G22" s="924"/>
      <c r="H22" s="923"/>
    </row>
    <row r="23" spans="2:8" ht="27.6" thickBot="1">
      <c r="B23" s="919" t="s">
        <v>1139</v>
      </c>
      <c r="C23" s="918" t="s">
        <v>36</v>
      </c>
      <c r="D23" s="918" t="s">
        <v>36</v>
      </c>
      <c r="E23" s="918" t="s">
        <v>36</v>
      </c>
      <c r="F23" s="918" t="s">
        <v>36</v>
      </c>
      <c r="G23" s="918"/>
      <c r="H23" s="918"/>
    </row>
    <row r="24" spans="2:8" ht="27.6" thickBot="1">
      <c r="B24" s="919" t="s">
        <v>1138</v>
      </c>
      <c r="C24" s="918" t="s">
        <v>36</v>
      </c>
      <c r="D24" s="918" t="s">
        <v>36</v>
      </c>
      <c r="E24" s="918" t="s">
        <v>36</v>
      </c>
      <c r="F24" s="918" t="s">
        <v>36</v>
      </c>
      <c r="G24" s="918"/>
      <c r="H24" s="918"/>
    </row>
    <row r="25" spans="2:8" ht="27.6" thickBot="1">
      <c r="B25" s="919" t="s">
        <v>1137</v>
      </c>
      <c r="C25" s="918" t="s">
        <v>36</v>
      </c>
      <c r="D25" s="918" t="s">
        <v>36</v>
      </c>
      <c r="E25" s="918" t="s">
        <v>36</v>
      </c>
      <c r="F25" s="918" t="s">
        <v>36</v>
      </c>
      <c r="G25" s="918"/>
      <c r="H25" s="918"/>
    </row>
    <row r="26" spans="2:8" ht="27.6" thickBot="1">
      <c r="B26" s="919" t="s">
        <v>1136</v>
      </c>
      <c r="C26" s="918" t="s">
        <v>36</v>
      </c>
      <c r="D26" s="918" t="s">
        <v>36</v>
      </c>
      <c r="E26" s="918" t="s">
        <v>36</v>
      </c>
      <c r="F26" s="918" t="s">
        <v>36</v>
      </c>
      <c r="G26" s="918"/>
      <c r="H26" s="918"/>
    </row>
    <row r="27" spans="2:8" ht="24" thickBot="1">
      <c r="B27" s="919" t="s">
        <v>19</v>
      </c>
      <c r="C27" s="918" t="s">
        <v>36</v>
      </c>
      <c r="D27" s="918" t="s">
        <v>36</v>
      </c>
      <c r="E27" s="918" t="s">
        <v>36</v>
      </c>
      <c r="F27" s="918" t="s">
        <v>36</v>
      </c>
      <c r="G27" s="918"/>
      <c r="H27" s="918"/>
    </row>
    <row r="28" spans="2:8" ht="24.6" thickBot="1">
      <c r="B28" s="925" t="s">
        <v>22</v>
      </c>
      <c r="C28" s="924"/>
      <c r="D28" s="924"/>
      <c r="E28" s="924"/>
      <c r="F28" s="924"/>
      <c r="G28" s="924"/>
      <c r="H28" s="923"/>
    </row>
    <row r="29" spans="2:8" ht="46.8" thickBot="1">
      <c r="B29" s="919" t="s">
        <v>23</v>
      </c>
      <c r="C29" s="918">
        <v>7.0000000000000007E-2</v>
      </c>
      <c r="D29" s="918">
        <v>7.0000000000000007E-2</v>
      </c>
      <c r="E29" s="918">
        <v>7.0000000000000007E-2</v>
      </c>
      <c r="F29" s="918">
        <v>7.0000000000000007E-2</v>
      </c>
      <c r="G29" s="918" t="s">
        <v>33</v>
      </c>
      <c r="H29" s="918" t="s">
        <v>65</v>
      </c>
    </row>
    <row r="30" spans="2:8" ht="46.2">
      <c r="B30" s="922" t="s">
        <v>24</v>
      </c>
      <c r="C30" s="921"/>
      <c r="D30" s="921"/>
      <c r="E30" s="921"/>
      <c r="F30" s="921"/>
      <c r="G30" s="921"/>
      <c r="H30" s="921"/>
    </row>
    <row r="31" spans="2:8" ht="34.799999999999997">
      <c r="B31" s="922" t="s">
        <v>26</v>
      </c>
      <c r="C31" s="921" t="s">
        <v>27</v>
      </c>
      <c r="D31" s="921">
        <v>70</v>
      </c>
      <c r="E31" s="921">
        <v>70</v>
      </c>
      <c r="F31" s="921">
        <v>70</v>
      </c>
      <c r="G31" s="921"/>
      <c r="H31" s="921"/>
    </row>
    <row r="32" spans="2:8" ht="35.4" thickBot="1">
      <c r="B32" s="919" t="s">
        <v>28</v>
      </c>
      <c r="C32" s="918" t="s">
        <v>29</v>
      </c>
      <c r="D32" s="918">
        <v>30</v>
      </c>
      <c r="E32" s="918">
        <v>30</v>
      </c>
      <c r="F32" s="918">
        <v>30</v>
      </c>
      <c r="G32" s="918"/>
      <c r="H32" s="918"/>
    </row>
    <row r="33" spans="2:8" ht="69.599999999999994" thickBot="1">
      <c r="B33" s="919" t="s">
        <v>30</v>
      </c>
      <c r="C33" s="918">
        <v>4</v>
      </c>
      <c r="D33" s="918">
        <v>4</v>
      </c>
      <c r="E33" s="918">
        <v>4</v>
      </c>
      <c r="F33" s="918">
        <v>4</v>
      </c>
      <c r="G33" s="918" t="s">
        <v>20</v>
      </c>
      <c r="H33" s="918"/>
    </row>
    <row r="34" spans="2:8" ht="35.4" thickBot="1">
      <c r="B34" s="919" t="s">
        <v>64</v>
      </c>
      <c r="C34" s="920">
        <v>1250</v>
      </c>
      <c r="D34" s="920">
        <v>1250</v>
      </c>
      <c r="E34" s="920">
        <v>1250</v>
      </c>
      <c r="F34" s="920">
        <v>1250</v>
      </c>
      <c r="G34" s="918"/>
      <c r="H34" s="918">
        <v>7</v>
      </c>
    </row>
    <row r="35" spans="2:8" ht="35.4" thickBot="1">
      <c r="B35" s="919" t="s">
        <v>31</v>
      </c>
      <c r="C35" s="918"/>
      <c r="D35" s="918"/>
      <c r="E35" s="918"/>
      <c r="F35" s="918"/>
      <c r="G35" s="918"/>
      <c r="H35" s="918"/>
    </row>
  </sheetData>
  <mergeCells count="3">
    <mergeCell ref="B13:B14"/>
    <mergeCell ref="C13:H13"/>
    <mergeCell ref="C14:H14"/>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C7992-9B97-437C-B269-D5105B20CF6E}">
  <sheetPr>
    <tabColor rgb="FF00B0F0"/>
  </sheetPr>
  <dimension ref="A3:Z54"/>
  <sheetViews>
    <sheetView zoomScale="80" zoomScaleNormal="80" workbookViewId="0">
      <selection activeCell="M14" sqref="M14"/>
    </sheetView>
  </sheetViews>
  <sheetFormatPr defaultColWidth="9.109375" defaultRowHeight="13.2"/>
  <cols>
    <col min="1" max="1" width="9.109375" style="903"/>
    <col min="2" max="2" width="23.44140625" style="903" customWidth="1"/>
    <col min="3" max="3" width="9.109375" style="903"/>
    <col min="4" max="4" width="12.88671875" style="903" customWidth="1"/>
    <col min="5" max="5" width="14.33203125" style="903" customWidth="1"/>
    <col min="6" max="6" width="12.109375" style="903" customWidth="1"/>
    <col min="7" max="7" width="13.33203125" style="903" customWidth="1"/>
    <col min="8" max="9" width="13.6640625" style="903" customWidth="1"/>
    <col min="10" max="10" width="14" style="903" customWidth="1"/>
    <col min="11" max="11" width="14.44140625" style="903" customWidth="1"/>
    <col min="12" max="24" width="9.109375" style="903"/>
    <col min="25" max="25" width="16.6640625" style="903" customWidth="1"/>
    <col min="26" max="16384" width="9.109375" style="903"/>
  </cols>
  <sheetData>
    <row r="3" spans="1:26" ht="28.8">
      <c r="A3" s="904"/>
      <c r="B3" s="933" t="s">
        <v>1143</v>
      </c>
      <c r="C3" s="933" t="s">
        <v>1095</v>
      </c>
      <c r="D3" s="933" t="s">
        <v>1134</v>
      </c>
      <c r="E3" s="933" t="s">
        <v>1135</v>
      </c>
      <c r="F3" s="932" t="s">
        <v>340</v>
      </c>
      <c r="G3" s="932" t="s">
        <v>341</v>
      </c>
      <c r="H3" s="932" t="s">
        <v>342</v>
      </c>
      <c r="I3" s="932" t="s">
        <v>343</v>
      </c>
      <c r="J3" s="932" t="s">
        <v>344</v>
      </c>
      <c r="K3" s="932" t="s">
        <v>1133</v>
      </c>
      <c r="L3" s="932" t="s">
        <v>339</v>
      </c>
      <c r="M3" s="932" t="s">
        <v>1123</v>
      </c>
      <c r="N3" s="904"/>
      <c r="O3" s="904"/>
      <c r="P3" s="904"/>
      <c r="Q3" s="904"/>
    </row>
    <row r="4" spans="1:26" ht="43.2">
      <c r="A4" s="904"/>
      <c r="B4" s="931" t="s">
        <v>1167</v>
      </c>
      <c r="C4" s="931"/>
      <c r="D4" s="977" t="s">
        <v>1131</v>
      </c>
      <c r="E4" s="977" t="s">
        <v>1132</v>
      </c>
      <c r="F4" s="977" t="s">
        <v>1130</v>
      </c>
      <c r="G4" s="977" t="s">
        <v>1129</v>
      </c>
      <c r="H4" s="977" t="s">
        <v>1128</v>
      </c>
      <c r="I4" s="977" t="s">
        <v>1127</v>
      </c>
      <c r="J4" s="977" t="s">
        <v>1126</v>
      </c>
      <c r="K4" s="977" t="s">
        <v>1125</v>
      </c>
      <c r="L4" s="977" t="s">
        <v>1124</v>
      </c>
      <c r="M4" s="977" t="s">
        <v>1122</v>
      </c>
      <c r="N4" s="904"/>
      <c r="O4" s="904"/>
      <c r="P4" s="1325" t="s">
        <v>1166</v>
      </c>
      <c r="Q4" s="1326"/>
    </row>
    <row r="5" spans="1:26" ht="15" thickBot="1">
      <c r="A5" s="904"/>
      <c r="B5" s="930"/>
      <c r="C5" s="930"/>
      <c r="D5" s="976"/>
      <c r="E5" s="976" t="s">
        <v>449</v>
      </c>
      <c r="F5" s="976" t="s">
        <v>1121</v>
      </c>
      <c r="G5" s="976" t="s">
        <v>1121</v>
      </c>
      <c r="H5" s="976" t="s">
        <v>1120</v>
      </c>
      <c r="I5" s="976" t="s">
        <v>351</v>
      </c>
      <c r="J5" s="976" t="s">
        <v>351</v>
      </c>
      <c r="K5" s="976"/>
      <c r="L5" s="976" t="s">
        <v>1119</v>
      </c>
      <c r="M5" s="976" t="s">
        <v>1119</v>
      </c>
      <c r="N5" s="904"/>
      <c r="O5" s="904"/>
      <c r="P5" s="975" t="s">
        <v>1141</v>
      </c>
      <c r="Q5" s="974">
        <v>7.45</v>
      </c>
    </row>
    <row r="6" spans="1:26" ht="14.4">
      <c r="A6" s="904"/>
      <c r="B6" s="973">
        <f>$Z$15</f>
        <v>22.465873891698152</v>
      </c>
      <c r="C6" s="970">
        <v>2015</v>
      </c>
      <c r="D6" s="968">
        <f>1/(C26/100)</f>
        <v>0.22727272727272727</v>
      </c>
      <c r="E6" s="969">
        <f>C22</f>
        <v>4</v>
      </c>
      <c r="F6" s="968">
        <f>C46*$Q$5</f>
        <v>5.2149999999999999</v>
      </c>
      <c r="G6" s="910">
        <f>C49/1000000*$Q$5</f>
        <v>1.49E-2</v>
      </c>
      <c r="H6" s="967">
        <f>C52*$Q$5/3.6</f>
        <v>4.1388888888888893</v>
      </c>
      <c r="I6" s="972">
        <f>8760*3.6/10^6</f>
        <v>3.1536000000000002E-2</v>
      </c>
      <c r="J6" s="971">
        <f>1-C30/52</f>
        <v>0.99038461538461542</v>
      </c>
      <c r="K6" s="971">
        <v>1</v>
      </c>
      <c r="L6" s="910">
        <v>25</v>
      </c>
      <c r="M6" s="910">
        <f>C32</f>
        <v>0.5</v>
      </c>
      <c r="N6" s="904"/>
      <c r="O6" s="904"/>
      <c r="P6" s="904"/>
      <c r="Q6" s="904"/>
    </row>
    <row r="7" spans="1:26" ht="14.4">
      <c r="A7" s="904"/>
      <c r="B7" s="904"/>
      <c r="C7" s="970">
        <v>2020</v>
      </c>
      <c r="D7" s="968">
        <f>1/(D26/100)</f>
        <v>0.2</v>
      </c>
      <c r="E7" s="969">
        <f>D22</f>
        <v>4</v>
      </c>
      <c r="F7" s="968">
        <f>D46*$Q$5</f>
        <v>4.9020999999999999</v>
      </c>
      <c r="G7" s="910">
        <f>D49/1000000*$Q$5</f>
        <v>1.49E-2</v>
      </c>
      <c r="H7" s="967">
        <f>D52*$Q$5/3.6</f>
        <v>3.7250000000000001</v>
      </c>
      <c r="I7" s="910"/>
      <c r="J7" s="910"/>
      <c r="K7" s="910"/>
      <c r="L7" s="910"/>
      <c r="M7" s="910"/>
      <c r="N7" s="904"/>
      <c r="O7" s="904"/>
      <c r="P7" s="904"/>
      <c r="Q7" s="904"/>
    </row>
    <row r="8" spans="1:26" ht="14.4">
      <c r="A8" s="904"/>
      <c r="B8" s="904"/>
      <c r="C8" s="970">
        <v>2030</v>
      </c>
      <c r="D8" s="968">
        <f>1/(E26/100)</f>
        <v>0.16666666666666666</v>
      </c>
      <c r="E8" s="969">
        <f>E22</f>
        <v>4</v>
      </c>
      <c r="F8" s="968">
        <f>E46*$Q$5</f>
        <v>4.4118899999999996</v>
      </c>
      <c r="G8" s="910">
        <f>E49/1000000*$Q$5</f>
        <v>1.49E-2</v>
      </c>
      <c r="H8" s="967">
        <f>E52*$Q$5/3.6</f>
        <v>3.5180555555555553</v>
      </c>
      <c r="I8" s="910"/>
      <c r="J8" s="910"/>
      <c r="K8" s="910"/>
      <c r="L8" s="910"/>
      <c r="M8" s="910"/>
      <c r="N8" s="904"/>
      <c r="O8" s="904"/>
      <c r="P8" s="904"/>
      <c r="Q8" s="904"/>
    </row>
    <row r="9" spans="1:26" ht="14.4">
      <c r="A9" s="904"/>
      <c r="B9" s="904"/>
      <c r="C9" s="970">
        <v>2050</v>
      </c>
      <c r="D9" s="968">
        <f>1/(F26/100)</f>
        <v>0.13513513513513511</v>
      </c>
      <c r="E9" s="969">
        <f>F22</f>
        <v>4</v>
      </c>
      <c r="F9" s="968">
        <f>F46*$Q$5</f>
        <v>3.970701</v>
      </c>
      <c r="G9" s="910">
        <f>F49/1000000*$Q$5</f>
        <v>1.49E-2</v>
      </c>
      <c r="H9" s="967">
        <f>F52*$Q$5/3.6</f>
        <v>3.3111111111111113</v>
      </c>
      <c r="I9" s="910"/>
      <c r="J9" s="910"/>
      <c r="K9" s="910"/>
      <c r="L9" s="910"/>
      <c r="M9" s="910"/>
      <c r="N9" s="904"/>
      <c r="O9" s="904"/>
      <c r="P9" s="904"/>
      <c r="Q9" s="904"/>
    </row>
    <row r="10" spans="1:26" ht="14.4">
      <c r="A10" s="966"/>
      <c r="B10" s="963"/>
      <c r="C10" s="963"/>
      <c r="D10" s="961"/>
      <c r="E10" s="962"/>
      <c r="F10" s="961"/>
      <c r="G10" s="960"/>
      <c r="H10" s="960"/>
      <c r="I10" s="964"/>
      <c r="J10" s="965"/>
      <c r="K10" s="964"/>
      <c r="L10" s="960"/>
      <c r="M10" s="904"/>
      <c r="N10" s="904"/>
      <c r="O10" s="904"/>
      <c r="P10" s="904"/>
      <c r="Q10" s="904"/>
    </row>
    <row r="11" spans="1:26" ht="14.4">
      <c r="A11" s="904"/>
      <c r="B11" s="963"/>
      <c r="C11" s="963"/>
      <c r="D11" s="961"/>
      <c r="E11" s="962"/>
      <c r="F11" s="961"/>
      <c r="G11" s="960"/>
      <c r="H11" s="960"/>
      <c r="I11" s="960"/>
      <c r="J11" s="960"/>
      <c r="K11" s="960"/>
      <c r="L11" s="960"/>
      <c r="M11" s="904"/>
      <c r="N11" s="904"/>
      <c r="O11" s="904"/>
      <c r="P11" s="904"/>
      <c r="Q11" s="904"/>
    </row>
    <row r="12" spans="1:26" ht="14.4">
      <c r="A12" s="904"/>
      <c r="B12" s="963"/>
      <c r="C12" s="963"/>
      <c r="D12" s="961"/>
      <c r="E12" s="962"/>
      <c r="F12" s="961"/>
      <c r="G12" s="960"/>
      <c r="H12" s="960"/>
      <c r="I12" s="960"/>
      <c r="J12" s="960"/>
      <c r="K12" s="960"/>
      <c r="L12" s="960"/>
      <c r="M12" s="904"/>
      <c r="N12" s="904"/>
      <c r="O12" s="904"/>
      <c r="P12" s="904"/>
      <c r="Q12" s="904"/>
      <c r="Y12" s="903" t="s">
        <v>1165</v>
      </c>
      <c r="Z12" s="903">
        <f>28+273</f>
        <v>301</v>
      </c>
    </row>
    <row r="13" spans="1:26" ht="14.4">
      <c r="A13" s="904"/>
      <c r="B13" s="963"/>
      <c r="C13" s="963"/>
      <c r="D13" s="961"/>
      <c r="E13" s="962"/>
      <c r="F13" s="961"/>
      <c r="G13" s="960"/>
      <c r="H13" s="960"/>
      <c r="I13" s="960"/>
      <c r="J13" s="960"/>
      <c r="K13" s="960"/>
      <c r="L13" s="960"/>
      <c r="M13" s="904"/>
      <c r="N13" s="904"/>
      <c r="O13" s="904"/>
      <c r="P13" s="904"/>
      <c r="Q13" s="904"/>
      <c r="Y13" s="903" t="s">
        <v>1164</v>
      </c>
      <c r="Z13" s="903">
        <f>17+273</f>
        <v>290</v>
      </c>
    </row>
    <row r="14" spans="1:26" ht="14.4">
      <c r="A14" s="904"/>
      <c r="B14" s="904"/>
      <c r="C14" s="904"/>
      <c r="D14" s="904"/>
      <c r="E14" s="912"/>
      <c r="F14" s="904"/>
      <c r="G14" s="904"/>
      <c r="H14" s="904"/>
      <c r="I14" s="904"/>
      <c r="J14" s="904"/>
      <c r="K14" s="904"/>
      <c r="L14" s="904"/>
      <c r="M14" s="904"/>
      <c r="N14" s="904"/>
      <c r="O14" s="904"/>
      <c r="P14" s="904"/>
      <c r="Q14" s="904"/>
    </row>
    <row r="15" spans="1:26" ht="14.4">
      <c r="A15" s="904"/>
      <c r="B15" s="904"/>
      <c r="C15" s="904"/>
      <c r="D15" s="904"/>
      <c r="E15" s="912"/>
      <c r="F15" s="904"/>
      <c r="G15" s="904"/>
      <c r="H15" s="904"/>
      <c r="I15" s="904"/>
      <c r="J15" s="926"/>
      <c r="K15" s="904"/>
      <c r="L15" s="904"/>
      <c r="M15" s="904"/>
      <c r="N15" s="904"/>
      <c r="O15" s="904"/>
      <c r="P15" s="904"/>
      <c r="Q15" s="904"/>
      <c r="Y15" s="903" t="s">
        <v>1163</v>
      </c>
      <c r="Z15" s="959">
        <f>(Z12-Z13)/(LN(Z12/Z13))-273</f>
        <v>22.465873891698152</v>
      </c>
    </row>
    <row r="16" spans="1:26" ht="14.4">
      <c r="A16" s="904"/>
      <c r="B16" s="904"/>
      <c r="C16" s="904"/>
      <c r="D16" s="904"/>
      <c r="E16" s="912"/>
      <c r="F16" s="904"/>
      <c r="G16" s="904"/>
      <c r="H16" s="904"/>
      <c r="I16" s="904"/>
      <c r="J16" s="904"/>
      <c r="K16" s="904"/>
      <c r="L16" s="904"/>
      <c r="M16" s="904"/>
      <c r="N16" s="904"/>
      <c r="O16" s="904"/>
      <c r="P16" s="904"/>
      <c r="Q16" s="904"/>
    </row>
    <row r="17" spans="2:12" ht="14.4">
      <c r="B17" s="904" t="s">
        <v>1140</v>
      </c>
      <c r="C17" s="927"/>
      <c r="D17" s="904"/>
      <c r="E17" s="912"/>
      <c r="F17" s="904"/>
      <c r="G17" s="904"/>
      <c r="H17" s="904"/>
      <c r="I17" s="904"/>
      <c r="J17" s="904"/>
      <c r="K17" s="904"/>
      <c r="L17" s="904"/>
    </row>
    <row r="19" spans="2:12" ht="14.4">
      <c r="B19" s="958" t="s">
        <v>0</v>
      </c>
      <c r="C19" s="1331" t="s">
        <v>1162</v>
      </c>
      <c r="D19" s="1332"/>
      <c r="E19" s="1332"/>
      <c r="F19" s="1332"/>
      <c r="G19" s="1332"/>
      <c r="H19" s="1332"/>
      <c r="I19" s="1332"/>
      <c r="J19" s="1332"/>
      <c r="K19" s="1332"/>
      <c r="L19" s="1333"/>
    </row>
    <row r="20" spans="2:12">
      <c r="B20" s="939"/>
      <c r="C20" s="957">
        <v>2015</v>
      </c>
      <c r="D20" s="957">
        <v>2020</v>
      </c>
      <c r="E20" s="957">
        <v>2030</v>
      </c>
      <c r="F20" s="957">
        <v>2050</v>
      </c>
      <c r="G20" s="1331" t="s">
        <v>627</v>
      </c>
      <c r="H20" s="1334"/>
      <c r="I20" s="1331" t="s">
        <v>628</v>
      </c>
      <c r="J20" s="1334"/>
      <c r="K20" s="957" t="s">
        <v>2</v>
      </c>
      <c r="L20" s="957" t="s">
        <v>3</v>
      </c>
    </row>
    <row r="21" spans="2:12">
      <c r="B21" s="956" t="s">
        <v>4</v>
      </c>
      <c r="C21" s="955"/>
      <c r="D21" s="955"/>
      <c r="E21" s="955"/>
      <c r="F21" s="955"/>
      <c r="G21" s="955" t="s">
        <v>629</v>
      </c>
      <c r="H21" s="955" t="s">
        <v>630</v>
      </c>
      <c r="I21" s="955" t="s">
        <v>629</v>
      </c>
      <c r="J21" s="955" t="s">
        <v>630</v>
      </c>
      <c r="K21" s="955"/>
      <c r="L21" s="954"/>
    </row>
    <row r="22" spans="2:12" ht="35.25" customHeight="1">
      <c r="B22" s="950" t="s">
        <v>1161</v>
      </c>
      <c r="C22" s="946">
        <v>4</v>
      </c>
      <c r="D22" s="946">
        <v>4</v>
      </c>
      <c r="E22" s="946">
        <v>4</v>
      </c>
      <c r="F22" s="946">
        <v>4</v>
      </c>
      <c r="G22" s="946">
        <v>3</v>
      </c>
      <c r="H22" s="946">
        <v>6</v>
      </c>
      <c r="I22" s="946">
        <v>3</v>
      </c>
      <c r="J22" s="946">
        <v>10</v>
      </c>
      <c r="K22" s="946"/>
      <c r="L22" s="946">
        <v>3</v>
      </c>
    </row>
    <row r="23" spans="2:12" ht="33.75" customHeight="1">
      <c r="B23" s="935" t="s">
        <v>632</v>
      </c>
      <c r="C23" s="943" t="s">
        <v>1160</v>
      </c>
      <c r="D23" s="943" t="s">
        <v>1160</v>
      </c>
      <c r="E23" s="943" t="s">
        <v>1160</v>
      </c>
      <c r="F23" s="943" t="s">
        <v>1160</v>
      </c>
      <c r="G23" s="943" t="s">
        <v>1160</v>
      </c>
      <c r="H23" s="943" t="s">
        <v>1160</v>
      </c>
      <c r="I23" s="943" t="s">
        <v>1160</v>
      </c>
      <c r="J23" s="943" t="s">
        <v>1160</v>
      </c>
      <c r="K23" s="943"/>
      <c r="L23" s="943"/>
    </row>
    <row r="24" spans="2:12" ht="60.75" customHeight="1">
      <c r="B24" s="953" t="s">
        <v>1159</v>
      </c>
      <c r="C24" s="952">
        <v>350</v>
      </c>
      <c r="D24" s="951">
        <v>360</v>
      </c>
      <c r="E24" s="951">
        <v>380</v>
      </c>
      <c r="F24" s="951">
        <v>410</v>
      </c>
      <c r="G24" s="951">
        <v>350</v>
      </c>
      <c r="H24" s="951">
        <v>380</v>
      </c>
      <c r="I24" s="951">
        <v>350</v>
      </c>
      <c r="J24" s="951">
        <v>450</v>
      </c>
      <c r="K24" s="951" t="s">
        <v>1158</v>
      </c>
      <c r="L24" s="951">
        <v>4</v>
      </c>
    </row>
    <row r="25" spans="2:12" ht="57.75" customHeight="1">
      <c r="B25" s="935" t="s">
        <v>1157</v>
      </c>
      <c r="C25" s="934">
        <v>350</v>
      </c>
      <c r="D25" s="934">
        <v>400</v>
      </c>
      <c r="E25" s="934">
        <v>480</v>
      </c>
      <c r="F25" s="934">
        <v>600</v>
      </c>
      <c r="G25" s="934">
        <v>350</v>
      </c>
      <c r="H25" s="934">
        <v>450</v>
      </c>
      <c r="I25" s="934">
        <v>350</v>
      </c>
      <c r="J25" s="934">
        <v>700</v>
      </c>
      <c r="K25" s="934" t="s">
        <v>1154</v>
      </c>
      <c r="L25" s="934" t="s">
        <v>1153</v>
      </c>
    </row>
    <row r="26" spans="2:12" ht="48.75" customHeight="1">
      <c r="B26" s="950" t="s">
        <v>1156</v>
      </c>
      <c r="C26" s="945">
        <v>440</v>
      </c>
      <c r="D26" s="949">
        <v>500</v>
      </c>
      <c r="E26" s="949">
        <v>600</v>
      </c>
      <c r="F26" s="949">
        <v>740</v>
      </c>
      <c r="G26" s="949">
        <v>440</v>
      </c>
      <c r="H26" s="949">
        <v>600</v>
      </c>
      <c r="I26" s="949">
        <v>440</v>
      </c>
      <c r="J26" s="949">
        <v>850</v>
      </c>
      <c r="K26" s="949" t="s">
        <v>1154</v>
      </c>
      <c r="L26" s="949" t="s">
        <v>1153</v>
      </c>
    </row>
    <row r="27" spans="2:12" ht="50.25" customHeight="1">
      <c r="B27" s="948" t="s">
        <v>1155</v>
      </c>
      <c r="C27" s="934">
        <v>700</v>
      </c>
      <c r="D27" s="934">
        <v>900</v>
      </c>
      <c r="E27" s="934">
        <v>1200</v>
      </c>
      <c r="F27" s="934">
        <v>1800</v>
      </c>
      <c r="G27" s="934">
        <v>700</v>
      </c>
      <c r="H27" s="934">
        <v>1200</v>
      </c>
      <c r="I27" s="934">
        <v>700</v>
      </c>
      <c r="J27" s="934">
        <v>2000</v>
      </c>
      <c r="K27" s="934" t="s">
        <v>1154</v>
      </c>
      <c r="L27" s="934" t="s">
        <v>1153</v>
      </c>
    </row>
    <row r="28" spans="2:12" ht="35.25" customHeight="1">
      <c r="B28" s="935" t="s">
        <v>634</v>
      </c>
      <c r="C28" s="934">
        <v>10</v>
      </c>
      <c r="D28" s="934">
        <v>9</v>
      </c>
      <c r="E28" s="934">
        <v>7</v>
      </c>
      <c r="F28" s="934">
        <v>4</v>
      </c>
      <c r="G28" s="934">
        <v>4</v>
      </c>
      <c r="H28" s="934">
        <v>10</v>
      </c>
      <c r="I28" s="934">
        <v>3</v>
      </c>
      <c r="J28" s="934">
        <v>6</v>
      </c>
      <c r="K28" s="934" t="s">
        <v>1152</v>
      </c>
      <c r="L28" s="934">
        <v>3</v>
      </c>
    </row>
    <row r="29" spans="2:12" ht="25.5" customHeight="1">
      <c r="B29" s="935" t="s">
        <v>637</v>
      </c>
      <c r="C29" s="934">
        <v>0</v>
      </c>
      <c r="D29" s="934">
        <v>0</v>
      </c>
      <c r="E29" s="934">
        <v>0</v>
      </c>
      <c r="F29" s="934">
        <v>0</v>
      </c>
      <c r="G29" s="934">
        <v>0</v>
      </c>
      <c r="H29" s="934">
        <v>1</v>
      </c>
      <c r="I29" s="934">
        <v>0</v>
      </c>
      <c r="J29" s="934">
        <v>1</v>
      </c>
      <c r="K29" s="934" t="s">
        <v>33</v>
      </c>
      <c r="L29" s="934">
        <v>3</v>
      </c>
    </row>
    <row r="30" spans="2:12" ht="32.25" customHeight="1">
      <c r="B30" s="947" t="s">
        <v>638</v>
      </c>
      <c r="C30" s="946">
        <v>0.5</v>
      </c>
      <c r="D30" s="946">
        <v>0.5</v>
      </c>
      <c r="E30" s="946">
        <v>0.5</v>
      </c>
      <c r="F30" s="946">
        <v>0.5</v>
      </c>
      <c r="G30" s="946">
        <v>0</v>
      </c>
      <c r="H30" s="946">
        <v>1</v>
      </c>
      <c r="I30" s="946">
        <v>0</v>
      </c>
      <c r="J30" s="946">
        <v>1</v>
      </c>
      <c r="K30" s="946" t="s">
        <v>51</v>
      </c>
      <c r="L30" s="945">
        <v>3</v>
      </c>
    </row>
    <row r="31" spans="2:12" ht="27.75" customHeight="1">
      <c r="B31" s="947" t="s">
        <v>11</v>
      </c>
      <c r="C31" s="946">
        <v>25</v>
      </c>
      <c r="D31" s="946">
        <v>25</v>
      </c>
      <c r="E31" s="946">
        <v>25</v>
      </c>
      <c r="F31" s="946">
        <v>25</v>
      </c>
      <c r="G31" s="946">
        <v>15</v>
      </c>
      <c r="H31" s="946">
        <v>30</v>
      </c>
      <c r="I31" s="946">
        <v>15</v>
      </c>
      <c r="J31" s="946">
        <v>30</v>
      </c>
      <c r="K31" s="946"/>
      <c r="L31" s="945">
        <v>3</v>
      </c>
    </row>
    <row r="32" spans="2:12" ht="28.5" customHeight="1">
      <c r="B32" s="947" t="s">
        <v>273</v>
      </c>
      <c r="C32" s="946">
        <v>0.5</v>
      </c>
      <c r="D32" s="946">
        <v>0.5</v>
      </c>
      <c r="E32" s="946">
        <v>0.5</v>
      </c>
      <c r="F32" s="946">
        <v>0.5</v>
      </c>
      <c r="G32" s="946">
        <v>0.3</v>
      </c>
      <c r="H32" s="946">
        <v>0.7</v>
      </c>
      <c r="I32" s="946">
        <v>0.3</v>
      </c>
      <c r="J32" s="946">
        <v>0.7</v>
      </c>
      <c r="K32" s="946" t="s">
        <v>16</v>
      </c>
      <c r="L32" s="945"/>
    </row>
    <row r="33" spans="2:12" ht="38.25" customHeight="1">
      <c r="B33" s="944" t="s">
        <v>1151</v>
      </c>
      <c r="C33" s="934">
        <v>0.02</v>
      </c>
      <c r="D33" s="934">
        <v>0.02</v>
      </c>
      <c r="E33" s="934">
        <v>0.02</v>
      </c>
      <c r="F33" s="934">
        <v>0.02</v>
      </c>
      <c r="G33" s="934">
        <v>0.01</v>
      </c>
      <c r="H33" s="934">
        <v>0.04</v>
      </c>
      <c r="I33" s="934">
        <v>0.01</v>
      </c>
      <c r="J33" s="936">
        <v>0.04</v>
      </c>
      <c r="K33" s="936"/>
      <c r="L33" s="934">
        <v>1</v>
      </c>
    </row>
    <row r="34" spans="2:12">
      <c r="B34" s="1327" t="s">
        <v>640</v>
      </c>
      <c r="C34" s="1328"/>
      <c r="D34" s="1328"/>
      <c r="E34" s="1328"/>
      <c r="F34" s="1328"/>
      <c r="G34" s="1328"/>
      <c r="H34" s="1328"/>
      <c r="I34" s="1328"/>
      <c r="J34" s="1328"/>
      <c r="K34" s="1328"/>
      <c r="L34" s="1329"/>
    </row>
    <row r="35" spans="2:12" ht="22.8">
      <c r="B35" s="939" t="s">
        <v>641</v>
      </c>
      <c r="C35" s="936">
        <v>10</v>
      </c>
      <c r="D35" s="936">
        <v>10</v>
      </c>
      <c r="E35" s="936">
        <v>10</v>
      </c>
      <c r="F35" s="936">
        <v>10</v>
      </c>
      <c r="G35" s="936">
        <v>10</v>
      </c>
      <c r="H35" s="936">
        <v>25</v>
      </c>
      <c r="I35" s="936">
        <v>10</v>
      </c>
      <c r="J35" s="936">
        <v>30</v>
      </c>
      <c r="K35" s="936" t="s">
        <v>20</v>
      </c>
      <c r="L35" s="936">
        <v>3</v>
      </c>
    </row>
    <row r="36" spans="2:12" ht="22.8">
      <c r="B36" s="939" t="s">
        <v>642</v>
      </c>
      <c r="C36" s="936">
        <v>20</v>
      </c>
      <c r="D36" s="936">
        <v>20</v>
      </c>
      <c r="E36" s="936">
        <v>20</v>
      </c>
      <c r="F36" s="936">
        <v>20</v>
      </c>
      <c r="G36" s="936">
        <v>20</v>
      </c>
      <c r="H36" s="936">
        <v>40</v>
      </c>
      <c r="I36" s="936">
        <v>20</v>
      </c>
      <c r="J36" s="936">
        <v>40</v>
      </c>
      <c r="K36" s="936" t="s">
        <v>20</v>
      </c>
      <c r="L36" s="936">
        <v>3</v>
      </c>
    </row>
    <row r="37" spans="2:12">
      <c r="B37" s="939" t="s">
        <v>643</v>
      </c>
      <c r="C37" s="936">
        <v>10</v>
      </c>
      <c r="D37" s="936">
        <v>10</v>
      </c>
      <c r="E37" s="936">
        <v>10</v>
      </c>
      <c r="F37" s="936">
        <v>10</v>
      </c>
      <c r="G37" s="936">
        <v>10</v>
      </c>
      <c r="H37" s="936">
        <v>10</v>
      </c>
      <c r="I37" s="936">
        <v>10</v>
      </c>
      <c r="J37" s="936">
        <v>10</v>
      </c>
      <c r="K37" s="936" t="s">
        <v>20</v>
      </c>
      <c r="L37" s="936">
        <v>3</v>
      </c>
    </row>
    <row r="38" spans="2:12">
      <c r="B38" s="939" t="s">
        <v>644</v>
      </c>
      <c r="C38" s="936">
        <v>0</v>
      </c>
      <c r="D38" s="936">
        <v>0</v>
      </c>
      <c r="E38" s="936">
        <v>0</v>
      </c>
      <c r="F38" s="936">
        <v>0</v>
      </c>
      <c r="G38" s="936">
        <v>0</v>
      </c>
      <c r="H38" s="936">
        <v>1</v>
      </c>
      <c r="I38" s="936">
        <v>0</v>
      </c>
      <c r="J38" s="936">
        <v>1</v>
      </c>
      <c r="K38" s="936"/>
      <c r="L38" s="936">
        <v>3</v>
      </c>
    </row>
    <row r="39" spans="2:12">
      <c r="B39" s="939" t="s">
        <v>646</v>
      </c>
      <c r="C39" s="936">
        <v>6</v>
      </c>
      <c r="D39" s="936">
        <v>6</v>
      </c>
      <c r="E39" s="936">
        <v>6</v>
      </c>
      <c r="F39" s="936">
        <v>6</v>
      </c>
      <c r="G39" s="936">
        <v>1</v>
      </c>
      <c r="H39" s="936">
        <v>12</v>
      </c>
      <c r="I39" s="936">
        <v>1</v>
      </c>
      <c r="J39" s="936">
        <v>12</v>
      </c>
      <c r="K39" s="936" t="s">
        <v>76</v>
      </c>
      <c r="L39" s="936" t="s">
        <v>1150</v>
      </c>
    </row>
    <row r="40" spans="2:12">
      <c r="B40" s="1327" t="s">
        <v>12</v>
      </c>
      <c r="C40" s="1328"/>
      <c r="D40" s="1328"/>
      <c r="E40" s="1328"/>
      <c r="F40" s="1328"/>
      <c r="G40" s="1328"/>
      <c r="H40" s="1328"/>
      <c r="I40" s="1328"/>
      <c r="J40" s="1328"/>
      <c r="K40" s="1328"/>
      <c r="L40" s="1329"/>
    </row>
    <row r="41" spans="2:12" ht="15">
      <c r="B41" s="939" t="s">
        <v>648</v>
      </c>
      <c r="C41" s="936">
        <v>0</v>
      </c>
      <c r="D41" s="936">
        <v>0</v>
      </c>
      <c r="E41" s="936">
        <v>0</v>
      </c>
      <c r="F41" s="936">
        <v>0</v>
      </c>
      <c r="G41" s="936">
        <v>0</v>
      </c>
      <c r="H41" s="936">
        <v>0</v>
      </c>
      <c r="I41" s="936">
        <v>0</v>
      </c>
      <c r="J41" s="936">
        <v>0</v>
      </c>
      <c r="K41" s="934"/>
      <c r="L41" s="943"/>
    </row>
    <row r="42" spans="2:12" ht="15">
      <c r="B42" s="939" t="s">
        <v>650</v>
      </c>
      <c r="C42" s="936">
        <v>0</v>
      </c>
      <c r="D42" s="936">
        <v>0</v>
      </c>
      <c r="E42" s="936">
        <v>0</v>
      </c>
      <c r="F42" s="936">
        <v>0</v>
      </c>
      <c r="G42" s="936">
        <v>0</v>
      </c>
      <c r="H42" s="936">
        <v>0</v>
      </c>
      <c r="I42" s="936">
        <v>0</v>
      </c>
      <c r="J42" s="936">
        <v>0</v>
      </c>
      <c r="K42" s="936"/>
      <c r="L42" s="934"/>
    </row>
    <row r="43" spans="2:12">
      <c r="B43" s="939" t="s">
        <v>366</v>
      </c>
      <c r="C43" s="942">
        <v>0</v>
      </c>
      <c r="D43" s="942">
        <v>0</v>
      </c>
      <c r="E43" s="942">
        <v>0</v>
      </c>
      <c r="F43" s="942">
        <v>0</v>
      </c>
      <c r="G43" s="942">
        <v>0</v>
      </c>
      <c r="H43" s="942">
        <v>0</v>
      </c>
      <c r="I43" s="942">
        <v>0</v>
      </c>
      <c r="J43" s="942">
        <v>0</v>
      </c>
      <c r="K43" s="936"/>
      <c r="L43" s="934"/>
    </row>
    <row r="44" spans="2:12">
      <c r="B44" s="939" t="s">
        <v>367</v>
      </c>
      <c r="C44" s="941">
        <v>0</v>
      </c>
      <c r="D44" s="941">
        <v>0</v>
      </c>
      <c r="E44" s="941">
        <v>0</v>
      </c>
      <c r="F44" s="941">
        <v>0</v>
      </c>
      <c r="G44" s="941">
        <v>0</v>
      </c>
      <c r="H44" s="941">
        <v>0</v>
      </c>
      <c r="I44" s="941">
        <v>0</v>
      </c>
      <c r="J44" s="941">
        <v>0</v>
      </c>
      <c r="K44" s="941"/>
      <c r="L44" s="934"/>
    </row>
    <row r="45" spans="2:12">
      <c r="B45" s="1330" t="s">
        <v>654</v>
      </c>
      <c r="C45" s="1330"/>
      <c r="D45" s="1330"/>
      <c r="E45" s="1330"/>
      <c r="F45" s="1330"/>
      <c r="G45" s="1330"/>
      <c r="H45" s="1330"/>
      <c r="I45" s="1330"/>
      <c r="J45" s="1330"/>
      <c r="K45" s="1330"/>
      <c r="L45" s="1330"/>
    </row>
    <row r="46" spans="2:12" ht="37.5" customHeight="1">
      <c r="B46" s="935" t="s">
        <v>1149</v>
      </c>
      <c r="C46" s="940">
        <v>0.7</v>
      </c>
      <c r="D46" s="940">
        <v>0.65799999999999992</v>
      </c>
      <c r="E46" s="940">
        <v>0.59219999999999995</v>
      </c>
      <c r="F46" s="940">
        <v>0.53298000000000001</v>
      </c>
      <c r="G46" s="940">
        <v>0.5</v>
      </c>
      <c r="H46" s="940">
        <v>1</v>
      </c>
      <c r="I46" s="940">
        <v>0.5</v>
      </c>
      <c r="J46" s="940">
        <v>1</v>
      </c>
      <c r="K46" s="936" t="s">
        <v>1148</v>
      </c>
      <c r="L46" s="936"/>
    </row>
    <row r="47" spans="2:12" ht="25.5" customHeight="1">
      <c r="B47" s="939" t="s">
        <v>802</v>
      </c>
      <c r="C47" s="936">
        <v>50</v>
      </c>
      <c r="D47" s="936">
        <v>50</v>
      </c>
      <c r="E47" s="936">
        <v>50</v>
      </c>
      <c r="F47" s="936">
        <v>50</v>
      </c>
      <c r="G47" s="936">
        <v>30</v>
      </c>
      <c r="H47" s="936">
        <v>70</v>
      </c>
      <c r="I47" s="936">
        <v>30</v>
      </c>
      <c r="J47" s="936">
        <v>70</v>
      </c>
      <c r="K47" s="936"/>
      <c r="L47" s="936">
        <v>3</v>
      </c>
    </row>
    <row r="48" spans="2:12" ht="26.25" customHeight="1">
      <c r="B48" s="939" t="s">
        <v>803</v>
      </c>
      <c r="C48" s="936">
        <v>50</v>
      </c>
      <c r="D48" s="936">
        <v>50</v>
      </c>
      <c r="E48" s="936">
        <v>50</v>
      </c>
      <c r="F48" s="936">
        <v>50</v>
      </c>
      <c r="G48" s="936">
        <v>30</v>
      </c>
      <c r="H48" s="936">
        <v>70</v>
      </c>
      <c r="I48" s="936">
        <v>30</v>
      </c>
      <c r="J48" s="936">
        <v>70</v>
      </c>
      <c r="K48" s="936"/>
      <c r="L48" s="936">
        <v>3</v>
      </c>
    </row>
    <row r="49" spans="2:12" ht="30" customHeight="1">
      <c r="B49" s="939" t="s">
        <v>1147</v>
      </c>
      <c r="C49" s="936">
        <v>2000</v>
      </c>
      <c r="D49" s="936">
        <v>2000</v>
      </c>
      <c r="E49" s="936">
        <v>2000</v>
      </c>
      <c r="F49" s="936">
        <v>2000</v>
      </c>
      <c r="G49" s="936">
        <v>1000</v>
      </c>
      <c r="H49" s="936">
        <v>3000</v>
      </c>
      <c r="I49" s="936">
        <v>1000</v>
      </c>
      <c r="J49" s="936">
        <v>3000</v>
      </c>
      <c r="K49" s="936"/>
      <c r="L49" s="936">
        <v>3</v>
      </c>
    </row>
    <row r="50" spans="2:12" ht="30.75" customHeight="1">
      <c r="B50" s="939" t="s">
        <v>1146</v>
      </c>
      <c r="C50" s="937">
        <v>8.4</v>
      </c>
      <c r="D50" s="937">
        <v>8.2000000000000011</v>
      </c>
      <c r="E50" s="937">
        <v>8.7999999999999989</v>
      </c>
      <c r="F50" s="937">
        <v>8.1999999999999993</v>
      </c>
      <c r="G50" s="937">
        <v>4.3</v>
      </c>
      <c r="H50" s="937">
        <v>9.1</v>
      </c>
      <c r="I50" s="937">
        <v>6.5</v>
      </c>
      <c r="J50" s="937">
        <v>11.9</v>
      </c>
      <c r="K50" s="936"/>
      <c r="L50" s="936"/>
    </row>
    <row r="51" spans="2:12" ht="36.75" customHeight="1">
      <c r="B51" s="938" t="s">
        <v>1145</v>
      </c>
      <c r="C51" s="937">
        <v>6.4</v>
      </c>
      <c r="D51" s="937">
        <v>6.4</v>
      </c>
      <c r="E51" s="937">
        <v>7.1</v>
      </c>
      <c r="F51" s="937">
        <v>6.6</v>
      </c>
      <c r="G51" s="937">
        <v>2.8</v>
      </c>
      <c r="H51" s="937">
        <v>7.1</v>
      </c>
      <c r="I51" s="937">
        <v>5</v>
      </c>
      <c r="J51" s="937">
        <v>9.9</v>
      </c>
      <c r="K51" s="936" t="s">
        <v>849</v>
      </c>
      <c r="L51" s="936"/>
    </row>
    <row r="52" spans="2:12" ht="37.5" customHeight="1">
      <c r="B52" s="938" t="s">
        <v>1144</v>
      </c>
      <c r="C52" s="937">
        <v>2</v>
      </c>
      <c r="D52" s="937">
        <v>1.8</v>
      </c>
      <c r="E52" s="937">
        <v>1.7</v>
      </c>
      <c r="F52" s="937">
        <v>1.6</v>
      </c>
      <c r="G52" s="937">
        <v>1.5</v>
      </c>
      <c r="H52" s="937">
        <v>2</v>
      </c>
      <c r="I52" s="937">
        <v>1.5</v>
      </c>
      <c r="J52" s="937">
        <v>2</v>
      </c>
      <c r="K52" s="936" t="s">
        <v>25</v>
      </c>
      <c r="L52" s="936">
        <v>3</v>
      </c>
    </row>
    <row r="53" spans="2:12">
      <c r="B53" s="1327" t="s">
        <v>662</v>
      </c>
      <c r="C53" s="1328"/>
      <c r="D53" s="1328"/>
      <c r="E53" s="1328"/>
      <c r="F53" s="1328"/>
      <c r="G53" s="1328"/>
      <c r="H53" s="1328"/>
      <c r="I53" s="1328"/>
      <c r="J53" s="1328"/>
      <c r="K53" s="1328"/>
      <c r="L53" s="1329"/>
    </row>
    <row r="54" spans="2:12">
      <c r="B54" s="935"/>
      <c r="C54" s="934"/>
      <c r="D54" s="934"/>
      <c r="E54" s="934"/>
      <c r="F54" s="934"/>
      <c r="G54" s="934"/>
      <c r="H54" s="934"/>
      <c r="I54" s="934"/>
      <c r="J54" s="934"/>
      <c r="K54" s="934"/>
      <c r="L54" s="934"/>
    </row>
  </sheetData>
  <mergeCells count="8">
    <mergeCell ref="P4:Q4"/>
    <mergeCell ref="B53:L53"/>
    <mergeCell ref="B45:L45"/>
    <mergeCell ref="C19:L19"/>
    <mergeCell ref="G20:H20"/>
    <mergeCell ref="I20:J20"/>
    <mergeCell ref="B34:L34"/>
    <mergeCell ref="B40:L40"/>
  </mergeCells>
  <pageMargins left="0.7" right="0.7" top="0.75" bottom="0.75" header="0.3" footer="0.3"/>
  <pageSetup paperSize="9" orientation="portrait"/>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5F01C-7B84-4D5C-8996-D82722FC84BC}">
  <sheetPr>
    <tabColor theme="4" tint="0.39997558519241921"/>
  </sheetPr>
  <dimension ref="A3:Q54"/>
  <sheetViews>
    <sheetView workbookViewId="0">
      <selection activeCell="M14" sqref="M14"/>
    </sheetView>
  </sheetViews>
  <sheetFormatPr defaultColWidth="9.109375" defaultRowHeight="14.4"/>
  <cols>
    <col min="1" max="1" width="9.109375" style="911"/>
    <col min="2" max="2" width="15.88671875" style="978" customWidth="1"/>
    <col min="3" max="3" width="12.33203125" style="911" bestFit="1" customWidth="1"/>
    <col min="4" max="4" width="9.109375" style="911"/>
    <col min="5" max="5" width="17.44140625" style="911" bestFit="1" customWidth="1"/>
    <col min="6" max="16384" width="9.109375" style="911"/>
  </cols>
  <sheetData>
    <row r="3" spans="1:17" ht="28.8">
      <c r="B3" s="917" t="s">
        <v>1143</v>
      </c>
      <c r="C3" s="917" t="s">
        <v>1095</v>
      </c>
      <c r="D3" s="917" t="s">
        <v>1134</v>
      </c>
      <c r="E3" s="917" t="s">
        <v>1135</v>
      </c>
      <c r="F3" s="916" t="s">
        <v>340</v>
      </c>
      <c r="G3" s="916" t="s">
        <v>341</v>
      </c>
      <c r="H3" s="916" t="s">
        <v>342</v>
      </c>
      <c r="I3" s="916" t="s">
        <v>343</v>
      </c>
      <c r="J3" s="916" t="s">
        <v>344</v>
      </c>
      <c r="K3" s="916" t="s">
        <v>1133</v>
      </c>
      <c r="L3" s="916" t="s">
        <v>339</v>
      </c>
    </row>
    <row r="4" spans="1:17" ht="42" customHeight="1">
      <c r="B4" s="915" t="s">
        <v>1142</v>
      </c>
      <c r="C4" s="915"/>
      <c r="D4" s="915" t="s">
        <v>1131</v>
      </c>
      <c r="E4" s="915" t="s">
        <v>1132</v>
      </c>
      <c r="F4" s="915" t="s">
        <v>1130</v>
      </c>
      <c r="G4" s="915" t="s">
        <v>1129</v>
      </c>
      <c r="H4" s="915" t="s">
        <v>1128</v>
      </c>
      <c r="I4" s="915" t="s">
        <v>1127</v>
      </c>
      <c r="J4" s="915" t="s">
        <v>1126</v>
      </c>
      <c r="K4" s="915" t="s">
        <v>1125</v>
      </c>
      <c r="L4" s="915" t="s">
        <v>1124</v>
      </c>
    </row>
    <row r="5" spans="1:17" ht="15" thickBot="1">
      <c r="B5" s="914"/>
      <c r="C5" s="914"/>
      <c r="D5" s="914"/>
      <c r="E5" s="914" t="s">
        <v>449</v>
      </c>
      <c r="F5" s="914" t="s">
        <v>1121</v>
      </c>
      <c r="G5" s="914" t="s">
        <v>1121</v>
      </c>
      <c r="H5" s="914" t="s">
        <v>1120</v>
      </c>
      <c r="I5" s="914" t="s">
        <v>351</v>
      </c>
      <c r="J5" s="914" t="s">
        <v>351</v>
      </c>
      <c r="K5" s="914"/>
      <c r="L5" s="914" t="s">
        <v>1119</v>
      </c>
      <c r="P5" s="911" t="s">
        <v>1141</v>
      </c>
      <c r="Q5" s="911">
        <v>7.45</v>
      </c>
    </row>
    <row r="6" spans="1:17">
      <c r="B6" s="978">
        <v>40</v>
      </c>
      <c r="C6" s="978">
        <v>2015</v>
      </c>
      <c r="D6" s="913">
        <f>1/(C27/100)</f>
        <v>0.14285714285714285</v>
      </c>
      <c r="E6" s="912">
        <f>C22</f>
        <v>4</v>
      </c>
      <c r="F6" s="913">
        <f>C46*$Q$5</f>
        <v>5.2149999999999999</v>
      </c>
      <c r="G6" s="911">
        <f>C49/1000000*$Q$5</f>
        <v>1.49E-2</v>
      </c>
      <c r="H6" s="911">
        <f>C52*$Q$5/3.6</f>
        <v>4.1388888888888893</v>
      </c>
      <c r="I6" s="928">
        <v>3.1536000000000002E-2</v>
      </c>
      <c r="J6" s="929">
        <v>0.98</v>
      </c>
      <c r="K6" s="928">
        <v>1</v>
      </c>
      <c r="L6" s="911">
        <f>C31</f>
        <v>25</v>
      </c>
    </row>
    <row r="7" spans="1:17">
      <c r="C7" s="978">
        <v>2020</v>
      </c>
      <c r="D7" s="913">
        <f>1/(D27/100)</f>
        <v>0.1111111111111111</v>
      </c>
      <c r="E7" s="912">
        <f>D22</f>
        <v>4</v>
      </c>
      <c r="F7" s="913">
        <f>D46*$Q$5</f>
        <v>4.9020999999999999</v>
      </c>
      <c r="G7" s="911">
        <f>D49/1000000*$Q$5</f>
        <v>1.49E-2</v>
      </c>
      <c r="H7" s="911">
        <f>D52*$Q$5/3.6</f>
        <v>3.7250000000000001</v>
      </c>
      <c r="L7" s="911">
        <f>D31</f>
        <v>25</v>
      </c>
    </row>
    <row r="8" spans="1:17">
      <c r="C8" s="978">
        <v>2030</v>
      </c>
      <c r="D8" s="913">
        <f>1/(E27/100)</f>
        <v>8.3333333333333329E-2</v>
      </c>
      <c r="E8" s="912">
        <f>E22</f>
        <v>4</v>
      </c>
      <c r="F8" s="913">
        <f>E46*$Q$5</f>
        <v>4.4118899999999996</v>
      </c>
      <c r="G8" s="911">
        <f>E49/1000000*$Q$5</f>
        <v>1.49E-2</v>
      </c>
      <c r="H8" s="911">
        <f>E52*$Q$5/3.6</f>
        <v>3.5180555555555553</v>
      </c>
      <c r="L8" s="911">
        <f>E31</f>
        <v>25</v>
      </c>
    </row>
    <row r="9" spans="1:17">
      <c r="C9" s="978">
        <v>2050</v>
      </c>
      <c r="D9" s="913">
        <f>1/(F27/100)</f>
        <v>5.5555555555555552E-2</v>
      </c>
      <c r="E9" s="912">
        <f>F22</f>
        <v>4</v>
      </c>
      <c r="F9" s="913">
        <f>F46*$Q$5</f>
        <v>3.970701</v>
      </c>
      <c r="G9" s="911">
        <f>F49/1000000*$Q$5</f>
        <v>1.49E-2</v>
      </c>
      <c r="H9" s="911">
        <f>F52*$Q$5/3.6</f>
        <v>3.3111111111111113</v>
      </c>
      <c r="L9" s="911">
        <f>F31</f>
        <v>25</v>
      </c>
    </row>
    <row r="10" spans="1:17">
      <c r="A10" s="1000"/>
      <c r="B10" s="999">
        <v>80</v>
      </c>
      <c r="C10" s="999">
        <v>2015</v>
      </c>
      <c r="D10" s="998">
        <f>1/(C27*2/100)</f>
        <v>7.1428571428571425E-2</v>
      </c>
      <c r="E10" s="962">
        <f>C22</f>
        <v>4</v>
      </c>
      <c r="F10" s="998">
        <f>C46*$Q$5</f>
        <v>5.2149999999999999</v>
      </c>
      <c r="G10" s="997">
        <f>C49/1000000*$Q$5</f>
        <v>1.49E-2</v>
      </c>
      <c r="H10" s="997">
        <f>C52*$Q$5/3.6</f>
        <v>4.1388888888888893</v>
      </c>
      <c r="I10" s="964">
        <v>3.1536000000000002E-2</v>
      </c>
      <c r="J10" s="965">
        <v>0.98</v>
      </c>
      <c r="K10" s="964">
        <v>1</v>
      </c>
      <c r="L10" s="997">
        <f>C31</f>
        <v>25</v>
      </c>
    </row>
    <row r="11" spans="1:17">
      <c r="B11" s="999"/>
      <c r="C11" s="999">
        <v>2020</v>
      </c>
      <c r="D11" s="998">
        <f>1/(D27*2/100)</f>
        <v>5.5555555555555552E-2</v>
      </c>
      <c r="E11" s="962">
        <f>D22</f>
        <v>4</v>
      </c>
      <c r="F11" s="998">
        <f>D46*$Q$5</f>
        <v>4.9020999999999999</v>
      </c>
      <c r="G11" s="997">
        <f>D49/1000000*$Q$5</f>
        <v>1.49E-2</v>
      </c>
      <c r="H11" s="997">
        <f>D52*$Q$5/3.6</f>
        <v>3.7250000000000001</v>
      </c>
      <c r="I11" s="997"/>
      <c r="J11" s="997"/>
      <c r="K11" s="997"/>
      <c r="L11" s="997">
        <f>D31</f>
        <v>25</v>
      </c>
    </row>
    <row r="12" spans="1:17">
      <c r="B12" s="999"/>
      <c r="C12" s="999">
        <v>2030</v>
      </c>
      <c r="D12" s="998">
        <f>1/(E27*2/100)</f>
        <v>4.1666666666666664E-2</v>
      </c>
      <c r="E12" s="962">
        <f>E22</f>
        <v>4</v>
      </c>
      <c r="F12" s="998">
        <f>E46*$Q$5</f>
        <v>4.4118899999999996</v>
      </c>
      <c r="G12" s="997">
        <f>E49/1000000*$Q$5</f>
        <v>1.49E-2</v>
      </c>
      <c r="H12" s="997">
        <f>E52*$Q$5/3.6</f>
        <v>3.5180555555555553</v>
      </c>
      <c r="I12" s="997"/>
      <c r="J12" s="997"/>
      <c r="K12" s="997"/>
      <c r="L12" s="997">
        <f>E31</f>
        <v>25</v>
      </c>
    </row>
    <row r="13" spans="1:17">
      <c r="B13" s="999"/>
      <c r="C13" s="999">
        <v>2050</v>
      </c>
      <c r="D13" s="998">
        <f>1/(F27*2/100)</f>
        <v>2.7777777777777776E-2</v>
      </c>
      <c r="E13" s="962">
        <f>F22</f>
        <v>4</v>
      </c>
      <c r="F13" s="998">
        <f>F46*$Q$5</f>
        <v>3.970701</v>
      </c>
      <c r="G13" s="997">
        <f>F49/1000000*$Q$5</f>
        <v>1.49E-2</v>
      </c>
      <c r="H13" s="997">
        <f>F52*$Q$5/3.6</f>
        <v>3.3111111111111113</v>
      </c>
      <c r="I13" s="997"/>
      <c r="J13" s="997"/>
      <c r="K13" s="997"/>
      <c r="L13" s="997">
        <f>F31</f>
        <v>25</v>
      </c>
    </row>
    <row r="14" spans="1:17">
      <c r="E14" s="912"/>
    </row>
    <row r="15" spans="1:17">
      <c r="E15" s="912"/>
    </row>
    <row r="16" spans="1:17">
      <c r="E16" s="912"/>
    </row>
    <row r="17" spans="2:12">
      <c r="B17" s="911" t="s">
        <v>1140</v>
      </c>
      <c r="C17" s="978"/>
      <c r="E17" s="912"/>
    </row>
    <row r="19" spans="2:12">
      <c r="B19" s="996" t="s">
        <v>0</v>
      </c>
      <c r="C19" s="1339" t="s">
        <v>1162</v>
      </c>
      <c r="D19" s="1340"/>
      <c r="E19" s="1340"/>
      <c r="F19" s="1340"/>
      <c r="G19" s="1340"/>
      <c r="H19" s="1340"/>
      <c r="I19" s="1340"/>
      <c r="J19" s="1340"/>
      <c r="K19" s="1340"/>
      <c r="L19" s="1341"/>
    </row>
    <row r="20" spans="2:12">
      <c r="B20" s="984"/>
      <c r="C20" s="995">
        <v>2015</v>
      </c>
      <c r="D20" s="995">
        <v>2020</v>
      </c>
      <c r="E20" s="995">
        <v>2030</v>
      </c>
      <c r="F20" s="995">
        <v>2050</v>
      </c>
      <c r="G20" s="1339" t="s">
        <v>627</v>
      </c>
      <c r="H20" s="1342"/>
      <c r="I20" s="1339" t="s">
        <v>628</v>
      </c>
      <c r="J20" s="1342"/>
      <c r="K20" s="995" t="s">
        <v>2</v>
      </c>
      <c r="L20" s="995" t="s">
        <v>3</v>
      </c>
    </row>
    <row r="21" spans="2:12" ht="26.4">
      <c r="B21" s="994" t="s">
        <v>4</v>
      </c>
      <c r="C21" s="993"/>
      <c r="D21" s="993"/>
      <c r="E21" s="993"/>
      <c r="F21" s="993"/>
      <c r="G21" s="993" t="s">
        <v>629</v>
      </c>
      <c r="H21" s="993" t="s">
        <v>630</v>
      </c>
      <c r="I21" s="993" t="s">
        <v>629</v>
      </c>
      <c r="J21" s="993" t="s">
        <v>630</v>
      </c>
      <c r="K21" s="993"/>
      <c r="L21" s="992"/>
    </row>
    <row r="22" spans="2:12" ht="37.799999999999997">
      <c r="B22" s="980" t="s">
        <v>1161</v>
      </c>
      <c r="C22" s="981">
        <v>4</v>
      </c>
      <c r="D22" s="981">
        <v>4</v>
      </c>
      <c r="E22" s="981">
        <v>4</v>
      </c>
      <c r="F22" s="981">
        <v>4</v>
      </c>
      <c r="G22" s="981">
        <v>3</v>
      </c>
      <c r="H22" s="981">
        <v>6</v>
      </c>
      <c r="I22" s="981">
        <v>3</v>
      </c>
      <c r="J22" s="981">
        <v>10</v>
      </c>
      <c r="K22" s="981"/>
      <c r="L22" s="981">
        <v>3</v>
      </c>
    </row>
    <row r="23" spans="2:12" ht="22.8">
      <c r="B23" s="980" t="s">
        <v>632</v>
      </c>
      <c r="C23" s="988" t="s">
        <v>1160</v>
      </c>
      <c r="D23" s="988" t="s">
        <v>1160</v>
      </c>
      <c r="E23" s="988" t="s">
        <v>1160</v>
      </c>
      <c r="F23" s="988" t="s">
        <v>1160</v>
      </c>
      <c r="G23" s="988" t="s">
        <v>1160</v>
      </c>
      <c r="H23" s="988" t="s">
        <v>1160</v>
      </c>
      <c r="I23" s="988" t="s">
        <v>1160</v>
      </c>
      <c r="J23" s="988" t="s">
        <v>1160</v>
      </c>
      <c r="K23" s="988"/>
      <c r="L23" s="988"/>
    </row>
    <row r="24" spans="2:12" ht="57">
      <c r="B24" s="980" t="s">
        <v>1159</v>
      </c>
      <c r="C24" s="979">
        <v>350</v>
      </c>
      <c r="D24" s="991">
        <v>360</v>
      </c>
      <c r="E24" s="991">
        <v>380</v>
      </c>
      <c r="F24" s="991">
        <v>410</v>
      </c>
      <c r="G24" s="991">
        <v>350</v>
      </c>
      <c r="H24" s="991">
        <v>380</v>
      </c>
      <c r="I24" s="991">
        <v>350</v>
      </c>
      <c r="J24" s="991">
        <v>450</v>
      </c>
      <c r="K24" s="991" t="s">
        <v>1158</v>
      </c>
      <c r="L24" s="991">
        <v>4</v>
      </c>
    </row>
    <row r="25" spans="2:12" ht="57">
      <c r="B25" s="980" t="s">
        <v>1157</v>
      </c>
      <c r="C25" s="979">
        <v>350</v>
      </c>
      <c r="D25" s="979">
        <v>400</v>
      </c>
      <c r="E25" s="979">
        <v>480</v>
      </c>
      <c r="F25" s="979">
        <v>600</v>
      </c>
      <c r="G25" s="979">
        <v>350</v>
      </c>
      <c r="H25" s="979">
        <v>450</v>
      </c>
      <c r="I25" s="979">
        <v>350</v>
      </c>
      <c r="J25" s="979">
        <v>700</v>
      </c>
      <c r="K25" s="979" t="s">
        <v>1154</v>
      </c>
      <c r="L25" s="979" t="s">
        <v>1153</v>
      </c>
    </row>
    <row r="26" spans="2:12" ht="57">
      <c r="B26" s="980" t="s">
        <v>1168</v>
      </c>
      <c r="C26" s="979">
        <v>440</v>
      </c>
      <c r="D26" s="979">
        <v>500</v>
      </c>
      <c r="E26" s="979">
        <v>600</v>
      </c>
      <c r="F26" s="979">
        <v>740</v>
      </c>
      <c r="G26" s="979">
        <v>440</v>
      </c>
      <c r="H26" s="979">
        <v>600</v>
      </c>
      <c r="I26" s="979">
        <v>440</v>
      </c>
      <c r="J26" s="979">
        <v>850</v>
      </c>
      <c r="K26" s="979" t="s">
        <v>1154</v>
      </c>
      <c r="L26" s="979" t="s">
        <v>1153</v>
      </c>
    </row>
    <row r="27" spans="2:12" ht="57">
      <c r="B27" s="990" t="s">
        <v>1155</v>
      </c>
      <c r="C27" s="979">
        <v>700</v>
      </c>
      <c r="D27" s="979">
        <v>900</v>
      </c>
      <c r="E27" s="979">
        <v>1200</v>
      </c>
      <c r="F27" s="979">
        <v>1800</v>
      </c>
      <c r="G27" s="979">
        <v>700</v>
      </c>
      <c r="H27" s="979">
        <v>1200</v>
      </c>
      <c r="I27" s="979">
        <v>700</v>
      </c>
      <c r="J27" s="979">
        <v>2000</v>
      </c>
      <c r="K27" s="979" t="s">
        <v>1154</v>
      </c>
      <c r="L27" s="979" t="s">
        <v>1153</v>
      </c>
    </row>
    <row r="28" spans="2:12" ht="45.6">
      <c r="B28" s="980" t="s">
        <v>634</v>
      </c>
      <c r="C28" s="979">
        <v>10</v>
      </c>
      <c r="D28" s="979">
        <v>9</v>
      </c>
      <c r="E28" s="979">
        <v>7</v>
      </c>
      <c r="F28" s="979">
        <v>4</v>
      </c>
      <c r="G28" s="979">
        <v>4</v>
      </c>
      <c r="H28" s="979">
        <v>10</v>
      </c>
      <c r="I28" s="979">
        <v>3</v>
      </c>
      <c r="J28" s="979">
        <v>6</v>
      </c>
      <c r="K28" s="979" t="s">
        <v>1152</v>
      </c>
      <c r="L28" s="979">
        <v>3</v>
      </c>
    </row>
    <row r="29" spans="2:12">
      <c r="B29" s="980" t="s">
        <v>637</v>
      </c>
      <c r="C29" s="979">
        <v>0</v>
      </c>
      <c r="D29" s="979">
        <v>0</v>
      </c>
      <c r="E29" s="979">
        <v>0</v>
      </c>
      <c r="F29" s="979">
        <v>0</v>
      </c>
      <c r="G29" s="979">
        <v>0</v>
      </c>
      <c r="H29" s="979">
        <v>1</v>
      </c>
      <c r="I29" s="979">
        <v>0</v>
      </c>
      <c r="J29" s="979">
        <v>1</v>
      </c>
      <c r="K29" s="979" t="s">
        <v>33</v>
      </c>
      <c r="L29" s="979">
        <v>3</v>
      </c>
    </row>
    <row r="30" spans="2:12" ht="22.8">
      <c r="B30" s="984" t="s">
        <v>638</v>
      </c>
      <c r="C30" s="981">
        <v>0.5</v>
      </c>
      <c r="D30" s="981">
        <v>0.5</v>
      </c>
      <c r="E30" s="981">
        <v>0.5</v>
      </c>
      <c r="F30" s="981">
        <v>0.5</v>
      </c>
      <c r="G30" s="981">
        <v>0</v>
      </c>
      <c r="H30" s="981">
        <v>1</v>
      </c>
      <c r="I30" s="981">
        <v>0</v>
      </c>
      <c r="J30" s="981">
        <v>1</v>
      </c>
      <c r="K30" s="981" t="s">
        <v>51</v>
      </c>
      <c r="L30" s="979">
        <v>3</v>
      </c>
    </row>
    <row r="31" spans="2:12" ht="22.8">
      <c r="B31" s="984" t="s">
        <v>11</v>
      </c>
      <c r="C31" s="981">
        <v>25</v>
      </c>
      <c r="D31" s="981">
        <v>25</v>
      </c>
      <c r="E31" s="981">
        <v>25</v>
      </c>
      <c r="F31" s="981">
        <v>25</v>
      </c>
      <c r="G31" s="981">
        <v>15</v>
      </c>
      <c r="H31" s="981">
        <v>30</v>
      </c>
      <c r="I31" s="981">
        <v>15</v>
      </c>
      <c r="J31" s="981">
        <v>30</v>
      </c>
      <c r="K31" s="981"/>
      <c r="L31" s="979">
        <v>3</v>
      </c>
    </row>
    <row r="32" spans="2:12" ht="22.8">
      <c r="B32" s="984" t="s">
        <v>273</v>
      </c>
      <c r="C32" s="981">
        <v>0.5</v>
      </c>
      <c r="D32" s="981">
        <v>0.5</v>
      </c>
      <c r="E32" s="981">
        <v>0.5</v>
      </c>
      <c r="F32" s="981">
        <v>0.5</v>
      </c>
      <c r="G32" s="981">
        <v>0.3</v>
      </c>
      <c r="H32" s="981">
        <v>0.7</v>
      </c>
      <c r="I32" s="981">
        <v>0.3</v>
      </c>
      <c r="J32" s="981">
        <v>0.7</v>
      </c>
      <c r="K32" s="981" t="s">
        <v>16</v>
      </c>
      <c r="L32" s="979"/>
    </row>
    <row r="33" spans="2:12" ht="37.799999999999997">
      <c r="B33" s="989" t="s">
        <v>1151</v>
      </c>
      <c r="C33" s="979">
        <v>0.02</v>
      </c>
      <c r="D33" s="979">
        <v>0.02</v>
      </c>
      <c r="E33" s="979">
        <v>0.02</v>
      </c>
      <c r="F33" s="979">
        <v>0.02</v>
      </c>
      <c r="G33" s="979">
        <v>0.01</v>
      </c>
      <c r="H33" s="979">
        <v>0.04</v>
      </c>
      <c r="I33" s="979">
        <v>0.01</v>
      </c>
      <c r="J33" s="981">
        <v>0.04</v>
      </c>
      <c r="K33" s="981"/>
      <c r="L33" s="979">
        <v>1</v>
      </c>
    </row>
    <row r="34" spans="2:12">
      <c r="B34" s="1335" t="s">
        <v>640</v>
      </c>
      <c r="C34" s="1336"/>
      <c r="D34" s="1336"/>
      <c r="E34" s="1336"/>
      <c r="F34" s="1336"/>
      <c r="G34" s="1336"/>
      <c r="H34" s="1336"/>
      <c r="I34" s="1336"/>
      <c r="J34" s="1336"/>
      <c r="K34" s="1336"/>
      <c r="L34" s="1337"/>
    </row>
    <row r="35" spans="2:12" ht="22.8">
      <c r="B35" s="984" t="s">
        <v>641</v>
      </c>
      <c r="C35" s="981">
        <v>10</v>
      </c>
      <c r="D35" s="981">
        <v>10</v>
      </c>
      <c r="E35" s="981">
        <v>10</v>
      </c>
      <c r="F35" s="981">
        <v>10</v>
      </c>
      <c r="G35" s="981">
        <v>10</v>
      </c>
      <c r="H35" s="981">
        <v>25</v>
      </c>
      <c r="I35" s="981">
        <v>10</v>
      </c>
      <c r="J35" s="981">
        <v>30</v>
      </c>
      <c r="K35" s="981" t="s">
        <v>20</v>
      </c>
      <c r="L35" s="981">
        <v>3</v>
      </c>
    </row>
    <row r="36" spans="2:12" ht="34.200000000000003">
      <c r="B36" s="984" t="s">
        <v>642</v>
      </c>
      <c r="C36" s="981">
        <v>20</v>
      </c>
      <c r="D36" s="981">
        <v>20</v>
      </c>
      <c r="E36" s="981">
        <v>20</v>
      </c>
      <c r="F36" s="981">
        <v>20</v>
      </c>
      <c r="G36" s="981">
        <v>20</v>
      </c>
      <c r="H36" s="981">
        <v>40</v>
      </c>
      <c r="I36" s="981">
        <v>20</v>
      </c>
      <c r="J36" s="981">
        <v>40</v>
      </c>
      <c r="K36" s="981" t="s">
        <v>20</v>
      </c>
      <c r="L36" s="981">
        <v>3</v>
      </c>
    </row>
    <row r="37" spans="2:12" ht="22.8">
      <c r="B37" s="984" t="s">
        <v>643</v>
      </c>
      <c r="C37" s="981">
        <v>10</v>
      </c>
      <c r="D37" s="981">
        <v>10</v>
      </c>
      <c r="E37" s="981">
        <v>10</v>
      </c>
      <c r="F37" s="981">
        <v>10</v>
      </c>
      <c r="G37" s="981">
        <v>10</v>
      </c>
      <c r="H37" s="981">
        <v>10</v>
      </c>
      <c r="I37" s="981">
        <v>10</v>
      </c>
      <c r="J37" s="981">
        <v>10</v>
      </c>
      <c r="K37" s="981" t="s">
        <v>20</v>
      </c>
      <c r="L37" s="981">
        <v>3</v>
      </c>
    </row>
    <row r="38" spans="2:12" ht="22.8">
      <c r="B38" s="984" t="s">
        <v>644</v>
      </c>
      <c r="C38" s="981">
        <v>0</v>
      </c>
      <c r="D38" s="981">
        <v>0</v>
      </c>
      <c r="E38" s="981">
        <v>0</v>
      </c>
      <c r="F38" s="981">
        <v>0</v>
      </c>
      <c r="G38" s="981">
        <v>0</v>
      </c>
      <c r="H38" s="981">
        <v>1</v>
      </c>
      <c r="I38" s="981">
        <v>0</v>
      </c>
      <c r="J38" s="981">
        <v>1</v>
      </c>
      <c r="K38" s="981"/>
      <c r="L38" s="981">
        <v>3</v>
      </c>
    </row>
    <row r="39" spans="2:12" ht="22.8">
      <c r="B39" s="984" t="s">
        <v>646</v>
      </c>
      <c r="C39" s="981">
        <v>6</v>
      </c>
      <c r="D39" s="981">
        <v>6</v>
      </c>
      <c r="E39" s="981">
        <v>6</v>
      </c>
      <c r="F39" s="981">
        <v>6</v>
      </c>
      <c r="G39" s="981">
        <v>1</v>
      </c>
      <c r="H39" s="981">
        <v>12</v>
      </c>
      <c r="I39" s="981">
        <v>1</v>
      </c>
      <c r="J39" s="981">
        <v>12</v>
      </c>
      <c r="K39" s="981" t="s">
        <v>76</v>
      </c>
      <c r="L39" s="981" t="s">
        <v>1150</v>
      </c>
    </row>
    <row r="40" spans="2:12">
      <c r="B40" s="1335" t="s">
        <v>12</v>
      </c>
      <c r="C40" s="1336"/>
      <c r="D40" s="1336"/>
      <c r="E40" s="1336"/>
      <c r="F40" s="1336"/>
      <c r="G40" s="1336"/>
      <c r="H40" s="1336"/>
      <c r="I40" s="1336"/>
      <c r="J40" s="1336"/>
      <c r="K40" s="1336"/>
      <c r="L40" s="1337"/>
    </row>
    <row r="41" spans="2:12" ht="15">
      <c r="B41" s="984" t="s">
        <v>648</v>
      </c>
      <c r="C41" s="981">
        <v>0</v>
      </c>
      <c r="D41" s="981">
        <v>0</v>
      </c>
      <c r="E41" s="981">
        <v>0</v>
      </c>
      <c r="F41" s="981">
        <v>0</v>
      </c>
      <c r="G41" s="981">
        <v>0</v>
      </c>
      <c r="H41" s="981">
        <v>0</v>
      </c>
      <c r="I41" s="981">
        <v>0</v>
      </c>
      <c r="J41" s="981">
        <v>0</v>
      </c>
      <c r="K41" s="979"/>
      <c r="L41" s="988"/>
    </row>
    <row r="42" spans="2:12" ht="15">
      <c r="B42" s="984" t="s">
        <v>650</v>
      </c>
      <c r="C42" s="981">
        <v>0</v>
      </c>
      <c r="D42" s="981">
        <v>0</v>
      </c>
      <c r="E42" s="981">
        <v>0</v>
      </c>
      <c r="F42" s="981">
        <v>0</v>
      </c>
      <c r="G42" s="981">
        <v>0</v>
      </c>
      <c r="H42" s="981">
        <v>0</v>
      </c>
      <c r="I42" s="981">
        <v>0</v>
      </c>
      <c r="J42" s="981">
        <v>0</v>
      </c>
      <c r="K42" s="981"/>
      <c r="L42" s="979"/>
    </row>
    <row r="43" spans="2:12">
      <c r="B43" s="984" t="s">
        <v>366</v>
      </c>
      <c r="C43" s="987">
        <v>0</v>
      </c>
      <c r="D43" s="987">
        <v>0</v>
      </c>
      <c r="E43" s="987">
        <v>0</v>
      </c>
      <c r="F43" s="987">
        <v>0</v>
      </c>
      <c r="G43" s="987">
        <v>0</v>
      </c>
      <c r="H43" s="987">
        <v>0</v>
      </c>
      <c r="I43" s="987">
        <v>0</v>
      </c>
      <c r="J43" s="987">
        <v>0</v>
      </c>
      <c r="K43" s="981"/>
      <c r="L43" s="979"/>
    </row>
    <row r="44" spans="2:12">
      <c r="B44" s="984" t="s">
        <v>367</v>
      </c>
      <c r="C44" s="986">
        <v>0</v>
      </c>
      <c r="D44" s="986">
        <v>0</v>
      </c>
      <c r="E44" s="986">
        <v>0</v>
      </c>
      <c r="F44" s="986">
        <v>0</v>
      </c>
      <c r="G44" s="986">
        <v>0</v>
      </c>
      <c r="H44" s="986">
        <v>0</v>
      </c>
      <c r="I44" s="986">
        <v>0</v>
      </c>
      <c r="J44" s="986">
        <v>0</v>
      </c>
      <c r="K44" s="986"/>
      <c r="L44" s="979"/>
    </row>
    <row r="45" spans="2:12">
      <c r="B45" s="1338" t="s">
        <v>654</v>
      </c>
      <c r="C45" s="1338"/>
      <c r="D45" s="1338"/>
      <c r="E45" s="1338"/>
      <c r="F45" s="1338"/>
      <c r="G45" s="1338"/>
      <c r="H45" s="1338"/>
      <c r="I45" s="1338"/>
      <c r="J45" s="1338"/>
      <c r="K45" s="1338"/>
      <c r="L45" s="1338"/>
    </row>
    <row r="46" spans="2:12" ht="26.4">
      <c r="B46" s="980" t="s">
        <v>1149</v>
      </c>
      <c r="C46" s="985">
        <v>0.7</v>
      </c>
      <c r="D46" s="985">
        <v>0.65799999999999992</v>
      </c>
      <c r="E46" s="985">
        <v>0.59219999999999995</v>
      </c>
      <c r="F46" s="985">
        <v>0.53298000000000001</v>
      </c>
      <c r="G46" s="985">
        <v>0.5</v>
      </c>
      <c r="H46" s="985">
        <v>1</v>
      </c>
      <c r="I46" s="985">
        <v>0.5</v>
      </c>
      <c r="J46" s="985">
        <v>1</v>
      </c>
      <c r="K46" s="981" t="s">
        <v>1148</v>
      </c>
      <c r="L46" s="981"/>
    </row>
    <row r="47" spans="2:12" ht="22.8">
      <c r="B47" s="984" t="s">
        <v>802</v>
      </c>
      <c r="C47" s="981">
        <v>50</v>
      </c>
      <c r="D47" s="981">
        <v>50</v>
      </c>
      <c r="E47" s="981">
        <v>50</v>
      </c>
      <c r="F47" s="981">
        <v>50</v>
      </c>
      <c r="G47" s="981">
        <v>30</v>
      </c>
      <c r="H47" s="981">
        <v>70</v>
      </c>
      <c r="I47" s="981">
        <v>30</v>
      </c>
      <c r="J47" s="981">
        <v>70</v>
      </c>
      <c r="K47" s="981"/>
      <c r="L47" s="981">
        <v>3</v>
      </c>
    </row>
    <row r="48" spans="2:12" ht="22.8">
      <c r="B48" s="984" t="s">
        <v>803</v>
      </c>
      <c r="C48" s="981">
        <v>50</v>
      </c>
      <c r="D48" s="981">
        <v>50</v>
      </c>
      <c r="E48" s="981">
        <v>50</v>
      </c>
      <c r="F48" s="981">
        <v>50</v>
      </c>
      <c r="G48" s="981">
        <v>30</v>
      </c>
      <c r="H48" s="981">
        <v>70</v>
      </c>
      <c r="I48" s="981">
        <v>30</v>
      </c>
      <c r="J48" s="981">
        <v>70</v>
      </c>
      <c r="K48" s="981"/>
      <c r="L48" s="981">
        <v>3</v>
      </c>
    </row>
    <row r="49" spans="2:12" ht="26.4">
      <c r="B49" s="984" t="s">
        <v>1147</v>
      </c>
      <c r="C49" s="981">
        <v>2000</v>
      </c>
      <c r="D49" s="981">
        <v>2000</v>
      </c>
      <c r="E49" s="981">
        <v>2000</v>
      </c>
      <c r="F49" s="981">
        <v>2000</v>
      </c>
      <c r="G49" s="981">
        <v>1000</v>
      </c>
      <c r="H49" s="981">
        <v>3000</v>
      </c>
      <c r="I49" s="981">
        <v>1000</v>
      </c>
      <c r="J49" s="981">
        <v>3000</v>
      </c>
      <c r="K49" s="981"/>
      <c r="L49" s="981">
        <v>3</v>
      </c>
    </row>
    <row r="50" spans="2:12" ht="26.4">
      <c r="B50" s="984" t="s">
        <v>1146</v>
      </c>
      <c r="C50" s="982">
        <v>8.4</v>
      </c>
      <c r="D50" s="982">
        <v>8.2000000000000011</v>
      </c>
      <c r="E50" s="982">
        <v>8.7999999999999989</v>
      </c>
      <c r="F50" s="982">
        <v>8.1999999999999993</v>
      </c>
      <c r="G50" s="982">
        <v>4.3</v>
      </c>
      <c r="H50" s="982">
        <v>9.1</v>
      </c>
      <c r="I50" s="982">
        <v>6.5</v>
      </c>
      <c r="J50" s="982">
        <v>11.9</v>
      </c>
      <c r="K50" s="981"/>
      <c r="L50" s="981"/>
    </row>
    <row r="51" spans="2:12" ht="37.799999999999997">
      <c r="B51" s="983" t="s">
        <v>1145</v>
      </c>
      <c r="C51" s="982">
        <v>6.4</v>
      </c>
      <c r="D51" s="982">
        <v>6.4</v>
      </c>
      <c r="E51" s="982">
        <v>7.1</v>
      </c>
      <c r="F51" s="982">
        <v>6.6</v>
      </c>
      <c r="G51" s="982">
        <v>2.8</v>
      </c>
      <c r="H51" s="982">
        <v>7.1</v>
      </c>
      <c r="I51" s="982">
        <v>5</v>
      </c>
      <c r="J51" s="982">
        <v>9.9</v>
      </c>
      <c r="K51" s="981" t="s">
        <v>849</v>
      </c>
      <c r="L51" s="981"/>
    </row>
    <row r="52" spans="2:12" ht="37.799999999999997">
      <c r="B52" s="983" t="s">
        <v>1144</v>
      </c>
      <c r="C52" s="982">
        <v>2</v>
      </c>
      <c r="D52" s="982">
        <v>1.8</v>
      </c>
      <c r="E52" s="982">
        <v>1.7</v>
      </c>
      <c r="F52" s="982">
        <v>1.6</v>
      </c>
      <c r="G52" s="982">
        <v>1.5</v>
      </c>
      <c r="H52" s="982">
        <v>2</v>
      </c>
      <c r="I52" s="982">
        <v>1.5</v>
      </c>
      <c r="J52" s="982">
        <v>2</v>
      </c>
      <c r="K52" s="981" t="s">
        <v>25</v>
      </c>
      <c r="L52" s="981">
        <v>3</v>
      </c>
    </row>
    <row r="53" spans="2:12">
      <c r="B53" s="1335" t="s">
        <v>662</v>
      </c>
      <c r="C53" s="1336"/>
      <c r="D53" s="1336"/>
      <c r="E53" s="1336"/>
      <c r="F53" s="1336"/>
      <c r="G53" s="1336"/>
      <c r="H53" s="1336"/>
      <c r="I53" s="1336"/>
      <c r="J53" s="1336"/>
      <c r="K53" s="1336"/>
      <c r="L53" s="1337"/>
    </row>
    <row r="54" spans="2:12">
      <c r="B54" s="980"/>
      <c r="C54" s="979"/>
      <c r="D54" s="979"/>
      <c r="E54" s="979"/>
      <c r="F54" s="979"/>
      <c r="G54" s="979"/>
      <c r="H54" s="979"/>
      <c r="I54" s="979"/>
      <c r="J54" s="979"/>
      <c r="K54" s="979"/>
      <c r="L54" s="979"/>
    </row>
  </sheetData>
  <mergeCells count="7">
    <mergeCell ref="B53:L53"/>
    <mergeCell ref="B45:L45"/>
    <mergeCell ref="C19:L19"/>
    <mergeCell ref="G20:H20"/>
    <mergeCell ref="I20:J20"/>
    <mergeCell ref="B34:L34"/>
    <mergeCell ref="B40:L40"/>
  </mergeCells>
  <pageMargins left="0.7" right="0.7" top="0.75" bottom="0.75" header="0.3" footer="0.3"/>
  <pageSetup orientation="portrait" horizontalDpi="1200" verticalDpi="1200"/>
  <legacy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58962-B9B5-4FA4-9E49-1724C60FCE95}">
  <sheetPr>
    <tabColor theme="4" tint="0.39997558519241921"/>
  </sheetPr>
  <dimension ref="B3:P35"/>
  <sheetViews>
    <sheetView workbookViewId="0">
      <selection activeCell="M14" sqref="M14"/>
    </sheetView>
  </sheetViews>
  <sheetFormatPr defaultColWidth="9.109375" defaultRowHeight="14.4"/>
  <cols>
    <col min="1" max="1" width="9.109375" style="911"/>
    <col min="2" max="2" width="18.88671875" style="911" customWidth="1"/>
    <col min="3" max="3" width="5.44140625" style="911" bestFit="1" customWidth="1"/>
    <col min="4" max="4" width="8.88671875" style="911" customWidth="1"/>
    <col min="5" max="5" width="12.33203125" style="911" customWidth="1"/>
    <col min="6" max="6" width="12.33203125" style="911" bestFit="1" customWidth="1"/>
    <col min="7" max="7" width="15" style="911" bestFit="1" customWidth="1"/>
    <col min="8" max="8" width="14.109375" style="911" customWidth="1"/>
    <col min="9" max="9" width="18.6640625" style="911" customWidth="1"/>
    <col min="10" max="10" width="18.33203125" style="911" bestFit="1" customWidth="1"/>
    <col min="11" max="11" width="10.109375" style="911" customWidth="1"/>
    <col min="12" max="16384" width="9.109375" style="911"/>
  </cols>
  <sheetData>
    <row r="3" spans="2:16" ht="28.8">
      <c r="B3" s="917" t="s">
        <v>1143</v>
      </c>
      <c r="C3" s="917" t="s">
        <v>1095</v>
      </c>
      <c r="D3" s="917" t="s">
        <v>337</v>
      </c>
      <c r="E3" s="917" t="s">
        <v>1134</v>
      </c>
      <c r="F3" s="917" t="s">
        <v>1135</v>
      </c>
      <c r="G3" s="916" t="s">
        <v>340</v>
      </c>
      <c r="H3" s="916" t="s">
        <v>341</v>
      </c>
      <c r="I3" s="916" t="s">
        <v>342</v>
      </c>
      <c r="J3" s="916" t="s">
        <v>343</v>
      </c>
      <c r="K3" s="916" t="s">
        <v>344</v>
      </c>
      <c r="L3" s="916" t="s">
        <v>1133</v>
      </c>
      <c r="M3" s="916" t="s">
        <v>339</v>
      </c>
    </row>
    <row r="4" spans="2:16" ht="42.75" customHeight="1">
      <c r="B4" s="915" t="s">
        <v>1142</v>
      </c>
      <c r="C4" s="915"/>
      <c r="D4" s="915"/>
      <c r="E4" s="915" t="s">
        <v>1131</v>
      </c>
      <c r="F4" s="915" t="s">
        <v>1132</v>
      </c>
      <c r="G4" s="915" t="s">
        <v>1130</v>
      </c>
      <c r="H4" s="915" t="s">
        <v>1129</v>
      </c>
      <c r="I4" s="915" t="s">
        <v>1128</v>
      </c>
      <c r="J4" s="915" t="s">
        <v>1127</v>
      </c>
      <c r="K4" s="915" t="s">
        <v>1126</v>
      </c>
      <c r="L4" s="915" t="s">
        <v>1125</v>
      </c>
      <c r="M4" s="915" t="s">
        <v>1124</v>
      </c>
    </row>
    <row r="5" spans="2:16" ht="15" thickBot="1">
      <c r="B5" s="914"/>
      <c r="C5" s="914"/>
      <c r="D5" s="914"/>
      <c r="E5" s="914"/>
      <c r="F5" s="914" t="s">
        <v>330</v>
      </c>
      <c r="G5" s="914" t="s">
        <v>1121</v>
      </c>
      <c r="H5" s="914" t="s">
        <v>1121</v>
      </c>
      <c r="I5" s="914" t="s">
        <v>1120</v>
      </c>
      <c r="J5" s="914" t="s">
        <v>351</v>
      </c>
      <c r="K5" s="914" t="s">
        <v>351</v>
      </c>
      <c r="L5" s="914"/>
      <c r="M5" s="914" t="s">
        <v>1119</v>
      </c>
      <c r="O5" s="911" t="s">
        <v>1141</v>
      </c>
      <c r="P5" s="911">
        <v>7.45</v>
      </c>
    </row>
    <row r="6" spans="2:16">
      <c r="B6" s="978">
        <v>40</v>
      </c>
      <c r="C6" s="978">
        <v>2015</v>
      </c>
      <c r="D6" s="978">
        <f>C20/100</f>
        <v>1</v>
      </c>
      <c r="E6" s="913"/>
      <c r="F6" s="912">
        <f>C17</f>
        <v>250</v>
      </c>
      <c r="G6" s="913">
        <f>C29*$P$5</f>
        <v>0.52150000000000007</v>
      </c>
      <c r="H6" s="911">
        <f>(C34*$P$5/1000000)*1/(C17/1000)</f>
        <v>3.7249999999999998E-2</v>
      </c>
      <c r="I6" s="911">
        <f>C35</f>
        <v>0</v>
      </c>
      <c r="J6" s="928">
        <v>3.1536000000000002E-2</v>
      </c>
      <c r="K6" s="929">
        <v>1</v>
      </c>
      <c r="L6" s="928">
        <v>1</v>
      </c>
      <c r="M6" s="911">
        <f>C21</f>
        <v>20</v>
      </c>
    </row>
    <row r="7" spans="2:16">
      <c r="B7" s="978"/>
      <c r="C7" s="978">
        <v>2020</v>
      </c>
      <c r="D7" s="978">
        <f>D20/100</f>
        <v>1</v>
      </c>
      <c r="E7" s="913"/>
      <c r="F7" s="912">
        <f>D17</f>
        <v>250</v>
      </c>
      <c r="G7" s="913">
        <f>D29*$P$5</f>
        <v>0.52150000000000007</v>
      </c>
      <c r="H7" s="911">
        <f>(D34*$P$5/1000000)*1/(D17/1000)</f>
        <v>3.7249999999999998E-2</v>
      </c>
      <c r="I7" s="911">
        <f>D35</f>
        <v>0</v>
      </c>
      <c r="M7" s="911">
        <f>D21</f>
        <v>20</v>
      </c>
    </row>
    <row r="8" spans="2:16">
      <c r="B8" s="978"/>
      <c r="C8" s="978">
        <v>2030</v>
      </c>
      <c r="D8" s="978">
        <f>E20/100</f>
        <v>1</v>
      </c>
      <c r="E8" s="913"/>
      <c r="F8" s="912">
        <f>E17</f>
        <v>250</v>
      </c>
      <c r="G8" s="913">
        <f>E29*$P$5</f>
        <v>0.52150000000000007</v>
      </c>
      <c r="H8" s="911">
        <f>(E34*$P$5/1000000)*1/(E17/1000)</f>
        <v>3.7249999999999998E-2</v>
      </c>
      <c r="I8" s="911">
        <f>E35</f>
        <v>0</v>
      </c>
      <c r="M8" s="911">
        <f>E21</f>
        <v>20</v>
      </c>
    </row>
    <row r="9" spans="2:16">
      <c r="B9" s="978"/>
      <c r="C9" s="978">
        <v>2050</v>
      </c>
      <c r="D9" s="978">
        <f>F20/100</f>
        <v>1</v>
      </c>
      <c r="E9" s="913"/>
      <c r="F9" s="912">
        <f>F17</f>
        <v>250</v>
      </c>
      <c r="G9" s="913">
        <f>F29*$P$5</f>
        <v>0.52150000000000007</v>
      </c>
      <c r="H9" s="911">
        <f>(F34*$P$5/1000000)*1/(F17/1000)</f>
        <v>3.7249999999999998E-2</v>
      </c>
      <c r="I9" s="911">
        <f>F35</f>
        <v>0</v>
      </c>
      <c r="M9" s="911">
        <f>F21</f>
        <v>20</v>
      </c>
    </row>
    <row r="11" spans="2:16">
      <c r="B11" s="911" t="s">
        <v>1140</v>
      </c>
    </row>
    <row r="12" spans="2:16" ht="15" thickBot="1"/>
    <row r="13" spans="2:16">
      <c r="B13" s="1343" t="s">
        <v>0</v>
      </c>
      <c r="C13" s="1345" t="s">
        <v>58</v>
      </c>
      <c r="D13" s="1346"/>
      <c r="E13" s="1346"/>
      <c r="F13" s="1346"/>
      <c r="G13" s="1346"/>
      <c r="H13" s="1347"/>
    </row>
    <row r="14" spans="2:16" ht="15" thickBot="1">
      <c r="B14" s="1344"/>
      <c r="C14" s="1348" t="s">
        <v>53</v>
      </c>
      <c r="D14" s="1349"/>
      <c r="E14" s="1349"/>
      <c r="F14" s="1349"/>
      <c r="G14" s="1349"/>
      <c r="H14" s="1350"/>
    </row>
    <row r="15" spans="2:16" ht="15" thickBot="1">
      <c r="B15" s="1002"/>
      <c r="C15" s="1001">
        <v>2015</v>
      </c>
      <c r="D15" s="1001">
        <v>2020</v>
      </c>
      <c r="E15" s="1001">
        <v>2030</v>
      </c>
      <c r="F15" s="1001">
        <v>2050</v>
      </c>
      <c r="G15" s="1001" t="s">
        <v>2</v>
      </c>
      <c r="H15" s="1001" t="s">
        <v>3</v>
      </c>
    </row>
    <row r="16" spans="2:16" ht="15" thickBot="1">
      <c r="B16" s="1008" t="s">
        <v>4</v>
      </c>
      <c r="C16" s="1007"/>
      <c r="D16" s="1007"/>
      <c r="E16" s="1007"/>
      <c r="F16" s="1007"/>
      <c r="G16" s="1007"/>
      <c r="H16" s="1006"/>
    </row>
    <row r="17" spans="2:8" ht="24.6" thickBot="1">
      <c r="B17" s="1002" t="s">
        <v>5</v>
      </c>
      <c r="C17" s="1001">
        <v>250</v>
      </c>
      <c r="D17" s="1001">
        <v>250</v>
      </c>
      <c r="E17" s="1001">
        <v>250</v>
      </c>
      <c r="F17" s="1001">
        <v>250</v>
      </c>
      <c r="G17" s="1001" t="s">
        <v>6</v>
      </c>
      <c r="H17" s="1001"/>
    </row>
    <row r="18" spans="2:8" ht="36" thickBot="1">
      <c r="B18" s="1002" t="s">
        <v>7</v>
      </c>
      <c r="C18" s="1001">
        <v>100</v>
      </c>
      <c r="D18" s="1001">
        <v>100</v>
      </c>
      <c r="E18" s="1001">
        <v>100</v>
      </c>
      <c r="F18" s="1001">
        <v>100</v>
      </c>
      <c r="G18" s="1001"/>
      <c r="H18" s="1001"/>
    </row>
    <row r="19" spans="2:8" ht="36" thickBot="1">
      <c r="B19" s="1002" t="s">
        <v>8</v>
      </c>
      <c r="C19" s="1001">
        <v>100</v>
      </c>
      <c r="D19" s="1001">
        <v>100</v>
      </c>
      <c r="E19" s="1001">
        <v>100</v>
      </c>
      <c r="F19" s="1001">
        <v>100</v>
      </c>
      <c r="G19" s="1001"/>
      <c r="H19" s="1001"/>
    </row>
    <row r="20" spans="2:8" ht="24.6" thickBot="1">
      <c r="B20" s="1002" t="s">
        <v>9</v>
      </c>
      <c r="C20" s="1001">
        <v>100</v>
      </c>
      <c r="D20" s="1001">
        <v>100</v>
      </c>
      <c r="E20" s="1001">
        <v>100</v>
      </c>
      <c r="F20" s="1001">
        <v>100</v>
      </c>
      <c r="G20" s="1001" t="s">
        <v>59</v>
      </c>
      <c r="H20" s="1001"/>
    </row>
    <row r="21" spans="2:8" ht="24.6" thickBot="1">
      <c r="B21" s="1002" t="s">
        <v>11</v>
      </c>
      <c r="C21" s="1001">
        <v>20</v>
      </c>
      <c r="D21" s="1001">
        <v>20</v>
      </c>
      <c r="E21" s="1001">
        <v>20</v>
      </c>
      <c r="F21" s="1001">
        <v>20</v>
      </c>
      <c r="G21" s="1001"/>
      <c r="H21" s="1001"/>
    </row>
    <row r="22" spans="2:8" ht="15" thickBot="1">
      <c r="B22" s="1008" t="s">
        <v>12</v>
      </c>
      <c r="C22" s="1007"/>
      <c r="D22" s="1007"/>
      <c r="E22" s="1007"/>
      <c r="F22" s="1007"/>
      <c r="G22" s="1007"/>
      <c r="H22" s="1006"/>
    </row>
    <row r="23" spans="2:8" ht="15.6" thickBot="1">
      <c r="B23" s="1002" t="s">
        <v>1139</v>
      </c>
      <c r="C23" s="1001" t="s">
        <v>36</v>
      </c>
      <c r="D23" s="1001" t="s">
        <v>36</v>
      </c>
      <c r="E23" s="1001" t="s">
        <v>36</v>
      </c>
      <c r="F23" s="1001" t="s">
        <v>36</v>
      </c>
      <c r="G23" s="1001"/>
      <c r="H23" s="1001"/>
    </row>
    <row r="24" spans="2:8" ht="15.6" thickBot="1">
      <c r="B24" s="1002" t="s">
        <v>1138</v>
      </c>
      <c r="C24" s="1001" t="s">
        <v>36</v>
      </c>
      <c r="D24" s="1001" t="s">
        <v>36</v>
      </c>
      <c r="E24" s="1001" t="s">
        <v>36</v>
      </c>
      <c r="F24" s="1001" t="s">
        <v>36</v>
      </c>
      <c r="G24" s="1001"/>
      <c r="H24" s="1001"/>
    </row>
    <row r="25" spans="2:8" ht="15.6" thickBot="1">
      <c r="B25" s="1002" t="s">
        <v>1137</v>
      </c>
      <c r="C25" s="1001" t="s">
        <v>36</v>
      </c>
      <c r="D25" s="1001" t="s">
        <v>36</v>
      </c>
      <c r="E25" s="1001" t="s">
        <v>36</v>
      </c>
      <c r="F25" s="1001" t="s">
        <v>36</v>
      </c>
      <c r="G25" s="1001"/>
      <c r="H25" s="1001"/>
    </row>
    <row r="26" spans="2:8" ht="15.6" thickBot="1">
      <c r="B26" s="1002" t="s">
        <v>1136</v>
      </c>
      <c r="C26" s="1001" t="s">
        <v>36</v>
      </c>
      <c r="D26" s="1001" t="s">
        <v>36</v>
      </c>
      <c r="E26" s="1001" t="s">
        <v>36</v>
      </c>
      <c r="F26" s="1001" t="s">
        <v>36</v>
      </c>
      <c r="G26" s="1001"/>
      <c r="H26" s="1001"/>
    </row>
    <row r="27" spans="2:8" ht="15" thickBot="1">
      <c r="B27" s="1002" t="s">
        <v>19</v>
      </c>
      <c r="C27" s="1001" t="s">
        <v>36</v>
      </c>
      <c r="D27" s="1001" t="s">
        <v>36</v>
      </c>
      <c r="E27" s="1001" t="s">
        <v>36</v>
      </c>
      <c r="F27" s="1001" t="s">
        <v>36</v>
      </c>
      <c r="G27" s="1001"/>
      <c r="H27" s="1001"/>
    </row>
    <row r="28" spans="2:8" ht="15" thickBot="1">
      <c r="B28" s="1008" t="s">
        <v>22</v>
      </c>
      <c r="C28" s="1007"/>
      <c r="D28" s="1007"/>
      <c r="E28" s="1007"/>
      <c r="F28" s="1007"/>
      <c r="G28" s="1007"/>
      <c r="H28" s="1006"/>
    </row>
    <row r="29" spans="2:8" ht="24.6" thickBot="1">
      <c r="B29" s="1002" t="s">
        <v>23</v>
      </c>
      <c r="C29" s="1001">
        <v>7.0000000000000007E-2</v>
      </c>
      <c r="D29" s="1001">
        <v>7.0000000000000007E-2</v>
      </c>
      <c r="E29" s="1001">
        <v>7.0000000000000007E-2</v>
      </c>
      <c r="F29" s="1001">
        <v>7.0000000000000007E-2</v>
      </c>
      <c r="G29" s="1001" t="s">
        <v>33</v>
      </c>
      <c r="H29" s="1001" t="s">
        <v>65</v>
      </c>
    </row>
    <row r="30" spans="2:8" ht="24">
      <c r="B30" s="1005" t="s">
        <v>24</v>
      </c>
      <c r="C30" s="1004"/>
      <c r="D30" s="1004"/>
      <c r="E30" s="1004"/>
      <c r="F30" s="1004"/>
      <c r="G30" s="1004"/>
      <c r="H30" s="1004"/>
    </row>
    <row r="31" spans="2:8">
      <c r="B31" s="1005" t="s">
        <v>26</v>
      </c>
      <c r="C31" s="1004" t="s">
        <v>27</v>
      </c>
      <c r="D31" s="1004">
        <v>70</v>
      </c>
      <c r="E31" s="1004">
        <v>70</v>
      </c>
      <c r="F31" s="1004">
        <v>70</v>
      </c>
      <c r="G31" s="1004"/>
      <c r="H31" s="1004"/>
    </row>
    <row r="32" spans="2:8" ht="15" thickBot="1">
      <c r="B32" s="1002" t="s">
        <v>28</v>
      </c>
      <c r="C32" s="1001" t="s">
        <v>29</v>
      </c>
      <c r="D32" s="1001">
        <v>30</v>
      </c>
      <c r="E32" s="1001">
        <v>30</v>
      </c>
      <c r="F32" s="1001">
        <v>30</v>
      </c>
      <c r="G32" s="1001"/>
      <c r="H32" s="1001"/>
    </row>
    <row r="33" spans="2:8" ht="36" thickBot="1">
      <c r="B33" s="1002" t="s">
        <v>30</v>
      </c>
      <c r="C33" s="1001">
        <v>4</v>
      </c>
      <c r="D33" s="1001">
        <v>4</v>
      </c>
      <c r="E33" s="1001">
        <v>4</v>
      </c>
      <c r="F33" s="1001">
        <v>4</v>
      </c>
      <c r="G33" s="1001" t="s">
        <v>20</v>
      </c>
      <c r="H33" s="1001"/>
    </row>
    <row r="34" spans="2:8" ht="15" thickBot="1">
      <c r="B34" s="1002" t="s">
        <v>64</v>
      </c>
      <c r="C34" s="1003">
        <v>1250</v>
      </c>
      <c r="D34" s="1003">
        <v>1250</v>
      </c>
      <c r="E34" s="1003">
        <v>1250</v>
      </c>
      <c r="F34" s="1003">
        <v>1250</v>
      </c>
      <c r="G34" s="1001"/>
      <c r="H34" s="1001">
        <v>7</v>
      </c>
    </row>
    <row r="35" spans="2:8" ht="15" thickBot="1">
      <c r="B35" s="1002" t="s">
        <v>31</v>
      </c>
      <c r="C35" s="1001"/>
      <c r="D35" s="1001"/>
      <c r="E35" s="1001"/>
      <c r="F35" s="1001"/>
      <c r="G35" s="1001"/>
      <c r="H35" s="1001"/>
    </row>
  </sheetData>
  <mergeCells count="3">
    <mergeCell ref="B13:B14"/>
    <mergeCell ref="C13:H13"/>
    <mergeCell ref="C14:H14"/>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B86D-53D5-402C-B0B6-B2C5E6670ACE}">
  <sheetPr>
    <tabColor rgb="FF0070C0"/>
  </sheetPr>
  <dimension ref="A1:CD444"/>
  <sheetViews>
    <sheetView topLeftCell="AS43" zoomScale="90" zoomScaleNormal="90" workbookViewId="0">
      <selection activeCell="M14" sqref="M14"/>
    </sheetView>
  </sheetViews>
  <sheetFormatPr defaultColWidth="9.109375" defaultRowHeight="14.4"/>
  <cols>
    <col min="1" max="1" width="12.6640625" style="905" bestFit="1" customWidth="1"/>
    <col min="2" max="2" width="76.6640625" style="905" bestFit="1" customWidth="1"/>
    <col min="3" max="3" width="14" style="905" bestFit="1" customWidth="1"/>
    <col min="4" max="4" width="10.5546875" style="905" bestFit="1" customWidth="1"/>
    <col min="5" max="5" width="11.44140625" style="905" bestFit="1" customWidth="1"/>
    <col min="6" max="6" width="16.33203125" style="1009" bestFit="1" customWidth="1"/>
    <col min="7" max="7" width="17.88671875" style="905" bestFit="1" customWidth="1"/>
    <col min="8" max="9" width="16.33203125" style="905" bestFit="1" customWidth="1"/>
    <col min="10" max="10" width="16.5546875" style="905" bestFit="1" customWidth="1"/>
    <col min="11" max="11" width="9.44140625" style="905" customWidth="1"/>
    <col min="12" max="12" width="16.33203125" style="905" customWidth="1"/>
    <col min="13" max="13" width="9.109375" style="905"/>
    <col min="14" max="14" width="59.6640625" style="905" bestFit="1" customWidth="1"/>
    <col min="15" max="26" width="9.109375" style="905"/>
    <col min="27" max="27" width="12.44140625" style="905" bestFit="1" customWidth="1"/>
    <col min="28" max="28" width="9.109375" style="905"/>
    <col min="29" max="29" width="19.33203125" style="905" customWidth="1"/>
    <col min="30" max="30" width="17.88671875" style="905" customWidth="1"/>
    <col min="31" max="31" width="19.33203125" style="905" bestFit="1" customWidth="1"/>
    <col min="32" max="32" width="17.88671875" style="905" bestFit="1" customWidth="1"/>
    <col min="33" max="33" width="16.6640625" style="905" bestFit="1" customWidth="1"/>
    <col min="34" max="34" width="15" style="905" bestFit="1" customWidth="1"/>
    <col min="35" max="35" width="17.6640625" style="905" bestFit="1" customWidth="1"/>
    <col min="36" max="36" width="17.88671875" style="905" bestFit="1" customWidth="1"/>
    <col min="37" max="37" width="9.109375" style="905"/>
    <col min="38" max="38" width="11.109375" style="905" bestFit="1" customWidth="1"/>
    <col min="39" max="39" width="10.33203125" style="905" bestFit="1" customWidth="1"/>
    <col min="40" max="46" width="9.109375" style="905"/>
    <col min="47" max="47" width="12.44140625" style="905" bestFit="1" customWidth="1"/>
    <col min="48" max="48" width="9.109375" style="905"/>
    <col min="49" max="49" width="19.33203125" style="905" customWidth="1"/>
    <col min="50" max="50" width="17.88671875" style="905" customWidth="1"/>
    <col min="51" max="51" width="11.44140625" style="905" customWidth="1"/>
    <col min="52" max="52" width="11.109375" style="905" customWidth="1"/>
    <col min="53" max="53" width="10.33203125" style="905" customWidth="1"/>
    <col min="54" max="54" width="10.6640625" style="905" customWidth="1"/>
    <col min="55" max="55" width="17.6640625" style="905" bestFit="1" customWidth="1"/>
    <col min="56" max="56" width="17.88671875" style="905" bestFit="1" customWidth="1"/>
    <col min="57" max="57" width="9.109375" style="905"/>
    <col min="58" max="58" width="11.109375" style="905" bestFit="1" customWidth="1"/>
    <col min="59" max="60" width="11.109375" style="905" customWidth="1"/>
    <col min="61" max="61" width="10.33203125" style="905" bestFit="1" customWidth="1"/>
    <col min="62" max="68" width="9.109375" style="905"/>
    <col min="69" max="69" width="21.109375" style="905" bestFit="1" customWidth="1"/>
    <col min="70" max="79" width="9.109375" style="905"/>
    <col min="80" max="80" width="22.109375" style="905" bestFit="1" customWidth="1"/>
    <col min="81" max="81" width="20.6640625" style="905" bestFit="1" customWidth="1"/>
    <col min="82" max="82" width="21.33203125" style="905" bestFit="1" customWidth="1"/>
    <col min="83" max="16384" width="9.109375" style="905"/>
  </cols>
  <sheetData>
    <row r="1" spans="1:82">
      <c r="A1" s="905" t="s">
        <v>1859</v>
      </c>
      <c r="B1" s="905" t="s">
        <v>1858</v>
      </c>
      <c r="C1" s="905" t="s">
        <v>1857</v>
      </c>
      <c r="D1" s="905" t="s">
        <v>1856</v>
      </c>
      <c r="E1" s="905" t="s">
        <v>1855</v>
      </c>
      <c r="F1" s="1009" t="s">
        <v>1854</v>
      </c>
      <c r="G1" s="905" t="s">
        <v>1733</v>
      </c>
      <c r="H1" s="905" t="s">
        <v>1732</v>
      </c>
      <c r="I1" s="905" t="s">
        <v>1729</v>
      </c>
      <c r="J1" s="905" t="s">
        <v>1728</v>
      </c>
      <c r="K1" s="905" t="s">
        <v>1853</v>
      </c>
      <c r="L1" s="1104" t="s">
        <v>1852</v>
      </c>
    </row>
    <row r="2" spans="1:82">
      <c r="A2" s="905">
        <v>1</v>
      </c>
      <c r="B2" s="905" t="s">
        <v>1851</v>
      </c>
      <c r="C2" s="905">
        <v>29189</v>
      </c>
      <c r="D2" s="905" t="s">
        <v>1115</v>
      </c>
      <c r="E2" s="905" t="s">
        <v>1117</v>
      </c>
      <c r="F2" s="1014"/>
      <c r="G2" s="1013"/>
      <c r="H2" s="1013"/>
      <c r="I2" s="1013"/>
      <c r="J2" s="1012"/>
      <c r="K2" s="1011"/>
      <c r="L2" s="1010"/>
      <c r="N2" s="1103" t="s">
        <v>1850</v>
      </c>
      <c r="O2" s="1102"/>
      <c r="P2" s="1035">
        <v>75</v>
      </c>
      <c r="Q2" s="1013">
        <v>46</v>
      </c>
      <c r="R2" s="1013">
        <v>81</v>
      </c>
      <c r="S2" s="1012">
        <v>42</v>
      </c>
      <c r="T2" s="1011">
        <v>27.491034722222221</v>
      </c>
      <c r="U2" s="1034">
        <v>0.21000010862127022</v>
      </c>
      <c r="V2" s="905">
        <v>1818.2439999999999</v>
      </c>
      <c r="X2" s="905">
        <v>1</v>
      </c>
      <c r="AA2" s="905" t="s">
        <v>1849</v>
      </c>
      <c r="AU2" s="908" t="s">
        <v>1848</v>
      </c>
    </row>
    <row r="3" spans="1:82" ht="15" thickBot="1">
      <c r="A3" s="905">
        <v>2</v>
      </c>
      <c r="B3" s="905" t="s">
        <v>1847</v>
      </c>
      <c r="C3" s="905">
        <v>60183</v>
      </c>
      <c r="D3" s="905" t="s">
        <v>1115</v>
      </c>
      <c r="E3" s="905" t="s">
        <v>1118</v>
      </c>
      <c r="F3" s="1014"/>
      <c r="H3" s="1013"/>
      <c r="I3" s="1013"/>
      <c r="J3" s="1012"/>
      <c r="K3" s="1011"/>
      <c r="L3" s="1010"/>
      <c r="N3" s="1031" t="s">
        <v>1846</v>
      </c>
      <c r="O3" s="1030"/>
      <c r="P3" s="1029">
        <v>75</v>
      </c>
      <c r="Q3" s="1028">
        <v>37</v>
      </c>
      <c r="R3" s="1028">
        <v>83</v>
      </c>
      <c r="S3" s="1027">
        <v>37</v>
      </c>
      <c r="T3" s="1026"/>
      <c r="U3" s="1025">
        <v>0.27873918417799753</v>
      </c>
      <c r="V3" s="905">
        <v>11.67</v>
      </c>
      <c r="X3" s="905">
        <v>2</v>
      </c>
      <c r="AC3" s="1353" t="s">
        <v>1741</v>
      </c>
      <c r="AD3" s="1353"/>
      <c r="AE3" s="1354" t="s">
        <v>1740</v>
      </c>
      <c r="AF3" s="1354"/>
      <c r="AG3" s="1355" t="s">
        <v>1739</v>
      </c>
      <c r="AH3" s="1355"/>
      <c r="AI3" s="1356" t="s">
        <v>1738</v>
      </c>
      <c r="AJ3" s="1356"/>
      <c r="AL3" s="905" t="s">
        <v>1845</v>
      </c>
      <c r="AV3" s="1095"/>
      <c r="AW3" s="1353" t="s">
        <v>1741</v>
      </c>
      <c r="AX3" s="1353"/>
      <c r="AY3" s="1354" t="s">
        <v>1740</v>
      </c>
      <c r="AZ3" s="1354"/>
      <c r="BA3" s="1355" t="s">
        <v>1739</v>
      </c>
      <c r="BB3" s="1355"/>
      <c r="BC3" s="1356" t="s">
        <v>1738</v>
      </c>
      <c r="BD3" s="1356"/>
      <c r="BF3" s="905" t="s">
        <v>1845</v>
      </c>
    </row>
    <row r="4" spans="1:82" ht="15.6">
      <c r="A4" s="905">
        <v>3</v>
      </c>
      <c r="B4" s="905" t="s">
        <v>1844</v>
      </c>
      <c r="C4" s="905">
        <v>29189</v>
      </c>
      <c r="D4" s="905" t="s">
        <v>1115</v>
      </c>
      <c r="E4" s="905" t="s">
        <v>1117</v>
      </c>
      <c r="F4" s="1014">
        <f t="shared" ref="F4:L5" si="0">O3</f>
        <v>0</v>
      </c>
      <c r="G4" s="1013">
        <f t="shared" si="0"/>
        <v>75</v>
      </c>
      <c r="H4" s="1013">
        <f t="shared" si="0"/>
        <v>37</v>
      </c>
      <c r="I4" s="1013">
        <f t="shared" si="0"/>
        <v>83</v>
      </c>
      <c r="J4" s="1012">
        <f t="shared" si="0"/>
        <v>37</v>
      </c>
      <c r="K4" s="1011">
        <f t="shared" si="0"/>
        <v>0</v>
      </c>
      <c r="L4" s="1010">
        <f t="shared" si="0"/>
        <v>0.27873918417799753</v>
      </c>
      <c r="N4" s="1031" t="s">
        <v>1843</v>
      </c>
      <c r="O4" s="1030"/>
      <c r="P4" s="1029">
        <v>75</v>
      </c>
      <c r="Q4" s="1028">
        <v>35</v>
      </c>
      <c r="R4" s="1028">
        <v>82</v>
      </c>
      <c r="S4" s="1027">
        <v>38</v>
      </c>
      <c r="T4" s="1026">
        <v>28.778797668068407</v>
      </c>
      <c r="U4" s="1025">
        <v>0.15252544113528155</v>
      </c>
      <c r="V4" s="905">
        <v>9.0772999999999993</v>
      </c>
      <c r="X4" s="905">
        <v>3</v>
      </c>
      <c r="AA4" s="1076"/>
      <c r="AB4" s="1088"/>
      <c r="AC4" s="1075" t="s">
        <v>1735</v>
      </c>
      <c r="AD4" s="1075" t="s">
        <v>1734</v>
      </c>
      <c r="AE4" s="1074" t="s">
        <v>1733</v>
      </c>
      <c r="AF4" s="1074" t="s">
        <v>1732</v>
      </c>
      <c r="AG4" s="1073" t="s">
        <v>1731</v>
      </c>
      <c r="AH4" s="1073" t="s">
        <v>1730</v>
      </c>
      <c r="AI4" s="1072" t="s">
        <v>1729</v>
      </c>
      <c r="AJ4" s="1071" t="s">
        <v>1728</v>
      </c>
      <c r="AK4" s="1101"/>
      <c r="AL4" s="1100"/>
      <c r="AM4" s="1098" t="s">
        <v>1842</v>
      </c>
      <c r="AN4" s="1098"/>
      <c r="AO4" s="1098" t="s">
        <v>1841</v>
      </c>
      <c r="AP4" s="1098"/>
      <c r="AQ4" s="1098" t="s">
        <v>1840</v>
      </c>
      <c r="AR4" s="1097"/>
      <c r="AU4" s="1089" t="s">
        <v>1817</v>
      </c>
      <c r="AV4" s="1088"/>
      <c r="AW4" s="1075" t="s">
        <v>1735</v>
      </c>
      <c r="AX4" s="1075" t="s">
        <v>1734</v>
      </c>
      <c r="AY4" s="1074" t="s">
        <v>1733</v>
      </c>
      <c r="AZ4" s="1074" t="s">
        <v>1732</v>
      </c>
      <c r="BA4" s="1073" t="s">
        <v>1731</v>
      </c>
      <c r="BB4" s="1073" t="s">
        <v>1730</v>
      </c>
      <c r="BC4" s="1072" t="s">
        <v>1729</v>
      </c>
      <c r="BD4" s="1071" t="s">
        <v>1728</v>
      </c>
      <c r="BE4" s="1101"/>
      <c r="BF4" s="1100"/>
      <c r="BG4" s="1099"/>
      <c r="BH4" s="1099"/>
      <c r="BI4" s="1098" t="s">
        <v>1842</v>
      </c>
      <c r="BJ4" s="1098"/>
      <c r="BK4" s="1098" t="s">
        <v>1841</v>
      </c>
      <c r="BL4" s="1098"/>
      <c r="BM4" s="1098" t="s">
        <v>1840</v>
      </c>
      <c r="BN4" s="1097"/>
      <c r="BR4" s="908" t="s">
        <v>1839</v>
      </c>
    </row>
    <row r="5" spans="1:82" ht="21">
      <c r="A5" s="905">
        <v>4</v>
      </c>
      <c r="B5" s="905" t="s">
        <v>1838</v>
      </c>
      <c r="C5" s="905">
        <v>29189</v>
      </c>
      <c r="D5" s="905" t="s">
        <v>1115</v>
      </c>
      <c r="E5" s="905" t="s">
        <v>1117</v>
      </c>
      <c r="F5" s="1014">
        <f t="shared" si="0"/>
        <v>0</v>
      </c>
      <c r="G5" s="1013">
        <f t="shared" si="0"/>
        <v>75</v>
      </c>
      <c r="H5" s="1013">
        <f t="shared" si="0"/>
        <v>35</v>
      </c>
      <c r="I5" s="1013">
        <f t="shared" si="0"/>
        <v>82</v>
      </c>
      <c r="J5" s="1012">
        <f t="shared" si="0"/>
        <v>38</v>
      </c>
      <c r="K5" s="1011">
        <f t="shared" si="0"/>
        <v>28.778797668068407</v>
      </c>
      <c r="L5" s="1010">
        <f t="shared" si="0"/>
        <v>0.15252544113528155</v>
      </c>
      <c r="N5" s="1031" t="s">
        <v>1837</v>
      </c>
      <c r="O5" s="1030">
        <v>2.6848387184879734E-2</v>
      </c>
      <c r="P5" s="1029">
        <v>76</v>
      </c>
      <c r="Q5" s="1028">
        <v>38</v>
      </c>
      <c r="R5" s="1028">
        <v>76</v>
      </c>
      <c r="S5" s="1027">
        <v>34</v>
      </c>
      <c r="T5" s="1026">
        <v>41.416233020206796</v>
      </c>
      <c r="U5" s="1025">
        <v>0.24038731406118438</v>
      </c>
      <c r="V5" s="905">
        <v>10.826000000000001</v>
      </c>
      <c r="X5" s="905">
        <v>4</v>
      </c>
      <c r="AA5" s="1056" t="s">
        <v>1116</v>
      </c>
      <c r="AB5" s="1081" t="s">
        <v>1118</v>
      </c>
      <c r="AC5" s="1070">
        <f t="shared" ref="AC5:AD8" si="1">AG5</f>
        <v>81.850000000000009</v>
      </c>
      <c r="AD5" s="1070">
        <f t="shared" si="1"/>
        <v>48.903125000000003</v>
      </c>
      <c r="AE5" s="1087">
        <f>AVERAGEIFS(G$2:G$439,$E$2:$E$439,"=DKE",$D$2:$D$439,"=Central",G$2:G$439,"&gt;0",G$2:G$439,"&lt;140")</f>
        <v>77.835294117647067</v>
      </c>
      <c r="AF5" s="1087">
        <f>AVERAGEIFS(H$2:H$439,$E$2:$E$439,"=DKE",$D$2:$D$439,"=Central",H$2:H$439,"&gt;0",H$2:H$439,"&lt;60")</f>
        <v>49.1875</v>
      </c>
      <c r="AG5" s="1068">
        <f t="shared" ref="AG5:AH8" si="2">AVERAGE(AE5,AI5)</f>
        <v>81.850000000000009</v>
      </c>
      <c r="AH5" s="1068">
        <f t="shared" si="2"/>
        <v>48.903125000000003</v>
      </c>
      <c r="AI5" s="1067">
        <f>AVERAGEIFS(I$2:I$439,$E$2:$E$439,"=DKE",$D$2:$D$439,"=Central",I$2:I$439,"&gt;0",I$2:I$439,"&lt;140")</f>
        <v>85.864705882352951</v>
      </c>
      <c r="AJ5" s="1066">
        <f>AVERAGEIFS(J$2:J$439,$E$2:$E$439,"=DKE",$D$2:$D$439,"=Central",J$2:J$439,"&gt;0",J$2:J$439,"&lt;60")</f>
        <v>48.618750000000006</v>
      </c>
      <c r="AL5" s="1050" t="s">
        <v>1836</v>
      </c>
      <c r="AM5" s="905">
        <v>47</v>
      </c>
      <c r="AN5" s="1096" t="s">
        <v>1819</v>
      </c>
      <c r="AO5" s="905">
        <v>5</v>
      </c>
      <c r="AQ5" s="905">
        <v>10</v>
      </c>
      <c r="AR5" s="1049"/>
      <c r="AU5" s="1056" t="s">
        <v>1116</v>
      </c>
      <c r="AV5" s="1081" t="s">
        <v>1118</v>
      </c>
      <c r="AW5" s="1070">
        <f t="shared" ref="AW5:BD8" si="3">AC5</f>
        <v>81.850000000000009</v>
      </c>
      <c r="AX5" s="1070">
        <f t="shared" si="3"/>
        <v>48.903125000000003</v>
      </c>
      <c r="AY5" s="1087">
        <f t="shared" si="3"/>
        <v>77.835294117647067</v>
      </c>
      <c r="AZ5" s="1087">
        <f t="shared" si="3"/>
        <v>49.1875</v>
      </c>
      <c r="BA5" s="1068">
        <f t="shared" si="3"/>
        <v>81.850000000000009</v>
      </c>
      <c r="BB5" s="1068">
        <f t="shared" si="3"/>
        <v>48.903125000000003</v>
      </c>
      <c r="BC5" s="1067">
        <f t="shared" si="3"/>
        <v>85.864705882352951</v>
      </c>
      <c r="BD5" s="1066">
        <f t="shared" si="3"/>
        <v>48.618750000000006</v>
      </c>
      <c r="BF5" s="1050" t="s">
        <v>1836</v>
      </c>
      <c r="BG5" s="905">
        <v>37.5</v>
      </c>
      <c r="BH5" s="1095" t="s">
        <v>1817</v>
      </c>
      <c r="BI5" s="905">
        <f>BG5+273.15</f>
        <v>310.64999999999998</v>
      </c>
      <c r="BJ5" s="1095" t="s">
        <v>1805</v>
      </c>
      <c r="BK5" s="905">
        <v>5</v>
      </c>
      <c r="BM5" s="905">
        <f>273.15+15</f>
        <v>288.14999999999998</v>
      </c>
      <c r="BN5" s="1095" t="s">
        <v>1805</v>
      </c>
    </row>
    <row r="6" spans="1:82" ht="21">
      <c r="A6" s="905">
        <v>5</v>
      </c>
      <c r="B6" s="905" t="s">
        <v>1821</v>
      </c>
      <c r="C6" s="905">
        <v>29189</v>
      </c>
      <c r="D6" s="905" t="s">
        <v>1116</v>
      </c>
      <c r="E6" s="905" t="s">
        <v>1117</v>
      </c>
      <c r="F6" s="1014">
        <f t="shared" ref="F6:L6" si="4">O137</f>
        <v>0</v>
      </c>
      <c r="G6" s="1013">
        <f t="shared" si="4"/>
        <v>63</v>
      </c>
      <c r="H6" s="1013">
        <f t="shared" si="4"/>
        <v>63</v>
      </c>
      <c r="I6" s="1013">
        <f t="shared" si="4"/>
        <v>73</v>
      </c>
      <c r="J6" s="1012">
        <f t="shared" si="4"/>
        <v>73</v>
      </c>
      <c r="K6" s="1011">
        <f t="shared" si="4"/>
        <v>20.783333333333335</v>
      </c>
      <c r="L6" s="1010">
        <f t="shared" si="4"/>
        <v>0.21572413793103448</v>
      </c>
      <c r="N6" s="1031" t="s">
        <v>1835</v>
      </c>
      <c r="O6" s="1030">
        <v>7.0248372927870801E-3</v>
      </c>
      <c r="P6" s="1029">
        <v>75</v>
      </c>
      <c r="Q6" s="1028">
        <v>43</v>
      </c>
      <c r="R6" s="1028">
        <v>75</v>
      </c>
      <c r="S6" s="1027">
        <v>38</v>
      </c>
      <c r="T6" s="1026">
        <v>36.218348662556075</v>
      </c>
      <c r="U6" s="1025">
        <v>0.24022658750966139</v>
      </c>
      <c r="V6" s="905">
        <v>66.662000000000006</v>
      </c>
      <c r="X6" s="905">
        <v>5</v>
      </c>
      <c r="AA6" s="1056" t="s">
        <v>1116</v>
      </c>
      <c r="AB6" s="1081" t="s">
        <v>1117</v>
      </c>
      <c r="AC6" s="1070">
        <f t="shared" si="1"/>
        <v>74.086206896551715</v>
      </c>
      <c r="AD6" s="1070">
        <f t="shared" si="1"/>
        <v>41.023807692307699</v>
      </c>
      <c r="AE6" s="1087">
        <f>AVERAGEIFS(G$2:G$439,$E$2:$E$439,"=DKW",$D$2:$D$439,"=Central",G$2:G$439,"&gt;0",G$2:G$439,"&lt;140")</f>
        <v>70.565862068965515</v>
      </c>
      <c r="AF6" s="1087">
        <f>AVERAGEIFS(H$2:H$439,$E$2:$E$439,"=DKW",$D$2:$D$439,"=Central",H$2:H$439,"&gt;0",H$2:H$439,"&lt;60")</f>
        <v>42.59961538461539</v>
      </c>
      <c r="AG6" s="1068">
        <f t="shared" si="2"/>
        <v>74.086206896551715</v>
      </c>
      <c r="AH6" s="1068">
        <f t="shared" si="2"/>
        <v>41.023807692307699</v>
      </c>
      <c r="AI6" s="1067">
        <f>AVERAGEIFS(I$2:I$439,$E$2:$E$439,"=DKW",$D$2:$D$439,"=Central",I$2:I$439,"&gt;0",I$2:I$439,"&lt;140")</f>
        <v>77.60655172413793</v>
      </c>
      <c r="AJ6" s="1066">
        <f>AVERAGEIFS(J$2:J$439,$E$2:$E$439,"=DKW",$D$2:$D$439,"=Central",J$2:J$439,"&gt;0",J$2:J$439,"&lt;60")</f>
        <v>39.448</v>
      </c>
      <c r="AL6" s="1050" t="s">
        <v>1708</v>
      </c>
      <c r="AM6" s="905">
        <v>70</v>
      </c>
      <c r="AN6" s="1096" t="s">
        <v>1819</v>
      </c>
      <c r="AO6" s="905">
        <v>10</v>
      </c>
      <c r="AQ6" s="905">
        <v>10</v>
      </c>
      <c r="AR6" s="1049"/>
      <c r="AU6" s="1056" t="s">
        <v>1116</v>
      </c>
      <c r="AV6" s="1081" t="s">
        <v>1117</v>
      </c>
      <c r="AW6" s="1070">
        <f t="shared" si="3"/>
        <v>74.086206896551715</v>
      </c>
      <c r="AX6" s="1070">
        <f t="shared" si="3"/>
        <v>41.023807692307699</v>
      </c>
      <c r="AY6" s="1087">
        <f t="shared" si="3"/>
        <v>70.565862068965515</v>
      </c>
      <c r="AZ6" s="1087">
        <f t="shared" si="3"/>
        <v>42.59961538461539</v>
      </c>
      <c r="BA6" s="1068">
        <f t="shared" si="3"/>
        <v>74.086206896551715</v>
      </c>
      <c r="BB6" s="1068">
        <f t="shared" si="3"/>
        <v>41.023807692307699</v>
      </c>
      <c r="BC6" s="1067">
        <f t="shared" si="3"/>
        <v>77.60655172413793</v>
      </c>
      <c r="BD6" s="1066">
        <f t="shared" si="3"/>
        <v>39.448</v>
      </c>
      <c r="BF6" s="1050" t="s">
        <v>1708</v>
      </c>
      <c r="BG6" s="905">
        <v>70</v>
      </c>
      <c r="BH6" s="1095" t="s">
        <v>1817</v>
      </c>
      <c r="BI6" s="905">
        <f>BG6+273.15</f>
        <v>343.15</v>
      </c>
      <c r="BJ6" s="1095" t="s">
        <v>1805</v>
      </c>
      <c r="BK6" s="905">
        <v>10</v>
      </c>
      <c r="BM6" s="905">
        <f>273.15+15</f>
        <v>288.14999999999998</v>
      </c>
      <c r="BN6" s="1095" t="s">
        <v>1805</v>
      </c>
      <c r="BQ6" s="908" t="s">
        <v>1834</v>
      </c>
      <c r="BR6" s="908" t="s">
        <v>1095</v>
      </c>
      <c r="BS6" s="908" t="s">
        <v>1833</v>
      </c>
      <c r="BT6" s="908" t="s">
        <v>1832</v>
      </c>
      <c r="BU6" s="908" t="s">
        <v>1831</v>
      </c>
      <c r="BV6" s="908" t="s">
        <v>1830</v>
      </c>
      <c r="BW6" s="908" t="s">
        <v>1829</v>
      </c>
      <c r="BX6" s="908" t="s">
        <v>1828</v>
      </c>
      <c r="BY6" s="908" t="s">
        <v>1827</v>
      </c>
      <c r="BZ6" s="908" t="s">
        <v>1826</v>
      </c>
      <c r="CA6" s="908" t="s">
        <v>1825</v>
      </c>
      <c r="CB6" s="908" t="s">
        <v>1824</v>
      </c>
      <c r="CC6" s="908" t="s">
        <v>1823</v>
      </c>
      <c r="CD6" s="908" t="s">
        <v>1822</v>
      </c>
    </row>
    <row r="7" spans="1:82" ht="21">
      <c r="A7" s="905">
        <v>6</v>
      </c>
      <c r="B7" s="905" t="s">
        <v>1821</v>
      </c>
      <c r="C7" s="905">
        <v>29189</v>
      </c>
      <c r="D7" s="905" t="s">
        <v>1115</v>
      </c>
      <c r="E7" s="905" t="s">
        <v>1117</v>
      </c>
      <c r="F7" s="1014">
        <f t="shared" ref="F7:L7" si="5">F6</f>
        <v>0</v>
      </c>
      <c r="G7" s="1013">
        <f t="shared" si="5"/>
        <v>63</v>
      </c>
      <c r="H7" s="1013">
        <f t="shared" si="5"/>
        <v>63</v>
      </c>
      <c r="I7" s="1013">
        <f t="shared" si="5"/>
        <v>73</v>
      </c>
      <c r="J7" s="1012">
        <f t="shared" si="5"/>
        <v>73</v>
      </c>
      <c r="K7" s="1011">
        <f t="shared" si="5"/>
        <v>20.783333333333335</v>
      </c>
      <c r="L7" s="1010">
        <f t="shared" si="5"/>
        <v>0.21572413793103448</v>
      </c>
      <c r="N7" s="1031" t="s">
        <v>1820</v>
      </c>
      <c r="O7" s="1030"/>
      <c r="P7" s="1029">
        <v>67</v>
      </c>
      <c r="Q7" s="1028">
        <v>38</v>
      </c>
      <c r="R7" s="1028">
        <v>67</v>
      </c>
      <c r="S7" s="1027">
        <v>34</v>
      </c>
      <c r="T7" s="1026">
        <v>32.944934232948974</v>
      </c>
      <c r="U7" s="1025">
        <v>0.25541295960947957</v>
      </c>
      <c r="V7" s="905">
        <v>9.4570000000000007</v>
      </c>
      <c r="X7" s="905">
        <v>6</v>
      </c>
      <c r="AA7" s="1056" t="s">
        <v>1115</v>
      </c>
      <c r="AB7" s="1081" t="s">
        <v>1118</v>
      </c>
      <c r="AC7" s="1070">
        <f t="shared" si="1"/>
        <v>78.112857142857138</v>
      </c>
      <c r="AD7" s="1070">
        <f t="shared" si="1"/>
        <v>44.137931034482762</v>
      </c>
      <c r="AE7" s="1087">
        <f>AVERAGEIFS(G$2:G$439,$E$2:$E$439,"=DKE",$D$2:$D$439,"=Decentral",G$2:G$439,"&gt;0",G$2:G$439,"&lt;140")</f>
        <v>74.52</v>
      </c>
      <c r="AF7" s="1087">
        <f>AVERAGEIFS(H$2:H$439,$E$2:$E$439,"=DKE",$D$2:$D$439,"=Decentral",H$2:H$439,"&gt;0",H$2:H$439,"&lt;60")</f>
        <v>45.817241379310346</v>
      </c>
      <c r="AG7" s="1068">
        <f t="shared" si="2"/>
        <v>78.112857142857138</v>
      </c>
      <c r="AH7" s="1068">
        <f t="shared" si="2"/>
        <v>44.137931034482762</v>
      </c>
      <c r="AI7" s="1067">
        <f>AVERAGEIFS(I$2:I$439,$E$2:$E$439,"=DKE",$D$2:$D$439,"=Decentral",I$2:I$439,"&gt;0",I$2:I$439,"&lt;140")</f>
        <v>81.705714285714279</v>
      </c>
      <c r="AJ7" s="1066">
        <f>AVERAGEIFS(J$2:J$439,$E$2:$E$439,"=DKE",$D$2:$D$439,"=Decentral",J$2:J$439,"&gt;0",J$2:J$439,"&lt;60")</f>
        <v>42.45862068965517</v>
      </c>
      <c r="AL7" s="1050" t="s">
        <v>1818</v>
      </c>
      <c r="AM7" s="905">
        <v>100</v>
      </c>
      <c r="AN7" s="1096" t="s">
        <v>1819</v>
      </c>
      <c r="AO7" s="905">
        <v>5</v>
      </c>
      <c r="AR7" s="1049"/>
      <c r="AU7" s="1056" t="s">
        <v>1115</v>
      </c>
      <c r="AV7" s="1081" t="s">
        <v>1118</v>
      </c>
      <c r="AW7" s="1070">
        <f t="shared" si="3"/>
        <v>78.112857142857138</v>
      </c>
      <c r="AX7" s="1070">
        <f t="shared" si="3"/>
        <v>44.137931034482762</v>
      </c>
      <c r="AY7" s="1087">
        <f t="shared" si="3"/>
        <v>74.52</v>
      </c>
      <c r="AZ7" s="1087">
        <f t="shared" si="3"/>
        <v>45.817241379310346</v>
      </c>
      <c r="BA7" s="1068">
        <f t="shared" si="3"/>
        <v>78.112857142857138</v>
      </c>
      <c r="BB7" s="1068">
        <f t="shared" si="3"/>
        <v>44.137931034482762</v>
      </c>
      <c r="BC7" s="1067">
        <f t="shared" si="3"/>
        <v>81.705714285714279</v>
      </c>
      <c r="BD7" s="1066">
        <f t="shared" si="3"/>
        <v>42.45862068965517</v>
      </c>
      <c r="BF7" s="1050" t="s">
        <v>1818</v>
      </c>
      <c r="BG7" s="905">
        <v>215</v>
      </c>
      <c r="BH7" s="1095" t="s">
        <v>1817</v>
      </c>
      <c r="BI7" s="905">
        <f>BG7+273.15</f>
        <v>488.15</v>
      </c>
      <c r="BJ7" s="1095" t="s">
        <v>1805</v>
      </c>
      <c r="BK7" s="905">
        <v>5</v>
      </c>
      <c r="BM7" s="905">
        <f>273.15+40</f>
        <v>313.14999999999998</v>
      </c>
      <c r="BN7" s="1095" t="s">
        <v>1805</v>
      </c>
      <c r="BQ7" s="908" t="s">
        <v>1798</v>
      </c>
      <c r="BR7" s="905">
        <v>2015</v>
      </c>
      <c r="BS7" s="905">
        <v>3.5</v>
      </c>
      <c r="BV7" s="905">
        <f t="shared" ref="BV7:BV12" si="6">40+273.15</f>
        <v>313.14999999999998</v>
      </c>
      <c r="BW7" s="905">
        <f>80+273.15</f>
        <v>353.15</v>
      </c>
      <c r="BX7" s="905">
        <f t="shared" ref="BX7:BX14" si="7">7.5+273.15</f>
        <v>280.64999999999998</v>
      </c>
      <c r="BY7" s="905">
        <f t="shared" ref="BY7:BY14" si="8">2.5+273.15</f>
        <v>275.64999999999998</v>
      </c>
      <c r="BZ7" s="908" t="s">
        <v>1797</v>
      </c>
      <c r="CA7" s="1086" t="s">
        <v>1796</v>
      </c>
      <c r="CB7" s="907">
        <f t="shared" ref="CB7:CB22" si="9">BS7/((($BV7-$BW7)/LN($BV7/$BW7))/(($BV7-$BW7)/LN($BV7/$BW7)-($BX7-$BY7)/LN($BX7/$BY7)))</f>
        <v>0.57437849443193578</v>
      </c>
      <c r="CC7" s="907"/>
      <c r="CD7" s="907"/>
    </row>
    <row r="8" spans="1:82" ht="21.6" thickBot="1">
      <c r="A8" s="905">
        <v>7</v>
      </c>
      <c r="B8" s="905" t="s">
        <v>1816</v>
      </c>
      <c r="C8" s="905">
        <v>29189</v>
      </c>
      <c r="D8" s="905" t="s">
        <v>1115</v>
      </c>
      <c r="E8" s="905" t="s">
        <v>1117</v>
      </c>
      <c r="F8" s="1014">
        <f t="shared" ref="F8:L8" si="10">O152</f>
        <v>3.2552457602759412E-2</v>
      </c>
      <c r="G8" s="1013">
        <f t="shared" si="10"/>
        <v>71.3</v>
      </c>
      <c r="H8" s="1013">
        <f t="shared" si="10"/>
        <v>34.6</v>
      </c>
      <c r="I8" s="1013">
        <f t="shared" si="10"/>
        <v>69.5</v>
      </c>
      <c r="J8" s="1012">
        <f t="shared" si="10"/>
        <v>32.6</v>
      </c>
      <c r="K8" s="1011">
        <f t="shared" si="10"/>
        <v>35.553078526925404</v>
      </c>
      <c r="L8" s="1010">
        <f t="shared" si="10"/>
        <v>0.17525811483324669</v>
      </c>
      <c r="N8" s="1031" t="s">
        <v>1815</v>
      </c>
      <c r="O8" s="1030">
        <v>9.2234454031538231E-3</v>
      </c>
      <c r="P8" s="1029">
        <v>72</v>
      </c>
      <c r="Q8" s="1028">
        <v>36.799999999999997</v>
      </c>
      <c r="R8" s="1028">
        <v>72</v>
      </c>
      <c r="S8" s="1027">
        <v>33.299999999999997</v>
      </c>
      <c r="T8" s="1026">
        <v>36.219113113587859</v>
      </c>
      <c r="U8" s="1025">
        <v>0.25401651651651652</v>
      </c>
      <c r="V8" s="905">
        <v>19.873000000000001</v>
      </c>
      <c r="X8" s="905">
        <v>7</v>
      </c>
      <c r="AA8" s="1054" t="s">
        <v>1115</v>
      </c>
      <c r="AB8" s="1080" t="s">
        <v>1117</v>
      </c>
      <c r="AC8" s="1065">
        <f t="shared" si="1"/>
        <v>72.672803468208087</v>
      </c>
      <c r="AD8" s="1065">
        <f t="shared" si="1"/>
        <v>38.255032467532459</v>
      </c>
      <c r="AE8" s="1085">
        <f>AVERAGEIFS(G$2:G$439,$E$2:$E$439,"=DKW",$D$2:$D$439,"=Decentral",G$2:G$439,"&gt;0",G$2:G$439,"&lt;140")</f>
        <v>70.699017341040459</v>
      </c>
      <c r="AF8" s="1085">
        <f>AVERAGEIFS(H$2:H$439,$E$2:$E$439,"=DKW",$D$2:$D$439,"=Decentral",H$2:H$439,"&gt;0",H$2:H$439,"&lt;60")</f>
        <v>39.665064935064933</v>
      </c>
      <c r="AG8" s="1062">
        <f t="shared" si="2"/>
        <v>72.672803468208087</v>
      </c>
      <c r="AH8" s="1062">
        <f t="shared" si="2"/>
        <v>38.255032467532459</v>
      </c>
      <c r="AI8" s="1061">
        <f>AVERAGEIFS(I$2:I$439,$E$2:$E$439,"=DKW",$D$2:$D$439,"=Decentral",I$2:I$439,"&gt;0",I$2:I$439,"&lt;140")</f>
        <v>74.64658959537573</v>
      </c>
      <c r="AJ8" s="1060">
        <f>AVERAGEIFS(J$2:J$439,$E$2:$E$439,"=DKW",$D$2:$D$439,"=Decentral",J$2:J$439,"&gt;0",J$2:J$439,"&lt;60")</f>
        <v>36.844999999999992</v>
      </c>
      <c r="AL8" s="1050" t="s">
        <v>1814</v>
      </c>
      <c r="AM8" s="905">
        <v>0.55000000000000004</v>
      </c>
      <c r="AR8" s="1049"/>
      <c r="AU8" s="1054" t="s">
        <v>1115</v>
      </c>
      <c r="AV8" s="1080" t="s">
        <v>1117</v>
      </c>
      <c r="AW8" s="1065">
        <f t="shared" si="3"/>
        <v>72.672803468208087</v>
      </c>
      <c r="AX8" s="1065">
        <f t="shared" si="3"/>
        <v>38.255032467532459</v>
      </c>
      <c r="AY8" s="1085">
        <f t="shared" si="3"/>
        <v>70.699017341040459</v>
      </c>
      <c r="AZ8" s="1085">
        <f t="shared" si="3"/>
        <v>39.665064935064933</v>
      </c>
      <c r="BA8" s="1062">
        <f t="shared" si="3"/>
        <v>72.672803468208087</v>
      </c>
      <c r="BB8" s="1062">
        <f t="shared" si="3"/>
        <v>38.255032467532459</v>
      </c>
      <c r="BC8" s="1061">
        <f t="shared" si="3"/>
        <v>74.64658959537573</v>
      </c>
      <c r="BD8" s="1060">
        <f t="shared" si="3"/>
        <v>36.844999999999992</v>
      </c>
      <c r="BF8" s="1094" t="s">
        <v>1813</v>
      </c>
      <c r="BI8" s="907">
        <f>CB19</f>
        <v>0.57137667700311223</v>
      </c>
      <c r="BN8" s="1049"/>
      <c r="BQ8" s="908" t="s">
        <v>1798</v>
      </c>
      <c r="BR8" s="905">
        <v>2020</v>
      </c>
      <c r="BS8" s="905">
        <v>3.6</v>
      </c>
      <c r="BT8" s="905">
        <v>3.5</v>
      </c>
      <c r="BU8" s="905">
        <v>3.8</v>
      </c>
      <c r="BV8" s="905">
        <f t="shared" si="6"/>
        <v>313.14999999999998</v>
      </c>
      <c r="BW8" s="905">
        <f>80+273.15</f>
        <v>353.15</v>
      </c>
      <c r="BX8" s="905">
        <f t="shared" si="7"/>
        <v>280.64999999999998</v>
      </c>
      <c r="BY8" s="905">
        <f t="shared" si="8"/>
        <v>275.64999999999998</v>
      </c>
      <c r="BZ8" s="908" t="s">
        <v>1797</v>
      </c>
      <c r="CA8" s="1086" t="s">
        <v>1796</v>
      </c>
      <c r="CB8" s="907">
        <f t="shared" si="9"/>
        <v>0.5907893085585626</v>
      </c>
      <c r="CC8" s="907">
        <f>BT8/((($BV8-$BW8)/LN($BV8/$BW8))/(($BV8-$BW8)/LN($BV8/$BW8)-($BX8-$BY8)/LN($BX8/$BY8)))</f>
        <v>0.57437849443193578</v>
      </c>
      <c r="CD8" s="907">
        <f>BU8/((($BV8-$BW8)/LN($BV8/$BW8))/(($BV8-$BW8)/LN($BV8/$BW8)-($BX8-$BY8)/LN($BX8/$BY8)))</f>
        <v>0.62361093681181601</v>
      </c>
    </row>
    <row r="9" spans="1:82" ht="21">
      <c r="A9" s="905">
        <v>8</v>
      </c>
      <c r="B9" s="905" t="s">
        <v>1812</v>
      </c>
      <c r="C9" s="905">
        <v>29189</v>
      </c>
      <c r="D9" s="905" t="s">
        <v>1115</v>
      </c>
      <c r="E9" s="905" t="s">
        <v>1117</v>
      </c>
      <c r="F9" s="1014"/>
      <c r="G9" s="1013"/>
      <c r="H9" s="1013"/>
      <c r="I9" s="1013"/>
      <c r="J9" s="1012"/>
      <c r="K9" s="1011"/>
      <c r="L9" s="1010"/>
      <c r="N9" s="1031" t="s">
        <v>1811</v>
      </c>
      <c r="O9" s="1030">
        <v>1.8127714881827821E-3</v>
      </c>
      <c r="P9" s="1029">
        <v>72</v>
      </c>
      <c r="Q9" s="1028">
        <v>35</v>
      </c>
      <c r="R9" s="1028">
        <v>72</v>
      </c>
      <c r="S9" s="1027">
        <v>32</v>
      </c>
      <c r="T9" s="1026" t="s">
        <v>805</v>
      </c>
      <c r="U9" s="1025">
        <v>0.28255208333333331</v>
      </c>
      <c r="V9" s="905">
        <v>20.937999999999999</v>
      </c>
      <c r="X9" s="905">
        <v>8</v>
      </c>
      <c r="AL9" s="1092" t="s">
        <v>1810</v>
      </c>
      <c r="AM9" s="1091">
        <v>1</v>
      </c>
      <c r="AN9" s="1091"/>
      <c r="AO9" s="1091"/>
      <c r="AP9" s="1091"/>
      <c r="AQ9" s="1091"/>
      <c r="AR9" s="1090"/>
      <c r="AU9" s="1093"/>
      <c r="AV9" s="1081"/>
      <c r="AW9" s="1070"/>
      <c r="AX9" s="1070"/>
      <c r="AY9" s="1087"/>
      <c r="AZ9" s="1087"/>
      <c r="BA9" s="1068"/>
      <c r="BB9" s="1068"/>
      <c r="BC9" s="1067"/>
      <c r="BD9" s="1067"/>
      <c r="BF9" s="1092" t="s">
        <v>1810</v>
      </c>
      <c r="BG9" s="1091"/>
      <c r="BH9" s="1091"/>
      <c r="BI9" s="1091">
        <v>1</v>
      </c>
      <c r="BJ9" s="1091"/>
      <c r="BK9" s="1091"/>
      <c r="BL9" s="1091"/>
      <c r="BM9" s="1091"/>
      <c r="BN9" s="1090"/>
      <c r="BQ9" s="908" t="s">
        <v>1798</v>
      </c>
      <c r="BR9" s="905">
        <v>2030</v>
      </c>
      <c r="BS9" s="905">
        <v>3.8</v>
      </c>
      <c r="BV9" s="905">
        <f t="shared" si="6"/>
        <v>313.14999999999998</v>
      </c>
      <c r="BW9" s="905">
        <f>80+273.15</f>
        <v>353.15</v>
      </c>
      <c r="BX9" s="905">
        <f t="shared" si="7"/>
        <v>280.64999999999998</v>
      </c>
      <c r="BY9" s="905">
        <f t="shared" si="8"/>
        <v>275.64999999999998</v>
      </c>
      <c r="BZ9" s="908" t="s">
        <v>1797</v>
      </c>
      <c r="CA9" s="1086" t="s">
        <v>1796</v>
      </c>
      <c r="CB9" s="907">
        <f t="shared" si="9"/>
        <v>0.62361093681181601</v>
      </c>
      <c r="CC9" s="907"/>
      <c r="CD9" s="907"/>
    </row>
    <row r="10" spans="1:82" ht="15" thickBot="1">
      <c r="A10" s="905">
        <v>9</v>
      </c>
      <c r="B10" s="905" t="s">
        <v>1809</v>
      </c>
      <c r="C10" s="905">
        <v>29189</v>
      </c>
      <c r="D10" s="905" t="s">
        <v>1115</v>
      </c>
      <c r="E10" s="905" t="s">
        <v>1117</v>
      </c>
      <c r="F10" s="1014">
        <f t="shared" ref="F10:L10" si="11">O5</f>
        <v>2.6848387184879734E-2</v>
      </c>
      <c r="G10" s="1013">
        <f t="shared" si="11"/>
        <v>76</v>
      </c>
      <c r="H10" s="1013">
        <f t="shared" si="11"/>
        <v>38</v>
      </c>
      <c r="I10" s="1013">
        <f t="shared" si="11"/>
        <v>76</v>
      </c>
      <c r="J10" s="1012">
        <f t="shared" si="11"/>
        <v>34</v>
      </c>
      <c r="K10" s="1011">
        <f t="shared" si="11"/>
        <v>41.416233020206796</v>
      </c>
      <c r="L10" s="1010">
        <f t="shared" si="11"/>
        <v>0.24038731406118438</v>
      </c>
      <c r="N10" s="1031" t="s">
        <v>1808</v>
      </c>
      <c r="O10" s="1030"/>
      <c r="P10" s="1029">
        <v>71</v>
      </c>
      <c r="Q10" s="1028">
        <v>39</v>
      </c>
      <c r="R10" s="1028">
        <v>74</v>
      </c>
      <c r="S10" s="1027">
        <v>36</v>
      </c>
      <c r="T10" s="1026">
        <v>36.171486224056316</v>
      </c>
      <c r="U10" s="1025">
        <v>0.28352421318423665</v>
      </c>
      <c r="V10" s="905">
        <v>7.9450000000000003</v>
      </c>
      <c r="X10" s="905">
        <v>9</v>
      </c>
      <c r="AA10" s="905" t="s">
        <v>1695</v>
      </c>
      <c r="AC10" s="905" t="s">
        <v>1707</v>
      </c>
      <c r="AD10" s="905" t="s">
        <v>1706</v>
      </c>
      <c r="AE10" s="905" t="s">
        <v>1705</v>
      </c>
      <c r="AF10" s="905" t="s">
        <v>1704</v>
      </c>
      <c r="AW10" s="1353" t="s">
        <v>1741</v>
      </c>
      <c r="AX10" s="1353"/>
      <c r="AY10" s="1354" t="s">
        <v>1740</v>
      </c>
      <c r="AZ10" s="1354"/>
      <c r="BA10" s="1355" t="s">
        <v>1739</v>
      </c>
      <c r="BB10" s="1355"/>
      <c r="BC10" s="1356" t="s">
        <v>1738</v>
      </c>
      <c r="BD10" s="1356"/>
      <c r="BQ10" s="908" t="s">
        <v>1798</v>
      </c>
      <c r="BR10" s="905">
        <v>2050</v>
      </c>
      <c r="BS10" s="905">
        <v>4.0999999999999996</v>
      </c>
      <c r="BT10" s="905">
        <v>3.5</v>
      </c>
      <c r="BU10" s="905">
        <v>4.5</v>
      </c>
      <c r="BV10" s="905">
        <f t="shared" si="6"/>
        <v>313.14999999999998</v>
      </c>
      <c r="BW10" s="905">
        <f>80+273.15</f>
        <v>353.15</v>
      </c>
      <c r="BX10" s="905">
        <f t="shared" si="7"/>
        <v>280.64999999999998</v>
      </c>
      <c r="BY10" s="905">
        <f t="shared" si="8"/>
        <v>275.64999999999998</v>
      </c>
      <c r="BZ10" s="908" t="s">
        <v>1797</v>
      </c>
      <c r="CA10" s="1086" t="s">
        <v>1796</v>
      </c>
      <c r="CB10" s="907">
        <f t="shared" si="9"/>
        <v>0.67284337919169623</v>
      </c>
      <c r="CC10" s="907">
        <f>BT10/((($BV10-$BW10)/LN($BV10/$BW10))/(($BV10-$BW10)/LN($BV10/$BW10)-($BX10-$BY10)/LN($BX10/$BY10)))</f>
        <v>0.57437849443193578</v>
      </c>
      <c r="CD10" s="907">
        <f>BU10/((($BV10-$BW10)/LN($BV10/$BW10))/(($BV10-$BW10)/LN($BV10/$BW10)-($BX10-$BY10)/LN($BX10/$BY10)))</f>
        <v>0.73848663569820316</v>
      </c>
    </row>
    <row r="11" spans="1:82" ht="18">
      <c r="A11" s="905">
        <v>10</v>
      </c>
      <c r="B11" s="905" t="s">
        <v>1807</v>
      </c>
      <c r="C11" s="905">
        <v>29189</v>
      </c>
      <c r="D11" s="905" t="s">
        <v>1115</v>
      </c>
      <c r="E11" s="905" t="s">
        <v>1117</v>
      </c>
      <c r="F11" s="1014"/>
      <c r="G11" s="1013"/>
      <c r="H11" s="1013"/>
      <c r="I11" s="1013"/>
      <c r="J11" s="1012"/>
      <c r="K11" s="1011"/>
      <c r="L11" s="1010"/>
      <c r="N11" s="1031" t="s">
        <v>1806</v>
      </c>
      <c r="O11" s="1030"/>
      <c r="P11" s="1029">
        <v>67</v>
      </c>
      <c r="Q11" s="1028">
        <v>39</v>
      </c>
      <c r="R11" s="1028">
        <v>68</v>
      </c>
      <c r="S11" s="1027">
        <v>39</v>
      </c>
      <c r="T11" s="1026" t="s">
        <v>805</v>
      </c>
      <c r="U11" s="1025">
        <v>0.13224844990753837</v>
      </c>
      <c r="V11" s="905">
        <v>7.9772400000000001</v>
      </c>
      <c r="X11" s="905">
        <v>10</v>
      </c>
      <c r="AA11" s="1359" t="s">
        <v>1116</v>
      </c>
      <c r="AB11" s="1082" t="s">
        <v>1118</v>
      </c>
      <c r="AC11" s="1058">
        <f>(AC5+273.15+$AO$5)/((AC5+273.15+$AO$5)-($AM$5+273.15-$AO$5))*$AM$8*$AM$9</f>
        <v>4.414715719063544</v>
      </c>
      <c r="AD11" s="1058">
        <f>(AE5+273.15+$AO$5)/((AE5+273.15+$AO$5)-($AM$5+273.15-$AO$5))*$AM$8*$AM$9</f>
        <v>4.7946737251512497</v>
      </c>
      <c r="AE11" s="1058">
        <f>(AG5+273.15+$AO$5)/((AG5+273.15+$AO$5)-($AM$5+273.15-$AO$5))*$AM$8*$AM$9</f>
        <v>4.414715719063544</v>
      </c>
      <c r="AF11" s="1057">
        <f>(AI5+273.15+$AO$5)/((AI5+273.15+$AO$5)-($AM$5+273.15-$AO$5))*$AM$8</f>
        <v>4.097192127121704</v>
      </c>
      <c r="AH11" s="1083"/>
      <c r="AI11" s="1084"/>
      <c r="AJ11" s="1084"/>
      <c r="AK11" s="1084"/>
      <c r="AL11" s="1084"/>
      <c r="AU11" s="1089" t="s">
        <v>1805</v>
      </c>
      <c r="AV11" s="1088"/>
      <c r="AW11" s="1075" t="s">
        <v>1735</v>
      </c>
      <c r="AX11" s="1075" t="s">
        <v>1734</v>
      </c>
      <c r="AY11" s="1074" t="s">
        <v>1733</v>
      </c>
      <c r="AZ11" s="1074" t="s">
        <v>1732</v>
      </c>
      <c r="BA11" s="1073" t="s">
        <v>1731</v>
      </c>
      <c r="BB11" s="1073" t="s">
        <v>1730</v>
      </c>
      <c r="BC11" s="1072" t="s">
        <v>1729</v>
      </c>
      <c r="BD11" s="1071" t="s">
        <v>1728</v>
      </c>
      <c r="BE11" s="1084"/>
      <c r="BF11" s="1084"/>
      <c r="BG11" s="1084"/>
      <c r="BH11" s="1084"/>
      <c r="BQ11" s="908" t="s">
        <v>1798</v>
      </c>
      <c r="BR11" s="905">
        <v>2015</v>
      </c>
      <c r="BS11" s="905">
        <v>3.5</v>
      </c>
      <c r="BV11" s="905">
        <f t="shared" si="6"/>
        <v>313.14999999999998</v>
      </c>
      <c r="BW11" s="905">
        <f>80+273.15</f>
        <v>353.15</v>
      </c>
      <c r="BX11" s="905">
        <f t="shared" si="7"/>
        <v>280.64999999999998</v>
      </c>
      <c r="BY11" s="905">
        <f t="shared" si="8"/>
        <v>275.64999999999998</v>
      </c>
      <c r="BZ11" s="908" t="s">
        <v>1797</v>
      </c>
      <c r="CA11" s="1086" t="s">
        <v>1796</v>
      </c>
      <c r="CB11" s="907">
        <f t="shared" si="9"/>
        <v>0.57437849443193578</v>
      </c>
      <c r="CC11" s="907"/>
      <c r="CD11" s="907"/>
    </row>
    <row r="12" spans="1:82" ht="21">
      <c r="A12" s="905">
        <v>11</v>
      </c>
      <c r="B12" s="905" t="s">
        <v>1804</v>
      </c>
      <c r="C12" s="905">
        <v>29189</v>
      </c>
      <c r="D12" s="905" t="s">
        <v>1115</v>
      </c>
      <c r="E12" s="905" t="s">
        <v>1117</v>
      </c>
      <c r="F12" s="1014">
        <f t="shared" ref="F12:L12" si="12">O6</f>
        <v>7.0248372927870801E-3</v>
      </c>
      <c r="G12" s="1013">
        <f t="shared" si="12"/>
        <v>75</v>
      </c>
      <c r="H12" s="1013">
        <f t="shared" si="12"/>
        <v>43</v>
      </c>
      <c r="I12" s="1013">
        <f t="shared" si="12"/>
        <v>75</v>
      </c>
      <c r="J12" s="1012">
        <f t="shared" si="12"/>
        <v>38</v>
      </c>
      <c r="K12" s="1011">
        <f t="shared" si="12"/>
        <v>36.218348662556075</v>
      </c>
      <c r="L12" s="1010">
        <f t="shared" si="12"/>
        <v>0.24022658750966139</v>
      </c>
      <c r="N12" s="1031" t="s">
        <v>1803</v>
      </c>
      <c r="O12" s="1030"/>
      <c r="P12" s="1029">
        <v>72</v>
      </c>
      <c r="Q12" s="1028">
        <v>42</v>
      </c>
      <c r="R12" s="1028">
        <v>85</v>
      </c>
      <c r="S12" s="1027">
        <v>45</v>
      </c>
      <c r="T12" s="1026">
        <v>32.071334210213017</v>
      </c>
      <c r="U12" s="1025">
        <v>0.16574868264164008</v>
      </c>
      <c r="V12" s="905">
        <v>65.069099999999992</v>
      </c>
      <c r="X12" s="905">
        <v>11</v>
      </c>
      <c r="AA12" s="1357"/>
      <c r="AB12" s="1081" t="s">
        <v>1117</v>
      </c>
      <c r="AC12" s="907">
        <f>(AC6+273.15+$AO$5)/((AC6+273.15+$AO$5)-($AM$5+273.15-$AO$5))*$AM$8*$AM$9</f>
        <v>5.2237726638772637</v>
      </c>
      <c r="AD12" s="907">
        <f>(AE6+273.15+$AO$5)/((AE6+273.15+$AO$5)-($AM$5+273.15-$AO$5))*$AM$8*$AM$9</f>
        <v>5.7139519832341934</v>
      </c>
      <c r="AE12" s="907">
        <f>(AG6+273.15+$AO$5)/((AG6+273.15+$AO$5)-($AM$5+273.15-$AO$5))*$AM$8*$AM$9</f>
        <v>5.2237726638772637</v>
      </c>
      <c r="AF12" s="1055">
        <f>(AI6+273.15+$AO$5)/((AI6+273.15+$AO$5)-($AM$5+273.15-$AO$5))*$AM$8</f>
        <v>4.8185845667847031</v>
      </c>
      <c r="AH12" s="1083"/>
      <c r="AI12" s="1084"/>
      <c r="AJ12" s="1084"/>
      <c r="AK12" s="1084"/>
      <c r="AL12" s="1084"/>
      <c r="AU12" s="1056" t="s">
        <v>1116</v>
      </c>
      <c r="AV12" s="1081" t="s">
        <v>1118</v>
      </c>
      <c r="AW12" s="1070">
        <f t="shared" ref="AW12:BD15" si="13">AC5+273.15</f>
        <v>355</v>
      </c>
      <c r="AX12" s="1070">
        <f t="shared" si="13"/>
        <v>322.05312499999997</v>
      </c>
      <c r="AY12" s="1087">
        <f t="shared" si="13"/>
        <v>350.98529411764707</v>
      </c>
      <c r="AZ12" s="1087">
        <f t="shared" si="13"/>
        <v>322.33749999999998</v>
      </c>
      <c r="BA12" s="1068">
        <f t="shared" si="13"/>
        <v>355</v>
      </c>
      <c r="BB12" s="1068">
        <f t="shared" si="13"/>
        <v>322.05312499999997</v>
      </c>
      <c r="BC12" s="1067">
        <f t="shared" si="13"/>
        <v>359.01470588235293</v>
      </c>
      <c r="BD12" s="1066">
        <f t="shared" si="13"/>
        <v>321.76874999999995</v>
      </c>
      <c r="BE12" s="1084"/>
      <c r="BF12" s="1084"/>
      <c r="BG12" s="1084"/>
      <c r="BH12" s="1084"/>
      <c r="BQ12" s="908" t="s">
        <v>1798</v>
      </c>
      <c r="BR12" s="905">
        <v>2020</v>
      </c>
      <c r="BS12" s="905">
        <v>4</v>
      </c>
      <c r="BT12" s="905">
        <v>3.5</v>
      </c>
      <c r="BU12" s="905">
        <v>4.5</v>
      </c>
      <c r="BV12" s="905">
        <f t="shared" si="6"/>
        <v>313.14999999999998</v>
      </c>
      <c r="BW12" s="905">
        <f>75+273.15</f>
        <v>348.15</v>
      </c>
      <c r="BX12" s="905">
        <f t="shared" si="7"/>
        <v>280.64999999999998</v>
      </c>
      <c r="BY12" s="905">
        <f t="shared" si="8"/>
        <v>275.64999999999998</v>
      </c>
      <c r="BZ12" s="908" t="s">
        <v>1797</v>
      </c>
      <c r="CA12" s="1086" t="s">
        <v>1796</v>
      </c>
      <c r="CB12" s="907">
        <f t="shared" si="9"/>
        <v>0.63205619065481244</v>
      </c>
      <c r="CC12" s="907">
        <f>BT12/((($BV12-$BW12)/LN($BV12/$BW12))/(($BV12-$BW12)/LN($BV12/$BW12)-($BX12-$BY12)/LN($BX12/$BY12)))</f>
        <v>0.5530491668229609</v>
      </c>
      <c r="CD12" s="907">
        <f>BU12/((($BV12-$BW12)/LN($BV12/$BW12))/(($BV12-$BW12)/LN($BV12/$BW12)-($BX12-$BY12)/LN($BX12/$BY12)))</f>
        <v>0.71106321448666399</v>
      </c>
    </row>
    <row r="13" spans="1:82" ht="21">
      <c r="A13" s="905">
        <v>12</v>
      </c>
      <c r="B13" s="905" t="s">
        <v>1802</v>
      </c>
      <c r="C13" s="905">
        <v>29189</v>
      </c>
      <c r="D13" s="905" t="s">
        <v>1115</v>
      </c>
      <c r="E13" s="905" t="s">
        <v>1117</v>
      </c>
      <c r="F13" s="1014"/>
      <c r="G13" s="1013"/>
      <c r="H13" s="1013"/>
      <c r="I13" s="1013"/>
      <c r="J13" s="1012"/>
      <c r="K13" s="1011"/>
      <c r="L13" s="1010"/>
      <c r="N13" s="1031" t="s">
        <v>1801</v>
      </c>
      <c r="O13" s="1030">
        <v>7.1007682553889756E-2</v>
      </c>
      <c r="P13" s="1029">
        <v>68</v>
      </c>
      <c r="Q13" s="1028">
        <v>38</v>
      </c>
      <c r="R13" s="1028">
        <v>72</v>
      </c>
      <c r="S13" s="1027">
        <v>33</v>
      </c>
      <c r="T13" s="1026">
        <v>35.785327457812848</v>
      </c>
      <c r="U13" s="1025">
        <v>0.28133279807306305</v>
      </c>
      <c r="V13" s="905">
        <v>8.9510000000000005</v>
      </c>
      <c r="X13" s="905">
        <v>12</v>
      </c>
      <c r="AA13" s="1357" t="s">
        <v>1115</v>
      </c>
      <c r="AB13" s="1081" t="s">
        <v>1118</v>
      </c>
      <c r="AC13" s="907">
        <f>(AC7+273.15+$AO$5)/((AC7+273.15+$AO$5)-($AM$5+273.15-$AO$5))*$AM$8*$AM$9</f>
        <v>4.7660168873136666</v>
      </c>
      <c r="AD13" s="907">
        <f>(AE7+273.15+$AO$5)/((AE7+273.15+$AO$5)-($AM$5+273.15-$AO$5))*$AM$8*$AM$9</f>
        <v>5.1697361407249485</v>
      </c>
      <c r="AE13" s="907">
        <f>(AG7+273.15+$AO$5)/((AG7+273.15+$AO$5)-($AM$5+273.15-$AO$5))*$AM$8*$AM$9</f>
        <v>4.7660168873136666</v>
      </c>
      <c r="AF13" s="1055">
        <f>(AI7+273.15+$AO$5)/((AI7+273.15+$AO$5)-($AM$5+273.15-$AO$5))*$AM$8</f>
        <v>4.4271889180034503</v>
      </c>
      <c r="AH13" s="1083"/>
      <c r="AI13" s="1083"/>
      <c r="AJ13" s="1083"/>
      <c r="AK13" s="1083"/>
      <c r="AL13" s="1083"/>
      <c r="AU13" s="1056" t="s">
        <v>1116</v>
      </c>
      <c r="AV13" s="1081" t="s">
        <v>1117</v>
      </c>
      <c r="AW13" s="1070">
        <f t="shared" si="13"/>
        <v>347.23620689655172</v>
      </c>
      <c r="AX13" s="1070">
        <f t="shared" si="13"/>
        <v>314.17380769230766</v>
      </c>
      <c r="AY13" s="1087">
        <f t="shared" si="13"/>
        <v>343.71586206896552</v>
      </c>
      <c r="AZ13" s="1087">
        <f t="shared" si="13"/>
        <v>315.74961538461537</v>
      </c>
      <c r="BA13" s="1068">
        <f t="shared" si="13"/>
        <v>347.23620689655172</v>
      </c>
      <c r="BB13" s="1068">
        <f t="shared" si="13"/>
        <v>314.17380769230766</v>
      </c>
      <c r="BC13" s="1067">
        <f t="shared" si="13"/>
        <v>350.75655172413792</v>
      </c>
      <c r="BD13" s="1066">
        <f t="shared" si="13"/>
        <v>312.59799999999996</v>
      </c>
      <c r="BE13" s="1083"/>
      <c r="BF13" s="1083"/>
      <c r="BG13" s="1083"/>
      <c r="BH13" s="1083"/>
      <c r="BQ13" s="908" t="s">
        <v>1798</v>
      </c>
      <c r="BR13" s="905">
        <v>2030</v>
      </c>
      <c r="BS13" s="905">
        <v>4.8</v>
      </c>
      <c r="BV13" s="905">
        <f>35+273.15</f>
        <v>308.14999999999998</v>
      </c>
      <c r="BW13" s="905">
        <f>70+273.15</f>
        <v>343.15</v>
      </c>
      <c r="BX13" s="905">
        <f t="shared" si="7"/>
        <v>280.64999999999998</v>
      </c>
      <c r="BY13" s="905">
        <f t="shared" si="8"/>
        <v>275.64999999999998</v>
      </c>
      <c r="BZ13" s="908" t="s">
        <v>1797</v>
      </c>
      <c r="CA13" s="1086" t="s">
        <v>1796</v>
      </c>
      <c r="CB13" s="907">
        <f t="shared" si="9"/>
        <v>0.69629525282299742</v>
      </c>
      <c r="CC13" s="907"/>
      <c r="CD13" s="907"/>
    </row>
    <row r="14" spans="1:82" ht="21.6" thickBot="1">
      <c r="A14" s="905">
        <v>13</v>
      </c>
      <c r="B14" s="905" t="s">
        <v>1800</v>
      </c>
      <c r="C14" s="905">
        <v>29189</v>
      </c>
      <c r="D14" s="905" t="s">
        <v>1115</v>
      </c>
      <c r="E14" s="905" t="s">
        <v>1117</v>
      </c>
      <c r="F14" s="1014">
        <f t="shared" ref="F14:L16" si="14">O7</f>
        <v>0</v>
      </c>
      <c r="G14" s="1013">
        <f t="shared" si="14"/>
        <v>67</v>
      </c>
      <c r="H14" s="1013">
        <f t="shared" si="14"/>
        <v>38</v>
      </c>
      <c r="I14" s="1013">
        <f t="shared" si="14"/>
        <v>67</v>
      </c>
      <c r="J14" s="1012">
        <f t="shared" si="14"/>
        <v>34</v>
      </c>
      <c r="K14" s="1011">
        <f t="shared" si="14"/>
        <v>32.944934232948974</v>
      </c>
      <c r="L14" s="1010">
        <f t="shared" si="14"/>
        <v>0.25541295960947957</v>
      </c>
      <c r="N14" s="1031" t="s">
        <v>1799</v>
      </c>
      <c r="O14" s="1030"/>
      <c r="P14" s="1029">
        <v>69</v>
      </c>
      <c r="Q14" s="1028">
        <v>41</v>
      </c>
      <c r="R14" s="1028">
        <v>72</v>
      </c>
      <c r="S14" s="1027">
        <v>36</v>
      </c>
      <c r="T14" s="1026">
        <v>34.4</v>
      </c>
      <c r="U14" s="1025">
        <v>0.18216666666666667</v>
      </c>
      <c r="V14" s="905">
        <v>63.790999999999997</v>
      </c>
      <c r="X14" s="905">
        <v>13</v>
      </c>
      <c r="AA14" s="1358"/>
      <c r="AB14" s="1080" t="s">
        <v>1117</v>
      </c>
      <c r="AC14" s="1053">
        <f>(AC8+273.15+$AO$5)/((AC8+273.15+$AO$5)-($AM$5+273.15-$AO$5))*$AM$8*$AM$9</f>
        <v>5.4089536887527059</v>
      </c>
      <c r="AD14" s="1053">
        <f>(AE8+273.15+$AO$5)/((AE8+273.15+$AO$5)-($AM$5+273.15-$AO$5))*$AM$8*$AM$9</f>
        <v>5.6935476069180924</v>
      </c>
      <c r="AE14" s="1053">
        <f>(AG8+273.15+$AO$5)/((AG8+273.15+$AO$5)-($AM$5+273.15-$AO$5))*$AM$8*$AM$9</f>
        <v>5.4089536887527059</v>
      </c>
      <c r="AF14" s="1052">
        <f>(AI8+273.15+$AO$5)/((AI8+273.15+$AO$5)-($AM$5+273.15-$AO$5))*$AM$8</f>
        <v>5.1542019174371889</v>
      </c>
      <c r="AH14" s="1083"/>
      <c r="AI14" s="1083"/>
      <c r="AJ14" s="1083"/>
      <c r="AU14" s="1056" t="s">
        <v>1115</v>
      </c>
      <c r="AV14" s="1081" t="s">
        <v>1118</v>
      </c>
      <c r="AW14" s="1070">
        <f t="shared" si="13"/>
        <v>351.26285714285711</v>
      </c>
      <c r="AX14" s="1070">
        <f t="shared" si="13"/>
        <v>317.28793103448277</v>
      </c>
      <c r="AY14" s="1087">
        <f t="shared" si="13"/>
        <v>347.66999999999996</v>
      </c>
      <c r="AZ14" s="1087">
        <f t="shared" si="13"/>
        <v>318.96724137931034</v>
      </c>
      <c r="BA14" s="1068">
        <f t="shared" si="13"/>
        <v>351.26285714285711</v>
      </c>
      <c r="BB14" s="1068">
        <f t="shared" si="13"/>
        <v>317.28793103448277</v>
      </c>
      <c r="BC14" s="1067">
        <f t="shared" si="13"/>
        <v>354.85571428571427</v>
      </c>
      <c r="BD14" s="1066">
        <f t="shared" si="13"/>
        <v>315.60862068965514</v>
      </c>
      <c r="BI14" s="907"/>
      <c r="BQ14" s="908" t="s">
        <v>1798</v>
      </c>
      <c r="BR14" s="905">
        <v>2050</v>
      </c>
      <c r="BS14" s="905">
        <v>6</v>
      </c>
      <c r="BT14" s="905">
        <v>3.5</v>
      </c>
      <c r="BU14" s="905">
        <v>7</v>
      </c>
      <c r="BV14" s="905">
        <f>30+273.15</f>
        <v>303.14999999999998</v>
      </c>
      <c r="BW14" s="905">
        <f>60+273.15</f>
        <v>333.15</v>
      </c>
      <c r="BX14" s="905">
        <f t="shared" si="7"/>
        <v>280.64999999999998</v>
      </c>
      <c r="BY14" s="905">
        <f t="shared" si="8"/>
        <v>275.64999999999998</v>
      </c>
      <c r="BZ14" s="908" t="s">
        <v>1797</v>
      </c>
      <c r="CA14" s="1086" t="s">
        <v>1796</v>
      </c>
      <c r="CB14" s="907">
        <f t="shared" si="9"/>
        <v>0.75061048720144463</v>
      </c>
      <c r="CC14" s="907">
        <f>BT14/((($BV14-$BW14)/LN($BV14/$BW14))/(($BV14-$BW14)/LN($BV14/$BW14)-($BX14-$BY14)/LN($BX14/$BY14)))</f>
        <v>0.43785611753417603</v>
      </c>
      <c r="CD14" s="907">
        <f>BU14/((($BV14-$BW14)/LN($BV14/$BW14))/(($BV14-$BW14)/LN($BV14/$BW14)-($BX14-$BY14)/LN($BX14/$BY14)))</f>
        <v>0.87571223506835205</v>
      </c>
    </row>
    <row r="15" spans="1:82" ht="21.6" thickBot="1">
      <c r="A15" s="905">
        <v>14</v>
      </c>
      <c r="B15" s="905" t="s">
        <v>1795</v>
      </c>
      <c r="C15" s="905">
        <v>29189</v>
      </c>
      <c r="D15" s="905" t="s">
        <v>1115</v>
      </c>
      <c r="E15" s="905" t="s">
        <v>1117</v>
      </c>
      <c r="F15" s="1014">
        <f t="shared" si="14"/>
        <v>9.2234454031538231E-3</v>
      </c>
      <c r="G15" s="1013">
        <f t="shared" si="14"/>
        <v>72</v>
      </c>
      <c r="H15" s="1013">
        <f t="shared" si="14"/>
        <v>36.799999999999997</v>
      </c>
      <c r="I15" s="1013">
        <f t="shared" si="14"/>
        <v>72</v>
      </c>
      <c r="J15" s="1012">
        <f t="shared" si="14"/>
        <v>33.299999999999997</v>
      </c>
      <c r="K15" s="1011">
        <f t="shared" si="14"/>
        <v>36.219113113587859</v>
      </c>
      <c r="L15" s="1010">
        <f t="shared" si="14"/>
        <v>0.25401651651651652</v>
      </c>
      <c r="N15" s="1031" t="s">
        <v>1794</v>
      </c>
      <c r="O15" s="1030"/>
      <c r="P15" s="1029">
        <v>68</v>
      </c>
      <c r="Q15" s="1028">
        <v>38</v>
      </c>
      <c r="R15" s="1028">
        <v>66</v>
      </c>
      <c r="S15" s="1027">
        <v>35</v>
      </c>
      <c r="T15" s="1026" t="s">
        <v>805</v>
      </c>
      <c r="U15" s="1025">
        <v>0.20638929769658007</v>
      </c>
      <c r="V15" s="905">
        <v>28.148578000000001</v>
      </c>
      <c r="X15" s="905">
        <v>14</v>
      </c>
      <c r="AI15" s="1013"/>
      <c r="AU15" s="1054" t="s">
        <v>1115</v>
      </c>
      <c r="AV15" s="1080" t="s">
        <v>1117</v>
      </c>
      <c r="AW15" s="1065">
        <f t="shared" si="13"/>
        <v>345.82280346820806</v>
      </c>
      <c r="AX15" s="1065">
        <f t="shared" si="13"/>
        <v>311.40503246753246</v>
      </c>
      <c r="AY15" s="1085">
        <f t="shared" si="13"/>
        <v>343.84901734104045</v>
      </c>
      <c r="AZ15" s="1085">
        <f t="shared" si="13"/>
        <v>312.81506493506492</v>
      </c>
      <c r="BA15" s="1062">
        <f t="shared" si="13"/>
        <v>345.82280346820806</v>
      </c>
      <c r="BB15" s="1062">
        <f t="shared" si="13"/>
        <v>311.40503246753246</v>
      </c>
      <c r="BC15" s="1061">
        <f t="shared" si="13"/>
        <v>347.79658959537574</v>
      </c>
      <c r="BD15" s="1060">
        <f t="shared" si="13"/>
        <v>309.99499999999995</v>
      </c>
      <c r="BI15" s="907"/>
      <c r="BQ15" s="908" t="s">
        <v>1787</v>
      </c>
      <c r="BR15" s="905">
        <v>2015</v>
      </c>
      <c r="BS15" s="905">
        <v>4.4000000000000004</v>
      </c>
      <c r="BV15" s="905">
        <f>40+273.15</f>
        <v>313.14999999999998</v>
      </c>
      <c r="BW15" s="905">
        <f>80+273.15</f>
        <v>353.15</v>
      </c>
      <c r="BX15" s="905">
        <f>20+273.15</f>
        <v>293.14999999999998</v>
      </c>
      <c r="BY15" s="905">
        <f>15+273.15</f>
        <v>288.14999999999998</v>
      </c>
      <c r="CB15" s="907">
        <f t="shared" si="9"/>
        <v>0.55678200488073171</v>
      </c>
      <c r="CC15" s="907"/>
      <c r="CD15" s="907"/>
    </row>
    <row r="16" spans="1:82">
      <c r="A16" s="905">
        <v>15</v>
      </c>
      <c r="B16" s="905" t="s">
        <v>1793</v>
      </c>
      <c r="C16" s="905">
        <v>29189</v>
      </c>
      <c r="D16" s="905" t="s">
        <v>1115</v>
      </c>
      <c r="E16" s="905" t="s">
        <v>1117</v>
      </c>
      <c r="F16" s="1014">
        <f t="shared" si="14"/>
        <v>1.8127714881827821E-3</v>
      </c>
      <c r="G16" s="1013">
        <f t="shared" si="14"/>
        <v>72</v>
      </c>
      <c r="H16" s="1013">
        <f t="shared" si="14"/>
        <v>35</v>
      </c>
      <c r="I16" s="1013">
        <f t="shared" si="14"/>
        <v>72</v>
      </c>
      <c r="J16" s="1012">
        <f t="shared" si="14"/>
        <v>32</v>
      </c>
      <c r="K16" s="1011" t="str">
        <f t="shared" si="14"/>
        <v/>
      </c>
      <c r="L16" s="1010">
        <f t="shared" si="14"/>
        <v>0.28255208333333331</v>
      </c>
      <c r="N16" s="1031" t="s">
        <v>1792</v>
      </c>
      <c r="O16" s="1030"/>
      <c r="P16" s="1029">
        <v>75</v>
      </c>
      <c r="Q16" s="1028">
        <v>45</v>
      </c>
      <c r="R16" s="1028">
        <v>80</v>
      </c>
      <c r="S16" s="1027">
        <v>42</v>
      </c>
      <c r="T16" s="1026" t="s">
        <v>805</v>
      </c>
      <c r="U16" s="1025">
        <v>0.23425876726886291</v>
      </c>
      <c r="V16" s="905">
        <v>23.058</v>
      </c>
      <c r="X16" s="905">
        <v>15</v>
      </c>
      <c r="BI16" s="907"/>
      <c r="BQ16" s="908" t="s">
        <v>1787</v>
      </c>
      <c r="BR16" s="905">
        <v>2020</v>
      </c>
      <c r="BS16" s="905">
        <v>5</v>
      </c>
      <c r="BT16" s="905">
        <v>4.4000000000000004</v>
      </c>
      <c r="BU16" s="905">
        <v>6</v>
      </c>
      <c r="BV16" s="905">
        <f>40+273.15</f>
        <v>313.14999999999998</v>
      </c>
      <c r="BW16" s="905">
        <f>75+273.15</f>
        <v>348.15</v>
      </c>
      <c r="BX16" s="905">
        <f>20+273.15</f>
        <v>293.14999999999998</v>
      </c>
      <c r="BY16" s="905">
        <f>15+273.15</f>
        <v>288.14999999999998</v>
      </c>
      <c r="CB16" s="907">
        <f t="shared" si="9"/>
        <v>0.60086694739965307</v>
      </c>
      <c r="CC16" s="907">
        <f>BT16/((($BV16-$BW16)/LN($BV16/$BW16))/(($BV16-$BW16)/LN($BV16/$BW16)-($BX16-$BY16)/LN($BX16/$BY16)))</f>
        <v>0.52876291371169482</v>
      </c>
      <c r="CD16" s="907">
        <f>BU16/((($BV16-$BW16)/LN($BV16/$BW16))/(($BV16-$BW16)/LN($BV16/$BW16)-($BX16-$BY16)/LN($BX16/$BY16)))</f>
        <v>0.7210403368795838</v>
      </c>
    </row>
    <row r="17" spans="1:82" ht="15" thickBot="1">
      <c r="A17" s="905">
        <v>16</v>
      </c>
      <c r="B17" s="905" t="s">
        <v>1791</v>
      </c>
      <c r="C17" s="905">
        <v>29189</v>
      </c>
      <c r="D17" s="905" t="s">
        <v>1115</v>
      </c>
      <c r="E17" s="905" t="s">
        <v>1117</v>
      </c>
      <c r="F17" s="1014"/>
      <c r="G17" s="1013"/>
      <c r="H17" s="1013"/>
      <c r="I17" s="1013"/>
      <c r="J17" s="1012"/>
      <c r="K17" s="1011"/>
      <c r="L17" s="1010"/>
      <c r="N17" s="1031" t="s">
        <v>1790</v>
      </c>
      <c r="O17" s="1030"/>
      <c r="P17" s="1029">
        <v>68</v>
      </c>
      <c r="Q17" s="1028">
        <v>42</v>
      </c>
      <c r="R17" s="1028">
        <v>71</v>
      </c>
      <c r="S17" s="1027">
        <v>39</v>
      </c>
      <c r="T17" s="1026"/>
      <c r="U17" s="1025">
        <v>0.36491505815015529</v>
      </c>
      <c r="V17" s="905">
        <v>10.43</v>
      </c>
      <c r="X17" s="905">
        <v>16</v>
      </c>
      <c r="AA17" s="905" t="s">
        <v>1708</v>
      </c>
      <c r="AC17" s="905" t="s">
        <v>1707</v>
      </c>
      <c r="AD17" s="905" t="s">
        <v>1706</v>
      </c>
      <c r="AE17" s="905" t="s">
        <v>1705</v>
      </c>
      <c r="AF17" s="905" t="s">
        <v>1704</v>
      </c>
      <c r="AU17" s="905" t="s">
        <v>1695</v>
      </c>
      <c r="AW17" s="905" t="s">
        <v>1707</v>
      </c>
      <c r="AX17" s="905" t="s">
        <v>1706</v>
      </c>
      <c r="AY17" s="905" t="s">
        <v>1705</v>
      </c>
      <c r="AZ17" s="905" t="s">
        <v>1704</v>
      </c>
      <c r="BI17" s="907"/>
      <c r="BQ17" s="908" t="s">
        <v>1787</v>
      </c>
      <c r="BR17" s="905">
        <v>2030</v>
      </c>
      <c r="BS17" s="905">
        <v>6</v>
      </c>
      <c r="BV17" s="905">
        <f>35+273.15</f>
        <v>308.14999999999998</v>
      </c>
      <c r="BW17" s="905">
        <f>70+273.15</f>
        <v>343.15</v>
      </c>
      <c r="BX17" s="905">
        <f>20+273.15</f>
        <v>293.14999999999998</v>
      </c>
      <c r="BY17" s="905">
        <f>15+273.15</f>
        <v>288.14999999999998</v>
      </c>
      <c r="CB17" s="907">
        <f t="shared" si="9"/>
        <v>0.63983242792604467</v>
      </c>
      <c r="CC17" s="907"/>
      <c r="CD17" s="907"/>
    </row>
    <row r="18" spans="1:82" ht="18">
      <c r="A18" s="905">
        <v>17</v>
      </c>
      <c r="B18" s="905" t="s">
        <v>1789</v>
      </c>
      <c r="C18" s="905">
        <v>55606</v>
      </c>
      <c r="D18" s="905" t="s">
        <v>1116</v>
      </c>
      <c r="E18" s="905" t="s">
        <v>1118</v>
      </c>
      <c r="F18" s="1014">
        <f t="shared" ref="F18:L18" si="15">O47</f>
        <v>0</v>
      </c>
      <c r="G18" s="1013">
        <f t="shared" si="15"/>
        <v>165</v>
      </c>
      <c r="H18" s="1013">
        <f t="shared" si="15"/>
        <v>100</v>
      </c>
      <c r="I18" s="1013">
        <f t="shared" si="15"/>
        <v>165</v>
      </c>
      <c r="J18" s="1012">
        <f t="shared" si="15"/>
        <v>70</v>
      </c>
      <c r="K18" s="1011" t="str">
        <f t="shared" si="15"/>
        <v/>
      </c>
      <c r="L18" s="1010">
        <f t="shared" si="15"/>
        <v>0.2390308275898915</v>
      </c>
      <c r="N18" s="1037" t="s">
        <v>1788</v>
      </c>
      <c r="O18" s="1036"/>
      <c r="P18" s="1035">
        <v>68</v>
      </c>
      <c r="Q18" s="1013">
        <v>0</v>
      </c>
      <c r="R18" s="1013">
        <v>68</v>
      </c>
      <c r="S18" s="1012">
        <v>0</v>
      </c>
      <c r="T18" s="1011" t="s">
        <v>805</v>
      </c>
      <c r="U18" s="1034"/>
      <c r="V18" s="905" t="s">
        <v>805</v>
      </c>
      <c r="X18" s="905">
        <v>17</v>
      </c>
      <c r="AA18" s="1359" t="s">
        <v>1116</v>
      </c>
      <c r="AB18" s="1082" t="s">
        <v>1118</v>
      </c>
      <c r="AC18" s="1058">
        <f>(AC5+273.15+$AO$6)/((AC5+273.15+$AO$6)-($AM$6+273.15-$AO$6))*$AM$8*$AM$9</f>
        <v>6.302982731554156</v>
      </c>
      <c r="AD18" s="1058">
        <f>(AE5+273.15+$AO$6)/((AE5+273.15+$AO$6)-($AM$6+273.15-$AO$6))*$AM$8*$AM$9</f>
        <v>7.1327398562975395</v>
      </c>
      <c r="AE18" s="1058">
        <f>(AG5+273.15+$AO$6)/((AG5+273.15+$AO$6)-($AM$6+273.15-$AO$6))*$AM$8*$AM$9</f>
        <v>6.302982731554156</v>
      </c>
      <c r="AF18" s="1057">
        <f>(AI5+273.15+$AO$6)/((AI5+273.15+$AO$6)-($AM$6+273.15-$AO$6))*$AM$8</f>
        <v>5.6589921272757078</v>
      </c>
      <c r="AU18" s="1359" t="s">
        <v>1116</v>
      </c>
      <c r="AV18" s="1082" t="s">
        <v>1118</v>
      </c>
      <c r="AW18" s="1058">
        <f>((AX12-AW12)/LN(AX12/AW12))/((AX12-AW12)/LN(AX12/AW12)-($BI$5-$BK$5-$BM$5)/LN(($BI$5-$BK$5)/$BM$5))*$BI$8</f>
        <v>4.6633529060719239</v>
      </c>
      <c r="AX18" s="1058">
        <f>((AZ12-AY12)/LN(AZ12/AY12))/((AZ12-AY12)/LN(AZ12/AY12)-($BI$5-$BK$5-$BM$5)/LN(($BI$5-$BK$5)/$BM$5))*$BI$8</f>
        <v>4.8492510247196225</v>
      </c>
      <c r="AY18" s="1058">
        <f>((BB12-BA12)/LN(BB12/BA12))/((BB12-BA12)/LN(BB12/BA12)-($BI$5-$BK$5-$BM$5)/LN(($BI$5-$BK$5)/$BM$5))*$BI$8</f>
        <v>4.6633529060719239</v>
      </c>
      <c r="AZ18" s="1058">
        <f>((BD12-BC12)/LN(BD12/BC12))/((BD12-BC12)/LN(BD12/BC12)-($BI$5-$BK$5-$BM$5)/LN(($BI$5-$BK$5)/$BM$5))*$BI$8</f>
        <v>4.4936985661605204</v>
      </c>
      <c r="BB18" s="1083"/>
      <c r="BC18" s="1084"/>
      <c r="BD18" s="1084"/>
      <c r="BQ18" s="908" t="s">
        <v>1787</v>
      </c>
      <c r="BR18" s="905">
        <v>2050</v>
      </c>
      <c r="BS18" s="905">
        <v>7.4</v>
      </c>
      <c r="BT18" s="905">
        <v>4.4000000000000004</v>
      </c>
      <c r="BU18" s="905">
        <v>8.5</v>
      </c>
      <c r="BV18" s="905">
        <f>30+273.15</f>
        <v>303.14999999999998</v>
      </c>
      <c r="BW18" s="905">
        <f>60+273.15</f>
        <v>333.15</v>
      </c>
      <c r="BX18" s="905">
        <f>20+273.15</f>
        <v>293.14999999999998</v>
      </c>
      <c r="BY18" s="905">
        <f>15+273.15</f>
        <v>288.14999999999998</v>
      </c>
      <c r="CB18" s="907">
        <f t="shared" si="9"/>
        <v>0.63478635747606904</v>
      </c>
      <c r="CC18" s="907">
        <f>BT18/((($BV18-$BW18)/LN($BV18/$BW18))/(($BV18-$BW18)/LN($BV18/$BW18)-($BX18-$BY18)/LN($BX18/$BY18)))</f>
        <v>0.37744053687766266</v>
      </c>
      <c r="CD18" s="907">
        <f>BU18/((($BV18-$BW18)/LN($BV18/$BW18))/(($BV18-$BW18)/LN($BV18/$BW18)-($BX18-$BY18)/LN($BX18/$BY18)))</f>
        <v>0.72914649169548462</v>
      </c>
    </row>
    <row r="19" spans="1:82" ht="18">
      <c r="A19" s="905">
        <v>18</v>
      </c>
      <c r="B19" s="905" t="s">
        <v>1786</v>
      </c>
      <c r="C19" s="905">
        <v>23795</v>
      </c>
      <c r="D19" s="905" t="s">
        <v>1115</v>
      </c>
      <c r="E19" s="905" t="s">
        <v>1117</v>
      </c>
      <c r="F19" s="1014"/>
      <c r="G19" s="1013"/>
      <c r="H19" s="1013"/>
      <c r="I19" s="1013"/>
      <c r="J19" s="1012"/>
      <c r="K19" s="1011"/>
      <c r="L19" s="1010"/>
      <c r="N19" s="1031" t="s">
        <v>1785</v>
      </c>
      <c r="O19" s="1030"/>
      <c r="P19" s="1029">
        <v>70</v>
      </c>
      <c r="Q19" s="1028">
        <v>0</v>
      </c>
      <c r="R19" s="1028">
        <v>75</v>
      </c>
      <c r="S19" s="1027">
        <v>0</v>
      </c>
      <c r="T19" s="1026" t="s">
        <v>805</v>
      </c>
      <c r="U19" s="1025"/>
      <c r="V19" s="905" t="s">
        <v>805</v>
      </c>
      <c r="X19" s="905">
        <v>18</v>
      </c>
      <c r="AA19" s="1357"/>
      <c r="AB19" s="1081" t="s">
        <v>1117</v>
      </c>
      <c r="AC19" s="907">
        <f>(AC6+273.15+$AO$6)/((AC6+273.15+$AO$6)-($AM$6+273.15-$AO$6))*$AM$8*$AM$9</f>
        <v>8.1573622047244037</v>
      </c>
      <c r="AD19" s="907">
        <f>(AE6+273.15+$AO$6)/((AE6+273.15+$AO$6)-($AM$6+273.15-$AO$6))*$AM$8*$AM$9</f>
        <v>9.459546285273543</v>
      </c>
      <c r="AE19" s="907">
        <f>(AG6+273.15+$AO$6)/((AG6+273.15+$AO$6)-($AM$6+273.15-$AO$6))*$AM$8*$AM$9</f>
        <v>8.1573622047244037</v>
      </c>
      <c r="AF19" s="1055">
        <f>(AI6+273.15+$AO$6)/((AI6+273.15+$AO$6)-($AM$6+273.15-$AO$6))*$AM$8</f>
        <v>7.1872831286925862</v>
      </c>
      <c r="AU19" s="1357"/>
      <c r="AV19" s="1081" t="s">
        <v>1117</v>
      </c>
      <c r="AW19" s="907">
        <f>((AX13-AW13)/LN(AX13/AW13))/((AX13-AW13)/LN(AX13/AW13)-($BI$5-$BK$5-$BM$5)/LN(($BI$5-$BK$5)/$BM$5))*$BI$8</f>
        <v>5.6164711608549638</v>
      </c>
      <c r="AX19" s="907">
        <f>((AZ13-AY13)/LN(AZ13/AY13))/((AZ13-AY13)/LN(AZ13/AY13)-($BI$5-$BK$5-$BM$5)/LN(($BI$5-$BK$5)/$BM$5))*$BI$8</f>
        <v>5.7543730542548044</v>
      </c>
      <c r="AY19" s="907">
        <f>((BB13-BA13)/LN(BB13/BA13))/((BB13-BA13)/LN(BB13/BA13)-($BI$5-$BK$5-$BM$5)/LN(($BI$5-$BK$5)/$BM$5))*$BI$8</f>
        <v>5.6164711608549638</v>
      </c>
      <c r="AZ19" s="907">
        <f>((BD13-BC13)/LN(BD13/BC13))/((BD13-BC13)/LN(BD13/BC13)-($BI$5-$BK$5-$BM$5)/LN(($BI$5-$BK$5)/$BM$5))*$BI$8</f>
        <v>5.4875186252728483</v>
      </c>
      <c r="BB19" s="1083"/>
      <c r="BC19" s="1084"/>
      <c r="BD19" s="1084"/>
      <c r="BQ19" s="908" t="s">
        <v>1778</v>
      </c>
      <c r="BR19" s="905">
        <v>2015</v>
      </c>
      <c r="BS19" s="905">
        <v>7</v>
      </c>
      <c r="BV19" s="905">
        <f>40+273.15</f>
        <v>313.14999999999998</v>
      </c>
      <c r="BW19" s="905">
        <f>80+273.15</f>
        <v>353.15</v>
      </c>
      <c r="BX19" s="905">
        <f>40+273.15</f>
        <v>313.14999999999998</v>
      </c>
      <c r="BY19" s="905">
        <f>25+273.15</f>
        <v>298.14999999999998</v>
      </c>
      <c r="CB19" s="907">
        <f t="shared" si="9"/>
        <v>0.57137667700311223</v>
      </c>
      <c r="CC19" s="907"/>
      <c r="CD19" s="907"/>
    </row>
    <row r="20" spans="1:82" ht="18">
      <c r="A20" s="905">
        <v>19</v>
      </c>
      <c r="B20" s="905" t="s">
        <v>1784</v>
      </c>
      <c r="C20" s="905">
        <v>29189</v>
      </c>
      <c r="D20" s="905" t="s">
        <v>1115</v>
      </c>
      <c r="E20" s="905" t="s">
        <v>1117</v>
      </c>
      <c r="F20" s="1014">
        <f t="shared" ref="F20:L24" si="16">O10</f>
        <v>0</v>
      </c>
      <c r="G20" s="1013">
        <f t="shared" si="16"/>
        <v>71</v>
      </c>
      <c r="H20" s="1013">
        <f t="shared" si="16"/>
        <v>39</v>
      </c>
      <c r="I20" s="1013">
        <f t="shared" si="16"/>
        <v>74</v>
      </c>
      <c r="J20" s="1012">
        <f t="shared" si="16"/>
        <v>36</v>
      </c>
      <c r="K20" s="1011">
        <f t="shared" si="16"/>
        <v>36.171486224056316</v>
      </c>
      <c r="L20" s="1010">
        <f t="shared" si="16"/>
        <v>0.28352421318423665</v>
      </c>
      <c r="N20" s="1037" t="s">
        <v>1783</v>
      </c>
      <c r="O20" s="1036">
        <v>1.9270222743259086E-2</v>
      </c>
      <c r="P20" s="1035">
        <v>65</v>
      </c>
      <c r="Q20" s="1013">
        <v>65</v>
      </c>
      <c r="R20" s="1013">
        <v>72</v>
      </c>
      <c r="S20" s="1012">
        <v>72</v>
      </c>
      <c r="T20" s="1011">
        <v>37.546684236792231</v>
      </c>
      <c r="U20" s="1034"/>
      <c r="V20" s="905">
        <v>9.9410000000000002E-3</v>
      </c>
      <c r="X20" s="905">
        <v>19</v>
      </c>
      <c r="AA20" s="1357" t="s">
        <v>1115</v>
      </c>
      <c r="AB20" s="1081" t="s">
        <v>1118</v>
      </c>
      <c r="AC20" s="907">
        <f>(AC7+273.15+$AO$6)/((AC7+273.15+$AO$6)-($AM$6+273.15-$AO$6))*$AM$8*$AM$9</f>
        <v>7.0677473448854125</v>
      </c>
      <c r="AD20" s="907">
        <f>(AE7+273.15+$AO$6)/((AE7+273.15+$AO$6)-($AM$6+273.15-$AO$6))*$AM$8*$AM$9</f>
        <v>8.0227773246329583</v>
      </c>
      <c r="AE20" s="907">
        <f>(AG7+273.15+$AO$6)/((AG7+273.15+$AO$6)-($AM$6+273.15-$AO$6))*$AM$8*$AM$9</f>
        <v>7.0677473448854125</v>
      </c>
      <c r="AF20" s="1055">
        <f>(AI7+273.15+$AO$6)/((AI7+273.15+$AO$6)-($AM$6+273.15-$AO$6))*$AM$8</f>
        <v>6.329163287374965</v>
      </c>
      <c r="AU20" s="1357" t="s">
        <v>1115</v>
      </c>
      <c r="AV20" s="1081" t="s">
        <v>1118</v>
      </c>
      <c r="AW20" s="907">
        <f>((AX14-AW14)/LN(AX14/AW14))/((AX14-AW14)/LN(AX14/AW14)-($BI$5-$BK$5-$BM$5)/LN(($BI$5-$BK$5)/$BM$5))*$BI$8</f>
        <v>5.1335784752540965</v>
      </c>
      <c r="AX20" s="907">
        <f>((AZ14-AY14)/LN(AZ14/AY14))/((AZ14-AY14)/LN(AZ14/AY14)-($BI$5-$BK$5-$BM$5)/LN(($BI$5-$BK$5)/$BM$5))*$BI$8</f>
        <v>5.2435392226385922</v>
      </c>
      <c r="AY20" s="907">
        <f>((BB14-BA14)/LN(BB14/BA14))/((BB14-BA14)/LN(BB14/BA14)-($BI$5-$BK$5-$BM$5)/LN(($BI$5-$BK$5)/$BM$5))*$BI$8</f>
        <v>5.1335784752540965</v>
      </c>
      <c r="AZ20" s="907">
        <f>((BD14-BC14)/LN(BD14/BC14))/((BD14-BC14)/LN(BD14/BC14)-($BI$5-$BK$5-$BM$5)/LN(($BI$5-$BK$5)/$BM$5))*$BI$8</f>
        <v>5.030245890805495</v>
      </c>
      <c r="BB20" s="1083"/>
      <c r="BC20" s="1083"/>
      <c r="BD20" s="1083"/>
      <c r="BQ20" s="908" t="s">
        <v>1778</v>
      </c>
      <c r="BR20" s="905">
        <v>2020</v>
      </c>
      <c r="BS20" s="905">
        <v>9</v>
      </c>
      <c r="BT20" s="905">
        <v>7</v>
      </c>
      <c r="BU20" s="905">
        <v>12</v>
      </c>
      <c r="BV20" s="905">
        <f>40+273.15</f>
        <v>313.14999999999998</v>
      </c>
      <c r="BW20" s="905">
        <f>75+273.15</f>
        <v>348.15</v>
      </c>
      <c r="BX20" s="905">
        <f>40+273.15</f>
        <v>313.14999999999998</v>
      </c>
      <c r="BY20" s="905">
        <f>25+273.15</f>
        <v>298.14999999999998</v>
      </c>
      <c r="CB20" s="907">
        <f t="shared" si="9"/>
        <v>0.67436821805068214</v>
      </c>
      <c r="CC20" s="907">
        <f>BT20/((($BV20-$BW20)/LN($BV20/$BW20))/(($BV20-$BW20)/LN($BV20/$BW20)-($BX20-$BY20)/LN($BX20/$BY20)))</f>
        <v>0.52450861403941951</v>
      </c>
      <c r="CD20" s="907">
        <f>BU20/((($BV20-$BW20)/LN($BV20/$BW20))/(($BV20-$BW20)/LN($BV20/$BW20)-($BX20-$BY20)/LN($BX20/$BY20)))</f>
        <v>0.89915762406757627</v>
      </c>
    </row>
    <row r="21" spans="1:82" ht="18.600000000000001" thickBot="1">
      <c r="A21" s="905">
        <v>20</v>
      </c>
      <c r="B21" s="905" t="s">
        <v>1782</v>
      </c>
      <c r="C21" s="905">
        <v>29189</v>
      </c>
      <c r="D21" s="905" t="s">
        <v>1115</v>
      </c>
      <c r="E21" s="905" t="s">
        <v>1117</v>
      </c>
      <c r="F21" s="1014">
        <f t="shared" si="16"/>
        <v>0</v>
      </c>
      <c r="G21" s="1013">
        <f t="shared" si="16"/>
        <v>67</v>
      </c>
      <c r="H21" s="1013">
        <f t="shared" si="16"/>
        <v>39</v>
      </c>
      <c r="I21" s="1013">
        <f t="shared" si="16"/>
        <v>68</v>
      </c>
      <c r="J21" s="1012">
        <f t="shared" si="16"/>
        <v>39</v>
      </c>
      <c r="K21" s="1011" t="str">
        <f t="shared" si="16"/>
        <v/>
      </c>
      <c r="L21" s="1010">
        <f t="shared" si="16"/>
        <v>0.13224844990753837</v>
      </c>
      <c r="N21" s="1031" t="s">
        <v>1781</v>
      </c>
      <c r="O21" s="1030"/>
      <c r="P21" s="1029">
        <v>72</v>
      </c>
      <c r="Q21" s="1028">
        <v>42</v>
      </c>
      <c r="R21" s="1028">
        <v>74</v>
      </c>
      <c r="S21" s="1027">
        <v>40</v>
      </c>
      <c r="T21" s="1026">
        <v>32.595774946199725</v>
      </c>
      <c r="U21" s="1025">
        <v>0.25657123145912386</v>
      </c>
      <c r="V21" s="905">
        <v>10.776</v>
      </c>
      <c r="X21" s="905">
        <v>20</v>
      </c>
      <c r="AA21" s="1358"/>
      <c r="AB21" s="1080" t="s">
        <v>1117</v>
      </c>
      <c r="AC21" s="1053">
        <f>(AC8+273.15+$AO$6)/((AC8+273.15+$AO$6)-($AM$6+273.15-$AO$6))*$AM$8*$AM$9</f>
        <v>8.6315987426049663</v>
      </c>
      <c r="AD21" s="1053">
        <f>(AE8+273.15+$AO$6)/((AE8+273.15+$AO$6)-($AM$6+273.15-$AO$6))*$AM$8*$AM$9</f>
        <v>9.4022318224595232</v>
      </c>
      <c r="AE21" s="1053">
        <f>(AG8+273.15+$AO$6)/((AG8+273.15+$AO$6)-($AM$6+273.15-$AO$6))*$AM$8*$AM$9</f>
        <v>8.6315987426049663</v>
      </c>
      <c r="AF21" s="1052">
        <f>(AI8+273.15+$AO$6)/((AI8+273.15+$AO$6)-($AM$6+273.15-$AO$6))*$AM$8</f>
        <v>7.9843957118667017</v>
      </c>
      <c r="AU21" s="1358"/>
      <c r="AV21" s="1080" t="s">
        <v>1117</v>
      </c>
      <c r="AW21" s="1053">
        <f>((AX15-AW15)/LN(AX15/AW15))/((AX15-AW15)/LN(AX15/AW15)-($BI$5-$BK$5-$BM$5)/LN(($BI$5-$BK$5)/$BM$5))*$BI$8</f>
        <v>5.9553926797050414</v>
      </c>
      <c r="AX21" s="1053">
        <f>((AZ15-AY15)/LN(AZ15/AY15))/((AZ15-AY15)/LN(AZ15/AY15)-($BI$5-$BK$5-$BM$5)/LN(($BI$5-$BK$5)/$BM$5))*$BI$8</f>
        <v>5.9942745260623997</v>
      </c>
      <c r="AY21" s="1053">
        <f>((BB15-BA15)/LN(BB15/BA15))/((BB15-BA15)/LN(BB15/BA15)-($BI$5-$BK$5-$BM$5)/LN(($BI$5-$BK$5)/$BM$5))*$BI$8</f>
        <v>5.9553926797050414</v>
      </c>
      <c r="AZ21" s="1053">
        <f>((BD15-BC15)/LN(BD15/BC15))/((BD15-BC15)/LN(BD15/BC15)-($BI$5-$BK$5-$BM$5)/LN(($BI$5-$BK$5)/$BM$5))*$BI$8</f>
        <v>5.9180303774552367</v>
      </c>
      <c r="BB21" s="1083"/>
      <c r="BC21" s="1083"/>
      <c r="BD21" s="1083"/>
      <c r="BQ21" s="908" t="s">
        <v>1778</v>
      </c>
      <c r="BR21" s="905">
        <v>2030</v>
      </c>
      <c r="BS21" s="905">
        <v>12</v>
      </c>
      <c r="BV21" s="905">
        <f>35+273.15</f>
        <v>308.14999999999998</v>
      </c>
      <c r="BW21" s="905">
        <f>70+273.15</f>
        <v>343.15</v>
      </c>
      <c r="BX21" s="905">
        <f>40+273.15</f>
        <v>313.14999999999998</v>
      </c>
      <c r="BY21" s="905">
        <f>25+273.15</f>
        <v>298.14999999999998</v>
      </c>
      <c r="CB21" s="907">
        <f t="shared" si="9"/>
        <v>0.72838984888070513</v>
      </c>
      <c r="CC21" s="907"/>
      <c r="CD21" s="907"/>
    </row>
    <row r="22" spans="1:82">
      <c r="A22" s="905">
        <v>21</v>
      </c>
      <c r="B22" s="905" t="s">
        <v>1780</v>
      </c>
      <c r="C22" s="905">
        <v>29189</v>
      </c>
      <c r="D22" s="905" t="s">
        <v>1115</v>
      </c>
      <c r="E22" s="905" t="s">
        <v>1117</v>
      </c>
      <c r="F22" s="1014">
        <f t="shared" si="16"/>
        <v>0</v>
      </c>
      <c r="G22" s="1013">
        <f t="shared" si="16"/>
        <v>72</v>
      </c>
      <c r="H22" s="1013">
        <f t="shared" si="16"/>
        <v>42</v>
      </c>
      <c r="I22" s="1013">
        <f t="shared" si="16"/>
        <v>85</v>
      </c>
      <c r="J22" s="1012">
        <f t="shared" si="16"/>
        <v>45</v>
      </c>
      <c r="K22" s="1011">
        <f t="shared" si="16"/>
        <v>32.071334210213017</v>
      </c>
      <c r="L22" s="1010">
        <f t="shared" si="16"/>
        <v>0.16574868264164008</v>
      </c>
      <c r="N22" s="1031" t="s">
        <v>1779</v>
      </c>
      <c r="O22" s="1030">
        <v>5.0035402407363698E-2</v>
      </c>
      <c r="P22" s="1029">
        <v>72</v>
      </c>
      <c r="Q22" s="1028">
        <v>38</v>
      </c>
      <c r="R22" s="1028">
        <v>76</v>
      </c>
      <c r="S22" s="1027">
        <v>33</v>
      </c>
      <c r="T22" s="1026">
        <v>40.247738014723978</v>
      </c>
      <c r="U22" s="1025">
        <v>0.2653447329192547</v>
      </c>
      <c r="V22" s="905">
        <v>17.736999999999998</v>
      </c>
      <c r="X22" s="905">
        <v>21</v>
      </c>
      <c r="BC22" s="1013"/>
      <c r="BQ22" s="908" t="s">
        <v>1778</v>
      </c>
      <c r="BR22" s="905">
        <v>2050</v>
      </c>
      <c r="BS22" s="905">
        <v>18</v>
      </c>
      <c r="BT22" s="905">
        <v>7</v>
      </c>
      <c r="BU22" s="905">
        <v>20</v>
      </c>
      <c r="BV22" s="905">
        <f>30+273.15</f>
        <v>303.14999999999998</v>
      </c>
      <c r="BW22" s="905">
        <f>60+273.15</f>
        <v>333.15</v>
      </c>
      <c r="BX22" s="905">
        <f>40+273.15</f>
        <v>313.14999999999998</v>
      </c>
      <c r="BY22" s="905">
        <f>25+273.15</f>
        <v>298.14999999999998</v>
      </c>
      <c r="CB22" s="907">
        <f t="shared" si="9"/>
        <v>0.69785695659241953</v>
      </c>
      <c r="CC22" s="907">
        <f>BT22/((($BV22-$BW22)/LN($BV22/$BW22))/(($BV22-$BW22)/LN($BV22/$BW22)-($BX22-$BY22)/LN($BX22/$BY22)))</f>
        <v>0.2713888164526076</v>
      </c>
      <c r="CD22" s="907">
        <f>BU22/((($BV22-$BW22)/LN($BV22/$BW22))/(($BV22-$BW22)/LN($BV22/$BW22)-($BX22-$BY22)/LN($BX22/$BY22)))</f>
        <v>0.7753966184360217</v>
      </c>
    </row>
    <row r="23" spans="1:82">
      <c r="A23" s="905">
        <v>22</v>
      </c>
      <c r="B23" s="905" t="s">
        <v>1777</v>
      </c>
      <c r="C23" s="905">
        <v>29189</v>
      </c>
      <c r="D23" s="905" t="s">
        <v>1115</v>
      </c>
      <c r="E23" s="905" t="s">
        <v>1117</v>
      </c>
      <c r="F23" s="1014">
        <f t="shared" si="16"/>
        <v>7.1007682553889756E-2</v>
      </c>
      <c r="G23" s="1013">
        <f t="shared" si="16"/>
        <v>68</v>
      </c>
      <c r="H23" s="1013">
        <f t="shared" si="16"/>
        <v>38</v>
      </c>
      <c r="I23" s="1013">
        <f t="shared" si="16"/>
        <v>72</v>
      </c>
      <c r="J23" s="1012">
        <f t="shared" si="16"/>
        <v>33</v>
      </c>
      <c r="K23" s="1011">
        <f t="shared" si="16"/>
        <v>35.785327457812848</v>
      </c>
      <c r="L23" s="1010">
        <f t="shared" si="16"/>
        <v>0.28133279807306305</v>
      </c>
      <c r="N23" s="1031" t="s">
        <v>1776</v>
      </c>
      <c r="O23" s="1030"/>
      <c r="P23" s="1029">
        <v>75</v>
      </c>
      <c r="Q23" s="1028">
        <v>39</v>
      </c>
      <c r="R23" s="1028">
        <v>80</v>
      </c>
      <c r="S23" s="1027">
        <v>36</v>
      </c>
      <c r="T23" s="1026" t="s">
        <v>805</v>
      </c>
      <c r="U23" s="1025">
        <v>0.30849074850106378</v>
      </c>
      <c r="V23" s="905">
        <v>21.452000000000002</v>
      </c>
      <c r="X23" s="905">
        <v>22</v>
      </c>
    </row>
    <row r="24" spans="1:82" ht="15" thickBot="1">
      <c r="A24" s="905">
        <v>23</v>
      </c>
      <c r="B24" s="905" t="s">
        <v>1775</v>
      </c>
      <c r="C24" s="905">
        <v>29189</v>
      </c>
      <c r="D24" s="905" t="s">
        <v>1115</v>
      </c>
      <c r="E24" s="905" t="s">
        <v>1117</v>
      </c>
      <c r="F24" s="1014">
        <f t="shared" si="16"/>
        <v>0</v>
      </c>
      <c r="G24" s="1013">
        <f t="shared" si="16"/>
        <v>69</v>
      </c>
      <c r="H24" s="1013">
        <f t="shared" si="16"/>
        <v>41</v>
      </c>
      <c r="I24" s="1013">
        <f t="shared" si="16"/>
        <v>72</v>
      </c>
      <c r="J24" s="1012">
        <f t="shared" si="16"/>
        <v>36</v>
      </c>
      <c r="K24" s="1011">
        <f t="shared" si="16"/>
        <v>34.4</v>
      </c>
      <c r="L24" s="1010">
        <f t="shared" si="16"/>
        <v>0.18216666666666667</v>
      </c>
      <c r="N24" s="1031" t="s">
        <v>1774</v>
      </c>
      <c r="O24" s="1030">
        <v>1.9463230203951222E-2</v>
      </c>
      <c r="P24" s="1029">
        <v>68</v>
      </c>
      <c r="Q24" s="1028">
        <v>38</v>
      </c>
      <c r="R24" s="1028">
        <v>75</v>
      </c>
      <c r="S24" s="1027">
        <v>35</v>
      </c>
      <c r="T24" s="1026">
        <v>36.000250071042913</v>
      </c>
      <c r="U24" s="1025"/>
      <c r="V24" s="905" t="s">
        <v>805</v>
      </c>
      <c r="X24" s="905">
        <v>23</v>
      </c>
      <c r="AA24" s="1079" t="s">
        <v>1760</v>
      </c>
      <c r="AB24" s="1078"/>
      <c r="AC24" s="1078" t="s">
        <v>1759</v>
      </c>
      <c r="AD24" s="1078"/>
      <c r="AE24" s="1078"/>
      <c r="AF24" s="1078"/>
      <c r="AG24" s="1078"/>
      <c r="AH24" s="1078"/>
      <c r="AI24" s="1078"/>
      <c r="AU24" s="905" t="s">
        <v>1708</v>
      </c>
      <c r="AW24" s="905" t="s">
        <v>1707</v>
      </c>
      <c r="AX24" s="905" t="s">
        <v>1706</v>
      </c>
      <c r="AY24" s="905" t="s">
        <v>1705</v>
      </c>
      <c r="AZ24" s="905" t="s">
        <v>1704</v>
      </c>
    </row>
    <row r="25" spans="1:82" ht="18">
      <c r="A25" s="905">
        <v>24</v>
      </c>
      <c r="B25" s="905" t="s">
        <v>1773</v>
      </c>
      <c r="C25" s="905">
        <v>29189</v>
      </c>
      <c r="D25" s="905" t="s">
        <v>1115</v>
      </c>
      <c r="E25" s="905" t="s">
        <v>1117</v>
      </c>
      <c r="F25" s="1014"/>
      <c r="G25" s="1013"/>
      <c r="H25" s="1013"/>
      <c r="I25" s="1013"/>
      <c r="J25" s="1012"/>
      <c r="K25" s="1011"/>
      <c r="L25" s="1010"/>
      <c r="N25" s="1031" t="s">
        <v>1772</v>
      </c>
      <c r="O25" s="1030">
        <v>0.13582889469679427</v>
      </c>
      <c r="P25" s="1029">
        <v>70.3</v>
      </c>
      <c r="Q25" s="1028">
        <v>47.6</v>
      </c>
      <c r="R25" s="1028">
        <v>75.5</v>
      </c>
      <c r="S25" s="1027">
        <v>48.5</v>
      </c>
      <c r="T25" s="1026"/>
      <c r="U25" s="1025">
        <v>0.13322763311626915</v>
      </c>
      <c r="V25" s="905">
        <v>226.101</v>
      </c>
      <c r="X25" s="905">
        <v>24</v>
      </c>
      <c r="AU25" s="1359" t="s">
        <v>1116</v>
      </c>
      <c r="AV25" s="1082" t="s">
        <v>1118</v>
      </c>
      <c r="AW25" s="1058">
        <f>((AX12-AW12)/LN(AX12/AW12))/((AX12-AW12)/LN(AX12/AW12)-($BI$6-$BK$6-$BM$6)/LN(($BI$6-$BK$6)/$BM$6))*$BI$8</f>
        <v>6.865069691519631</v>
      </c>
      <c r="AX25" s="1058">
        <f>((AZ12-AY12)/LN(AZ12/AY12))/((AZ12-AY12)/LN(AZ12/AY12)-($BI$6-$BK$6-$BM$6)/LN(($BI$6-$BK$6)/$BM$6))*$BI$8</f>
        <v>7.2952104605878532</v>
      </c>
      <c r="AY25" s="1058">
        <f>((BB12-BA12)/LN(BB12/BA12))/((BB12-BA12)/LN(BB12/BA12)-($BI$6-$BK$6-$BM$6)/LN(($BI$6-$BK$6)/$BM$6))*$BI$8</f>
        <v>6.865069691519631</v>
      </c>
      <c r="AZ25" s="1058">
        <f>((BD12-BC12)/LN(BD12/BC12))/((BD12-BC12)/LN(BD12/BC12)-($BI$6-$BK$6-$BM$6)/LN(($BI$6-$BK$6)/$BM$6))*$BI$8</f>
        <v>6.4883094676976381</v>
      </c>
      <c r="BA25" s="907"/>
      <c r="BR25" s="908">
        <f>31+28</f>
        <v>59</v>
      </c>
      <c r="BS25" s="905">
        <f>31+30+31+BR25</f>
        <v>151</v>
      </c>
      <c r="BT25" s="905">
        <f>31+30+31+BS25</f>
        <v>243</v>
      </c>
      <c r="BU25" s="905">
        <f>31+30+30+BT25</f>
        <v>334</v>
      </c>
      <c r="BV25" s="905">
        <f>BU25+31</f>
        <v>365</v>
      </c>
    </row>
    <row r="26" spans="1:82" ht="18.600000000000001" thickBot="1">
      <c r="A26" s="905">
        <v>25</v>
      </c>
      <c r="B26" s="905" t="s">
        <v>1771</v>
      </c>
      <c r="C26" s="905">
        <v>29189</v>
      </c>
      <c r="D26" s="905" t="s">
        <v>1115</v>
      </c>
      <c r="E26" s="905" t="s">
        <v>1117</v>
      </c>
      <c r="F26" s="1014"/>
      <c r="G26" s="1013"/>
      <c r="H26" s="1013"/>
      <c r="I26" s="1013"/>
      <c r="J26" s="1012"/>
      <c r="K26" s="1011"/>
      <c r="L26" s="1010"/>
      <c r="N26" s="1031" t="s">
        <v>1770</v>
      </c>
      <c r="O26" s="1030"/>
      <c r="P26" s="1029">
        <v>65</v>
      </c>
      <c r="Q26" s="1028">
        <v>35</v>
      </c>
      <c r="R26" s="1028">
        <v>65</v>
      </c>
      <c r="S26" s="1027">
        <v>33</v>
      </c>
      <c r="T26" s="1026" t="s">
        <v>805</v>
      </c>
      <c r="U26" s="1025">
        <v>0.16795656732669273</v>
      </c>
      <c r="V26" s="905">
        <v>20.632180999999999</v>
      </c>
      <c r="X26" s="905">
        <v>25</v>
      </c>
      <c r="AB26" s="1353" t="s">
        <v>1741</v>
      </c>
      <c r="AC26" s="1353"/>
      <c r="AD26" s="1354" t="s">
        <v>1740</v>
      </c>
      <c r="AE26" s="1354"/>
      <c r="AF26" s="1355" t="s">
        <v>1739</v>
      </c>
      <c r="AG26" s="1355"/>
      <c r="AH26" s="1356" t="s">
        <v>1738</v>
      </c>
      <c r="AI26" s="1356"/>
      <c r="AU26" s="1357"/>
      <c r="AV26" s="1081" t="s">
        <v>1117</v>
      </c>
      <c r="AW26" s="907">
        <f>((AX13-AW13)/LN(AX13/AW13))/((AX13-AW13)/LN(AX13/AW13)-($BI$6-$BK$6-$BM$6)/LN(($BI$6-$BK$6)/$BM$6))*$BI$8</f>
        <v>9.2897896563308411</v>
      </c>
      <c r="AX26" s="907">
        <f>((AZ13-AY13)/LN(AZ13/AY13))/((AZ13-AY13)/LN(AZ13/AY13)-($BI$6-$BK$6-$BM$6)/LN(($BI$6-$BK$6)/$BM$6))*$BI$8</f>
        <v>9.6911318795609045</v>
      </c>
      <c r="AY26" s="907">
        <f>((BB13-BA13)/LN(BB13/BA13))/((BB13-BA13)/LN(BB13/BA13)-($BI$6-$BK$6-$BM$6)/LN(($BI$6-$BK$6)/$BM$6))*$BI$8</f>
        <v>9.2897896563308411</v>
      </c>
      <c r="AZ26" s="907">
        <f>((BD13-BC13)/LN(BD13/BC13))/((BD13-BC13)/LN(BD13/BC13)-($BI$6-$BK$6-$BM$6)/LN(($BI$6-$BK$6)/$BM$6))*$BI$8</f>
        <v>8.9272626825264094</v>
      </c>
      <c r="BA26" s="907"/>
    </row>
    <row r="27" spans="1:82" ht="18">
      <c r="A27" s="905">
        <v>26</v>
      </c>
      <c r="B27" s="905" t="s">
        <v>1769</v>
      </c>
      <c r="C27" s="905">
        <v>29188</v>
      </c>
      <c r="D27" s="905" t="s">
        <v>1115</v>
      </c>
      <c r="E27" s="905" t="s">
        <v>1117</v>
      </c>
      <c r="F27" s="1014">
        <f t="shared" ref="F27:L27" si="17">O15</f>
        <v>0</v>
      </c>
      <c r="G27" s="1013">
        <f t="shared" si="17"/>
        <v>68</v>
      </c>
      <c r="H27" s="1013">
        <f t="shared" si="17"/>
        <v>38</v>
      </c>
      <c r="I27" s="1013">
        <f t="shared" si="17"/>
        <v>66</v>
      </c>
      <c r="J27" s="1012">
        <f t="shared" si="17"/>
        <v>35</v>
      </c>
      <c r="K27" s="1011" t="str">
        <f t="shared" si="17"/>
        <v/>
      </c>
      <c r="L27" s="1010">
        <f t="shared" si="17"/>
        <v>0.20638929769658007</v>
      </c>
      <c r="N27" s="1031" t="s">
        <v>1768</v>
      </c>
      <c r="O27" s="1030"/>
      <c r="P27" s="1029">
        <v>69</v>
      </c>
      <c r="Q27" s="1028">
        <v>0</v>
      </c>
      <c r="R27" s="1028">
        <v>78</v>
      </c>
      <c r="S27" s="1027">
        <v>0</v>
      </c>
      <c r="T27" s="1026" t="s">
        <v>805</v>
      </c>
      <c r="U27" s="1025"/>
      <c r="V27" s="905" t="s">
        <v>805</v>
      </c>
      <c r="X27" s="905">
        <v>26</v>
      </c>
      <c r="AA27" s="1076"/>
      <c r="AB27" s="1075" t="s">
        <v>1735</v>
      </c>
      <c r="AC27" s="1075" t="s">
        <v>1734</v>
      </c>
      <c r="AD27" s="1074" t="s">
        <v>1733</v>
      </c>
      <c r="AE27" s="1074" t="s">
        <v>1732</v>
      </c>
      <c r="AF27" s="1073" t="s">
        <v>1731</v>
      </c>
      <c r="AG27" s="1073" t="s">
        <v>1730</v>
      </c>
      <c r="AH27" s="1072" t="s">
        <v>1729</v>
      </c>
      <c r="AI27" s="1071" t="s">
        <v>1728</v>
      </c>
      <c r="AU27" s="1357" t="s">
        <v>1115</v>
      </c>
      <c r="AV27" s="1081" t="s">
        <v>1118</v>
      </c>
      <c r="AW27" s="907">
        <f>((AX14-AW14)/LN(AX14/AW14))/((AX14-AW14)/LN(AX14/AW14)-($BI$6-$BK$6-$BM$6)/LN(($BI$6-$BK$6)/$BM$6))*$BI$8</f>
        <v>7.9908434205699788</v>
      </c>
      <c r="AX27" s="907">
        <f>((AZ14-AY14)/LN(AZ14/AY14))/((AZ14-AY14)/LN(AZ14/AY14)-($BI$6-$BK$6-$BM$6)/LN(($BI$6-$BK$6)/$BM$6))*$BI$8</f>
        <v>8.2729893765411635</v>
      </c>
      <c r="AY27" s="907">
        <f>((BB14-BA14)/LN(BB14/BA14))/((BB14-BA14)/LN(BB14/BA14)-($BI$6-$BK$6-$BM$6)/LN(($BI$6-$BK$6)/$BM$6))*$BI$8</f>
        <v>7.9908434205699788</v>
      </c>
      <c r="AZ27" s="907">
        <f>((BD14-BC14)/LN(BD14/BC14))/((BD14-BC14)/LN(BD14/BC14)-($BI$6-$BK$6-$BM$6)/LN(($BI$6-$BK$6)/$BM$6))*$BI$8</f>
        <v>7.732517958339483</v>
      </c>
      <c r="BA27" s="907"/>
      <c r="BQ27" s="908" t="s">
        <v>1767</v>
      </c>
    </row>
    <row r="28" spans="1:82" ht="21.6" thickBot="1">
      <c r="A28" s="905">
        <v>27</v>
      </c>
      <c r="B28" s="905" t="s">
        <v>1766</v>
      </c>
      <c r="C28" s="905">
        <v>26696</v>
      </c>
      <c r="D28" s="905" t="s">
        <v>1115</v>
      </c>
      <c r="E28" s="905" t="s">
        <v>1118</v>
      </c>
      <c r="F28" s="1014"/>
      <c r="G28" s="1013"/>
      <c r="H28" s="1013"/>
      <c r="I28" s="1013"/>
      <c r="J28" s="1012"/>
      <c r="K28" s="1011"/>
      <c r="L28" s="1010"/>
      <c r="N28" s="1031" t="s">
        <v>1765</v>
      </c>
      <c r="O28" s="1030"/>
      <c r="P28" s="1029">
        <v>70</v>
      </c>
      <c r="Q28" s="1028">
        <v>43</v>
      </c>
      <c r="R28" s="1028">
        <v>76</v>
      </c>
      <c r="S28" s="1027">
        <v>36</v>
      </c>
      <c r="T28" s="1026" t="s">
        <v>805</v>
      </c>
      <c r="U28" s="1025">
        <v>0.26724137931034481</v>
      </c>
      <c r="V28" s="905">
        <v>6.29</v>
      </c>
      <c r="X28" s="905">
        <v>27</v>
      </c>
      <c r="AA28" s="1056">
        <v>2020</v>
      </c>
      <c r="AB28" s="1070">
        <v>75</v>
      </c>
      <c r="AC28" s="1070">
        <v>40</v>
      </c>
      <c r="AD28" s="1069">
        <f t="shared" ref="AD28:AE30" si="18">AVERAGE(AE5:AE8)/AVERAGE(AC5:AC8)*AB28</f>
        <v>71.796358027935881</v>
      </c>
      <c r="AE28" s="1069">
        <f t="shared" si="18"/>
        <v>41.1489156189106</v>
      </c>
      <c r="AF28" s="1068">
        <v>75</v>
      </c>
      <c r="AG28" s="1068">
        <v>40</v>
      </c>
      <c r="AH28" s="1067">
        <f t="shared" ref="AH28:AI30" si="19">AVERAGE(AI5:AI8)/AVERAGE(AG5:AG8)*AF28</f>
        <v>78.203641972064148</v>
      </c>
      <c r="AI28" s="1066">
        <f t="shared" si="19"/>
        <v>38.851084381089407</v>
      </c>
      <c r="AU28" s="1358"/>
      <c r="AV28" s="1080" t="s">
        <v>1117</v>
      </c>
      <c r="AW28" s="1053">
        <f>((AX15-AW15)/LN(AX15/AW15))/((AX15-AW15)/LN(AX15/AW15)-($BI$6-$BK$6-$BM$6)/LN(($BI$6-$BK$6)/$BM$6))*$BI$8</f>
        <v>10.30305423297294</v>
      </c>
      <c r="AX28" s="1053">
        <f>((AZ15-AY15)/LN(AZ15/AY15))/((AZ15-AY15)/LN(AZ15/AY15)-($BI$6-$BK$6-$BM$6)/LN(($BI$6-$BK$6)/$BM$6))*$BI$8</f>
        <v>10.425284720592808</v>
      </c>
      <c r="AY28" s="1053">
        <f>((BB15-BA15)/LN(BB15/BA15))/((BB15-BA15)/LN(BB15/BA15)-($BI$6-$BK$6-$BM$6)/LN(($BI$6-$BK$6)/$BM$6))*$BI$8</f>
        <v>10.30305423297294</v>
      </c>
      <c r="AZ28" s="1053">
        <f>((BD15-BC15)/LN(BD15/BC15))/((BD15-BC15)/LN(BD15/BC15)-($BI$6-$BK$6-$BM$6)/LN(($BI$6-$BK$6)/$BM$6))*$BI$8</f>
        <v>10.18680878319549</v>
      </c>
      <c r="BA28" s="907"/>
      <c r="BQ28" s="908" t="s">
        <v>1118</v>
      </c>
      <c r="BR28" s="908" t="s">
        <v>1704</v>
      </c>
      <c r="BS28" s="908" t="s">
        <v>1707</v>
      </c>
      <c r="BT28" s="908" t="s">
        <v>1706</v>
      </c>
      <c r="BU28" s="908" t="s">
        <v>1705</v>
      </c>
    </row>
    <row r="29" spans="1:82" ht="21">
      <c r="A29" s="905">
        <v>28</v>
      </c>
      <c r="B29" s="905" t="s">
        <v>1764</v>
      </c>
      <c r="C29" s="905">
        <v>29189</v>
      </c>
      <c r="D29" s="905" t="s">
        <v>1115</v>
      </c>
      <c r="E29" s="905" t="s">
        <v>1118</v>
      </c>
      <c r="F29" s="1014">
        <f t="shared" ref="F29:L30" si="20">O16</f>
        <v>0</v>
      </c>
      <c r="G29" s="1013">
        <f t="shared" si="20"/>
        <v>75</v>
      </c>
      <c r="H29" s="1013">
        <f t="shared" si="20"/>
        <v>45</v>
      </c>
      <c r="I29" s="1013">
        <f t="shared" si="20"/>
        <v>80</v>
      </c>
      <c r="J29" s="1012">
        <f t="shared" si="20"/>
        <v>42</v>
      </c>
      <c r="K29" s="1011" t="str">
        <f t="shared" si="20"/>
        <v/>
      </c>
      <c r="L29" s="1010">
        <f t="shared" si="20"/>
        <v>0.23425876726886291</v>
      </c>
      <c r="N29" s="1031" t="s">
        <v>1763</v>
      </c>
      <c r="O29" s="1030">
        <v>3.0235450529656475E-2</v>
      </c>
      <c r="P29" s="1029">
        <v>70</v>
      </c>
      <c r="Q29" s="1028">
        <v>39</v>
      </c>
      <c r="R29" s="1028">
        <v>70</v>
      </c>
      <c r="S29" s="1027">
        <v>36</v>
      </c>
      <c r="T29" s="1026">
        <v>34.829437787688285</v>
      </c>
      <c r="U29" s="1025">
        <v>0.24540067220944631</v>
      </c>
      <c r="V29" s="905">
        <v>17.062999999999999</v>
      </c>
      <c r="X29" s="905">
        <v>28</v>
      </c>
      <c r="AA29" s="1056">
        <v>2030</v>
      </c>
      <c r="AB29" s="1070">
        <v>70</v>
      </c>
      <c r="AC29" s="1070">
        <v>35</v>
      </c>
      <c r="AD29" s="1069">
        <f t="shared" si="18"/>
        <v>67.171326169507537</v>
      </c>
      <c r="AE29" s="1069">
        <f t="shared" si="18"/>
        <v>36.322999022606751</v>
      </c>
      <c r="AF29" s="1068">
        <v>70</v>
      </c>
      <c r="AG29" s="1068">
        <v>35</v>
      </c>
      <c r="AH29" s="1067">
        <f t="shared" si="19"/>
        <v>72.828673830492477</v>
      </c>
      <c r="AI29" s="1066">
        <f t="shared" si="19"/>
        <v>33.677000977393234</v>
      </c>
      <c r="BQ29" s="908" t="s">
        <v>1752</v>
      </c>
      <c r="BR29" s="905" t="e">
        <v>#REF!</v>
      </c>
      <c r="BS29" s="905">
        <v>6.1699954710144986</v>
      </c>
      <c r="BT29" s="905" t="e">
        <v>#REF!</v>
      </c>
      <c r="BU29" s="905" t="e">
        <v>#REF!</v>
      </c>
    </row>
    <row r="30" spans="1:82" ht="21.6" thickBot="1">
      <c r="A30" s="905">
        <v>29</v>
      </c>
      <c r="B30" s="905" t="s">
        <v>1761</v>
      </c>
      <c r="C30" s="905">
        <v>32264</v>
      </c>
      <c r="D30" s="905" t="s">
        <v>1116</v>
      </c>
      <c r="E30" s="905" t="s">
        <v>1117</v>
      </c>
      <c r="F30" s="1014">
        <f t="shared" si="20"/>
        <v>0</v>
      </c>
      <c r="G30" s="1013">
        <f t="shared" si="20"/>
        <v>68</v>
      </c>
      <c r="H30" s="1013">
        <f t="shared" si="20"/>
        <v>42</v>
      </c>
      <c r="I30" s="1013">
        <f t="shared" si="20"/>
        <v>71</v>
      </c>
      <c r="J30" s="1012">
        <f t="shared" si="20"/>
        <v>39</v>
      </c>
      <c r="K30" s="1011">
        <f t="shared" si="20"/>
        <v>0</v>
      </c>
      <c r="L30" s="1010">
        <f t="shared" si="20"/>
        <v>0.36491505815015529</v>
      </c>
      <c r="N30" s="1031" t="s">
        <v>1762</v>
      </c>
      <c r="O30" s="1030"/>
      <c r="P30" s="1029">
        <v>65</v>
      </c>
      <c r="Q30" s="1028">
        <v>48</v>
      </c>
      <c r="R30" s="1028">
        <v>67</v>
      </c>
      <c r="S30" s="1027">
        <v>43</v>
      </c>
      <c r="T30" s="1026">
        <v>27.127571597013578</v>
      </c>
      <c r="U30" s="1025">
        <v>0.32371300580157158</v>
      </c>
      <c r="V30" s="905">
        <v>36.835999999999999</v>
      </c>
      <c r="X30" s="905">
        <v>29</v>
      </c>
      <c r="AA30" s="1054">
        <v>2050</v>
      </c>
      <c r="AB30" s="1065">
        <v>60</v>
      </c>
      <c r="AC30" s="1065">
        <v>30</v>
      </c>
      <c r="AD30" s="1064">
        <f t="shared" si="18"/>
        <v>57.784944570671094</v>
      </c>
      <c r="AE30" s="1063">
        <f t="shared" si="18"/>
        <v>31.124856789118102</v>
      </c>
      <c r="AF30" s="1062">
        <v>60</v>
      </c>
      <c r="AG30" s="1062">
        <v>30</v>
      </c>
      <c r="AH30" s="1061">
        <f t="shared" si="19"/>
        <v>62.215055429328899</v>
      </c>
      <c r="AI30" s="1060">
        <f t="shared" si="19"/>
        <v>28.875143210881898</v>
      </c>
      <c r="BQ30" s="908" t="s">
        <v>1749</v>
      </c>
      <c r="BR30" s="905" t="e">
        <v>#REF!</v>
      </c>
      <c r="BS30" s="905">
        <v>5.3999999999999879</v>
      </c>
      <c r="BT30" s="905" t="e">
        <v>#REF!</v>
      </c>
      <c r="BU30" s="905" t="e">
        <v>#REF!</v>
      </c>
    </row>
    <row r="31" spans="1:82">
      <c r="A31" s="905">
        <v>30</v>
      </c>
      <c r="B31" s="905" t="s">
        <v>1761</v>
      </c>
      <c r="C31" s="905">
        <v>32264</v>
      </c>
      <c r="D31" s="905" t="s">
        <v>1115</v>
      </c>
      <c r="E31" s="905" t="s">
        <v>1117</v>
      </c>
      <c r="F31" s="1014">
        <f t="shared" ref="F31:L31" si="21">O17</f>
        <v>0</v>
      </c>
      <c r="G31" s="1013">
        <f t="shared" si="21"/>
        <v>68</v>
      </c>
      <c r="H31" s="1013">
        <f t="shared" si="21"/>
        <v>42</v>
      </c>
      <c r="I31" s="1013">
        <f t="shared" si="21"/>
        <v>71</v>
      </c>
      <c r="J31" s="1012">
        <f t="shared" si="21"/>
        <v>39</v>
      </c>
      <c r="K31" s="1011">
        <f t="shared" si="21"/>
        <v>0</v>
      </c>
      <c r="L31" s="1010">
        <f t="shared" si="21"/>
        <v>0.36491505815015529</v>
      </c>
      <c r="N31" s="1031" t="s">
        <v>1701</v>
      </c>
      <c r="O31" s="1030">
        <v>1.843368237347295E-2</v>
      </c>
      <c r="P31" s="1029">
        <v>68</v>
      </c>
      <c r="Q31" s="1028">
        <v>36</v>
      </c>
      <c r="R31" s="1028">
        <v>72</v>
      </c>
      <c r="S31" s="1027">
        <v>36</v>
      </c>
      <c r="T31" s="1026">
        <v>34.286461102250577</v>
      </c>
      <c r="U31" s="1025">
        <v>0.16590732303589287</v>
      </c>
      <c r="V31" s="905">
        <v>7.5060000000000002</v>
      </c>
      <c r="X31" s="905">
        <v>30</v>
      </c>
      <c r="AU31" s="1079" t="s">
        <v>1760</v>
      </c>
      <c r="AV31" s="1078"/>
      <c r="AW31" s="1078" t="s">
        <v>1759</v>
      </c>
      <c r="AX31" s="1078"/>
      <c r="AY31" s="1078"/>
      <c r="AZ31" s="1078"/>
      <c r="BA31" s="1078"/>
      <c r="BB31" s="1078"/>
      <c r="BC31" s="1078"/>
      <c r="BP31" s="1077" t="s">
        <v>1746</v>
      </c>
      <c r="BQ31" s="908" t="s">
        <v>1745</v>
      </c>
      <c r="BR31" s="905">
        <f>AVERAGE(3,2.2,4.5)</f>
        <v>3.2333333333333329</v>
      </c>
      <c r="BS31" s="908">
        <f>AVERAGE(6,10.5,3)</f>
        <v>6.5</v>
      </c>
      <c r="BT31" s="905">
        <f>AVERAGE(14.5,17.5,18)</f>
        <v>16.666666666666668</v>
      </c>
      <c r="BU31" s="905">
        <f>AVERAGE(16,12.5,8.5)</f>
        <v>12.333333333333334</v>
      </c>
    </row>
    <row r="32" spans="1:82" ht="16.2" thickBot="1">
      <c r="A32" s="905">
        <v>31</v>
      </c>
      <c r="B32" s="905" t="s">
        <v>1758</v>
      </c>
      <c r="C32" s="905">
        <v>29189</v>
      </c>
      <c r="D32" s="905" t="s">
        <v>1115</v>
      </c>
      <c r="E32" s="905" t="s">
        <v>1117</v>
      </c>
      <c r="F32" s="1014">
        <f t="shared" ref="F32:K32" si="22">O19</f>
        <v>0</v>
      </c>
      <c r="G32" s="1013">
        <f t="shared" si="22"/>
        <v>70</v>
      </c>
      <c r="H32" s="1013">
        <f t="shared" si="22"/>
        <v>0</v>
      </c>
      <c r="I32" s="1013">
        <f t="shared" si="22"/>
        <v>75</v>
      </c>
      <c r="J32" s="1012">
        <f t="shared" si="22"/>
        <v>0</v>
      </c>
      <c r="K32" s="1011" t="str">
        <f t="shared" si="22"/>
        <v/>
      </c>
      <c r="L32" s="1015">
        <v>0.22800028617798151</v>
      </c>
      <c r="N32" s="1031" t="s">
        <v>1757</v>
      </c>
      <c r="O32" s="1030"/>
      <c r="P32" s="1029">
        <v>70</v>
      </c>
      <c r="Q32" s="1028">
        <v>0</v>
      </c>
      <c r="R32" s="1028">
        <v>76</v>
      </c>
      <c r="S32" s="1027">
        <v>0</v>
      </c>
      <c r="T32" s="1026">
        <v>47.210473186119877</v>
      </c>
      <c r="U32" s="1025">
        <v>0.22411217101482589</v>
      </c>
      <c r="V32" s="905">
        <v>6.7510000000000003</v>
      </c>
      <c r="X32" s="905">
        <v>31</v>
      </c>
      <c r="AA32" s="905" t="s">
        <v>1695</v>
      </c>
      <c r="AB32" s="905" t="s">
        <v>1707</v>
      </c>
      <c r="AC32" s="905" t="s">
        <v>1706</v>
      </c>
      <c r="AD32" s="905" t="s">
        <v>1705</v>
      </c>
      <c r="AE32" s="905" t="s">
        <v>1704</v>
      </c>
      <c r="BQ32" s="908"/>
    </row>
    <row r="33" spans="1:73" ht="18.600000000000001" thickBot="1">
      <c r="A33" s="905">
        <v>32</v>
      </c>
      <c r="B33" s="905" t="s">
        <v>1756</v>
      </c>
      <c r="C33" s="905">
        <v>29189</v>
      </c>
      <c r="D33" s="905" t="s">
        <v>1115</v>
      </c>
      <c r="E33" s="905" t="s">
        <v>1117</v>
      </c>
      <c r="F33" s="1014">
        <f t="shared" ref="F33:L35" si="23">O21</f>
        <v>0</v>
      </c>
      <c r="G33" s="1013">
        <f t="shared" si="23"/>
        <v>72</v>
      </c>
      <c r="H33" s="1013">
        <f t="shared" si="23"/>
        <v>42</v>
      </c>
      <c r="I33" s="1013">
        <f t="shared" si="23"/>
        <v>74</v>
      </c>
      <c r="J33" s="1012">
        <f t="shared" si="23"/>
        <v>40</v>
      </c>
      <c r="K33" s="1011">
        <f t="shared" si="23"/>
        <v>32.595774946199725</v>
      </c>
      <c r="L33" s="1010">
        <f t="shared" si="23"/>
        <v>0.25657123145912386</v>
      </c>
      <c r="N33" s="1031" t="s">
        <v>1755</v>
      </c>
      <c r="O33" s="1030"/>
      <c r="P33" s="1029">
        <v>75</v>
      </c>
      <c r="Q33" s="1028">
        <v>41</v>
      </c>
      <c r="R33" s="1028">
        <v>75</v>
      </c>
      <c r="S33" s="1027">
        <v>36</v>
      </c>
      <c r="T33" s="1026">
        <v>40.59779889728101</v>
      </c>
      <c r="U33" s="1025">
        <v>0.21783451189273578</v>
      </c>
      <c r="V33" s="905">
        <v>42.585000000000001</v>
      </c>
      <c r="X33" s="905">
        <v>32</v>
      </c>
      <c r="AA33" s="1059">
        <v>2020</v>
      </c>
      <c r="AB33" s="1058">
        <f>(AB28+273.15+$AO$5)/((AB28+273.15+$AO$5)-($AM$5+273.15-$AO$5))*$AM$8*$AM$9</f>
        <v>5.111381578947368</v>
      </c>
      <c r="AC33" s="1058">
        <f>(AD28+273.15+$AO$5)/((AD28+273.15+$AO$5)-($AM$5+273.15-$AO$5))*$AM$8*$AM$9</f>
        <v>5.5313402845447772</v>
      </c>
      <c r="AD33" s="1058">
        <f>(AF28+273.15+$AO$5)/((AF28+273.15+$AO$5)-($AM$5+273.15-$AO$5))*$AM$8*$AM$9</f>
        <v>5.111381578947368</v>
      </c>
      <c r="AE33" s="1057">
        <f>(AH28+273.15+$AO$5)/((AH28+273.15+$AO$5)-($AM$5+273.15-$AO$5))*$AM$8</f>
        <v>4.7567276508595668</v>
      </c>
      <c r="AV33" s="1353" t="s">
        <v>1741</v>
      </c>
      <c r="AW33" s="1353"/>
      <c r="AX33" s="1354" t="s">
        <v>1740</v>
      </c>
      <c r="AY33" s="1354"/>
      <c r="AZ33" s="1355" t="s">
        <v>1739</v>
      </c>
      <c r="BA33" s="1355"/>
      <c r="BB33" s="1356" t="s">
        <v>1738</v>
      </c>
      <c r="BC33" s="1356"/>
      <c r="BQ33" s="908" t="s">
        <v>1117</v>
      </c>
      <c r="BR33" s="908" t="s">
        <v>1704</v>
      </c>
      <c r="BS33" s="908" t="s">
        <v>1707</v>
      </c>
      <c r="BT33" s="908" t="s">
        <v>1706</v>
      </c>
      <c r="BU33" s="908" t="s">
        <v>1705</v>
      </c>
    </row>
    <row r="34" spans="1:73" ht="18">
      <c r="A34" s="905">
        <v>33</v>
      </c>
      <c r="B34" s="905" t="s">
        <v>1754</v>
      </c>
      <c r="C34" s="905">
        <v>29189</v>
      </c>
      <c r="D34" s="905" t="s">
        <v>1115</v>
      </c>
      <c r="E34" s="905" t="s">
        <v>1117</v>
      </c>
      <c r="F34" s="1014">
        <f t="shared" si="23"/>
        <v>5.0035402407363698E-2</v>
      </c>
      <c r="G34" s="1013">
        <f t="shared" si="23"/>
        <v>72</v>
      </c>
      <c r="H34" s="1013">
        <f t="shared" si="23"/>
        <v>38</v>
      </c>
      <c r="I34" s="1013">
        <f t="shared" si="23"/>
        <v>76</v>
      </c>
      <c r="J34" s="1012">
        <f t="shared" si="23"/>
        <v>33</v>
      </c>
      <c r="K34" s="1011">
        <f t="shared" si="23"/>
        <v>40.247738014723978</v>
      </c>
      <c r="L34" s="1010">
        <f t="shared" si="23"/>
        <v>0.2653447329192547</v>
      </c>
      <c r="N34" s="1037" t="s">
        <v>1753</v>
      </c>
      <c r="O34" s="1036"/>
      <c r="P34" s="1035">
        <v>65</v>
      </c>
      <c r="Q34" s="1013">
        <v>70</v>
      </c>
      <c r="R34" s="1013">
        <v>70</v>
      </c>
      <c r="S34" s="1012">
        <v>70</v>
      </c>
      <c r="T34" s="1011" t="s">
        <v>805</v>
      </c>
      <c r="U34" s="1034"/>
      <c r="V34" s="905" t="s">
        <v>805</v>
      </c>
      <c r="X34" s="905">
        <v>33</v>
      </c>
      <c r="AA34" s="1056">
        <v>2030</v>
      </c>
      <c r="AB34" s="907">
        <f>(AB29+273.15+$AO$5)/((AB29+273.15+$AO$5)-($AM$5+273.15-$AO$5))*$AM$8*$AM$9</f>
        <v>5.8025000000000002</v>
      </c>
      <c r="AC34" s="907">
        <f>(AD29+273.15+$AO$5)/((AD29+273.15+$AO$5)-($AM$5+273.15-$AO$5))*$AM$8*$AM$9</f>
        <v>6.2949413733486246</v>
      </c>
      <c r="AD34" s="907">
        <f>(AF29+273.15+$AO$5)/((AF29+273.15+$AO$5)-($AM$5+273.15-$AO$5))*$AM$8*$AM$9</f>
        <v>5.8025000000000002</v>
      </c>
      <c r="AE34" s="1055">
        <f>(AH29+273.15+$AO$5)/((AH29+273.15+$AO$5)-($AM$5+273.15-$AO$5))*$AM$8</f>
        <v>5.3878151203710809</v>
      </c>
      <c r="AU34" s="1076"/>
      <c r="AV34" s="1075" t="s">
        <v>1735</v>
      </c>
      <c r="AW34" s="1075" t="s">
        <v>1734</v>
      </c>
      <c r="AX34" s="1074" t="s">
        <v>1733</v>
      </c>
      <c r="AY34" s="1074" t="s">
        <v>1732</v>
      </c>
      <c r="AZ34" s="1073" t="s">
        <v>1731</v>
      </c>
      <c r="BA34" s="1073" t="s">
        <v>1730</v>
      </c>
      <c r="BB34" s="1072" t="s">
        <v>1729</v>
      </c>
      <c r="BC34" s="1071" t="s">
        <v>1728</v>
      </c>
      <c r="BQ34" s="908" t="s">
        <v>1752</v>
      </c>
      <c r="BR34" s="905" t="e">
        <v>#REF!</v>
      </c>
      <c r="BS34" s="905">
        <v>6.0428291062801973</v>
      </c>
      <c r="BT34" s="905" t="e">
        <v>#REF!</v>
      </c>
      <c r="BU34" s="905" t="e">
        <v>#REF!</v>
      </c>
    </row>
    <row r="35" spans="1:73" ht="21.6" thickBot="1">
      <c r="A35" s="905">
        <v>34</v>
      </c>
      <c r="B35" s="905" t="s">
        <v>1751</v>
      </c>
      <c r="C35" s="905">
        <v>29189</v>
      </c>
      <c r="D35" s="905" t="s">
        <v>1115</v>
      </c>
      <c r="E35" s="905" t="s">
        <v>1117</v>
      </c>
      <c r="F35" s="1014">
        <f t="shared" si="23"/>
        <v>0</v>
      </c>
      <c r="G35" s="1013">
        <f t="shared" si="23"/>
        <v>75</v>
      </c>
      <c r="H35" s="1013">
        <f t="shared" si="23"/>
        <v>39</v>
      </c>
      <c r="I35" s="1013">
        <f t="shared" si="23"/>
        <v>80</v>
      </c>
      <c r="J35" s="1012">
        <f t="shared" si="23"/>
        <v>36</v>
      </c>
      <c r="K35" s="1011" t="str">
        <f t="shared" si="23"/>
        <v/>
      </c>
      <c r="L35" s="1010">
        <f t="shared" si="23"/>
        <v>0.30849074850106378</v>
      </c>
      <c r="N35" s="1031" t="s">
        <v>1750</v>
      </c>
      <c r="O35" s="1030">
        <v>9.067439078143693E-3</v>
      </c>
      <c r="P35" s="1029">
        <v>68</v>
      </c>
      <c r="Q35" s="1028">
        <v>36</v>
      </c>
      <c r="R35" s="1028">
        <v>68</v>
      </c>
      <c r="S35" s="1027">
        <v>36</v>
      </c>
      <c r="T35" s="1026">
        <v>33.374071251901881</v>
      </c>
      <c r="U35" s="1025">
        <v>0.24477346381139989</v>
      </c>
      <c r="V35" s="905">
        <v>11.885</v>
      </c>
      <c r="X35" s="905">
        <v>34</v>
      </c>
      <c r="AA35" s="1054">
        <v>2050</v>
      </c>
      <c r="AB35" s="1053">
        <f>(AB30+273.15+$AO$5)/((AB30+273.15+$AO$5)-($AM$5+273.15-$AO$5))*$AM$8*$AM$9</f>
        <v>8.0861956521739131</v>
      </c>
      <c r="AC35" s="1053">
        <f>(AD30+273.15+$AO$5)/((AD30+273.15+$AO$5)-($AM$5+273.15-$AO$5))*$AM$8*$AM$9</f>
        <v>8.8893294319669955</v>
      </c>
      <c r="AD35" s="1053">
        <f>(AF30+273.15+$AO$5)/((AF30+273.15+$AO$5)-($AM$5+273.15-$AO$5))*$AM$8*$AM$9</f>
        <v>8.0861956521739131</v>
      </c>
      <c r="AE35" s="1052">
        <f>(AH30+273.15+$AO$5)/((AH30+273.15+$AO$5)-($AM$5+273.15-$AO$5))*$AM$8</f>
        <v>7.4241669232417449</v>
      </c>
      <c r="AU35" s="1056">
        <v>2020</v>
      </c>
      <c r="AV35" s="1070">
        <v>75</v>
      </c>
      <c r="AW35" s="1070">
        <v>40</v>
      </c>
      <c r="AX35" s="1069">
        <f t="shared" ref="AX35:AY37" si="24">AVERAGE(AY12:AY15)/AVERAGE(AW12:AW15)*AV35</f>
        <v>74.297783396862442</v>
      </c>
      <c r="AY35" s="1069">
        <f t="shared" si="24"/>
        <v>40.156516646455131</v>
      </c>
      <c r="AZ35" s="1068">
        <v>75</v>
      </c>
      <c r="BA35" s="1068">
        <v>40</v>
      </c>
      <c r="BB35" s="1067">
        <f t="shared" ref="BB35:BC37" si="25">AVERAGE(BC12:BC15)/AVERAGE(BA12:BA15)*AZ35</f>
        <v>75.702216603137543</v>
      </c>
      <c r="BC35" s="1066">
        <f t="shared" si="25"/>
        <v>39.843483353544862</v>
      </c>
      <c r="BQ35" s="908" t="s">
        <v>1749</v>
      </c>
      <c r="BR35" s="905" t="e">
        <v>#REF!</v>
      </c>
      <c r="BS35" s="905">
        <v>5.318840579710165</v>
      </c>
      <c r="BT35" s="905" t="e">
        <v>#REF!</v>
      </c>
      <c r="BU35" s="905" t="e">
        <v>#REF!</v>
      </c>
    </row>
    <row r="36" spans="1:73" ht="21">
      <c r="A36" s="905">
        <v>35</v>
      </c>
      <c r="B36" s="905" t="s">
        <v>1748</v>
      </c>
      <c r="C36" s="905">
        <v>29189</v>
      </c>
      <c r="D36" s="905" t="s">
        <v>1115</v>
      </c>
      <c r="E36" s="905" t="s">
        <v>1117</v>
      </c>
      <c r="F36" s="1014">
        <f t="shared" ref="F36:K37" si="26">O24</f>
        <v>1.9463230203951222E-2</v>
      </c>
      <c r="G36" s="1013">
        <f t="shared" si="26"/>
        <v>68</v>
      </c>
      <c r="H36" s="1013">
        <f t="shared" si="26"/>
        <v>38</v>
      </c>
      <c r="I36" s="1013">
        <f t="shared" si="26"/>
        <v>75</v>
      </c>
      <c r="J36" s="1012">
        <f t="shared" si="26"/>
        <v>35</v>
      </c>
      <c r="K36" s="1011">
        <f t="shared" si="26"/>
        <v>36.000250071042913</v>
      </c>
      <c r="L36" s="1015">
        <v>0.22800028617798151</v>
      </c>
      <c r="N36" s="1031" t="s">
        <v>1747</v>
      </c>
      <c r="O36" s="1030"/>
      <c r="P36" s="1029">
        <v>69</v>
      </c>
      <c r="Q36" s="1028">
        <v>41</v>
      </c>
      <c r="R36" s="1028">
        <v>70</v>
      </c>
      <c r="S36" s="1027">
        <v>39</v>
      </c>
      <c r="T36" s="1026">
        <v>21.286858901815219</v>
      </c>
      <c r="U36" s="1025">
        <v>0.32589612289685443</v>
      </c>
      <c r="V36" s="905">
        <v>1.843</v>
      </c>
      <c r="X36" s="905">
        <v>35</v>
      </c>
      <c r="AU36" s="1056">
        <v>2030</v>
      </c>
      <c r="AV36" s="1070">
        <v>70</v>
      </c>
      <c r="AW36" s="1070">
        <v>35</v>
      </c>
      <c r="AX36" s="1069">
        <f t="shared" si="24"/>
        <v>69.390906973583867</v>
      </c>
      <c r="AY36" s="1069">
        <f t="shared" si="24"/>
        <v>35.173174273027513</v>
      </c>
      <c r="AZ36" s="1068">
        <v>70</v>
      </c>
      <c r="BA36" s="1068">
        <v>35</v>
      </c>
      <c r="BB36" s="1067">
        <f t="shared" si="25"/>
        <v>70.609093026416147</v>
      </c>
      <c r="BC36" s="1066">
        <f t="shared" si="25"/>
        <v>34.826825726972494</v>
      </c>
      <c r="BP36" s="1077" t="s">
        <v>1746</v>
      </c>
      <c r="BQ36" s="908" t="s">
        <v>1745</v>
      </c>
      <c r="BR36" s="905">
        <f>AVERAGE(3.8,3,4.8)</f>
        <v>3.8666666666666667</v>
      </c>
      <c r="BS36" s="908">
        <f>AVERAGE(6,10.5,3.5)</f>
        <v>6.666666666666667</v>
      </c>
      <c r="BT36" s="905">
        <f>AVERAGE(14.5,17,17.8)</f>
        <v>16.433333333333334</v>
      </c>
      <c r="BU36" s="905">
        <f>AVERAGE(15.5,12.5,9)</f>
        <v>12.333333333333334</v>
      </c>
    </row>
    <row r="37" spans="1:73" ht="21.6" thickBot="1">
      <c r="A37" s="905">
        <v>36</v>
      </c>
      <c r="B37" s="905" t="s">
        <v>1743</v>
      </c>
      <c r="C37" s="905">
        <v>65113</v>
      </c>
      <c r="D37" s="905" t="s">
        <v>1116</v>
      </c>
      <c r="E37" s="905" t="s">
        <v>1118</v>
      </c>
      <c r="F37" s="1014">
        <f t="shared" si="26"/>
        <v>0.13582889469679427</v>
      </c>
      <c r="G37" s="1013">
        <f t="shared" si="26"/>
        <v>70.3</v>
      </c>
      <c r="H37" s="1013">
        <f t="shared" si="26"/>
        <v>47.6</v>
      </c>
      <c r="I37" s="1013">
        <f t="shared" si="26"/>
        <v>75.5</v>
      </c>
      <c r="J37" s="1012">
        <f t="shared" si="26"/>
        <v>48.5</v>
      </c>
      <c r="K37" s="1011">
        <f t="shared" si="26"/>
        <v>0</v>
      </c>
      <c r="L37" s="1010">
        <f>U25</f>
        <v>0.13322763311626915</v>
      </c>
      <c r="N37" s="1031" t="s">
        <v>1744</v>
      </c>
      <c r="O37" s="1030">
        <v>3.3558611046376134E-2</v>
      </c>
      <c r="P37" s="1029">
        <v>70</v>
      </c>
      <c r="Q37" s="1028">
        <v>32</v>
      </c>
      <c r="R37" s="1028">
        <v>70</v>
      </c>
      <c r="S37" s="1027">
        <v>32</v>
      </c>
      <c r="T37" s="1026">
        <v>36.56048017140192</v>
      </c>
      <c r="U37" s="1025">
        <v>0.18971545695683625</v>
      </c>
      <c r="V37" s="905">
        <v>13.441000000000001</v>
      </c>
      <c r="X37" s="905">
        <v>36</v>
      </c>
      <c r="AU37" s="1054">
        <v>2050</v>
      </c>
      <c r="AV37" s="1065">
        <v>60</v>
      </c>
      <c r="AW37" s="1065">
        <v>30</v>
      </c>
      <c r="AX37" s="1064">
        <f t="shared" si="24"/>
        <v>59.520864342685371</v>
      </c>
      <c r="AY37" s="1063">
        <f t="shared" si="24"/>
        <v>30.147417403647317</v>
      </c>
      <c r="AZ37" s="1062">
        <v>60</v>
      </c>
      <c r="BA37" s="1062">
        <v>30</v>
      </c>
      <c r="BB37" s="1061">
        <f t="shared" si="25"/>
        <v>60.479135657314643</v>
      </c>
      <c r="BC37" s="1060">
        <f t="shared" si="25"/>
        <v>29.852582596352686</v>
      </c>
    </row>
    <row r="38" spans="1:73" ht="15" thickBot="1">
      <c r="A38" s="905">
        <v>37</v>
      </c>
      <c r="B38" s="905" t="s">
        <v>1743</v>
      </c>
      <c r="C38" s="905">
        <v>65120</v>
      </c>
      <c r="D38" s="905" t="s">
        <v>1116</v>
      </c>
      <c r="E38" s="905" t="s">
        <v>1118</v>
      </c>
      <c r="F38" s="1014">
        <f t="shared" ref="F38:L38" si="27">O25</f>
        <v>0.13582889469679427</v>
      </c>
      <c r="G38" s="1013">
        <f t="shared" si="27"/>
        <v>70.3</v>
      </c>
      <c r="H38" s="1013">
        <f t="shared" si="27"/>
        <v>47.6</v>
      </c>
      <c r="I38" s="1013">
        <f t="shared" si="27"/>
        <v>75.5</v>
      </c>
      <c r="J38" s="1012">
        <f t="shared" si="27"/>
        <v>48.5</v>
      </c>
      <c r="K38" s="1011">
        <f t="shared" si="27"/>
        <v>0</v>
      </c>
      <c r="L38" s="1010">
        <f t="shared" si="27"/>
        <v>0.13322763311626915</v>
      </c>
      <c r="N38" s="1031" t="s">
        <v>1742</v>
      </c>
      <c r="O38" s="1030"/>
      <c r="P38" s="1029">
        <v>78</v>
      </c>
      <c r="Q38" s="1028">
        <v>0</v>
      </c>
      <c r="R38" s="1028">
        <v>83</v>
      </c>
      <c r="S38" s="1027">
        <v>0</v>
      </c>
      <c r="T38" s="1026" t="s">
        <v>805</v>
      </c>
      <c r="U38" s="1025">
        <v>0.41862845445240532</v>
      </c>
      <c r="V38" s="905">
        <v>6.2480000000000002</v>
      </c>
      <c r="X38" s="905">
        <v>37</v>
      </c>
      <c r="AA38" s="905" t="s">
        <v>1708</v>
      </c>
      <c r="AB38" s="905" t="s">
        <v>1707</v>
      </c>
      <c r="AC38" s="905" t="s">
        <v>1706</v>
      </c>
      <c r="AD38" s="905" t="s">
        <v>1705</v>
      </c>
      <c r="AE38" s="905" t="s">
        <v>1704</v>
      </c>
      <c r="AV38" s="1353" t="s">
        <v>1741</v>
      </c>
      <c r="AW38" s="1353"/>
      <c r="AX38" s="1354" t="s">
        <v>1740</v>
      </c>
      <c r="AY38" s="1354"/>
      <c r="AZ38" s="1355" t="s">
        <v>1739</v>
      </c>
      <c r="BA38" s="1355"/>
      <c r="BB38" s="1356" t="s">
        <v>1738</v>
      </c>
      <c r="BC38" s="1356"/>
    </row>
    <row r="39" spans="1:73" ht="18">
      <c r="A39" s="905">
        <v>38</v>
      </c>
      <c r="B39" s="905" t="s">
        <v>1737</v>
      </c>
      <c r="C39" s="905">
        <v>29189</v>
      </c>
      <c r="D39" s="905" t="s">
        <v>1115</v>
      </c>
      <c r="E39" s="905" t="s">
        <v>1117</v>
      </c>
      <c r="F39" s="1014"/>
      <c r="G39" s="1013"/>
      <c r="H39" s="1013"/>
      <c r="I39" s="1013"/>
      <c r="J39" s="1012"/>
      <c r="K39" s="1011"/>
      <c r="L39" s="1010"/>
      <c r="N39" s="1037" t="s">
        <v>1736</v>
      </c>
      <c r="O39" s="1036"/>
      <c r="P39" s="1035">
        <v>80</v>
      </c>
      <c r="Q39" s="1013">
        <v>44</v>
      </c>
      <c r="R39" s="1013">
        <v>93</v>
      </c>
      <c r="S39" s="1012">
        <v>41</v>
      </c>
      <c r="T39" s="1011" t="s">
        <v>805</v>
      </c>
      <c r="U39" s="1034">
        <v>2.4996677333278809E-2</v>
      </c>
      <c r="V39" s="905">
        <v>286.10399999999998</v>
      </c>
      <c r="X39" s="905">
        <v>38</v>
      </c>
      <c r="AA39" s="1059">
        <v>2020</v>
      </c>
      <c r="AB39" s="1058">
        <f>(AB28+273.15+$AO$6)/((AB28+273.15+$AO$6)-($AM$6+273.15-$AO$6))*$AM$8*$AM$9</f>
        <v>7.8792999999999997</v>
      </c>
      <c r="AC39" s="1058">
        <f>(AD28+273.15+$AO$6)/((AD28+273.15+$AO$6)-($AM$6+273.15-$AO$6))*$AM$8*$AM$9</f>
        <v>8.9565649759081456</v>
      </c>
      <c r="AD39" s="1058">
        <f>(AF28+273.15+$AO$6)/((AF28+273.15+$AO$6)-($AM$6+273.15-$AO$6))*$AM$8*$AM$9</f>
        <v>7.8792999999999997</v>
      </c>
      <c r="AE39" s="1057">
        <f>(AH28+273.15+$AO$6)/((AH28+273.15+$AO$6)-($AM$6+273.15-$AO$6))*$AM$8</f>
        <v>7.0467673388242851</v>
      </c>
      <c r="AU39" s="1076"/>
      <c r="AV39" s="1075" t="s">
        <v>1735</v>
      </c>
      <c r="AW39" s="1075" t="s">
        <v>1734</v>
      </c>
      <c r="AX39" s="1074" t="s">
        <v>1733</v>
      </c>
      <c r="AY39" s="1074" t="s">
        <v>1732</v>
      </c>
      <c r="AZ39" s="1073" t="s">
        <v>1731</v>
      </c>
      <c r="BA39" s="1073" t="s">
        <v>1730</v>
      </c>
      <c r="BB39" s="1072" t="s">
        <v>1729</v>
      </c>
      <c r="BC39" s="1071" t="s">
        <v>1728</v>
      </c>
    </row>
    <row r="40" spans="1:73" ht="21">
      <c r="A40" s="905">
        <v>39</v>
      </c>
      <c r="B40" s="905" t="s">
        <v>1727</v>
      </c>
      <c r="C40" s="905">
        <v>29189</v>
      </c>
      <c r="D40" s="905" t="s">
        <v>1115</v>
      </c>
      <c r="E40" s="905" t="s">
        <v>1117</v>
      </c>
      <c r="F40" s="1014">
        <f t="shared" ref="F40:L40" si="28">O26</f>
        <v>0</v>
      </c>
      <c r="G40" s="1013">
        <f t="shared" si="28"/>
        <v>65</v>
      </c>
      <c r="H40" s="1013">
        <f t="shared" si="28"/>
        <v>35</v>
      </c>
      <c r="I40" s="1013">
        <f t="shared" si="28"/>
        <v>65</v>
      </c>
      <c r="J40" s="1012">
        <f t="shared" si="28"/>
        <v>33</v>
      </c>
      <c r="K40" s="1011" t="str">
        <f t="shared" si="28"/>
        <v/>
      </c>
      <c r="L40" s="1010">
        <f t="shared" si="28"/>
        <v>0.16795656732669273</v>
      </c>
      <c r="N40" s="1037" t="s">
        <v>1726</v>
      </c>
      <c r="O40" s="1036"/>
      <c r="P40" s="1035">
        <v>70</v>
      </c>
      <c r="Q40" s="1013">
        <v>40</v>
      </c>
      <c r="R40" s="1013">
        <v>72</v>
      </c>
      <c r="S40" s="1012">
        <v>36</v>
      </c>
      <c r="T40" s="1011">
        <v>32.408687686394138</v>
      </c>
      <c r="U40" s="1034">
        <v>0.19836697371627801</v>
      </c>
      <c r="V40" s="905">
        <v>448.43799999999999</v>
      </c>
      <c r="X40" s="905">
        <v>39</v>
      </c>
      <c r="AA40" s="1056">
        <v>2030</v>
      </c>
      <c r="AB40" s="907">
        <f>(AB29+273.15+$AO$6)/((AB29+273.15+$AO$6)-($AM$6+273.15-$AO$6))*$AM$8*$AM$9</f>
        <v>9.7116249999999997</v>
      </c>
      <c r="AC40" s="907">
        <f>(AD29+273.15+$AO$6)/((AD29+273.15+$AO$6)-($AM$6+273.15-$AO$6))*$AM$8*$AM$9</f>
        <v>11.220841505845954</v>
      </c>
      <c r="AD40" s="907">
        <f>(AF29+273.15+$AO$6)/((AF29+273.15+$AO$6)-($AM$6+273.15-$AO$6))*$AM$8*$AM$9</f>
        <v>9.7116249999999997</v>
      </c>
      <c r="AE40" s="1055">
        <f>(AH29+273.15+$AO$6)/((AH29+273.15+$AO$6)-($AM$6+273.15-$AO$6))*$AM$8</f>
        <v>8.5764189396431263</v>
      </c>
      <c r="AU40" s="1056">
        <v>2020</v>
      </c>
      <c r="AV40" s="1070">
        <f t="shared" ref="AV40:BC42" si="29">AV35+273.15</f>
        <v>348.15</v>
      </c>
      <c r="AW40" s="1070">
        <f t="shared" si="29"/>
        <v>313.14999999999998</v>
      </c>
      <c r="AX40" s="1069">
        <f t="shared" si="29"/>
        <v>347.44778339686241</v>
      </c>
      <c r="AY40" s="1069">
        <f t="shared" si="29"/>
        <v>313.30651664645512</v>
      </c>
      <c r="AZ40" s="1068">
        <f t="shared" si="29"/>
        <v>348.15</v>
      </c>
      <c r="BA40" s="1068">
        <f t="shared" si="29"/>
        <v>313.14999999999998</v>
      </c>
      <c r="BB40" s="1067">
        <f t="shared" si="29"/>
        <v>348.85221660313755</v>
      </c>
      <c r="BC40" s="1066">
        <f t="shared" si="29"/>
        <v>312.99348335354483</v>
      </c>
    </row>
    <row r="41" spans="1:73" ht="21.6" thickBot="1">
      <c r="A41" s="905">
        <v>40</v>
      </c>
      <c r="B41" s="905" t="s">
        <v>1725</v>
      </c>
      <c r="C41" s="905">
        <v>29189</v>
      </c>
      <c r="D41" s="905" t="s">
        <v>1115</v>
      </c>
      <c r="E41" s="905" t="s">
        <v>1117</v>
      </c>
      <c r="F41" s="1014">
        <f t="shared" ref="F41:K42" si="30">O27</f>
        <v>0</v>
      </c>
      <c r="G41" s="1013">
        <f t="shared" si="30"/>
        <v>69</v>
      </c>
      <c r="H41" s="1013">
        <f t="shared" si="30"/>
        <v>0</v>
      </c>
      <c r="I41" s="1013">
        <f t="shared" si="30"/>
        <v>78</v>
      </c>
      <c r="J41" s="1012">
        <f t="shared" si="30"/>
        <v>0</v>
      </c>
      <c r="K41" s="1011" t="str">
        <f t="shared" si="30"/>
        <v/>
      </c>
      <c r="L41" s="1015">
        <v>0.22800028617798151</v>
      </c>
      <c r="N41" s="1031" t="s">
        <v>1724</v>
      </c>
      <c r="O41" s="1030"/>
      <c r="P41" s="1029">
        <v>75</v>
      </c>
      <c r="Q41" s="1028">
        <v>40</v>
      </c>
      <c r="R41" s="1028">
        <v>85</v>
      </c>
      <c r="S41" s="1027">
        <v>38</v>
      </c>
      <c r="T41" s="1026" t="s">
        <v>805</v>
      </c>
      <c r="U41" s="1025">
        <v>0.10113396244729383</v>
      </c>
      <c r="V41" s="905">
        <v>842.69500000000005</v>
      </c>
      <c r="X41" s="905">
        <v>40</v>
      </c>
      <c r="AA41" s="1054">
        <v>2050</v>
      </c>
      <c r="AB41" s="1053">
        <f>(AB30+273.15+$AO$6)/((AB30+273.15+$AO$6)-($AM$6+273.15-$AO$6))*$AM$8*$AM$9</f>
        <v>18.873249999999999</v>
      </c>
      <c r="AC41" s="1053">
        <f>(AD30+273.15+$AO$6)/((AD30+273.15+$AO$6)-($AM$6+273.15-$AO$6))*$AM$8*$AM$9</f>
        <v>24.086776445436499</v>
      </c>
      <c r="AD41" s="1053">
        <f>(AF30+273.15+$AO$6)/((AF30+273.15+$AO$6)-($AM$6+273.15-$AO$6))*$AM$8*$AM$9</f>
        <v>18.873249999999999</v>
      </c>
      <c r="AE41" s="1052">
        <f>(AH30+273.15+$AO$6)/((AH30+273.15+$AO$6)-($AM$6+273.15-$AO$6))*$AM$8</f>
        <v>15.550545929578862</v>
      </c>
      <c r="AU41" s="1056">
        <v>2030</v>
      </c>
      <c r="AV41" s="1070">
        <f t="shared" si="29"/>
        <v>343.15</v>
      </c>
      <c r="AW41" s="1070">
        <f t="shared" si="29"/>
        <v>308.14999999999998</v>
      </c>
      <c r="AX41" s="1069">
        <f t="shared" si="29"/>
        <v>342.54090697358384</v>
      </c>
      <c r="AY41" s="1069">
        <f t="shared" si="29"/>
        <v>308.32317427302746</v>
      </c>
      <c r="AZ41" s="1068">
        <f t="shared" si="29"/>
        <v>343.15</v>
      </c>
      <c r="BA41" s="1068">
        <f t="shared" si="29"/>
        <v>308.14999999999998</v>
      </c>
      <c r="BB41" s="1067">
        <f t="shared" si="29"/>
        <v>343.75909302641611</v>
      </c>
      <c r="BC41" s="1066">
        <f t="shared" si="29"/>
        <v>307.97682572697249</v>
      </c>
    </row>
    <row r="42" spans="1:73" ht="21.6" thickBot="1">
      <c r="A42" s="905">
        <v>41</v>
      </c>
      <c r="B42" s="905" t="s">
        <v>1723</v>
      </c>
      <c r="C42" s="905">
        <v>29189</v>
      </c>
      <c r="D42" s="905" t="s">
        <v>1115</v>
      </c>
      <c r="E42" s="905" t="s">
        <v>1117</v>
      </c>
      <c r="F42" s="1014">
        <f t="shared" si="30"/>
        <v>0</v>
      </c>
      <c r="G42" s="1013">
        <f t="shared" si="30"/>
        <v>70</v>
      </c>
      <c r="H42" s="1013">
        <f t="shared" si="30"/>
        <v>43</v>
      </c>
      <c r="I42" s="1013">
        <f t="shared" si="30"/>
        <v>76</v>
      </c>
      <c r="J42" s="1012">
        <f t="shared" si="30"/>
        <v>36</v>
      </c>
      <c r="K42" s="1011" t="str">
        <f t="shared" si="30"/>
        <v/>
      </c>
      <c r="L42" s="1010">
        <f>U28</f>
        <v>0.26724137931034481</v>
      </c>
      <c r="N42" s="1031" t="s">
        <v>1722</v>
      </c>
      <c r="O42" s="1030"/>
      <c r="P42" s="1029">
        <v>72</v>
      </c>
      <c r="Q42" s="1028">
        <v>40</v>
      </c>
      <c r="R42" s="1028">
        <v>78</v>
      </c>
      <c r="S42" s="1027">
        <v>35</v>
      </c>
      <c r="T42" s="1026">
        <v>54.930040106085251</v>
      </c>
      <c r="U42" s="1025">
        <v>0.28083553337884187</v>
      </c>
      <c r="V42" s="905">
        <v>32.595999999999997</v>
      </c>
      <c r="X42" s="905">
        <v>41</v>
      </c>
      <c r="AU42" s="1054">
        <v>2050</v>
      </c>
      <c r="AV42" s="1065">
        <f t="shared" si="29"/>
        <v>333.15</v>
      </c>
      <c r="AW42" s="1065">
        <f t="shared" si="29"/>
        <v>303.14999999999998</v>
      </c>
      <c r="AX42" s="1064">
        <f t="shared" si="29"/>
        <v>332.67086434268538</v>
      </c>
      <c r="AY42" s="1063">
        <f t="shared" si="29"/>
        <v>303.29741740364727</v>
      </c>
      <c r="AZ42" s="1062">
        <f t="shared" si="29"/>
        <v>333.15</v>
      </c>
      <c r="BA42" s="1062">
        <f t="shared" si="29"/>
        <v>303.14999999999998</v>
      </c>
      <c r="BB42" s="1061">
        <f t="shared" si="29"/>
        <v>333.62913565731463</v>
      </c>
      <c r="BC42" s="1060">
        <f t="shared" si="29"/>
        <v>303.00258259635268</v>
      </c>
    </row>
    <row r="43" spans="1:73">
      <c r="A43" s="905">
        <v>42</v>
      </c>
      <c r="B43" s="905" t="s">
        <v>1721</v>
      </c>
      <c r="C43" s="905">
        <v>29189</v>
      </c>
      <c r="D43" s="905" t="s">
        <v>1115</v>
      </c>
      <c r="E43" s="905" t="s">
        <v>1117</v>
      </c>
      <c r="F43" s="1014"/>
      <c r="G43" s="1013"/>
      <c r="H43" s="1013"/>
      <c r="I43" s="1013"/>
      <c r="J43" s="1012"/>
      <c r="K43" s="1011"/>
      <c r="L43" s="1010"/>
      <c r="N43" s="1031" t="s">
        <v>1720</v>
      </c>
      <c r="O43" s="1030"/>
      <c r="P43" s="1029">
        <v>72</v>
      </c>
      <c r="Q43" s="1028">
        <v>0</v>
      </c>
      <c r="R43" s="1028">
        <v>80</v>
      </c>
      <c r="S43" s="1027">
        <v>0</v>
      </c>
      <c r="T43" s="1026" t="s">
        <v>805</v>
      </c>
      <c r="U43" s="1025"/>
      <c r="V43" s="905" t="s">
        <v>805</v>
      </c>
      <c r="X43" s="905">
        <v>42</v>
      </c>
    </row>
    <row r="44" spans="1:73" ht="15" thickBot="1">
      <c r="A44" s="905">
        <v>43</v>
      </c>
      <c r="B44" s="905" t="s">
        <v>1719</v>
      </c>
      <c r="C44" s="905">
        <v>29189</v>
      </c>
      <c r="D44" s="905" t="s">
        <v>1115</v>
      </c>
      <c r="E44" s="905" t="s">
        <v>1117</v>
      </c>
      <c r="F44" s="1014">
        <f t="shared" ref="F44:L44" si="31">O29</f>
        <v>3.0235450529656475E-2</v>
      </c>
      <c r="G44" s="1013">
        <f t="shared" si="31"/>
        <v>70</v>
      </c>
      <c r="H44" s="1013">
        <f t="shared" si="31"/>
        <v>39</v>
      </c>
      <c r="I44" s="1013">
        <f t="shared" si="31"/>
        <v>70</v>
      </c>
      <c r="J44" s="1012">
        <f t="shared" si="31"/>
        <v>36</v>
      </c>
      <c r="K44" s="1011">
        <f t="shared" si="31"/>
        <v>34.829437787688285</v>
      </c>
      <c r="L44" s="1010">
        <f t="shared" si="31"/>
        <v>0.24540067220944631</v>
      </c>
      <c r="N44" s="1031" t="s">
        <v>1718</v>
      </c>
      <c r="O44" s="1030">
        <v>4.4507744347516464E-3</v>
      </c>
      <c r="P44" s="1029">
        <v>72</v>
      </c>
      <c r="Q44" s="1028">
        <v>42</v>
      </c>
      <c r="R44" s="1028">
        <v>75</v>
      </c>
      <c r="S44" s="1027">
        <v>39</v>
      </c>
      <c r="T44" s="1026" t="s">
        <v>805</v>
      </c>
      <c r="U44" s="1025">
        <v>0.28107117310443491</v>
      </c>
      <c r="V44" s="905">
        <v>16.081</v>
      </c>
      <c r="X44" s="905">
        <v>43</v>
      </c>
      <c r="AC44" s="1351" t="str">
        <f>AA32</f>
        <v>LTMEH</v>
      </c>
      <c r="AD44" s="1351"/>
      <c r="AE44" s="1351"/>
      <c r="AU44" s="905" t="s">
        <v>1695</v>
      </c>
      <c r="AV44" s="905" t="s">
        <v>1707</v>
      </c>
      <c r="AW44" s="905" t="s">
        <v>1706</v>
      </c>
      <c r="AX44" s="905" t="s">
        <v>1705</v>
      </c>
      <c r="AY44" s="905" t="s">
        <v>1704</v>
      </c>
    </row>
    <row r="45" spans="1:73" ht="18">
      <c r="A45" s="905">
        <v>44</v>
      </c>
      <c r="B45" s="905" t="s">
        <v>1717</v>
      </c>
      <c r="C45" s="905">
        <v>29188</v>
      </c>
      <c r="D45" s="905" t="s">
        <v>1115</v>
      </c>
      <c r="E45" s="905" t="s">
        <v>1118</v>
      </c>
      <c r="F45" s="1014"/>
      <c r="G45" s="1013"/>
      <c r="H45" s="1013"/>
      <c r="I45" s="1013"/>
      <c r="J45" s="1012"/>
      <c r="K45" s="1011"/>
      <c r="L45" s="1010"/>
      <c r="N45" s="1031" t="s">
        <v>1716</v>
      </c>
      <c r="O45" s="1030">
        <v>0.26081833761782347</v>
      </c>
      <c r="P45" s="1029">
        <v>75</v>
      </c>
      <c r="Q45" s="1028">
        <v>42</v>
      </c>
      <c r="R45" s="1028">
        <v>85</v>
      </c>
      <c r="S45" s="1027">
        <v>42</v>
      </c>
      <c r="T45" s="1026" t="s">
        <v>805</v>
      </c>
      <c r="U45" s="1025"/>
      <c r="V45" s="905" t="s">
        <v>805</v>
      </c>
      <c r="X45" s="905">
        <v>44</v>
      </c>
      <c r="AC45" s="905" t="s">
        <v>671</v>
      </c>
      <c r="AD45" s="905">
        <v>2020</v>
      </c>
      <c r="AE45" s="907">
        <f>AE33</f>
        <v>4.7567276508595668</v>
      </c>
      <c r="AU45" s="1059">
        <v>2020</v>
      </c>
      <c r="AV45" s="1058">
        <f>((AW40-AV40)/LN(AW40/AV40))/((AW40-AV40)/LN(AW40/AV40)-($BI$5-$BK$5-$BM$5)/LN(($BI$5-$BK$5)/$BM$5))*$CB20</f>
        <v>6.6445378076781401</v>
      </c>
      <c r="AW45" s="1058">
        <f>((AY40-AX40)/LN(AY40/AX40))/((AY40-AX40)/LN(AY40/AX40)-($BI$5-$BK$5-$BM$5)/LN(($BI$5-$BK$5)/$BM$5))*$CB20</f>
        <v>6.6908556685573926</v>
      </c>
      <c r="AX45" s="1058">
        <f>((BA40-AZ40)/LN(BA40/AZ40))/((BA40-AZ40)/LN(BA40/AZ40)-($BI$5-$BK$5-$BM$5)/LN(($BI$5-$BK$5)/$BM$5))*$CB20</f>
        <v>6.6445378076781401</v>
      </c>
      <c r="AY45" s="1057">
        <f>((BC40-BB40)/LN(BC40/BB40))/((BC40-BB40)/LN(BC40/BB40)-($BI$5-$BK$5-$BM$5)/LN(($BI$5-$BK$5)/$BM$5))*$CB20</f>
        <v>6.5989887992630001</v>
      </c>
      <c r="BA45" s="907"/>
    </row>
    <row r="46" spans="1:73" ht="18">
      <c r="A46" s="905">
        <v>45</v>
      </c>
      <c r="B46" s="905" t="s">
        <v>1715</v>
      </c>
      <c r="C46" s="905">
        <v>29189</v>
      </c>
      <c r="D46" s="905" t="s">
        <v>1115</v>
      </c>
      <c r="E46" s="905" t="s">
        <v>1117</v>
      </c>
      <c r="F46" s="1014">
        <f t="shared" ref="F46:L46" si="32">O30</f>
        <v>0</v>
      </c>
      <c r="G46" s="1013">
        <f t="shared" si="32"/>
        <v>65</v>
      </c>
      <c r="H46" s="1013">
        <f t="shared" si="32"/>
        <v>48</v>
      </c>
      <c r="I46" s="1013">
        <f t="shared" si="32"/>
        <v>67</v>
      </c>
      <c r="J46" s="1012">
        <f t="shared" si="32"/>
        <v>43</v>
      </c>
      <c r="K46" s="1011">
        <f t="shared" si="32"/>
        <v>27.127571597013578</v>
      </c>
      <c r="L46" s="1010">
        <f t="shared" si="32"/>
        <v>0.32371300580157158</v>
      </c>
      <c r="N46" s="1031" t="s">
        <v>1652</v>
      </c>
      <c r="O46" s="1030"/>
      <c r="P46" s="1029">
        <v>75</v>
      </c>
      <c r="Q46" s="1028">
        <v>42</v>
      </c>
      <c r="R46" s="1028">
        <v>85</v>
      </c>
      <c r="S46" s="1027">
        <v>36</v>
      </c>
      <c r="T46" s="1026">
        <v>34.802769684210524</v>
      </c>
      <c r="U46" s="1025">
        <v>0.17170737620018459</v>
      </c>
      <c r="V46" s="905">
        <v>1590.2919999999999</v>
      </c>
      <c r="X46" s="905">
        <v>45</v>
      </c>
      <c r="AC46" s="905" t="s">
        <v>669</v>
      </c>
      <c r="AD46" s="905">
        <v>2020</v>
      </c>
      <c r="AE46" s="907">
        <f>AB33</f>
        <v>5.111381578947368</v>
      </c>
      <c r="AU46" s="1056">
        <v>2030</v>
      </c>
      <c r="AV46" s="907">
        <f>((AW41-AV41)/LN(AW41/AV41))/((AW41-AV41)/LN(AW41/AV41)-($BI$5-$BK$5-$BM$5)/LN(($BI$5-$BK$5)/$BM$5))*$CB21</f>
        <v>8.3083053026786882</v>
      </c>
      <c r="AW46" s="907">
        <f>((AY41-AX41)/LN(AY41/AX41))/((AY41-AX41)/LN(AY41/AX41)-($BI$5-$BK$5-$BM$5)/LN(($BI$5-$BK$5)/$BM$5))*$CB21</f>
        <v>8.3629861752110095</v>
      </c>
      <c r="AX46" s="907">
        <f>((BA41-AZ41)/LN(BA41/AZ41))/((BA41-AZ41)/LN(BA41/AZ41)-($BI$5-$BK$5-$BM$5)/LN(($BI$5-$BK$5)/$BM$5))*$CB21</f>
        <v>8.3083053026786882</v>
      </c>
      <c r="AY46" s="1055">
        <f>((BC41-BB41)/LN(BC41/BB41))/((BC41-BB41)/LN(BC41/BB41)-($BI$5-$BK$5-$BM$5)/LN(($BI$5-$BK$5)/$BM$5))*$CB21</f>
        <v>8.2544797063462862</v>
      </c>
      <c r="BA46" s="907"/>
    </row>
    <row r="47" spans="1:73" ht="18.600000000000001" thickBot="1">
      <c r="A47" s="905">
        <v>46</v>
      </c>
      <c r="B47" s="905" t="s">
        <v>1714</v>
      </c>
      <c r="C47" s="905">
        <v>29189</v>
      </c>
      <c r="D47" s="905" t="s">
        <v>1115</v>
      </c>
      <c r="E47" s="905" t="s">
        <v>1118</v>
      </c>
      <c r="F47" s="1014"/>
      <c r="G47" s="1013"/>
      <c r="H47" s="1013"/>
      <c r="I47" s="1013"/>
      <c r="J47" s="1012"/>
      <c r="K47" s="1011"/>
      <c r="L47" s="1010"/>
      <c r="N47" s="1031" t="s">
        <v>1713</v>
      </c>
      <c r="O47" s="1030"/>
      <c r="P47" s="1029">
        <v>165</v>
      </c>
      <c r="Q47" s="1028">
        <v>100</v>
      </c>
      <c r="R47" s="1028">
        <v>165</v>
      </c>
      <c r="S47" s="1027">
        <v>70</v>
      </c>
      <c r="T47" s="1026" t="s">
        <v>805</v>
      </c>
      <c r="U47" s="1025">
        <v>0.2390308275898915</v>
      </c>
      <c r="V47" s="1017">
        <v>71.215299999999999</v>
      </c>
      <c r="W47" s="1017"/>
      <c r="X47" s="1017">
        <v>46</v>
      </c>
      <c r="AC47" s="905" t="s">
        <v>670</v>
      </c>
      <c r="AD47" s="905">
        <v>2020</v>
      </c>
      <c r="AE47" s="907">
        <f>AC33</f>
        <v>5.5313402845447772</v>
      </c>
      <c r="AU47" s="1054">
        <v>2050</v>
      </c>
      <c r="AV47" s="1053">
        <f>((AW42-AV42)/LN(AW42/AV42))/((AW42-AV42)/LN(AW42/AV42)-($BI$5-$BK$5-$BM$5)/LN(($BI$5-$BK$5)/$BM$5))*$CB22</f>
        <v>10.514574982307002</v>
      </c>
      <c r="AW47" s="1053">
        <f>((AY42-AX42)/LN(AY42/AX42))/((AY42-AX42)/LN(AY42/AX42)-($BI$5-$BK$5-$BM$5)/LN(($BI$5-$BK$5)/$BM$5))*$CB22</f>
        <v>10.5877985827362</v>
      </c>
      <c r="AX47" s="1053">
        <f>((BA42-AZ42)/LN(BA42/AZ42))/((BA42-AZ42)/LN(BA42/AZ42)-($BI$5-$BK$5-$BM$5)/LN(($BI$5-$BK$5)/$BM$5))*$CB22</f>
        <v>10.514574982307002</v>
      </c>
      <c r="AY47" s="1052">
        <f>((BC42-BB42)/LN(BC42/BB42))/((BC42-BB42)/LN(BC42/BB42)-($BI$5-$BK$5-$BM$5)/LN(($BI$5-$BK$5)/$BM$5))*$CB22</f>
        <v>10.442517635565746</v>
      </c>
      <c r="BA47" s="907"/>
    </row>
    <row r="48" spans="1:73">
      <c r="A48" s="905">
        <v>47</v>
      </c>
      <c r="B48" s="905" t="s">
        <v>1712</v>
      </c>
      <c r="C48" s="905">
        <v>29189</v>
      </c>
      <c r="D48" s="905" t="s">
        <v>1115</v>
      </c>
      <c r="E48" s="905" t="s">
        <v>1117</v>
      </c>
      <c r="F48" s="1014"/>
      <c r="G48" s="1013"/>
      <c r="H48" s="1013"/>
      <c r="I48" s="1013"/>
      <c r="J48" s="1012"/>
      <c r="K48" s="1011"/>
      <c r="L48" s="1010"/>
      <c r="N48" s="1031" t="s">
        <v>1646</v>
      </c>
      <c r="O48" s="1030"/>
      <c r="P48" s="1029">
        <v>76</v>
      </c>
      <c r="Q48" s="1028">
        <v>0</v>
      </c>
      <c r="R48" s="1028">
        <v>80</v>
      </c>
      <c r="S48" s="1027">
        <v>0</v>
      </c>
      <c r="T48" s="1026" t="s">
        <v>805</v>
      </c>
      <c r="U48" s="1025">
        <v>0.30656911045818702</v>
      </c>
      <c r="V48" s="905">
        <v>43.52</v>
      </c>
      <c r="X48" s="905">
        <v>47</v>
      </c>
      <c r="AC48" s="905" t="s">
        <v>25</v>
      </c>
      <c r="AD48" s="905">
        <v>2020</v>
      </c>
      <c r="AE48" s="907">
        <f>AD33</f>
        <v>5.111381578947368</v>
      </c>
    </row>
    <row r="49" spans="1:63">
      <c r="A49" s="905">
        <v>48</v>
      </c>
      <c r="B49" s="905" t="s">
        <v>1711</v>
      </c>
      <c r="C49" s="905">
        <v>29189</v>
      </c>
      <c r="D49" s="905" t="s">
        <v>1115</v>
      </c>
      <c r="E49" s="905" t="s">
        <v>1117</v>
      </c>
      <c r="F49" s="1014"/>
      <c r="G49" s="1013"/>
      <c r="H49" s="1013"/>
      <c r="I49" s="1013"/>
      <c r="J49" s="1012"/>
      <c r="K49" s="1011"/>
      <c r="L49" s="1010"/>
      <c r="N49" s="1031" t="s">
        <v>1639</v>
      </c>
      <c r="O49" s="1030"/>
      <c r="P49" s="1029">
        <v>65</v>
      </c>
      <c r="Q49" s="1028">
        <v>45</v>
      </c>
      <c r="R49" s="1028">
        <v>75</v>
      </c>
      <c r="S49" s="1027">
        <v>41</v>
      </c>
      <c r="T49" s="1026">
        <v>31.617746183189187</v>
      </c>
      <c r="U49" s="1025">
        <v>0.12362072151822474</v>
      </c>
      <c r="V49" s="905">
        <v>238.42746296000001</v>
      </c>
      <c r="X49" s="905">
        <v>48</v>
      </c>
      <c r="AC49" s="905" t="s">
        <v>671</v>
      </c>
      <c r="AD49" s="905">
        <v>2030</v>
      </c>
      <c r="AE49" s="907">
        <f>AE34</f>
        <v>5.3878151203710809</v>
      </c>
    </row>
    <row r="50" spans="1:63" ht="15" thickBot="1">
      <c r="A50" s="905">
        <v>49</v>
      </c>
      <c r="B50" s="905" t="s">
        <v>1710</v>
      </c>
      <c r="C50" s="905">
        <v>29189</v>
      </c>
      <c r="D50" s="905" t="s">
        <v>1115</v>
      </c>
      <c r="E50" s="905" t="s">
        <v>1117</v>
      </c>
      <c r="F50" s="1014"/>
      <c r="G50" s="1013"/>
      <c r="H50" s="1013"/>
      <c r="I50" s="1013"/>
      <c r="J50" s="1012"/>
      <c r="K50" s="1011"/>
      <c r="L50" s="1010"/>
      <c r="N50" s="1031" t="s">
        <v>1709</v>
      </c>
      <c r="O50" s="1030">
        <v>2.4049357844371694E-2</v>
      </c>
      <c r="P50" s="1029">
        <v>70</v>
      </c>
      <c r="Q50" s="1028">
        <v>40</v>
      </c>
      <c r="R50" s="1028">
        <v>73</v>
      </c>
      <c r="S50" s="1027">
        <v>33</v>
      </c>
      <c r="T50" s="1026">
        <v>35.076642969526986</v>
      </c>
      <c r="U50" s="1025">
        <v>0.25854728422139078</v>
      </c>
      <c r="V50" s="905">
        <v>11.494</v>
      </c>
      <c r="X50" s="905">
        <v>49</v>
      </c>
      <c r="AC50" s="905" t="s">
        <v>669</v>
      </c>
      <c r="AD50" s="905">
        <v>2030</v>
      </c>
      <c r="AE50" s="907">
        <f>AB34</f>
        <v>5.8025000000000002</v>
      </c>
      <c r="AU50" s="905" t="s">
        <v>1708</v>
      </c>
      <c r="AV50" s="905" t="s">
        <v>1707</v>
      </c>
      <c r="AW50" s="905" t="s">
        <v>1706</v>
      </c>
      <c r="AX50" s="905" t="s">
        <v>1705</v>
      </c>
      <c r="AY50" s="905" t="s">
        <v>1704</v>
      </c>
    </row>
    <row r="51" spans="1:63" ht="18">
      <c r="A51" s="905">
        <v>50</v>
      </c>
      <c r="B51" s="905" t="s">
        <v>1703</v>
      </c>
      <c r="C51" s="905">
        <v>11715</v>
      </c>
      <c r="D51" s="905" t="s">
        <v>1116</v>
      </c>
      <c r="E51" s="905" t="s">
        <v>1118</v>
      </c>
      <c r="F51" s="1014"/>
      <c r="G51" s="1013"/>
      <c r="H51" s="1013"/>
      <c r="I51" s="1013"/>
      <c r="J51" s="1012"/>
      <c r="K51" s="1011"/>
      <c r="L51" s="1010"/>
      <c r="N51" s="1031" t="s">
        <v>1702</v>
      </c>
      <c r="O51" s="1030"/>
      <c r="P51" s="1029">
        <v>75.900000000000006</v>
      </c>
      <c r="Q51" s="1028">
        <v>49.2</v>
      </c>
      <c r="R51" s="1028">
        <v>82.5</v>
      </c>
      <c r="S51" s="1027">
        <v>47.9</v>
      </c>
      <c r="T51" s="1026" t="s">
        <v>805</v>
      </c>
      <c r="U51" s="1025">
        <v>7.2431643736827686E-2</v>
      </c>
      <c r="V51" s="905">
        <v>663.69</v>
      </c>
      <c r="X51" s="905">
        <v>50</v>
      </c>
      <c r="AC51" s="905" t="s">
        <v>670</v>
      </c>
      <c r="AD51" s="905">
        <v>2030</v>
      </c>
      <c r="AE51" s="907">
        <f>AC34</f>
        <v>6.2949413733486246</v>
      </c>
      <c r="AU51" s="1059">
        <v>2020</v>
      </c>
      <c r="AV51" s="1058">
        <f>((AW40-AV40)/LN(AW40/AV40))/((AW40-AV40)/LN(AW40/AV40)-($BI$6-$BK$6-$BM$6)/LN(($BI$6-$BK$6)/$BM$6))*$CB20</f>
        <v>11.009210126041081</v>
      </c>
      <c r="AW51" s="1058">
        <f>((AY40-AX40)/LN(AY40/AX40))/((AY40-AX40)/LN(AY40/AX40)-($BI$6-$BK$6-$BM$6)/LN(($BI$6-$BK$6)/$BM$6))*$CB20</f>
        <v>11.142739240666591</v>
      </c>
      <c r="AX51" s="1058">
        <f>((BA40-AZ40)/LN(BA40/AZ40))/((BA40-AZ40)/LN(BA40/AZ40)-($BI$6-$BK$6-$BM$6)/LN(($BI$6-$BK$6)/$BM$6))*$CB20</f>
        <v>11.009210126041081</v>
      </c>
      <c r="AY51" s="1057">
        <f>((BC40-BB40)/LN(BC40/BB40))/((BC40-BB40)/LN(BC40/BB40)-($BI$6-$BK$6-$BM$6)/LN(($BI$6-$BK$6)/$BM$6))*$CB20</f>
        <v>10.87921819581009</v>
      </c>
    </row>
    <row r="52" spans="1:63" ht="18">
      <c r="A52" s="905">
        <v>51</v>
      </c>
      <c r="B52" s="905" t="s">
        <v>1701</v>
      </c>
      <c r="C52" s="905">
        <v>29189</v>
      </c>
      <c r="D52" s="905" t="s">
        <v>1115</v>
      </c>
      <c r="E52" s="905" t="s">
        <v>1117</v>
      </c>
      <c r="F52" s="1014">
        <f t="shared" ref="F52:L53" si="33">O31</f>
        <v>1.843368237347295E-2</v>
      </c>
      <c r="G52" s="1013">
        <f t="shared" si="33"/>
        <v>68</v>
      </c>
      <c r="H52" s="1013">
        <f t="shared" si="33"/>
        <v>36</v>
      </c>
      <c r="I52" s="1013">
        <f t="shared" si="33"/>
        <v>72</v>
      </c>
      <c r="J52" s="1012">
        <f t="shared" si="33"/>
        <v>36</v>
      </c>
      <c r="K52" s="1011">
        <f t="shared" si="33"/>
        <v>34.286461102250577</v>
      </c>
      <c r="L52" s="1010">
        <f t="shared" si="33"/>
        <v>0.16590732303589287</v>
      </c>
      <c r="N52" s="1031" t="s">
        <v>1633</v>
      </c>
      <c r="O52" s="1030">
        <v>2.7058694647798771E-2</v>
      </c>
      <c r="P52" s="1029">
        <v>75</v>
      </c>
      <c r="Q52" s="1028">
        <v>70</v>
      </c>
      <c r="R52" s="1028">
        <v>85</v>
      </c>
      <c r="S52" s="1027">
        <v>75</v>
      </c>
      <c r="T52" s="1026"/>
      <c r="U52" s="1025">
        <v>0.17929211337935086</v>
      </c>
      <c r="V52" s="905">
        <v>167.64599999999999</v>
      </c>
      <c r="X52" s="905">
        <v>51</v>
      </c>
      <c r="AC52" s="905" t="s">
        <v>25</v>
      </c>
      <c r="AD52" s="905">
        <v>2030</v>
      </c>
      <c r="AE52" s="907">
        <f>AD34</f>
        <v>5.8025000000000002</v>
      </c>
      <c r="AU52" s="1056">
        <v>2030</v>
      </c>
      <c r="AV52" s="907">
        <f>((AW41-AV41)/LN(AW41/AV41))/((AW41-AV41)/LN(AW41/AV41)-($BI$6-$BK$6-$BM$6)/LN(($BI$6-$BK$6)/$BM$6))*$CB21</f>
        <v>15.559264158948105</v>
      </c>
      <c r="AW52" s="907">
        <f>((AY41-AX41)/LN(AY41/AX41))/((AY41-AX41)/LN(AY41/AX41)-($BI$6-$BK$6-$BM$6)/LN(($BI$6-$BK$6)/$BM$6))*$CB21</f>
        <v>15.760895171138014</v>
      </c>
      <c r="AX52" s="907">
        <f>((BA41-AZ41)/LN(BA41/AZ41))/((BA41-AZ41)/LN(BA41/AZ41)-($BI$6-$BK$6-$BM$6)/LN(($BI$6-$BK$6)/$BM$6))*$CB21</f>
        <v>15.559264158948105</v>
      </c>
      <c r="AY52" s="1055">
        <f>((BC41-BB41)/LN(BC41/BB41))/((BC41-BB41)/LN(BC41/BB41)-($BI$6-$BK$6-$BM$6)/LN(($BI$6-$BK$6)/$BM$6))*$CB21</f>
        <v>15.363251250973041</v>
      </c>
    </row>
    <row r="53" spans="1:63" ht="18.600000000000001" thickBot="1">
      <c r="A53" s="905">
        <v>52</v>
      </c>
      <c r="B53" s="905" t="s">
        <v>1700</v>
      </c>
      <c r="C53" s="905">
        <v>29189</v>
      </c>
      <c r="D53" s="905" t="s">
        <v>1115</v>
      </c>
      <c r="E53" s="905" t="s">
        <v>1117</v>
      </c>
      <c r="F53" s="1014">
        <f t="shared" si="33"/>
        <v>0</v>
      </c>
      <c r="G53" s="1013">
        <f t="shared" si="33"/>
        <v>70</v>
      </c>
      <c r="H53" s="1013">
        <f t="shared" si="33"/>
        <v>0</v>
      </c>
      <c r="I53" s="1013">
        <f t="shared" si="33"/>
        <v>76</v>
      </c>
      <c r="J53" s="1012">
        <f t="shared" si="33"/>
        <v>0</v>
      </c>
      <c r="K53" s="1011">
        <f t="shared" si="33"/>
        <v>47.210473186119877</v>
      </c>
      <c r="L53" s="1010">
        <f t="shared" si="33"/>
        <v>0.22411217101482589</v>
      </c>
      <c r="N53" s="1031" t="s">
        <v>1699</v>
      </c>
      <c r="O53" s="1030"/>
      <c r="P53" s="1029">
        <v>69</v>
      </c>
      <c r="Q53" s="1028">
        <v>44</v>
      </c>
      <c r="R53" s="1028">
        <v>75</v>
      </c>
      <c r="S53" s="1027">
        <v>41</v>
      </c>
      <c r="T53" s="1026" t="s">
        <v>805</v>
      </c>
      <c r="U53" s="1025"/>
      <c r="V53" s="905" t="s">
        <v>805</v>
      </c>
      <c r="X53" s="905">
        <v>52</v>
      </c>
      <c r="AC53" s="905" t="s">
        <v>671</v>
      </c>
      <c r="AD53" s="905">
        <v>2050</v>
      </c>
      <c r="AE53" s="907">
        <f>AE35</f>
        <v>7.4241669232417449</v>
      </c>
      <c r="AU53" s="1054">
        <v>2050</v>
      </c>
      <c r="AV53" s="1053">
        <f>((AW42-AV42)/LN(AW42/AV42))/((AW42-AV42)/LN(AW42/AV42)-($BI$6-$BK$6-$BM$6)/LN(($BI$6-$BK$6)/$BM$6))*$CB22</f>
        <v>28.413900873646334</v>
      </c>
      <c r="AW53" s="1053">
        <f>((AY42-AX42)/LN(AY42/AX42))/((AY42-AX42)/LN(AY42/AX42)-($BI$6-$BK$6-$BM$6)/LN(($BI$6-$BK$6)/$BM$6))*$CB22</f>
        <v>28.979755737759366</v>
      </c>
      <c r="AX53" s="1053">
        <f>((BA42-AZ42)/LN(BA42/AZ42))/((BA42-AZ42)/LN(BA42/AZ42)-($BI$6-$BK$6-$BM$6)/LN(($BI$6-$BK$6)/$BM$6))*$CB22</f>
        <v>28.413900873646334</v>
      </c>
      <c r="AY53" s="1052">
        <f>((BC42-BB42)/LN(BC42/BB42))/((BC42-BB42)/LN(BC42/BB42)-($BI$6-$BK$6-$BM$6)/LN(($BI$6-$BK$6)/$BM$6))*$CB22</f>
        <v>27.870914179192194</v>
      </c>
    </row>
    <row r="54" spans="1:63">
      <c r="A54" s="905">
        <v>53</v>
      </c>
      <c r="B54" s="905" t="s">
        <v>1698</v>
      </c>
      <c r="C54" s="905">
        <v>29188</v>
      </c>
      <c r="D54" s="905" t="s">
        <v>1115</v>
      </c>
      <c r="E54" s="905" t="s">
        <v>1118</v>
      </c>
      <c r="F54" s="1014"/>
      <c r="G54" s="1013"/>
      <c r="H54" s="1013"/>
      <c r="I54" s="1013"/>
      <c r="J54" s="1012"/>
      <c r="K54" s="1011"/>
      <c r="L54" s="1010"/>
      <c r="N54" s="1031" t="s">
        <v>1627</v>
      </c>
      <c r="O54" s="1030"/>
      <c r="P54" s="1029">
        <v>70</v>
      </c>
      <c r="Q54" s="1028">
        <v>0</v>
      </c>
      <c r="R54" s="1028">
        <v>80</v>
      </c>
      <c r="S54" s="1027">
        <v>0</v>
      </c>
      <c r="T54" s="1026" t="s">
        <v>805</v>
      </c>
      <c r="U54" s="1025"/>
      <c r="V54" s="905" t="s">
        <v>805</v>
      </c>
      <c r="X54" s="905">
        <v>53</v>
      </c>
      <c r="AC54" s="905" t="s">
        <v>669</v>
      </c>
      <c r="AD54" s="905">
        <v>2050</v>
      </c>
      <c r="AE54" s="907">
        <f>AB35</f>
        <v>8.0861956521739131</v>
      </c>
    </row>
    <row r="55" spans="1:63">
      <c r="A55" s="905">
        <v>54</v>
      </c>
      <c r="B55" s="905" t="s">
        <v>1698</v>
      </c>
      <c r="C55" s="905">
        <v>29189</v>
      </c>
      <c r="D55" s="905" t="s">
        <v>1115</v>
      </c>
      <c r="E55" s="905" t="s">
        <v>1118</v>
      </c>
      <c r="F55" s="1014"/>
      <c r="G55" s="1013"/>
      <c r="H55" s="1013"/>
      <c r="I55" s="1013"/>
      <c r="J55" s="1012"/>
      <c r="K55" s="1011"/>
      <c r="L55" s="1010"/>
      <c r="N55" s="1031" t="s">
        <v>1697</v>
      </c>
      <c r="O55" s="1030"/>
      <c r="P55" s="1029">
        <v>75</v>
      </c>
      <c r="Q55" s="1028">
        <v>37</v>
      </c>
      <c r="R55" s="1028">
        <v>78</v>
      </c>
      <c r="S55" s="1027">
        <v>37</v>
      </c>
      <c r="T55" s="1026" t="s">
        <v>805</v>
      </c>
      <c r="U55" s="1025">
        <v>0.17356165075516491</v>
      </c>
      <c r="V55" s="1017">
        <v>32.722000000000001</v>
      </c>
      <c r="W55" s="1017"/>
      <c r="X55" s="1017">
        <v>54</v>
      </c>
      <c r="AC55" s="905" t="s">
        <v>670</v>
      </c>
      <c r="AD55" s="905">
        <v>2050</v>
      </c>
      <c r="AE55" s="907">
        <f>AC35</f>
        <v>8.8893294319669955</v>
      </c>
      <c r="AY55" s="909" t="s">
        <v>1118</v>
      </c>
      <c r="AZ55" s="909" t="s">
        <v>1118</v>
      </c>
      <c r="BA55" s="908" t="s">
        <v>1117</v>
      </c>
      <c r="BB55" s="908" t="s">
        <v>1117</v>
      </c>
      <c r="BC55" s="908"/>
      <c r="BD55" s="908"/>
      <c r="BH55" s="909" t="s">
        <v>1118</v>
      </c>
      <c r="BI55" s="909" t="s">
        <v>1118</v>
      </c>
      <c r="BJ55" s="908" t="s">
        <v>1117</v>
      </c>
      <c r="BK55" s="908" t="s">
        <v>1117</v>
      </c>
    </row>
    <row r="56" spans="1:63">
      <c r="A56" s="905">
        <v>55</v>
      </c>
      <c r="B56" s="905" t="s">
        <v>1693</v>
      </c>
      <c r="C56" s="905">
        <v>18957</v>
      </c>
      <c r="D56" s="905" t="s">
        <v>1115</v>
      </c>
      <c r="E56" s="905" t="s">
        <v>1118</v>
      </c>
      <c r="F56" s="1014"/>
      <c r="G56" s="1013"/>
      <c r="H56" s="1013"/>
      <c r="I56" s="1013"/>
      <c r="J56" s="1012"/>
      <c r="K56" s="1011"/>
      <c r="L56" s="1010"/>
      <c r="N56" s="1031" t="s">
        <v>1696</v>
      </c>
      <c r="O56" s="1030"/>
      <c r="P56" s="1029">
        <v>72</v>
      </c>
      <c r="Q56" s="1028">
        <v>36</v>
      </c>
      <c r="R56" s="1028">
        <v>74</v>
      </c>
      <c r="S56" s="1027">
        <v>37</v>
      </c>
      <c r="T56" s="1026"/>
      <c r="U56" s="1025">
        <v>0.30976614978254435</v>
      </c>
      <c r="V56" s="1017">
        <v>30.312999999999999</v>
      </c>
      <c r="W56" s="1017"/>
      <c r="X56" s="1017">
        <v>55</v>
      </c>
      <c r="AC56" s="905" t="s">
        <v>25</v>
      </c>
      <c r="AD56" s="905">
        <v>2050</v>
      </c>
      <c r="AE56" s="907">
        <f>AD35</f>
        <v>8.0861956521739131</v>
      </c>
      <c r="AV56" s="1351" t="str">
        <f>AU44</f>
        <v>LTMEH</v>
      </c>
      <c r="AW56" s="1351"/>
      <c r="AX56" s="1351"/>
      <c r="AY56" s="908" t="s">
        <v>1116</v>
      </c>
      <c r="AZ56" s="908" t="s">
        <v>1115</v>
      </c>
      <c r="BA56" s="908" t="s">
        <v>1116</v>
      </c>
      <c r="BB56" s="908" t="s">
        <v>1115</v>
      </c>
      <c r="BC56" s="908"/>
      <c r="BE56" s="1351" t="s">
        <v>1695</v>
      </c>
      <c r="BF56" s="1351"/>
      <c r="BG56" s="1351"/>
      <c r="BH56" s="908" t="s">
        <v>1116</v>
      </c>
      <c r="BI56" s="908" t="s">
        <v>1115</v>
      </c>
      <c r="BJ56" s="908" t="s">
        <v>1116</v>
      </c>
      <c r="BK56" s="908" t="s">
        <v>1115</v>
      </c>
    </row>
    <row r="57" spans="1:63">
      <c r="A57" s="905">
        <v>56</v>
      </c>
      <c r="B57" s="905" t="s">
        <v>1693</v>
      </c>
      <c r="C57" s="905">
        <v>29188</v>
      </c>
      <c r="D57" s="905" t="s">
        <v>1115</v>
      </c>
      <c r="E57" s="905" t="s">
        <v>1118</v>
      </c>
      <c r="F57" s="1014"/>
      <c r="G57" s="1013"/>
      <c r="H57" s="1013"/>
      <c r="I57" s="1013"/>
      <c r="J57" s="1012"/>
      <c r="K57" s="1011"/>
      <c r="L57" s="1010"/>
      <c r="N57" s="1031" t="s">
        <v>1694</v>
      </c>
      <c r="O57" s="1030"/>
      <c r="P57" s="1026">
        <v>67.900000000000006</v>
      </c>
      <c r="Q57" s="1039">
        <v>44</v>
      </c>
      <c r="R57" s="1039">
        <v>68.52</v>
      </c>
      <c r="S57" s="1038">
        <v>38</v>
      </c>
      <c r="T57" s="1026"/>
      <c r="U57" s="1025">
        <v>0.25009485094850947</v>
      </c>
      <c r="V57" s="1017">
        <v>55.343000000000004</v>
      </c>
      <c r="W57" s="1017"/>
      <c r="X57" s="1017">
        <v>56</v>
      </c>
      <c r="AC57" s="1352" t="str">
        <f>AA38</f>
        <v>MTEH</v>
      </c>
      <c r="AD57" s="1352"/>
      <c r="AE57" s="1352"/>
      <c r="AV57" s="906"/>
      <c r="AW57" s="905" t="s">
        <v>671</v>
      </c>
      <c r="AX57" s="905">
        <v>2015</v>
      </c>
      <c r="AY57" s="907">
        <f>AZ18</f>
        <v>4.4936985661605204</v>
      </c>
      <c r="AZ57" s="907">
        <f>AZ20</f>
        <v>5.030245890805495</v>
      </c>
      <c r="BA57" s="907">
        <f>AZ19</f>
        <v>5.4875186252728483</v>
      </c>
      <c r="BB57" s="907">
        <f>AZ21</f>
        <v>5.9180303774552367</v>
      </c>
      <c r="BC57" s="907"/>
      <c r="BD57" s="907"/>
      <c r="BE57" s="906"/>
      <c r="BF57" s="905" t="s">
        <v>671</v>
      </c>
      <c r="BG57" s="905">
        <v>2015</v>
      </c>
      <c r="BH57" s="907">
        <f t="shared" ref="BH57:BK60" si="34">AY57</f>
        <v>4.4936985661605204</v>
      </c>
      <c r="BI57" s="907">
        <f t="shared" si="34"/>
        <v>5.030245890805495</v>
      </c>
      <c r="BJ57" s="907">
        <f t="shared" si="34"/>
        <v>5.4875186252728483</v>
      </c>
      <c r="BK57" s="907">
        <f t="shared" si="34"/>
        <v>5.9180303774552367</v>
      </c>
    </row>
    <row r="58" spans="1:63">
      <c r="A58" s="905">
        <v>57</v>
      </c>
      <c r="B58" s="905" t="s">
        <v>1693</v>
      </c>
      <c r="C58" s="905">
        <v>29189</v>
      </c>
      <c r="D58" s="905" t="s">
        <v>1115</v>
      </c>
      <c r="E58" s="905" t="s">
        <v>1118</v>
      </c>
      <c r="F58" s="1014"/>
      <c r="G58" s="1013"/>
      <c r="H58" s="1013"/>
      <c r="I58" s="1013"/>
      <c r="J58" s="1012"/>
      <c r="K58" s="1011"/>
      <c r="L58" s="1010"/>
      <c r="N58" s="1031" t="s">
        <v>1692</v>
      </c>
      <c r="O58" s="1030">
        <v>0.05</v>
      </c>
      <c r="P58" s="1029">
        <v>68</v>
      </c>
      <c r="Q58" s="1028">
        <v>33</v>
      </c>
      <c r="R58" s="1028">
        <v>72</v>
      </c>
      <c r="S58" s="1027">
        <v>35</v>
      </c>
      <c r="T58" s="1026">
        <v>35.964255843641325</v>
      </c>
      <c r="U58" s="1025">
        <v>0.27610526315789474</v>
      </c>
      <c r="V58" s="1017">
        <v>6.8769999999999998</v>
      </c>
      <c r="W58" s="1017"/>
      <c r="X58" s="1017">
        <v>57</v>
      </c>
      <c r="AC58" s="905" t="s">
        <v>671</v>
      </c>
      <c r="AD58" s="905">
        <v>2020</v>
      </c>
      <c r="AE58" s="907">
        <f>AE39</f>
        <v>7.0467673388242851</v>
      </c>
      <c r="AV58" s="906"/>
      <c r="AW58" s="905" t="s">
        <v>669</v>
      </c>
      <c r="AX58" s="905">
        <v>2015</v>
      </c>
      <c r="AY58" s="907">
        <f>AW18</f>
        <v>4.6633529060719239</v>
      </c>
      <c r="AZ58" s="907">
        <f>AW20</f>
        <v>5.1335784752540965</v>
      </c>
      <c r="BA58" s="907">
        <f>AW19</f>
        <v>5.6164711608549638</v>
      </c>
      <c r="BB58" s="907">
        <f>AW21</f>
        <v>5.9553926797050414</v>
      </c>
      <c r="BC58" s="907"/>
      <c r="BE58" s="906"/>
      <c r="BF58" s="905" t="s">
        <v>669</v>
      </c>
      <c r="BG58" s="905">
        <v>2015</v>
      </c>
      <c r="BH58" s="907">
        <f t="shared" si="34"/>
        <v>4.6633529060719239</v>
      </c>
      <c r="BI58" s="907">
        <f t="shared" si="34"/>
        <v>5.1335784752540965</v>
      </c>
      <c r="BJ58" s="907">
        <f t="shared" si="34"/>
        <v>5.6164711608549638</v>
      </c>
      <c r="BK58" s="907">
        <f t="shared" si="34"/>
        <v>5.9553926797050414</v>
      </c>
    </row>
    <row r="59" spans="1:63">
      <c r="A59" s="905">
        <v>58</v>
      </c>
      <c r="B59" s="905" t="s">
        <v>1691</v>
      </c>
      <c r="C59" s="905">
        <v>29189</v>
      </c>
      <c r="D59" s="905" t="s">
        <v>1115</v>
      </c>
      <c r="E59" s="905" t="s">
        <v>1117</v>
      </c>
      <c r="F59" s="1014">
        <f t="shared" ref="F59:L59" si="35">O33</f>
        <v>0</v>
      </c>
      <c r="G59" s="1013">
        <f t="shared" si="35"/>
        <v>75</v>
      </c>
      <c r="H59" s="1013">
        <f t="shared" si="35"/>
        <v>41</v>
      </c>
      <c r="I59" s="1013">
        <f t="shared" si="35"/>
        <v>75</v>
      </c>
      <c r="J59" s="1012">
        <f t="shared" si="35"/>
        <v>36</v>
      </c>
      <c r="K59" s="1011">
        <f t="shared" si="35"/>
        <v>40.59779889728101</v>
      </c>
      <c r="L59" s="1010">
        <f t="shared" si="35"/>
        <v>0.21783451189273578</v>
      </c>
      <c r="N59" s="1031" t="s">
        <v>1690</v>
      </c>
      <c r="O59" s="1030">
        <v>1.2185833968012186E-2</v>
      </c>
      <c r="P59" s="1029">
        <v>65</v>
      </c>
      <c r="Q59" s="1028">
        <v>40</v>
      </c>
      <c r="R59" s="1028">
        <v>72</v>
      </c>
      <c r="S59" s="1027">
        <v>38</v>
      </c>
      <c r="T59" s="1026">
        <v>28.453720804465171</v>
      </c>
      <c r="U59" s="1025">
        <v>0.40100231303006939</v>
      </c>
      <c r="V59" s="1017">
        <v>7.7690000000000001</v>
      </c>
      <c r="W59" s="1017"/>
      <c r="X59" s="1017">
        <v>58</v>
      </c>
      <c r="AC59" s="905" t="s">
        <v>669</v>
      </c>
      <c r="AD59" s="905">
        <v>2020</v>
      </c>
      <c r="AE59" s="907">
        <f>AB39</f>
        <v>7.8792999999999997</v>
      </c>
      <c r="AV59" s="906"/>
      <c r="AW59" s="905" t="s">
        <v>670</v>
      </c>
      <c r="AX59" s="905">
        <v>2015</v>
      </c>
      <c r="AY59" s="1051">
        <f>AX18</f>
        <v>4.8492510247196225</v>
      </c>
      <c r="AZ59" s="907">
        <f>AX20</f>
        <v>5.2435392226385922</v>
      </c>
      <c r="BA59" s="907">
        <f>AX19</f>
        <v>5.7543730542548044</v>
      </c>
      <c r="BB59" s="907">
        <f>AX21</f>
        <v>5.9942745260623997</v>
      </c>
      <c r="BC59" s="907"/>
      <c r="BE59" s="906"/>
      <c r="BF59" s="905" t="s">
        <v>670</v>
      </c>
      <c r="BG59" s="905">
        <v>2015</v>
      </c>
      <c r="BH59" s="907">
        <f t="shared" si="34"/>
        <v>4.8492510247196225</v>
      </c>
      <c r="BI59" s="907">
        <f t="shared" si="34"/>
        <v>5.2435392226385922</v>
      </c>
      <c r="BJ59" s="907">
        <f t="shared" si="34"/>
        <v>5.7543730542548044</v>
      </c>
      <c r="BK59" s="907">
        <f t="shared" si="34"/>
        <v>5.9942745260623997</v>
      </c>
    </row>
    <row r="60" spans="1:63">
      <c r="A60" s="905">
        <v>59</v>
      </c>
      <c r="B60" s="905" t="s">
        <v>1689</v>
      </c>
      <c r="C60" s="905">
        <v>29189</v>
      </c>
      <c r="D60" s="905" t="s">
        <v>1115</v>
      </c>
      <c r="E60" s="905" t="s">
        <v>1117</v>
      </c>
      <c r="F60" s="1014"/>
      <c r="G60" s="1013"/>
      <c r="H60" s="1013"/>
      <c r="I60" s="1013"/>
      <c r="J60" s="1012"/>
      <c r="K60" s="1011"/>
      <c r="L60" s="1010"/>
      <c r="N60" s="1037" t="s">
        <v>1688</v>
      </c>
      <c r="O60" s="1036">
        <v>1.6662200001848274E-2</v>
      </c>
      <c r="P60" s="1035">
        <v>70</v>
      </c>
      <c r="Q60" s="1013">
        <v>45</v>
      </c>
      <c r="R60" s="1013">
        <v>82</v>
      </c>
      <c r="S60" s="1012">
        <v>37</v>
      </c>
      <c r="T60" s="1011">
        <v>34.709931774311684</v>
      </c>
      <c r="U60" s="1034">
        <v>0.23961994624363286</v>
      </c>
      <c r="V60" s="905">
        <v>80.909000000000006</v>
      </c>
      <c r="X60" s="905">
        <v>59</v>
      </c>
      <c r="AC60" s="905" t="s">
        <v>670</v>
      </c>
      <c r="AD60" s="905">
        <v>2020</v>
      </c>
      <c r="AE60" s="907">
        <f>AC39</f>
        <v>8.9565649759081456</v>
      </c>
      <c r="AV60" s="906"/>
      <c r="AW60" s="905" t="s">
        <v>25</v>
      </c>
      <c r="AX60" s="905">
        <v>2015</v>
      </c>
      <c r="AY60" s="907">
        <f>AY18</f>
        <v>4.6633529060719239</v>
      </c>
      <c r="AZ60" s="907">
        <f>AY20</f>
        <v>5.1335784752540965</v>
      </c>
      <c r="BA60" s="907">
        <f>AY19</f>
        <v>5.6164711608549638</v>
      </c>
      <c r="BB60" s="907">
        <f>AY21</f>
        <v>5.9553926797050414</v>
      </c>
      <c r="BC60" s="907"/>
      <c r="BE60" s="906"/>
      <c r="BF60" s="905" t="s">
        <v>25</v>
      </c>
      <c r="BG60" s="905">
        <v>2015</v>
      </c>
      <c r="BH60" s="907">
        <f t="shared" si="34"/>
        <v>4.6633529060719239</v>
      </c>
      <c r="BI60" s="907">
        <f t="shared" si="34"/>
        <v>5.1335784752540965</v>
      </c>
      <c r="BJ60" s="907">
        <f t="shared" si="34"/>
        <v>5.6164711608549638</v>
      </c>
      <c r="BK60" s="907">
        <f t="shared" si="34"/>
        <v>5.9553926797050414</v>
      </c>
    </row>
    <row r="61" spans="1:63">
      <c r="A61" s="905">
        <v>60</v>
      </c>
      <c r="B61" s="905" t="s">
        <v>1687</v>
      </c>
      <c r="C61" s="905">
        <v>29189</v>
      </c>
      <c r="D61" s="905" t="s">
        <v>1115</v>
      </c>
      <c r="E61" s="905" t="s">
        <v>1117</v>
      </c>
      <c r="F61" s="1014">
        <f t="shared" ref="F61:L63" si="36">O35</f>
        <v>9.067439078143693E-3</v>
      </c>
      <c r="G61" s="1013">
        <f t="shared" si="36"/>
        <v>68</v>
      </c>
      <c r="H61" s="1013">
        <f t="shared" si="36"/>
        <v>36</v>
      </c>
      <c r="I61" s="1013">
        <f t="shared" si="36"/>
        <v>68</v>
      </c>
      <c r="J61" s="1012">
        <f t="shared" si="36"/>
        <v>36</v>
      </c>
      <c r="K61" s="1011">
        <f t="shared" si="36"/>
        <v>33.374071251901881</v>
      </c>
      <c r="L61" s="1010">
        <f t="shared" si="36"/>
        <v>0.24477346381139989</v>
      </c>
      <c r="N61" s="1031" t="s">
        <v>1686</v>
      </c>
      <c r="O61" s="1030">
        <v>6.0532337821525582E-2</v>
      </c>
      <c r="P61" s="1029">
        <v>76</v>
      </c>
      <c r="Q61" s="1028">
        <v>43</v>
      </c>
      <c r="R61" s="1028">
        <v>77</v>
      </c>
      <c r="S61" s="1027">
        <v>41</v>
      </c>
      <c r="T61" s="1026">
        <v>36.951352733977416</v>
      </c>
      <c r="U61" s="1025">
        <v>0.32881061639588244</v>
      </c>
      <c r="V61" s="1017">
        <v>27.059000000000001</v>
      </c>
      <c r="W61" s="1017"/>
      <c r="X61" s="1017">
        <v>60</v>
      </c>
      <c r="AC61" s="905" t="s">
        <v>25</v>
      </c>
      <c r="AD61" s="905">
        <v>2020</v>
      </c>
      <c r="AE61" s="907">
        <f>AD39</f>
        <v>7.8792999999999997</v>
      </c>
      <c r="AV61" s="906"/>
      <c r="AW61" s="905" t="s">
        <v>671</v>
      </c>
      <c r="AX61" s="905">
        <v>2020</v>
      </c>
      <c r="AY61" s="907">
        <f>AY45</f>
        <v>6.5989887992630001</v>
      </c>
      <c r="AZ61" s="907">
        <f t="shared" ref="AZ61:BB72" si="37">AY61</f>
        <v>6.5989887992630001</v>
      </c>
      <c r="BA61" s="907">
        <f t="shared" si="37"/>
        <v>6.5989887992630001</v>
      </c>
      <c r="BB61" s="907">
        <f t="shared" si="37"/>
        <v>6.5989887992630001</v>
      </c>
      <c r="BC61" s="907"/>
      <c r="BE61" s="906"/>
      <c r="BF61" s="905" t="s">
        <v>671</v>
      </c>
      <c r="BG61" s="905">
        <v>2020</v>
      </c>
      <c r="BH61" s="907">
        <f t="shared" ref="BH61:BK64" si="38">BH57/$CB$19*$CB$20</f>
        <v>5.3036947717452412</v>
      </c>
      <c r="BI61" s="907">
        <f t="shared" si="38"/>
        <v>5.9369555921177213</v>
      </c>
      <c r="BJ61" s="907">
        <f t="shared" si="38"/>
        <v>6.476652453255495</v>
      </c>
      <c r="BK61" s="907">
        <f t="shared" si="38"/>
        <v>6.9847646231324125</v>
      </c>
    </row>
    <row r="62" spans="1:63">
      <c r="A62" s="905">
        <v>61</v>
      </c>
      <c r="B62" s="905" t="s">
        <v>1685</v>
      </c>
      <c r="C62" s="905">
        <v>29189</v>
      </c>
      <c r="D62" s="905" t="s">
        <v>1115</v>
      </c>
      <c r="E62" s="905" t="s">
        <v>1117</v>
      </c>
      <c r="F62" s="1014">
        <f t="shared" si="36"/>
        <v>0</v>
      </c>
      <c r="G62" s="1013">
        <f t="shared" si="36"/>
        <v>69</v>
      </c>
      <c r="H62" s="1013">
        <f t="shared" si="36"/>
        <v>41</v>
      </c>
      <c r="I62" s="1013">
        <f t="shared" si="36"/>
        <v>70</v>
      </c>
      <c r="J62" s="1012">
        <f t="shared" si="36"/>
        <v>39</v>
      </c>
      <c r="K62" s="1011">
        <f t="shared" si="36"/>
        <v>21.286858901815219</v>
      </c>
      <c r="L62" s="1010">
        <f t="shared" si="36"/>
        <v>0.32589612289685443</v>
      </c>
      <c r="N62" s="1031" t="s">
        <v>1684</v>
      </c>
      <c r="O62" s="1030"/>
      <c r="P62" s="1029">
        <v>67</v>
      </c>
      <c r="Q62" s="1028">
        <v>36</v>
      </c>
      <c r="R62" s="1028">
        <v>71</v>
      </c>
      <c r="S62" s="1027">
        <v>34</v>
      </c>
      <c r="T62" s="1026">
        <v>35.586149795173704</v>
      </c>
      <c r="U62" s="1025">
        <v>0.33608655188459746</v>
      </c>
      <c r="V62" s="1017">
        <v>5.7069999999999999</v>
      </c>
      <c r="W62" s="1017"/>
      <c r="X62" s="1017">
        <v>61</v>
      </c>
      <c r="AC62" s="905" t="s">
        <v>671</v>
      </c>
      <c r="AD62" s="905">
        <v>2030</v>
      </c>
      <c r="AE62" s="907">
        <f>AE40</f>
        <v>8.5764189396431263</v>
      </c>
      <c r="AV62" s="906"/>
      <c r="AW62" s="905" t="s">
        <v>669</v>
      </c>
      <c r="AX62" s="905">
        <v>2020</v>
      </c>
      <c r="AY62" s="907">
        <f>AV45</f>
        <v>6.6445378076781401</v>
      </c>
      <c r="AZ62" s="907">
        <f t="shared" si="37"/>
        <v>6.6445378076781401</v>
      </c>
      <c r="BA62" s="907">
        <f t="shared" si="37"/>
        <v>6.6445378076781401</v>
      </c>
      <c r="BB62" s="907">
        <f t="shared" si="37"/>
        <v>6.6445378076781401</v>
      </c>
      <c r="BC62" s="907"/>
      <c r="BE62" s="906"/>
      <c r="BF62" s="905" t="s">
        <v>669</v>
      </c>
      <c r="BG62" s="905">
        <v>2020</v>
      </c>
      <c r="BH62" s="907">
        <f t="shared" si="38"/>
        <v>5.5039295721761912</v>
      </c>
      <c r="BI62" s="907">
        <f t="shared" si="38"/>
        <v>6.0589140367757546</v>
      </c>
      <c r="BJ62" s="907">
        <f t="shared" si="38"/>
        <v>6.6288488853705481</v>
      </c>
      <c r="BK62" s="907">
        <f t="shared" si="38"/>
        <v>7.0288615388879272</v>
      </c>
    </row>
    <row r="63" spans="1:63">
      <c r="A63" s="905">
        <v>62</v>
      </c>
      <c r="B63" s="905" t="s">
        <v>1683</v>
      </c>
      <c r="C63" s="905">
        <v>29189</v>
      </c>
      <c r="D63" s="905" t="s">
        <v>1115</v>
      </c>
      <c r="E63" s="905" t="s">
        <v>1117</v>
      </c>
      <c r="F63" s="1014">
        <f t="shared" si="36"/>
        <v>3.3558611046376134E-2</v>
      </c>
      <c r="G63" s="1013">
        <f t="shared" si="36"/>
        <v>70</v>
      </c>
      <c r="H63" s="1013">
        <f t="shared" si="36"/>
        <v>32</v>
      </c>
      <c r="I63" s="1013">
        <f t="shared" si="36"/>
        <v>70</v>
      </c>
      <c r="J63" s="1012">
        <f t="shared" si="36"/>
        <v>32</v>
      </c>
      <c r="K63" s="1011">
        <f t="shared" si="36"/>
        <v>36.56048017140192</v>
      </c>
      <c r="L63" s="1010">
        <f t="shared" si="36"/>
        <v>0.18971545695683625</v>
      </c>
      <c r="N63" s="1031" t="s">
        <v>1682</v>
      </c>
      <c r="O63" s="1030"/>
      <c r="P63" s="1029">
        <v>80</v>
      </c>
      <c r="Q63" s="1028">
        <v>50</v>
      </c>
      <c r="R63" s="1028">
        <v>90</v>
      </c>
      <c r="S63" s="1027">
        <v>55</v>
      </c>
      <c r="T63" s="1026">
        <v>26.462430536530587</v>
      </c>
      <c r="U63" s="1025">
        <v>0.10822587144872053</v>
      </c>
      <c r="V63" s="1017">
        <v>70.813999999999993</v>
      </c>
      <c r="W63" s="1017"/>
      <c r="X63" s="1017">
        <v>62</v>
      </c>
      <c r="AC63" s="905" t="s">
        <v>669</v>
      </c>
      <c r="AD63" s="905">
        <v>2030</v>
      </c>
      <c r="AE63" s="907">
        <f>AB40</f>
        <v>9.7116249999999997</v>
      </c>
      <c r="AV63" s="906"/>
      <c r="AW63" s="905" t="s">
        <v>670</v>
      </c>
      <c r="AX63" s="905">
        <v>2020</v>
      </c>
      <c r="AY63" s="1051">
        <f>AW45</f>
        <v>6.6908556685573926</v>
      </c>
      <c r="AZ63" s="907">
        <f t="shared" si="37"/>
        <v>6.6908556685573926</v>
      </c>
      <c r="BA63" s="907">
        <f t="shared" si="37"/>
        <v>6.6908556685573926</v>
      </c>
      <c r="BB63" s="907">
        <f t="shared" si="37"/>
        <v>6.6908556685573926</v>
      </c>
      <c r="BC63" s="907"/>
      <c r="BE63" s="906"/>
      <c r="BF63" s="905" t="s">
        <v>670</v>
      </c>
      <c r="BG63" s="905">
        <v>2020</v>
      </c>
      <c r="BH63" s="907">
        <f t="shared" si="38"/>
        <v>5.723336117905288</v>
      </c>
      <c r="BI63" s="907">
        <f t="shared" si="38"/>
        <v>6.1886953811213852</v>
      </c>
      <c r="BJ63" s="907">
        <f t="shared" si="38"/>
        <v>6.7916078110684532</v>
      </c>
      <c r="BK63" s="907">
        <f t="shared" si="38"/>
        <v>7.0747518989566309</v>
      </c>
    </row>
    <row r="64" spans="1:63">
      <c r="A64" s="905">
        <v>63</v>
      </c>
      <c r="B64" s="905" t="s">
        <v>1681</v>
      </c>
      <c r="C64" s="905">
        <v>29188</v>
      </c>
      <c r="D64" s="905" t="s">
        <v>1115</v>
      </c>
      <c r="E64" s="905" t="s">
        <v>1118</v>
      </c>
      <c r="F64" s="1014"/>
      <c r="G64" s="1013"/>
      <c r="H64" s="1013"/>
      <c r="I64" s="1013"/>
      <c r="J64" s="1012"/>
      <c r="K64" s="1011"/>
      <c r="L64" s="1010"/>
      <c r="N64" s="1037" t="s">
        <v>1680</v>
      </c>
      <c r="O64" s="1036">
        <v>1.212241653418124E-2</v>
      </c>
      <c r="P64" s="1035">
        <v>68</v>
      </c>
      <c r="Q64" s="1013">
        <v>40</v>
      </c>
      <c r="R64" s="1013">
        <v>75</v>
      </c>
      <c r="S64" s="1012">
        <v>37</v>
      </c>
      <c r="T64" s="1011">
        <v>30.688489286098847</v>
      </c>
      <c r="U64" s="1034">
        <v>0.20056326694830015</v>
      </c>
      <c r="V64" s="905">
        <v>3.9740000000000002</v>
      </c>
      <c r="X64" s="905">
        <v>63</v>
      </c>
      <c r="AC64" s="905" t="s">
        <v>670</v>
      </c>
      <c r="AD64" s="905">
        <v>2030</v>
      </c>
      <c r="AE64" s="907">
        <f>AC40</f>
        <v>11.220841505845954</v>
      </c>
      <c r="AV64" s="906"/>
      <c r="AW64" s="905" t="s">
        <v>25</v>
      </c>
      <c r="AX64" s="905">
        <v>2020</v>
      </c>
      <c r="AY64" s="907">
        <f>AX45</f>
        <v>6.6445378076781401</v>
      </c>
      <c r="AZ64" s="907">
        <f t="shared" si="37"/>
        <v>6.6445378076781401</v>
      </c>
      <c r="BA64" s="907">
        <f t="shared" si="37"/>
        <v>6.6445378076781401</v>
      </c>
      <c r="BB64" s="907">
        <f t="shared" si="37"/>
        <v>6.6445378076781401</v>
      </c>
      <c r="BC64" s="907"/>
      <c r="BE64" s="906"/>
      <c r="BF64" s="905" t="s">
        <v>25</v>
      </c>
      <c r="BG64" s="905">
        <v>2020</v>
      </c>
      <c r="BH64" s="907">
        <f t="shared" si="38"/>
        <v>5.5039295721761912</v>
      </c>
      <c r="BI64" s="907">
        <f t="shared" si="38"/>
        <v>6.0589140367757546</v>
      </c>
      <c r="BJ64" s="907">
        <f t="shared" si="38"/>
        <v>6.6288488853705481</v>
      </c>
      <c r="BK64" s="907">
        <f t="shared" si="38"/>
        <v>7.0288615388879272</v>
      </c>
    </row>
    <row r="65" spans="1:63">
      <c r="A65" s="905">
        <v>64</v>
      </c>
      <c r="B65" s="905" t="s">
        <v>1679</v>
      </c>
      <c r="C65" s="905">
        <v>29189</v>
      </c>
      <c r="D65" s="905" t="s">
        <v>1115</v>
      </c>
      <c r="E65" s="905" t="s">
        <v>1117</v>
      </c>
      <c r="F65" s="1014">
        <f t="shared" ref="F65:L65" si="39">O38</f>
        <v>0</v>
      </c>
      <c r="G65" s="1013">
        <f t="shared" si="39"/>
        <v>78</v>
      </c>
      <c r="H65" s="1013">
        <f t="shared" si="39"/>
        <v>0</v>
      </c>
      <c r="I65" s="1013">
        <f t="shared" si="39"/>
        <v>83</v>
      </c>
      <c r="J65" s="1012">
        <f t="shared" si="39"/>
        <v>0</v>
      </c>
      <c r="K65" s="1011" t="str">
        <f t="shared" si="39"/>
        <v/>
      </c>
      <c r="L65" s="1010">
        <f t="shared" si="39"/>
        <v>0.41862845445240532</v>
      </c>
      <c r="N65" s="1031" t="s">
        <v>1678</v>
      </c>
      <c r="O65" s="1030"/>
      <c r="P65" s="1029">
        <v>75</v>
      </c>
      <c r="Q65" s="1028">
        <v>36</v>
      </c>
      <c r="R65" s="1028">
        <v>75</v>
      </c>
      <c r="S65" s="1027">
        <v>34</v>
      </c>
      <c r="T65" s="1026" t="s">
        <v>805</v>
      </c>
      <c r="U65" s="1025">
        <v>0.27605633802816903</v>
      </c>
      <c r="V65" s="1017">
        <v>18.247</v>
      </c>
      <c r="W65" s="1017"/>
      <c r="X65" s="1017">
        <v>64</v>
      </c>
      <c r="AC65" s="905" t="s">
        <v>25</v>
      </c>
      <c r="AD65" s="905">
        <v>2030</v>
      </c>
      <c r="AE65" s="907">
        <f>AD40</f>
        <v>9.7116249999999997</v>
      </c>
      <c r="AV65" s="906"/>
      <c r="AW65" s="905" t="s">
        <v>671</v>
      </c>
      <c r="AX65" s="905">
        <v>2030</v>
      </c>
      <c r="AY65" s="907">
        <f>AY45</f>
        <v>6.5989887992630001</v>
      </c>
      <c r="AZ65" s="907">
        <f t="shared" si="37"/>
        <v>6.5989887992630001</v>
      </c>
      <c r="BA65" s="907">
        <f t="shared" si="37"/>
        <v>6.5989887992630001</v>
      </c>
      <c r="BB65" s="907">
        <f t="shared" si="37"/>
        <v>6.5989887992630001</v>
      </c>
      <c r="BC65" s="907"/>
      <c r="BE65" s="906"/>
      <c r="BF65" s="905" t="s">
        <v>671</v>
      </c>
      <c r="BG65" s="905">
        <v>2030</v>
      </c>
      <c r="BH65" s="907">
        <f t="shared" ref="BH65:BK68" si="40">BH57/$CB$19*$CB$21</f>
        <v>5.7285579745553292</v>
      </c>
      <c r="BI65" s="907">
        <f t="shared" si="40"/>
        <v>6.4125474344775277</v>
      </c>
      <c r="BJ65" s="907">
        <f t="shared" si="40"/>
        <v>6.9954778048645707</v>
      </c>
      <c r="BK65" s="907">
        <f t="shared" si="40"/>
        <v>7.5442933283791742</v>
      </c>
    </row>
    <row r="66" spans="1:63">
      <c r="A66" s="905">
        <v>65</v>
      </c>
      <c r="B66" s="905" t="s">
        <v>1676</v>
      </c>
      <c r="C66" s="905">
        <v>29189</v>
      </c>
      <c r="D66" s="905" t="s">
        <v>1116</v>
      </c>
      <c r="E66" s="905" t="s">
        <v>1117</v>
      </c>
      <c r="F66" s="1014"/>
      <c r="G66" s="1013"/>
      <c r="H66" s="1013"/>
      <c r="I66" s="1013"/>
      <c r="J66" s="1012"/>
      <c r="K66" s="1011"/>
      <c r="L66" s="1010"/>
      <c r="N66" s="1031" t="s">
        <v>1677</v>
      </c>
      <c r="O66" s="1030"/>
      <c r="P66" s="1029">
        <v>68</v>
      </c>
      <c r="Q66" s="1028">
        <v>41</v>
      </c>
      <c r="R66" s="1028">
        <v>70</v>
      </c>
      <c r="S66" s="1027">
        <v>36</v>
      </c>
      <c r="T66" s="1026">
        <v>30.64825300254796</v>
      </c>
      <c r="U66" s="1025">
        <v>0.19962812148031642</v>
      </c>
      <c r="V66" s="1017">
        <v>120.095</v>
      </c>
      <c r="W66" s="1017"/>
      <c r="X66" s="1017">
        <v>65</v>
      </c>
      <c r="AC66" s="905" t="s">
        <v>671</v>
      </c>
      <c r="AD66" s="905">
        <v>2050</v>
      </c>
      <c r="AE66" s="907">
        <f>AE41</f>
        <v>15.550545929578862</v>
      </c>
      <c r="AV66" s="906"/>
      <c r="AW66" s="905" t="s">
        <v>669</v>
      </c>
      <c r="AX66" s="905">
        <v>2030</v>
      </c>
      <c r="AY66" s="907">
        <f>AV45</f>
        <v>6.6445378076781401</v>
      </c>
      <c r="AZ66" s="907">
        <f t="shared" si="37"/>
        <v>6.6445378076781401</v>
      </c>
      <c r="BA66" s="907">
        <f t="shared" si="37"/>
        <v>6.6445378076781401</v>
      </c>
      <c r="BB66" s="907">
        <f t="shared" si="37"/>
        <v>6.6445378076781401</v>
      </c>
      <c r="BC66" s="907"/>
      <c r="BE66" s="906"/>
      <c r="BF66" s="905" t="s">
        <v>669</v>
      </c>
      <c r="BG66" s="905">
        <v>2030</v>
      </c>
      <c r="BH66" s="907">
        <f t="shared" si="40"/>
        <v>5.9448329888911866</v>
      </c>
      <c r="BI66" s="907">
        <f t="shared" si="40"/>
        <v>6.5442756071529411</v>
      </c>
      <c r="BJ66" s="907">
        <f t="shared" si="40"/>
        <v>7.159866240175047</v>
      </c>
      <c r="BK66" s="907">
        <f t="shared" si="40"/>
        <v>7.5919227168104806</v>
      </c>
    </row>
    <row r="67" spans="1:63">
      <c r="A67" s="905">
        <v>66</v>
      </c>
      <c r="B67" s="905" t="s">
        <v>1676</v>
      </c>
      <c r="C67" s="905">
        <v>29189</v>
      </c>
      <c r="D67" s="905" t="s">
        <v>1115</v>
      </c>
      <c r="E67" s="905" t="s">
        <v>1117</v>
      </c>
      <c r="F67" s="1014"/>
      <c r="G67" s="1013"/>
      <c r="H67" s="1013"/>
      <c r="I67" s="1013"/>
      <c r="J67" s="1012"/>
      <c r="K67" s="1011"/>
      <c r="L67" s="1010"/>
      <c r="N67" s="1031" t="s">
        <v>1675</v>
      </c>
      <c r="O67" s="1030"/>
      <c r="P67" s="1029">
        <v>80.5</v>
      </c>
      <c r="Q67" s="1028">
        <v>52.2</v>
      </c>
      <c r="R67" s="1028">
        <v>85</v>
      </c>
      <c r="S67" s="1027">
        <v>51.2</v>
      </c>
      <c r="T67" s="1026" t="s">
        <v>805</v>
      </c>
      <c r="U67" s="1025">
        <v>9.8541692509985887E-2</v>
      </c>
      <c r="V67" s="1017">
        <v>90.837699999999998</v>
      </c>
      <c r="W67" s="1017"/>
      <c r="X67" s="1017">
        <v>66</v>
      </c>
      <c r="AC67" s="905" t="s">
        <v>669</v>
      </c>
      <c r="AD67" s="905">
        <v>2050</v>
      </c>
      <c r="AE67" s="907">
        <f>AB41</f>
        <v>18.873249999999999</v>
      </c>
      <c r="AV67" s="906"/>
      <c r="AW67" s="905" t="s">
        <v>670</v>
      </c>
      <c r="AX67" s="905">
        <v>2030</v>
      </c>
      <c r="AY67" s="907">
        <f>AW45</f>
        <v>6.6908556685573926</v>
      </c>
      <c r="AZ67" s="907">
        <f t="shared" si="37"/>
        <v>6.6908556685573926</v>
      </c>
      <c r="BA67" s="907">
        <f t="shared" si="37"/>
        <v>6.6908556685573926</v>
      </c>
      <c r="BB67" s="907">
        <f t="shared" si="37"/>
        <v>6.6908556685573926</v>
      </c>
      <c r="BC67" s="907"/>
      <c r="BE67" s="906"/>
      <c r="BF67" s="905" t="s">
        <v>670</v>
      </c>
      <c r="BG67" s="905">
        <v>2030</v>
      </c>
      <c r="BH67" s="907">
        <f t="shared" si="40"/>
        <v>6.1818155399802768</v>
      </c>
      <c r="BI67" s="907">
        <f t="shared" si="40"/>
        <v>6.6844533487266764</v>
      </c>
      <c r="BJ67" s="907">
        <f t="shared" si="40"/>
        <v>7.3356632989922135</v>
      </c>
      <c r="BK67" s="907">
        <f t="shared" si="40"/>
        <v>7.64148921704109</v>
      </c>
    </row>
    <row r="68" spans="1:63">
      <c r="A68" s="905">
        <v>67</v>
      </c>
      <c r="B68" s="905" t="s">
        <v>1673</v>
      </c>
      <c r="C68" s="905">
        <v>29189</v>
      </c>
      <c r="D68" s="905" t="s">
        <v>1116</v>
      </c>
      <c r="E68" s="905" t="s">
        <v>1117</v>
      </c>
      <c r="F68" s="1014">
        <f t="shared" ref="F68:L68" si="41">O41</f>
        <v>0</v>
      </c>
      <c r="G68" s="1013">
        <f t="shared" si="41"/>
        <v>75</v>
      </c>
      <c r="H68" s="1013">
        <f t="shared" si="41"/>
        <v>40</v>
      </c>
      <c r="I68" s="1013">
        <f t="shared" si="41"/>
        <v>85</v>
      </c>
      <c r="J68" s="1012">
        <f t="shared" si="41"/>
        <v>38</v>
      </c>
      <c r="K68" s="1011" t="str">
        <f t="shared" si="41"/>
        <v/>
      </c>
      <c r="L68" s="1010">
        <f t="shared" si="41"/>
        <v>0.10113396244729383</v>
      </c>
      <c r="N68" s="1031" t="s">
        <v>1674</v>
      </c>
      <c r="O68" s="1030"/>
      <c r="P68" s="1029">
        <v>77</v>
      </c>
      <c r="Q68" s="1028">
        <v>42</v>
      </c>
      <c r="R68" s="1028">
        <v>77</v>
      </c>
      <c r="S68" s="1027">
        <v>38</v>
      </c>
      <c r="T68" s="1026">
        <v>36.021988361628907</v>
      </c>
      <c r="U68" s="1025">
        <v>0.33411008062636904</v>
      </c>
      <c r="V68" s="1017">
        <v>14.288</v>
      </c>
      <c r="W68" s="1017"/>
      <c r="X68" s="1017">
        <v>67</v>
      </c>
      <c r="AC68" s="905" t="s">
        <v>670</v>
      </c>
      <c r="AD68" s="905">
        <v>2050</v>
      </c>
      <c r="AE68" s="907">
        <f>AC41</f>
        <v>24.086776445436499</v>
      </c>
      <c r="AV68" s="906"/>
      <c r="AW68" s="905" t="s">
        <v>25</v>
      </c>
      <c r="AX68" s="905">
        <v>2030</v>
      </c>
      <c r="AY68" s="907">
        <f>AX45</f>
        <v>6.6445378076781401</v>
      </c>
      <c r="AZ68" s="907">
        <f t="shared" si="37"/>
        <v>6.6445378076781401</v>
      </c>
      <c r="BA68" s="907">
        <f t="shared" si="37"/>
        <v>6.6445378076781401</v>
      </c>
      <c r="BB68" s="907">
        <f t="shared" si="37"/>
        <v>6.6445378076781401</v>
      </c>
      <c r="BC68" s="907"/>
      <c r="BE68" s="906"/>
      <c r="BF68" s="905" t="s">
        <v>25</v>
      </c>
      <c r="BG68" s="905">
        <v>2030</v>
      </c>
      <c r="BH68" s="907">
        <f t="shared" si="40"/>
        <v>5.9448329888911866</v>
      </c>
      <c r="BI68" s="907">
        <f t="shared" si="40"/>
        <v>6.5442756071529411</v>
      </c>
      <c r="BJ68" s="907">
        <f t="shared" si="40"/>
        <v>7.159866240175047</v>
      </c>
      <c r="BK68" s="907">
        <f t="shared" si="40"/>
        <v>7.5919227168104806</v>
      </c>
    </row>
    <row r="69" spans="1:63">
      <c r="A69" s="905">
        <v>68</v>
      </c>
      <c r="B69" s="905" t="s">
        <v>1673</v>
      </c>
      <c r="C69" s="905">
        <v>29189</v>
      </c>
      <c r="D69" s="905" t="s">
        <v>1115</v>
      </c>
      <c r="E69" s="905" t="s">
        <v>1117</v>
      </c>
      <c r="F69" s="1014">
        <f t="shared" ref="F69:L69" si="42">F68</f>
        <v>0</v>
      </c>
      <c r="G69" s="1013">
        <f t="shared" si="42"/>
        <v>75</v>
      </c>
      <c r="H69" s="1013">
        <f t="shared" si="42"/>
        <v>40</v>
      </c>
      <c r="I69" s="1013">
        <f t="shared" si="42"/>
        <v>85</v>
      </c>
      <c r="J69" s="1012">
        <f t="shared" si="42"/>
        <v>38</v>
      </c>
      <c r="K69" s="1011" t="str">
        <f t="shared" si="42"/>
        <v/>
      </c>
      <c r="L69" s="1010">
        <f t="shared" si="42"/>
        <v>0.10113396244729383</v>
      </c>
      <c r="N69" s="1031" t="s">
        <v>1672</v>
      </c>
      <c r="O69" s="1030"/>
      <c r="P69" s="1029">
        <v>75</v>
      </c>
      <c r="Q69" s="1028">
        <v>40</v>
      </c>
      <c r="R69" s="1028">
        <v>75</v>
      </c>
      <c r="S69" s="1027">
        <v>38</v>
      </c>
      <c r="T69" s="1026" t="s">
        <v>805</v>
      </c>
      <c r="U69" s="1025">
        <v>0.27943296492071118</v>
      </c>
      <c r="V69" s="1017">
        <v>23.992000000000001</v>
      </c>
      <c r="W69" s="1017"/>
      <c r="X69" s="1017">
        <v>68</v>
      </c>
      <c r="AC69" s="905" t="s">
        <v>25</v>
      </c>
      <c r="AD69" s="905">
        <v>2050</v>
      </c>
      <c r="AE69" s="907">
        <f>AD41</f>
        <v>18.873249999999999</v>
      </c>
      <c r="AV69" s="906"/>
      <c r="AW69" s="905" t="s">
        <v>671</v>
      </c>
      <c r="AX69" s="905">
        <v>2050</v>
      </c>
      <c r="AY69" s="907">
        <f>AY47</f>
        <v>10.442517635565746</v>
      </c>
      <c r="AZ69" s="907">
        <f t="shared" si="37"/>
        <v>10.442517635565746</v>
      </c>
      <c r="BA69" s="907">
        <f t="shared" si="37"/>
        <v>10.442517635565746</v>
      </c>
      <c r="BB69" s="907">
        <f t="shared" si="37"/>
        <v>10.442517635565746</v>
      </c>
      <c r="BC69" s="907"/>
      <c r="BE69" s="906"/>
      <c r="BF69" s="905" t="s">
        <v>671</v>
      </c>
      <c r="BG69" s="905">
        <v>2050</v>
      </c>
      <c r="BH69" s="907">
        <f t="shared" ref="BH69:BK72" si="43">BH57/$CB$19*$CB$22</f>
        <v>5.4884263419233319</v>
      </c>
      <c r="BI69" s="907">
        <f t="shared" si="43"/>
        <v>6.1437441000937572</v>
      </c>
      <c r="BJ69" s="907">
        <f t="shared" si="43"/>
        <v>6.7022389978586201</v>
      </c>
      <c r="BK69" s="907">
        <f t="shared" si="43"/>
        <v>7.2280490864521294</v>
      </c>
    </row>
    <row r="70" spans="1:63">
      <c r="A70" s="905">
        <v>69</v>
      </c>
      <c r="B70" s="905" t="s">
        <v>1671</v>
      </c>
      <c r="C70" s="905">
        <v>29189</v>
      </c>
      <c r="D70" s="905" t="s">
        <v>1115</v>
      </c>
      <c r="E70" s="905" t="s">
        <v>1117</v>
      </c>
      <c r="F70" s="1014">
        <f t="shared" ref="F70:L70" si="44">O42</f>
        <v>0</v>
      </c>
      <c r="G70" s="1013">
        <f t="shared" si="44"/>
        <v>72</v>
      </c>
      <c r="H70" s="1013">
        <f t="shared" si="44"/>
        <v>40</v>
      </c>
      <c r="I70" s="1013">
        <f t="shared" si="44"/>
        <v>78</v>
      </c>
      <c r="J70" s="1012">
        <f t="shared" si="44"/>
        <v>35</v>
      </c>
      <c r="K70" s="1011">
        <f t="shared" si="44"/>
        <v>54.930040106085251</v>
      </c>
      <c r="L70" s="1010">
        <f t="shared" si="44"/>
        <v>0.28083553337884187</v>
      </c>
      <c r="N70" s="1031" t="s">
        <v>1670</v>
      </c>
      <c r="O70" s="1030"/>
      <c r="P70" s="1029">
        <v>78</v>
      </c>
      <c r="Q70" s="1028">
        <v>45</v>
      </c>
      <c r="R70" s="1028">
        <v>84</v>
      </c>
      <c r="S70" s="1027">
        <v>40</v>
      </c>
      <c r="T70" s="1026">
        <v>38.648805715167462</v>
      </c>
      <c r="U70" s="1025">
        <v>0.2534529513430398</v>
      </c>
      <c r="V70" s="1017">
        <v>164.40700000000001</v>
      </c>
      <c r="W70" s="1017"/>
      <c r="X70" s="1017">
        <v>69</v>
      </c>
      <c r="AV70" s="906"/>
      <c r="AW70" s="905" t="s">
        <v>669</v>
      </c>
      <c r="AX70" s="905">
        <v>2050</v>
      </c>
      <c r="AY70" s="907">
        <f>AV47</f>
        <v>10.514574982307002</v>
      </c>
      <c r="AZ70" s="907">
        <f t="shared" si="37"/>
        <v>10.514574982307002</v>
      </c>
      <c r="BA70" s="907">
        <f t="shared" si="37"/>
        <v>10.514574982307002</v>
      </c>
      <c r="BB70" s="907">
        <f t="shared" si="37"/>
        <v>10.514574982307002</v>
      </c>
      <c r="BC70" s="907"/>
      <c r="BE70" s="906"/>
      <c r="BF70" s="905" t="s">
        <v>669</v>
      </c>
      <c r="BG70" s="905">
        <v>2050</v>
      </c>
      <c r="BH70" s="907">
        <f t="shared" si="43"/>
        <v>5.6956354669864169</v>
      </c>
      <c r="BI70" s="907">
        <f t="shared" si="43"/>
        <v>6.2699504466292098</v>
      </c>
      <c r="BJ70" s="907">
        <f t="shared" si="43"/>
        <v>6.8597365430825761</v>
      </c>
      <c r="BK70" s="907">
        <f t="shared" si="43"/>
        <v>7.2736819300538169</v>
      </c>
    </row>
    <row r="71" spans="1:63">
      <c r="A71" s="905">
        <v>70</v>
      </c>
      <c r="B71" s="905" t="s">
        <v>1669</v>
      </c>
      <c r="C71" s="905">
        <v>29188</v>
      </c>
      <c r="D71" s="905" t="s">
        <v>1115</v>
      </c>
      <c r="E71" s="905" t="s">
        <v>1118</v>
      </c>
      <c r="F71" s="1014"/>
      <c r="G71" s="1013"/>
      <c r="H71" s="1013"/>
      <c r="I71" s="1013"/>
      <c r="J71" s="1012"/>
      <c r="K71" s="1011"/>
      <c r="L71" s="1010"/>
      <c r="N71" s="1031" t="s">
        <v>1668</v>
      </c>
      <c r="O71" s="1030">
        <v>2.9754204398447608E-2</v>
      </c>
      <c r="P71" s="1029">
        <v>65</v>
      </c>
      <c r="Q71" s="1028">
        <v>40</v>
      </c>
      <c r="R71" s="1028">
        <v>75</v>
      </c>
      <c r="S71" s="1027">
        <v>39</v>
      </c>
      <c r="T71" s="1026"/>
      <c r="U71" s="1025">
        <v>0.39011764705882351</v>
      </c>
      <c r="V71" s="1017">
        <v>7.7759999999999998</v>
      </c>
      <c r="W71" s="1017"/>
      <c r="X71" s="1017">
        <v>70</v>
      </c>
      <c r="AV71" s="906"/>
      <c r="AW71" s="905" t="s">
        <v>670</v>
      </c>
      <c r="AX71" s="905">
        <v>2050</v>
      </c>
      <c r="AY71" s="907">
        <f>AW47</f>
        <v>10.5877985827362</v>
      </c>
      <c r="AZ71" s="907">
        <f t="shared" si="37"/>
        <v>10.5877985827362</v>
      </c>
      <c r="BA71" s="907">
        <f t="shared" si="37"/>
        <v>10.5877985827362</v>
      </c>
      <c r="BB71" s="907">
        <f t="shared" si="37"/>
        <v>10.5877985827362</v>
      </c>
      <c r="BC71" s="907"/>
      <c r="BE71" s="906"/>
      <c r="BF71" s="905" t="s">
        <v>670</v>
      </c>
      <c r="BG71" s="905">
        <v>2050</v>
      </c>
      <c r="BH71" s="907">
        <f t="shared" si="43"/>
        <v>5.9226841032663904</v>
      </c>
      <c r="BI71" s="907">
        <f t="shared" si="43"/>
        <v>6.404252170173228</v>
      </c>
      <c r="BJ71" s="907">
        <f t="shared" si="43"/>
        <v>7.0281644812705757</v>
      </c>
      <c r="BK71" s="907">
        <f t="shared" si="43"/>
        <v>7.3211706849465772</v>
      </c>
    </row>
    <row r="72" spans="1:63" ht="15.6">
      <c r="A72" s="905">
        <v>71</v>
      </c>
      <c r="B72" s="905" t="s">
        <v>1667</v>
      </c>
      <c r="C72" s="905">
        <v>29188</v>
      </c>
      <c r="D72" s="905" t="s">
        <v>1115</v>
      </c>
      <c r="E72" s="905" t="s">
        <v>1118</v>
      </c>
      <c r="F72" s="1014">
        <f t="shared" ref="F72:K72" si="45">O43</f>
        <v>0</v>
      </c>
      <c r="G72" s="1013">
        <f t="shared" si="45"/>
        <v>72</v>
      </c>
      <c r="H72" s="1013">
        <f t="shared" si="45"/>
        <v>0</v>
      </c>
      <c r="I72" s="1013">
        <f t="shared" si="45"/>
        <v>80</v>
      </c>
      <c r="J72" s="1012">
        <f t="shared" si="45"/>
        <v>0</v>
      </c>
      <c r="K72" s="1011" t="str">
        <f t="shared" si="45"/>
        <v/>
      </c>
      <c r="L72" s="1015">
        <v>0.22800028617798151</v>
      </c>
      <c r="N72" s="1037" t="s">
        <v>1666</v>
      </c>
      <c r="O72" s="1036"/>
      <c r="P72" s="1035">
        <v>75</v>
      </c>
      <c r="Q72" s="1013">
        <v>35</v>
      </c>
      <c r="R72" s="1013">
        <v>80</v>
      </c>
      <c r="S72" s="1012">
        <v>35</v>
      </c>
      <c r="T72" s="1011">
        <v>36.925362639902907</v>
      </c>
      <c r="U72" s="1034">
        <v>0.24807918793113118</v>
      </c>
      <c r="V72" s="905">
        <v>13.407500000000001</v>
      </c>
      <c r="X72" s="905">
        <v>71</v>
      </c>
      <c r="AV72" s="906"/>
      <c r="AW72" s="905" t="s">
        <v>25</v>
      </c>
      <c r="AX72" s="905">
        <v>2050</v>
      </c>
      <c r="AY72" s="907">
        <f>AX47</f>
        <v>10.514574982307002</v>
      </c>
      <c r="AZ72" s="907">
        <f t="shared" si="37"/>
        <v>10.514574982307002</v>
      </c>
      <c r="BA72" s="907">
        <f t="shared" si="37"/>
        <v>10.514574982307002</v>
      </c>
      <c r="BB72" s="907">
        <f t="shared" si="37"/>
        <v>10.514574982307002</v>
      </c>
      <c r="BC72" s="907"/>
      <c r="BE72" s="906"/>
      <c r="BF72" s="905" t="s">
        <v>25</v>
      </c>
      <c r="BG72" s="905">
        <v>2050</v>
      </c>
      <c r="BH72" s="907">
        <f t="shared" si="43"/>
        <v>5.6956354669864169</v>
      </c>
      <c r="BI72" s="907">
        <f t="shared" si="43"/>
        <v>6.2699504466292098</v>
      </c>
      <c r="BJ72" s="907">
        <f t="shared" si="43"/>
        <v>6.8597365430825761</v>
      </c>
      <c r="BK72" s="907">
        <f t="shared" si="43"/>
        <v>7.2736819300538169</v>
      </c>
    </row>
    <row r="73" spans="1:63">
      <c r="A73" s="905">
        <v>72</v>
      </c>
      <c r="B73" s="905" t="s">
        <v>1665</v>
      </c>
      <c r="C73" s="905">
        <v>29189</v>
      </c>
      <c r="D73" s="905" t="s">
        <v>1115</v>
      </c>
      <c r="E73" s="905" t="s">
        <v>1117</v>
      </c>
      <c r="F73" s="1014"/>
      <c r="G73" s="1013"/>
      <c r="H73" s="1013"/>
      <c r="I73" s="1013"/>
      <c r="J73" s="1012"/>
      <c r="K73" s="1011"/>
      <c r="L73" s="1010"/>
      <c r="N73" s="1031" t="s">
        <v>1664</v>
      </c>
      <c r="O73" s="1030"/>
      <c r="P73" s="1029">
        <v>75</v>
      </c>
      <c r="Q73" s="1028">
        <v>42</v>
      </c>
      <c r="R73" s="1028">
        <v>82</v>
      </c>
      <c r="S73" s="1027">
        <v>40</v>
      </c>
      <c r="T73" s="1026" t="s">
        <v>805</v>
      </c>
      <c r="U73" s="1025">
        <v>0.15905077413790744</v>
      </c>
      <c r="V73" s="1017">
        <v>122.861</v>
      </c>
      <c r="W73" s="1017"/>
      <c r="X73" s="1017">
        <v>72</v>
      </c>
      <c r="BC73" s="907"/>
      <c r="BH73" s="909" t="s">
        <v>1118</v>
      </c>
      <c r="BI73" s="909" t="s">
        <v>1118</v>
      </c>
      <c r="BJ73" s="908" t="s">
        <v>1117</v>
      </c>
      <c r="BK73" s="908" t="s">
        <v>1117</v>
      </c>
    </row>
    <row r="74" spans="1:63">
      <c r="A74" s="905">
        <v>73</v>
      </c>
      <c r="B74" s="905" t="s">
        <v>1663</v>
      </c>
      <c r="C74" s="905">
        <v>29189</v>
      </c>
      <c r="D74" s="905" t="s">
        <v>1115</v>
      </c>
      <c r="E74" s="905" t="s">
        <v>1118</v>
      </c>
      <c r="F74" s="1014">
        <f t="shared" ref="F74:L74" si="46">O44</f>
        <v>4.4507744347516464E-3</v>
      </c>
      <c r="G74" s="1013">
        <f t="shared" si="46"/>
        <v>72</v>
      </c>
      <c r="H74" s="1013">
        <f t="shared" si="46"/>
        <v>42</v>
      </c>
      <c r="I74" s="1013">
        <f t="shared" si="46"/>
        <v>75</v>
      </c>
      <c r="J74" s="1012">
        <f t="shared" si="46"/>
        <v>39</v>
      </c>
      <c r="K74" s="1011" t="str">
        <f t="shared" si="46"/>
        <v/>
      </c>
      <c r="L74" s="1010">
        <f t="shared" si="46"/>
        <v>0.28107117310443491</v>
      </c>
      <c r="N74" s="1031" t="s">
        <v>1662</v>
      </c>
      <c r="O74" s="1030">
        <v>1.7511330861145447E-3</v>
      </c>
      <c r="P74" s="1029">
        <v>64</v>
      </c>
      <c r="Q74" s="1028">
        <v>45</v>
      </c>
      <c r="R74" s="1028">
        <v>78</v>
      </c>
      <c r="S74" s="1027">
        <v>39</v>
      </c>
      <c r="T74" s="1026">
        <v>41.341454254271277</v>
      </c>
      <c r="U74" s="1025">
        <v>0.23941212022937336</v>
      </c>
      <c r="V74" s="1017">
        <v>51.595999999999997</v>
      </c>
      <c r="W74" s="1017"/>
      <c r="X74" s="1017">
        <v>73</v>
      </c>
      <c r="BC74" s="907"/>
      <c r="BE74" s="1351">
        <f>BD62</f>
        <v>0</v>
      </c>
      <c r="BF74" s="1351"/>
      <c r="BG74" s="1351"/>
      <c r="BH74" s="908" t="s">
        <v>1116</v>
      </c>
      <c r="BI74" s="908" t="s">
        <v>1115</v>
      </c>
      <c r="BJ74" s="908" t="s">
        <v>1116</v>
      </c>
      <c r="BK74" s="908" t="s">
        <v>1115</v>
      </c>
    </row>
    <row r="75" spans="1:63">
      <c r="A75" s="905">
        <v>74</v>
      </c>
      <c r="B75" s="905" t="s">
        <v>1661</v>
      </c>
      <c r="C75" s="905">
        <v>29188</v>
      </c>
      <c r="D75" s="905" t="s">
        <v>1115</v>
      </c>
      <c r="E75" s="905" t="s">
        <v>1117</v>
      </c>
      <c r="F75" s="1014"/>
      <c r="G75" s="1013"/>
      <c r="H75" s="1013"/>
      <c r="I75" s="1013"/>
      <c r="J75" s="1012"/>
      <c r="K75" s="1011"/>
      <c r="L75" s="1010"/>
      <c r="N75" s="1031" t="s">
        <v>1660</v>
      </c>
      <c r="O75" s="1030"/>
      <c r="P75" s="1029">
        <v>68.400000000000006</v>
      </c>
      <c r="Q75" s="1028">
        <v>38.1</v>
      </c>
      <c r="R75" s="1028">
        <v>73.3</v>
      </c>
      <c r="S75" s="1027">
        <v>33.1</v>
      </c>
      <c r="T75" s="1026">
        <v>45.625742555994066</v>
      </c>
      <c r="U75" s="1025">
        <v>0.23402607664954564</v>
      </c>
      <c r="V75" s="1017">
        <v>48.466999999999999</v>
      </c>
      <c r="W75" s="1017"/>
      <c r="X75" s="1017">
        <v>74</v>
      </c>
      <c r="BD75" s="906"/>
      <c r="BE75" s="906"/>
      <c r="BG75" s="905">
        <v>2015</v>
      </c>
      <c r="BH75" s="907">
        <f>AVERAGE(BH57:BH60)</f>
        <v>4.6674138507559979</v>
      </c>
      <c r="BI75" s="907">
        <f>AVERAGE(BI57:BI60)</f>
        <v>5.1352355159880698</v>
      </c>
      <c r="BJ75" s="907">
        <f>AVERAGE(BJ57:BJ60)</f>
        <v>5.6187085003093955</v>
      </c>
      <c r="BK75" s="907">
        <f>AVERAGE(BK57:BK60)</f>
        <v>5.9557725657319303</v>
      </c>
    </row>
    <row r="76" spans="1:63">
      <c r="A76" s="905">
        <v>75</v>
      </c>
      <c r="B76" s="905" t="s">
        <v>1659</v>
      </c>
      <c r="C76" s="905">
        <v>29188</v>
      </c>
      <c r="D76" s="905" t="s">
        <v>1115</v>
      </c>
      <c r="E76" s="905" t="s">
        <v>1117</v>
      </c>
      <c r="F76" s="1014"/>
      <c r="G76" s="1013"/>
      <c r="H76" s="1013"/>
      <c r="I76" s="1013"/>
      <c r="J76" s="1012"/>
      <c r="K76" s="1011"/>
      <c r="L76" s="1010"/>
      <c r="N76" s="1031" t="s">
        <v>1658</v>
      </c>
      <c r="O76" s="1030"/>
      <c r="P76" s="1029">
        <v>70</v>
      </c>
      <c r="Q76" s="1028">
        <v>38</v>
      </c>
      <c r="R76" s="1028">
        <v>71</v>
      </c>
      <c r="S76" s="1027">
        <v>34</v>
      </c>
      <c r="T76" s="1026">
        <v>39.165090999099291</v>
      </c>
      <c r="U76" s="1025">
        <v>0.24730127576054955</v>
      </c>
      <c r="V76" s="1017">
        <v>19.942</v>
      </c>
      <c r="W76" s="1017"/>
      <c r="X76" s="1017">
        <v>75</v>
      </c>
      <c r="BD76" s="906"/>
      <c r="BE76" s="906"/>
      <c r="BG76" s="905">
        <v>2020</v>
      </c>
      <c r="BH76" s="907">
        <f>AVERAGE(BH61:BH64)</f>
        <v>5.5087225085007274</v>
      </c>
      <c r="BI76" s="907">
        <f>AVERAGE(BI61:BI64)</f>
        <v>6.0608697616976537</v>
      </c>
      <c r="BJ76" s="907">
        <f>AVERAGE(BJ61:BJ64)</f>
        <v>6.6314895087662613</v>
      </c>
      <c r="BK76" s="907">
        <f>AVERAGE(BK61:BK64)</f>
        <v>7.0293098999662247</v>
      </c>
    </row>
    <row r="77" spans="1:63" ht="15.6">
      <c r="A77" s="905">
        <v>76</v>
      </c>
      <c r="B77" s="905" t="s">
        <v>1657</v>
      </c>
      <c r="C77" s="905">
        <v>29189</v>
      </c>
      <c r="D77" s="905" t="s">
        <v>1115</v>
      </c>
      <c r="E77" s="905" t="s">
        <v>1117</v>
      </c>
      <c r="F77" s="1014">
        <f t="shared" ref="F77:K77" si="47">O45</f>
        <v>0.26081833761782347</v>
      </c>
      <c r="G77" s="1013">
        <f t="shared" si="47"/>
        <v>75</v>
      </c>
      <c r="H77" s="1013">
        <f t="shared" si="47"/>
        <v>42</v>
      </c>
      <c r="I77" s="1013">
        <f t="shared" si="47"/>
        <v>85</v>
      </c>
      <c r="J77" s="1012">
        <f t="shared" si="47"/>
        <v>42</v>
      </c>
      <c r="K77" s="1011" t="str">
        <f t="shared" si="47"/>
        <v/>
      </c>
      <c r="L77" s="1015">
        <v>0.22800028617798151</v>
      </c>
      <c r="N77" s="1031" t="s">
        <v>1656</v>
      </c>
      <c r="O77" s="1030"/>
      <c r="P77" s="1029">
        <v>75</v>
      </c>
      <c r="Q77" s="1028">
        <v>40</v>
      </c>
      <c r="R77" s="1028">
        <v>80</v>
      </c>
      <c r="S77" s="1027">
        <v>37</v>
      </c>
      <c r="T77" s="1026" t="s">
        <v>805</v>
      </c>
      <c r="U77" s="1025"/>
      <c r="V77" s="1017" t="s">
        <v>805</v>
      </c>
      <c r="W77" s="1017"/>
      <c r="X77" s="1017">
        <v>76</v>
      </c>
      <c r="BD77" s="906"/>
      <c r="BE77" s="906"/>
      <c r="BG77" s="905">
        <v>2030</v>
      </c>
      <c r="BH77" s="907">
        <f>AVERAGE(BH65:BH68)</f>
        <v>5.9500098730794946</v>
      </c>
      <c r="BI77" s="907">
        <f>AVERAGE(BI65:BI68)</f>
        <v>6.5463879993775214</v>
      </c>
      <c r="BJ77" s="907">
        <f>AVERAGE(BJ65:BJ68)</f>
        <v>7.1627183960517193</v>
      </c>
      <c r="BK77" s="907">
        <f>AVERAGE(BK65:BK68)</f>
        <v>7.5924069947603066</v>
      </c>
    </row>
    <row r="78" spans="1:63">
      <c r="A78" s="905">
        <v>77</v>
      </c>
      <c r="B78" s="905" t="s">
        <v>1655</v>
      </c>
      <c r="C78" s="905">
        <v>29189</v>
      </c>
      <c r="D78" s="905" t="s">
        <v>1115</v>
      </c>
      <c r="E78" s="905" t="s">
        <v>1117</v>
      </c>
      <c r="F78" s="1014"/>
      <c r="G78" s="1013"/>
      <c r="H78" s="1013"/>
      <c r="I78" s="1013"/>
      <c r="J78" s="1012"/>
      <c r="K78" s="1011"/>
      <c r="L78" s="1010"/>
      <c r="N78" s="1031" t="s">
        <v>1654</v>
      </c>
      <c r="O78" s="1030"/>
      <c r="P78" s="1033">
        <v>71</v>
      </c>
      <c r="Q78" s="1017">
        <v>42</v>
      </c>
      <c r="R78" s="1017">
        <v>77</v>
      </c>
      <c r="S78" s="1032">
        <v>40</v>
      </c>
      <c r="T78" s="1026" t="s">
        <v>805</v>
      </c>
      <c r="U78" s="1025">
        <v>0.22894129556392462</v>
      </c>
      <c r="V78" s="1017">
        <v>89.88</v>
      </c>
      <c r="W78" s="1017"/>
      <c r="X78" s="1017">
        <v>77</v>
      </c>
      <c r="BC78" s="907"/>
      <c r="BD78" s="906"/>
      <c r="BE78" s="906"/>
      <c r="BG78" s="905">
        <v>2050</v>
      </c>
      <c r="BH78" s="907">
        <f>AVERAGE(BH69:BH72)</f>
        <v>5.7005953447906395</v>
      </c>
      <c r="BI78" s="907">
        <f>AVERAGE(BI69:BI72)</f>
        <v>6.2719742908813512</v>
      </c>
      <c r="BJ78" s="907">
        <f>AVERAGE(BJ69:BJ72)</f>
        <v>6.8624691413235865</v>
      </c>
      <c r="BK78" s="907">
        <f>AVERAGE(BK69:BK72)</f>
        <v>7.2741459078765853</v>
      </c>
    </row>
    <row r="79" spans="1:63">
      <c r="A79" s="905">
        <v>78</v>
      </c>
      <c r="B79" s="905" t="s">
        <v>1652</v>
      </c>
      <c r="C79" s="905">
        <v>29188</v>
      </c>
      <c r="D79" s="905" t="s">
        <v>1116</v>
      </c>
      <c r="E79" s="905" t="s">
        <v>1117</v>
      </c>
      <c r="F79" s="1014">
        <f t="shared" ref="F79:L79" si="48">O46</f>
        <v>0</v>
      </c>
      <c r="G79" s="1013">
        <f t="shared" si="48"/>
        <v>75</v>
      </c>
      <c r="H79" s="1013">
        <f t="shared" si="48"/>
        <v>42</v>
      </c>
      <c r="I79" s="1013">
        <f t="shared" si="48"/>
        <v>85</v>
      </c>
      <c r="J79" s="1012">
        <f t="shared" si="48"/>
        <v>36</v>
      </c>
      <c r="K79" s="1011">
        <f t="shared" si="48"/>
        <v>34.802769684210524</v>
      </c>
      <c r="L79" s="1010">
        <f t="shared" si="48"/>
        <v>0.17170737620018459</v>
      </c>
      <c r="N79" s="1031" t="s">
        <v>1544</v>
      </c>
      <c r="O79" s="1030"/>
      <c r="P79" s="1029">
        <v>73</v>
      </c>
      <c r="Q79" s="1028">
        <v>42</v>
      </c>
      <c r="R79" s="1028">
        <v>73</v>
      </c>
      <c r="S79" s="1027">
        <v>38</v>
      </c>
      <c r="T79" s="1026">
        <v>29.801433962264152</v>
      </c>
      <c r="U79" s="1025">
        <v>0.26657954916693893</v>
      </c>
      <c r="V79" s="1017">
        <v>6.7350000000000003</v>
      </c>
      <c r="W79" s="1017"/>
      <c r="X79" s="1017">
        <v>78</v>
      </c>
      <c r="AV79" s="906"/>
      <c r="AY79" s="907"/>
      <c r="AZ79" s="907"/>
      <c r="BA79" s="907"/>
      <c r="BB79" s="907"/>
      <c r="BD79" s="906"/>
      <c r="BG79" s="907"/>
      <c r="BH79" s="907"/>
      <c r="BI79" s="907"/>
      <c r="BJ79" s="907"/>
    </row>
    <row r="80" spans="1:63">
      <c r="A80" s="905">
        <v>79</v>
      </c>
      <c r="B80" s="905" t="s">
        <v>1652</v>
      </c>
      <c r="C80" s="905">
        <v>35209</v>
      </c>
      <c r="D80" s="905" t="s">
        <v>1116</v>
      </c>
      <c r="E80" s="905" t="s">
        <v>1117</v>
      </c>
      <c r="F80" s="1014">
        <f t="shared" ref="F80:L81" si="49">F79</f>
        <v>0</v>
      </c>
      <c r="G80" s="1013">
        <f t="shared" si="49"/>
        <v>75</v>
      </c>
      <c r="H80" s="1013">
        <f t="shared" si="49"/>
        <v>42</v>
      </c>
      <c r="I80" s="1013">
        <f t="shared" si="49"/>
        <v>85</v>
      </c>
      <c r="J80" s="1012">
        <f t="shared" si="49"/>
        <v>36</v>
      </c>
      <c r="K80" s="1011">
        <f t="shared" si="49"/>
        <v>34.802769684210524</v>
      </c>
      <c r="L80" s="1010">
        <f t="shared" si="49"/>
        <v>0.17170737620018459</v>
      </c>
      <c r="N80" s="1031" t="s">
        <v>1653</v>
      </c>
      <c r="O80" s="1030">
        <v>7.1261491595495843E-2</v>
      </c>
      <c r="P80" s="1029">
        <v>68</v>
      </c>
      <c r="Q80" s="1028">
        <v>43</v>
      </c>
      <c r="R80" s="1028">
        <v>72</v>
      </c>
      <c r="S80" s="1027">
        <v>40</v>
      </c>
      <c r="T80" s="1026">
        <v>30.647035126791668</v>
      </c>
      <c r="U80" s="1025">
        <v>0.28758859017161598</v>
      </c>
      <c r="V80" s="1017">
        <v>12.163</v>
      </c>
      <c r="W80" s="1017"/>
      <c r="X80" s="1017">
        <v>79</v>
      </c>
      <c r="AV80" s="906"/>
      <c r="AY80" s="907"/>
      <c r="AZ80" s="907"/>
      <c r="BA80" s="907"/>
      <c r="BB80" s="907"/>
      <c r="BD80" s="906"/>
      <c r="BG80" s="907"/>
      <c r="BH80" s="907"/>
      <c r="BI80" s="907"/>
      <c r="BJ80" s="907"/>
    </row>
    <row r="81" spans="1:62">
      <c r="A81" s="905">
        <v>80</v>
      </c>
      <c r="B81" s="905" t="s">
        <v>1652</v>
      </c>
      <c r="C81" s="905">
        <v>35209</v>
      </c>
      <c r="D81" s="905" t="s">
        <v>1115</v>
      </c>
      <c r="E81" s="905" t="s">
        <v>1117</v>
      </c>
      <c r="F81" s="1014">
        <f t="shared" si="49"/>
        <v>0</v>
      </c>
      <c r="G81" s="1013">
        <f t="shared" si="49"/>
        <v>75</v>
      </c>
      <c r="H81" s="1013">
        <f t="shared" si="49"/>
        <v>42</v>
      </c>
      <c r="I81" s="1013">
        <f t="shared" si="49"/>
        <v>85</v>
      </c>
      <c r="J81" s="1012">
        <f t="shared" si="49"/>
        <v>36</v>
      </c>
      <c r="K81" s="1011">
        <f t="shared" si="49"/>
        <v>34.802769684210524</v>
      </c>
      <c r="L81" s="1010">
        <f t="shared" si="49"/>
        <v>0.17170737620018459</v>
      </c>
      <c r="N81" s="1031" t="s">
        <v>1651</v>
      </c>
      <c r="O81" s="1030"/>
      <c r="P81" s="1029">
        <v>78</v>
      </c>
      <c r="Q81" s="1028">
        <v>0</v>
      </c>
      <c r="R81" s="1028">
        <v>78</v>
      </c>
      <c r="S81" s="1027">
        <v>0</v>
      </c>
      <c r="T81" s="1026" t="s">
        <v>805</v>
      </c>
      <c r="U81" s="1025"/>
      <c r="V81" s="1017" t="s">
        <v>805</v>
      </c>
      <c r="W81" s="1017"/>
      <c r="X81" s="1017">
        <v>80</v>
      </c>
      <c r="AV81" s="906"/>
      <c r="AY81" s="907"/>
      <c r="AZ81" s="907"/>
      <c r="BA81" s="907"/>
      <c r="BB81" s="907"/>
      <c r="BD81" s="906"/>
      <c r="BG81" s="907"/>
      <c r="BH81" s="907"/>
      <c r="BI81" s="907"/>
      <c r="BJ81" s="907"/>
    </row>
    <row r="82" spans="1:62">
      <c r="A82" s="905">
        <v>81</v>
      </c>
      <c r="B82" s="905" t="s">
        <v>1650</v>
      </c>
      <c r="C82" s="905">
        <v>55606</v>
      </c>
      <c r="D82" s="905" t="s">
        <v>1116</v>
      </c>
      <c r="E82" s="905" t="s">
        <v>1118</v>
      </c>
      <c r="F82" s="1014">
        <f t="shared" ref="F82:L82" si="50">O47</f>
        <v>0</v>
      </c>
      <c r="G82" s="1013">
        <f t="shared" si="50"/>
        <v>165</v>
      </c>
      <c r="H82" s="1013">
        <f t="shared" si="50"/>
        <v>100</v>
      </c>
      <c r="I82" s="1013">
        <f t="shared" si="50"/>
        <v>165</v>
      </c>
      <c r="J82" s="1012">
        <f t="shared" si="50"/>
        <v>70</v>
      </c>
      <c r="K82" s="1011" t="str">
        <f t="shared" si="50"/>
        <v/>
      </c>
      <c r="L82" s="1010">
        <f t="shared" si="50"/>
        <v>0.2390308275898915</v>
      </c>
      <c r="N82" s="1031" t="s">
        <v>1649</v>
      </c>
      <c r="O82" s="1030"/>
      <c r="P82" s="1029">
        <v>72</v>
      </c>
      <c r="Q82" s="1028">
        <v>49.3</v>
      </c>
      <c r="R82" s="1028">
        <v>72</v>
      </c>
      <c r="S82" s="1027">
        <v>43.7</v>
      </c>
      <c r="T82" s="1026">
        <v>26.738828983587556</v>
      </c>
      <c r="U82" s="1025">
        <v>0.22799820425097142</v>
      </c>
      <c r="V82" s="1017">
        <v>49.869</v>
      </c>
      <c r="W82" s="1017"/>
      <c r="X82" s="1017">
        <v>81</v>
      </c>
      <c r="AV82" s="906"/>
      <c r="AY82" s="907"/>
      <c r="AZ82" s="907"/>
      <c r="BA82" s="907"/>
      <c r="BB82" s="907"/>
      <c r="BD82" s="906"/>
      <c r="BG82" s="907"/>
      <c r="BH82" s="907"/>
      <c r="BI82" s="907"/>
      <c r="BJ82" s="907"/>
    </row>
    <row r="83" spans="1:62">
      <c r="A83" s="905">
        <v>82</v>
      </c>
      <c r="B83" s="905" t="s">
        <v>1648</v>
      </c>
      <c r="C83" s="905">
        <v>29188</v>
      </c>
      <c r="D83" s="905" t="s">
        <v>1115</v>
      </c>
      <c r="E83" s="905" t="s">
        <v>1118</v>
      </c>
      <c r="F83" s="1014">
        <f t="shared" ref="F83:L83" si="51">O253</f>
        <v>1.6757865937072503E-2</v>
      </c>
      <c r="G83" s="1013">
        <f t="shared" si="51"/>
        <v>70</v>
      </c>
      <c r="H83" s="1013">
        <f t="shared" si="51"/>
        <v>0</v>
      </c>
      <c r="I83" s="1013">
        <f t="shared" si="51"/>
        <v>80</v>
      </c>
      <c r="J83" s="1012">
        <f t="shared" si="51"/>
        <v>0</v>
      </c>
      <c r="K83" s="1011" t="str">
        <f t="shared" si="51"/>
        <v/>
      </c>
      <c r="L83" s="1010">
        <f t="shared" si="51"/>
        <v>0.30536956521739128</v>
      </c>
      <c r="N83" s="1031" t="s">
        <v>1647</v>
      </c>
      <c r="O83" s="1030">
        <v>1.2080536912751677E-2</v>
      </c>
      <c r="P83" s="1029">
        <v>65</v>
      </c>
      <c r="Q83" s="1028">
        <v>43</v>
      </c>
      <c r="R83" s="1028">
        <v>75</v>
      </c>
      <c r="S83" s="1027">
        <v>38</v>
      </c>
      <c r="T83" s="1026">
        <v>33.747721896932802</v>
      </c>
      <c r="U83" s="1025">
        <v>0.3286808300395257</v>
      </c>
      <c r="V83" s="1017">
        <v>5.4349999999999996</v>
      </c>
      <c r="W83" s="1017"/>
      <c r="X83" s="1017">
        <v>82</v>
      </c>
      <c r="AV83" s="906"/>
      <c r="AY83" s="907"/>
      <c r="AZ83" s="907"/>
      <c r="BA83" s="907"/>
      <c r="BB83" s="907"/>
      <c r="BD83" s="906"/>
      <c r="BG83" s="907"/>
      <c r="BH83" s="907"/>
      <c r="BI83" s="907"/>
      <c r="BJ83" s="907"/>
    </row>
    <row r="84" spans="1:62">
      <c r="A84" s="905">
        <v>83</v>
      </c>
      <c r="B84" s="905" t="s">
        <v>1646</v>
      </c>
      <c r="C84" s="905">
        <v>29189</v>
      </c>
      <c r="D84" s="905" t="s">
        <v>1115</v>
      </c>
      <c r="E84" s="905" t="s">
        <v>1117</v>
      </c>
      <c r="F84" s="1014">
        <f t="shared" ref="F84:L84" si="52">O48</f>
        <v>0</v>
      </c>
      <c r="G84" s="1013">
        <f t="shared" si="52"/>
        <v>76</v>
      </c>
      <c r="H84" s="1013">
        <f t="shared" si="52"/>
        <v>0</v>
      </c>
      <c r="I84" s="1013">
        <f t="shared" si="52"/>
        <v>80</v>
      </c>
      <c r="J84" s="1012">
        <f t="shared" si="52"/>
        <v>0</v>
      </c>
      <c r="K84" s="1011" t="str">
        <f t="shared" si="52"/>
        <v/>
      </c>
      <c r="L84" s="1010">
        <f t="shared" si="52"/>
        <v>0.30656911045818702</v>
      </c>
      <c r="N84" s="1031" t="s">
        <v>1529</v>
      </c>
      <c r="O84" s="1030">
        <v>3.2411973850212182E-2</v>
      </c>
      <c r="P84" s="1029">
        <v>70</v>
      </c>
      <c r="Q84" s="1028">
        <v>45</v>
      </c>
      <c r="R84" s="1028">
        <v>80</v>
      </c>
      <c r="S84" s="1027">
        <v>40</v>
      </c>
      <c r="T84" s="1026">
        <v>31.777020942610172</v>
      </c>
      <c r="U84" s="1025">
        <v>0.26890616850789434</v>
      </c>
      <c r="V84" s="1017">
        <v>30.838999999999999</v>
      </c>
      <c r="W84" s="1017"/>
      <c r="X84" s="1017">
        <v>83</v>
      </c>
      <c r="AV84" s="906"/>
      <c r="AY84" s="907"/>
      <c r="AZ84" s="907"/>
      <c r="BA84" s="907"/>
      <c r="BB84" s="907"/>
      <c r="BD84" s="906"/>
      <c r="BG84" s="907"/>
      <c r="BH84" s="907"/>
      <c r="BI84" s="907"/>
      <c r="BJ84" s="907"/>
    </row>
    <row r="85" spans="1:62">
      <c r="A85" s="905">
        <v>84</v>
      </c>
      <c r="B85" s="905" t="s">
        <v>1645</v>
      </c>
      <c r="C85" s="905">
        <v>29189</v>
      </c>
      <c r="D85" s="905" t="s">
        <v>1115</v>
      </c>
      <c r="E85" s="905" t="s">
        <v>1117</v>
      </c>
      <c r="F85" s="1014"/>
      <c r="G85" s="1013"/>
      <c r="H85" s="1013"/>
      <c r="I85" s="1013"/>
      <c r="J85" s="1012"/>
      <c r="K85" s="1011"/>
      <c r="L85" s="1010"/>
      <c r="N85" s="1031" t="s">
        <v>1644</v>
      </c>
      <c r="O85" s="1030"/>
      <c r="P85" s="1029">
        <v>68</v>
      </c>
      <c r="Q85" s="1028">
        <v>47</v>
      </c>
      <c r="R85" s="1028">
        <v>75</v>
      </c>
      <c r="S85" s="1027">
        <v>37</v>
      </c>
      <c r="T85" s="1026" t="s">
        <v>805</v>
      </c>
      <c r="U85" s="1025">
        <v>0.25414852895132867</v>
      </c>
      <c r="V85" s="1017">
        <v>59.078000000000003</v>
      </c>
      <c r="W85" s="1017"/>
      <c r="X85" s="1017">
        <v>84</v>
      </c>
      <c r="AV85" s="906"/>
      <c r="AY85" s="907"/>
      <c r="AZ85" s="907"/>
      <c r="BA85" s="907"/>
      <c r="BB85" s="907"/>
      <c r="BD85" s="906"/>
      <c r="BG85" s="907"/>
      <c r="BH85" s="907"/>
      <c r="BI85" s="907"/>
      <c r="BJ85" s="907"/>
    </row>
    <row r="86" spans="1:62">
      <c r="A86" s="905">
        <v>85</v>
      </c>
      <c r="B86" s="905" t="s">
        <v>1643</v>
      </c>
      <c r="C86" s="905">
        <v>64502</v>
      </c>
      <c r="D86" s="905" t="s">
        <v>1115</v>
      </c>
      <c r="E86" s="905" t="s">
        <v>1118</v>
      </c>
      <c r="F86" s="1014"/>
      <c r="G86" s="1013"/>
      <c r="H86" s="1013"/>
      <c r="I86" s="1013"/>
      <c r="J86" s="1012"/>
      <c r="K86" s="1011"/>
      <c r="L86" s="1010"/>
      <c r="N86" s="1048" t="s">
        <v>1642</v>
      </c>
      <c r="O86" s="1047">
        <v>1.0352179986765679E-2</v>
      </c>
      <c r="P86" s="1046">
        <v>74</v>
      </c>
      <c r="Q86" s="1045">
        <v>39</v>
      </c>
      <c r="R86" s="1045">
        <v>70</v>
      </c>
      <c r="S86" s="1044">
        <v>37</v>
      </c>
      <c r="T86" s="1043">
        <v>45.378171948085345</v>
      </c>
      <c r="U86" s="1042">
        <v>0.27424555355789659</v>
      </c>
      <c r="V86" s="1041">
        <v>48.844000000000001</v>
      </c>
      <c r="W86" s="1041"/>
      <c r="X86" s="1041">
        <v>85</v>
      </c>
      <c r="AV86" s="906"/>
      <c r="AY86" s="907"/>
      <c r="AZ86" s="907"/>
      <c r="BA86" s="907"/>
      <c r="BB86" s="907"/>
      <c r="BD86" s="906"/>
      <c r="BG86" s="907"/>
      <c r="BH86" s="907"/>
      <c r="BI86" s="907"/>
      <c r="BJ86" s="907"/>
    </row>
    <row r="87" spans="1:62">
      <c r="A87" s="905">
        <v>86</v>
      </c>
      <c r="B87" s="905" t="s">
        <v>1641</v>
      </c>
      <c r="C87" s="905">
        <v>29188</v>
      </c>
      <c r="D87" s="905" t="s">
        <v>1115</v>
      </c>
      <c r="E87" s="905" t="s">
        <v>1118</v>
      </c>
      <c r="F87" s="1014"/>
      <c r="G87" s="1013"/>
      <c r="H87" s="1013"/>
      <c r="I87" s="1013"/>
      <c r="J87" s="1012"/>
      <c r="K87" s="1011"/>
      <c r="L87" s="1010"/>
      <c r="N87" s="1048" t="s">
        <v>1640</v>
      </c>
      <c r="O87" s="1047"/>
      <c r="P87" s="1046">
        <v>75</v>
      </c>
      <c r="Q87" s="1045">
        <v>42</v>
      </c>
      <c r="R87" s="1045">
        <v>80</v>
      </c>
      <c r="S87" s="1044">
        <v>37</v>
      </c>
      <c r="T87" s="1043" t="s">
        <v>805</v>
      </c>
      <c r="U87" s="1042">
        <v>0.27379140817043196</v>
      </c>
      <c r="V87" s="1041">
        <v>24.815999999999999</v>
      </c>
      <c r="W87" s="1041"/>
      <c r="X87" s="1041">
        <v>86</v>
      </c>
      <c r="AV87" s="906"/>
      <c r="AY87" s="907"/>
      <c r="AZ87" s="907"/>
      <c r="BA87" s="907"/>
      <c r="BB87" s="907"/>
      <c r="BD87" s="906"/>
      <c r="BG87" s="907"/>
      <c r="BH87" s="907"/>
      <c r="BI87" s="907"/>
      <c r="BJ87" s="907"/>
    </row>
    <row r="88" spans="1:62">
      <c r="A88" s="905">
        <v>87</v>
      </c>
      <c r="B88" s="905" t="s">
        <v>1639</v>
      </c>
      <c r="C88" s="905">
        <v>69116</v>
      </c>
      <c r="D88" s="905" t="s">
        <v>1116</v>
      </c>
      <c r="E88" s="905" t="s">
        <v>1117</v>
      </c>
      <c r="F88" s="1014">
        <f t="shared" ref="F88:L91" si="53">O49</f>
        <v>0</v>
      </c>
      <c r="G88" s="1013">
        <f t="shared" si="53"/>
        <v>65</v>
      </c>
      <c r="H88" s="1013">
        <f t="shared" si="53"/>
        <v>45</v>
      </c>
      <c r="I88" s="1013">
        <f t="shared" si="53"/>
        <v>75</v>
      </c>
      <c r="J88" s="1012">
        <f t="shared" si="53"/>
        <v>41</v>
      </c>
      <c r="K88" s="1011">
        <f t="shared" si="53"/>
        <v>31.617746183189187</v>
      </c>
      <c r="L88" s="1010">
        <f t="shared" si="53"/>
        <v>0.12362072151822474</v>
      </c>
      <c r="N88" s="1048" t="s">
        <v>1638</v>
      </c>
      <c r="O88" s="1047"/>
      <c r="P88" s="1046">
        <v>75</v>
      </c>
      <c r="Q88" s="1045">
        <v>42</v>
      </c>
      <c r="R88" s="1045">
        <v>80</v>
      </c>
      <c r="S88" s="1044">
        <v>42</v>
      </c>
      <c r="T88" s="1043" t="s">
        <v>805</v>
      </c>
      <c r="U88" s="1042">
        <v>0.19338545966684473</v>
      </c>
      <c r="V88" s="1041">
        <v>16.609000000000002</v>
      </c>
      <c r="W88" s="1041"/>
      <c r="X88" s="1041">
        <v>87</v>
      </c>
      <c r="AV88" s="906"/>
      <c r="AY88" s="907"/>
      <c r="AZ88" s="907"/>
      <c r="BA88" s="907"/>
      <c r="BB88" s="907"/>
      <c r="BD88" s="906"/>
      <c r="BG88" s="907"/>
      <c r="BH88" s="907"/>
      <c r="BI88" s="907"/>
      <c r="BJ88" s="907"/>
    </row>
    <row r="89" spans="1:62">
      <c r="A89" s="905">
        <v>88</v>
      </c>
      <c r="B89" s="905" t="s">
        <v>1637</v>
      </c>
      <c r="C89" s="905">
        <v>29189</v>
      </c>
      <c r="D89" s="905" t="s">
        <v>1115</v>
      </c>
      <c r="E89" s="905" t="s">
        <v>1117</v>
      </c>
      <c r="F89" s="1014">
        <f t="shared" si="53"/>
        <v>2.4049357844371694E-2</v>
      </c>
      <c r="G89" s="1013">
        <f t="shared" si="53"/>
        <v>70</v>
      </c>
      <c r="H89" s="1013">
        <f t="shared" si="53"/>
        <v>40</v>
      </c>
      <c r="I89" s="1013">
        <f t="shared" si="53"/>
        <v>73</v>
      </c>
      <c r="J89" s="1012">
        <f t="shared" si="53"/>
        <v>33</v>
      </c>
      <c r="K89" s="1011">
        <f t="shared" si="53"/>
        <v>35.076642969526986</v>
      </c>
      <c r="L89" s="1010">
        <f t="shared" si="53"/>
        <v>0.25854728422139078</v>
      </c>
      <c r="N89" s="1048" t="s">
        <v>1636</v>
      </c>
      <c r="O89" s="1047"/>
      <c r="P89" s="1046">
        <v>68</v>
      </c>
      <c r="Q89" s="1045">
        <v>45</v>
      </c>
      <c r="R89" s="1045">
        <v>76</v>
      </c>
      <c r="S89" s="1044">
        <v>41</v>
      </c>
      <c r="T89" s="1043">
        <v>33.24808408180693</v>
      </c>
      <c r="U89" s="1042">
        <v>0.19381967805610387</v>
      </c>
      <c r="V89" s="1041">
        <v>231.98</v>
      </c>
      <c r="W89" s="1041"/>
      <c r="X89" s="1041">
        <v>88</v>
      </c>
      <c r="AV89" s="906"/>
      <c r="AY89" s="907"/>
      <c r="AZ89" s="907"/>
      <c r="BA89" s="907"/>
      <c r="BB89" s="907"/>
      <c r="BD89" s="906"/>
      <c r="BG89" s="907"/>
      <c r="BH89" s="907"/>
      <c r="BI89" s="907"/>
      <c r="BJ89" s="907"/>
    </row>
    <row r="90" spans="1:62">
      <c r="A90" s="905">
        <v>89</v>
      </c>
      <c r="B90" s="905" t="s">
        <v>1635</v>
      </c>
      <c r="C90" s="905">
        <v>11259</v>
      </c>
      <c r="D90" s="905" t="s">
        <v>1116</v>
      </c>
      <c r="E90" s="905" t="s">
        <v>1118</v>
      </c>
      <c r="F90" s="1014">
        <f t="shared" si="53"/>
        <v>0</v>
      </c>
      <c r="G90" s="1013">
        <f t="shared" si="53"/>
        <v>75.900000000000006</v>
      </c>
      <c r="H90" s="1013">
        <f t="shared" si="53"/>
        <v>49.2</v>
      </c>
      <c r="I90" s="1013">
        <f t="shared" si="53"/>
        <v>82.5</v>
      </c>
      <c r="J90" s="1012">
        <f t="shared" si="53"/>
        <v>47.9</v>
      </c>
      <c r="K90" s="1011" t="str">
        <f t="shared" si="53"/>
        <v/>
      </c>
      <c r="L90" s="1010">
        <f t="shared" si="53"/>
        <v>7.2431643736827686E-2</v>
      </c>
      <c r="N90" s="1048" t="s">
        <v>1634</v>
      </c>
      <c r="O90" s="1047"/>
      <c r="P90" s="1046">
        <v>72.900000000000006</v>
      </c>
      <c r="Q90" s="1045">
        <v>40.200000000000003</v>
      </c>
      <c r="R90" s="1045">
        <v>80.099999999999994</v>
      </c>
      <c r="S90" s="1044">
        <v>49.7</v>
      </c>
      <c r="T90" s="1043">
        <v>40.717182043157479</v>
      </c>
      <c r="U90" s="1042">
        <v>0.21341618305097992</v>
      </c>
      <c r="V90" s="1041">
        <v>40.255000000000003</v>
      </c>
      <c r="W90" s="1041"/>
      <c r="X90" s="1041">
        <v>89</v>
      </c>
    </row>
    <row r="91" spans="1:62">
      <c r="A91" s="905">
        <v>90</v>
      </c>
      <c r="B91" s="905" t="s">
        <v>1633</v>
      </c>
      <c r="C91" s="905">
        <v>29189</v>
      </c>
      <c r="D91" s="905" t="s">
        <v>1115</v>
      </c>
      <c r="E91" s="905" t="s">
        <v>1117</v>
      </c>
      <c r="F91" s="1014">
        <f t="shared" si="53"/>
        <v>2.7058694647798771E-2</v>
      </c>
      <c r="G91" s="1013">
        <f t="shared" si="53"/>
        <v>75</v>
      </c>
      <c r="H91" s="1013">
        <f t="shared" si="53"/>
        <v>70</v>
      </c>
      <c r="I91" s="1013">
        <f t="shared" si="53"/>
        <v>85</v>
      </c>
      <c r="J91" s="1012">
        <f t="shared" si="53"/>
        <v>75</v>
      </c>
      <c r="K91" s="1011">
        <f t="shared" si="53"/>
        <v>0</v>
      </c>
      <c r="L91" s="1010">
        <f t="shared" si="53"/>
        <v>0.17929211337935086</v>
      </c>
      <c r="N91" s="1037" t="s">
        <v>1632</v>
      </c>
      <c r="O91" s="1036"/>
      <c r="P91" s="1035">
        <v>82</v>
      </c>
      <c r="Q91" s="1013">
        <v>48</v>
      </c>
      <c r="R91" s="1013">
        <v>71</v>
      </c>
      <c r="S91" s="1012">
        <v>50</v>
      </c>
      <c r="T91" s="1011" t="s">
        <v>805</v>
      </c>
      <c r="U91" s="1034">
        <v>0.15440123823992286</v>
      </c>
      <c r="V91" s="905">
        <v>3842.29</v>
      </c>
      <c r="X91" s="905">
        <v>90</v>
      </c>
    </row>
    <row r="92" spans="1:62">
      <c r="A92" s="905">
        <v>91</v>
      </c>
      <c r="B92" s="905" t="s">
        <v>1631</v>
      </c>
      <c r="C92" s="905">
        <v>29189</v>
      </c>
      <c r="D92" s="905" t="s">
        <v>1115</v>
      </c>
      <c r="E92" s="905" t="s">
        <v>1117</v>
      </c>
      <c r="F92" s="1014"/>
      <c r="G92" s="1013"/>
      <c r="H92" s="1013"/>
      <c r="I92" s="1013"/>
      <c r="J92" s="1012"/>
      <c r="K92" s="1011"/>
      <c r="L92" s="1010"/>
      <c r="N92" s="1048" t="s">
        <v>1630</v>
      </c>
      <c r="O92" s="1047"/>
      <c r="P92" s="1046">
        <v>67</v>
      </c>
      <c r="Q92" s="1045">
        <v>47</v>
      </c>
      <c r="R92" s="1045">
        <v>71</v>
      </c>
      <c r="S92" s="1044">
        <v>42</v>
      </c>
      <c r="T92" s="1043">
        <v>32.374826091609592</v>
      </c>
      <c r="U92" s="1042">
        <v>0.27105062099109822</v>
      </c>
      <c r="V92" s="1041">
        <v>41.026000000000003</v>
      </c>
      <c r="W92" s="1041"/>
      <c r="X92" s="1041">
        <v>91</v>
      </c>
    </row>
    <row r="93" spans="1:62" ht="15.6">
      <c r="A93" s="905">
        <v>92</v>
      </c>
      <c r="B93" s="905" t="s">
        <v>1629</v>
      </c>
      <c r="C93" s="905">
        <v>29189</v>
      </c>
      <c r="D93" s="905" t="s">
        <v>1115</v>
      </c>
      <c r="E93" s="905" t="s">
        <v>1118</v>
      </c>
      <c r="F93" s="1014">
        <f t="shared" ref="F93:K94" si="54">O53</f>
        <v>0</v>
      </c>
      <c r="G93" s="1013">
        <f t="shared" si="54"/>
        <v>69</v>
      </c>
      <c r="H93" s="1013">
        <f t="shared" si="54"/>
        <v>44</v>
      </c>
      <c r="I93" s="1013">
        <f t="shared" si="54"/>
        <v>75</v>
      </c>
      <c r="J93" s="1012">
        <f t="shared" si="54"/>
        <v>41</v>
      </c>
      <c r="K93" s="1011" t="str">
        <f t="shared" si="54"/>
        <v/>
      </c>
      <c r="L93" s="1015">
        <v>0.22800028617798151</v>
      </c>
      <c r="N93" s="1048" t="s">
        <v>1628</v>
      </c>
      <c r="O93" s="1047"/>
      <c r="P93" s="1046">
        <v>71</v>
      </c>
      <c r="Q93" s="1045">
        <v>41</v>
      </c>
      <c r="R93" s="1045">
        <v>73</v>
      </c>
      <c r="S93" s="1044">
        <v>38</v>
      </c>
      <c r="T93" s="1043" t="s">
        <v>805</v>
      </c>
      <c r="U93" s="1042"/>
      <c r="V93" s="1041" t="s">
        <v>805</v>
      </c>
      <c r="W93" s="1041"/>
      <c r="X93" s="1041">
        <v>92</v>
      </c>
    </row>
    <row r="94" spans="1:62" ht="15.6">
      <c r="A94" s="905">
        <v>93</v>
      </c>
      <c r="B94" s="905" t="s">
        <v>1627</v>
      </c>
      <c r="C94" s="905">
        <v>29189</v>
      </c>
      <c r="D94" s="905" t="s">
        <v>1115</v>
      </c>
      <c r="E94" s="905" t="s">
        <v>1117</v>
      </c>
      <c r="F94" s="1014">
        <f t="shared" si="54"/>
        <v>0</v>
      </c>
      <c r="G94" s="1013">
        <f t="shared" si="54"/>
        <v>70</v>
      </c>
      <c r="H94" s="1013">
        <f t="shared" si="54"/>
        <v>0</v>
      </c>
      <c r="I94" s="1013">
        <f t="shared" si="54"/>
        <v>80</v>
      </c>
      <c r="J94" s="1012">
        <f t="shared" si="54"/>
        <v>0</v>
      </c>
      <c r="K94" s="1011" t="str">
        <f t="shared" si="54"/>
        <v/>
      </c>
      <c r="L94" s="1015">
        <v>0.22800028617798151</v>
      </c>
      <c r="N94" s="1037" t="s">
        <v>1626</v>
      </c>
      <c r="O94" s="1036"/>
      <c r="P94" s="1050">
        <v>78</v>
      </c>
      <c r="Q94" s="905">
        <v>55</v>
      </c>
      <c r="R94" s="905">
        <v>85</v>
      </c>
      <c r="S94" s="1049">
        <v>50</v>
      </c>
      <c r="T94" s="1011" t="s">
        <v>805</v>
      </c>
      <c r="U94" s="1034">
        <v>0.19652124828266659</v>
      </c>
      <c r="V94" s="905">
        <v>68.893000000000001</v>
      </c>
      <c r="X94" s="905">
        <v>93</v>
      </c>
    </row>
    <row r="95" spans="1:62">
      <c r="A95" s="905">
        <v>94</v>
      </c>
      <c r="B95" s="905" t="s">
        <v>1625</v>
      </c>
      <c r="C95" s="905">
        <v>29189</v>
      </c>
      <c r="D95" s="905" t="s">
        <v>1115</v>
      </c>
      <c r="E95" s="905" t="s">
        <v>1117</v>
      </c>
      <c r="F95" s="1014"/>
      <c r="G95" s="1013"/>
      <c r="H95" s="1013"/>
      <c r="I95" s="1013"/>
      <c r="J95" s="1012"/>
      <c r="K95" s="1011"/>
      <c r="L95" s="1010"/>
      <c r="N95" s="1048" t="s">
        <v>1624</v>
      </c>
      <c r="O95" s="1047"/>
      <c r="P95" s="1046">
        <v>75</v>
      </c>
      <c r="Q95" s="1045">
        <v>0</v>
      </c>
      <c r="R95" s="1045">
        <v>90</v>
      </c>
      <c r="S95" s="1044">
        <v>0</v>
      </c>
      <c r="T95" s="1043" t="s">
        <v>805</v>
      </c>
      <c r="U95" s="1042"/>
      <c r="V95" s="1041" t="s">
        <v>805</v>
      </c>
      <c r="W95" s="1041"/>
      <c r="X95" s="1041">
        <v>94</v>
      </c>
    </row>
    <row r="96" spans="1:62">
      <c r="A96" s="905">
        <v>95</v>
      </c>
      <c r="B96" s="905" t="s">
        <v>1623</v>
      </c>
      <c r="C96" s="905">
        <v>29189</v>
      </c>
      <c r="D96" s="905" t="s">
        <v>1115</v>
      </c>
      <c r="E96" s="905" t="s">
        <v>1117</v>
      </c>
      <c r="F96" s="1014">
        <f t="shared" ref="F96:L97" si="55">O55</f>
        <v>0</v>
      </c>
      <c r="G96" s="1013">
        <f t="shared" si="55"/>
        <v>75</v>
      </c>
      <c r="H96" s="1013">
        <f t="shared" si="55"/>
        <v>37</v>
      </c>
      <c r="I96" s="1013">
        <f t="shared" si="55"/>
        <v>78</v>
      </c>
      <c r="J96" s="1012">
        <f t="shared" si="55"/>
        <v>37</v>
      </c>
      <c r="K96" s="1011" t="str">
        <f t="shared" si="55"/>
        <v/>
      </c>
      <c r="L96" s="1010">
        <f t="shared" si="55"/>
        <v>0.17356165075516491</v>
      </c>
      <c r="N96" s="1048" t="s">
        <v>1622</v>
      </c>
      <c r="O96" s="1047"/>
      <c r="P96" s="1046">
        <v>66</v>
      </c>
      <c r="Q96" s="1045">
        <v>38</v>
      </c>
      <c r="R96" s="1045">
        <v>80</v>
      </c>
      <c r="S96" s="1044">
        <v>36</v>
      </c>
      <c r="T96" s="1043" t="s">
        <v>805</v>
      </c>
      <c r="U96" s="1042"/>
      <c r="V96" s="1041" t="s">
        <v>805</v>
      </c>
      <c r="W96" s="1041"/>
      <c r="X96" s="1041">
        <v>95</v>
      </c>
    </row>
    <row r="97" spans="1:24">
      <c r="A97" s="905">
        <v>96</v>
      </c>
      <c r="B97" s="905" t="s">
        <v>1621</v>
      </c>
      <c r="C97" s="905">
        <v>29189</v>
      </c>
      <c r="D97" s="905" t="s">
        <v>1116</v>
      </c>
      <c r="E97" s="905" t="s">
        <v>1117</v>
      </c>
      <c r="F97" s="1014">
        <f t="shared" si="55"/>
        <v>0</v>
      </c>
      <c r="G97" s="1013">
        <f t="shared" si="55"/>
        <v>72</v>
      </c>
      <c r="H97" s="1013">
        <f t="shared" si="55"/>
        <v>36</v>
      </c>
      <c r="I97" s="1013">
        <f t="shared" si="55"/>
        <v>74</v>
      </c>
      <c r="J97" s="1012">
        <f t="shared" si="55"/>
        <v>37</v>
      </c>
      <c r="K97" s="1011">
        <f t="shared" si="55"/>
        <v>0</v>
      </c>
      <c r="L97" s="1010">
        <f t="shared" si="55"/>
        <v>0.30976614978254435</v>
      </c>
      <c r="N97" s="1048" t="s">
        <v>1620</v>
      </c>
      <c r="O97" s="1047"/>
      <c r="P97" s="1046">
        <v>67</v>
      </c>
      <c r="Q97" s="1045">
        <v>48</v>
      </c>
      <c r="R97" s="1045">
        <v>69</v>
      </c>
      <c r="S97" s="1044">
        <v>42</v>
      </c>
      <c r="T97" s="1043">
        <v>24.980858148348673</v>
      </c>
      <c r="U97" s="1042">
        <v>0.1265196059700936</v>
      </c>
      <c r="V97" s="1041">
        <v>187.45151300000001</v>
      </c>
      <c r="W97" s="1041"/>
      <c r="X97" s="1041">
        <v>96</v>
      </c>
    </row>
    <row r="98" spans="1:24">
      <c r="A98" s="905">
        <v>97</v>
      </c>
      <c r="B98" s="905" t="s">
        <v>1618</v>
      </c>
      <c r="C98" s="905">
        <v>35209</v>
      </c>
      <c r="D98" s="905" t="s">
        <v>1116</v>
      </c>
      <c r="E98" s="905" t="s">
        <v>1117</v>
      </c>
      <c r="F98" s="1014"/>
      <c r="G98" s="1013"/>
      <c r="H98" s="1013"/>
      <c r="I98" s="1013"/>
      <c r="J98" s="1012"/>
      <c r="K98" s="1011"/>
      <c r="L98" s="1010"/>
      <c r="N98" s="1048" t="s">
        <v>1619</v>
      </c>
      <c r="O98" s="1047">
        <v>3.4891220672580145E-2</v>
      </c>
      <c r="P98" s="1046">
        <v>69</v>
      </c>
      <c r="Q98" s="1045">
        <v>39</v>
      </c>
      <c r="R98" s="1045">
        <v>70</v>
      </c>
      <c r="S98" s="1044">
        <v>35</v>
      </c>
      <c r="T98" s="1043">
        <v>30.593606605570255</v>
      </c>
      <c r="U98" s="1042">
        <v>0.27331848232250644</v>
      </c>
      <c r="V98" s="1041">
        <v>10.112500000000001</v>
      </c>
      <c r="W98" s="1041"/>
      <c r="X98" s="1041">
        <v>97</v>
      </c>
    </row>
    <row r="99" spans="1:24">
      <c r="A99" s="905">
        <v>98</v>
      </c>
      <c r="B99" s="905" t="s">
        <v>1618</v>
      </c>
      <c r="C99" s="905">
        <v>35209</v>
      </c>
      <c r="D99" s="905" t="s">
        <v>1115</v>
      </c>
      <c r="E99" s="905" t="s">
        <v>1117</v>
      </c>
      <c r="F99" s="1014"/>
      <c r="G99" s="1013"/>
      <c r="H99" s="1013"/>
      <c r="I99" s="1013"/>
      <c r="J99" s="1012"/>
      <c r="K99" s="1011"/>
      <c r="L99" s="1010"/>
      <c r="N99" s="1048" t="s">
        <v>1617</v>
      </c>
      <c r="O99" s="1047"/>
      <c r="P99" s="1046">
        <v>70</v>
      </c>
      <c r="Q99" s="1045">
        <v>42</v>
      </c>
      <c r="R99" s="1045">
        <v>70</v>
      </c>
      <c r="S99" s="1044">
        <v>38</v>
      </c>
      <c r="T99" s="1043" t="s">
        <v>805</v>
      </c>
      <c r="U99" s="1042">
        <v>0.23610619469026548</v>
      </c>
      <c r="V99" s="1041">
        <v>34.527999999999999</v>
      </c>
      <c r="W99" s="1041"/>
      <c r="X99" s="1041">
        <v>98</v>
      </c>
    </row>
    <row r="100" spans="1:24">
      <c r="A100" s="905">
        <v>99</v>
      </c>
      <c r="B100" s="905" t="s">
        <v>1615</v>
      </c>
      <c r="C100" s="905">
        <v>35209</v>
      </c>
      <c r="D100" s="905" t="s">
        <v>1116</v>
      </c>
      <c r="E100" s="905" t="s">
        <v>1117</v>
      </c>
      <c r="F100" s="1014"/>
      <c r="G100" s="1013"/>
      <c r="H100" s="1013"/>
      <c r="I100" s="1013"/>
      <c r="J100" s="1012"/>
      <c r="K100" s="1011"/>
      <c r="L100" s="1010"/>
      <c r="N100" s="1037" t="s">
        <v>1616</v>
      </c>
      <c r="O100" s="1036"/>
      <c r="P100" s="1035">
        <v>70</v>
      </c>
      <c r="Q100" s="1013">
        <v>0</v>
      </c>
      <c r="R100" s="1013">
        <v>75</v>
      </c>
      <c r="S100" s="1012">
        <v>0</v>
      </c>
      <c r="T100" s="1011" t="s">
        <v>805</v>
      </c>
      <c r="U100" s="1034"/>
      <c r="V100" s="905" t="s">
        <v>805</v>
      </c>
      <c r="X100" s="905">
        <v>99</v>
      </c>
    </row>
    <row r="101" spans="1:24">
      <c r="A101" s="905">
        <v>100</v>
      </c>
      <c r="B101" s="905" t="s">
        <v>1615</v>
      </c>
      <c r="C101" s="905">
        <v>35209</v>
      </c>
      <c r="D101" s="905" t="s">
        <v>1115</v>
      </c>
      <c r="E101" s="905" t="s">
        <v>1117</v>
      </c>
      <c r="F101" s="1014"/>
      <c r="G101" s="1013"/>
      <c r="H101" s="1013"/>
      <c r="I101" s="1013"/>
      <c r="J101" s="1012"/>
      <c r="K101" s="1011"/>
      <c r="L101" s="1010"/>
      <c r="N101" s="1048" t="s">
        <v>1614</v>
      </c>
      <c r="O101" s="1047"/>
      <c r="P101" s="1046">
        <v>72</v>
      </c>
      <c r="Q101" s="1045">
        <v>45</v>
      </c>
      <c r="R101" s="1045">
        <v>80</v>
      </c>
      <c r="S101" s="1044">
        <v>42</v>
      </c>
      <c r="T101" s="1043"/>
      <c r="U101" s="1042">
        <v>0.28730906781643772</v>
      </c>
      <c r="V101" s="1041">
        <v>21.323</v>
      </c>
      <c r="W101" s="1041"/>
      <c r="X101" s="1041">
        <v>100</v>
      </c>
    </row>
    <row r="102" spans="1:24">
      <c r="A102" s="905">
        <v>101</v>
      </c>
      <c r="B102" s="905" t="s">
        <v>1612</v>
      </c>
      <c r="C102" s="905">
        <v>35209</v>
      </c>
      <c r="D102" s="905" t="s">
        <v>1116</v>
      </c>
      <c r="E102" s="905" t="s">
        <v>1117</v>
      </c>
      <c r="F102" s="1014"/>
      <c r="G102" s="1013"/>
      <c r="H102" s="1013"/>
      <c r="I102" s="1013"/>
      <c r="J102" s="1012"/>
      <c r="K102" s="1011"/>
      <c r="L102" s="1010"/>
      <c r="N102" s="1048" t="s">
        <v>1613</v>
      </c>
      <c r="O102" s="1047"/>
      <c r="P102" s="1046">
        <v>74.3</v>
      </c>
      <c r="Q102" s="1045">
        <v>37.5</v>
      </c>
      <c r="R102" s="1045">
        <v>75.5</v>
      </c>
      <c r="S102" s="1044">
        <v>34.5</v>
      </c>
      <c r="T102" s="1043" t="s">
        <v>805</v>
      </c>
      <c r="U102" s="1042">
        <v>0.26546329054096318</v>
      </c>
      <c r="V102" s="1041">
        <v>10.568</v>
      </c>
      <c r="W102" s="1041"/>
      <c r="X102" s="1041">
        <v>101</v>
      </c>
    </row>
    <row r="103" spans="1:24">
      <c r="A103" s="905">
        <v>102</v>
      </c>
      <c r="B103" s="905" t="s">
        <v>1612</v>
      </c>
      <c r="C103" s="905">
        <v>35209</v>
      </c>
      <c r="D103" s="905" t="s">
        <v>1115</v>
      </c>
      <c r="E103" s="905" t="s">
        <v>1117</v>
      </c>
      <c r="F103" s="1014"/>
      <c r="G103" s="1013"/>
      <c r="H103" s="1013"/>
      <c r="I103" s="1013"/>
      <c r="J103" s="1012"/>
      <c r="K103" s="1011"/>
      <c r="L103" s="1010"/>
      <c r="N103" s="1048" t="s">
        <v>1611</v>
      </c>
      <c r="O103" s="1047">
        <v>4.198931344086293E-2</v>
      </c>
      <c r="P103" s="1046">
        <v>70</v>
      </c>
      <c r="Q103" s="1045">
        <v>40</v>
      </c>
      <c r="R103" s="1045">
        <v>80</v>
      </c>
      <c r="S103" s="1044">
        <v>39</v>
      </c>
      <c r="T103" s="1043">
        <v>31.889129498295652</v>
      </c>
      <c r="U103" s="1042">
        <v>0.31770808967621539</v>
      </c>
      <c r="V103" s="1041">
        <v>26.251999999999999</v>
      </c>
      <c r="W103" s="1041"/>
      <c r="X103" s="1041">
        <v>102</v>
      </c>
    </row>
    <row r="104" spans="1:24">
      <c r="A104" s="905">
        <v>103</v>
      </c>
      <c r="B104" s="905" t="s">
        <v>1610</v>
      </c>
      <c r="C104" s="905">
        <v>35209</v>
      </c>
      <c r="D104" s="905" t="s">
        <v>1116</v>
      </c>
      <c r="E104" s="905" t="s">
        <v>1117</v>
      </c>
      <c r="F104" s="1014"/>
      <c r="G104" s="1013"/>
      <c r="H104" s="1013"/>
      <c r="I104" s="1013"/>
      <c r="J104" s="1012"/>
      <c r="K104" s="1011"/>
      <c r="L104" s="1010"/>
      <c r="N104" s="1048" t="s">
        <v>1609</v>
      </c>
      <c r="O104" s="1047"/>
      <c r="P104" s="1046">
        <v>74</v>
      </c>
      <c r="Q104" s="1045">
        <v>48</v>
      </c>
      <c r="R104" s="1045">
        <v>88</v>
      </c>
      <c r="S104" s="1044">
        <v>42</v>
      </c>
      <c r="T104" s="1043">
        <v>31.018432008135505</v>
      </c>
      <c r="U104" s="1042">
        <v>0.3725274241155998</v>
      </c>
      <c r="V104" s="1041">
        <v>14.243</v>
      </c>
      <c r="W104" s="1041"/>
      <c r="X104" s="1041">
        <v>103</v>
      </c>
    </row>
    <row r="105" spans="1:24">
      <c r="A105" s="905">
        <v>104</v>
      </c>
      <c r="B105" s="905" t="s">
        <v>1608</v>
      </c>
      <c r="C105" s="905">
        <v>29189</v>
      </c>
      <c r="D105" s="905" t="s">
        <v>1115</v>
      </c>
      <c r="E105" s="905" t="s">
        <v>1117</v>
      </c>
      <c r="F105" s="1014"/>
      <c r="G105" s="1013"/>
      <c r="H105" s="1013"/>
      <c r="I105" s="1013"/>
      <c r="J105" s="1012"/>
      <c r="K105" s="1011"/>
      <c r="L105" s="1010"/>
      <c r="N105" s="1048" t="s">
        <v>1607</v>
      </c>
      <c r="O105" s="1047"/>
      <c r="P105" s="1046">
        <v>80</v>
      </c>
      <c r="Q105" s="1045">
        <v>45</v>
      </c>
      <c r="R105" s="1045">
        <v>85</v>
      </c>
      <c r="S105" s="1044">
        <v>45</v>
      </c>
      <c r="T105" s="1043" t="s">
        <v>805</v>
      </c>
      <c r="U105" s="1042">
        <v>0.10795193210896252</v>
      </c>
      <c r="V105" s="1041">
        <v>137.70099999999999</v>
      </c>
      <c r="W105" s="1041"/>
      <c r="X105" s="1041">
        <v>104</v>
      </c>
    </row>
    <row r="106" spans="1:24">
      <c r="A106" s="905">
        <v>105</v>
      </c>
      <c r="B106" s="905" t="s">
        <v>1606</v>
      </c>
      <c r="C106" s="905">
        <v>29189</v>
      </c>
      <c r="D106" s="905" t="s">
        <v>1116</v>
      </c>
      <c r="E106" s="905" t="s">
        <v>1117</v>
      </c>
      <c r="F106" s="1014">
        <f t="shared" ref="F106:L106" si="56">O57</f>
        <v>0</v>
      </c>
      <c r="G106" s="1013">
        <f t="shared" si="56"/>
        <v>67.900000000000006</v>
      </c>
      <c r="H106" s="1013">
        <f t="shared" si="56"/>
        <v>44</v>
      </c>
      <c r="I106" s="1013">
        <f t="shared" si="56"/>
        <v>68.52</v>
      </c>
      <c r="J106" s="1012">
        <f t="shared" si="56"/>
        <v>38</v>
      </c>
      <c r="K106" s="1011">
        <f t="shared" si="56"/>
        <v>0</v>
      </c>
      <c r="L106" s="1010">
        <f t="shared" si="56"/>
        <v>0.25009485094850947</v>
      </c>
      <c r="N106" s="1048" t="s">
        <v>1470</v>
      </c>
      <c r="O106" s="1047"/>
      <c r="P106" s="1046">
        <v>74</v>
      </c>
      <c r="Q106" s="1045">
        <v>52</v>
      </c>
      <c r="R106" s="1045">
        <v>82</v>
      </c>
      <c r="S106" s="1044">
        <v>48</v>
      </c>
      <c r="T106" s="1043" t="s">
        <v>805</v>
      </c>
      <c r="U106" s="1042">
        <v>0.1757134564395425</v>
      </c>
      <c r="V106" s="1041">
        <v>262.69600000000003</v>
      </c>
      <c r="W106" s="1041"/>
      <c r="X106" s="1041">
        <v>105</v>
      </c>
    </row>
    <row r="107" spans="1:24">
      <c r="A107" s="905">
        <v>106</v>
      </c>
      <c r="B107" s="905" t="s">
        <v>1605</v>
      </c>
      <c r="C107" s="905">
        <v>29188</v>
      </c>
      <c r="D107" s="905" t="s">
        <v>1115</v>
      </c>
      <c r="E107" s="905" t="s">
        <v>1118</v>
      </c>
      <c r="F107" s="1014"/>
      <c r="G107" s="1013"/>
      <c r="H107" s="1013"/>
      <c r="I107" s="1013"/>
      <c r="J107" s="1012"/>
      <c r="K107" s="1011"/>
      <c r="L107" s="1010"/>
      <c r="N107" s="1048" t="s">
        <v>1604</v>
      </c>
      <c r="O107" s="1047">
        <v>1.6020721412125863E-2</v>
      </c>
      <c r="P107" s="1046">
        <v>75</v>
      </c>
      <c r="Q107" s="1045">
        <v>41</v>
      </c>
      <c r="R107" s="1045">
        <v>76</v>
      </c>
      <c r="S107" s="1044">
        <v>36</v>
      </c>
      <c r="T107" s="1043">
        <v>38.430332926347113</v>
      </c>
      <c r="U107" s="1042">
        <v>0.28141756848981181</v>
      </c>
      <c r="V107" s="1041">
        <v>29.481999999999999</v>
      </c>
      <c r="W107" s="1041"/>
      <c r="X107" s="1041">
        <v>106</v>
      </c>
    </row>
    <row r="108" spans="1:24">
      <c r="A108" s="905">
        <v>107</v>
      </c>
      <c r="B108" s="905" t="s">
        <v>1603</v>
      </c>
      <c r="C108" s="905">
        <v>29189</v>
      </c>
      <c r="D108" s="905" t="s">
        <v>1115</v>
      </c>
      <c r="E108" s="905" t="s">
        <v>1117</v>
      </c>
      <c r="F108" s="1014"/>
      <c r="G108" s="1013"/>
      <c r="H108" s="1013"/>
      <c r="I108" s="1013"/>
      <c r="J108" s="1012"/>
      <c r="K108" s="1011"/>
      <c r="L108" s="1010"/>
      <c r="N108" s="1031" t="s">
        <v>1458</v>
      </c>
      <c r="O108" s="1030">
        <v>3.8071326441955766E-2</v>
      </c>
      <c r="P108" s="1029">
        <v>68.7</v>
      </c>
      <c r="Q108" s="1028">
        <v>49.7</v>
      </c>
      <c r="R108" s="1028">
        <v>70.8</v>
      </c>
      <c r="S108" s="1027">
        <v>46</v>
      </c>
      <c r="T108" s="1026">
        <v>22.152504600492247</v>
      </c>
      <c r="U108" s="1025">
        <v>0.20717171142467</v>
      </c>
      <c r="V108" s="1017">
        <v>111.47799999999999</v>
      </c>
      <c r="W108" s="1017"/>
      <c r="X108" s="1017">
        <v>107</v>
      </c>
    </row>
    <row r="109" spans="1:24">
      <c r="A109" s="905">
        <v>108</v>
      </c>
      <c r="B109" s="905" t="s">
        <v>1602</v>
      </c>
      <c r="C109" s="905">
        <v>29189</v>
      </c>
      <c r="D109" s="905" t="s">
        <v>1115</v>
      </c>
      <c r="E109" s="905" t="s">
        <v>1117</v>
      </c>
      <c r="F109" s="1014">
        <f t="shared" ref="F109:L110" si="57">O58</f>
        <v>0.05</v>
      </c>
      <c r="G109" s="1013">
        <f t="shared" si="57"/>
        <v>68</v>
      </c>
      <c r="H109" s="1013">
        <f t="shared" si="57"/>
        <v>33</v>
      </c>
      <c r="I109" s="1013">
        <f t="shared" si="57"/>
        <v>72</v>
      </c>
      <c r="J109" s="1012">
        <f t="shared" si="57"/>
        <v>35</v>
      </c>
      <c r="K109" s="1011">
        <f t="shared" si="57"/>
        <v>35.964255843641325</v>
      </c>
      <c r="L109" s="1010">
        <f t="shared" si="57"/>
        <v>0.27610526315789474</v>
      </c>
      <c r="N109" s="1048" t="s">
        <v>1451</v>
      </c>
      <c r="O109" s="1047"/>
      <c r="P109" s="1046">
        <v>69</v>
      </c>
      <c r="Q109" s="1045">
        <v>40</v>
      </c>
      <c r="R109" s="1045">
        <v>73</v>
      </c>
      <c r="S109" s="1044">
        <v>36</v>
      </c>
      <c r="T109" s="1043">
        <v>42.092665479648893</v>
      </c>
      <c r="U109" s="1042">
        <v>0.23629304613748173</v>
      </c>
      <c r="V109" s="1041">
        <v>143.596</v>
      </c>
      <c r="W109" s="1041"/>
      <c r="X109" s="1041">
        <v>108</v>
      </c>
    </row>
    <row r="110" spans="1:24">
      <c r="A110" s="905">
        <v>109</v>
      </c>
      <c r="B110" s="905" t="s">
        <v>1601</v>
      </c>
      <c r="C110" s="905">
        <v>29189</v>
      </c>
      <c r="D110" s="905" t="s">
        <v>1115</v>
      </c>
      <c r="E110" s="905" t="s">
        <v>1117</v>
      </c>
      <c r="F110" s="1014">
        <f t="shared" si="57"/>
        <v>1.2185833968012186E-2</v>
      </c>
      <c r="G110" s="1013">
        <f t="shared" si="57"/>
        <v>65</v>
      </c>
      <c r="H110" s="1013">
        <f t="shared" si="57"/>
        <v>40</v>
      </c>
      <c r="I110" s="1013">
        <f t="shared" si="57"/>
        <v>72</v>
      </c>
      <c r="J110" s="1012">
        <f t="shared" si="57"/>
        <v>38</v>
      </c>
      <c r="K110" s="1011">
        <f t="shared" si="57"/>
        <v>28.453720804465171</v>
      </c>
      <c r="L110" s="1010">
        <f t="shared" si="57"/>
        <v>0.40100231303006939</v>
      </c>
      <c r="N110" s="1048" t="s">
        <v>1600</v>
      </c>
      <c r="O110" s="1047"/>
      <c r="P110" s="1046">
        <v>85</v>
      </c>
      <c r="Q110" s="1045">
        <v>50</v>
      </c>
      <c r="R110" s="1045">
        <v>105</v>
      </c>
      <c r="S110" s="1044">
        <v>50</v>
      </c>
      <c r="T110" s="1043" t="s">
        <v>805</v>
      </c>
      <c r="U110" s="1042"/>
      <c r="V110" s="1041" t="s">
        <v>805</v>
      </c>
      <c r="W110" s="1041"/>
      <c r="X110" s="1041">
        <v>109</v>
      </c>
    </row>
    <row r="111" spans="1:24">
      <c r="A111" s="905">
        <v>110</v>
      </c>
      <c r="B111" s="905" t="s">
        <v>1599</v>
      </c>
      <c r="C111" s="905">
        <v>19438</v>
      </c>
      <c r="D111" s="905" t="s">
        <v>1116</v>
      </c>
      <c r="E111" s="905" t="s">
        <v>1118</v>
      </c>
      <c r="F111" s="1014"/>
      <c r="G111" s="1013"/>
      <c r="H111" s="1013"/>
      <c r="I111" s="1013"/>
      <c r="J111" s="1012"/>
      <c r="K111" s="1011"/>
      <c r="L111" s="1010"/>
      <c r="N111" s="1048" t="s">
        <v>1445</v>
      </c>
      <c r="O111" s="1047"/>
      <c r="P111" s="1046">
        <v>70</v>
      </c>
      <c r="Q111" s="1045">
        <v>36</v>
      </c>
      <c r="R111" s="1045">
        <v>73</v>
      </c>
      <c r="S111" s="1044">
        <v>34</v>
      </c>
      <c r="T111" s="1043">
        <v>37.872396067668497</v>
      </c>
      <c r="U111" s="1042">
        <v>0.19338463012036652</v>
      </c>
      <c r="V111" s="1041">
        <v>25.263999999999999</v>
      </c>
      <c r="W111" s="1041"/>
      <c r="X111" s="1041">
        <v>110</v>
      </c>
    </row>
    <row r="112" spans="1:24">
      <c r="A112" s="905">
        <v>111</v>
      </c>
      <c r="B112" s="905" t="s">
        <v>1599</v>
      </c>
      <c r="C112" s="905">
        <v>19438</v>
      </c>
      <c r="D112" s="905" t="s">
        <v>1115</v>
      </c>
      <c r="E112" s="905" t="s">
        <v>1118</v>
      </c>
      <c r="F112" s="1014"/>
      <c r="G112" s="1013"/>
      <c r="H112" s="1013"/>
      <c r="I112" s="1013"/>
      <c r="J112" s="1012"/>
      <c r="K112" s="1011"/>
      <c r="L112" s="1010"/>
      <c r="N112" s="1048" t="s">
        <v>1598</v>
      </c>
      <c r="O112" s="1047"/>
      <c r="P112" s="1046">
        <v>72</v>
      </c>
      <c r="Q112" s="1045">
        <v>0</v>
      </c>
      <c r="R112" s="1045">
        <v>72</v>
      </c>
      <c r="S112" s="1044">
        <v>0</v>
      </c>
      <c r="T112" s="1043" t="s">
        <v>805</v>
      </c>
      <c r="U112" s="1042"/>
      <c r="V112" s="1041" t="s">
        <v>805</v>
      </c>
      <c r="W112" s="1041"/>
      <c r="X112" s="1041">
        <v>111</v>
      </c>
    </row>
    <row r="113" spans="1:24">
      <c r="A113" s="905">
        <v>112</v>
      </c>
      <c r="B113" s="905" t="s">
        <v>1597</v>
      </c>
      <c r="C113" s="905">
        <v>29189</v>
      </c>
      <c r="D113" s="905" t="s">
        <v>1115</v>
      </c>
      <c r="E113" s="905" t="s">
        <v>1117</v>
      </c>
      <c r="F113" s="1014"/>
      <c r="G113" s="1013"/>
      <c r="H113" s="1013"/>
      <c r="I113" s="1013"/>
      <c r="J113" s="1012"/>
      <c r="K113" s="1011"/>
      <c r="L113" s="1010"/>
      <c r="N113" s="1048" t="s">
        <v>1596</v>
      </c>
      <c r="O113" s="1047">
        <v>1.1251839242953175E-2</v>
      </c>
      <c r="P113" s="1046">
        <v>67</v>
      </c>
      <c r="Q113" s="1045">
        <v>40</v>
      </c>
      <c r="R113" s="1045">
        <v>80</v>
      </c>
      <c r="S113" s="1044">
        <v>38</v>
      </c>
      <c r="T113" s="1043">
        <v>32.019368239910655</v>
      </c>
      <c r="U113" s="1042">
        <v>0.30101251787225353</v>
      </c>
      <c r="V113" s="1041">
        <v>23.954999999999998</v>
      </c>
      <c r="W113" s="1041"/>
      <c r="X113" s="1041">
        <v>112</v>
      </c>
    </row>
    <row r="114" spans="1:24">
      <c r="A114" s="905">
        <v>113</v>
      </c>
      <c r="B114" s="905" t="s">
        <v>1595</v>
      </c>
      <c r="C114" s="905">
        <v>29188</v>
      </c>
      <c r="D114" s="905" t="s">
        <v>1115</v>
      </c>
      <c r="E114" s="905" t="s">
        <v>1118</v>
      </c>
      <c r="F114" s="1014">
        <f t="shared" ref="F114:L114" si="58">O61</f>
        <v>6.0532337821525582E-2</v>
      </c>
      <c r="G114" s="1013">
        <f t="shared" si="58"/>
        <v>76</v>
      </c>
      <c r="H114" s="1013">
        <f t="shared" si="58"/>
        <v>43</v>
      </c>
      <c r="I114" s="1013">
        <f t="shared" si="58"/>
        <v>77</v>
      </c>
      <c r="J114" s="1012">
        <f t="shared" si="58"/>
        <v>41</v>
      </c>
      <c r="K114" s="1011">
        <f t="shared" si="58"/>
        <v>36.951352733977416</v>
      </c>
      <c r="L114" s="1010">
        <f t="shared" si="58"/>
        <v>0.32881061639588244</v>
      </c>
      <c r="N114" s="1048" t="s">
        <v>1594</v>
      </c>
      <c r="O114" s="1047"/>
      <c r="P114" s="1046">
        <v>83.5</v>
      </c>
      <c r="Q114" s="1045">
        <v>55.9</v>
      </c>
      <c r="R114" s="1045">
        <v>87.3</v>
      </c>
      <c r="S114" s="1044">
        <v>51.9</v>
      </c>
      <c r="T114" s="1043" t="s">
        <v>805</v>
      </c>
      <c r="U114" s="1042">
        <v>0.24901553425563058</v>
      </c>
      <c r="V114" s="1041">
        <v>159.05099999999999</v>
      </c>
      <c r="W114" s="1041"/>
      <c r="X114" s="1041">
        <v>113</v>
      </c>
    </row>
    <row r="115" spans="1:24">
      <c r="A115" s="905">
        <v>114</v>
      </c>
      <c r="B115" s="905" t="s">
        <v>1593</v>
      </c>
      <c r="C115" s="905">
        <v>29189</v>
      </c>
      <c r="D115" s="905" t="s">
        <v>1115</v>
      </c>
      <c r="E115" s="905" t="s">
        <v>1117</v>
      </c>
      <c r="F115" s="1014"/>
      <c r="G115" s="1013"/>
      <c r="H115" s="1013"/>
      <c r="I115" s="1013"/>
      <c r="J115" s="1012"/>
      <c r="K115" s="1011"/>
      <c r="L115" s="1010"/>
      <c r="N115" s="1048" t="s">
        <v>1592</v>
      </c>
      <c r="O115" s="1047"/>
      <c r="P115" s="1046">
        <v>68</v>
      </c>
      <c r="Q115" s="1045">
        <v>0</v>
      </c>
      <c r="R115" s="1045">
        <v>70</v>
      </c>
      <c r="S115" s="1044">
        <v>0</v>
      </c>
      <c r="T115" s="1043" t="s">
        <v>805</v>
      </c>
      <c r="U115" s="1042"/>
      <c r="V115" s="1041" t="s">
        <v>805</v>
      </c>
      <c r="W115" s="1041"/>
      <c r="X115" s="1041">
        <v>114</v>
      </c>
    </row>
    <row r="116" spans="1:24">
      <c r="A116" s="905">
        <v>115</v>
      </c>
      <c r="B116" s="905" t="s">
        <v>1591</v>
      </c>
      <c r="C116" s="905">
        <v>29189</v>
      </c>
      <c r="D116" s="905" t="s">
        <v>1115</v>
      </c>
      <c r="E116" s="905" t="s">
        <v>1117</v>
      </c>
      <c r="F116" s="1014"/>
      <c r="G116" s="1013"/>
      <c r="H116" s="1013"/>
      <c r="I116" s="1013"/>
      <c r="J116" s="1012"/>
      <c r="K116" s="1011"/>
      <c r="L116" s="1010"/>
      <c r="N116" s="1048" t="s">
        <v>1590</v>
      </c>
      <c r="O116" s="1047"/>
      <c r="P116" s="1046">
        <v>65</v>
      </c>
      <c r="Q116" s="1045">
        <v>33</v>
      </c>
      <c r="R116" s="1045">
        <v>65</v>
      </c>
      <c r="S116" s="1044">
        <v>34</v>
      </c>
      <c r="T116" s="1043" t="s">
        <v>805</v>
      </c>
      <c r="U116" s="1042">
        <v>0.26867898178124799</v>
      </c>
      <c r="V116" s="1041">
        <v>23.041</v>
      </c>
      <c r="W116" s="1041"/>
      <c r="X116" s="1041">
        <v>115</v>
      </c>
    </row>
    <row r="117" spans="1:24">
      <c r="A117" s="905">
        <v>116</v>
      </c>
      <c r="B117" s="905" t="s">
        <v>1589</v>
      </c>
      <c r="C117" s="905">
        <v>29189</v>
      </c>
      <c r="D117" s="905" t="s">
        <v>1115</v>
      </c>
      <c r="E117" s="905" t="s">
        <v>1117</v>
      </c>
      <c r="F117" s="1014">
        <f t="shared" ref="F117:L117" si="59">O62</f>
        <v>0</v>
      </c>
      <c r="G117" s="1013">
        <f t="shared" si="59"/>
        <v>67</v>
      </c>
      <c r="H117" s="1013">
        <f t="shared" si="59"/>
        <v>36</v>
      </c>
      <c r="I117" s="1013">
        <f t="shared" si="59"/>
        <v>71</v>
      </c>
      <c r="J117" s="1012">
        <f t="shared" si="59"/>
        <v>34</v>
      </c>
      <c r="K117" s="1011">
        <f t="shared" si="59"/>
        <v>35.586149795173704</v>
      </c>
      <c r="L117" s="1010">
        <f t="shared" si="59"/>
        <v>0.33608655188459746</v>
      </c>
      <c r="N117" s="1048" t="s">
        <v>1588</v>
      </c>
      <c r="O117" s="1047"/>
      <c r="P117" s="1046">
        <v>68</v>
      </c>
      <c r="Q117" s="1045">
        <v>31</v>
      </c>
      <c r="R117" s="1045">
        <v>70</v>
      </c>
      <c r="S117" s="1044">
        <v>32</v>
      </c>
      <c r="T117" s="1043">
        <v>36.00190348631601</v>
      </c>
      <c r="U117" s="1042">
        <v>0.18422348746035186</v>
      </c>
      <c r="V117" s="1041">
        <v>41.408000000000001</v>
      </c>
      <c r="W117" s="1041"/>
      <c r="X117" s="1041">
        <v>116</v>
      </c>
    </row>
    <row r="118" spans="1:24">
      <c r="A118" s="905">
        <v>117</v>
      </c>
      <c r="B118" s="905" t="s">
        <v>1587</v>
      </c>
      <c r="C118" s="905">
        <v>62761</v>
      </c>
      <c r="D118" s="905" t="s">
        <v>1116</v>
      </c>
      <c r="E118" s="905" t="s">
        <v>1118</v>
      </c>
      <c r="F118" s="1014"/>
      <c r="G118" s="1013"/>
      <c r="H118" s="1013"/>
      <c r="I118" s="1013"/>
      <c r="J118" s="1012"/>
      <c r="K118" s="1011"/>
      <c r="L118" s="1010"/>
      <c r="N118" s="1048" t="s">
        <v>1586</v>
      </c>
      <c r="O118" s="1047"/>
      <c r="P118" s="1046">
        <v>70</v>
      </c>
      <c r="Q118" s="1045">
        <v>40</v>
      </c>
      <c r="R118" s="1045">
        <v>75</v>
      </c>
      <c r="S118" s="1044">
        <v>35</v>
      </c>
      <c r="T118" s="1043" t="s">
        <v>805</v>
      </c>
      <c r="U118" s="1042"/>
      <c r="V118" s="1041" t="s">
        <v>805</v>
      </c>
      <c r="W118" s="1041"/>
      <c r="X118" s="1041">
        <v>117</v>
      </c>
    </row>
    <row r="119" spans="1:24">
      <c r="A119" s="905">
        <v>118</v>
      </c>
      <c r="B119" s="905" t="s">
        <v>1585</v>
      </c>
      <c r="C119" s="905">
        <v>29189</v>
      </c>
      <c r="D119" s="905" t="s">
        <v>1115</v>
      </c>
      <c r="E119" s="905" t="s">
        <v>1117</v>
      </c>
      <c r="F119" s="1014"/>
      <c r="G119" s="1013"/>
      <c r="H119" s="1013"/>
      <c r="I119" s="1013"/>
      <c r="J119" s="1012"/>
      <c r="K119" s="1011"/>
      <c r="L119" s="1010"/>
      <c r="N119" s="1048" t="s">
        <v>1584</v>
      </c>
      <c r="O119" s="1047"/>
      <c r="P119" s="1046">
        <v>65</v>
      </c>
      <c r="Q119" s="1045">
        <v>35</v>
      </c>
      <c r="R119" s="1045">
        <v>80</v>
      </c>
      <c r="S119" s="1044">
        <v>32</v>
      </c>
      <c r="T119" s="1043"/>
      <c r="U119" s="1042">
        <v>0.3172579453067258</v>
      </c>
      <c r="V119" s="1041">
        <v>11.085000000000001</v>
      </c>
      <c r="W119" s="1041"/>
      <c r="X119" s="1041">
        <v>118</v>
      </c>
    </row>
    <row r="120" spans="1:24">
      <c r="A120" s="905">
        <v>119</v>
      </c>
      <c r="B120" s="905" t="s">
        <v>1583</v>
      </c>
      <c r="C120" s="905">
        <v>65120</v>
      </c>
      <c r="D120" s="905" t="s">
        <v>1116</v>
      </c>
      <c r="E120" s="905" t="s">
        <v>1118</v>
      </c>
      <c r="F120" s="1014">
        <f t="shared" ref="F120:L120" si="60">O63</f>
        <v>0</v>
      </c>
      <c r="G120" s="1013">
        <f t="shared" si="60"/>
        <v>80</v>
      </c>
      <c r="H120" s="1013">
        <f t="shared" si="60"/>
        <v>50</v>
      </c>
      <c r="I120" s="1013">
        <f t="shared" si="60"/>
        <v>90</v>
      </c>
      <c r="J120" s="1012">
        <f t="shared" si="60"/>
        <v>55</v>
      </c>
      <c r="K120" s="1011">
        <f t="shared" si="60"/>
        <v>26.462430536530587</v>
      </c>
      <c r="L120" s="1010">
        <f t="shared" si="60"/>
        <v>0.10822587144872053</v>
      </c>
      <c r="N120" s="1048" t="s">
        <v>1582</v>
      </c>
      <c r="O120" s="1047">
        <v>0.27485276378343859</v>
      </c>
      <c r="P120" s="1046">
        <v>73</v>
      </c>
      <c r="Q120" s="1045">
        <v>36</v>
      </c>
      <c r="R120" s="1045">
        <v>75</v>
      </c>
      <c r="S120" s="1044">
        <v>38</v>
      </c>
      <c r="T120" s="1043">
        <v>35.047064945836929</v>
      </c>
      <c r="U120" s="1042">
        <v>0.27305641176182788</v>
      </c>
      <c r="V120" s="1041">
        <v>14.858000000000001</v>
      </c>
      <c r="W120" s="1041"/>
      <c r="X120" s="1041">
        <v>119</v>
      </c>
    </row>
    <row r="121" spans="1:24">
      <c r="A121" s="905">
        <v>120</v>
      </c>
      <c r="B121" s="905" t="s">
        <v>1581</v>
      </c>
      <c r="C121" s="905">
        <v>29189</v>
      </c>
      <c r="D121" s="905" t="s">
        <v>1115</v>
      </c>
      <c r="E121" s="905" t="s">
        <v>1117</v>
      </c>
      <c r="F121" s="1014">
        <f t="shared" ref="F121:L123" si="61">O65</f>
        <v>0</v>
      </c>
      <c r="G121" s="1013">
        <f t="shared" si="61"/>
        <v>75</v>
      </c>
      <c r="H121" s="1013">
        <f t="shared" si="61"/>
        <v>36</v>
      </c>
      <c r="I121" s="1013">
        <f t="shared" si="61"/>
        <v>75</v>
      </c>
      <c r="J121" s="1012">
        <f t="shared" si="61"/>
        <v>34</v>
      </c>
      <c r="K121" s="1011" t="str">
        <f t="shared" si="61"/>
        <v/>
      </c>
      <c r="L121" s="1010">
        <f t="shared" si="61"/>
        <v>0.27605633802816903</v>
      </c>
      <c r="N121" s="1048" t="s">
        <v>1580</v>
      </c>
      <c r="O121" s="1047"/>
      <c r="P121" s="1046">
        <v>72</v>
      </c>
      <c r="Q121" s="1045">
        <v>42</v>
      </c>
      <c r="R121" s="1045">
        <v>74</v>
      </c>
      <c r="S121" s="1044">
        <v>37</v>
      </c>
      <c r="T121" s="1043">
        <v>32.767900746998279</v>
      </c>
      <c r="U121" s="1042">
        <v>0.32580379714834662</v>
      </c>
      <c r="V121" s="1041">
        <v>5.3337009999999996</v>
      </c>
      <c r="W121" s="1041"/>
      <c r="X121" s="1041">
        <v>120</v>
      </c>
    </row>
    <row r="122" spans="1:24">
      <c r="A122" s="905">
        <v>121</v>
      </c>
      <c r="B122" s="905" t="s">
        <v>1579</v>
      </c>
      <c r="C122" s="905">
        <v>29189</v>
      </c>
      <c r="D122" s="905" t="s">
        <v>1115</v>
      </c>
      <c r="E122" s="905" t="s">
        <v>1117</v>
      </c>
      <c r="F122" s="1014">
        <f t="shared" si="61"/>
        <v>0</v>
      </c>
      <c r="G122" s="1013">
        <f t="shared" si="61"/>
        <v>68</v>
      </c>
      <c r="H122" s="1013">
        <f t="shared" si="61"/>
        <v>41</v>
      </c>
      <c r="I122" s="1013">
        <f t="shared" si="61"/>
        <v>70</v>
      </c>
      <c r="J122" s="1012">
        <f t="shared" si="61"/>
        <v>36</v>
      </c>
      <c r="K122" s="1011">
        <f t="shared" si="61"/>
        <v>30.64825300254796</v>
      </c>
      <c r="L122" s="1010">
        <f t="shared" si="61"/>
        <v>0.19962812148031642</v>
      </c>
      <c r="N122" s="1048" t="s">
        <v>1400</v>
      </c>
      <c r="O122" s="1047">
        <v>2.1120897419043862E-2</v>
      </c>
      <c r="P122" s="1046">
        <v>80</v>
      </c>
      <c r="Q122" s="1045">
        <v>40</v>
      </c>
      <c r="R122" s="1045">
        <v>80</v>
      </c>
      <c r="S122" s="1044">
        <v>40</v>
      </c>
      <c r="T122" s="1043">
        <v>51.616798161181421</v>
      </c>
      <c r="U122" s="1042">
        <v>0.11332199292716773</v>
      </c>
      <c r="V122" s="1041">
        <v>39.615000000000002</v>
      </c>
      <c r="W122" s="1041"/>
      <c r="X122" s="1041">
        <v>121</v>
      </c>
    </row>
    <row r="123" spans="1:24">
      <c r="A123" s="905">
        <v>122</v>
      </c>
      <c r="B123" s="905" t="s">
        <v>1578</v>
      </c>
      <c r="C123" s="905">
        <v>44023</v>
      </c>
      <c r="D123" s="905" t="s">
        <v>1116</v>
      </c>
      <c r="E123" s="905" t="s">
        <v>1118</v>
      </c>
      <c r="F123" s="1014">
        <f t="shared" si="61"/>
        <v>0</v>
      </c>
      <c r="G123" s="1013">
        <f t="shared" si="61"/>
        <v>80.5</v>
      </c>
      <c r="H123" s="1013">
        <f t="shared" si="61"/>
        <v>52.2</v>
      </c>
      <c r="I123" s="1013">
        <f t="shared" si="61"/>
        <v>85</v>
      </c>
      <c r="J123" s="1012">
        <f t="shared" si="61"/>
        <v>51.2</v>
      </c>
      <c r="K123" s="1011" t="str">
        <f t="shared" si="61"/>
        <v/>
      </c>
      <c r="L123" s="1010">
        <f t="shared" si="61"/>
        <v>9.8541692509985887E-2</v>
      </c>
      <c r="N123" s="1048" t="s">
        <v>1577</v>
      </c>
      <c r="O123" s="1047"/>
      <c r="P123" s="1046">
        <v>66</v>
      </c>
      <c r="Q123" s="1045">
        <v>37.5</v>
      </c>
      <c r="R123" s="1045">
        <v>75</v>
      </c>
      <c r="S123" s="1044">
        <v>36</v>
      </c>
      <c r="T123" s="1043">
        <v>28.233937756446295</v>
      </c>
      <c r="U123" s="1042">
        <v>0.18274293308797218</v>
      </c>
      <c r="V123" s="1041">
        <v>63.951999999999998</v>
      </c>
      <c r="W123" s="1041"/>
      <c r="X123" s="1041">
        <v>122</v>
      </c>
    </row>
    <row r="124" spans="1:24">
      <c r="A124" s="905">
        <v>123</v>
      </c>
      <c r="B124" s="905" t="s">
        <v>1576</v>
      </c>
      <c r="C124" s="905">
        <v>44023</v>
      </c>
      <c r="D124" s="905" t="s">
        <v>1116</v>
      </c>
      <c r="E124" s="905" t="s">
        <v>1118</v>
      </c>
      <c r="F124" s="1014">
        <f t="shared" ref="F124:L124" si="62">F123</f>
        <v>0</v>
      </c>
      <c r="G124" s="1013">
        <f t="shared" si="62"/>
        <v>80.5</v>
      </c>
      <c r="H124" s="1013">
        <f t="shared" si="62"/>
        <v>52.2</v>
      </c>
      <c r="I124" s="1013">
        <f t="shared" si="62"/>
        <v>85</v>
      </c>
      <c r="J124" s="1012">
        <f t="shared" si="62"/>
        <v>51.2</v>
      </c>
      <c r="K124" s="1011" t="str">
        <f t="shared" si="62"/>
        <v/>
      </c>
      <c r="L124" s="1010">
        <f t="shared" si="62"/>
        <v>9.8541692509985887E-2</v>
      </c>
      <c r="N124" s="1048" t="s">
        <v>1575</v>
      </c>
      <c r="O124" s="1047"/>
      <c r="P124" s="1046">
        <v>65</v>
      </c>
      <c r="Q124" s="1045">
        <v>43</v>
      </c>
      <c r="R124" s="1045">
        <v>68</v>
      </c>
      <c r="S124" s="1044">
        <v>36</v>
      </c>
      <c r="T124" s="1043">
        <v>28.562911929118126</v>
      </c>
      <c r="U124" s="1042">
        <v>0.25218417118295644</v>
      </c>
      <c r="V124" s="1041">
        <v>64.025000000000006</v>
      </c>
      <c r="W124" s="1041"/>
      <c r="X124" s="1041">
        <v>123</v>
      </c>
    </row>
    <row r="125" spans="1:24">
      <c r="A125" s="905">
        <v>124</v>
      </c>
      <c r="B125" s="905" t="s">
        <v>1574</v>
      </c>
      <c r="C125" s="905">
        <v>29189</v>
      </c>
      <c r="D125" s="905" t="s">
        <v>1115</v>
      </c>
      <c r="E125" s="905" t="s">
        <v>1117</v>
      </c>
      <c r="F125" s="1014"/>
      <c r="G125" s="1013"/>
      <c r="H125" s="1013"/>
      <c r="I125" s="1013"/>
      <c r="J125" s="1012"/>
      <c r="K125" s="1011"/>
      <c r="L125" s="1010"/>
      <c r="N125" s="1048" t="s">
        <v>1573</v>
      </c>
      <c r="O125" s="1047">
        <v>2.4506092104357405E-2</v>
      </c>
      <c r="P125" s="1046">
        <v>70</v>
      </c>
      <c r="Q125" s="1045">
        <v>36</v>
      </c>
      <c r="R125" s="1045">
        <v>75</v>
      </c>
      <c r="S125" s="1044">
        <v>33</v>
      </c>
      <c r="T125" s="1043">
        <v>35.419468841367362</v>
      </c>
      <c r="U125" s="1042">
        <v>0.27393973608072825</v>
      </c>
      <c r="V125" s="1041">
        <v>10.289</v>
      </c>
      <c r="W125" s="1041"/>
      <c r="X125" s="1041">
        <v>124</v>
      </c>
    </row>
    <row r="126" spans="1:24">
      <c r="A126" s="905">
        <v>125</v>
      </c>
      <c r="B126" s="905" t="s">
        <v>1572</v>
      </c>
      <c r="C126" s="905">
        <v>29188</v>
      </c>
      <c r="D126" s="905" t="s">
        <v>1115</v>
      </c>
      <c r="E126" s="905" t="s">
        <v>1118</v>
      </c>
      <c r="F126" s="1014">
        <f t="shared" ref="F126:L129" si="63">O68</f>
        <v>0</v>
      </c>
      <c r="G126" s="1013">
        <f t="shared" si="63"/>
        <v>77</v>
      </c>
      <c r="H126" s="1013">
        <f t="shared" si="63"/>
        <v>42</v>
      </c>
      <c r="I126" s="1013">
        <f t="shared" si="63"/>
        <v>77</v>
      </c>
      <c r="J126" s="1012">
        <f t="shared" si="63"/>
        <v>38</v>
      </c>
      <c r="K126" s="1011">
        <f t="shared" si="63"/>
        <v>36.021988361628907</v>
      </c>
      <c r="L126" s="1010">
        <f t="shared" si="63"/>
        <v>0.33411008062636904</v>
      </c>
      <c r="N126" s="1048" t="s">
        <v>1571</v>
      </c>
      <c r="O126" s="1047"/>
      <c r="P126" s="1046">
        <v>75</v>
      </c>
      <c r="Q126" s="1045">
        <v>43</v>
      </c>
      <c r="R126" s="1045">
        <v>80</v>
      </c>
      <c r="S126" s="1044">
        <v>40</v>
      </c>
      <c r="T126" s="1043" t="s">
        <v>805</v>
      </c>
      <c r="U126" s="1042">
        <v>0.26871273487421904</v>
      </c>
      <c r="V126" s="1041">
        <v>61.57</v>
      </c>
      <c r="W126" s="1041"/>
      <c r="X126" s="1041">
        <v>125</v>
      </c>
    </row>
    <row r="127" spans="1:24">
      <c r="A127" s="905">
        <v>126</v>
      </c>
      <c r="B127" s="905" t="s">
        <v>1570</v>
      </c>
      <c r="C127" s="905">
        <v>29189</v>
      </c>
      <c r="D127" s="905" t="s">
        <v>1115</v>
      </c>
      <c r="E127" s="905" t="s">
        <v>1117</v>
      </c>
      <c r="F127" s="1014">
        <f t="shared" si="63"/>
        <v>0</v>
      </c>
      <c r="G127" s="1013">
        <f t="shared" si="63"/>
        <v>75</v>
      </c>
      <c r="H127" s="1013">
        <f t="shared" si="63"/>
        <v>40</v>
      </c>
      <c r="I127" s="1013">
        <f t="shared" si="63"/>
        <v>75</v>
      </c>
      <c r="J127" s="1012">
        <f t="shared" si="63"/>
        <v>38</v>
      </c>
      <c r="K127" s="1011" t="str">
        <f t="shared" si="63"/>
        <v/>
      </c>
      <c r="L127" s="1010">
        <f t="shared" si="63"/>
        <v>0.27943296492071118</v>
      </c>
      <c r="N127" s="1037" t="s">
        <v>1569</v>
      </c>
      <c r="O127" s="1036">
        <v>0.13181579101162993</v>
      </c>
      <c r="P127" s="1035">
        <v>69</v>
      </c>
      <c r="Q127" s="1013">
        <v>38</v>
      </c>
      <c r="R127" s="1013">
        <v>72</v>
      </c>
      <c r="S127" s="1012">
        <v>34</v>
      </c>
      <c r="T127" s="1011">
        <v>34.959378292219078</v>
      </c>
      <c r="U127" s="1034">
        <v>0.24600316381138299</v>
      </c>
      <c r="V127" s="905">
        <v>22.402000000000001</v>
      </c>
      <c r="X127" s="905">
        <v>126</v>
      </c>
    </row>
    <row r="128" spans="1:24">
      <c r="A128" s="905">
        <v>127</v>
      </c>
      <c r="B128" s="905" t="s">
        <v>1568</v>
      </c>
      <c r="C128" s="905">
        <v>29188</v>
      </c>
      <c r="D128" s="905" t="s">
        <v>1115</v>
      </c>
      <c r="E128" s="905" t="s">
        <v>1118</v>
      </c>
      <c r="F128" s="1014">
        <f t="shared" si="63"/>
        <v>0</v>
      </c>
      <c r="G128" s="1013">
        <f t="shared" si="63"/>
        <v>78</v>
      </c>
      <c r="H128" s="1013">
        <f t="shared" si="63"/>
        <v>45</v>
      </c>
      <c r="I128" s="1013">
        <f t="shared" si="63"/>
        <v>84</v>
      </c>
      <c r="J128" s="1012">
        <f t="shared" si="63"/>
        <v>40</v>
      </c>
      <c r="K128" s="1011">
        <f t="shared" si="63"/>
        <v>38.648805715167462</v>
      </c>
      <c r="L128" s="1010">
        <f t="shared" si="63"/>
        <v>0.2534529513430398</v>
      </c>
      <c r="N128" s="1048" t="s">
        <v>1567</v>
      </c>
      <c r="O128" s="1047"/>
      <c r="P128" s="1046">
        <v>70</v>
      </c>
      <c r="Q128" s="1045">
        <v>42</v>
      </c>
      <c r="R128" s="1045">
        <v>72</v>
      </c>
      <c r="S128" s="1044">
        <v>35</v>
      </c>
      <c r="T128" s="1043">
        <v>31.90301255026986</v>
      </c>
      <c r="U128" s="1042">
        <v>0.24153851746828081</v>
      </c>
      <c r="V128" s="1041">
        <v>20.863</v>
      </c>
      <c r="W128" s="1041"/>
      <c r="X128" s="1041">
        <v>127</v>
      </c>
    </row>
    <row r="129" spans="1:24">
      <c r="A129" s="905">
        <v>128</v>
      </c>
      <c r="B129" s="905" t="s">
        <v>1566</v>
      </c>
      <c r="C129" s="905">
        <v>32264</v>
      </c>
      <c r="D129" s="905" t="s">
        <v>1115</v>
      </c>
      <c r="E129" s="905" t="s">
        <v>1117</v>
      </c>
      <c r="F129" s="1014">
        <f t="shared" si="63"/>
        <v>2.9754204398447608E-2</v>
      </c>
      <c r="G129" s="1013">
        <f t="shared" si="63"/>
        <v>65</v>
      </c>
      <c r="H129" s="1013">
        <f t="shared" si="63"/>
        <v>40</v>
      </c>
      <c r="I129" s="1013">
        <f t="shared" si="63"/>
        <v>75</v>
      </c>
      <c r="J129" s="1012">
        <f t="shared" si="63"/>
        <v>39</v>
      </c>
      <c r="K129" s="1011">
        <f t="shared" si="63"/>
        <v>0</v>
      </c>
      <c r="L129" s="1010">
        <f t="shared" si="63"/>
        <v>0.39011764705882351</v>
      </c>
      <c r="N129" s="1048" t="s">
        <v>1565</v>
      </c>
      <c r="O129" s="1047"/>
      <c r="P129" s="1046">
        <v>68</v>
      </c>
      <c r="Q129" s="1045">
        <v>44</v>
      </c>
      <c r="R129" s="1045">
        <v>70</v>
      </c>
      <c r="S129" s="1044">
        <v>39</v>
      </c>
      <c r="T129" s="1043">
        <v>27.076615304008193</v>
      </c>
      <c r="U129" s="1042">
        <v>0.49924357034795763</v>
      </c>
      <c r="V129" s="1041">
        <v>5.9580000000000002</v>
      </c>
      <c r="W129" s="1041"/>
      <c r="X129" s="1041">
        <v>128</v>
      </c>
    </row>
    <row r="130" spans="1:24">
      <c r="A130" s="905">
        <v>129</v>
      </c>
      <c r="B130" s="905" t="s">
        <v>1564</v>
      </c>
      <c r="C130" s="905">
        <v>29189</v>
      </c>
      <c r="D130" s="905" t="s">
        <v>1116</v>
      </c>
      <c r="E130" s="905" t="s">
        <v>1117</v>
      </c>
      <c r="F130" s="1014"/>
      <c r="G130" s="1013"/>
      <c r="H130" s="1013"/>
      <c r="I130" s="1013"/>
      <c r="J130" s="1012"/>
      <c r="K130" s="1011"/>
      <c r="L130" s="1010"/>
      <c r="N130" s="1048" t="s">
        <v>1563</v>
      </c>
      <c r="O130" s="1047"/>
      <c r="P130" s="1046">
        <v>66</v>
      </c>
      <c r="Q130" s="1045">
        <v>37</v>
      </c>
      <c r="R130" s="1045">
        <v>65</v>
      </c>
      <c r="S130" s="1044">
        <v>35</v>
      </c>
      <c r="T130" s="1043" t="s">
        <v>805</v>
      </c>
      <c r="U130" s="1042">
        <v>0.22099775357097445</v>
      </c>
      <c r="V130" s="1041">
        <v>18.379000000000001</v>
      </c>
      <c r="W130" s="1041"/>
      <c r="X130" s="1041">
        <v>129</v>
      </c>
    </row>
    <row r="131" spans="1:24">
      <c r="A131" s="905">
        <v>130</v>
      </c>
      <c r="B131" s="905" t="s">
        <v>1562</v>
      </c>
      <c r="C131" s="905">
        <v>29189</v>
      </c>
      <c r="D131" s="905" t="s">
        <v>1115</v>
      </c>
      <c r="E131" s="905" t="s">
        <v>1117</v>
      </c>
      <c r="F131" s="1014">
        <f t="shared" ref="F131:L131" si="64">O73</f>
        <v>0</v>
      </c>
      <c r="G131" s="1013">
        <f t="shared" si="64"/>
        <v>75</v>
      </c>
      <c r="H131" s="1013">
        <f t="shared" si="64"/>
        <v>42</v>
      </c>
      <c r="I131" s="1013">
        <f t="shared" si="64"/>
        <v>82</v>
      </c>
      <c r="J131" s="1012">
        <f t="shared" si="64"/>
        <v>40</v>
      </c>
      <c r="K131" s="1011" t="str">
        <f t="shared" si="64"/>
        <v/>
      </c>
      <c r="L131" s="1010">
        <f t="shared" si="64"/>
        <v>0.15905077413790744</v>
      </c>
      <c r="N131" s="1048" t="s">
        <v>1561</v>
      </c>
      <c r="O131" s="1047"/>
      <c r="P131" s="1046">
        <v>60.38</v>
      </c>
      <c r="Q131" s="1045">
        <v>38</v>
      </c>
      <c r="R131" s="1045">
        <v>68</v>
      </c>
      <c r="S131" s="1044">
        <v>35</v>
      </c>
      <c r="T131" s="1043" t="s">
        <v>805</v>
      </c>
      <c r="U131" s="1042"/>
      <c r="V131" s="1041" t="s">
        <v>805</v>
      </c>
      <c r="W131" s="1041"/>
      <c r="X131" s="1041">
        <v>130</v>
      </c>
    </row>
    <row r="132" spans="1:24">
      <c r="A132" s="905">
        <v>131</v>
      </c>
      <c r="B132" s="905" t="s">
        <v>1560</v>
      </c>
      <c r="C132" s="905">
        <v>29189</v>
      </c>
      <c r="D132" s="905" t="s">
        <v>1115</v>
      </c>
      <c r="E132" s="905" t="s">
        <v>1117</v>
      </c>
      <c r="F132" s="1014"/>
      <c r="G132" s="1013"/>
      <c r="H132" s="1013"/>
      <c r="I132" s="1013"/>
      <c r="J132" s="1012"/>
      <c r="K132" s="1011"/>
      <c r="L132" s="1010"/>
      <c r="N132" s="1048" t="s">
        <v>1559</v>
      </c>
      <c r="O132" s="1047">
        <v>0.2041240088577756</v>
      </c>
      <c r="P132" s="1046">
        <v>70</v>
      </c>
      <c r="Q132" s="1045">
        <v>42</v>
      </c>
      <c r="R132" s="1045">
        <v>72</v>
      </c>
      <c r="S132" s="1044">
        <v>35</v>
      </c>
      <c r="T132" s="1043">
        <v>27.81311459801638</v>
      </c>
      <c r="U132" s="1042">
        <v>0.24184353444267848</v>
      </c>
      <c r="V132" s="1041">
        <v>21.117439999999998</v>
      </c>
      <c r="W132" s="1041"/>
      <c r="X132" s="1041">
        <v>131</v>
      </c>
    </row>
    <row r="133" spans="1:24">
      <c r="A133" s="905">
        <v>132</v>
      </c>
      <c r="B133" s="905" t="s">
        <v>1558</v>
      </c>
      <c r="C133" s="905">
        <v>29189</v>
      </c>
      <c r="D133" s="905" t="s">
        <v>1115</v>
      </c>
      <c r="E133" s="905" t="s">
        <v>1117</v>
      </c>
      <c r="F133" s="1014">
        <f t="shared" ref="F133:L134" si="65">O74</f>
        <v>1.7511330861145447E-3</v>
      </c>
      <c r="G133" s="1013">
        <f t="shared" si="65"/>
        <v>64</v>
      </c>
      <c r="H133" s="1013">
        <f t="shared" si="65"/>
        <v>45</v>
      </c>
      <c r="I133" s="1013">
        <f t="shared" si="65"/>
        <v>78</v>
      </c>
      <c r="J133" s="1012">
        <f t="shared" si="65"/>
        <v>39</v>
      </c>
      <c r="K133" s="1011">
        <f t="shared" si="65"/>
        <v>41.341454254271277</v>
      </c>
      <c r="L133" s="1010">
        <f t="shared" si="65"/>
        <v>0.23941212022937336</v>
      </c>
      <c r="N133" s="1048" t="s">
        <v>1557</v>
      </c>
      <c r="O133" s="1047"/>
      <c r="P133" s="1046">
        <v>64</v>
      </c>
      <c r="Q133" s="1045">
        <v>45</v>
      </c>
      <c r="R133" s="1045">
        <v>65</v>
      </c>
      <c r="S133" s="1044">
        <v>40</v>
      </c>
      <c r="T133" s="1043" t="s">
        <v>805</v>
      </c>
      <c r="U133" s="1042">
        <v>0.19586194937631596</v>
      </c>
      <c r="V133" s="1041">
        <v>91.226111000000003</v>
      </c>
      <c r="W133" s="1041"/>
      <c r="X133" s="1041">
        <v>132</v>
      </c>
    </row>
    <row r="134" spans="1:24">
      <c r="A134" s="905">
        <v>133</v>
      </c>
      <c r="B134" s="905" t="s">
        <v>1556</v>
      </c>
      <c r="C134" s="905">
        <v>29189</v>
      </c>
      <c r="D134" s="905" t="s">
        <v>1115</v>
      </c>
      <c r="E134" s="905" t="s">
        <v>1117</v>
      </c>
      <c r="F134" s="1014">
        <f t="shared" si="65"/>
        <v>0</v>
      </c>
      <c r="G134" s="1013">
        <f t="shared" si="65"/>
        <v>68.400000000000006</v>
      </c>
      <c r="H134" s="1013">
        <f t="shared" si="65"/>
        <v>38.1</v>
      </c>
      <c r="I134" s="1013">
        <f t="shared" si="65"/>
        <v>73.3</v>
      </c>
      <c r="J134" s="1012">
        <f t="shared" si="65"/>
        <v>33.1</v>
      </c>
      <c r="K134" s="1011">
        <f t="shared" si="65"/>
        <v>45.625742555994066</v>
      </c>
      <c r="L134" s="1010">
        <f t="shared" si="65"/>
        <v>0.23402607664954564</v>
      </c>
      <c r="N134" s="1048" t="s">
        <v>1555</v>
      </c>
      <c r="O134" s="1047"/>
      <c r="P134" s="1046">
        <v>73</v>
      </c>
      <c r="Q134" s="1045">
        <v>0</v>
      </c>
      <c r="R134" s="1045">
        <v>73</v>
      </c>
      <c r="S134" s="1044">
        <v>0</v>
      </c>
      <c r="T134" s="1043" t="s">
        <v>805</v>
      </c>
      <c r="U134" s="1042"/>
      <c r="V134" s="1041" t="s">
        <v>805</v>
      </c>
      <c r="W134" s="1041"/>
      <c r="X134" s="1041">
        <v>133</v>
      </c>
    </row>
    <row r="135" spans="1:24">
      <c r="A135" s="905">
        <v>134</v>
      </c>
      <c r="B135" s="905" t="s">
        <v>1554</v>
      </c>
      <c r="C135" s="905">
        <v>29189</v>
      </c>
      <c r="D135" s="905" t="s">
        <v>1115</v>
      </c>
      <c r="E135" s="905" t="s">
        <v>1117</v>
      </c>
      <c r="F135" s="1014"/>
      <c r="G135" s="1013"/>
      <c r="H135" s="1013"/>
      <c r="I135" s="1013"/>
      <c r="J135" s="1012"/>
      <c r="K135" s="1011"/>
      <c r="L135" s="1010"/>
      <c r="N135" s="1048" t="s">
        <v>1553</v>
      </c>
      <c r="O135" s="1047"/>
      <c r="P135" s="1046">
        <v>73</v>
      </c>
      <c r="Q135" s="1045">
        <v>0</v>
      </c>
      <c r="R135" s="1045">
        <v>73</v>
      </c>
      <c r="S135" s="1044">
        <v>0</v>
      </c>
      <c r="T135" s="1043">
        <v>28.55022805146475</v>
      </c>
      <c r="U135" s="1042">
        <v>0.26233766233766231</v>
      </c>
      <c r="V135" s="1041">
        <v>5.3959999999999999</v>
      </c>
      <c r="W135" s="1041"/>
      <c r="X135" s="1041">
        <v>134</v>
      </c>
    </row>
    <row r="136" spans="1:24">
      <c r="A136" s="905">
        <v>135</v>
      </c>
      <c r="B136" s="905" t="s">
        <v>1552</v>
      </c>
      <c r="C136" s="905">
        <v>29189</v>
      </c>
      <c r="D136" s="905" t="s">
        <v>1115</v>
      </c>
      <c r="E136" s="905" t="s">
        <v>1117</v>
      </c>
      <c r="F136" s="1014">
        <f t="shared" ref="F136:L136" si="66">O76</f>
        <v>0</v>
      </c>
      <c r="G136" s="1013">
        <f t="shared" si="66"/>
        <v>70</v>
      </c>
      <c r="H136" s="1013">
        <f t="shared" si="66"/>
        <v>38</v>
      </c>
      <c r="I136" s="1013">
        <f t="shared" si="66"/>
        <v>71</v>
      </c>
      <c r="J136" s="1012">
        <f t="shared" si="66"/>
        <v>34</v>
      </c>
      <c r="K136" s="1011">
        <f t="shared" si="66"/>
        <v>39.165090999099291</v>
      </c>
      <c r="L136" s="1010">
        <f t="shared" si="66"/>
        <v>0.24730127576054955</v>
      </c>
      <c r="N136" s="1048" t="s">
        <v>1551</v>
      </c>
      <c r="O136" s="1047">
        <v>7.3937588207621141E-2</v>
      </c>
      <c r="P136" s="1046">
        <v>70</v>
      </c>
      <c r="Q136" s="1045">
        <v>34.5</v>
      </c>
      <c r="R136" s="1045">
        <v>72</v>
      </c>
      <c r="S136" s="1044">
        <v>33</v>
      </c>
      <c r="T136" s="1043">
        <v>33.602151604771642</v>
      </c>
      <c r="U136" s="1042">
        <v>0.21691643383286766</v>
      </c>
      <c r="V136" s="1041">
        <v>9.2490000000000006</v>
      </c>
      <c r="W136" s="1041"/>
      <c r="X136" s="1041">
        <v>135</v>
      </c>
    </row>
    <row r="137" spans="1:24">
      <c r="A137" s="905">
        <v>136</v>
      </c>
      <c r="B137" s="905" t="s">
        <v>1550</v>
      </c>
      <c r="C137" s="905">
        <v>29188</v>
      </c>
      <c r="D137" s="905" t="s">
        <v>1115</v>
      </c>
      <c r="E137" s="905" t="s">
        <v>1118</v>
      </c>
      <c r="F137" s="1014"/>
      <c r="G137" s="1013"/>
      <c r="H137" s="1013"/>
      <c r="I137" s="1013"/>
      <c r="J137" s="1012"/>
      <c r="K137" s="1011"/>
      <c r="L137" s="1010"/>
      <c r="N137" s="1031" t="s">
        <v>1549</v>
      </c>
      <c r="O137" s="1030"/>
      <c r="P137" s="1029">
        <v>63</v>
      </c>
      <c r="Q137" s="1028">
        <v>63</v>
      </c>
      <c r="R137" s="1028">
        <v>73</v>
      </c>
      <c r="S137" s="1027">
        <v>73</v>
      </c>
      <c r="T137" s="1026">
        <v>20.783333333333335</v>
      </c>
      <c r="U137" s="1025">
        <v>0.21572413793103448</v>
      </c>
      <c r="V137" s="1017">
        <v>45.488</v>
      </c>
      <c r="W137" s="1017"/>
      <c r="X137" s="1017">
        <v>136</v>
      </c>
    </row>
    <row r="138" spans="1:24" ht="15.6">
      <c r="A138" s="905">
        <v>137</v>
      </c>
      <c r="B138" s="905" t="s">
        <v>1548</v>
      </c>
      <c r="C138" s="905">
        <v>29189</v>
      </c>
      <c r="D138" s="905" t="s">
        <v>1115</v>
      </c>
      <c r="E138" s="905" t="s">
        <v>1117</v>
      </c>
      <c r="F138" s="1014">
        <f t="shared" ref="F138:K140" si="67">O77</f>
        <v>0</v>
      </c>
      <c r="G138" s="1013">
        <f t="shared" si="67"/>
        <v>75</v>
      </c>
      <c r="H138" s="1013">
        <f t="shared" si="67"/>
        <v>40</v>
      </c>
      <c r="I138" s="1013">
        <f t="shared" si="67"/>
        <v>80</v>
      </c>
      <c r="J138" s="1012">
        <f t="shared" si="67"/>
        <v>37</v>
      </c>
      <c r="K138" s="1011" t="str">
        <f t="shared" si="67"/>
        <v/>
      </c>
      <c r="L138" s="1015">
        <v>0.22800028617798151</v>
      </c>
      <c r="N138" s="1031" t="s">
        <v>1547</v>
      </c>
      <c r="O138" s="1030"/>
      <c r="P138" s="1029">
        <v>72</v>
      </c>
      <c r="Q138" s="1028">
        <v>40</v>
      </c>
      <c r="R138" s="1028">
        <v>72</v>
      </c>
      <c r="S138" s="1027">
        <v>40</v>
      </c>
      <c r="T138" s="1026" t="s">
        <v>805</v>
      </c>
      <c r="U138" s="1025">
        <v>0.2803927933776984</v>
      </c>
      <c r="V138" s="1017">
        <v>8.8670000000000009</v>
      </c>
      <c r="W138" s="1017"/>
      <c r="X138" s="1017">
        <v>137</v>
      </c>
    </row>
    <row r="139" spans="1:24">
      <c r="A139" s="905">
        <v>138</v>
      </c>
      <c r="B139" s="905" t="s">
        <v>1546</v>
      </c>
      <c r="C139" s="905">
        <v>29189</v>
      </c>
      <c r="D139" s="905" t="s">
        <v>1115</v>
      </c>
      <c r="E139" s="905" t="s">
        <v>1117</v>
      </c>
      <c r="F139" s="1014">
        <f t="shared" si="67"/>
        <v>0</v>
      </c>
      <c r="G139" s="1013">
        <f t="shared" si="67"/>
        <v>71</v>
      </c>
      <c r="H139" s="1013">
        <f t="shared" si="67"/>
        <v>42</v>
      </c>
      <c r="I139" s="1013">
        <f t="shared" si="67"/>
        <v>77</v>
      </c>
      <c r="J139" s="1012">
        <f t="shared" si="67"/>
        <v>40</v>
      </c>
      <c r="K139" s="1011" t="str">
        <f t="shared" si="67"/>
        <v/>
      </c>
      <c r="L139" s="1010">
        <f>U78</f>
        <v>0.22894129556392462</v>
      </c>
      <c r="N139" s="1031" t="s">
        <v>1545</v>
      </c>
      <c r="O139" s="1030">
        <v>9.4308389379192305E-3</v>
      </c>
      <c r="P139" s="1029">
        <v>67</v>
      </c>
      <c r="Q139" s="1028">
        <v>42</v>
      </c>
      <c r="R139" s="1028">
        <v>81</v>
      </c>
      <c r="S139" s="1027">
        <v>34</v>
      </c>
      <c r="T139" s="1026">
        <v>32.415217939027464</v>
      </c>
      <c r="U139" s="1025">
        <v>0.3305003819709702</v>
      </c>
      <c r="V139" s="1017">
        <v>7.0110000000000001</v>
      </c>
      <c r="W139" s="1017"/>
      <c r="X139" s="1017">
        <v>138</v>
      </c>
    </row>
    <row r="140" spans="1:24">
      <c r="A140" s="905">
        <v>139</v>
      </c>
      <c r="B140" s="905" t="s">
        <v>1544</v>
      </c>
      <c r="C140" s="905">
        <v>29189</v>
      </c>
      <c r="D140" s="905" t="s">
        <v>1115</v>
      </c>
      <c r="E140" s="905" t="s">
        <v>1117</v>
      </c>
      <c r="F140" s="1014">
        <f t="shared" si="67"/>
        <v>0</v>
      </c>
      <c r="G140" s="1013">
        <f t="shared" si="67"/>
        <v>73</v>
      </c>
      <c r="H140" s="1013">
        <f t="shared" si="67"/>
        <v>42</v>
      </c>
      <c r="I140" s="1013">
        <f t="shared" si="67"/>
        <v>73</v>
      </c>
      <c r="J140" s="1012">
        <f t="shared" si="67"/>
        <v>38</v>
      </c>
      <c r="K140" s="1011">
        <f t="shared" si="67"/>
        <v>29.801433962264152</v>
      </c>
      <c r="L140" s="1010">
        <f>U79</f>
        <v>0.26657954916693893</v>
      </c>
      <c r="N140" s="1031" t="s">
        <v>1543</v>
      </c>
      <c r="O140" s="1030"/>
      <c r="P140" s="1029">
        <v>71</v>
      </c>
      <c r="Q140" s="1028">
        <v>0</v>
      </c>
      <c r="R140" s="1028">
        <v>79</v>
      </c>
      <c r="S140" s="1027">
        <v>0</v>
      </c>
      <c r="T140" s="1026" t="s">
        <v>805</v>
      </c>
      <c r="U140" s="1025"/>
      <c r="V140" s="1017" t="s">
        <v>805</v>
      </c>
      <c r="W140" s="1017"/>
      <c r="X140" s="1017">
        <v>139</v>
      </c>
    </row>
    <row r="141" spans="1:24">
      <c r="A141" s="905">
        <v>140</v>
      </c>
      <c r="B141" s="905" t="s">
        <v>1542</v>
      </c>
      <c r="C141" s="905">
        <v>29189</v>
      </c>
      <c r="D141" s="905" t="s">
        <v>1115</v>
      </c>
      <c r="E141" s="905" t="s">
        <v>1117</v>
      </c>
      <c r="F141" s="1014"/>
      <c r="G141" s="1013"/>
      <c r="H141" s="1013"/>
      <c r="I141" s="1013"/>
      <c r="J141" s="1012"/>
      <c r="K141" s="1011"/>
      <c r="L141" s="1010"/>
      <c r="N141" s="1031" t="s">
        <v>1541</v>
      </c>
      <c r="O141" s="1030"/>
      <c r="P141" s="1029">
        <v>70</v>
      </c>
      <c r="Q141" s="1028">
        <v>41</v>
      </c>
      <c r="R141" s="1028">
        <v>70</v>
      </c>
      <c r="S141" s="1027">
        <v>41</v>
      </c>
      <c r="T141" s="1026" t="s">
        <v>805</v>
      </c>
      <c r="U141" s="1025">
        <v>0.31760591573840757</v>
      </c>
      <c r="V141" s="1017">
        <v>5.7953000000000001</v>
      </c>
      <c r="W141" s="1017"/>
      <c r="X141" s="1017">
        <v>140</v>
      </c>
    </row>
    <row r="142" spans="1:24">
      <c r="A142" s="905">
        <v>141</v>
      </c>
      <c r="B142" s="905" t="s">
        <v>1540</v>
      </c>
      <c r="C142" s="905">
        <v>29189</v>
      </c>
      <c r="D142" s="905" t="s">
        <v>1115</v>
      </c>
      <c r="E142" s="905" t="s">
        <v>1117</v>
      </c>
      <c r="F142" s="1014">
        <f t="shared" ref="F142:L142" si="68">O80</f>
        <v>7.1261491595495843E-2</v>
      </c>
      <c r="G142" s="1013">
        <f t="shared" si="68"/>
        <v>68</v>
      </c>
      <c r="H142" s="1013">
        <f t="shared" si="68"/>
        <v>43</v>
      </c>
      <c r="I142" s="1013">
        <f t="shared" si="68"/>
        <v>72</v>
      </c>
      <c r="J142" s="1012">
        <f t="shared" si="68"/>
        <v>40</v>
      </c>
      <c r="K142" s="1011">
        <f t="shared" si="68"/>
        <v>30.647035126791668</v>
      </c>
      <c r="L142" s="1010">
        <f t="shared" si="68"/>
        <v>0.28758859017161598</v>
      </c>
      <c r="N142" s="1031" t="s">
        <v>1539</v>
      </c>
      <c r="O142" s="1030"/>
      <c r="P142" s="1029">
        <v>60</v>
      </c>
      <c r="Q142" s="1028">
        <v>0</v>
      </c>
      <c r="R142" s="1028">
        <v>80</v>
      </c>
      <c r="S142" s="1027">
        <v>0</v>
      </c>
      <c r="T142" s="1026" t="s">
        <v>805</v>
      </c>
      <c r="U142" s="1025"/>
      <c r="V142" s="1017" t="s">
        <v>805</v>
      </c>
      <c r="W142" s="1017"/>
      <c r="X142" s="1017">
        <v>141</v>
      </c>
    </row>
    <row r="143" spans="1:24" ht="15.6">
      <c r="A143" s="905">
        <v>142</v>
      </c>
      <c r="B143" s="905" t="s">
        <v>1538</v>
      </c>
      <c r="C143" s="905">
        <v>29188</v>
      </c>
      <c r="D143" s="905" t="s">
        <v>1115</v>
      </c>
      <c r="E143" s="905" t="s">
        <v>1118</v>
      </c>
      <c r="F143" s="1014">
        <f t="shared" ref="F143:K145" si="69">O81</f>
        <v>0</v>
      </c>
      <c r="G143" s="1013">
        <f t="shared" si="69"/>
        <v>78</v>
      </c>
      <c r="H143" s="1013">
        <f t="shared" si="69"/>
        <v>0</v>
      </c>
      <c r="I143" s="1013">
        <f t="shared" si="69"/>
        <v>78</v>
      </c>
      <c r="J143" s="1012">
        <f t="shared" si="69"/>
        <v>0</v>
      </c>
      <c r="K143" s="1011" t="str">
        <f t="shared" si="69"/>
        <v/>
      </c>
      <c r="L143" s="1015">
        <v>0.22800028617798151</v>
      </c>
      <c r="N143" s="1031" t="s">
        <v>1537</v>
      </c>
      <c r="O143" s="1030">
        <v>7.2396076599719368E-3</v>
      </c>
      <c r="P143" s="1029">
        <v>72</v>
      </c>
      <c r="Q143" s="1028">
        <v>38</v>
      </c>
      <c r="R143" s="1028">
        <v>76</v>
      </c>
      <c r="S143" s="1027">
        <v>35</v>
      </c>
      <c r="T143" s="1026">
        <v>34.726955023416103</v>
      </c>
      <c r="U143" s="1025">
        <v>0.15658695901921843</v>
      </c>
      <c r="V143" s="1017">
        <v>15.417</v>
      </c>
      <c r="W143" s="1017"/>
      <c r="X143" s="1017">
        <v>142</v>
      </c>
    </row>
    <row r="144" spans="1:24">
      <c r="A144" s="905">
        <v>143</v>
      </c>
      <c r="B144" s="905" t="s">
        <v>1536</v>
      </c>
      <c r="C144" s="905">
        <v>29188</v>
      </c>
      <c r="D144" s="905" t="s">
        <v>1115</v>
      </c>
      <c r="E144" s="905" t="s">
        <v>1118</v>
      </c>
      <c r="F144" s="1014">
        <f t="shared" si="69"/>
        <v>0</v>
      </c>
      <c r="G144" s="1013">
        <f t="shared" si="69"/>
        <v>72</v>
      </c>
      <c r="H144" s="1013">
        <f t="shared" si="69"/>
        <v>49.3</v>
      </c>
      <c r="I144" s="1013">
        <f t="shared" si="69"/>
        <v>72</v>
      </c>
      <c r="J144" s="1012">
        <f t="shared" si="69"/>
        <v>43.7</v>
      </c>
      <c r="K144" s="1011">
        <f t="shared" si="69"/>
        <v>26.738828983587556</v>
      </c>
      <c r="L144" s="1010">
        <f>U82</f>
        <v>0.22799820425097142</v>
      </c>
      <c r="N144" s="1037" t="s">
        <v>1535</v>
      </c>
      <c r="O144" s="1036"/>
      <c r="P144" s="1035">
        <v>71</v>
      </c>
      <c r="Q144" s="1013">
        <v>46</v>
      </c>
      <c r="R144" s="1013">
        <v>76</v>
      </c>
      <c r="S144" s="1012">
        <v>40</v>
      </c>
      <c r="T144" s="1011">
        <v>33.153323059986747</v>
      </c>
      <c r="U144" s="1034">
        <v>0.20928852603192599</v>
      </c>
      <c r="V144" s="905">
        <v>149.24600000000001</v>
      </c>
      <c r="X144" s="905">
        <v>143</v>
      </c>
    </row>
    <row r="145" spans="1:24">
      <c r="A145" s="905">
        <v>144</v>
      </c>
      <c r="B145" s="905" t="s">
        <v>1534</v>
      </c>
      <c r="C145" s="905">
        <v>29189</v>
      </c>
      <c r="D145" s="905" t="s">
        <v>1115</v>
      </c>
      <c r="E145" s="905" t="s">
        <v>1117</v>
      </c>
      <c r="F145" s="1014">
        <f t="shared" si="69"/>
        <v>1.2080536912751677E-2</v>
      </c>
      <c r="G145" s="1013">
        <f t="shared" si="69"/>
        <v>65</v>
      </c>
      <c r="H145" s="1013">
        <f t="shared" si="69"/>
        <v>43</v>
      </c>
      <c r="I145" s="1013">
        <f t="shared" si="69"/>
        <v>75</v>
      </c>
      <c r="J145" s="1012">
        <f t="shared" si="69"/>
        <v>38</v>
      </c>
      <c r="K145" s="1011">
        <f t="shared" si="69"/>
        <v>33.747721896932802</v>
      </c>
      <c r="L145" s="1010">
        <f>U83</f>
        <v>0.3286808300395257</v>
      </c>
      <c r="N145" s="1031" t="s">
        <v>1533</v>
      </c>
      <c r="O145" s="1030"/>
      <c r="P145" s="1029">
        <v>74</v>
      </c>
      <c r="Q145" s="1028">
        <v>40</v>
      </c>
      <c r="R145" s="1028">
        <v>74</v>
      </c>
      <c r="S145" s="1027">
        <v>38</v>
      </c>
      <c r="T145" s="1026">
        <v>36.844128774010883</v>
      </c>
      <c r="U145" s="1025">
        <v>0.2188596691126202</v>
      </c>
      <c r="V145" s="1017">
        <v>34.277999999999999</v>
      </c>
      <c r="W145" s="1017"/>
      <c r="X145" s="1017">
        <v>144</v>
      </c>
    </row>
    <row r="146" spans="1:24">
      <c r="A146" s="905">
        <v>145</v>
      </c>
      <c r="B146" s="905" t="s">
        <v>1532</v>
      </c>
      <c r="C146" s="905">
        <v>29189</v>
      </c>
      <c r="D146" s="905" t="s">
        <v>1115</v>
      </c>
      <c r="E146" s="905" t="s">
        <v>1117</v>
      </c>
      <c r="F146" s="1014"/>
      <c r="G146" s="1013"/>
      <c r="H146" s="1013"/>
      <c r="I146" s="1013"/>
      <c r="J146" s="1012"/>
      <c r="K146" s="1011"/>
      <c r="L146" s="1010"/>
      <c r="N146" s="1031" t="s">
        <v>1531</v>
      </c>
      <c r="O146" s="1030"/>
      <c r="P146" s="1029">
        <v>73</v>
      </c>
      <c r="Q146" s="1028">
        <v>41</v>
      </c>
      <c r="R146" s="1028">
        <v>75</v>
      </c>
      <c r="S146" s="1027">
        <v>40</v>
      </c>
      <c r="T146" s="1026">
        <v>3.5520143126997965</v>
      </c>
      <c r="U146" s="1025">
        <v>0.27656720684271863</v>
      </c>
      <c r="V146" s="1017">
        <v>32.901000000000003</v>
      </c>
      <c r="W146" s="1017"/>
      <c r="X146" s="1017">
        <v>145</v>
      </c>
    </row>
    <row r="147" spans="1:24">
      <c r="A147" s="905">
        <v>146</v>
      </c>
      <c r="B147" s="905" t="s">
        <v>1530</v>
      </c>
      <c r="C147" s="905">
        <v>29189</v>
      </c>
      <c r="D147" s="905" t="s">
        <v>1115</v>
      </c>
      <c r="E147" s="905" t="s">
        <v>1117</v>
      </c>
      <c r="F147" s="1014"/>
      <c r="G147" s="1013"/>
      <c r="H147" s="1013"/>
      <c r="I147" s="1013"/>
      <c r="J147" s="1012"/>
      <c r="K147" s="1011"/>
      <c r="L147" s="1010"/>
      <c r="N147" s="1031" t="s">
        <v>1331</v>
      </c>
      <c r="O147" s="1030"/>
      <c r="P147" s="1029">
        <v>67</v>
      </c>
      <c r="Q147" s="1028">
        <v>67</v>
      </c>
      <c r="R147" s="1028">
        <v>71</v>
      </c>
      <c r="S147" s="1027">
        <v>71</v>
      </c>
      <c r="T147" s="1026">
        <v>33.030288913026958</v>
      </c>
      <c r="U147" s="1025">
        <v>0.26487182298263534</v>
      </c>
      <c r="V147" s="1017">
        <v>11.497999999999999</v>
      </c>
      <c r="W147" s="1017"/>
      <c r="X147" s="1017">
        <v>146</v>
      </c>
    </row>
    <row r="148" spans="1:24">
      <c r="A148" s="905">
        <v>147</v>
      </c>
      <c r="B148" s="905" t="s">
        <v>1529</v>
      </c>
      <c r="C148" s="905">
        <v>29188</v>
      </c>
      <c r="D148" s="905" t="s">
        <v>1115</v>
      </c>
      <c r="E148" s="905" t="s">
        <v>1118</v>
      </c>
      <c r="F148" s="1014">
        <f t="shared" ref="F148:L148" si="70">O84</f>
        <v>3.2411973850212182E-2</v>
      </c>
      <c r="G148" s="1013">
        <f t="shared" si="70"/>
        <v>70</v>
      </c>
      <c r="H148" s="1013">
        <f t="shared" si="70"/>
        <v>45</v>
      </c>
      <c r="I148" s="1013">
        <f t="shared" si="70"/>
        <v>80</v>
      </c>
      <c r="J148" s="1012">
        <f t="shared" si="70"/>
        <v>40</v>
      </c>
      <c r="K148" s="1011">
        <f t="shared" si="70"/>
        <v>31.777020942610172</v>
      </c>
      <c r="L148" s="1010">
        <f t="shared" si="70"/>
        <v>0.26890616850789434</v>
      </c>
      <c r="N148" s="1031" t="s">
        <v>1528</v>
      </c>
      <c r="O148" s="1030"/>
      <c r="P148" s="1033">
        <v>75</v>
      </c>
      <c r="Q148" s="1017">
        <v>53</v>
      </c>
      <c r="R148" s="1017">
        <v>85</v>
      </c>
      <c r="S148" s="1032">
        <v>47</v>
      </c>
      <c r="T148" s="1026">
        <v>34.118186758900578</v>
      </c>
      <c r="U148" s="1025">
        <v>0.19083493483106331</v>
      </c>
      <c r="V148" s="1017">
        <v>173.892</v>
      </c>
      <c r="W148" s="1017"/>
      <c r="X148" s="1017">
        <v>147</v>
      </c>
    </row>
    <row r="149" spans="1:24">
      <c r="A149" s="905">
        <v>148</v>
      </c>
      <c r="B149" s="905" t="s">
        <v>1527</v>
      </c>
      <c r="C149" s="905">
        <v>29189</v>
      </c>
      <c r="D149" s="905" t="s">
        <v>1115</v>
      </c>
      <c r="E149" s="905" t="s">
        <v>1117</v>
      </c>
      <c r="F149" s="1014"/>
      <c r="G149" s="1013"/>
      <c r="H149" s="1013"/>
      <c r="I149" s="1013"/>
      <c r="J149" s="1012"/>
      <c r="K149" s="1011"/>
      <c r="L149" s="1010"/>
      <c r="N149" s="1031" t="s">
        <v>1526</v>
      </c>
      <c r="O149" s="1030"/>
      <c r="P149" s="1029">
        <v>68</v>
      </c>
      <c r="Q149" s="1028">
        <v>40</v>
      </c>
      <c r="R149" s="1028">
        <v>70</v>
      </c>
      <c r="S149" s="1027">
        <v>37</v>
      </c>
      <c r="T149" s="1026" t="s">
        <v>805</v>
      </c>
      <c r="U149" s="1025">
        <v>0.23822738827421522</v>
      </c>
      <c r="V149" s="1017">
        <v>18.789349999999999</v>
      </c>
      <c r="W149" s="1017"/>
      <c r="X149" s="1017">
        <v>148</v>
      </c>
    </row>
    <row r="150" spans="1:24">
      <c r="A150" s="905">
        <v>149</v>
      </c>
      <c r="B150" s="905" t="s">
        <v>1525</v>
      </c>
      <c r="C150" s="905">
        <v>29189</v>
      </c>
      <c r="D150" s="905" t="s">
        <v>1115</v>
      </c>
      <c r="E150" s="905" t="s">
        <v>1118</v>
      </c>
      <c r="F150" s="1014"/>
      <c r="G150" s="1013"/>
      <c r="H150" s="1013"/>
      <c r="I150" s="1013"/>
      <c r="J150" s="1012"/>
      <c r="K150" s="1011"/>
      <c r="L150" s="1010"/>
      <c r="N150" s="1031" t="s">
        <v>1524</v>
      </c>
      <c r="O150" s="1030"/>
      <c r="P150" s="1029">
        <v>75</v>
      </c>
      <c r="Q150" s="1028">
        <v>52</v>
      </c>
      <c r="R150" s="1028">
        <v>80</v>
      </c>
      <c r="S150" s="1027">
        <v>45</v>
      </c>
      <c r="T150" s="1026" t="s">
        <v>805</v>
      </c>
      <c r="U150" s="1025">
        <v>0.25359712230215825</v>
      </c>
      <c r="V150" s="1017">
        <v>16.184999999999999</v>
      </c>
      <c r="W150" s="1017"/>
      <c r="X150" s="1017">
        <v>149</v>
      </c>
    </row>
    <row r="151" spans="1:24">
      <c r="A151" s="905">
        <v>150</v>
      </c>
      <c r="B151" s="905" t="s">
        <v>1523</v>
      </c>
      <c r="C151" s="905">
        <v>29189</v>
      </c>
      <c r="D151" s="905" t="s">
        <v>1115</v>
      </c>
      <c r="E151" s="905" t="s">
        <v>1117</v>
      </c>
      <c r="F151" s="1014">
        <f t="shared" ref="F151:L155" si="71">O85</f>
        <v>0</v>
      </c>
      <c r="G151" s="1013">
        <f t="shared" si="71"/>
        <v>68</v>
      </c>
      <c r="H151" s="1013">
        <f t="shared" si="71"/>
        <v>47</v>
      </c>
      <c r="I151" s="1013">
        <f t="shared" si="71"/>
        <v>75</v>
      </c>
      <c r="J151" s="1012">
        <f t="shared" si="71"/>
        <v>37</v>
      </c>
      <c r="K151" s="1011" t="str">
        <f t="shared" si="71"/>
        <v/>
      </c>
      <c r="L151" s="1010">
        <f t="shared" si="71"/>
        <v>0.25414852895132867</v>
      </c>
      <c r="N151" s="1031" t="s">
        <v>1522</v>
      </c>
      <c r="O151" s="1030"/>
      <c r="P151" s="1029">
        <v>69.13</v>
      </c>
      <c r="Q151" s="1028">
        <v>44.59</v>
      </c>
      <c r="R151" s="1028">
        <v>73.069999999999993</v>
      </c>
      <c r="S151" s="1027">
        <v>39.200000000000003</v>
      </c>
      <c r="T151" s="1026"/>
      <c r="U151" s="1025">
        <v>0.24214000347403161</v>
      </c>
      <c r="V151" s="1017">
        <v>78.534000000000006</v>
      </c>
      <c r="W151" s="1017"/>
      <c r="X151" s="1017">
        <v>150</v>
      </c>
    </row>
    <row r="152" spans="1:24">
      <c r="A152" s="905">
        <v>151</v>
      </c>
      <c r="B152" s="905" t="s">
        <v>1521</v>
      </c>
      <c r="C152" s="905">
        <v>29189</v>
      </c>
      <c r="D152" s="905" t="s">
        <v>1115</v>
      </c>
      <c r="E152" s="905" t="s">
        <v>1117</v>
      </c>
      <c r="F152" s="1014">
        <f t="shared" si="71"/>
        <v>1.0352179986765679E-2</v>
      </c>
      <c r="G152" s="1013">
        <f t="shared" si="71"/>
        <v>74</v>
      </c>
      <c r="H152" s="1013">
        <f t="shared" si="71"/>
        <v>39</v>
      </c>
      <c r="I152" s="1013">
        <f t="shared" si="71"/>
        <v>70</v>
      </c>
      <c r="J152" s="1012">
        <f t="shared" si="71"/>
        <v>37</v>
      </c>
      <c r="K152" s="1011">
        <f t="shared" si="71"/>
        <v>45.378171948085345</v>
      </c>
      <c r="L152" s="1010">
        <f t="shared" si="71"/>
        <v>0.27424555355789659</v>
      </c>
      <c r="N152" s="1031" t="s">
        <v>1520</v>
      </c>
      <c r="O152" s="1030">
        <v>3.2552457602759412E-2</v>
      </c>
      <c r="P152" s="1029">
        <v>71.3</v>
      </c>
      <c r="Q152" s="1028">
        <v>34.6</v>
      </c>
      <c r="R152" s="1028">
        <v>69.5</v>
      </c>
      <c r="S152" s="1027">
        <v>32.6</v>
      </c>
      <c r="T152" s="1026">
        <v>35.553078526925404</v>
      </c>
      <c r="U152" s="1025">
        <v>0.17525811483324669</v>
      </c>
      <c r="V152" s="1017">
        <v>22.207000000000001</v>
      </c>
      <c r="W152" s="1017"/>
      <c r="X152" s="1017">
        <v>151</v>
      </c>
    </row>
    <row r="153" spans="1:24">
      <c r="A153" s="905">
        <v>152</v>
      </c>
      <c r="B153" s="905" t="s">
        <v>1519</v>
      </c>
      <c r="C153" s="905">
        <v>29189</v>
      </c>
      <c r="D153" s="905" t="s">
        <v>1115</v>
      </c>
      <c r="E153" s="905" t="s">
        <v>1117</v>
      </c>
      <c r="F153" s="1014">
        <f t="shared" si="71"/>
        <v>0</v>
      </c>
      <c r="G153" s="1013">
        <f t="shared" si="71"/>
        <v>75</v>
      </c>
      <c r="H153" s="1013">
        <f t="shared" si="71"/>
        <v>42</v>
      </c>
      <c r="I153" s="1013">
        <f t="shared" si="71"/>
        <v>80</v>
      </c>
      <c r="J153" s="1012">
        <f t="shared" si="71"/>
        <v>37</v>
      </c>
      <c r="K153" s="1011" t="str">
        <f t="shared" si="71"/>
        <v/>
      </c>
      <c r="L153" s="1010">
        <f t="shared" si="71"/>
        <v>0.27379140817043196</v>
      </c>
      <c r="N153" s="1031" t="s">
        <v>1518</v>
      </c>
      <c r="O153" s="1030"/>
      <c r="P153" s="1029">
        <v>70</v>
      </c>
      <c r="Q153" s="1028">
        <v>40</v>
      </c>
      <c r="R153" s="1028">
        <v>74</v>
      </c>
      <c r="S153" s="1027">
        <v>36</v>
      </c>
      <c r="T153" s="1026">
        <v>30.217456453888268</v>
      </c>
      <c r="U153" s="1025">
        <v>0.24838776783856875</v>
      </c>
      <c r="V153" s="1017">
        <v>7.226</v>
      </c>
      <c r="W153" s="1017"/>
      <c r="X153" s="1017">
        <v>152</v>
      </c>
    </row>
    <row r="154" spans="1:24">
      <c r="A154" s="905">
        <v>153</v>
      </c>
      <c r="B154" s="905" t="s">
        <v>1517</v>
      </c>
      <c r="C154" s="905">
        <v>29189</v>
      </c>
      <c r="D154" s="905" t="s">
        <v>1116</v>
      </c>
      <c r="E154" s="905" t="s">
        <v>1117</v>
      </c>
      <c r="F154" s="1014">
        <f t="shared" si="71"/>
        <v>0</v>
      </c>
      <c r="G154" s="1013">
        <f t="shared" si="71"/>
        <v>75</v>
      </c>
      <c r="H154" s="1013">
        <f t="shared" si="71"/>
        <v>42</v>
      </c>
      <c r="I154" s="1013">
        <f t="shared" si="71"/>
        <v>80</v>
      </c>
      <c r="J154" s="1012">
        <f t="shared" si="71"/>
        <v>42</v>
      </c>
      <c r="K154" s="1011" t="str">
        <f t="shared" si="71"/>
        <v/>
      </c>
      <c r="L154" s="1010">
        <f t="shared" si="71"/>
        <v>0.19338545966684473</v>
      </c>
      <c r="N154" s="1031" t="s">
        <v>1516</v>
      </c>
      <c r="O154" s="1030"/>
      <c r="P154" s="1029">
        <v>65</v>
      </c>
      <c r="Q154" s="1028">
        <v>40</v>
      </c>
      <c r="R154" s="1028">
        <v>70</v>
      </c>
      <c r="S154" s="1027">
        <v>35</v>
      </c>
      <c r="T154" s="1026">
        <v>32.20957264957265</v>
      </c>
      <c r="U154" s="1025">
        <v>0.24167047010497489</v>
      </c>
      <c r="V154" s="1017">
        <v>9.9689999999999994</v>
      </c>
      <c r="W154" s="1017"/>
      <c r="X154" s="1017">
        <v>153</v>
      </c>
    </row>
    <row r="155" spans="1:24">
      <c r="A155" s="905">
        <v>154</v>
      </c>
      <c r="B155" s="905" t="s">
        <v>1515</v>
      </c>
      <c r="C155" s="905">
        <v>29189</v>
      </c>
      <c r="D155" s="905" t="s">
        <v>1115</v>
      </c>
      <c r="E155" s="905" t="s">
        <v>1117</v>
      </c>
      <c r="F155" s="1014">
        <f t="shared" si="71"/>
        <v>0</v>
      </c>
      <c r="G155" s="1013">
        <f t="shared" si="71"/>
        <v>68</v>
      </c>
      <c r="H155" s="1013">
        <f t="shared" si="71"/>
        <v>45</v>
      </c>
      <c r="I155" s="1013">
        <f t="shared" si="71"/>
        <v>76</v>
      </c>
      <c r="J155" s="1012">
        <f t="shared" si="71"/>
        <v>41</v>
      </c>
      <c r="K155" s="1011">
        <f t="shared" si="71"/>
        <v>33.24808408180693</v>
      </c>
      <c r="L155" s="1010">
        <f t="shared" si="71"/>
        <v>0.19381967805610387</v>
      </c>
      <c r="N155" s="1031" t="s">
        <v>1514</v>
      </c>
      <c r="O155" s="1030"/>
      <c r="P155" s="1029">
        <v>70</v>
      </c>
      <c r="Q155" s="1028">
        <v>40</v>
      </c>
      <c r="R155" s="1028">
        <v>77</v>
      </c>
      <c r="S155" s="1027">
        <v>36</v>
      </c>
      <c r="T155" s="1026"/>
      <c r="U155" s="1025">
        <v>0.24604347931460702</v>
      </c>
      <c r="V155" s="1017">
        <v>31.109000000000002</v>
      </c>
      <c r="W155" s="1017"/>
      <c r="X155" s="1017">
        <v>154</v>
      </c>
    </row>
    <row r="156" spans="1:24">
      <c r="A156" s="905">
        <v>155</v>
      </c>
      <c r="B156" s="905" t="s">
        <v>1511</v>
      </c>
      <c r="C156" s="905">
        <v>19501</v>
      </c>
      <c r="D156" s="905" t="s">
        <v>1116</v>
      </c>
      <c r="E156" s="905" t="s">
        <v>1118</v>
      </c>
      <c r="F156" s="1014"/>
      <c r="G156" s="1013"/>
      <c r="H156" s="1013"/>
      <c r="I156" s="1013"/>
      <c r="J156" s="1012"/>
      <c r="K156" s="1011"/>
      <c r="L156" s="1010"/>
      <c r="N156" s="1031" t="s">
        <v>1513</v>
      </c>
      <c r="O156" s="1030"/>
      <c r="P156" s="1029">
        <v>75</v>
      </c>
      <c r="Q156" s="1028">
        <v>38</v>
      </c>
      <c r="R156" s="1028">
        <v>84</v>
      </c>
      <c r="S156" s="1027">
        <v>40</v>
      </c>
      <c r="T156" s="1026" t="s">
        <v>805</v>
      </c>
      <c r="U156" s="1025">
        <v>0.30186201957507758</v>
      </c>
      <c r="V156" s="1017">
        <v>5.8490000000000002</v>
      </c>
      <c r="W156" s="1017"/>
      <c r="X156" s="1017">
        <v>155</v>
      </c>
    </row>
    <row r="157" spans="1:24">
      <c r="A157" s="905">
        <v>156</v>
      </c>
      <c r="B157" s="905" t="s">
        <v>1511</v>
      </c>
      <c r="C157" s="905">
        <v>29189</v>
      </c>
      <c r="D157" s="905" t="s">
        <v>1115</v>
      </c>
      <c r="E157" s="905" t="s">
        <v>1118</v>
      </c>
      <c r="F157" s="1014"/>
      <c r="G157" s="1013"/>
      <c r="H157" s="1013"/>
      <c r="I157" s="1013"/>
      <c r="J157" s="1012"/>
      <c r="K157" s="1011"/>
      <c r="L157" s="1010"/>
      <c r="N157" s="1031" t="s">
        <v>1512</v>
      </c>
      <c r="O157" s="1030"/>
      <c r="P157" s="1029">
        <v>75</v>
      </c>
      <c r="Q157" s="1028">
        <v>0</v>
      </c>
      <c r="R157" s="1028">
        <v>80</v>
      </c>
      <c r="S157" s="1027">
        <v>0</v>
      </c>
      <c r="T157" s="1026" t="s">
        <v>805</v>
      </c>
      <c r="U157" s="1025">
        <v>0.23113988857099835</v>
      </c>
      <c r="V157" s="1017">
        <v>15.318</v>
      </c>
      <c r="W157" s="1017"/>
      <c r="X157" s="1017">
        <v>156</v>
      </c>
    </row>
    <row r="158" spans="1:24">
      <c r="A158" s="905">
        <v>157</v>
      </c>
      <c r="B158" s="905" t="s">
        <v>1511</v>
      </c>
      <c r="C158" s="905">
        <v>29189</v>
      </c>
      <c r="D158" s="905" t="s">
        <v>1115</v>
      </c>
      <c r="E158" s="905" t="s">
        <v>1117</v>
      </c>
      <c r="F158" s="1014"/>
      <c r="G158" s="1013"/>
      <c r="H158" s="1013"/>
      <c r="I158" s="1013"/>
      <c r="J158" s="1012"/>
      <c r="K158" s="1011"/>
      <c r="L158" s="1010"/>
      <c r="N158" s="1031" t="s">
        <v>1510</v>
      </c>
      <c r="O158" s="1030"/>
      <c r="P158" s="1029">
        <v>74</v>
      </c>
      <c r="Q158" s="1028">
        <v>42</v>
      </c>
      <c r="R158" s="1028">
        <v>77</v>
      </c>
      <c r="S158" s="1027">
        <v>40</v>
      </c>
      <c r="T158" s="1026">
        <v>29.494048140043763</v>
      </c>
      <c r="U158" s="1025">
        <v>0.47068206469725005</v>
      </c>
      <c r="V158" s="1017">
        <v>8.2959999999999994</v>
      </c>
      <c r="W158" s="1017"/>
      <c r="X158" s="1017">
        <v>157</v>
      </c>
    </row>
    <row r="159" spans="1:24">
      <c r="A159" s="905">
        <v>158</v>
      </c>
      <c r="B159" s="905" t="s">
        <v>1509</v>
      </c>
      <c r="C159" s="905">
        <v>29189</v>
      </c>
      <c r="D159" s="905" t="s">
        <v>1115</v>
      </c>
      <c r="E159" s="905" t="s">
        <v>1117</v>
      </c>
      <c r="F159" s="1014">
        <f t="shared" ref="F159:L159" si="72">O90</f>
        <v>0</v>
      </c>
      <c r="G159" s="1013">
        <f t="shared" si="72"/>
        <v>72.900000000000006</v>
      </c>
      <c r="H159" s="1013">
        <f t="shared" si="72"/>
        <v>40.200000000000003</v>
      </c>
      <c r="I159" s="1013">
        <f t="shared" si="72"/>
        <v>80.099999999999994</v>
      </c>
      <c r="J159" s="1012">
        <f t="shared" si="72"/>
        <v>49.7</v>
      </c>
      <c r="K159" s="1011">
        <f t="shared" si="72"/>
        <v>40.717182043157479</v>
      </c>
      <c r="L159" s="1010">
        <f t="shared" si="72"/>
        <v>0.21341618305097992</v>
      </c>
      <c r="N159" s="1031" t="s">
        <v>1508</v>
      </c>
      <c r="O159" s="1030"/>
      <c r="P159" s="1029">
        <v>69</v>
      </c>
      <c r="Q159" s="1028">
        <v>69</v>
      </c>
      <c r="R159" s="1028">
        <v>75</v>
      </c>
      <c r="S159" s="1027">
        <v>75</v>
      </c>
      <c r="T159" s="1026" t="s">
        <v>805</v>
      </c>
      <c r="U159" s="1025"/>
      <c r="V159" s="1017" t="s">
        <v>805</v>
      </c>
      <c r="W159" s="1017"/>
      <c r="X159" s="1017">
        <v>158</v>
      </c>
    </row>
    <row r="160" spans="1:24">
      <c r="A160" s="905">
        <v>159</v>
      </c>
      <c r="B160" s="905" t="s">
        <v>1507</v>
      </c>
      <c r="C160" s="905">
        <v>29188</v>
      </c>
      <c r="D160" s="905" t="s">
        <v>1115</v>
      </c>
      <c r="E160" s="905" t="s">
        <v>1118</v>
      </c>
      <c r="F160" s="1014"/>
      <c r="G160" s="1013"/>
      <c r="H160" s="1013"/>
      <c r="I160" s="1013"/>
      <c r="J160" s="1012"/>
      <c r="K160" s="1011"/>
      <c r="L160" s="1010"/>
      <c r="N160" s="1037" t="s">
        <v>1506</v>
      </c>
      <c r="O160" s="1036">
        <v>6.3045178780834099E-2</v>
      </c>
      <c r="P160" s="1035">
        <v>68</v>
      </c>
      <c r="Q160" s="1013">
        <v>39</v>
      </c>
      <c r="R160" s="1013">
        <v>70</v>
      </c>
      <c r="S160" s="1012">
        <v>37</v>
      </c>
      <c r="T160" s="1011">
        <v>34.619867704569735</v>
      </c>
      <c r="U160" s="1034">
        <v>0.18063503242656337</v>
      </c>
      <c r="V160" s="905">
        <v>55.843000000000004</v>
      </c>
      <c r="X160" s="905">
        <v>159</v>
      </c>
    </row>
    <row r="161" spans="1:24">
      <c r="A161" s="905">
        <v>160</v>
      </c>
      <c r="B161" s="905" t="s">
        <v>1505</v>
      </c>
      <c r="C161" s="905">
        <v>55133</v>
      </c>
      <c r="D161" s="905" t="s">
        <v>1116</v>
      </c>
      <c r="E161" s="905" t="s">
        <v>1117</v>
      </c>
      <c r="F161" s="1014">
        <f t="shared" ref="F161:L161" si="73">O92</f>
        <v>0</v>
      </c>
      <c r="G161" s="1013">
        <f t="shared" si="73"/>
        <v>67</v>
      </c>
      <c r="H161" s="1013">
        <f t="shared" si="73"/>
        <v>47</v>
      </c>
      <c r="I161" s="1013">
        <f t="shared" si="73"/>
        <v>71</v>
      </c>
      <c r="J161" s="1012">
        <f t="shared" si="73"/>
        <v>42</v>
      </c>
      <c r="K161" s="1011">
        <f t="shared" si="73"/>
        <v>32.374826091609592</v>
      </c>
      <c r="L161" s="1010">
        <f t="shared" si="73"/>
        <v>0.27105062099109822</v>
      </c>
      <c r="N161" s="1031" t="s">
        <v>1504</v>
      </c>
      <c r="O161" s="1030"/>
      <c r="P161" s="1029">
        <v>69</v>
      </c>
      <c r="Q161" s="1028">
        <v>42</v>
      </c>
      <c r="R161" s="1028">
        <v>79</v>
      </c>
      <c r="S161" s="1027">
        <v>40</v>
      </c>
      <c r="T161" s="1026">
        <v>31.922208718287816</v>
      </c>
      <c r="U161" s="1025">
        <v>0.25570625535959229</v>
      </c>
      <c r="V161" s="1017">
        <v>44.872800000000005</v>
      </c>
      <c r="W161" s="1017"/>
      <c r="X161" s="1017">
        <v>160</v>
      </c>
    </row>
    <row r="162" spans="1:24" ht="15.6">
      <c r="A162" s="905">
        <v>161</v>
      </c>
      <c r="B162" s="905" t="s">
        <v>1503</v>
      </c>
      <c r="C162" s="905">
        <v>29189</v>
      </c>
      <c r="D162" s="905" t="s">
        <v>1115</v>
      </c>
      <c r="E162" s="905" t="s">
        <v>1117</v>
      </c>
      <c r="F162" s="1014">
        <f t="shared" ref="F162:K162" si="74">O93</f>
        <v>0</v>
      </c>
      <c r="G162" s="1013">
        <f t="shared" si="74"/>
        <v>71</v>
      </c>
      <c r="H162" s="1013">
        <f t="shared" si="74"/>
        <v>41</v>
      </c>
      <c r="I162" s="1013">
        <f t="shared" si="74"/>
        <v>73</v>
      </c>
      <c r="J162" s="1012">
        <f t="shared" si="74"/>
        <v>38</v>
      </c>
      <c r="K162" s="1011" t="str">
        <f t="shared" si="74"/>
        <v/>
      </c>
      <c r="L162" s="1015">
        <v>0.22800028617798151</v>
      </c>
      <c r="N162" s="1031" t="s">
        <v>1502</v>
      </c>
      <c r="O162" s="1030">
        <v>6.5034355946966028E-3</v>
      </c>
      <c r="P162" s="1029">
        <v>67</v>
      </c>
      <c r="Q162" s="1028">
        <v>39</v>
      </c>
      <c r="R162" s="1028">
        <v>67</v>
      </c>
      <c r="S162" s="1027">
        <v>35</v>
      </c>
      <c r="T162" s="1026" t="s">
        <v>805</v>
      </c>
      <c r="U162" s="1025">
        <v>0.25355062440335874</v>
      </c>
      <c r="V162" s="1017">
        <v>76.629000000000005</v>
      </c>
      <c r="W162" s="1017"/>
      <c r="X162" s="1017">
        <v>161</v>
      </c>
    </row>
    <row r="163" spans="1:24" ht="15.6">
      <c r="A163" s="905">
        <v>162</v>
      </c>
      <c r="B163" s="905" t="s">
        <v>1501</v>
      </c>
      <c r="C163" s="905">
        <v>64502</v>
      </c>
      <c r="D163" s="905" t="s">
        <v>1115</v>
      </c>
      <c r="E163" s="905" t="s">
        <v>1118</v>
      </c>
      <c r="F163" s="1014">
        <f t="shared" ref="F163:K166" si="75">O95</f>
        <v>0</v>
      </c>
      <c r="G163" s="1013">
        <f t="shared" si="75"/>
        <v>75</v>
      </c>
      <c r="H163" s="1013">
        <f t="shared" si="75"/>
        <v>0</v>
      </c>
      <c r="I163" s="1013">
        <f t="shared" si="75"/>
        <v>90</v>
      </c>
      <c r="J163" s="1012">
        <f t="shared" si="75"/>
        <v>0</v>
      </c>
      <c r="K163" s="1011" t="str">
        <f t="shared" si="75"/>
        <v/>
      </c>
      <c r="L163" s="1015">
        <v>0.22800028617798151</v>
      </c>
      <c r="N163" s="1031" t="s">
        <v>1500</v>
      </c>
      <c r="O163" s="1030"/>
      <c r="P163" s="1029">
        <v>75</v>
      </c>
      <c r="Q163" s="1028">
        <v>45</v>
      </c>
      <c r="R163" s="1028">
        <v>85</v>
      </c>
      <c r="S163" s="1027">
        <v>48</v>
      </c>
      <c r="T163" s="1026"/>
      <c r="U163" s="1025">
        <v>0.18813899613899615</v>
      </c>
      <c r="V163" s="1017">
        <v>105.136</v>
      </c>
      <c r="W163" s="1017"/>
      <c r="X163" s="1017">
        <v>162</v>
      </c>
    </row>
    <row r="164" spans="1:24" ht="15.6">
      <c r="A164" s="905">
        <v>163</v>
      </c>
      <c r="B164" s="905" t="s">
        <v>1499</v>
      </c>
      <c r="C164" s="905">
        <v>29189</v>
      </c>
      <c r="D164" s="905" t="s">
        <v>1116</v>
      </c>
      <c r="E164" s="905" t="s">
        <v>1117</v>
      </c>
      <c r="F164" s="1014">
        <f t="shared" si="75"/>
        <v>0</v>
      </c>
      <c r="G164" s="1013">
        <f t="shared" si="75"/>
        <v>66</v>
      </c>
      <c r="H164" s="1013">
        <f t="shared" si="75"/>
        <v>38</v>
      </c>
      <c r="I164" s="1013">
        <f t="shared" si="75"/>
        <v>80</v>
      </c>
      <c r="J164" s="1012">
        <f t="shared" si="75"/>
        <v>36</v>
      </c>
      <c r="K164" s="1011" t="str">
        <f t="shared" si="75"/>
        <v/>
      </c>
      <c r="L164" s="1015">
        <v>0.17374718282373314</v>
      </c>
      <c r="N164" s="1031" t="s">
        <v>1498</v>
      </c>
      <c r="O164" s="1030"/>
      <c r="P164" s="1029">
        <v>84</v>
      </c>
      <c r="Q164" s="1028">
        <v>40</v>
      </c>
      <c r="R164" s="1028">
        <v>82</v>
      </c>
      <c r="S164" s="1027">
        <v>36</v>
      </c>
      <c r="T164" s="1026" t="s">
        <v>805</v>
      </c>
      <c r="U164" s="1025">
        <v>0.34889287851585876</v>
      </c>
      <c r="V164" s="1017">
        <v>2.1760000000000002</v>
      </c>
      <c r="W164" s="1017"/>
      <c r="X164" s="1017">
        <v>163</v>
      </c>
    </row>
    <row r="165" spans="1:24" ht="15.6">
      <c r="A165" s="905">
        <v>164</v>
      </c>
      <c r="B165" s="905" t="s">
        <v>1497</v>
      </c>
      <c r="C165" s="905">
        <v>29189</v>
      </c>
      <c r="D165" s="905" t="s">
        <v>1115</v>
      </c>
      <c r="E165" s="905" t="s">
        <v>1117</v>
      </c>
      <c r="F165" s="1014">
        <f t="shared" si="75"/>
        <v>0</v>
      </c>
      <c r="G165" s="1013">
        <f t="shared" si="75"/>
        <v>67</v>
      </c>
      <c r="H165" s="1013">
        <f t="shared" si="75"/>
        <v>48</v>
      </c>
      <c r="I165" s="1013">
        <f t="shared" si="75"/>
        <v>69</v>
      </c>
      <c r="J165" s="1012">
        <f t="shared" si="75"/>
        <v>42</v>
      </c>
      <c r="K165" s="1011">
        <f t="shared" si="75"/>
        <v>24.980858148348673</v>
      </c>
      <c r="L165" s="1040">
        <f>U97</f>
        <v>0.1265196059700936</v>
      </c>
      <c r="N165" s="1031" t="s">
        <v>1301</v>
      </c>
      <c r="O165" s="1030"/>
      <c r="P165" s="1029">
        <v>76</v>
      </c>
      <c r="Q165" s="1028">
        <v>48</v>
      </c>
      <c r="R165" s="1028">
        <v>77</v>
      </c>
      <c r="S165" s="1027">
        <v>46</v>
      </c>
      <c r="T165" s="1026">
        <v>30.891617926391213</v>
      </c>
      <c r="U165" s="1025">
        <v>0.19897859012715033</v>
      </c>
      <c r="V165" s="1017">
        <v>342.709</v>
      </c>
      <c r="W165" s="1017"/>
      <c r="X165" s="1017">
        <v>164</v>
      </c>
    </row>
    <row r="166" spans="1:24">
      <c r="A166" s="905">
        <v>165</v>
      </c>
      <c r="B166" s="905" t="s">
        <v>1496</v>
      </c>
      <c r="C166" s="905">
        <v>29189</v>
      </c>
      <c r="D166" s="905" t="s">
        <v>1115</v>
      </c>
      <c r="E166" s="905" t="s">
        <v>1117</v>
      </c>
      <c r="F166" s="1014">
        <f t="shared" si="75"/>
        <v>3.4891220672580145E-2</v>
      </c>
      <c r="G166" s="1013">
        <f t="shared" si="75"/>
        <v>69</v>
      </c>
      <c r="H166" s="1013">
        <f t="shared" si="75"/>
        <v>39</v>
      </c>
      <c r="I166" s="1013">
        <f t="shared" si="75"/>
        <v>70</v>
      </c>
      <c r="J166" s="1012">
        <f t="shared" si="75"/>
        <v>35</v>
      </c>
      <c r="K166" s="1011">
        <f t="shared" si="75"/>
        <v>30.593606605570255</v>
      </c>
      <c r="L166" s="1010">
        <f>U98</f>
        <v>0.27331848232250644</v>
      </c>
      <c r="N166" s="1037" t="s">
        <v>1495</v>
      </c>
      <c r="O166" s="1036"/>
      <c r="P166" s="1035">
        <v>69</v>
      </c>
      <c r="Q166" s="1013">
        <v>44</v>
      </c>
      <c r="R166" s="1013">
        <v>69</v>
      </c>
      <c r="S166" s="1012">
        <v>40</v>
      </c>
      <c r="T166" s="1011">
        <v>27.059326758843259</v>
      </c>
      <c r="U166" s="1034">
        <v>0.17438589911869493</v>
      </c>
      <c r="V166" s="905">
        <v>8.8059999999999992</v>
      </c>
      <c r="X166" s="905">
        <v>165</v>
      </c>
    </row>
    <row r="167" spans="1:24">
      <c r="A167" s="905">
        <v>166</v>
      </c>
      <c r="B167" s="905" t="s">
        <v>1494</v>
      </c>
      <c r="C167" s="905">
        <v>29188</v>
      </c>
      <c r="D167" s="905" t="s">
        <v>1115</v>
      </c>
      <c r="E167" s="905" t="s">
        <v>1118</v>
      </c>
      <c r="F167" s="1014"/>
      <c r="G167" s="1013"/>
      <c r="H167" s="1013"/>
      <c r="I167" s="1013"/>
      <c r="J167" s="1012"/>
      <c r="K167" s="1011"/>
      <c r="L167" s="1010"/>
      <c r="N167" s="1037" t="s">
        <v>1493</v>
      </c>
      <c r="O167" s="1036"/>
      <c r="P167" s="1035">
        <v>73</v>
      </c>
      <c r="Q167" s="1013">
        <v>47</v>
      </c>
      <c r="R167" s="1013">
        <v>75</v>
      </c>
      <c r="S167" s="1012">
        <v>44</v>
      </c>
      <c r="T167" s="1011">
        <v>29.46588670296757</v>
      </c>
      <c r="U167" s="1034">
        <v>0.21280308596620132</v>
      </c>
      <c r="V167" s="905">
        <v>119.994</v>
      </c>
      <c r="X167" s="905">
        <v>166</v>
      </c>
    </row>
    <row r="168" spans="1:24">
      <c r="A168" s="905">
        <v>167</v>
      </c>
      <c r="B168" s="905" t="s">
        <v>1492</v>
      </c>
      <c r="C168" s="905">
        <v>32264</v>
      </c>
      <c r="D168" s="905" t="s">
        <v>1115</v>
      </c>
      <c r="E168" s="905" t="s">
        <v>1117</v>
      </c>
      <c r="F168" s="1014"/>
      <c r="G168" s="1013"/>
      <c r="H168" s="1013"/>
      <c r="I168" s="1013"/>
      <c r="J168" s="1012"/>
      <c r="K168" s="1011"/>
      <c r="L168" s="1010"/>
      <c r="N168" s="1031" t="s">
        <v>1491</v>
      </c>
      <c r="O168" s="1030"/>
      <c r="P168" s="1029">
        <v>66</v>
      </c>
      <c r="Q168" s="1028">
        <v>0</v>
      </c>
      <c r="R168" s="1028">
        <v>72</v>
      </c>
      <c r="S168" s="1027">
        <v>0</v>
      </c>
      <c r="T168" s="1026" t="s">
        <v>805</v>
      </c>
      <c r="U168" s="1025">
        <v>0.22408497568466854</v>
      </c>
      <c r="V168" s="1017">
        <v>42.441000000000003</v>
      </c>
      <c r="W168" s="1017"/>
      <c r="X168" s="1017">
        <v>167</v>
      </c>
    </row>
    <row r="169" spans="1:24">
      <c r="A169" s="905">
        <v>168</v>
      </c>
      <c r="B169" s="905" t="s">
        <v>1490</v>
      </c>
      <c r="C169" s="905">
        <v>29188</v>
      </c>
      <c r="D169" s="905" t="s">
        <v>1115</v>
      </c>
      <c r="E169" s="905" t="s">
        <v>1118</v>
      </c>
      <c r="F169" s="1014"/>
      <c r="G169" s="1013"/>
      <c r="H169" s="1013"/>
      <c r="I169" s="1013"/>
      <c r="J169" s="1012"/>
      <c r="K169" s="1011"/>
      <c r="L169" s="1010"/>
      <c r="N169" s="1031" t="s">
        <v>1489</v>
      </c>
      <c r="O169" s="1030"/>
      <c r="P169" s="1029">
        <v>70</v>
      </c>
      <c r="Q169" s="1028">
        <v>38</v>
      </c>
      <c r="R169" s="1028">
        <v>75</v>
      </c>
      <c r="S169" s="1027">
        <v>38</v>
      </c>
      <c r="T169" s="1026" t="s">
        <v>805</v>
      </c>
      <c r="U169" s="1025">
        <v>0.31825006729629263</v>
      </c>
      <c r="V169" s="1017">
        <v>5.9517110000000004</v>
      </c>
      <c r="W169" s="1017"/>
      <c r="X169" s="1017">
        <v>168</v>
      </c>
    </row>
    <row r="170" spans="1:24">
      <c r="A170" s="905">
        <v>169</v>
      </c>
      <c r="B170" s="905" t="s">
        <v>1488</v>
      </c>
      <c r="C170" s="905">
        <v>29189</v>
      </c>
      <c r="D170" s="905" t="s">
        <v>1115</v>
      </c>
      <c r="E170" s="905" t="s">
        <v>1117</v>
      </c>
      <c r="F170" s="1014">
        <f t="shared" ref="F170:L170" si="76">O99</f>
        <v>0</v>
      </c>
      <c r="G170" s="1013">
        <f t="shared" si="76"/>
        <v>70</v>
      </c>
      <c r="H170" s="1013">
        <f t="shared" si="76"/>
        <v>42</v>
      </c>
      <c r="I170" s="1013">
        <f t="shared" si="76"/>
        <v>70</v>
      </c>
      <c r="J170" s="1012">
        <f t="shared" si="76"/>
        <v>38</v>
      </c>
      <c r="K170" s="1011" t="str">
        <f t="shared" si="76"/>
        <v/>
      </c>
      <c r="L170" s="1010">
        <f t="shared" si="76"/>
        <v>0.23610619469026548</v>
      </c>
      <c r="N170" s="1031" t="s">
        <v>1487</v>
      </c>
      <c r="O170" s="1030"/>
      <c r="P170" s="1029">
        <v>70</v>
      </c>
      <c r="Q170" s="1028">
        <v>40</v>
      </c>
      <c r="R170" s="1028">
        <v>70</v>
      </c>
      <c r="S170" s="1027">
        <v>40</v>
      </c>
      <c r="T170" s="1026" t="s">
        <v>805</v>
      </c>
      <c r="U170" s="1025">
        <v>0.27653055540081334</v>
      </c>
      <c r="V170" s="1017">
        <v>12.987</v>
      </c>
      <c r="W170" s="1017"/>
      <c r="X170" s="1017">
        <v>169</v>
      </c>
    </row>
    <row r="171" spans="1:24">
      <c r="A171" s="905">
        <v>170</v>
      </c>
      <c r="B171" s="905" t="s">
        <v>1486</v>
      </c>
      <c r="C171" s="905">
        <v>29188</v>
      </c>
      <c r="D171" s="905" t="s">
        <v>1115</v>
      </c>
      <c r="E171" s="905" t="s">
        <v>1118</v>
      </c>
      <c r="F171" s="1014">
        <f t="shared" ref="F171:L171" si="77">O101</f>
        <v>0</v>
      </c>
      <c r="G171" s="1013">
        <f t="shared" si="77"/>
        <v>72</v>
      </c>
      <c r="H171" s="1013">
        <f t="shared" si="77"/>
        <v>45</v>
      </c>
      <c r="I171" s="1013">
        <f t="shared" si="77"/>
        <v>80</v>
      </c>
      <c r="J171" s="1012">
        <f t="shared" si="77"/>
        <v>42</v>
      </c>
      <c r="K171" s="1011">
        <f t="shared" si="77"/>
        <v>0</v>
      </c>
      <c r="L171" s="1010">
        <f t="shared" si="77"/>
        <v>0.28730906781643772</v>
      </c>
      <c r="N171" s="1031" t="s">
        <v>1485</v>
      </c>
      <c r="O171" s="1030"/>
      <c r="P171" s="1033">
        <v>68</v>
      </c>
      <c r="Q171" s="1017">
        <v>43</v>
      </c>
      <c r="R171" s="1017">
        <v>72</v>
      </c>
      <c r="S171" s="1032">
        <v>39</v>
      </c>
      <c r="T171" s="1026" t="s">
        <v>805</v>
      </c>
      <c r="U171" s="1025">
        <v>0.4113171659533999</v>
      </c>
      <c r="V171" s="1017">
        <v>3.714</v>
      </c>
      <c r="W171" s="1017"/>
      <c r="X171" s="1017">
        <v>170</v>
      </c>
    </row>
    <row r="172" spans="1:24">
      <c r="A172" s="905">
        <v>171</v>
      </c>
      <c r="B172" s="905" t="s">
        <v>1484</v>
      </c>
      <c r="C172" s="905">
        <v>29189</v>
      </c>
      <c r="D172" s="905" t="s">
        <v>1115</v>
      </c>
      <c r="E172" s="905" t="s">
        <v>1117</v>
      </c>
      <c r="F172" s="1014"/>
      <c r="G172" s="1013"/>
      <c r="H172" s="1013"/>
      <c r="I172" s="1013"/>
      <c r="J172" s="1012"/>
      <c r="K172" s="1011"/>
      <c r="L172" s="1010"/>
      <c r="N172" s="1031" t="s">
        <v>1483</v>
      </c>
      <c r="O172" s="1030">
        <v>4.1460488828909882E-2</v>
      </c>
      <c r="P172" s="1029">
        <v>75</v>
      </c>
      <c r="Q172" s="1028">
        <v>52</v>
      </c>
      <c r="R172" s="1028">
        <v>80</v>
      </c>
      <c r="S172" s="1027">
        <v>45</v>
      </c>
      <c r="T172" s="1026">
        <v>33.037664698547196</v>
      </c>
      <c r="U172" s="1025">
        <v>0.28146265154477906</v>
      </c>
      <c r="V172" s="1017">
        <v>18.373000000000001</v>
      </c>
      <c r="W172" s="1017"/>
      <c r="X172" s="1017">
        <v>171</v>
      </c>
    </row>
    <row r="173" spans="1:24">
      <c r="A173" s="905">
        <v>172</v>
      </c>
      <c r="B173" s="905" t="s">
        <v>1482</v>
      </c>
      <c r="C173" s="905">
        <v>29189</v>
      </c>
      <c r="D173" s="905" t="s">
        <v>1115</v>
      </c>
      <c r="E173" s="905" t="s">
        <v>1117</v>
      </c>
      <c r="F173" s="1014">
        <f t="shared" ref="F173:L175" si="78">O102</f>
        <v>0</v>
      </c>
      <c r="G173" s="1013">
        <f t="shared" si="78"/>
        <v>74.3</v>
      </c>
      <c r="H173" s="1013">
        <f t="shared" si="78"/>
        <v>37.5</v>
      </c>
      <c r="I173" s="1013">
        <f t="shared" si="78"/>
        <v>75.5</v>
      </c>
      <c r="J173" s="1012">
        <f t="shared" si="78"/>
        <v>34.5</v>
      </c>
      <c r="K173" s="1011" t="str">
        <f t="shared" si="78"/>
        <v/>
      </c>
      <c r="L173" s="1010">
        <f t="shared" si="78"/>
        <v>0.26546329054096318</v>
      </c>
      <c r="N173" s="1031" t="s">
        <v>1481</v>
      </c>
      <c r="O173" s="1030"/>
      <c r="P173" s="1029">
        <v>78</v>
      </c>
      <c r="Q173" s="1028">
        <v>49</v>
      </c>
      <c r="R173" s="1028">
        <v>86</v>
      </c>
      <c r="S173" s="1027">
        <v>46</v>
      </c>
      <c r="T173" s="1026">
        <v>28.562707285434296</v>
      </c>
      <c r="U173" s="1025">
        <v>0.23777803861728974</v>
      </c>
      <c r="V173" s="1017">
        <v>25.975000000000001</v>
      </c>
      <c r="W173" s="1017"/>
      <c r="X173" s="1017">
        <v>172</v>
      </c>
    </row>
    <row r="174" spans="1:24">
      <c r="A174" s="905">
        <v>173</v>
      </c>
      <c r="B174" s="905" t="s">
        <v>1480</v>
      </c>
      <c r="C174" s="905">
        <v>29189</v>
      </c>
      <c r="D174" s="905" t="s">
        <v>1115</v>
      </c>
      <c r="E174" s="905" t="s">
        <v>1117</v>
      </c>
      <c r="F174" s="1014">
        <f t="shared" si="78"/>
        <v>4.198931344086293E-2</v>
      </c>
      <c r="G174" s="1013">
        <f t="shared" si="78"/>
        <v>70</v>
      </c>
      <c r="H174" s="1013">
        <f t="shared" si="78"/>
        <v>40</v>
      </c>
      <c r="I174" s="1013">
        <f t="shared" si="78"/>
        <v>80</v>
      </c>
      <c r="J174" s="1012">
        <f t="shared" si="78"/>
        <v>39</v>
      </c>
      <c r="K174" s="1011">
        <f t="shared" si="78"/>
        <v>31.889129498295652</v>
      </c>
      <c r="L174" s="1010">
        <f t="shared" si="78"/>
        <v>0.31770808967621539</v>
      </c>
      <c r="N174" s="1031" t="s">
        <v>1292</v>
      </c>
      <c r="O174" s="1030"/>
      <c r="P174" s="1029">
        <v>77</v>
      </c>
      <c r="Q174" s="1028">
        <v>39</v>
      </c>
      <c r="R174" s="1028">
        <v>77</v>
      </c>
      <c r="S174" s="1027">
        <v>39</v>
      </c>
      <c r="T174" s="1026">
        <v>37.862868754626078</v>
      </c>
      <c r="U174" s="1025">
        <v>4.7737212692701383E-2</v>
      </c>
      <c r="V174" s="1017">
        <v>30.7</v>
      </c>
      <c r="W174" s="1017"/>
      <c r="X174" s="1017">
        <v>173</v>
      </c>
    </row>
    <row r="175" spans="1:24">
      <c r="A175" s="905">
        <v>174</v>
      </c>
      <c r="B175" s="905" t="s">
        <v>1478</v>
      </c>
      <c r="C175" s="905">
        <v>29189</v>
      </c>
      <c r="D175" s="905" t="s">
        <v>1116</v>
      </c>
      <c r="E175" s="905" t="s">
        <v>1118</v>
      </c>
      <c r="F175" s="1014">
        <f t="shared" si="78"/>
        <v>0</v>
      </c>
      <c r="G175" s="1013">
        <f t="shared" si="78"/>
        <v>74</v>
      </c>
      <c r="H175" s="1013">
        <f t="shared" si="78"/>
        <v>48</v>
      </c>
      <c r="I175" s="1013">
        <f t="shared" si="78"/>
        <v>88</v>
      </c>
      <c r="J175" s="1012">
        <f t="shared" si="78"/>
        <v>42</v>
      </c>
      <c r="K175" s="1011">
        <f t="shared" si="78"/>
        <v>31.018432008135505</v>
      </c>
      <c r="L175" s="1010">
        <f t="shared" si="78"/>
        <v>0.3725274241155998</v>
      </c>
      <c r="N175" s="1031" t="s">
        <v>1479</v>
      </c>
      <c r="O175" s="1030"/>
      <c r="P175" s="1029">
        <v>65</v>
      </c>
      <c r="Q175" s="1028">
        <v>41</v>
      </c>
      <c r="R175" s="1028">
        <v>75</v>
      </c>
      <c r="S175" s="1027">
        <v>32</v>
      </c>
      <c r="T175" s="1026" t="s">
        <v>805</v>
      </c>
      <c r="U175" s="1025">
        <v>0.25466067349495247</v>
      </c>
      <c r="V175" s="1017">
        <v>10.115</v>
      </c>
      <c r="W175" s="1017"/>
      <c r="X175" s="1017">
        <v>174</v>
      </c>
    </row>
    <row r="176" spans="1:24">
      <c r="A176" s="905">
        <v>175</v>
      </c>
      <c r="B176" s="905" t="s">
        <v>1478</v>
      </c>
      <c r="C176" s="905">
        <v>29189</v>
      </c>
      <c r="D176" s="905" t="s">
        <v>1115</v>
      </c>
      <c r="E176" s="905" t="s">
        <v>1118</v>
      </c>
      <c r="F176" s="1014">
        <f t="shared" ref="F176:L176" si="79">F175</f>
        <v>0</v>
      </c>
      <c r="G176" s="1013">
        <f t="shared" si="79"/>
        <v>74</v>
      </c>
      <c r="H176" s="1013">
        <f t="shared" si="79"/>
        <v>48</v>
      </c>
      <c r="I176" s="1013">
        <f t="shared" si="79"/>
        <v>88</v>
      </c>
      <c r="J176" s="1012">
        <f t="shared" si="79"/>
        <v>42</v>
      </c>
      <c r="K176" s="1011">
        <f t="shared" si="79"/>
        <v>31.018432008135505</v>
      </c>
      <c r="L176" s="1010">
        <f t="shared" si="79"/>
        <v>0.3725274241155998</v>
      </c>
      <c r="N176" s="1031" t="s">
        <v>1477</v>
      </c>
      <c r="O176" s="1030"/>
      <c r="P176" s="1029">
        <v>70.2</v>
      </c>
      <c r="Q176" s="1028">
        <v>47.3</v>
      </c>
      <c r="R176" s="1028">
        <v>75.900000000000006</v>
      </c>
      <c r="S176" s="1027">
        <v>46.7</v>
      </c>
      <c r="T176" s="1026">
        <v>26.803716840015852</v>
      </c>
      <c r="U176" s="1025">
        <v>7.0796840732193278E-2</v>
      </c>
      <c r="V176" s="1017">
        <v>129.648</v>
      </c>
      <c r="W176" s="1017"/>
      <c r="X176" s="1017">
        <v>175</v>
      </c>
    </row>
    <row r="177" spans="1:24">
      <c r="A177" s="905">
        <v>176</v>
      </c>
      <c r="B177" s="905" t="s">
        <v>1475</v>
      </c>
      <c r="C177" s="905">
        <v>55606</v>
      </c>
      <c r="D177" s="905" t="s">
        <v>1116</v>
      </c>
      <c r="E177" s="905" t="s">
        <v>1118</v>
      </c>
      <c r="F177" s="1014">
        <f t="shared" ref="F177:L177" si="80">O105</f>
        <v>0</v>
      </c>
      <c r="G177" s="1013">
        <f t="shared" si="80"/>
        <v>80</v>
      </c>
      <c r="H177" s="1013">
        <f t="shared" si="80"/>
        <v>45</v>
      </c>
      <c r="I177" s="1013">
        <f t="shared" si="80"/>
        <v>85</v>
      </c>
      <c r="J177" s="1012">
        <f t="shared" si="80"/>
        <v>45</v>
      </c>
      <c r="K177" s="1011" t="str">
        <f t="shared" si="80"/>
        <v/>
      </c>
      <c r="L177" s="1010">
        <f t="shared" si="80"/>
        <v>0.10795193210896252</v>
      </c>
      <c r="N177" s="1031" t="s">
        <v>1476</v>
      </c>
      <c r="O177" s="1030"/>
      <c r="P177" s="1029">
        <v>73</v>
      </c>
      <c r="Q177" s="1028">
        <v>46</v>
      </c>
      <c r="R177" s="1028">
        <v>78</v>
      </c>
      <c r="S177" s="1027">
        <v>46</v>
      </c>
      <c r="T177" s="1026" t="s">
        <v>805</v>
      </c>
      <c r="U177" s="1025">
        <v>0.27856629710890629</v>
      </c>
      <c r="V177" s="1017">
        <v>37.155999999999999</v>
      </c>
      <c r="W177" s="1017"/>
      <c r="X177" s="1017">
        <v>176</v>
      </c>
    </row>
    <row r="178" spans="1:24">
      <c r="A178" s="905">
        <v>177</v>
      </c>
      <c r="B178" s="905" t="s">
        <v>1475</v>
      </c>
      <c r="C178" s="905">
        <v>55606</v>
      </c>
      <c r="D178" s="905" t="s">
        <v>1115</v>
      </c>
      <c r="E178" s="905" t="s">
        <v>1118</v>
      </c>
      <c r="F178" s="1014">
        <f t="shared" ref="F178:L178" si="81">F177</f>
        <v>0</v>
      </c>
      <c r="G178" s="1013">
        <f t="shared" si="81"/>
        <v>80</v>
      </c>
      <c r="H178" s="1013">
        <f t="shared" si="81"/>
        <v>45</v>
      </c>
      <c r="I178" s="1013">
        <f t="shared" si="81"/>
        <v>85</v>
      </c>
      <c r="J178" s="1012">
        <f t="shared" si="81"/>
        <v>45</v>
      </c>
      <c r="K178" s="1011" t="str">
        <f t="shared" si="81"/>
        <v/>
      </c>
      <c r="L178" s="1010">
        <f t="shared" si="81"/>
        <v>0.10795193210896252</v>
      </c>
      <c r="N178" s="1031" t="s">
        <v>1474</v>
      </c>
      <c r="O178" s="1030"/>
      <c r="P178" s="1029">
        <v>72</v>
      </c>
      <c r="Q178" s="1028">
        <v>35</v>
      </c>
      <c r="R178" s="1028">
        <v>75</v>
      </c>
      <c r="S178" s="1027">
        <v>35</v>
      </c>
      <c r="T178" s="1026">
        <v>33.511714440642471</v>
      </c>
      <c r="U178" s="1025">
        <v>0.22924664107485604</v>
      </c>
      <c r="V178" s="1017">
        <v>6.4249999999999998</v>
      </c>
      <c r="W178" s="1017"/>
      <c r="X178" s="1017">
        <v>177</v>
      </c>
    </row>
    <row r="179" spans="1:24">
      <c r="A179" s="905">
        <v>178</v>
      </c>
      <c r="B179" s="905" t="s">
        <v>1473</v>
      </c>
      <c r="C179" s="905">
        <v>29189</v>
      </c>
      <c r="D179" s="905" t="s">
        <v>1115</v>
      </c>
      <c r="E179" s="905" t="s">
        <v>1118</v>
      </c>
      <c r="F179" s="1014"/>
      <c r="G179" s="1013"/>
      <c r="H179" s="1013"/>
      <c r="I179" s="1013"/>
      <c r="J179" s="1012"/>
      <c r="K179" s="1011"/>
      <c r="L179" s="1010"/>
      <c r="N179" s="1031" t="s">
        <v>1472</v>
      </c>
      <c r="O179" s="1030">
        <v>3.628439117406701E-2</v>
      </c>
      <c r="P179" s="1029">
        <v>65</v>
      </c>
      <c r="Q179" s="1028">
        <v>40</v>
      </c>
      <c r="R179" s="1028">
        <v>68</v>
      </c>
      <c r="S179" s="1027">
        <v>34</v>
      </c>
      <c r="T179" s="1026">
        <v>32.310391334359899</v>
      </c>
      <c r="U179" s="1025">
        <v>0.25445191927186389</v>
      </c>
      <c r="V179" s="1017">
        <v>13.188000000000001</v>
      </c>
      <c r="W179" s="1017"/>
      <c r="X179" s="1017">
        <v>178</v>
      </c>
    </row>
    <row r="180" spans="1:24">
      <c r="A180" s="905">
        <v>179</v>
      </c>
      <c r="B180" s="905" t="s">
        <v>1470</v>
      </c>
      <c r="C180" s="905">
        <v>19501</v>
      </c>
      <c r="D180" s="905" t="s">
        <v>1116</v>
      </c>
      <c r="E180" s="905" t="s">
        <v>1118</v>
      </c>
      <c r="F180" s="1014">
        <f t="shared" ref="F180:L180" si="82">O106</f>
        <v>0</v>
      </c>
      <c r="G180" s="1013">
        <f t="shared" si="82"/>
        <v>74</v>
      </c>
      <c r="H180" s="1013">
        <f t="shared" si="82"/>
        <v>52</v>
      </c>
      <c r="I180" s="1013">
        <f t="shared" si="82"/>
        <v>82</v>
      </c>
      <c r="J180" s="1012">
        <f t="shared" si="82"/>
        <v>48</v>
      </c>
      <c r="K180" s="1011" t="str">
        <f t="shared" si="82"/>
        <v/>
      </c>
      <c r="L180" s="1010">
        <f t="shared" si="82"/>
        <v>0.1757134564395425</v>
      </c>
      <c r="N180" s="1037" t="s">
        <v>1471</v>
      </c>
      <c r="O180" s="1036"/>
      <c r="P180" s="1035">
        <v>65</v>
      </c>
      <c r="Q180" s="1013">
        <v>0</v>
      </c>
      <c r="R180" s="1013">
        <v>70</v>
      </c>
      <c r="S180" s="1012">
        <v>0</v>
      </c>
      <c r="T180" s="1011" t="s">
        <v>805</v>
      </c>
      <c r="U180" s="1034"/>
      <c r="V180" s="905" t="s">
        <v>805</v>
      </c>
      <c r="X180" s="905">
        <v>179</v>
      </c>
    </row>
    <row r="181" spans="1:24">
      <c r="A181" s="905">
        <v>180</v>
      </c>
      <c r="B181" s="905" t="s">
        <v>1470</v>
      </c>
      <c r="C181" s="905">
        <v>19501</v>
      </c>
      <c r="D181" s="905" t="s">
        <v>1115</v>
      </c>
      <c r="E181" s="905" t="s">
        <v>1118</v>
      </c>
      <c r="F181" s="1014">
        <f t="shared" ref="F181:L181" si="83">F180</f>
        <v>0</v>
      </c>
      <c r="G181" s="1013">
        <f t="shared" si="83"/>
        <v>74</v>
      </c>
      <c r="H181" s="1013">
        <f t="shared" si="83"/>
        <v>52</v>
      </c>
      <c r="I181" s="1013">
        <f t="shared" si="83"/>
        <v>82</v>
      </c>
      <c r="J181" s="1012">
        <f t="shared" si="83"/>
        <v>48</v>
      </c>
      <c r="K181" s="1011" t="str">
        <f t="shared" si="83"/>
        <v/>
      </c>
      <c r="L181" s="1010">
        <f t="shared" si="83"/>
        <v>0.1757134564395425</v>
      </c>
      <c r="N181" s="1031" t="s">
        <v>1280</v>
      </c>
      <c r="O181" s="1030"/>
      <c r="P181" s="1029">
        <v>68</v>
      </c>
      <c r="Q181" s="1028">
        <v>36</v>
      </c>
      <c r="R181" s="1028">
        <v>70</v>
      </c>
      <c r="S181" s="1027">
        <v>33</v>
      </c>
      <c r="T181" s="1026"/>
      <c r="U181" s="1025">
        <v>0.26015151515151513</v>
      </c>
      <c r="V181" s="1017">
        <v>4.883</v>
      </c>
      <c r="W181" s="1017"/>
      <c r="X181" s="1017">
        <v>180</v>
      </c>
    </row>
    <row r="182" spans="1:24">
      <c r="A182" s="905">
        <v>181</v>
      </c>
      <c r="B182" s="905" t="s">
        <v>1469</v>
      </c>
      <c r="C182" s="905">
        <v>29189</v>
      </c>
      <c r="D182" s="905" t="s">
        <v>1115</v>
      </c>
      <c r="E182" s="905" t="s">
        <v>1117</v>
      </c>
      <c r="F182" s="1014"/>
      <c r="G182" s="1013"/>
      <c r="H182" s="1013"/>
      <c r="I182" s="1013"/>
      <c r="J182" s="1012"/>
      <c r="K182" s="1011"/>
      <c r="L182" s="1010"/>
      <c r="N182" s="1031" t="s">
        <v>1468</v>
      </c>
      <c r="O182" s="1030"/>
      <c r="P182" s="1029">
        <v>66.099999999999994</v>
      </c>
      <c r="Q182" s="1028">
        <v>44</v>
      </c>
      <c r="R182" s="1028">
        <v>69</v>
      </c>
      <c r="S182" s="1027">
        <v>39.5</v>
      </c>
      <c r="T182" s="1026">
        <v>27.789915231702551</v>
      </c>
      <c r="U182" s="1025">
        <v>0.17671806501226486</v>
      </c>
      <c r="V182" s="1017">
        <v>293.33699999999999</v>
      </c>
      <c r="W182" s="1017"/>
      <c r="X182" s="1017">
        <v>181</v>
      </c>
    </row>
    <row r="183" spans="1:24">
      <c r="A183" s="905">
        <v>182</v>
      </c>
      <c r="B183" s="905" t="s">
        <v>1467</v>
      </c>
      <c r="C183" s="905">
        <v>29189</v>
      </c>
      <c r="D183" s="905" t="s">
        <v>1115</v>
      </c>
      <c r="E183" s="905" t="s">
        <v>1118</v>
      </c>
      <c r="F183" s="1014">
        <f t="shared" ref="F183:L183" si="84">O107</f>
        <v>1.6020721412125863E-2</v>
      </c>
      <c r="G183" s="1013">
        <f t="shared" si="84"/>
        <v>75</v>
      </c>
      <c r="H183" s="1013">
        <f t="shared" si="84"/>
        <v>41</v>
      </c>
      <c r="I183" s="1013">
        <f t="shared" si="84"/>
        <v>76</v>
      </c>
      <c r="J183" s="1012">
        <f t="shared" si="84"/>
        <v>36</v>
      </c>
      <c r="K183" s="1011">
        <f t="shared" si="84"/>
        <v>38.430332926347113</v>
      </c>
      <c r="L183" s="1010">
        <f t="shared" si="84"/>
        <v>0.28141756848981181</v>
      </c>
      <c r="N183" s="1031" t="s">
        <v>1466</v>
      </c>
      <c r="O183" s="1030">
        <v>3.3328752061572292E-3</v>
      </c>
      <c r="P183" s="1029">
        <v>68</v>
      </c>
      <c r="Q183" s="1028">
        <v>34</v>
      </c>
      <c r="R183" s="1028">
        <v>68</v>
      </c>
      <c r="S183" s="1027">
        <v>32</v>
      </c>
      <c r="T183" s="1026">
        <v>37.040916326142735</v>
      </c>
      <c r="U183" s="1025">
        <v>0.25273209914848138</v>
      </c>
      <c r="V183" s="1017">
        <v>21.675999999999998</v>
      </c>
      <c r="W183" s="1017"/>
      <c r="X183" s="1017">
        <v>182</v>
      </c>
    </row>
    <row r="184" spans="1:24">
      <c r="A184" s="905">
        <v>183</v>
      </c>
      <c r="B184" s="905" t="s">
        <v>1465</v>
      </c>
      <c r="C184" s="905">
        <v>29189</v>
      </c>
      <c r="D184" s="905" t="s">
        <v>1115</v>
      </c>
      <c r="E184" s="905" t="s">
        <v>1117</v>
      </c>
      <c r="F184" s="1014"/>
      <c r="G184" s="1013"/>
      <c r="H184" s="1013"/>
      <c r="I184" s="1013"/>
      <c r="J184" s="1012"/>
      <c r="K184" s="1011"/>
      <c r="L184" s="1010"/>
      <c r="N184" s="1031" t="s">
        <v>1464</v>
      </c>
      <c r="O184" s="1030">
        <v>1.2688216132485934E-2</v>
      </c>
      <c r="P184" s="1029">
        <v>67</v>
      </c>
      <c r="Q184" s="1028">
        <v>46</v>
      </c>
      <c r="R184" s="1028">
        <v>83</v>
      </c>
      <c r="S184" s="1027">
        <v>41</v>
      </c>
      <c r="T184" s="1026">
        <v>29.11144538321798</v>
      </c>
      <c r="U184" s="1025">
        <v>0.3055235106824789</v>
      </c>
      <c r="V184" s="1017">
        <v>30.1</v>
      </c>
      <c r="W184" s="1017"/>
      <c r="X184" s="1017">
        <v>183</v>
      </c>
    </row>
    <row r="185" spans="1:24">
      <c r="A185" s="905">
        <v>184</v>
      </c>
      <c r="B185" s="905" t="s">
        <v>1463</v>
      </c>
      <c r="C185" s="905">
        <v>29189</v>
      </c>
      <c r="D185" s="905" t="s">
        <v>1115</v>
      </c>
      <c r="E185" s="905" t="s">
        <v>1117</v>
      </c>
      <c r="F185" s="1014"/>
      <c r="G185" s="1013"/>
      <c r="H185" s="1013"/>
      <c r="I185" s="1013"/>
      <c r="J185" s="1012"/>
      <c r="K185" s="1011"/>
      <c r="L185" s="1010"/>
      <c r="N185" s="1031" t="s">
        <v>1462</v>
      </c>
      <c r="O185" s="1030"/>
      <c r="P185" s="1029">
        <v>70</v>
      </c>
      <c r="Q185" s="1028">
        <v>38</v>
      </c>
      <c r="R185" s="1028">
        <v>74</v>
      </c>
      <c r="S185" s="1027">
        <v>34</v>
      </c>
      <c r="T185" s="1026">
        <v>37.892150655978803</v>
      </c>
      <c r="U185" s="1025">
        <v>0.28466427189831445</v>
      </c>
      <c r="V185" s="1017">
        <v>12.944000000000001</v>
      </c>
      <c r="W185" s="1017"/>
      <c r="X185" s="1017">
        <v>184</v>
      </c>
    </row>
    <row r="186" spans="1:24">
      <c r="A186" s="905">
        <v>185</v>
      </c>
      <c r="B186" s="905" t="s">
        <v>1460</v>
      </c>
      <c r="C186" s="905">
        <v>29188</v>
      </c>
      <c r="D186" s="905" t="s">
        <v>1115</v>
      </c>
      <c r="E186" s="905" t="s">
        <v>1118</v>
      </c>
      <c r="F186" s="1014"/>
      <c r="G186" s="1013"/>
      <c r="H186" s="1013"/>
      <c r="I186" s="1013"/>
      <c r="J186" s="1012"/>
      <c r="K186" s="1011"/>
      <c r="L186" s="1010"/>
      <c r="N186" s="1031" t="s">
        <v>1461</v>
      </c>
      <c r="O186" s="1030"/>
      <c r="P186" s="1029">
        <v>65</v>
      </c>
      <c r="Q186" s="1028">
        <v>39</v>
      </c>
      <c r="R186" s="1028">
        <v>75</v>
      </c>
      <c r="S186" s="1027">
        <v>37</v>
      </c>
      <c r="T186" s="1026" t="s">
        <v>805</v>
      </c>
      <c r="U186" s="1025">
        <v>0.22543422128847049</v>
      </c>
      <c r="V186" s="1017">
        <v>193.18600000000001</v>
      </c>
      <c r="W186" s="1017"/>
      <c r="X186" s="1017">
        <v>185</v>
      </c>
    </row>
    <row r="187" spans="1:24">
      <c r="A187" s="905">
        <v>186</v>
      </c>
      <c r="B187" s="905" t="s">
        <v>1460</v>
      </c>
      <c r="C187" s="905">
        <v>70960</v>
      </c>
      <c r="D187" s="905" t="s">
        <v>1115</v>
      </c>
      <c r="E187" s="905" t="s">
        <v>1118</v>
      </c>
      <c r="F187" s="1014"/>
      <c r="G187" s="1013"/>
      <c r="H187" s="1013"/>
      <c r="I187" s="1013"/>
      <c r="J187" s="1012"/>
      <c r="K187" s="1011"/>
      <c r="L187" s="1010"/>
      <c r="N187" s="1031" t="s">
        <v>1459</v>
      </c>
      <c r="O187" s="1030"/>
      <c r="P187" s="1029">
        <v>72</v>
      </c>
      <c r="Q187" s="1028">
        <v>37</v>
      </c>
      <c r="R187" s="1028">
        <v>68</v>
      </c>
      <c r="S187" s="1027">
        <v>33</v>
      </c>
      <c r="T187" s="1026">
        <v>34.04097488484021</v>
      </c>
      <c r="U187" s="1025">
        <v>0.22778636344302505</v>
      </c>
      <c r="V187" s="1017">
        <v>54.465000000000003</v>
      </c>
      <c r="W187" s="1017"/>
      <c r="X187" s="1017">
        <v>186</v>
      </c>
    </row>
    <row r="188" spans="1:24">
      <c r="A188" s="905">
        <v>187</v>
      </c>
      <c r="B188" s="905" t="s">
        <v>1458</v>
      </c>
      <c r="C188" s="905">
        <v>29189</v>
      </c>
      <c r="D188" s="905" t="s">
        <v>1115</v>
      </c>
      <c r="E188" s="905" t="s">
        <v>1117</v>
      </c>
      <c r="F188" s="1014">
        <f t="shared" ref="F188:L188" si="85">O108</f>
        <v>3.8071326441955766E-2</v>
      </c>
      <c r="G188" s="1013">
        <f t="shared" si="85"/>
        <v>68.7</v>
      </c>
      <c r="H188" s="1013">
        <f t="shared" si="85"/>
        <v>49.7</v>
      </c>
      <c r="I188" s="1013">
        <f t="shared" si="85"/>
        <v>70.8</v>
      </c>
      <c r="J188" s="1012">
        <f t="shared" si="85"/>
        <v>46</v>
      </c>
      <c r="K188" s="1011">
        <f t="shared" si="85"/>
        <v>22.152504600492247</v>
      </c>
      <c r="L188" s="1010">
        <f t="shared" si="85"/>
        <v>0.20717171142467</v>
      </c>
      <c r="N188" s="1031" t="s">
        <v>1457</v>
      </c>
      <c r="O188" s="1030"/>
      <c r="P188" s="1029">
        <v>63</v>
      </c>
      <c r="Q188" s="1028">
        <v>38</v>
      </c>
      <c r="R188" s="1028">
        <v>70</v>
      </c>
      <c r="S188" s="1027">
        <v>36</v>
      </c>
      <c r="T188" s="1026"/>
      <c r="U188" s="1025"/>
      <c r="V188" s="1017" t="s">
        <v>805</v>
      </c>
      <c r="W188" s="1017"/>
      <c r="X188" s="1017">
        <v>187</v>
      </c>
    </row>
    <row r="189" spans="1:24">
      <c r="A189" s="905">
        <v>188</v>
      </c>
      <c r="B189" s="905" t="s">
        <v>1454</v>
      </c>
      <c r="C189" s="905">
        <v>29188</v>
      </c>
      <c r="D189" s="905" t="s">
        <v>1115</v>
      </c>
      <c r="E189" s="905" t="s">
        <v>1118</v>
      </c>
      <c r="F189" s="1014"/>
      <c r="G189" s="1013"/>
      <c r="H189" s="1013"/>
      <c r="I189" s="1013"/>
      <c r="J189" s="1012"/>
      <c r="K189" s="1011"/>
      <c r="L189" s="1010"/>
      <c r="N189" s="1037" t="s">
        <v>1456</v>
      </c>
      <c r="O189" s="1036">
        <v>1.1426705843943846E-2</v>
      </c>
      <c r="P189" s="1035">
        <v>69</v>
      </c>
      <c r="Q189" s="1013">
        <v>33</v>
      </c>
      <c r="R189" s="1013">
        <v>69</v>
      </c>
      <c r="S189" s="1012">
        <v>34</v>
      </c>
      <c r="T189" s="1011">
        <v>35.45147203192289</v>
      </c>
      <c r="U189" s="1034">
        <v>0.20369147218552766</v>
      </c>
      <c r="V189" s="905">
        <v>21.701000000000001</v>
      </c>
      <c r="X189" s="905">
        <v>188</v>
      </c>
    </row>
    <row r="190" spans="1:24">
      <c r="A190" s="905">
        <v>189</v>
      </c>
      <c r="B190" s="905" t="s">
        <v>1454</v>
      </c>
      <c r="C190" s="905">
        <v>58271</v>
      </c>
      <c r="D190" s="905" t="s">
        <v>1115</v>
      </c>
      <c r="E190" s="905" t="s">
        <v>1118</v>
      </c>
      <c r="F190" s="1014"/>
      <c r="G190" s="1013"/>
      <c r="H190" s="1013"/>
      <c r="I190" s="1013"/>
      <c r="J190" s="1012"/>
      <c r="K190" s="1011"/>
      <c r="L190" s="1010"/>
      <c r="N190" s="1031" t="s">
        <v>1455</v>
      </c>
      <c r="O190" s="1030"/>
      <c r="P190" s="1029">
        <v>80</v>
      </c>
      <c r="Q190" s="1028">
        <v>37</v>
      </c>
      <c r="R190" s="1028">
        <v>89</v>
      </c>
      <c r="S190" s="1027">
        <v>36</v>
      </c>
      <c r="T190" s="1026" t="s">
        <v>805</v>
      </c>
      <c r="U190" s="1025">
        <v>0.25266230607059842</v>
      </c>
      <c r="V190" s="1017">
        <v>27.65</v>
      </c>
      <c r="W190" s="1017"/>
      <c r="X190" s="1017">
        <v>189</v>
      </c>
    </row>
    <row r="191" spans="1:24">
      <c r="A191" s="905">
        <v>190</v>
      </c>
      <c r="B191" s="905" t="s">
        <v>1454</v>
      </c>
      <c r="C191" s="905">
        <v>63640</v>
      </c>
      <c r="D191" s="905" t="s">
        <v>1115</v>
      </c>
      <c r="E191" s="905" t="s">
        <v>1118</v>
      </c>
      <c r="F191" s="1014"/>
      <c r="G191" s="1013"/>
      <c r="H191" s="1013"/>
      <c r="I191" s="1013"/>
      <c r="J191" s="1012"/>
      <c r="K191" s="1011"/>
      <c r="L191" s="1010"/>
      <c r="N191" s="1037" t="s">
        <v>1453</v>
      </c>
      <c r="O191" s="1036"/>
      <c r="P191" s="1035">
        <v>66</v>
      </c>
      <c r="Q191" s="1013">
        <v>46</v>
      </c>
      <c r="R191" s="1013">
        <v>73</v>
      </c>
      <c r="S191" s="1012">
        <v>42</v>
      </c>
      <c r="T191" s="1011">
        <v>21.990494296577946</v>
      </c>
      <c r="U191" s="1034">
        <v>0.40520446096654272</v>
      </c>
      <c r="V191" s="905">
        <v>3.2</v>
      </c>
      <c r="X191" s="905">
        <v>190</v>
      </c>
    </row>
    <row r="192" spans="1:24">
      <c r="A192" s="905">
        <v>191</v>
      </c>
      <c r="B192" s="905" t="s">
        <v>1451</v>
      </c>
      <c r="C192" s="905">
        <v>29189</v>
      </c>
      <c r="D192" s="905" t="s">
        <v>1116</v>
      </c>
      <c r="E192" s="905" t="s">
        <v>1117</v>
      </c>
      <c r="F192" s="1014">
        <f t="shared" ref="F192:L192" si="86">O109</f>
        <v>0</v>
      </c>
      <c r="G192" s="1013">
        <f t="shared" si="86"/>
        <v>69</v>
      </c>
      <c r="H192" s="1013">
        <f t="shared" si="86"/>
        <v>40</v>
      </c>
      <c r="I192" s="1013">
        <f t="shared" si="86"/>
        <v>73</v>
      </c>
      <c r="J192" s="1012">
        <f t="shared" si="86"/>
        <v>36</v>
      </c>
      <c r="K192" s="1011">
        <f t="shared" si="86"/>
        <v>42.092665479648893</v>
      </c>
      <c r="L192" s="1010">
        <f t="shared" si="86"/>
        <v>0.23629304613748173</v>
      </c>
      <c r="N192" s="1031" t="s">
        <v>1452</v>
      </c>
      <c r="O192" s="1030">
        <v>1.9295246130958989E-2</v>
      </c>
      <c r="P192" s="1029">
        <v>70</v>
      </c>
      <c r="Q192" s="1028">
        <v>47</v>
      </c>
      <c r="R192" s="1028">
        <v>82</v>
      </c>
      <c r="S192" s="1027">
        <v>44</v>
      </c>
      <c r="T192" s="1026">
        <v>35.799021344934445</v>
      </c>
      <c r="U192" s="1025">
        <v>0.28027078427821045</v>
      </c>
      <c r="V192" s="1017">
        <v>31.789000000000001</v>
      </c>
      <c r="W192" s="1017"/>
      <c r="X192" s="1017">
        <v>191</v>
      </c>
    </row>
    <row r="193" spans="1:24">
      <c r="A193" s="905">
        <v>192</v>
      </c>
      <c r="B193" s="905" t="s">
        <v>1451</v>
      </c>
      <c r="C193" s="905">
        <v>29189</v>
      </c>
      <c r="D193" s="905" t="s">
        <v>1115</v>
      </c>
      <c r="E193" s="905" t="s">
        <v>1117</v>
      </c>
      <c r="F193" s="1014">
        <f t="shared" ref="F193:L193" si="87">F192</f>
        <v>0</v>
      </c>
      <c r="G193" s="1013">
        <f t="shared" si="87"/>
        <v>69</v>
      </c>
      <c r="H193" s="1013">
        <f t="shared" si="87"/>
        <v>40</v>
      </c>
      <c r="I193" s="1013">
        <f t="shared" si="87"/>
        <v>73</v>
      </c>
      <c r="J193" s="1012">
        <f t="shared" si="87"/>
        <v>36</v>
      </c>
      <c r="K193" s="1011">
        <f t="shared" si="87"/>
        <v>42.092665479648893</v>
      </c>
      <c r="L193" s="1010">
        <f t="shared" si="87"/>
        <v>0.23629304613748173</v>
      </c>
      <c r="N193" s="1031" t="s">
        <v>1450</v>
      </c>
      <c r="O193" s="1030"/>
      <c r="P193" s="1029">
        <v>68</v>
      </c>
      <c r="Q193" s="1028">
        <v>45</v>
      </c>
      <c r="R193" s="1028">
        <v>73</v>
      </c>
      <c r="S193" s="1027">
        <v>41</v>
      </c>
      <c r="T193" s="1026">
        <v>31.864698078790894</v>
      </c>
      <c r="U193" s="1025">
        <v>0.22919297348272941</v>
      </c>
      <c r="V193" s="1017">
        <v>48.223999999999997</v>
      </c>
      <c r="W193" s="1017"/>
      <c r="X193" s="1017">
        <v>192</v>
      </c>
    </row>
    <row r="194" spans="1:24">
      <c r="A194" s="905">
        <v>193</v>
      </c>
      <c r="B194" s="905" t="s">
        <v>1449</v>
      </c>
      <c r="C194" s="905">
        <v>29189</v>
      </c>
      <c r="D194" s="905" t="s">
        <v>1115</v>
      </c>
      <c r="E194" s="905" t="s">
        <v>1117</v>
      </c>
      <c r="F194" s="1014"/>
      <c r="G194" s="1013"/>
      <c r="H194" s="1013"/>
      <c r="I194" s="1013"/>
      <c r="J194" s="1012"/>
      <c r="K194" s="1011"/>
      <c r="L194" s="1010"/>
      <c r="N194" s="1031" t="s">
        <v>1448</v>
      </c>
      <c r="O194" s="1030">
        <v>7.8280671790492452E-3</v>
      </c>
      <c r="P194" s="1029">
        <v>65</v>
      </c>
      <c r="Q194" s="1028">
        <v>39</v>
      </c>
      <c r="R194" s="1028">
        <v>65</v>
      </c>
      <c r="S194" s="1027">
        <v>32</v>
      </c>
      <c r="T194" s="1026">
        <v>30.509211195928753</v>
      </c>
      <c r="U194" s="1025">
        <v>0.28252761440252472</v>
      </c>
      <c r="V194" s="1017">
        <v>10.003</v>
      </c>
      <c r="W194" s="1017"/>
      <c r="X194" s="1017">
        <v>193</v>
      </c>
    </row>
    <row r="195" spans="1:24" ht="15.6">
      <c r="A195" s="905">
        <v>194</v>
      </c>
      <c r="B195" s="905" t="s">
        <v>1447</v>
      </c>
      <c r="C195" s="905">
        <v>11931</v>
      </c>
      <c r="D195" s="905" t="s">
        <v>1116</v>
      </c>
      <c r="E195" s="905" t="s">
        <v>1118</v>
      </c>
      <c r="F195" s="1014">
        <f t="shared" ref="F195:K197" si="88">O110</f>
        <v>0</v>
      </c>
      <c r="G195" s="1013">
        <f t="shared" si="88"/>
        <v>85</v>
      </c>
      <c r="H195" s="1013">
        <f t="shared" si="88"/>
        <v>50</v>
      </c>
      <c r="I195" s="1013">
        <f t="shared" si="88"/>
        <v>105</v>
      </c>
      <c r="J195" s="1012">
        <f t="shared" si="88"/>
        <v>50</v>
      </c>
      <c r="K195" s="1011" t="str">
        <f t="shared" si="88"/>
        <v/>
      </c>
      <c r="L195" s="1015">
        <v>0.17374718282373314</v>
      </c>
      <c r="N195" s="1031" t="s">
        <v>1446</v>
      </c>
      <c r="O195" s="1030"/>
      <c r="P195" s="1029">
        <v>70</v>
      </c>
      <c r="Q195" s="1028">
        <v>35</v>
      </c>
      <c r="R195" s="1028">
        <v>70</v>
      </c>
      <c r="S195" s="1027">
        <v>31</v>
      </c>
      <c r="T195" s="1026">
        <v>36.810123456790123</v>
      </c>
      <c r="U195" s="1025">
        <v>0.24733198730891259</v>
      </c>
      <c r="V195" s="1017">
        <v>15.657</v>
      </c>
      <c r="W195" s="1017"/>
      <c r="X195" s="1017">
        <v>194</v>
      </c>
    </row>
    <row r="196" spans="1:24">
      <c r="A196" s="905">
        <v>195</v>
      </c>
      <c r="B196" s="905" t="s">
        <v>1445</v>
      </c>
      <c r="C196" s="905">
        <v>29189</v>
      </c>
      <c r="D196" s="905" t="s">
        <v>1115</v>
      </c>
      <c r="E196" s="905" t="s">
        <v>1117</v>
      </c>
      <c r="F196" s="1014">
        <f t="shared" si="88"/>
        <v>0</v>
      </c>
      <c r="G196" s="1013">
        <f t="shared" si="88"/>
        <v>70</v>
      </c>
      <c r="H196" s="1013">
        <f t="shared" si="88"/>
        <v>36</v>
      </c>
      <c r="I196" s="1013">
        <f t="shared" si="88"/>
        <v>73</v>
      </c>
      <c r="J196" s="1012">
        <f t="shared" si="88"/>
        <v>34</v>
      </c>
      <c r="K196" s="1011">
        <f t="shared" si="88"/>
        <v>37.872396067668497</v>
      </c>
      <c r="L196" s="1010">
        <f>U111</f>
        <v>0.19338463012036652</v>
      </c>
      <c r="N196" s="1031" t="s">
        <v>1257</v>
      </c>
      <c r="O196" s="1030"/>
      <c r="P196" s="1029">
        <v>68.5</v>
      </c>
      <c r="Q196" s="1028">
        <v>41</v>
      </c>
      <c r="R196" s="1028">
        <v>72</v>
      </c>
      <c r="S196" s="1027">
        <v>35</v>
      </c>
      <c r="T196" s="1026">
        <v>38.37406</v>
      </c>
      <c r="U196" s="1025">
        <v>0.23754883724404802</v>
      </c>
      <c r="V196" s="1017">
        <v>102.06399999999999</v>
      </c>
      <c r="W196" s="1017"/>
      <c r="X196" s="1017">
        <v>195</v>
      </c>
    </row>
    <row r="197" spans="1:24" ht="15.6">
      <c r="A197" s="905">
        <v>196</v>
      </c>
      <c r="B197" s="905" t="s">
        <v>1444</v>
      </c>
      <c r="C197" s="905">
        <v>29189</v>
      </c>
      <c r="D197" s="905" t="s">
        <v>1115</v>
      </c>
      <c r="E197" s="905" t="s">
        <v>1117</v>
      </c>
      <c r="F197" s="1014">
        <f t="shared" si="88"/>
        <v>0</v>
      </c>
      <c r="G197" s="1013">
        <f t="shared" si="88"/>
        <v>72</v>
      </c>
      <c r="H197" s="1013">
        <f t="shared" si="88"/>
        <v>0</v>
      </c>
      <c r="I197" s="1013">
        <f t="shared" si="88"/>
        <v>72</v>
      </c>
      <c r="J197" s="1012">
        <f t="shared" si="88"/>
        <v>0</v>
      </c>
      <c r="K197" s="1011" t="str">
        <f t="shared" si="88"/>
        <v/>
      </c>
      <c r="L197" s="1015">
        <v>0.22800028617798151</v>
      </c>
      <c r="N197" s="1031" t="s">
        <v>1443</v>
      </c>
      <c r="O197" s="1030">
        <v>1.1500633141945221E-2</v>
      </c>
      <c r="P197" s="1029">
        <v>69</v>
      </c>
      <c r="Q197" s="1028">
        <v>0</v>
      </c>
      <c r="R197" s="1028">
        <v>72</v>
      </c>
      <c r="S197" s="1027">
        <v>0</v>
      </c>
      <c r="T197" s="1026" t="s">
        <v>805</v>
      </c>
      <c r="U197" s="1025">
        <v>0.23712841750605412</v>
      </c>
      <c r="V197" s="1017">
        <v>43.472999999999999</v>
      </c>
      <c r="W197" s="1017"/>
      <c r="X197" s="1017">
        <v>196</v>
      </c>
    </row>
    <row r="198" spans="1:24">
      <c r="A198" s="905">
        <v>197</v>
      </c>
      <c r="B198" s="905" t="s">
        <v>1442</v>
      </c>
      <c r="C198" s="905">
        <v>29189</v>
      </c>
      <c r="D198" s="905" t="s">
        <v>1115</v>
      </c>
      <c r="E198" s="905" t="s">
        <v>1117</v>
      </c>
      <c r="F198" s="1014"/>
      <c r="G198" s="1013"/>
      <c r="H198" s="1013"/>
      <c r="I198" s="1013"/>
      <c r="J198" s="1012"/>
      <c r="K198" s="1011"/>
      <c r="L198" s="1010"/>
      <c r="N198" s="1031" t="s">
        <v>1441</v>
      </c>
      <c r="O198" s="1030"/>
      <c r="P198" s="1029">
        <v>72</v>
      </c>
      <c r="Q198" s="1028">
        <v>41</v>
      </c>
      <c r="R198" s="1028">
        <v>88</v>
      </c>
      <c r="S198" s="1027">
        <v>39</v>
      </c>
      <c r="T198" s="1026"/>
      <c r="U198" s="1025"/>
      <c r="V198" s="1017">
        <v>9.5470000000000006</v>
      </c>
      <c r="W198" s="1017"/>
      <c r="X198" s="1017">
        <v>197</v>
      </c>
    </row>
    <row r="199" spans="1:24">
      <c r="A199" s="905">
        <v>198</v>
      </c>
      <c r="B199" s="905" t="s">
        <v>1440</v>
      </c>
      <c r="C199" s="905">
        <v>29189</v>
      </c>
      <c r="D199" s="905" t="s">
        <v>1115</v>
      </c>
      <c r="E199" s="905" t="s">
        <v>1118</v>
      </c>
      <c r="F199" s="1014"/>
      <c r="G199" s="1013"/>
      <c r="H199" s="1013"/>
      <c r="I199" s="1013"/>
      <c r="J199" s="1012"/>
      <c r="K199" s="1011"/>
      <c r="L199" s="1010"/>
      <c r="N199" s="1031" t="s">
        <v>1439</v>
      </c>
      <c r="O199" s="1030"/>
      <c r="P199" s="1029">
        <v>85</v>
      </c>
      <c r="Q199" s="1028">
        <v>45</v>
      </c>
      <c r="R199" s="1028">
        <v>85</v>
      </c>
      <c r="S199" s="1027">
        <v>45</v>
      </c>
      <c r="T199" s="1026" t="s">
        <v>805</v>
      </c>
      <c r="U199" s="1025">
        <v>0.22411913419097065</v>
      </c>
      <c r="V199" s="1017">
        <v>131.66</v>
      </c>
      <c r="W199" s="1017"/>
      <c r="X199" s="1017">
        <v>198</v>
      </c>
    </row>
    <row r="200" spans="1:24">
      <c r="A200" s="905">
        <v>199</v>
      </c>
      <c r="B200" s="905" t="s">
        <v>1438</v>
      </c>
      <c r="C200" s="905">
        <v>29189</v>
      </c>
      <c r="D200" s="905" t="s">
        <v>1115</v>
      </c>
      <c r="E200" s="905" t="s">
        <v>1118</v>
      </c>
      <c r="F200" s="1014">
        <f t="shared" ref="F200:L200" si="89">O113</f>
        <v>1.1251839242953175E-2</v>
      </c>
      <c r="G200" s="1013">
        <f t="shared" si="89"/>
        <v>67</v>
      </c>
      <c r="H200" s="1013">
        <f t="shared" si="89"/>
        <v>40</v>
      </c>
      <c r="I200" s="1013">
        <f t="shared" si="89"/>
        <v>80</v>
      </c>
      <c r="J200" s="1012">
        <f t="shared" si="89"/>
        <v>38</v>
      </c>
      <c r="K200" s="1011">
        <f t="shared" si="89"/>
        <v>32.019368239910655</v>
      </c>
      <c r="L200" s="1010">
        <f t="shared" si="89"/>
        <v>0.30101251787225353</v>
      </c>
      <c r="N200" s="1031" t="s">
        <v>1437</v>
      </c>
      <c r="O200" s="1030">
        <v>2.6783337769496939E-2</v>
      </c>
      <c r="P200" s="1029">
        <v>71.2</v>
      </c>
      <c r="Q200" s="1028">
        <v>44.4</v>
      </c>
      <c r="R200" s="1028">
        <v>76.7</v>
      </c>
      <c r="S200" s="1027">
        <v>37.6</v>
      </c>
      <c r="T200" s="1026">
        <v>46.516443384276855</v>
      </c>
      <c r="U200" s="1025">
        <v>0.33448429113534578</v>
      </c>
      <c r="V200" s="1017">
        <v>19.466999999999999</v>
      </c>
      <c r="W200" s="1017"/>
      <c r="X200" s="1017">
        <v>199</v>
      </c>
    </row>
    <row r="201" spans="1:24">
      <c r="A201" s="905">
        <v>200</v>
      </c>
      <c r="B201" s="905" t="s">
        <v>1436</v>
      </c>
      <c r="C201" s="905">
        <v>26696</v>
      </c>
      <c r="D201" s="905" t="s">
        <v>1115</v>
      </c>
      <c r="E201" s="905" t="s">
        <v>1118</v>
      </c>
      <c r="F201" s="1014"/>
      <c r="G201" s="1013"/>
      <c r="H201" s="1013"/>
      <c r="I201" s="1013"/>
      <c r="J201" s="1012"/>
      <c r="K201" s="1011"/>
      <c r="L201" s="1010"/>
      <c r="N201" s="1031" t="s">
        <v>1251</v>
      </c>
      <c r="O201" s="1030"/>
      <c r="P201" s="1029">
        <v>80</v>
      </c>
      <c r="Q201" s="1028">
        <v>40</v>
      </c>
      <c r="R201" s="1028">
        <v>80</v>
      </c>
      <c r="S201" s="1027">
        <v>38</v>
      </c>
      <c r="T201" s="1026" t="s">
        <v>805</v>
      </c>
      <c r="U201" s="1025">
        <v>0.42861396949343217</v>
      </c>
      <c r="V201" s="1017">
        <v>17.268999999999998</v>
      </c>
      <c r="W201" s="1017"/>
      <c r="X201" s="1017">
        <v>200</v>
      </c>
    </row>
    <row r="202" spans="1:24">
      <c r="A202" s="905">
        <v>201</v>
      </c>
      <c r="B202" s="905" t="s">
        <v>1435</v>
      </c>
      <c r="C202" s="905">
        <v>29189</v>
      </c>
      <c r="D202" s="905" t="s">
        <v>1116</v>
      </c>
      <c r="E202" s="905" t="s">
        <v>1118</v>
      </c>
      <c r="F202" s="1014">
        <f t="shared" ref="F202:L202" si="90">O114</f>
        <v>0</v>
      </c>
      <c r="G202" s="1013">
        <f t="shared" si="90"/>
        <v>83.5</v>
      </c>
      <c r="H202" s="1013">
        <f t="shared" si="90"/>
        <v>55.9</v>
      </c>
      <c r="I202" s="1013">
        <f t="shared" si="90"/>
        <v>87.3</v>
      </c>
      <c r="J202" s="1012">
        <f t="shared" si="90"/>
        <v>51.9</v>
      </c>
      <c r="K202" s="1011" t="str">
        <f t="shared" si="90"/>
        <v/>
      </c>
      <c r="L202" s="1010">
        <f t="shared" si="90"/>
        <v>0.24901553425563058</v>
      </c>
      <c r="N202" s="1031" t="s">
        <v>1434</v>
      </c>
      <c r="O202" s="1030"/>
      <c r="P202" s="1029">
        <v>66</v>
      </c>
      <c r="Q202" s="1028">
        <v>43</v>
      </c>
      <c r="R202" s="1028">
        <v>75</v>
      </c>
      <c r="S202" s="1027">
        <v>34</v>
      </c>
      <c r="T202" s="1026">
        <v>33.189646441843678</v>
      </c>
      <c r="U202" s="1025">
        <v>0.27482968574272526</v>
      </c>
      <c r="V202" s="1017">
        <v>56.097000000000001</v>
      </c>
      <c r="W202" s="1017"/>
      <c r="X202" s="1017">
        <v>201</v>
      </c>
    </row>
    <row r="203" spans="1:24" ht="15.6">
      <c r="A203" s="905">
        <v>202</v>
      </c>
      <c r="B203" s="905" t="s">
        <v>1433</v>
      </c>
      <c r="C203" s="905">
        <v>29189</v>
      </c>
      <c r="D203" s="905" t="s">
        <v>1115</v>
      </c>
      <c r="E203" s="905" t="s">
        <v>1117</v>
      </c>
      <c r="F203" s="1014">
        <f t="shared" ref="F203:K203" si="91">O115</f>
        <v>0</v>
      </c>
      <c r="G203" s="1013">
        <f t="shared" si="91"/>
        <v>68</v>
      </c>
      <c r="H203" s="1013">
        <f t="shared" si="91"/>
        <v>0</v>
      </c>
      <c r="I203" s="1013">
        <f t="shared" si="91"/>
        <v>70</v>
      </c>
      <c r="J203" s="1012">
        <f t="shared" si="91"/>
        <v>0</v>
      </c>
      <c r="K203" s="1011" t="str">
        <f t="shared" si="91"/>
        <v/>
      </c>
      <c r="L203" s="1015">
        <v>0.22800028617798151</v>
      </c>
      <c r="N203" s="1031" t="s">
        <v>1432</v>
      </c>
      <c r="O203" s="1030"/>
      <c r="P203" s="1029">
        <v>79.430000000000007</v>
      </c>
      <c r="Q203" s="1028">
        <v>46.72</v>
      </c>
      <c r="R203" s="1028">
        <v>80.959999999999994</v>
      </c>
      <c r="S203" s="1027">
        <v>41.73</v>
      </c>
      <c r="T203" s="1026" t="s">
        <v>805</v>
      </c>
      <c r="U203" s="1025">
        <v>0.24484052532833017</v>
      </c>
      <c r="V203" s="1017">
        <v>223.6129</v>
      </c>
      <c r="W203" s="1017"/>
      <c r="X203" s="1017">
        <v>202</v>
      </c>
    </row>
    <row r="204" spans="1:24">
      <c r="A204" s="905">
        <v>203</v>
      </c>
      <c r="B204" s="905" t="s">
        <v>1431</v>
      </c>
      <c r="C204" s="905">
        <v>64942</v>
      </c>
      <c r="D204" s="905" t="s">
        <v>1116</v>
      </c>
      <c r="E204" s="905" t="s">
        <v>1118</v>
      </c>
      <c r="F204" s="1014"/>
      <c r="G204" s="1013"/>
      <c r="H204" s="1013"/>
      <c r="I204" s="1013"/>
      <c r="J204" s="1012"/>
      <c r="K204" s="1011"/>
      <c r="L204" s="1010"/>
      <c r="N204" s="1031" t="s">
        <v>1430</v>
      </c>
      <c r="O204" s="1030">
        <v>2.081651726921254E-3</v>
      </c>
      <c r="P204" s="1029">
        <v>71</v>
      </c>
      <c r="Q204" s="1028">
        <v>39</v>
      </c>
      <c r="R204" s="1028">
        <v>75</v>
      </c>
      <c r="S204" s="1027">
        <v>39</v>
      </c>
      <c r="T204" s="1026" t="s">
        <v>805</v>
      </c>
      <c r="U204" s="1025">
        <v>0.31176387115084431</v>
      </c>
      <c r="V204" s="1017">
        <v>4.8499999999999996</v>
      </c>
      <c r="W204" s="1017"/>
      <c r="X204" s="1017">
        <v>203</v>
      </c>
    </row>
    <row r="205" spans="1:24">
      <c r="A205" s="905">
        <v>204</v>
      </c>
      <c r="B205" s="905" t="s">
        <v>1428</v>
      </c>
      <c r="C205" s="905">
        <v>29189</v>
      </c>
      <c r="D205" s="905" t="s">
        <v>1116</v>
      </c>
      <c r="E205" s="905" t="s">
        <v>1117</v>
      </c>
      <c r="F205" s="1014"/>
      <c r="G205" s="1013"/>
      <c r="H205" s="1013"/>
      <c r="I205" s="1013"/>
      <c r="J205" s="1012"/>
      <c r="K205" s="1011"/>
      <c r="L205" s="1010"/>
      <c r="N205" s="1031" t="s">
        <v>1429</v>
      </c>
      <c r="O205" s="1030">
        <v>4.4325885514862207E-3</v>
      </c>
      <c r="P205" s="1026">
        <v>65.5</v>
      </c>
      <c r="Q205" s="1039">
        <v>35.5</v>
      </c>
      <c r="R205" s="1039">
        <v>65.5</v>
      </c>
      <c r="S205" s="1038">
        <v>35.5</v>
      </c>
      <c r="T205" s="1026">
        <v>31.893521451711237</v>
      </c>
      <c r="U205" s="1025"/>
      <c r="V205" s="1017" t="s">
        <v>805</v>
      </c>
      <c r="W205" s="1017"/>
      <c r="X205" s="1017">
        <v>204</v>
      </c>
    </row>
    <row r="206" spans="1:24">
      <c r="A206" s="905">
        <v>205</v>
      </c>
      <c r="B206" s="905" t="s">
        <v>1428</v>
      </c>
      <c r="C206" s="905">
        <v>29189</v>
      </c>
      <c r="D206" s="905" t="s">
        <v>1115</v>
      </c>
      <c r="E206" s="905" t="s">
        <v>1117</v>
      </c>
      <c r="F206" s="1014"/>
      <c r="G206" s="1013"/>
      <c r="H206" s="1013"/>
      <c r="I206" s="1013"/>
      <c r="J206" s="1012"/>
      <c r="K206" s="1011"/>
      <c r="L206" s="1010"/>
      <c r="N206" s="1031" t="s">
        <v>1427</v>
      </c>
      <c r="O206" s="1030"/>
      <c r="P206" s="1029">
        <v>68</v>
      </c>
      <c r="Q206" s="1028">
        <v>42</v>
      </c>
      <c r="R206" s="1028">
        <v>73</v>
      </c>
      <c r="S206" s="1027">
        <v>39</v>
      </c>
      <c r="T206" s="1026" t="s">
        <v>805</v>
      </c>
      <c r="U206" s="1025">
        <v>0.14821221131063564</v>
      </c>
      <c r="V206" s="1017">
        <v>166.447</v>
      </c>
      <c r="W206" s="1017"/>
      <c r="X206" s="1017">
        <v>205</v>
      </c>
    </row>
    <row r="207" spans="1:24">
      <c r="A207" s="905">
        <v>206</v>
      </c>
      <c r="B207" s="905" t="s">
        <v>1426</v>
      </c>
      <c r="C207" s="905">
        <v>29189</v>
      </c>
      <c r="D207" s="905" t="s">
        <v>1115</v>
      </c>
      <c r="E207" s="905" t="s">
        <v>1117</v>
      </c>
      <c r="F207" s="1014">
        <f t="shared" ref="F207:L208" si="92">O116</f>
        <v>0</v>
      </c>
      <c r="G207" s="1013">
        <f t="shared" si="92"/>
        <v>65</v>
      </c>
      <c r="H207" s="1013">
        <f t="shared" si="92"/>
        <v>33</v>
      </c>
      <c r="I207" s="1013">
        <f t="shared" si="92"/>
        <v>65</v>
      </c>
      <c r="J207" s="1012">
        <f t="shared" si="92"/>
        <v>34</v>
      </c>
      <c r="K207" s="1011" t="str">
        <f t="shared" si="92"/>
        <v/>
      </c>
      <c r="L207" s="1010">
        <f t="shared" si="92"/>
        <v>0.26867898178124799</v>
      </c>
      <c r="N207" s="1031" t="s">
        <v>1425</v>
      </c>
      <c r="O207" s="1030">
        <v>1.7211703958691909E-2</v>
      </c>
      <c r="P207" s="1029">
        <v>70</v>
      </c>
      <c r="Q207" s="1028">
        <v>45</v>
      </c>
      <c r="R207" s="1028">
        <v>75</v>
      </c>
      <c r="S207" s="1027">
        <v>40</v>
      </c>
      <c r="T207" s="1026">
        <v>35.546450856340392</v>
      </c>
      <c r="U207" s="1025">
        <v>0.43957968476357268</v>
      </c>
      <c r="V207" s="1017">
        <v>1.6</v>
      </c>
      <c r="W207" s="1017"/>
      <c r="X207" s="1017">
        <v>206</v>
      </c>
    </row>
    <row r="208" spans="1:24">
      <c r="A208" s="905">
        <v>207</v>
      </c>
      <c r="B208" s="905" t="s">
        <v>1424</v>
      </c>
      <c r="C208" s="905">
        <v>29189</v>
      </c>
      <c r="D208" s="905" t="s">
        <v>1115</v>
      </c>
      <c r="E208" s="905" t="s">
        <v>1117</v>
      </c>
      <c r="F208" s="1014">
        <f t="shared" si="92"/>
        <v>0</v>
      </c>
      <c r="G208" s="1013">
        <f t="shared" si="92"/>
        <v>68</v>
      </c>
      <c r="H208" s="1013">
        <f t="shared" si="92"/>
        <v>31</v>
      </c>
      <c r="I208" s="1013">
        <f t="shared" si="92"/>
        <v>70</v>
      </c>
      <c r="J208" s="1012">
        <f t="shared" si="92"/>
        <v>32</v>
      </c>
      <c r="K208" s="1011">
        <f t="shared" si="92"/>
        <v>36.00190348631601</v>
      </c>
      <c r="L208" s="1010">
        <f t="shared" si="92"/>
        <v>0.18422348746035186</v>
      </c>
      <c r="N208" s="1031" t="s">
        <v>1241</v>
      </c>
      <c r="O208" s="1030"/>
      <c r="P208" s="1029">
        <v>67</v>
      </c>
      <c r="Q208" s="1028">
        <v>40</v>
      </c>
      <c r="R208" s="1028">
        <v>80</v>
      </c>
      <c r="S208" s="1027">
        <v>40</v>
      </c>
      <c r="T208" s="1026" t="s">
        <v>805</v>
      </c>
      <c r="U208" s="1025"/>
      <c r="V208" s="1017" t="s">
        <v>805</v>
      </c>
      <c r="W208" s="1017"/>
      <c r="X208" s="1017">
        <v>207</v>
      </c>
    </row>
    <row r="209" spans="1:24">
      <c r="A209" s="905">
        <v>208</v>
      </c>
      <c r="B209" s="905" t="s">
        <v>1423</v>
      </c>
      <c r="C209" s="905">
        <v>29189</v>
      </c>
      <c r="D209" s="905" t="s">
        <v>1115</v>
      </c>
      <c r="E209" s="905" t="s">
        <v>1117</v>
      </c>
      <c r="F209" s="1014"/>
      <c r="G209" s="1013"/>
      <c r="H209" s="1013"/>
      <c r="I209" s="1013"/>
      <c r="J209" s="1012"/>
      <c r="K209" s="1011"/>
      <c r="L209" s="1010"/>
      <c r="N209" s="1031" t="s">
        <v>1239</v>
      </c>
      <c r="O209" s="1030"/>
      <c r="P209" s="1029">
        <v>73</v>
      </c>
      <c r="Q209" s="1028">
        <v>38</v>
      </c>
      <c r="R209" s="1028">
        <v>75</v>
      </c>
      <c r="S209" s="1027">
        <v>40</v>
      </c>
      <c r="T209" s="1026">
        <v>34.207606774484091</v>
      </c>
      <c r="U209" s="1025">
        <v>0.32759604195234043</v>
      </c>
      <c r="V209" s="1017">
        <v>18.143476</v>
      </c>
      <c r="W209" s="1017"/>
      <c r="X209" s="1017">
        <v>208</v>
      </c>
    </row>
    <row r="210" spans="1:24">
      <c r="A210" s="905">
        <v>209</v>
      </c>
      <c r="B210" s="905" t="s">
        <v>1422</v>
      </c>
      <c r="C210" s="905">
        <v>29189</v>
      </c>
      <c r="D210" s="905" t="s">
        <v>1115</v>
      </c>
      <c r="E210" s="905" t="s">
        <v>1117</v>
      </c>
      <c r="F210" s="1014"/>
      <c r="G210" s="1013"/>
      <c r="H210" s="1013"/>
      <c r="I210" s="1013"/>
      <c r="J210" s="1012"/>
      <c r="K210" s="1011"/>
      <c r="L210" s="1010"/>
      <c r="N210" s="1031" t="s">
        <v>1421</v>
      </c>
      <c r="O210" s="1030"/>
      <c r="P210" s="1029">
        <v>73</v>
      </c>
      <c r="Q210" s="1028">
        <v>34</v>
      </c>
      <c r="R210" s="1028">
        <v>73</v>
      </c>
      <c r="S210" s="1027">
        <v>34</v>
      </c>
      <c r="T210" s="1026" t="s">
        <v>805</v>
      </c>
      <c r="U210" s="1025">
        <v>0.20877817319098457</v>
      </c>
      <c r="V210" s="1017">
        <v>8.0039999999999996</v>
      </c>
      <c r="W210" s="1017"/>
      <c r="X210" s="1017">
        <v>209</v>
      </c>
    </row>
    <row r="211" spans="1:24">
      <c r="A211" s="905">
        <v>210</v>
      </c>
      <c r="B211" s="905" t="s">
        <v>1420</v>
      </c>
      <c r="C211" s="905">
        <v>29189</v>
      </c>
      <c r="D211" s="905" t="s">
        <v>1115</v>
      </c>
      <c r="E211" s="905" t="s">
        <v>1117</v>
      </c>
      <c r="F211" s="1014"/>
      <c r="G211" s="1013"/>
      <c r="H211" s="1013"/>
      <c r="I211" s="1013"/>
      <c r="J211" s="1012"/>
      <c r="K211" s="1011"/>
      <c r="L211" s="1010"/>
      <c r="N211" s="1037" t="s">
        <v>1419</v>
      </c>
      <c r="O211" s="1036">
        <v>0.1210063584268781</v>
      </c>
      <c r="P211" s="1035">
        <v>73</v>
      </c>
      <c r="Q211" s="1013">
        <v>39</v>
      </c>
      <c r="R211" s="1013">
        <v>70</v>
      </c>
      <c r="S211" s="1012">
        <v>38</v>
      </c>
      <c r="T211" s="1011">
        <v>32.423737373737374</v>
      </c>
      <c r="U211" s="1034">
        <v>0.20634070104934138</v>
      </c>
      <c r="V211" s="905">
        <v>17.774000000000001</v>
      </c>
      <c r="X211" s="905">
        <v>210</v>
      </c>
    </row>
    <row r="212" spans="1:24">
      <c r="A212" s="905">
        <v>211</v>
      </c>
      <c r="B212" s="905" t="s">
        <v>1418</v>
      </c>
      <c r="C212" s="905">
        <v>29189</v>
      </c>
      <c r="D212" s="905" t="s">
        <v>1115</v>
      </c>
      <c r="E212" s="905" t="s">
        <v>1117</v>
      </c>
      <c r="F212" s="1014"/>
      <c r="G212" s="1013"/>
      <c r="H212" s="1013"/>
      <c r="I212" s="1013"/>
      <c r="J212" s="1012"/>
      <c r="K212" s="1011"/>
      <c r="L212" s="1010"/>
      <c r="N212" s="1031" t="s">
        <v>1417</v>
      </c>
      <c r="O212" s="1030"/>
      <c r="P212" s="1033">
        <v>61</v>
      </c>
      <c r="Q212" s="1017">
        <v>36</v>
      </c>
      <c r="R212" s="1017">
        <v>67</v>
      </c>
      <c r="S212" s="1032">
        <v>34</v>
      </c>
      <c r="T212" s="1026">
        <v>46.755165262807544</v>
      </c>
      <c r="U212" s="1025">
        <v>0.11627030845302566</v>
      </c>
      <c r="V212" s="1017">
        <v>18.765999999999998</v>
      </c>
      <c r="W212" s="1017"/>
      <c r="X212" s="1017">
        <v>211</v>
      </c>
    </row>
    <row r="213" spans="1:24">
      <c r="A213" s="905">
        <v>212</v>
      </c>
      <c r="B213" s="905" t="s">
        <v>1416</v>
      </c>
      <c r="C213" s="905">
        <v>29189</v>
      </c>
      <c r="D213" s="905" t="s">
        <v>1115</v>
      </c>
      <c r="E213" s="905" t="s">
        <v>1117</v>
      </c>
      <c r="F213" s="1014"/>
      <c r="G213" s="1013"/>
      <c r="H213" s="1013"/>
      <c r="I213" s="1013"/>
      <c r="J213" s="1012"/>
      <c r="K213" s="1011"/>
      <c r="L213" s="1010"/>
      <c r="N213" s="1031" t="s">
        <v>1415</v>
      </c>
      <c r="O213" s="1030"/>
      <c r="P213" s="1029">
        <v>72</v>
      </c>
      <c r="Q213" s="1028">
        <v>33</v>
      </c>
      <c r="R213" s="1028">
        <v>75</v>
      </c>
      <c r="S213" s="1027">
        <v>0</v>
      </c>
      <c r="T213" s="1026"/>
      <c r="U213" s="1025"/>
      <c r="V213" s="1017" t="s">
        <v>805</v>
      </c>
      <c r="W213" s="1017"/>
      <c r="X213" s="1017">
        <v>212</v>
      </c>
    </row>
    <row r="214" spans="1:24">
      <c r="A214" s="905">
        <v>213</v>
      </c>
      <c r="B214" s="905" t="s">
        <v>1414</v>
      </c>
      <c r="C214" s="905">
        <v>29189</v>
      </c>
      <c r="D214" s="905" t="s">
        <v>1115</v>
      </c>
      <c r="E214" s="905" t="s">
        <v>1117</v>
      </c>
      <c r="F214" s="1014"/>
      <c r="G214" s="1013"/>
      <c r="H214" s="1013"/>
      <c r="I214" s="1013"/>
      <c r="J214" s="1012"/>
      <c r="K214" s="1011"/>
      <c r="L214" s="1010"/>
      <c r="N214" s="1031" t="s">
        <v>1413</v>
      </c>
      <c r="O214" s="1030"/>
      <c r="P214" s="1029">
        <v>74</v>
      </c>
      <c r="Q214" s="1028">
        <v>38</v>
      </c>
      <c r="R214" s="1028">
        <v>75</v>
      </c>
      <c r="S214" s="1027">
        <v>34</v>
      </c>
      <c r="T214" s="1026" t="s">
        <v>805</v>
      </c>
      <c r="U214" s="1025">
        <v>0.33361204013377926</v>
      </c>
      <c r="V214" s="1017">
        <v>3.1880000000000002</v>
      </c>
      <c r="W214" s="1017"/>
      <c r="X214" s="1017">
        <v>213</v>
      </c>
    </row>
    <row r="215" spans="1:24" ht="15.6">
      <c r="A215" s="905">
        <v>214</v>
      </c>
      <c r="B215" s="905" t="s">
        <v>1412</v>
      </c>
      <c r="C215" s="905">
        <v>29189</v>
      </c>
      <c r="D215" s="905" t="s">
        <v>1115</v>
      </c>
      <c r="E215" s="905" t="s">
        <v>1117</v>
      </c>
      <c r="F215" s="1014">
        <f t="shared" ref="F215:K216" si="93">O118</f>
        <v>0</v>
      </c>
      <c r="G215" s="1013">
        <f t="shared" si="93"/>
        <v>70</v>
      </c>
      <c r="H215" s="1013">
        <f t="shared" si="93"/>
        <v>40</v>
      </c>
      <c r="I215" s="1013">
        <f t="shared" si="93"/>
        <v>75</v>
      </c>
      <c r="J215" s="1012">
        <f t="shared" si="93"/>
        <v>35</v>
      </c>
      <c r="K215" s="1011" t="str">
        <f t="shared" si="93"/>
        <v/>
      </c>
      <c r="L215" s="1015">
        <v>0.22800028617798151</v>
      </c>
      <c r="N215" s="1031" t="s">
        <v>1232</v>
      </c>
      <c r="O215" s="1030"/>
      <c r="P215" s="1029">
        <v>68</v>
      </c>
      <c r="Q215" s="1028">
        <v>45</v>
      </c>
      <c r="R215" s="1028">
        <v>82</v>
      </c>
      <c r="S215" s="1027">
        <v>43</v>
      </c>
      <c r="T215" s="1026" t="s">
        <v>805</v>
      </c>
      <c r="U215" s="1025">
        <v>0.23974527108974802</v>
      </c>
      <c r="V215" s="1017">
        <v>647.53099999999995</v>
      </c>
      <c r="W215" s="1017"/>
      <c r="X215" s="1017">
        <v>214</v>
      </c>
    </row>
    <row r="216" spans="1:24">
      <c r="A216" s="905">
        <v>215</v>
      </c>
      <c r="B216" s="905" t="s">
        <v>1411</v>
      </c>
      <c r="C216" s="905">
        <v>29188</v>
      </c>
      <c r="D216" s="905" t="s">
        <v>1115</v>
      </c>
      <c r="E216" s="905" t="s">
        <v>1117</v>
      </c>
      <c r="F216" s="1014">
        <f t="shared" si="93"/>
        <v>0</v>
      </c>
      <c r="G216" s="1013">
        <f t="shared" si="93"/>
        <v>65</v>
      </c>
      <c r="H216" s="1013">
        <f t="shared" si="93"/>
        <v>35</v>
      </c>
      <c r="I216" s="1013">
        <f t="shared" si="93"/>
        <v>80</v>
      </c>
      <c r="J216" s="1012">
        <f t="shared" si="93"/>
        <v>32</v>
      </c>
      <c r="K216" s="1011">
        <f t="shared" si="93"/>
        <v>0</v>
      </c>
      <c r="L216" s="1010">
        <f>U119</f>
        <v>0.3172579453067258</v>
      </c>
      <c r="N216" s="1031" t="s">
        <v>1410</v>
      </c>
      <c r="O216" s="1030"/>
      <c r="P216" s="1029">
        <v>72</v>
      </c>
      <c r="Q216" s="1028">
        <v>0</v>
      </c>
      <c r="R216" s="1028">
        <v>76</v>
      </c>
      <c r="S216" s="1027">
        <v>0</v>
      </c>
      <c r="T216" s="1026" t="s">
        <v>805</v>
      </c>
      <c r="U216" s="1025"/>
      <c r="V216" s="1017" t="s">
        <v>805</v>
      </c>
      <c r="W216" s="1017"/>
      <c r="X216" s="1017">
        <v>215</v>
      </c>
    </row>
    <row r="217" spans="1:24">
      <c r="A217" s="905">
        <v>216</v>
      </c>
      <c r="B217" s="905" t="s">
        <v>1409</v>
      </c>
      <c r="C217" s="905">
        <v>29189</v>
      </c>
      <c r="D217" s="905" t="s">
        <v>1115</v>
      </c>
      <c r="E217" s="905" t="s">
        <v>1118</v>
      </c>
      <c r="F217" s="1014"/>
      <c r="G217" s="1013"/>
      <c r="H217" s="1013"/>
      <c r="I217" s="1013"/>
      <c r="J217" s="1012"/>
      <c r="K217" s="1011"/>
      <c r="L217" s="1010"/>
      <c r="N217" s="1031" t="s">
        <v>1408</v>
      </c>
      <c r="O217" s="1030">
        <v>5.3880879568952962E-3</v>
      </c>
      <c r="P217" s="1029">
        <v>70</v>
      </c>
      <c r="Q217" s="1028">
        <v>35</v>
      </c>
      <c r="R217" s="1028">
        <v>72</v>
      </c>
      <c r="S217" s="1027">
        <v>35</v>
      </c>
      <c r="T217" s="1026">
        <v>33.324634063315557</v>
      </c>
      <c r="U217" s="1025">
        <v>0.35754026354319179</v>
      </c>
      <c r="V217" s="1017">
        <v>4.3879999999999999</v>
      </c>
      <c r="W217" s="1017"/>
      <c r="X217" s="1017">
        <v>216</v>
      </c>
    </row>
    <row r="218" spans="1:24">
      <c r="A218" s="905">
        <v>217</v>
      </c>
      <c r="B218" s="905" t="s">
        <v>1407</v>
      </c>
      <c r="C218" s="905">
        <v>29189</v>
      </c>
      <c r="D218" s="905" t="s">
        <v>1115</v>
      </c>
      <c r="E218" s="905" t="s">
        <v>1117</v>
      </c>
      <c r="F218" s="1014"/>
      <c r="G218" s="1013"/>
      <c r="H218" s="1013"/>
      <c r="I218" s="1013"/>
      <c r="J218" s="1012"/>
      <c r="K218" s="1011"/>
      <c r="L218" s="1010"/>
      <c r="N218" s="1031" t="s">
        <v>1406</v>
      </c>
      <c r="O218" s="1030"/>
      <c r="P218" s="1029">
        <v>98</v>
      </c>
      <c r="Q218" s="1028">
        <v>46</v>
      </c>
      <c r="R218" s="1028">
        <v>100</v>
      </c>
      <c r="S218" s="1027">
        <v>43</v>
      </c>
      <c r="T218" s="1026" t="s">
        <v>805</v>
      </c>
      <c r="U218" s="1025"/>
      <c r="V218" s="1017" t="s">
        <v>805</v>
      </c>
      <c r="W218" s="1017"/>
      <c r="X218" s="1017">
        <v>217</v>
      </c>
    </row>
    <row r="219" spans="1:24">
      <c r="A219" s="905">
        <v>218</v>
      </c>
      <c r="B219" s="905" t="s">
        <v>1405</v>
      </c>
      <c r="C219" s="905">
        <v>29189</v>
      </c>
      <c r="D219" s="905" t="s">
        <v>1115</v>
      </c>
      <c r="E219" s="905" t="s">
        <v>1117</v>
      </c>
      <c r="F219" s="1014"/>
      <c r="G219" s="1013"/>
      <c r="H219" s="1013"/>
      <c r="I219" s="1013"/>
      <c r="J219" s="1012"/>
      <c r="K219" s="1011"/>
      <c r="L219" s="1010"/>
      <c r="N219" s="1037" t="s">
        <v>1404</v>
      </c>
      <c r="O219" s="1036"/>
      <c r="P219" s="1035">
        <v>72</v>
      </c>
      <c r="Q219" s="1013">
        <v>39</v>
      </c>
      <c r="R219" s="1013">
        <v>73</v>
      </c>
      <c r="S219" s="1012">
        <v>38</v>
      </c>
      <c r="T219" s="1011">
        <v>36.147820191133363</v>
      </c>
      <c r="U219" s="1034">
        <v>0.22652780102218159</v>
      </c>
      <c r="V219" s="905">
        <v>60.081000000000003</v>
      </c>
      <c r="X219" s="905">
        <v>218</v>
      </c>
    </row>
    <row r="220" spans="1:24">
      <c r="A220" s="905">
        <v>219</v>
      </c>
      <c r="B220" s="905" t="s">
        <v>1403</v>
      </c>
      <c r="C220" s="905">
        <v>29189</v>
      </c>
      <c r="D220" s="905" t="s">
        <v>1115</v>
      </c>
      <c r="E220" s="905" t="s">
        <v>1117</v>
      </c>
      <c r="F220" s="1014">
        <f t="shared" ref="F220:L223" si="94">O120</f>
        <v>0.27485276378343859</v>
      </c>
      <c r="G220" s="1013">
        <f t="shared" si="94"/>
        <v>73</v>
      </c>
      <c r="H220" s="1013">
        <f t="shared" si="94"/>
        <v>36</v>
      </c>
      <c r="I220" s="1013">
        <f t="shared" si="94"/>
        <v>75</v>
      </c>
      <c r="J220" s="1012">
        <f t="shared" si="94"/>
        <v>38</v>
      </c>
      <c r="K220" s="1011">
        <f t="shared" si="94"/>
        <v>35.047064945836929</v>
      </c>
      <c r="L220" s="1010">
        <f t="shared" si="94"/>
        <v>0.27305641176182788</v>
      </c>
      <c r="N220" s="1031" t="s">
        <v>1402</v>
      </c>
      <c r="O220" s="1030"/>
      <c r="P220" s="1029">
        <v>69</v>
      </c>
      <c r="Q220" s="1028">
        <v>39</v>
      </c>
      <c r="R220" s="1028">
        <v>74</v>
      </c>
      <c r="S220" s="1027">
        <v>34</v>
      </c>
      <c r="T220" s="1026" t="s">
        <v>805</v>
      </c>
      <c r="U220" s="1025">
        <v>0.31348259115976623</v>
      </c>
      <c r="V220" s="1017">
        <v>16.681000000000001</v>
      </c>
      <c r="W220" s="1017"/>
      <c r="X220" s="1017">
        <v>219</v>
      </c>
    </row>
    <row r="221" spans="1:24">
      <c r="A221" s="905">
        <v>220</v>
      </c>
      <c r="B221" s="905" t="s">
        <v>1401</v>
      </c>
      <c r="C221" s="905">
        <v>29189</v>
      </c>
      <c r="D221" s="905" t="s">
        <v>1115</v>
      </c>
      <c r="E221" s="905" t="s">
        <v>1117</v>
      </c>
      <c r="F221" s="1014">
        <f t="shared" si="94"/>
        <v>0</v>
      </c>
      <c r="G221" s="1013">
        <f t="shared" si="94"/>
        <v>72</v>
      </c>
      <c r="H221" s="1013">
        <f t="shared" si="94"/>
        <v>42</v>
      </c>
      <c r="I221" s="1013">
        <f t="shared" si="94"/>
        <v>74</v>
      </c>
      <c r="J221" s="1012">
        <f t="shared" si="94"/>
        <v>37</v>
      </c>
      <c r="K221" s="1011">
        <f t="shared" si="94"/>
        <v>32.767900746998279</v>
      </c>
      <c r="L221" s="1010">
        <f t="shared" si="94"/>
        <v>0.32580379714834662</v>
      </c>
      <c r="N221" s="1031" t="s">
        <v>1226</v>
      </c>
      <c r="O221" s="1030"/>
      <c r="P221" s="1029">
        <v>80</v>
      </c>
      <c r="Q221" s="1028">
        <v>52</v>
      </c>
      <c r="R221" s="1028">
        <v>98</v>
      </c>
      <c r="S221" s="1027">
        <v>56</v>
      </c>
      <c r="T221" s="1026">
        <v>35.229012561938589</v>
      </c>
      <c r="U221" s="1025">
        <v>4.4888546380582095E-2</v>
      </c>
      <c r="V221" s="1017">
        <v>164.83600000000001</v>
      </c>
      <c r="W221" s="1017"/>
      <c r="X221" s="1017">
        <v>220</v>
      </c>
    </row>
    <row r="222" spans="1:24">
      <c r="A222" s="905">
        <v>221</v>
      </c>
      <c r="B222" s="905" t="s">
        <v>1400</v>
      </c>
      <c r="C222" s="905">
        <v>29189</v>
      </c>
      <c r="D222" s="905" t="s">
        <v>1115</v>
      </c>
      <c r="E222" s="905" t="s">
        <v>1117</v>
      </c>
      <c r="F222" s="1014">
        <f t="shared" si="94"/>
        <v>2.1120897419043862E-2</v>
      </c>
      <c r="G222" s="1013">
        <f t="shared" si="94"/>
        <v>80</v>
      </c>
      <c r="H222" s="1013">
        <f t="shared" si="94"/>
        <v>40</v>
      </c>
      <c r="I222" s="1013">
        <f t="shared" si="94"/>
        <v>80</v>
      </c>
      <c r="J222" s="1012">
        <f t="shared" si="94"/>
        <v>40</v>
      </c>
      <c r="K222" s="1011">
        <f t="shared" si="94"/>
        <v>51.616798161181421</v>
      </c>
      <c r="L222" s="1010">
        <f t="shared" si="94"/>
        <v>0.11332199292716773</v>
      </c>
      <c r="N222" s="1031" t="s">
        <v>1399</v>
      </c>
      <c r="O222" s="1030">
        <v>8.5511899301839681E-2</v>
      </c>
      <c r="P222" s="1029">
        <v>68</v>
      </c>
      <c r="Q222" s="1028">
        <v>44</v>
      </c>
      <c r="R222" s="1028">
        <v>74</v>
      </c>
      <c r="S222" s="1027">
        <v>34</v>
      </c>
      <c r="T222" s="1026"/>
      <c r="U222" s="1025">
        <v>0.23148509334076345</v>
      </c>
      <c r="V222" s="1017">
        <v>13.791</v>
      </c>
      <c r="W222" s="1017"/>
      <c r="X222" s="1017">
        <v>221</v>
      </c>
    </row>
    <row r="223" spans="1:24">
      <c r="A223" s="905">
        <v>222</v>
      </c>
      <c r="B223" s="905" t="s">
        <v>1398</v>
      </c>
      <c r="C223" s="905">
        <v>29189</v>
      </c>
      <c r="D223" s="905" t="s">
        <v>1115</v>
      </c>
      <c r="E223" s="905" t="s">
        <v>1117</v>
      </c>
      <c r="F223" s="1014">
        <f t="shared" si="94"/>
        <v>0</v>
      </c>
      <c r="G223" s="1013">
        <f t="shared" si="94"/>
        <v>66</v>
      </c>
      <c r="H223" s="1013">
        <f t="shared" si="94"/>
        <v>37.5</v>
      </c>
      <c r="I223" s="1013">
        <f t="shared" si="94"/>
        <v>75</v>
      </c>
      <c r="J223" s="1012">
        <f t="shared" si="94"/>
        <v>36</v>
      </c>
      <c r="K223" s="1011">
        <f t="shared" si="94"/>
        <v>28.233937756446295</v>
      </c>
      <c r="L223" s="1010">
        <f t="shared" si="94"/>
        <v>0.18274293308797218</v>
      </c>
      <c r="N223" s="1031" t="s">
        <v>1397</v>
      </c>
      <c r="O223" s="1030"/>
      <c r="P223" s="1029">
        <v>75</v>
      </c>
      <c r="Q223" s="1028">
        <v>0</v>
      </c>
      <c r="R223" s="1028">
        <v>78</v>
      </c>
      <c r="S223" s="1027">
        <v>0</v>
      </c>
      <c r="T223" s="1026" t="s">
        <v>805</v>
      </c>
      <c r="U223" s="1025"/>
      <c r="V223" s="1017" t="s">
        <v>805</v>
      </c>
      <c r="W223" s="1017"/>
      <c r="X223" s="1017">
        <v>222</v>
      </c>
    </row>
    <row r="224" spans="1:24">
      <c r="A224" s="905">
        <v>223</v>
      </c>
      <c r="B224" s="905" t="s">
        <v>1396</v>
      </c>
      <c r="C224" s="905">
        <v>29189</v>
      </c>
      <c r="D224" s="905" t="s">
        <v>1115</v>
      </c>
      <c r="E224" s="905" t="s">
        <v>1117</v>
      </c>
      <c r="F224" s="1014"/>
      <c r="G224" s="1013"/>
      <c r="H224" s="1013"/>
      <c r="I224" s="1013"/>
      <c r="J224" s="1012"/>
      <c r="K224" s="1011"/>
      <c r="L224" s="1010"/>
      <c r="N224" s="1031" t="s">
        <v>1395</v>
      </c>
      <c r="O224" s="1030"/>
      <c r="P224" s="1029">
        <v>71</v>
      </c>
      <c r="Q224" s="1028">
        <v>38</v>
      </c>
      <c r="R224" s="1028">
        <v>71.7</v>
      </c>
      <c r="S224" s="1027">
        <v>35</v>
      </c>
      <c r="T224" s="1026">
        <v>59.151992880300043</v>
      </c>
      <c r="U224" s="1025">
        <v>0.2341783293724144</v>
      </c>
      <c r="V224" s="1017">
        <v>17.401</v>
      </c>
      <c r="W224" s="1017"/>
      <c r="X224" s="1017">
        <v>223</v>
      </c>
    </row>
    <row r="225" spans="1:24">
      <c r="A225" s="905">
        <v>224</v>
      </c>
      <c r="B225" s="905" t="s">
        <v>1394</v>
      </c>
      <c r="C225" s="905">
        <v>29188</v>
      </c>
      <c r="D225" s="905" t="s">
        <v>1115</v>
      </c>
      <c r="E225" s="905" t="s">
        <v>1117</v>
      </c>
      <c r="F225" s="1014"/>
      <c r="G225" s="1013"/>
      <c r="H225" s="1013"/>
      <c r="I225" s="1013"/>
      <c r="J225" s="1012"/>
      <c r="K225" s="1011"/>
      <c r="L225" s="1010"/>
      <c r="N225" s="1031" t="s">
        <v>1393</v>
      </c>
      <c r="O225" s="1030"/>
      <c r="P225" s="1029">
        <v>70</v>
      </c>
      <c r="Q225" s="1028">
        <v>38</v>
      </c>
      <c r="R225" s="1028">
        <v>78</v>
      </c>
      <c r="S225" s="1027">
        <v>34</v>
      </c>
      <c r="T225" s="1026" t="s">
        <v>805</v>
      </c>
      <c r="U225" s="1025">
        <v>0.2257401699822546</v>
      </c>
      <c r="V225" s="1017">
        <v>8.2899999999999991</v>
      </c>
      <c r="W225" s="1017"/>
      <c r="X225" s="1017">
        <v>224</v>
      </c>
    </row>
    <row r="226" spans="1:24">
      <c r="A226" s="905">
        <v>225</v>
      </c>
      <c r="B226" s="905" t="s">
        <v>1392</v>
      </c>
      <c r="C226" s="905">
        <v>29188</v>
      </c>
      <c r="D226" s="905" t="s">
        <v>1115</v>
      </c>
      <c r="E226" s="905" t="s">
        <v>1118</v>
      </c>
      <c r="F226" s="1014"/>
      <c r="G226" s="1013"/>
      <c r="H226" s="1013"/>
      <c r="I226" s="1013"/>
      <c r="J226" s="1012"/>
      <c r="K226" s="1011"/>
      <c r="L226" s="1010"/>
      <c r="N226" s="1031" t="s">
        <v>1391</v>
      </c>
      <c r="O226" s="1030"/>
      <c r="P226" s="1029">
        <v>80</v>
      </c>
      <c r="Q226" s="1028">
        <v>45</v>
      </c>
      <c r="R226" s="1028">
        <v>80</v>
      </c>
      <c r="S226" s="1027">
        <v>45</v>
      </c>
      <c r="T226" s="1026" t="s">
        <v>805</v>
      </c>
      <c r="U226" s="1025">
        <v>0.38391819660701837</v>
      </c>
      <c r="V226" s="1017">
        <v>2.6509999999999998</v>
      </c>
      <c r="W226" s="1017"/>
      <c r="X226" s="1017">
        <v>225</v>
      </c>
    </row>
    <row r="227" spans="1:24">
      <c r="A227" s="905">
        <v>226</v>
      </c>
      <c r="B227" s="905" t="s">
        <v>1390</v>
      </c>
      <c r="C227" s="905">
        <v>55133</v>
      </c>
      <c r="D227" s="905" t="s">
        <v>1116</v>
      </c>
      <c r="E227" s="905" t="s">
        <v>1117</v>
      </c>
      <c r="F227" s="1014">
        <f t="shared" ref="F227:L227" si="95">O124</f>
        <v>0</v>
      </c>
      <c r="G227" s="1013">
        <f t="shared" si="95"/>
        <v>65</v>
      </c>
      <c r="H227" s="1013">
        <f t="shared" si="95"/>
        <v>43</v>
      </c>
      <c r="I227" s="1013">
        <f t="shared" si="95"/>
        <v>68</v>
      </c>
      <c r="J227" s="1012">
        <f t="shared" si="95"/>
        <v>36</v>
      </c>
      <c r="K227" s="1011">
        <f t="shared" si="95"/>
        <v>28.562911929118126</v>
      </c>
      <c r="L227" s="1010">
        <f t="shared" si="95"/>
        <v>0.25218417118295644</v>
      </c>
      <c r="N227" s="1031" t="s">
        <v>1389</v>
      </c>
      <c r="O227" s="1030"/>
      <c r="P227" s="1029">
        <v>70</v>
      </c>
      <c r="Q227" s="1028">
        <v>40</v>
      </c>
      <c r="R227" s="1028">
        <v>80</v>
      </c>
      <c r="S227" s="1027">
        <v>40</v>
      </c>
      <c r="T227" s="1026"/>
      <c r="U227" s="1025">
        <v>0.2169264724372677</v>
      </c>
      <c r="V227" s="1017">
        <v>17.438420999999998</v>
      </c>
      <c r="W227" s="1017"/>
      <c r="X227" s="1017">
        <v>226</v>
      </c>
    </row>
    <row r="228" spans="1:24">
      <c r="A228" s="905">
        <v>227</v>
      </c>
      <c r="B228" s="905" t="s">
        <v>1388</v>
      </c>
      <c r="C228" s="905">
        <v>45973</v>
      </c>
      <c r="D228" s="905" t="s">
        <v>1115</v>
      </c>
      <c r="E228" s="905" t="s">
        <v>1117</v>
      </c>
      <c r="F228" s="1014"/>
      <c r="G228" s="1013"/>
      <c r="H228" s="1013"/>
      <c r="I228" s="1013"/>
      <c r="J228" s="1012"/>
      <c r="K228" s="1011"/>
      <c r="L228" s="1010"/>
      <c r="N228" s="1031" t="s">
        <v>1387</v>
      </c>
      <c r="O228" s="1030"/>
      <c r="P228" s="1029">
        <v>76</v>
      </c>
      <c r="Q228" s="1028">
        <v>39</v>
      </c>
      <c r="R228" s="1028">
        <v>78</v>
      </c>
      <c r="S228" s="1027">
        <v>36</v>
      </c>
      <c r="T228" s="1026">
        <v>52.457577464788734</v>
      </c>
      <c r="U228" s="1025">
        <v>0.21452541485791693</v>
      </c>
      <c r="V228" s="1017">
        <v>25.513000000000002</v>
      </c>
      <c r="W228" s="1017"/>
      <c r="X228" s="1017">
        <v>227</v>
      </c>
    </row>
    <row r="229" spans="1:24">
      <c r="A229" s="905">
        <v>228</v>
      </c>
      <c r="B229" s="905" t="s">
        <v>1386</v>
      </c>
      <c r="C229" s="905">
        <v>29189</v>
      </c>
      <c r="D229" s="905" t="s">
        <v>1115</v>
      </c>
      <c r="E229" s="905" t="s">
        <v>1117</v>
      </c>
      <c r="F229" s="1014">
        <f t="shared" ref="F229:L230" si="96">O125</f>
        <v>2.4506092104357405E-2</v>
      </c>
      <c r="G229" s="1013">
        <f t="shared" si="96"/>
        <v>70</v>
      </c>
      <c r="H229" s="1013">
        <f t="shared" si="96"/>
        <v>36</v>
      </c>
      <c r="I229" s="1013">
        <f t="shared" si="96"/>
        <v>75</v>
      </c>
      <c r="J229" s="1012">
        <f t="shared" si="96"/>
        <v>33</v>
      </c>
      <c r="K229" s="1011">
        <f t="shared" si="96"/>
        <v>35.419468841367362</v>
      </c>
      <c r="L229" s="1010">
        <f t="shared" si="96"/>
        <v>0.27393973608072825</v>
      </c>
      <c r="N229" s="1031" t="s">
        <v>1385</v>
      </c>
      <c r="O229" s="1030">
        <v>8.6365306872473353E-3</v>
      </c>
      <c r="P229" s="1029">
        <v>71</v>
      </c>
      <c r="Q229" s="1028">
        <v>37</v>
      </c>
      <c r="R229" s="1028">
        <v>76</v>
      </c>
      <c r="S229" s="1027">
        <v>36</v>
      </c>
      <c r="T229" s="1026" t="s">
        <v>805</v>
      </c>
      <c r="U229" s="1025">
        <v>0.4715477293790547</v>
      </c>
      <c r="V229" s="1017">
        <v>5.702</v>
      </c>
      <c r="W229" s="1017"/>
      <c r="X229" s="1017">
        <v>228</v>
      </c>
    </row>
    <row r="230" spans="1:24">
      <c r="A230" s="905">
        <v>229</v>
      </c>
      <c r="B230" s="905" t="s">
        <v>1384</v>
      </c>
      <c r="C230" s="905">
        <v>29189</v>
      </c>
      <c r="D230" s="905" t="s">
        <v>1115</v>
      </c>
      <c r="E230" s="905" t="s">
        <v>1117</v>
      </c>
      <c r="F230" s="1014">
        <f t="shared" si="96"/>
        <v>0</v>
      </c>
      <c r="G230" s="1013">
        <f t="shared" si="96"/>
        <v>75</v>
      </c>
      <c r="H230" s="1013">
        <f t="shared" si="96"/>
        <v>43</v>
      </c>
      <c r="I230" s="1013">
        <f t="shared" si="96"/>
        <v>80</v>
      </c>
      <c r="J230" s="1012">
        <f t="shared" si="96"/>
        <v>40</v>
      </c>
      <c r="K230" s="1011" t="str">
        <f t="shared" si="96"/>
        <v/>
      </c>
      <c r="L230" s="1010">
        <f t="shared" si="96"/>
        <v>0.26871273487421904</v>
      </c>
      <c r="N230" s="1031" t="s">
        <v>1383</v>
      </c>
      <c r="O230" s="1030"/>
      <c r="P230" s="1029">
        <v>80</v>
      </c>
      <c r="Q230" s="1028">
        <v>40</v>
      </c>
      <c r="R230" s="1028">
        <v>80</v>
      </c>
      <c r="S230" s="1027">
        <v>40</v>
      </c>
      <c r="T230" s="1026">
        <v>35.000006226187431</v>
      </c>
      <c r="U230" s="1025">
        <v>0.1961182278067885</v>
      </c>
      <c r="V230" s="1017">
        <v>78.819000000000003</v>
      </c>
      <c r="W230" s="1017"/>
      <c r="X230" s="1017">
        <v>229</v>
      </c>
    </row>
    <row r="231" spans="1:24">
      <c r="A231" s="905">
        <v>230</v>
      </c>
      <c r="B231" s="905" t="s">
        <v>1382</v>
      </c>
      <c r="C231" s="905">
        <v>55133</v>
      </c>
      <c r="D231" s="905" t="s">
        <v>1116</v>
      </c>
      <c r="E231" s="905" t="s">
        <v>1117</v>
      </c>
      <c r="F231" s="1014"/>
      <c r="G231" s="1013"/>
      <c r="H231" s="1013"/>
      <c r="I231" s="1013"/>
      <c r="J231" s="1012"/>
      <c r="K231" s="1011"/>
      <c r="L231" s="1010"/>
      <c r="N231" s="1031" t="s">
        <v>1209</v>
      </c>
      <c r="O231" s="1030"/>
      <c r="P231" s="1029">
        <v>63</v>
      </c>
      <c r="Q231" s="1028">
        <v>48</v>
      </c>
      <c r="R231" s="1028">
        <v>72</v>
      </c>
      <c r="S231" s="1027">
        <v>42</v>
      </c>
      <c r="T231" s="1026" t="s">
        <v>805</v>
      </c>
      <c r="U231" s="1025"/>
      <c r="V231" s="1017" t="s">
        <v>805</v>
      </c>
      <c r="W231" s="1017"/>
      <c r="X231" s="1017">
        <v>230</v>
      </c>
    </row>
    <row r="232" spans="1:24">
      <c r="A232" s="905">
        <v>231</v>
      </c>
      <c r="B232" s="905" t="s">
        <v>1381</v>
      </c>
      <c r="C232" s="905">
        <v>29189</v>
      </c>
      <c r="D232" s="905" t="s">
        <v>1115</v>
      </c>
      <c r="E232" s="905" t="s">
        <v>1117</v>
      </c>
      <c r="F232" s="1014"/>
      <c r="G232" s="1013"/>
      <c r="H232" s="1013"/>
      <c r="I232" s="1013"/>
      <c r="J232" s="1012"/>
      <c r="K232" s="1011"/>
      <c r="L232" s="1010"/>
      <c r="N232" s="1031" t="s">
        <v>1380</v>
      </c>
      <c r="O232" s="1030"/>
      <c r="P232" s="1029">
        <v>78</v>
      </c>
      <c r="Q232" s="1028">
        <v>51</v>
      </c>
      <c r="R232" s="1028">
        <v>85</v>
      </c>
      <c r="S232" s="1027">
        <v>42</v>
      </c>
      <c r="T232" s="1026" t="s">
        <v>805</v>
      </c>
      <c r="U232" s="1025">
        <v>0.15945465637516246</v>
      </c>
      <c r="V232" s="1017">
        <v>158.447</v>
      </c>
      <c r="W232" s="1017"/>
      <c r="X232" s="1017">
        <v>231</v>
      </c>
    </row>
    <row r="233" spans="1:24">
      <c r="A233" s="905">
        <v>232</v>
      </c>
      <c r="B233" s="905" t="s">
        <v>1379</v>
      </c>
      <c r="C233" s="905">
        <v>29189</v>
      </c>
      <c r="D233" s="905" t="s">
        <v>1115</v>
      </c>
      <c r="E233" s="905" t="s">
        <v>1117</v>
      </c>
      <c r="F233" s="1014">
        <f t="shared" ref="F233:L233" si="97">O128</f>
        <v>0</v>
      </c>
      <c r="G233" s="1013">
        <f t="shared" si="97"/>
        <v>70</v>
      </c>
      <c r="H233" s="1013">
        <f t="shared" si="97"/>
        <v>42</v>
      </c>
      <c r="I233" s="1013">
        <f t="shared" si="97"/>
        <v>72</v>
      </c>
      <c r="J233" s="1012">
        <f t="shared" si="97"/>
        <v>35</v>
      </c>
      <c r="K233" s="1011">
        <f t="shared" si="97"/>
        <v>31.90301255026986</v>
      </c>
      <c r="L233" s="1010">
        <f t="shared" si="97"/>
        <v>0.24153851746828081</v>
      </c>
      <c r="N233" s="1031" t="s">
        <v>1378</v>
      </c>
      <c r="O233" s="1030"/>
      <c r="P233" s="1029">
        <v>68</v>
      </c>
      <c r="Q233" s="1028">
        <v>0</v>
      </c>
      <c r="R233" s="1028">
        <v>75</v>
      </c>
      <c r="S233" s="1027">
        <v>0</v>
      </c>
      <c r="T233" s="1026" t="s">
        <v>805</v>
      </c>
      <c r="U233" s="1025"/>
      <c r="V233" s="1017" t="s">
        <v>805</v>
      </c>
      <c r="W233" s="1017"/>
      <c r="X233" s="1017">
        <v>232</v>
      </c>
    </row>
    <row r="234" spans="1:24">
      <c r="A234" s="905">
        <v>233</v>
      </c>
      <c r="B234" s="905" t="s">
        <v>1377</v>
      </c>
      <c r="C234" s="905">
        <v>29189</v>
      </c>
      <c r="D234" s="905" t="s">
        <v>1115</v>
      </c>
      <c r="E234" s="905" t="s">
        <v>1117</v>
      </c>
      <c r="F234" s="1014"/>
      <c r="G234" s="1013"/>
      <c r="H234" s="1013"/>
      <c r="I234" s="1013"/>
      <c r="J234" s="1012"/>
      <c r="K234" s="1011"/>
      <c r="L234" s="1010"/>
      <c r="N234" s="1031" t="s">
        <v>1205</v>
      </c>
      <c r="O234" s="1030"/>
      <c r="P234" s="1029">
        <v>75</v>
      </c>
      <c r="Q234" s="1028">
        <v>45</v>
      </c>
      <c r="R234" s="1028">
        <v>78</v>
      </c>
      <c r="S234" s="1027">
        <v>41</v>
      </c>
      <c r="T234" s="1026">
        <v>36.022074999995993</v>
      </c>
      <c r="U234" s="1025">
        <v>0.23532574071983792</v>
      </c>
      <c r="V234" s="1017">
        <v>399.69600000000003</v>
      </c>
      <c r="W234" s="1017"/>
      <c r="X234" s="1017">
        <v>233</v>
      </c>
    </row>
    <row r="235" spans="1:24">
      <c r="A235" s="905">
        <v>234</v>
      </c>
      <c r="B235" s="905" t="s">
        <v>1376</v>
      </c>
      <c r="C235" s="905">
        <v>29189</v>
      </c>
      <c r="D235" s="905" t="s">
        <v>1115</v>
      </c>
      <c r="E235" s="905" t="s">
        <v>1117</v>
      </c>
      <c r="F235" s="1014">
        <f t="shared" ref="F235:L235" si="98">O129</f>
        <v>0</v>
      </c>
      <c r="G235" s="1013">
        <f t="shared" si="98"/>
        <v>68</v>
      </c>
      <c r="H235" s="1013">
        <f t="shared" si="98"/>
        <v>44</v>
      </c>
      <c r="I235" s="1013">
        <f t="shared" si="98"/>
        <v>70</v>
      </c>
      <c r="J235" s="1012">
        <f t="shared" si="98"/>
        <v>39</v>
      </c>
      <c r="K235" s="1011">
        <f t="shared" si="98"/>
        <v>27.076615304008193</v>
      </c>
      <c r="L235" s="1010">
        <f t="shared" si="98"/>
        <v>0.49924357034795763</v>
      </c>
      <c r="N235" s="1031" t="s">
        <v>1203</v>
      </c>
      <c r="O235" s="1030"/>
      <c r="P235" s="1029">
        <v>100</v>
      </c>
      <c r="Q235" s="1028">
        <v>50</v>
      </c>
      <c r="R235" s="1028">
        <v>115</v>
      </c>
      <c r="S235" s="1027">
        <v>50</v>
      </c>
      <c r="T235" s="1026" t="s">
        <v>805</v>
      </c>
      <c r="U235" s="1025">
        <v>2.4610781342834634E-2</v>
      </c>
      <c r="V235" s="1017">
        <v>2094.7809999999999</v>
      </c>
      <c r="W235" s="1017"/>
      <c r="X235" s="1017">
        <v>234</v>
      </c>
    </row>
    <row r="236" spans="1:24">
      <c r="A236" s="905">
        <v>235</v>
      </c>
      <c r="B236" s="905" t="s">
        <v>1375</v>
      </c>
      <c r="C236" s="905">
        <v>29189</v>
      </c>
      <c r="D236" s="905" t="s">
        <v>1115</v>
      </c>
      <c r="E236" s="905" t="s">
        <v>1117</v>
      </c>
      <c r="F236" s="1014"/>
      <c r="G236" s="1013"/>
      <c r="H236" s="1013"/>
      <c r="I236" s="1013"/>
      <c r="J236" s="1012"/>
      <c r="K236" s="1011"/>
      <c r="L236" s="1010"/>
      <c r="N236" s="1031" t="s">
        <v>1374</v>
      </c>
      <c r="O236" s="1030">
        <v>2.9994380443944927E-2</v>
      </c>
      <c r="P236" s="1029">
        <v>66</v>
      </c>
      <c r="Q236" s="1028">
        <v>35</v>
      </c>
      <c r="R236" s="1028">
        <v>66</v>
      </c>
      <c r="S236" s="1027">
        <v>33</v>
      </c>
      <c r="T236" s="1026" t="s">
        <v>805</v>
      </c>
      <c r="U236" s="1025">
        <v>0.18794264610036926</v>
      </c>
      <c r="V236" s="1017">
        <v>11.213700000000001</v>
      </c>
      <c r="W236" s="1017"/>
      <c r="X236" s="1017">
        <v>235</v>
      </c>
    </row>
    <row r="237" spans="1:24">
      <c r="A237" s="905">
        <v>236</v>
      </c>
      <c r="B237" s="905" t="s">
        <v>1373</v>
      </c>
      <c r="C237" s="905">
        <v>29189</v>
      </c>
      <c r="D237" s="905" t="s">
        <v>1115</v>
      </c>
      <c r="E237" s="905" t="s">
        <v>1117</v>
      </c>
      <c r="F237" s="1014">
        <f t="shared" ref="F237:L237" si="99">O130</f>
        <v>0</v>
      </c>
      <c r="G237" s="1013">
        <f t="shared" si="99"/>
        <v>66</v>
      </c>
      <c r="H237" s="1013">
        <f t="shared" si="99"/>
        <v>37</v>
      </c>
      <c r="I237" s="1013">
        <f t="shared" si="99"/>
        <v>65</v>
      </c>
      <c r="J237" s="1012">
        <f t="shared" si="99"/>
        <v>35</v>
      </c>
      <c r="K237" s="1011" t="str">
        <f t="shared" si="99"/>
        <v/>
      </c>
      <c r="L237" s="1010">
        <f t="shared" si="99"/>
        <v>0.22099775357097445</v>
      </c>
      <c r="N237" s="1031" t="s">
        <v>1372</v>
      </c>
      <c r="O237" s="1030"/>
      <c r="P237" s="1033">
        <v>125</v>
      </c>
      <c r="Q237" s="1017">
        <v>63</v>
      </c>
      <c r="R237" s="1017">
        <v>125</v>
      </c>
      <c r="S237" s="1032">
        <v>60</v>
      </c>
      <c r="T237" s="1026" t="s">
        <v>805</v>
      </c>
      <c r="U237" s="1025">
        <v>5.0171516695280242E-2</v>
      </c>
      <c r="V237" s="1017">
        <v>1152.9739999999999</v>
      </c>
      <c r="W237" s="1017"/>
      <c r="X237" s="1017">
        <v>236</v>
      </c>
    </row>
    <row r="238" spans="1:24" ht="15.6">
      <c r="A238" s="905">
        <v>237</v>
      </c>
      <c r="B238" s="905" t="s">
        <v>1371</v>
      </c>
      <c r="C238" s="905">
        <v>55133</v>
      </c>
      <c r="D238" s="905" t="s">
        <v>1116</v>
      </c>
      <c r="E238" s="905" t="s">
        <v>1117</v>
      </c>
      <c r="F238" s="1014">
        <f t="shared" ref="F238:K238" si="100">O131</f>
        <v>0</v>
      </c>
      <c r="G238" s="1013">
        <f t="shared" si="100"/>
        <v>60.38</v>
      </c>
      <c r="H238" s="1013">
        <f t="shared" si="100"/>
        <v>38</v>
      </c>
      <c r="I238" s="1013">
        <f t="shared" si="100"/>
        <v>68</v>
      </c>
      <c r="J238" s="1012">
        <f t="shared" si="100"/>
        <v>35</v>
      </c>
      <c r="K238" s="1011" t="str">
        <f t="shared" si="100"/>
        <v/>
      </c>
      <c r="L238" s="1015">
        <v>0.17374718282373314</v>
      </c>
      <c r="N238" s="1031" t="s">
        <v>1201</v>
      </c>
      <c r="O238" s="1030">
        <v>2.2939456417796597E-3</v>
      </c>
      <c r="P238" s="1029">
        <v>67</v>
      </c>
      <c r="Q238" s="1028">
        <v>41</v>
      </c>
      <c r="R238" s="1028">
        <v>78</v>
      </c>
      <c r="S238" s="1027">
        <v>38</v>
      </c>
      <c r="T238" s="1026">
        <v>36.03034015456042</v>
      </c>
      <c r="U238" s="1025">
        <v>0.23961749844871907</v>
      </c>
      <c r="V238" s="1017">
        <v>274.49200000000002</v>
      </c>
      <c r="W238" s="1017"/>
      <c r="X238" s="1017">
        <v>237</v>
      </c>
    </row>
    <row r="239" spans="1:24">
      <c r="A239" s="905">
        <v>238</v>
      </c>
      <c r="B239" s="905" t="s">
        <v>1370</v>
      </c>
      <c r="C239" s="905">
        <v>29189</v>
      </c>
      <c r="D239" s="905" t="s">
        <v>1115</v>
      </c>
      <c r="E239" s="905" t="s">
        <v>1117</v>
      </c>
      <c r="F239" s="1014"/>
      <c r="G239" s="1013"/>
      <c r="H239" s="1013"/>
      <c r="I239" s="1013"/>
      <c r="J239" s="1012"/>
      <c r="K239" s="1011"/>
      <c r="L239" s="1010"/>
      <c r="N239" s="1031" t="s">
        <v>1200</v>
      </c>
      <c r="O239" s="1030"/>
      <c r="P239" s="1029">
        <v>66.8</v>
      </c>
      <c r="Q239" s="1028">
        <v>41.3</v>
      </c>
      <c r="R239" s="1028">
        <v>68.5</v>
      </c>
      <c r="S239" s="1027">
        <v>39.200000000000003</v>
      </c>
      <c r="T239" s="1026">
        <v>28.157887120078705</v>
      </c>
      <c r="U239" s="1025">
        <v>0.23081406264668147</v>
      </c>
      <c r="V239" s="1017">
        <v>196.64699999999999</v>
      </c>
      <c r="W239" s="1017"/>
      <c r="X239" s="1017">
        <v>238</v>
      </c>
    </row>
    <row r="240" spans="1:24">
      <c r="A240" s="905">
        <v>239</v>
      </c>
      <c r="B240" s="905" t="s">
        <v>1369</v>
      </c>
      <c r="C240" s="905">
        <v>29189</v>
      </c>
      <c r="D240" s="905" t="s">
        <v>1115</v>
      </c>
      <c r="E240" s="905" t="s">
        <v>1117</v>
      </c>
      <c r="F240" s="1014"/>
      <c r="G240" s="1013"/>
      <c r="H240" s="1013"/>
      <c r="I240" s="1013"/>
      <c r="J240" s="1012"/>
      <c r="K240" s="1011"/>
      <c r="L240" s="1010"/>
      <c r="N240" s="1031" t="s">
        <v>1199</v>
      </c>
      <c r="O240" s="1030">
        <v>3.4953395472703062E-2</v>
      </c>
      <c r="P240" s="1029">
        <v>71</v>
      </c>
      <c r="Q240" s="1028">
        <v>37</v>
      </c>
      <c r="R240" s="1028">
        <v>77</v>
      </c>
      <c r="S240" s="1027">
        <v>32</v>
      </c>
      <c r="T240" s="1026" t="s">
        <v>805</v>
      </c>
      <c r="U240" s="1025">
        <v>0.24870645050017248</v>
      </c>
      <c r="V240" s="1017">
        <v>28.314</v>
      </c>
      <c r="W240" s="1017"/>
      <c r="X240" s="1017">
        <v>239</v>
      </c>
    </row>
    <row r="241" spans="1:24">
      <c r="A241" s="905">
        <v>240</v>
      </c>
      <c r="B241" s="905" t="s">
        <v>1368</v>
      </c>
      <c r="C241" s="905">
        <v>28856</v>
      </c>
      <c r="D241" s="905" t="s">
        <v>1115</v>
      </c>
      <c r="E241" s="905" t="s">
        <v>1117</v>
      </c>
      <c r="F241" s="1014">
        <f t="shared" ref="F241:L241" si="101">O132</f>
        <v>0.2041240088577756</v>
      </c>
      <c r="G241" s="1013">
        <f t="shared" si="101"/>
        <v>70</v>
      </c>
      <c r="H241" s="1013">
        <f t="shared" si="101"/>
        <v>42</v>
      </c>
      <c r="I241" s="1013">
        <f t="shared" si="101"/>
        <v>72</v>
      </c>
      <c r="J241" s="1012">
        <f t="shared" si="101"/>
        <v>35</v>
      </c>
      <c r="K241" s="1011">
        <f t="shared" si="101"/>
        <v>27.81311459801638</v>
      </c>
      <c r="L241" s="1010">
        <f t="shared" si="101"/>
        <v>0.24184353444267848</v>
      </c>
      <c r="N241" s="1031" t="s">
        <v>1367</v>
      </c>
      <c r="O241" s="1030">
        <v>8.3595919483172906E-3</v>
      </c>
      <c r="P241" s="1029">
        <v>65</v>
      </c>
      <c r="Q241" s="1028">
        <v>35</v>
      </c>
      <c r="R241" s="1028">
        <v>72</v>
      </c>
      <c r="S241" s="1027">
        <v>34</v>
      </c>
      <c r="T241" s="1026">
        <v>42.243755862120082</v>
      </c>
      <c r="U241" s="1025">
        <v>0.24847939640162503</v>
      </c>
      <c r="V241" s="1017">
        <v>25.897400000000001</v>
      </c>
      <c r="W241" s="1017"/>
      <c r="X241" s="1017">
        <v>240</v>
      </c>
    </row>
    <row r="242" spans="1:24">
      <c r="A242" s="905">
        <v>241</v>
      </c>
      <c r="B242" s="905" t="s">
        <v>1366</v>
      </c>
      <c r="C242" s="905">
        <v>29189</v>
      </c>
      <c r="D242" s="905" t="s">
        <v>1115</v>
      </c>
      <c r="E242" s="905" t="s">
        <v>1117</v>
      </c>
      <c r="F242" s="1014"/>
      <c r="G242" s="1013"/>
      <c r="H242" s="1013"/>
      <c r="I242" s="1013"/>
      <c r="J242" s="1012"/>
      <c r="K242" s="1011"/>
      <c r="L242" s="1010"/>
      <c r="N242" s="1031" t="s">
        <v>1365</v>
      </c>
      <c r="O242" s="1030"/>
      <c r="P242" s="1029">
        <v>68</v>
      </c>
      <c r="Q242" s="1028">
        <v>0</v>
      </c>
      <c r="R242" s="1028">
        <v>74</v>
      </c>
      <c r="S242" s="1027">
        <v>0</v>
      </c>
      <c r="T242" s="1026" t="s">
        <v>805</v>
      </c>
      <c r="U242" s="1025">
        <v>0.31993156544054746</v>
      </c>
      <c r="V242" s="1017">
        <v>3.18</v>
      </c>
      <c r="W242" s="1017"/>
      <c r="X242" s="1017">
        <v>241</v>
      </c>
    </row>
    <row r="243" spans="1:24">
      <c r="A243" s="905">
        <v>242</v>
      </c>
      <c r="B243" s="905" t="s">
        <v>1364</v>
      </c>
      <c r="C243" s="905">
        <v>29189</v>
      </c>
      <c r="D243" s="905" t="s">
        <v>1115</v>
      </c>
      <c r="E243" s="905" t="s">
        <v>1117</v>
      </c>
      <c r="F243" s="1014"/>
      <c r="G243" s="1013"/>
      <c r="H243" s="1013"/>
      <c r="I243" s="1013"/>
      <c r="J243" s="1012"/>
      <c r="K243" s="1011"/>
      <c r="L243" s="1010"/>
      <c r="N243" s="1031" t="s">
        <v>1193</v>
      </c>
      <c r="O243" s="1030"/>
      <c r="P243" s="1033">
        <v>76</v>
      </c>
      <c r="Q243" s="1017">
        <v>42</v>
      </c>
      <c r="R243" s="1017">
        <v>76</v>
      </c>
      <c r="S243" s="1032">
        <v>39</v>
      </c>
      <c r="T243" s="1026">
        <v>38.756086174042636</v>
      </c>
      <c r="U243" s="1025">
        <v>0.25674584447590576</v>
      </c>
      <c r="V243" s="1017">
        <v>39.374203880000003</v>
      </c>
      <c r="W243" s="1017"/>
      <c r="X243" s="1017">
        <v>242</v>
      </c>
    </row>
    <row r="244" spans="1:24">
      <c r="A244" s="905">
        <v>243</v>
      </c>
      <c r="B244" s="905" t="s">
        <v>1363</v>
      </c>
      <c r="C244" s="905">
        <v>29189</v>
      </c>
      <c r="D244" s="905" t="s">
        <v>1115</v>
      </c>
      <c r="E244" s="905" t="s">
        <v>1118</v>
      </c>
      <c r="F244" s="1014"/>
      <c r="G244" s="1013"/>
      <c r="H244" s="1013"/>
      <c r="I244" s="1013"/>
      <c r="J244" s="1012"/>
      <c r="K244" s="1011"/>
      <c r="L244" s="1010"/>
      <c r="N244" s="1031" t="s">
        <v>1362</v>
      </c>
      <c r="O244" s="1030"/>
      <c r="P244" s="1029">
        <v>67</v>
      </c>
      <c r="Q244" s="1028">
        <v>42</v>
      </c>
      <c r="R244" s="1028">
        <v>70</v>
      </c>
      <c r="S244" s="1027">
        <v>37</v>
      </c>
      <c r="T244" s="1026" t="s">
        <v>805</v>
      </c>
      <c r="U244" s="1025">
        <v>0.40074330242143225</v>
      </c>
      <c r="V244" s="1017">
        <v>4.6526290000000001</v>
      </c>
      <c r="W244" s="1017"/>
      <c r="X244" s="1017">
        <v>243</v>
      </c>
    </row>
    <row r="245" spans="1:24">
      <c r="A245" s="905">
        <v>244</v>
      </c>
      <c r="B245" s="905" t="s">
        <v>1361</v>
      </c>
      <c r="C245" s="905">
        <v>29189</v>
      </c>
      <c r="D245" s="905" t="s">
        <v>1116</v>
      </c>
      <c r="E245" s="905" t="s">
        <v>1117</v>
      </c>
      <c r="F245" s="1014">
        <f t="shared" ref="F245:L245" si="102">O133</f>
        <v>0</v>
      </c>
      <c r="G245" s="1013">
        <f t="shared" si="102"/>
        <v>64</v>
      </c>
      <c r="H245" s="1013">
        <f t="shared" si="102"/>
        <v>45</v>
      </c>
      <c r="I245" s="1013">
        <f t="shared" si="102"/>
        <v>65</v>
      </c>
      <c r="J245" s="1012">
        <f t="shared" si="102"/>
        <v>40</v>
      </c>
      <c r="K245" s="1011" t="str">
        <f t="shared" si="102"/>
        <v/>
      </c>
      <c r="L245" s="1010">
        <f t="shared" si="102"/>
        <v>0.19586194937631596</v>
      </c>
      <c r="N245" s="1031" t="s">
        <v>1360</v>
      </c>
      <c r="O245" s="1030"/>
      <c r="P245" s="1029">
        <v>68</v>
      </c>
      <c r="Q245" s="1028">
        <v>45</v>
      </c>
      <c r="R245" s="1028">
        <v>70</v>
      </c>
      <c r="S245" s="1027">
        <v>43</v>
      </c>
      <c r="T245" s="1026" t="s">
        <v>805</v>
      </c>
      <c r="U245" s="1025">
        <v>0.17581161874834209</v>
      </c>
      <c r="V245" s="1017">
        <v>40.390999999999998</v>
      </c>
      <c r="W245" s="1017"/>
      <c r="X245" s="1017">
        <v>244</v>
      </c>
    </row>
    <row r="246" spans="1:24" ht="15.6">
      <c r="A246" s="905">
        <v>245</v>
      </c>
      <c r="B246" s="905" t="s">
        <v>1359</v>
      </c>
      <c r="C246" s="905">
        <v>29188</v>
      </c>
      <c r="D246" s="905" t="s">
        <v>1115</v>
      </c>
      <c r="E246" s="905" t="s">
        <v>1117</v>
      </c>
      <c r="F246" s="1014">
        <f t="shared" ref="F246:K246" si="103">O134</f>
        <v>0</v>
      </c>
      <c r="G246" s="1013">
        <f t="shared" si="103"/>
        <v>73</v>
      </c>
      <c r="H246" s="1013">
        <f t="shared" si="103"/>
        <v>0</v>
      </c>
      <c r="I246" s="1013">
        <f t="shared" si="103"/>
        <v>73</v>
      </c>
      <c r="J246" s="1012">
        <f t="shared" si="103"/>
        <v>0</v>
      </c>
      <c r="K246" s="1011" t="str">
        <f t="shared" si="103"/>
        <v/>
      </c>
      <c r="L246" s="1015">
        <v>0.22800028617798151</v>
      </c>
      <c r="N246" s="1031" t="s">
        <v>1358</v>
      </c>
      <c r="O246" s="1030"/>
      <c r="P246" s="1029">
        <v>73</v>
      </c>
      <c r="Q246" s="1028">
        <v>40</v>
      </c>
      <c r="R246" s="1028">
        <v>74</v>
      </c>
      <c r="S246" s="1027">
        <v>38</v>
      </c>
      <c r="T246" s="1026">
        <v>33.293261760135614</v>
      </c>
      <c r="U246" s="1025">
        <v>0.48748877941981389</v>
      </c>
      <c r="V246" s="1017">
        <v>2.8090739999999998</v>
      </c>
      <c r="W246" s="1017"/>
      <c r="X246" s="1017">
        <v>245</v>
      </c>
    </row>
    <row r="247" spans="1:24">
      <c r="A247" s="905">
        <v>246</v>
      </c>
      <c r="B247" s="905" t="s">
        <v>1357</v>
      </c>
      <c r="C247" s="905">
        <v>41333</v>
      </c>
      <c r="D247" s="905" t="s">
        <v>1115</v>
      </c>
      <c r="E247" s="905" t="s">
        <v>1117</v>
      </c>
      <c r="F247" s="1014"/>
      <c r="G247" s="1013"/>
      <c r="H247" s="1013"/>
      <c r="I247" s="1013"/>
      <c r="J247" s="1012"/>
      <c r="K247" s="1011"/>
      <c r="L247" s="1010"/>
      <c r="N247" s="1031" t="s">
        <v>1356</v>
      </c>
      <c r="O247" s="1030"/>
      <c r="P247" s="1029">
        <v>74</v>
      </c>
      <c r="Q247" s="1028">
        <v>39</v>
      </c>
      <c r="R247" s="1028">
        <v>76</v>
      </c>
      <c r="S247" s="1027">
        <v>34</v>
      </c>
      <c r="T247" s="1026" t="s">
        <v>805</v>
      </c>
      <c r="U247" s="1025">
        <v>0.25546265720508676</v>
      </c>
      <c r="V247" s="1017">
        <v>10.597</v>
      </c>
      <c r="W247" s="1017"/>
      <c r="X247" s="1017">
        <v>246</v>
      </c>
    </row>
    <row r="248" spans="1:24">
      <c r="A248" s="905">
        <v>247</v>
      </c>
      <c r="B248" s="905" t="s">
        <v>1355</v>
      </c>
      <c r="C248" s="905">
        <v>44023</v>
      </c>
      <c r="D248" s="905" t="s">
        <v>1116</v>
      </c>
      <c r="E248" s="905" t="s">
        <v>1118</v>
      </c>
      <c r="F248" s="1014">
        <f t="shared" ref="F248:L248" si="104">O135</f>
        <v>0</v>
      </c>
      <c r="G248" s="1013">
        <f t="shared" si="104"/>
        <v>73</v>
      </c>
      <c r="H248" s="1013">
        <f t="shared" si="104"/>
        <v>0</v>
      </c>
      <c r="I248" s="1013">
        <f t="shared" si="104"/>
        <v>73</v>
      </c>
      <c r="J248" s="1012">
        <f t="shared" si="104"/>
        <v>0</v>
      </c>
      <c r="K248" s="1011">
        <f t="shared" si="104"/>
        <v>28.55022805146475</v>
      </c>
      <c r="L248" s="1010">
        <f t="shared" si="104"/>
        <v>0.26233766233766231</v>
      </c>
      <c r="N248" s="1031" t="s">
        <v>1354</v>
      </c>
      <c r="O248" s="1030">
        <v>3.4430193439865435E-3</v>
      </c>
      <c r="P248" s="1029">
        <v>66</v>
      </c>
      <c r="Q248" s="1028">
        <v>39</v>
      </c>
      <c r="R248" s="1028">
        <v>70</v>
      </c>
      <c r="S248" s="1027">
        <v>36</v>
      </c>
      <c r="T248" s="1026">
        <v>31.196659204408473</v>
      </c>
      <c r="U248" s="1025">
        <v>0.21267505340612392</v>
      </c>
      <c r="V248" s="1017">
        <v>29.853000000000002</v>
      </c>
      <c r="W248" s="1017"/>
      <c r="X248" s="1017">
        <v>247</v>
      </c>
    </row>
    <row r="249" spans="1:24">
      <c r="A249" s="905">
        <v>248</v>
      </c>
      <c r="B249" s="905" t="s">
        <v>1353</v>
      </c>
      <c r="C249" s="905">
        <v>29189</v>
      </c>
      <c r="D249" s="905" t="s">
        <v>1115</v>
      </c>
      <c r="E249" s="905" t="s">
        <v>1117</v>
      </c>
      <c r="F249" s="1014"/>
      <c r="G249" s="1013"/>
      <c r="H249" s="1013"/>
      <c r="I249" s="1013"/>
      <c r="J249" s="1012"/>
      <c r="K249" s="1011"/>
      <c r="L249" s="1010"/>
      <c r="N249" s="1031" t="s">
        <v>1352</v>
      </c>
      <c r="O249" s="1030"/>
      <c r="P249" s="1029">
        <v>67</v>
      </c>
      <c r="Q249" s="1028">
        <v>37</v>
      </c>
      <c r="R249" s="1028">
        <v>70</v>
      </c>
      <c r="S249" s="1027">
        <v>34</v>
      </c>
      <c r="T249" s="1026">
        <v>32.745812737811598</v>
      </c>
      <c r="U249" s="1025">
        <v>0.26686901704412797</v>
      </c>
      <c r="V249" s="1017">
        <v>9.42</v>
      </c>
      <c r="W249" s="1017"/>
      <c r="X249" s="1017">
        <v>248</v>
      </c>
    </row>
    <row r="250" spans="1:24">
      <c r="A250" s="905">
        <v>249</v>
      </c>
      <c r="B250" s="905" t="s">
        <v>1351</v>
      </c>
      <c r="C250" s="905">
        <v>29189</v>
      </c>
      <c r="D250" s="905" t="s">
        <v>1115</v>
      </c>
      <c r="E250" s="905" t="s">
        <v>1117</v>
      </c>
      <c r="F250" s="1014">
        <f t="shared" ref="F250:L250" si="105">O136</f>
        <v>7.3937588207621141E-2</v>
      </c>
      <c r="G250" s="1013">
        <f t="shared" si="105"/>
        <v>70</v>
      </c>
      <c r="H250" s="1013">
        <f t="shared" si="105"/>
        <v>34.5</v>
      </c>
      <c r="I250" s="1013">
        <f t="shared" si="105"/>
        <v>72</v>
      </c>
      <c r="J250" s="1012">
        <f t="shared" si="105"/>
        <v>33</v>
      </c>
      <c r="K250" s="1011">
        <f t="shared" si="105"/>
        <v>33.602151604771642</v>
      </c>
      <c r="L250" s="1010">
        <f t="shared" si="105"/>
        <v>0.21691643383286766</v>
      </c>
      <c r="N250" s="1031" t="s">
        <v>1350</v>
      </c>
      <c r="O250" s="1030">
        <v>6.973014434139879E-5</v>
      </c>
      <c r="P250" s="1029">
        <v>72</v>
      </c>
      <c r="Q250" s="1028">
        <v>39</v>
      </c>
      <c r="R250" s="1028">
        <v>76</v>
      </c>
      <c r="S250" s="1027">
        <v>34</v>
      </c>
      <c r="T250" s="1026">
        <v>34.869991065066671</v>
      </c>
      <c r="U250" s="1025">
        <v>0.26729428172942815</v>
      </c>
      <c r="V250" s="1017">
        <v>10.507</v>
      </c>
      <c r="W250" s="1017"/>
      <c r="X250" s="1017">
        <v>249</v>
      </c>
    </row>
    <row r="251" spans="1:24">
      <c r="A251" s="905">
        <v>250</v>
      </c>
      <c r="B251" s="905" t="s">
        <v>1349</v>
      </c>
      <c r="C251" s="905">
        <v>29189</v>
      </c>
      <c r="D251" s="905" t="s">
        <v>1115</v>
      </c>
      <c r="E251" s="905" t="s">
        <v>1117</v>
      </c>
      <c r="F251" s="1014">
        <f t="shared" ref="F251:L252" si="106">O138</f>
        <v>0</v>
      </c>
      <c r="G251" s="1013">
        <f t="shared" si="106"/>
        <v>72</v>
      </c>
      <c r="H251" s="1013">
        <f t="shared" si="106"/>
        <v>40</v>
      </c>
      <c r="I251" s="1013">
        <f t="shared" si="106"/>
        <v>72</v>
      </c>
      <c r="J251" s="1012">
        <f t="shared" si="106"/>
        <v>40</v>
      </c>
      <c r="K251" s="1011" t="str">
        <f t="shared" si="106"/>
        <v/>
      </c>
      <c r="L251" s="1010">
        <f t="shared" si="106"/>
        <v>0.2803927933776984</v>
      </c>
      <c r="N251" s="1031" t="s">
        <v>1348</v>
      </c>
      <c r="O251" s="1030"/>
      <c r="P251" s="1029">
        <v>66</v>
      </c>
      <c r="Q251" s="1028">
        <v>38</v>
      </c>
      <c r="R251" s="1028">
        <v>73</v>
      </c>
      <c r="S251" s="1027">
        <v>36</v>
      </c>
      <c r="T251" s="1026">
        <v>30.201102191033733</v>
      </c>
      <c r="U251" s="1025">
        <v>0.31531005647263249</v>
      </c>
      <c r="V251" s="1017">
        <v>6.3046249999999997</v>
      </c>
      <c r="W251" s="1017"/>
      <c r="X251" s="1017">
        <v>250</v>
      </c>
    </row>
    <row r="252" spans="1:24">
      <c r="A252" s="905">
        <v>251</v>
      </c>
      <c r="B252" s="905" t="s">
        <v>1347</v>
      </c>
      <c r="C252" s="905">
        <v>29189</v>
      </c>
      <c r="D252" s="905" t="s">
        <v>1115</v>
      </c>
      <c r="E252" s="905" t="s">
        <v>1118</v>
      </c>
      <c r="F252" s="1014">
        <f t="shared" si="106"/>
        <v>9.4308389379192305E-3</v>
      </c>
      <c r="G252" s="1013">
        <f t="shared" si="106"/>
        <v>67</v>
      </c>
      <c r="H252" s="1013">
        <f t="shared" si="106"/>
        <v>42</v>
      </c>
      <c r="I252" s="1013">
        <f t="shared" si="106"/>
        <v>81</v>
      </c>
      <c r="J252" s="1012">
        <f t="shared" si="106"/>
        <v>34</v>
      </c>
      <c r="K252" s="1011">
        <f t="shared" si="106"/>
        <v>32.415217939027464</v>
      </c>
      <c r="L252" s="1010">
        <f t="shared" si="106"/>
        <v>0.3305003819709702</v>
      </c>
      <c r="N252" s="1031" t="s">
        <v>1346</v>
      </c>
      <c r="O252" s="1030">
        <v>1.3805119957110307E-2</v>
      </c>
      <c r="P252" s="1029">
        <v>72</v>
      </c>
      <c r="Q252" s="1028">
        <v>41</v>
      </c>
      <c r="R252" s="1028">
        <v>73</v>
      </c>
      <c r="S252" s="1027">
        <v>39</v>
      </c>
      <c r="T252" s="1026"/>
      <c r="U252" s="1025">
        <v>0.45528676270725743</v>
      </c>
      <c r="V252" s="1017">
        <v>4.008</v>
      </c>
      <c r="W252" s="1017"/>
      <c r="X252" s="1017">
        <v>251</v>
      </c>
    </row>
    <row r="253" spans="1:24">
      <c r="A253" s="905">
        <v>252</v>
      </c>
      <c r="B253" s="905" t="s">
        <v>1344</v>
      </c>
      <c r="C253" s="905">
        <v>29189</v>
      </c>
      <c r="D253" s="905" t="s">
        <v>1116</v>
      </c>
      <c r="E253" s="905" t="s">
        <v>1117</v>
      </c>
      <c r="F253" s="1014"/>
      <c r="G253" s="1013"/>
      <c r="H253" s="1013"/>
      <c r="I253" s="1013"/>
      <c r="J253" s="1012"/>
      <c r="K253" s="1011"/>
      <c r="L253" s="1010"/>
      <c r="N253" s="1031" t="s">
        <v>1345</v>
      </c>
      <c r="O253" s="1030">
        <v>1.6757865937072503E-2</v>
      </c>
      <c r="P253" s="1029">
        <v>70</v>
      </c>
      <c r="Q253" s="1028">
        <v>0</v>
      </c>
      <c r="R253" s="1028">
        <v>80</v>
      </c>
      <c r="S253" s="1027">
        <v>0</v>
      </c>
      <c r="T253" s="1026" t="s">
        <v>805</v>
      </c>
      <c r="U253" s="1025">
        <v>0.30536956521739128</v>
      </c>
      <c r="V253" s="1017">
        <v>31.952999999999999</v>
      </c>
      <c r="W253" s="1017"/>
      <c r="X253" s="1017">
        <v>252</v>
      </c>
    </row>
    <row r="254" spans="1:24">
      <c r="A254" s="905">
        <v>253</v>
      </c>
      <c r="B254" s="905" t="s">
        <v>1344</v>
      </c>
      <c r="C254" s="905">
        <v>29189</v>
      </c>
      <c r="D254" s="905" t="s">
        <v>1115</v>
      </c>
      <c r="E254" s="905" t="s">
        <v>1117</v>
      </c>
      <c r="F254" s="1014"/>
      <c r="G254" s="1013"/>
      <c r="H254" s="1013"/>
      <c r="I254" s="1013"/>
      <c r="J254" s="1012"/>
      <c r="K254" s="1011"/>
      <c r="L254" s="1010"/>
      <c r="N254" s="1031" t="s">
        <v>1343</v>
      </c>
      <c r="O254" s="1030"/>
      <c r="P254" s="1029">
        <v>70</v>
      </c>
      <c r="Q254" s="1028">
        <v>35</v>
      </c>
      <c r="R254" s="1028">
        <v>75</v>
      </c>
      <c r="S254" s="1027">
        <v>32</v>
      </c>
      <c r="T254" s="1026">
        <v>39.619779176581176</v>
      </c>
      <c r="U254" s="1025">
        <v>0.22868686868686869</v>
      </c>
      <c r="V254" s="1017">
        <v>11.454000000000001</v>
      </c>
      <c r="W254" s="1017"/>
      <c r="X254" s="1017">
        <v>253</v>
      </c>
    </row>
    <row r="255" spans="1:24" ht="15.6">
      <c r="A255" s="905">
        <v>254</v>
      </c>
      <c r="B255" s="905" t="s">
        <v>1342</v>
      </c>
      <c r="C255" s="905">
        <v>29189</v>
      </c>
      <c r="D255" s="905" t="s">
        <v>1115</v>
      </c>
      <c r="E255" s="905" t="s">
        <v>1117</v>
      </c>
      <c r="F255" s="1014">
        <f t="shared" ref="F255:K257" si="107">O140</f>
        <v>0</v>
      </c>
      <c r="G255" s="1013">
        <f t="shared" si="107"/>
        <v>71</v>
      </c>
      <c r="H255" s="1013">
        <f t="shared" si="107"/>
        <v>0</v>
      </c>
      <c r="I255" s="1013">
        <f t="shared" si="107"/>
        <v>79</v>
      </c>
      <c r="J255" s="1012">
        <f t="shared" si="107"/>
        <v>0</v>
      </c>
      <c r="K255" s="1011" t="str">
        <f t="shared" si="107"/>
        <v/>
      </c>
      <c r="L255" s="1015">
        <v>0.22800028617798151</v>
      </c>
      <c r="N255" s="1031" t="s">
        <v>1341</v>
      </c>
      <c r="O255" s="1030"/>
      <c r="P255" s="1029">
        <v>73</v>
      </c>
      <c r="Q255" s="1028">
        <v>42</v>
      </c>
      <c r="R255" s="1028">
        <v>75</v>
      </c>
      <c r="S255" s="1027">
        <v>40</v>
      </c>
      <c r="T255" s="1026" t="s">
        <v>805</v>
      </c>
      <c r="U255" s="1025">
        <v>0.26005738797750855</v>
      </c>
      <c r="V255" s="1017">
        <v>204.23599999999999</v>
      </c>
      <c r="W255" s="1017"/>
      <c r="X255" s="1017">
        <v>254</v>
      </c>
    </row>
    <row r="256" spans="1:24">
      <c r="A256" s="905">
        <v>255</v>
      </c>
      <c r="B256" s="905" t="s">
        <v>1340</v>
      </c>
      <c r="C256" s="905">
        <v>29189</v>
      </c>
      <c r="D256" s="905" t="s">
        <v>1115</v>
      </c>
      <c r="E256" s="905" t="s">
        <v>1117</v>
      </c>
      <c r="F256" s="1014">
        <f t="shared" si="107"/>
        <v>0</v>
      </c>
      <c r="G256" s="1013">
        <f t="shared" si="107"/>
        <v>70</v>
      </c>
      <c r="H256" s="1013">
        <f t="shared" si="107"/>
        <v>41</v>
      </c>
      <c r="I256" s="1013">
        <f t="shared" si="107"/>
        <v>70</v>
      </c>
      <c r="J256" s="1012">
        <f t="shared" si="107"/>
        <v>41</v>
      </c>
      <c r="K256" s="1011" t="str">
        <f t="shared" si="107"/>
        <v/>
      </c>
      <c r="L256" s="1010">
        <f>U141</f>
        <v>0.31760591573840757</v>
      </c>
      <c r="N256" s="1031" t="s">
        <v>1339</v>
      </c>
      <c r="O256" s="1030"/>
      <c r="P256" s="1029">
        <v>75</v>
      </c>
      <c r="Q256" s="1028">
        <v>40</v>
      </c>
      <c r="R256" s="1028">
        <v>82</v>
      </c>
      <c r="S256" s="1027">
        <v>39</v>
      </c>
      <c r="T256" s="1026">
        <v>42.554670479371481</v>
      </c>
      <c r="U256" s="1025">
        <v>0.16509396556642708</v>
      </c>
      <c r="V256" s="1017">
        <v>73.992999999999995</v>
      </c>
      <c r="W256" s="1017"/>
      <c r="X256" s="1017">
        <v>255</v>
      </c>
    </row>
    <row r="257" spans="1:24" ht="15.6">
      <c r="A257" s="905">
        <v>256</v>
      </c>
      <c r="B257" s="905" t="s">
        <v>1338</v>
      </c>
      <c r="C257" s="905">
        <v>31210</v>
      </c>
      <c r="D257" s="905" t="s">
        <v>1116</v>
      </c>
      <c r="E257" s="905" t="s">
        <v>1117</v>
      </c>
      <c r="F257" s="1014">
        <f t="shared" si="107"/>
        <v>0</v>
      </c>
      <c r="G257" s="1013">
        <f t="shared" si="107"/>
        <v>60</v>
      </c>
      <c r="H257" s="1013">
        <f t="shared" si="107"/>
        <v>0</v>
      </c>
      <c r="I257" s="1013">
        <f t="shared" si="107"/>
        <v>80</v>
      </c>
      <c r="J257" s="1012">
        <f t="shared" si="107"/>
        <v>0</v>
      </c>
      <c r="K257" s="1011" t="str">
        <f t="shared" si="107"/>
        <v/>
      </c>
      <c r="L257" s="1015">
        <v>0.17374718282373314</v>
      </c>
      <c r="N257" s="1024" t="s">
        <v>1337</v>
      </c>
      <c r="O257" s="1023"/>
      <c r="P257" s="1022">
        <v>78</v>
      </c>
      <c r="Q257" s="1021">
        <v>40</v>
      </c>
      <c r="R257" s="1021">
        <v>82</v>
      </c>
      <c r="S257" s="1020">
        <v>35</v>
      </c>
      <c r="T257" s="1019" t="s">
        <v>805</v>
      </c>
      <c r="U257" s="1018">
        <v>0.2564394908904763</v>
      </c>
      <c r="V257" s="1017">
        <v>95.867999999999995</v>
      </c>
      <c r="W257" s="1017"/>
      <c r="X257" s="1017">
        <v>256</v>
      </c>
    </row>
    <row r="258" spans="1:24">
      <c r="A258" s="905">
        <v>257</v>
      </c>
      <c r="B258" s="905" t="s">
        <v>1336</v>
      </c>
      <c r="C258" s="905">
        <v>29188</v>
      </c>
      <c r="D258" s="905" t="s">
        <v>1115</v>
      </c>
      <c r="E258" s="905" t="s">
        <v>1118</v>
      </c>
      <c r="F258" s="1014">
        <f t="shared" ref="F258:L258" si="108">O150</f>
        <v>0</v>
      </c>
      <c r="G258" s="1013">
        <f t="shared" si="108"/>
        <v>75</v>
      </c>
      <c r="H258" s="1013">
        <f t="shared" si="108"/>
        <v>52</v>
      </c>
      <c r="I258" s="1013">
        <f t="shared" si="108"/>
        <v>80</v>
      </c>
      <c r="J258" s="1012">
        <f t="shared" si="108"/>
        <v>45</v>
      </c>
      <c r="K258" s="1011" t="str">
        <f t="shared" si="108"/>
        <v/>
      </c>
      <c r="L258" s="1010">
        <f t="shared" si="108"/>
        <v>0.25359712230215825</v>
      </c>
    </row>
    <row r="259" spans="1:24">
      <c r="A259" s="905">
        <v>258</v>
      </c>
      <c r="B259" s="905" t="s">
        <v>1335</v>
      </c>
      <c r="C259" s="905">
        <v>29189</v>
      </c>
      <c r="D259" s="905" t="s">
        <v>1115</v>
      </c>
      <c r="E259" s="905" t="s">
        <v>1117</v>
      </c>
      <c r="F259" s="1014"/>
      <c r="G259" s="1013"/>
      <c r="H259" s="1013"/>
      <c r="I259" s="1013"/>
      <c r="J259" s="1012"/>
      <c r="K259" s="1011"/>
      <c r="L259" s="1010"/>
    </row>
    <row r="260" spans="1:24">
      <c r="A260" s="905">
        <v>259</v>
      </c>
      <c r="B260" s="905" t="s">
        <v>1334</v>
      </c>
      <c r="C260" s="905">
        <v>23795</v>
      </c>
      <c r="D260" s="905" t="s">
        <v>1115</v>
      </c>
      <c r="E260" s="905" t="s">
        <v>1117</v>
      </c>
      <c r="F260" s="1014"/>
      <c r="G260" s="1013"/>
      <c r="H260" s="1013"/>
      <c r="I260" s="1013"/>
      <c r="J260" s="1012"/>
      <c r="K260" s="1011"/>
      <c r="L260" s="1010"/>
    </row>
    <row r="261" spans="1:24">
      <c r="A261" s="905">
        <v>260</v>
      </c>
      <c r="B261" s="905" t="s">
        <v>1334</v>
      </c>
      <c r="C261" s="905">
        <v>29189</v>
      </c>
      <c r="D261" s="905" t="s">
        <v>1115</v>
      </c>
      <c r="E261" s="905" t="s">
        <v>1117</v>
      </c>
      <c r="F261" s="1014"/>
      <c r="G261" s="1013"/>
      <c r="H261" s="1013"/>
      <c r="I261" s="1013"/>
      <c r="J261" s="1012"/>
      <c r="K261" s="1011"/>
      <c r="L261" s="1010"/>
    </row>
    <row r="262" spans="1:24">
      <c r="A262" s="905">
        <v>261</v>
      </c>
      <c r="B262" s="905" t="s">
        <v>1333</v>
      </c>
      <c r="C262" s="905">
        <v>41333</v>
      </c>
      <c r="D262" s="905" t="s">
        <v>1115</v>
      </c>
      <c r="E262" s="905" t="s">
        <v>1117</v>
      </c>
      <c r="F262" s="1014">
        <f t="shared" ref="F262:L265" si="109">O145</f>
        <v>0</v>
      </c>
      <c r="G262" s="1013">
        <f t="shared" si="109"/>
        <v>74</v>
      </c>
      <c r="H262" s="1013">
        <f t="shared" si="109"/>
        <v>40</v>
      </c>
      <c r="I262" s="1013">
        <f t="shared" si="109"/>
        <v>74</v>
      </c>
      <c r="J262" s="1012">
        <f t="shared" si="109"/>
        <v>38</v>
      </c>
      <c r="K262" s="1011">
        <f t="shared" si="109"/>
        <v>36.844128774010883</v>
      </c>
      <c r="L262" s="1010">
        <f t="shared" si="109"/>
        <v>0.2188596691126202</v>
      </c>
    </row>
    <row r="263" spans="1:24">
      <c r="A263" s="905">
        <v>262</v>
      </c>
      <c r="B263" s="905" t="s">
        <v>1332</v>
      </c>
      <c r="C263" s="905">
        <v>29188</v>
      </c>
      <c r="D263" s="905" t="s">
        <v>1115</v>
      </c>
      <c r="E263" s="905" t="s">
        <v>1118</v>
      </c>
      <c r="F263" s="1014">
        <f t="shared" si="109"/>
        <v>0</v>
      </c>
      <c r="G263" s="1013">
        <f t="shared" si="109"/>
        <v>73</v>
      </c>
      <c r="H263" s="1013">
        <f t="shared" si="109"/>
        <v>41</v>
      </c>
      <c r="I263" s="1013">
        <f t="shared" si="109"/>
        <v>75</v>
      </c>
      <c r="J263" s="1012">
        <f t="shared" si="109"/>
        <v>40</v>
      </c>
      <c r="K263" s="1011">
        <f t="shared" si="109"/>
        <v>3.5520143126997965</v>
      </c>
      <c r="L263" s="1010">
        <f t="shared" si="109"/>
        <v>0.27656720684271863</v>
      </c>
    </row>
    <row r="264" spans="1:24">
      <c r="A264" s="905">
        <v>263</v>
      </c>
      <c r="B264" s="905" t="s">
        <v>1331</v>
      </c>
      <c r="C264" s="905">
        <v>29188</v>
      </c>
      <c r="D264" s="905" t="s">
        <v>1115</v>
      </c>
      <c r="E264" s="905" t="s">
        <v>1118</v>
      </c>
      <c r="F264" s="1014">
        <f t="shared" si="109"/>
        <v>0</v>
      </c>
      <c r="G264" s="1013">
        <f t="shared" si="109"/>
        <v>67</v>
      </c>
      <c r="H264" s="1013">
        <f t="shared" si="109"/>
        <v>67</v>
      </c>
      <c r="I264" s="1013">
        <f t="shared" si="109"/>
        <v>71</v>
      </c>
      <c r="J264" s="1012">
        <f t="shared" si="109"/>
        <v>71</v>
      </c>
      <c r="K264" s="1011">
        <f t="shared" si="109"/>
        <v>33.030288913026958</v>
      </c>
      <c r="L264" s="1010">
        <f t="shared" si="109"/>
        <v>0.26487182298263534</v>
      </c>
    </row>
    <row r="265" spans="1:24">
      <c r="A265" s="905">
        <v>264</v>
      </c>
      <c r="B265" s="905" t="s">
        <v>1330</v>
      </c>
      <c r="C265" s="905">
        <v>29189</v>
      </c>
      <c r="D265" s="905" t="s">
        <v>1115</v>
      </c>
      <c r="E265" s="905" t="s">
        <v>1118</v>
      </c>
      <c r="F265" s="1014">
        <f t="shared" si="109"/>
        <v>0</v>
      </c>
      <c r="G265" s="1013">
        <f t="shared" si="109"/>
        <v>75</v>
      </c>
      <c r="H265" s="1013">
        <f t="shared" si="109"/>
        <v>53</v>
      </c>
      <c r="I265" s="1013">
        <f t="shared" si="109"/>
        <v>85</v>
      </c>
      <c r="J265" s="1012">
        <f t="shared" si="109"/>
        <v>47</v>
      </c>
      <c r="K265" s="1011">
        <f t="shared" si="109"/>
        <v>34.118186758900578</v>
      </c>
      <c r="L265" s="1010">
        <f t="shared" si="109"/>
        <v>0.19083493483106331</v>
      </c>
    </row>
    <row r="266" spans="1:24">
      <c r="A266" s="905">
        <v>265</v>
      </c>
      <c r="B266" s="905" t="s">
        <v>1329</v>
      </c>
      <c r="C266" s="905">
        <v>29189</v>
      </c>
      <c r="D266" s="905" t="s">
        <v>1115</v>
      </c>
      <c r="E266" s="905" t="s">
        <v>1117</v>
      </c>
      <c r="F266" s="1014"/>
      <c r="G266" s="1013"/>
      <c r="H266" s="1013"/>
      <c r="I266" s="1013"/>
      <c r="J266" s="1012"/>
      <c r="K266" s="1011"/>
      <c r="L266" s="1010"/>
    </row>
    <row r="267" spans="1:24">
      <c r="A267" s="905">
        <v>266</v>
      </c>
      <c r="B267" s="905" t="s">
        <v>1328</v>
      </c>
      <c r="C267" s="905">
        <v>29188</v>
      </c>
      <c r="D267" s="905" t="s">
        <v>1115</v>
      </c>
      <c r="E267" s="905" t="s">
        <v>1117</v>
      </c>
      <c r="F267" s="1014"/>
      <c r="G267" s="1013"/>
      <c r="H267" s="1013"/>
      <c r="I267" s="1013"/>
      <c r="J267" s="1012"/>
      <c r="K267" s="1011"/>
      <c r="L267" s="1010"/>
    </row>
    <row r="268" spans="1:24">
      <c r="A268" s="905">
        <v>267</v>
      </c>
      <c r="B268" s="905" t="s">
        <v>1327</v>
      </c>
      <c r="C268" s="905">
        <v>29189</v>
      </c>
      <c r="D268" s="905" t="s">
        <v>1115</v>
      </c>
      <c r="E268" s="905" t="s">
        <v>1117</v>
      </c>
      <c r="F268" s="1014"/>
      <c r="G268" s="1013"/>
      <c r="H268" s="1013"/>
      <c r="I268" s="1013"/>
      <c r="J268" s="1012"/>
      <c r="K268" s="1011"/>
      <c r="L268" s="1010"/>
    </row>
    <row r="269" spans="1:24">
      <c r="A269" s="905">
        <v>268</v>
      </c>
      <c r="B269" s="905" t="s">
        <v>1326</v>
      </c>
      <c r="C269" s="905">
        <v>29189</v>
      </c>
      <c r="D269" s="905" t="s">
        <v>1115</v>
      </c>
      <c r="E269" s="905" t="s">
        <v>1117</v>
      </c>
      <c r="F269" s="1014">
        <f t="shared" ref="F269:L269" si="110">O143</f>
        <v>7.2396076599719368E-3</v>
      </c>
      <c r="G269" s="1013">
        <f t="shared" si="110"/>
        <v>72</v>
      </c>
      <c r="H269" s="1013">
        <f t="shared" si="110"/>
        <v>38</v>
      </c>
      <c r="I269" s="1013">
        <f t="shared" si="110"/>
        <v>76</v>
      </c>
      <c r="J269" s="1012">
        <f t="shared" si="110"/>
        <v>35</v>
      </c>
      <c r="K269" s="1011">
        <f t="shared" si="110"/>
        <v>34.726955023416103</v>
      </c>
      <c r="L269" s="1010">
        <f t="shared" si="110"/>
        <v>0.15658695901921843</v>
      </c>
    </row>
    <row r="270" spans="1:24">
      <c r="A270" s="905">
        <v>269</v>
      </c>
      <c r="B270" s="905" t="s">
        <v>1325</v>
      </c>
      <c r="C270" s="905">
        <v>29189</v>
      </c>
      <c r="D270" s="905" t="s">
        <v>1115</v>
      </c>
      <c r="E270" s="905" t="s">
        <v>1117</v>
      </c>
      <c r="F270" s="1014">
        <f t="shared" ref="F270:L270" si="111">O244</f>
        <v>0</v>
      </c>
      <c r="G270" s="1013">
        <f t="shared" si="111"/>
        <v>67</v>
      </c>
      <c r="H270" s="1013">
        <f t="shared" si="111"/>
        <v>42</v>
      </c>
      <c r="I270" s="1013">
        <f t="shared" si="111"/>
        <v>70</v>
      </c>
      <c r="J270" s="1012">
        <f t="shared" si="111"/>
        <v>37</v>
      </c>
      <c r="K270" s="1011" t="str">
        <f t="shared" si="111"/>
        <v/>
      </c>
      <c r="L270" s="1010">
        <f t="shared" si="111"/>
        <v>0.40074330242143225</v>
      </c>
    </row>
    <row r="271" spans="1:24">
      <c r="A271" s="905">
        <v>270</v>
      </c>
      <c r="B271" s="905" t="s">
        <v>1324</v>
      </c>
      <c r="C271" s="905">
        <v>29189</v>
      </c>
      <c r="D271" s="905" t="s">
        <v>1115</v>
      </c>
      <c r="E271" s="905" t="s">
        <v>1117</v>
      </c>
      <c r="F271" s="1014">
        <f t="shared" ref="F271:L271" si="112">O149</f>
        <v>0</v>
      </c>
      <c r="G271" s="1013">
        <f t="shared" si="112"/>
        <v>68</v>
      </c>
      <c r="H271" s="1013">
        <f t="shared" si="112"/>
        <v>40</v>
      </c>
      <c r="I271" s="1013">
        <f t="shared" si="112"/>
        <v>70</v>
      </c>
      <c r="J271" s="1012">
        <f t="shared" si="112"/>
        <v>37</v>
      </c>
      <c r="K271" s="1011" t="str">
        <f t="shared" si="112"/>
        <v/>
      </c>
      <c r="L271" s="1010">
        <f t="shared" si="112"/>
        <v>0.23822738827421522</v>
      </c>
    </row>
    <row r="272" spans="1:24">
      <c r="A272" s="905">
        <v>271</v>
      </c>
      <c r="B272" s="905" t="s">
        <v>1323</v>
      </c>
      <c r="C272" s="905">
        <v>29189</v>
      </c>
      <c r="D272" s="905" t="s">
        <v>1116</v>
      </c>
      <c r="E272" s="905" t="s">
        <v>1117</v>
      </c>
      <c r="F272" s="1014">
        <f t="shared" ref="F272:L272" si="113">O253</f>
        <v>1.6757865937072503E-2</v>
      </c>
      <c r="G272" s="1013">
        <f t="shared" si="113"/>
        <v>70</v>
      </c>
      <c r="H272" s="1013">
        <f t="shared" si="113"/>
        <v>0</v>
      </c>
      <c r="I272" s="1013">
        <f t="shared" si="113"/>
        <v>80</v>
      </c>
      <c r="J272" s="1012">
        <f t="shared" si="113"/>
        <v>0</v>
      </c>
      <c r="K272" s="1011" t="str">
        <f t="shared" si="113"/>
        <v/>
      </c>
      <c r="L272" s="1010">
        <f t="shared" si="113"/>
        <v>0.30536956521739128</v>
      </c>
    </row>
    <row r="273" spans="1:12">
      <c r="A273" s="905">
        <v>272</v>
      </c>
      <c r="B273" s="905" t="s">
        <v>1322</v>
      </c>
      <c r="C273" s="905">
        <v>32264</v>
      </c>
      <c r="D273" s="905" t="s">
        <v>1116</v>
      </c>
      <c r="E273" s="905" t="s">
        <v>1117</v>
      </c>
      <c r="F273" s="1014">
        <f t="shared" ref="F273:L273" si="114">O151</f>
        <v>0</v>
      </c>
      <c r="G273" s="1013">
        <f t="shared" si="114"/>
        <v>69.13</v>
      </c>
      <c r="H273" s="1013">
        <f t="shared" si="114"/>
        <v>44.59</v>
      </c>
      <c r="I273" s="1013">
        <f t="shared" si="114"/>
        <v>73.069999999999993</v>
      </c>
      <c r="J273" s="1012">
        <f t="shared" si="114"/>
        <v>39.200000000000003</v>
      </c>
      <c r="K273" s="1011">
        <f t="shared" si="114"/>
        <v>0</v>
      </c>
      <c r="L273" s="1010">
        <f t="shared" si="114"/>
        <v>0.24214000347403161</v>
      </c>
    </row>
    <row r="274" spans="1:12">
      <c r="A274" s="905">
        <v>273</v>
      </c>
      <c r="B274" s="905" t="s">
        <v>1321</v>
      </c>
      <c r="C274" s="905">
        <v>29188</v>
      </c>
      <c r="D274" s="905" t="s">
        <v>1115</v>
      </c>
      <c r="E274" s="905" t="s">
        <v>1118</v>
      </c>
      <c r="F274" s="1014"/>
      <c r="G274" s="1013"/>
      <c r="H274" s="1013"/>
      <c r="I274" s="1013"/>
      <c r="J274" s="1012"/>
      <c r="K274" s="1011"/>
      <c r="L274" s="1010"/>
    </row>
    <row r="275" spans="1:12">
      <c r="A275" s="905">
        <v>274</v>
      </c>
      <c r="B275" s="905" t="s">
        <v>1320</v>
      </c>
      <c r="C275" s="905">
        <v>23795</v>
      </c>
      <c r="D275" s="905" t="s">
        <v>1115</v>
      </c>
      <c r="E275" s="905" t="s">
        <v>1117</v>
      </c>
      <c r="F275" s="1014"/>
      <c r="G275" s="1013"/>
      <c r="H275" s="1013"/>
      <c r="I275" s="1013"/>
      <c r="J275" s="1012"/>
      <c r="K275" s="1011"/>
      <c r="L275" s="1010"/>
    </row>
    <row r="276" spans="1:12">
      <c r="A276" s="905">
        <v>275</v>
      </c>
      <c r="B276" s="905" t="s">
        <v>1319</v>
      </c>
      <c r="C276" s="905">
        <v>29189</v>
      </c>
      <c r="D276" s="905" t="s">
        <v>1115</v>
      </c>
      <c r="E276" s="905" t="s">
        <v>1117</v>
      </c>
      <c r="F276" s="1014"/>
      <c r="G276" s="1013"/>
      <c r="H276" s="1013"/>
      <c r="I276" s="1013"/>
      <c r="J276" s="1012"/>
      <c r="K276" s="1011"/>
      <c r="L276" s="1010"/>
    </row>
    <row r="277" spans="1:12">
      <c r="A277" s="905">
        <v>276</v>
      </c>
      <c r="B277" s="905" t="s">
        <v>1318</v>
      </c>
      <c r="C277" s="905">
        <v>29189</v>
      </c>
      <c r="D277" s="905" t="s">
        <v>1115</v>
      </c>
      <c r="E277" s="905" t="s">
        <v>1117</v>
      </c>
      <c r="F277" s="1014">
        <f t="shared" ref="F277:L277" si="115">O154</f>
        <v>0</v>
      </c>
      <c r="G277" s="1013">
        <f t="shared" si="115"/>
        <v>65</v>
      </c>
      <c r="H277" s="1013">
        <f t="shared" si="115"/>
        <v>40</v>
      </c>
      <c r="I277" s="1013">
        <f t="shared" si="115"/>
        <v>70</v>
      </c>
      <c r="J277" s="1012">
        <f t="shared" si="115"/>
        <v>35</v>
      </c>
      <c r="K277" s="1011">
        <f t="shared" si="115"/>
        <v>32.20957264957265</v>
      </c>
      <c r="L277" s="1010">
        <f t="shared" si="115"/>
        <v>0.24167047010497489</v>
      </c>
    </row>
    <row r="278" spans="1:12">
      <c r="A278" s="905">
        <v>277</v>
      </c>
      <c r="B278" s="905" t="s">
        <v>1317</v>
      </c>
      <c r="C278" s="905">
        <v>29189</v>
      </c>
      <c r="D278" s="905" t="s">
        <v>1115</v>
      </c>
      <c r="E278" s="905" t="s">
        <v>1117</v>
      </c>
      <c r="F278" s="1014">
        <f t="shared" ref="F278:L278" si="116">O153</f>
        <v>0</v>
      </c>
      <c r="G278" s="1013">
        <f t="shared" si="116"/>
        <v>70</v>
      </c>
      <c r="H278" s="1013">
        <f t="shared" si="116"/>
        <v>40</v>
      </c>
      <c r="I278" s="1013">
        <f t="shared" si="116"/>
        <v>74</v>
      </c>
      <c r="J278" s="1012">
        <f t="shared" si="116"/>
        <v>36</v>
      </c>
      <c r="K278" s="1011">
        <f t="shared" si="116"/>
        <v>30.217456453888268</v>
      </c>
      <c r="L278" s="1010">
        <f t="shared" si="116"/>
        <v>0.24838776783856875</v>
      </c>
    </row>
    <row r="279" spans="1:12">
      <c r="A279" s="905">
        <v>278</v>
      </c>
      <c r="B279" s="905" t="s">
        <v>1316</v>
      </c>
      <c r="C279" s="905">
        <v>29189</v>
      </c>
      <c r="D279" s="905" t="s">
        <v>1115</v>
      </c>
      <c r="E279" s="905" t="s">
        <v>1117</v>
      </c>
      <c r="F279" s="1014">
        <f t="shared" ref="F279:L280" si="117">O155</f>
        <v>0</v>
      </c>
      <c r="G279" s="1013">
        <f t="shared" si="117"/>
        <v>70</v>
      </c>
      <c r="H279" s="1013">
        <f t="shared" si="117"/>
        <v>40</v>
      </c>
      <c r="I279" s="1013">
        <f t="shared" si="117"/>
        <v>77</v>
      </c>
      <c r="J279" s="1012">
        <f t="shared" si="117"/>
        <v>36</v>
      </c>
      <c r="K279" s="1011">
        <f t="shared" si="117"/>
        <v>0</v>
      </c>
      <c r="L279" s="1010">
        <f t="shared" si="117"/>
        <v>0.24604347931460702</v>
      </c>
    </row>
    <row r="280" spans="1:12">
      <c r="A280" s="905">
        <v>279</v>
      </c>
      <c r="B280" s="905" t="s">
        <v>1315</v>
      </c>
      <c r="C280" s="905">
        <v>29189</v>
      </c>
      <c r="D280" s="905" t="s">
        <v>1116</v>
      </c>
      <c r="E280" s="905" t="s">
        <v>1117</v>
      </c>
      <c r="F280" s="1014">
        <f t="shared" si="117"/>
        <v>0</v>
      </c>
      <c r="G280" s="1013">
        <f t="shared" si="117"/>
        <v>75</v>
      </c>
      <c r="H280" s="1013">
        <f t="shared" si="117"/>
        <v>38</v>
      </c>
      <c r="I280" s="1013">
        <f t="shared" si="117"/>
        <v>84</v>
      </c>
      <c r="J280" s="1012">
        <f t="shared" si="117"/>
        <v>40</v>
      </c>
      <c r="K280" s="1011" t="str">
        <f t="shared" si="117"/>
        <v/>
      </c>
      <c r="L280" s="1010">
        <f t="shared" si="117"/>
        <v>0.30186201957507758</v>
      </c>
    </row>
    <row r="281" spans="1:12">
      <c r="A281" s="905">
        <v>280</v>
      </c>
      <c r="B281" s="905" t="s">
        <v>1314</v>
      </c>
      <c r="C281" s="905">
        <v>29189</v>
      </c>
      <c r="D281" s="905" t="s">
        <v>1115</v>
      </c>
      <c r="E281" s="905" t="s">
        <v>1117</v>
      </c>
      <c r="F281" s="1014"/>
      <c r="G281" s="1013"/>
      <c r="H281" s="1013"/>
      <c r="I281" s="1013"/>
      <c r="J281" s="1012"/>
      <c r="K281" s="1011"/>
      <c r="L281" s="1010"/>
    </row>
    <row r="282" spans="1:12">
      <c r="A282" s="905">
        <v>281</v>
      </c>
      <c r="B282" s="905" t="s">
        <v>1313</v>
      </c>
      <c r="C282" s="905">
        <v>29189</v>
      </c>
      <c r="D282" s="905" t="s">
        <v>1115</v>
      </c>
      <c r="E282" s="905" t="s">
        <v>1118</v>
      </c>
      <c r="F282" s="1014">
        <f t="shared" ref="F282:L282" si="118">O157</f>
        <v>0</v>
      </c>
      <c r="G282" s="1013">
        <f t="shared" si="118"/>
        <v>75</v>
      </c>
      <c r="H282" s="1013">
        <f t="shared" si="118"/>
        <v>0</v>
      </c>
      <c r="I282" s="1013">
        <f t="shared" si="118"/>
        <v>80</v>
      </c>
      <c r="J282" s="1012">
        <f t="shared" si="118"/>
        <v>0</v>
      </c>
      <c r="K282" s="1011" t="str">
        <f t="shared" si="118"/>
        <v/>
      </c>
      <c r="L282" s="1010">
        <f t="shared" si="118"/>
        <v>0.23113988857099835</v>
      </c>
    </row>
    <row r="283" spans="1:12">
      <c r="A283" s="905">
        <v>282</v>
      </c>
      <c r="B283" s="905" t="s">
        <v>1312</v>
      </c>
      <c r="C283" s="905">
        <v>29189</v>
      </c>
      <c r="D283" s="905" t="s">
        <v>1115</v>
      </c>
      <c r="E283" s="905" t="s">
        <v>1117</v>
      </c>
      <c r="F283" s="1014"/>
      <c r="G283" s="1013"/>
      <c r="H283" s="1013"/>
      <c r="I283" s="1013"/>
      <c r="J283" s="1012"/>
      <c r="K283" s="1011"/>
      <c r="L283" s="1010"/>
    </row>
    <row r="284" spans="1:12">
      <c r="A284" s="905">
        <v>283</v>
      </c>
      <c r="B284" s="905" t="s">
        <v>1311</v>
      </c>
      <c r="C284" s="905">
        <v>29189</v>
      </c>
      <c r="D284" s="905" t="s">
        <v>1115</v>
      </c>
      <c r="E284" s="905" t="s">
        <v>1117</v>
      </c>
      <c r="F284" s="1014">
        <f t="shared" ref="F284:L284" si="119">O158</f>
        <v>0</v>
      </c>
      <c r="G284" s="1013">
        <f t="shared" si="119"/>
        <v>74</v>
      </c>
      <c r="H284" s="1013">
        <f t="shared" si="119"/>
        <v>42</v>
      </c>
      <c r="I284" s="1013">
        <f t="shared" si="119"/>
        <v>77</v>
      </c>
      <c r="J284" s="1012">
        <f t="shared" si="119"/>
        <v>40</v>
      </c>
      <c r="K284" s="1011">
        <f t="shared" si="119"/>
        <v>29.494048140043763</v>
      </c>
      <c r="L284" s="1010">
        <f t="shared" si="119"/>
        <v>0.47068206469725005</v>
      </c>
    </row>
    <row r="285" spans="1:12" ht="15.6">
      <c r="A285" s="905">
        <v>284</v>
      </c>
      <c r="B285" s="905" t="s">
        <v>1310</v>
      </c>
      <c r="C285" s="905">
        <v>29189</v>
      </c>
      <c r="D285" s="905" t="s">
        <v>1115</v>
      </c>
      <c r="E285" s="905" t="s">
        <v>1117</v>
      </c>
      <c r="F285" s="1014">
        <f t="shared" ref="F285:K285" si="120">O159</f>
        <v>0</v>
      </c>
      <c r="G285" s="1013">
        <f t="shared" si="120"/>
        <v>69</v>
      </c>
      <c r="H285" s="1013">
        <f t="shared" si="120"/>
        <v>69</v>
      </c>
      <c r="I285" s="1013">
        <f t="shared" si="120"/>
        <v>75</v>
      </c>
      <c r="J285" s="1012">
        <f t="shared" si="120"/>
        <v>75</v>
      </c>
      <c r="K285" s="1011" t="str">
        <f t="shared" si="120"/>
        <v/>
      </c>
      <c r="L285" s="1015">
        <v>0.22800028617798151</v>
      </c>
    </row>
    <row r="286" spans="1:12">
      <c r="A286" s="905">
        <v>285</v>
      </c>
      <c r="B286" s="905" t="s">
        <v>1309</v>
      </c>
      <c r="C286" s="905">
        <v>29189</v>
      </c>
      <c r="D286" s="905" t="s">
        <v>1115</v>
      </c>
      <c r="E286" s="905" t="s">
        <v>1117</v>
      </c>
      <c r="F286" s="1014"/>
      <c r="G286" s="1013"/>
      <c r="H286" s="1013"/>
      <c r="I286" s="1013"/>
      <c r="J286" s="1012"/>
      <c r="K286" s="1011"/>
      <c r="L286" s="1010"/>
    </row>
    <row r="287" spans="1:12">
      <c r="A287" s="905">
        <v>286</v>
      </c>
      <c r="B287" s="905" t="s">
        <v>1308</v>
      </c>
      <c r="C287" s="905">
        <v>29188</v>
      </c>
      <c r="D287" s="905" t="s">
        <v>1115</v>
      </c>
      <c r="E287" s="905" t="s">
        <v>1118</v>
      </c>
      <c r="F287" s="1014"/>
      <c r="G287" s="1013"/>
      <c r="H287" s="1013"/>
      <c r="I287" s="1013"/>
      <c r="J287" s="1012"/>
      <c r="K287" s="1011"/>
      <c r="L287" s="1010"/>
    </row>
    <row r="288" spans="1:12">
      <c r="A288" s="905">
        <v>287</v>
      </c>
      <c r="B288" s="905" t="s">
        <v>1307</v>
      </c>
      <c r="C288" s="905">
        <v>29188</v>
      </c>
      <c r="D288" s="905" t="s">
        <v>1115</v>
      </c>
      <c r="E288" s="905" t="s">
        <v>1118</v>
      </c>
      <c r="F288" s="1014"/>
      <c r="G288" s="1013"/>
      <c r="H288" s="1013"/>
      <c r="I288" s="1013"/>
      <c r="J288" s="1012"/>
      <c r="K288" s="1011"/>
      <c r="L288" s="1010"/>
    </row>
    <row r="289" spans="1:12">
      <c r="A289" s="905">
        <v>288</v>
      </c>
      <c r="B289" s="905" t="s">
        <v>1306</v>
      </c>
      <c r="C289" s="905">
        <v>29188</v>
      </c>
      <c r="D289" s="905" t="s">
        <v>1115</v>
      </c>
      <c r="E289" s="905" t="s">
        <v>1118</v>
      </c>
      <c r="F289" s="1014"/>
      <c r="G289" s="1013"/>
      <c r="H289" s="1013"/>
      <c r="I289" s="1013"/>
      <c r="J289" s="1012"/>
      <c r="K289" s="1011"/>
      <c r="L289" s="1010"/>
    </row>
    <row r="290" spans="1:12">
      <c r="A290" s="905">
        <v>289</v>
      </c>
      <c r="B290" s="905" t="s">
        <v>1305</v>
      </c>
      <c r="C290" s="905">
        <v>29188</v>
      </c>
      <c r="D290" s="905" t="s">
        <v>1115</v>
      </c>
      <c r="E290" s="905" t="s">
        <v>1117</v>
      </c>
      <c r="F290" s="1014">
        <f t="shared" ref="F290:L294" si="121">O161</f>
        <v>0</v>
      </c>
      <c r="G290" s="1013">
        <f t="shared" si="121"/>
        <v>69</v>
      </c>
      <c r="H290" s="1013">
        <f t="shared" si="121"/>
        <v>42</v>
      </c>
      <c r="I290" s="1013">
        <f t="shared" si="121"/>
        <v>79</v>
      </c>
      <c r="J290" s="1012">
        <f t="shared" si="121"/>
        <v>40</v>
      </c>
      <c r="K290" s="1011">
        <f t="shared" si="121"/>
        <v>31.922208718287816</v>
      </c>
      <c r="L290" s="1010">
        <f t="shared" si="121"/>
        <v>0.25570625535959229</v>
      </c>
    </row>
    <row r="291" spans="1:12">
      <c r="A291" s="905">
        <v>290</v>
      </c>
      <c r="B291" s="905" t="s">
        <v>1304</v>
      </c>
      <c r="C291" s="905">
        <v>29189</v>
      </c>
      <c r="D291" s="905" t="s">
        <v>1115</v>
      </c>
      <c r="E291" s="905" t="s">
        <v>1117</v>
      </c>
      <c r="F291" s="1014">
        <f t="shared" si="121"/>
        <v>6.5034355946966028E-3</v>
      </c>
      <c r="G291" s="1013">
        <f t="shared" si="121"/>
        <v>67</v>
      </c>
      <c r="H291" s="1013">
        <f t="shared" si="121"/>
        <v>39</v>
      </c>
      <c r="I291" s="1013">
        <f t="shared" si="121"/>
        <v>67</v>
      </c>
      <c r="J291" s="1012">
        <f t="shared" si="121"/>
        <v>35</v>
      </c>
      <c r="K291" s="1011" t="str">
        <f t="shared" si="121"/>
        <v/>
      </c>
      <c r="L291" s="1010">
        <f t="shared" si="121"/>
        <v>0.25355062440335874</v>
      </c>
    </row>
    <row r="292" spans="1:12">
      <c r="A292" s="905">
        <v>291</v>
      </c>
      <c r="B292" s="905" t="s">
        <v>1303</v>
      </c>
      <c r="C292" s="905">
        <v>18957</v>
      </c>
      <c r="D292" s="905" t="s">
        <v>1115</v>
      </c>
      <c r="E292" s="905" t="s">
        <v>1118</v>
      </c>
      <c r="F292" s="1014">
        <f t="shared" si="121"/>
        <v>0</v>
      </c>
      <c r="G292" s="1013">
        <f t="shared" si="121"/>
        <v>75</v>
      </c>
      <c r="H292" s="1013">
        <f t="shared" si="121"/>
        <v>45</v>
      </c>
      <c r="I292" s="1013">
        <f t="shared" si="121"/>
        <v>85</v>
      </c>
      <c r="J292" s="1012">
        <f t="shared" si="121"/>
        <v>48</v>
      </c>
      <c r="K292" s="1011">
        <f t="shared" si="121"/>
        <v>0</v>
      </c>
      <c r="L292" s="1010">
        <f t="shared" si="121"/>
        <v>0.18813899613899615</v>
      </c>
    </row>
    <row r="293" spans="1:12">
      <c r="A293" s="905">
        <v>292</v>
      </c>
      <c r="B293" s="905" t="s">
        <v>1302</v>
      </c>
      <c r="C293" s="905">
        <v>28856</v>
      </c>
      <c r="D293" s="905" t="s">
        <v>1115</v>
      </c>
      <c r="E293" s="905" t="s">
        <v>1117</v>
      </c>
      <c r="F293" s="1014">
        <f t="shared" si="121"/>
        <v>0</v>
      </c>
      <c r="G293" s="1013">
        <f t="shared" si="121"/>
        <v>84</v>
      </c>
      <c r="H293" s="1013">
        <f t="shared" si="121"/>
        <v>40</v>
      </c>
      <c r="I293" s="1013">
        <f t="shared" si="121"/>
        <v>82</v>
      </c>
      <c r="J293" s="1012">
        <f t="shared" si="121"/>
        <v>36</v>
      </c>
      <c r="K293" s="1011" t="str">
        <f t="shared" si="121"/>
        <v/>
      </c>
      <c r="L293" s="1010">
        <f t="shared" si="121"/>
        <v>0.34889287851585876</v>
      </c>
    </row>
    <row r="294" spans="1:12">
      <c r="A294" s="905">
        <v>293</v>
      </c>
      <c r="B294" s="905" t="s">
        <v>1301</v>
      </c>
      <c r="C294" s="905">
        <v>29189</v>
      </c>
      <c r="D294" s="905" t="s">
        <v>1116</v>
      </c>
      <c r="E294" s="905" t="s">
        <v>1118</v>
      </c>
      <c r="F294" s="1014">
        <f t="shared" si="121"/>
        <v>0</v>
      </c>
      <c r="G294" s="1013">
        <f t="shared" si="121"/>
        <v>76</v>
      </c>
      <c r="H294" s="1013">
        <f t="shared" si="121"/>
        <v>48</v>
      </c>
      <c r="I294" s="1013">
        <f t="shared" si="121"/>
        <v>77</v>
      </c>
      <c r="J294" s="1012">
        <f t="shared" si="121"/>
        <v>46</v>
      </c>
      <c r="K294" s="1011">
        <f t="shared" si="121"/>
        <v>30.891617926391213</v>
      </c>
      <c r="L294" s="1010">
        <f t="shared" si="121"/>
        <v>0.19897859012715033</v>
      </c>
    </row>
    <row r="295" spans="1:12">
      <c r="A295" s="905">
        <v>294</v>
      </c>
      <c r="B295" s="905" t="s">
        <v>1300</v>
      </c>
      <c r="C295" s="905">
        <v>29189</v>
      </c>
      <c r="D295" s="905" t="s">
        <v>1115</v>
      </c>
      <c r="E295" s="905" t="s">
        <v>1117</v>
      </c>
      <c r="F295" s="1014"/>
      <c r="G295" s="1013"/>
      <c r="H295" s="1013"/>
      <c r="I295" s="1013"/>
      <c r="J295" s="1012"/>
      <c r="K295" s="1011"/>
      <c r="L295" s="1010"/>
    </row>
    <row r="296" spans="1:12">
      <c r="A296" s="905">
        <v>295</v>
      </c>
      <c r="B296" s="905" t="s">
        <v>1299</v>
      </c>
      <c r="C296" s="905">
        <v>29189</v>
      </c>
      <c r="D296" s="905" t="s">
        <v>1115</v>
      </c>
      <c r="E296" s="905" t="s">
        <v>1117</v>
      </c>
      <c r="F296" s="1014"/>
      <c r="G296" s="1013"/>
      <c r="H296" s="1013"/>
      <c r="I296" s="1013"/>
      <c r="J296" s="1012"/>
      <c r="K296" s="1011"/>
      <c r="L296" s="1010"/>
    </row>
    <row r="297" spans="1:12">
      <c r="A297" s="905">
        <v>296</v>
      </c>
      <c r="B297" s="905" t="s">
        <v>1298</v>
      </c>
      <c r="C297" s="905">
        <v>29189</v>
      </c>
      <c r="D297" s="905" t="s">
        <v>1115</v>
      </c>
      <c r="E297" s="905" t="s">
        <v>1117</v>
      </c>
      <c r="F297" s="1014">
        <f t="shared" ref="F297:F305" si="122">O168</f>
        <v>0</v>
      </c>
      <c r="G297" s="1013">
        <f t="shared" ref="G297:G305" si="123">P168</f>
        <v>66</v>
      </c>
      <c r="H297" s="1013">
        <f t="shared" ref="H297:H305" si="124">Q168</f>
        <v>0</v>
      </c>
      <c r="I297" s="1013">
        <f t="shared" ref="I297:I305" si="125">R168</f>
        <v>72</v>
      </c>
      <c r="J297" s="1012">
        <f t="shared" ref="J297:J305" si="126">S168</f>
        <v>0</v>
      </c>
      <c r="K297" s="1011" t="str">
        <f t="shared" ref="K297:K305" si="127">T168</f>
        <v/>
      </c>
      <c r="L297" s="1010">
        <f t="shared" ref="L297:L305" si="128">U168</f>
        <v>0.22408497568466854</v>
      </c>
    </row>
    <row r="298" spans="1:12">
      <c r="A298" s="905">
        <v>297</v>
      </c>
      <c r="B298" s="905" t="s">
        <v>1297</v>
      </c>
      <c r="C298" s="905">
        <v>29189</v>
      </c>
      <c r="D298" s="905" t="s">
        <v>1115</v>
      </c>
      <c r="E298" s="905" t="s">
        <v>1117</v>
      </c>
      <c r="F298" s="1014">
        <f t="shared" si="122"/>
        <v>0</v>
      </c>
      <c r="G298" s="1013">
        <f t="shared" si="123"/>
        <v>70</v>
      </c>
      <c r="H298" s="1013">
        <f t="shared" si="124"/>
        <v>38</v>
      </c>
      <c r="I298" s="1013">
        <f t="shared" si="125"/>
        <v>75</v>
      </c>
      <c r="J298" s="1012">
        <f t="shared" si="126"/>
        <v>38</v>
      </c>
      <c r="K298" s="1011" t="str">
        <f t="shared" si="127"/>
        <v/>
      </c>
      <c r="L298" s="1010">
        <f t="shared" si="128"/>
        <v>0.31825006729629263</v>
      </c>
    </row>
    <row r="299" spans="1:12">
      <c r="A299" s="905">
        <v>298</v>
      </c>
      <c r="B299" s="905" t="s">
        <v>1296</v>
      </c>
      <c r="C299" s="905">
        <v>29189</v>
      </c>
      <c r="D299" s="905" t="s">
        <v>1115</v>
      </c>
      <c r="E299" s="905" t="s">
        <v>1117</v>
      </c>
      <c r="F299" s="1014">
        <f t="shared" si="122"/>
        <v>0</v>
      </c>
      <c r="G299" s="1013">
        <f t="shared" si="123"/>
        <v>70</v>
      </c>
      <c r="H299" s="1013">
        <f t="shared" si="124"/>
        <v>40</v>
      </c>
      <c r="I299" s="1013">
        <f t="shared" si="125"/>
        <v>70</v>
      </c>
      <c r="J299" s="1012">
        <f t="shared" si="126"/>
        <v>40</v>
      </c>
      <c r="K299" s="1011" t="str">
        <f t="shared" si="127"/>
        <v/>
      </c>
      <c r="L299" s="1010">
        <f t="shared" si="128"/>
        <v>0.27653055540081334</v>
      </c>
    </row>
    <row r="300" spans="1:12">
      <c r="A300" s="905">
        <v>299</v>
      </c>
      <c r="B300" s="905" t="s">
        <v>1295</v>
      </c>
      <c r="C300" s="905">
        <v>29189</v>
      </c>
      <c r="D300" s="905" t="s">
        <v>1115</v>
      </c>
      <c r="E300" s="905" t="s">
        <v>1117</v>
      </c>
      <c r="F300" s="1014">
        <f t="shared" si="122"/>
        <v>0</v>
      </c>
      <c r="G300" s="1013">
        <f t="shared" si="123"/>
        <v>68</v>
      </c>
      <c r="H300" s="1013">
        <f t="shared" si="124"/>
        <v>43</v>
      </c>
      <c r="I300" s="1013">
        <f t="shared" si="125"/>
        <v>72</v>
      </c>
      <c r="J300" s="1012">
        <f t="shared" si="126"/>
        <v>39</v>
      </c>
      <c r="K300" s="1011" t="str">
        <f t="shared" si="127"/>
        <v/>
      </c>
      <c r="L300" s="1010">
        <f t="shared" si="128"/>
        <v>0.4113171659533999</v>
      </c>
    </row>
    <row r="301" spans="1:12">
      <c r="A301" s="905">
        <v>300</v>
      </c>
      <c r="B301" s="905" t="s">
        <v>1294</v>
      </c>
      <c r="C301" s="905">
        <v>29188</v>
      </c>
      <c r="D301" s="905" t="s">
        <v>1115</v>
      </c>
      <c r="E301" s="905" t="s">
        <v>1118</v>
      </c>
      <c r="F301" s="1014">
        <f t="shared" si="122"/>
        <v>4.1460488828909882E-2</v>
      </c>
      <c r="G301" s="1013">
        <f t="shared" si="123"/>
        <v>75</v>
      </c>
      <c r="H301" s="1013">
        <f t="shared" si="124"/>
        <v>52</v>
      </c>
      <c r="I301" s="1013">
        <f t="shared" si="125"/>
        <v>80</v>
      </c>
      <c r="J301" s="1012">
        <f t="shared" si="126"/>
        <v>45</v>
      </c>
      <c r="K301" s="1011">
        <f t="shared" si="127"/>
        <v>33.037664698547196</v>
      </c>
      <c r="L301" s="1010">
        <f t="shared" si="128"/>
        <v>0.28146265154477906</v>
      </c>
    </row>
    <row r="302" spans="1:12">
      <c r="A302" s="905">
        <v>301</v>
      </c>
      <c r="B302" s="905" t="s">
        <v>1293</v>
      </c>
      <c r="C302" s="905">
        <v>29188</v>
      </c>
      <c r="D302" s="905" t="s">
        <v>1115</v>
      </c>
      <c r="E302" s="905" t="s">
        <v>1118</v>
      </c>
      <c r="F302" s="1014">
        <f t="shared" si="122"/>
        <v>0</v>
      </c>
      <c r="G302" s="1013">
        <f t="shared" si="123"/>
        <v>78</v>
      </c>
      <c r="H302" s="1013">
        <f t="shared" si="124"/>
        <v>49</v>
      </c>
      <c r="I302" s="1013">
        <f t="shared" si="125"/>
        <v>86</v>
      </c>
      <c r="J302" s="1012">
        <f t="shared" si="126"/>
        <v>46</v>
      </c>
      <c r="K302" s="1011">
        <f t="shared" si="127"/>
        <v>28.562707285434296</v>
      </c>
      <c r="L302" s="1010">
        <f t="shared" si="128"/>
        <v>0.23777803861728974</v>
      </c>
    </row>
    <row r="303" spans="1:12">
      <c r="A303" s="905">
        <v>302</v>
      </c>
      <c r="B303" s="905" t="s">
        <v>1292</v>
      </c>
      <c r="C303" s="905">
        <v>29189</v>
      </c>
      <c r="D303" s="905" t="s">
        <v>1115</v>
      </c>
      <c r="E303" s="905" t="s">
        <v>1117</v>
      </c>
      <c r="F303" s="1014">
        <f t="shared" si="122"/>
        <v>0</v>
      </c>
      <c r="G303" s="1013">
        <f t="shared" si="123"/>
        <v>77</v>
      </c>
      <c r="H303" s="1013">
        <f t="shared" si="124"/>
        <v>39</v>
      </c>
      <c r="I303" s="1013">
        <f t="shared" si="125"/>
        <v>77</v>
      </c>
      <c r="J303" s="1012">
        <f t="shared" si="126"/>
        <v>39</v>
      </c>
      <c r="K303" s="1011">
        <f t="shared" si="127"/>
        <v>37.862868754626078</v>
      </c>
      <c r="L303" s="1010">
        <f t="shared" si="128"/>
        <v>4.7737212692701383E-2</v>
      </c>
    </row>
    <row r="304" spans="1:12">
      <c r="A304" s="905">
        <v>303</v>
      </c>
      <c r="B304" s="905" t="s">
        <v>1291</v>
      </c>
      <c r="C304" s="905">
        <v>29189</v>
      </c>
      <c r="D304" s="905" t="s">
        <v>1115</v>
      </c>
      <c r="E304" s="905" t="s">
        <v>1117</v>
      </c>
      <c r="F304" s="1014">
        <f t="shared" si="122"/>
        <v>0</v>
      </c>
      <c r="G304" s="1013">
        <f t="shared" si="123"/>
        <v>65</v>
      </c>
      <c r="H304" s="1013">
        <f t="shared" si="124"/>
        <v>41</v>
      </c>
      <c r="I304" s="1013">
        <f t="shared" si="125"/>
        <v>75</v>
      </c>
      <c r="J304" s="1012">
        <f t="shared" si="126"/>
        <v>32</v>
      </c>
      <c r="K304" s="1011" t="str">
        <f t="shared" si="127"/>
        <v/>
      </c>
      <c r="L304" s="1010">
        <f t="shared" si="128"/>
        <v>0.25466067349495247</v>
      </c>
    </row>
    <row r="305" spans="1:12">
      <c r="A305" s="905">
        <v>304</v>
      </c>
      <c r="B305" s="905" t="s">
        <v>1290</v>
      </c>
      <c r="C305" s="905">
        <v>65307</v>
      </c>
      <c r="D305" s="905" t="s">
        <v>1116</v>
      </c>
      <c r="E305" s="905" t="s">
        <v>1118</v>
      </c>
      <c r="F305" s="1014">
        <f t="shared" si="122"/>
        <v>0</v>
      </c>
      <c r="G305" s="1013">
        <f t="shared" si="123"/>
        <v>70.2</v>
      </c>
      <c r="H305" s="1013">
        <f t="shared" si="124"/>
        <v>47.3</v>
      </c>
      <c r="I305" s="1013">
        <f t="shared" si="125"/>
        <v>75.900000000000006</v>
      </c>
      <c r="J305" s="1012">
        <f t="shared" si="126"/>
        <v>46.7</v>
      </c>
      <c r="K305" s="1011">
        <f t="shared" si="127"/>
        <v>26.803716840015852</v>
      </c>
      <c r="L305" s="1010">
        <f t="shared" si="128"/>
        <v>7.0796840732193278E-2</v>
      </c>
    </row>
    <row r="306" spans="1:12">
      <c r="A306" s="905">
        <v>305</v>
      </c>
      <c r="B306" s="905" t="s">
        <v>1289</v>
      </c>
      <c r="C306" s="905">
        <v>29189</v>
      </c>
      <c r="D306" s="905" t="s">
        <v>1116</v>
      </c>
      <c r="E306" s="905" t="s">
        <v>1117</v>
      </c>
      <c r="F306" s="1014"/>
      <c r="G306" s="1013"/>
      <c r="H306" s="1013"/>
      <c r="I306" s="1013"/>
      <c r="J306" s="1012"/>
      <c r="K306" s="1011"/>
      <c r="L306" s="1010"/>
    </row>
    <row r="307" spans="1:12">
      <c r="A307" s="905">
        <v>306</v>
      </c>
      <c r="B307" s="905" t="s">
        <v>1288</v>
      </c>
      <c r="C307" s="905">
        <v>26696</v>
      </c>
      <c r="D307" s="905" t="s">
        <v>1116</v>
      </c>
      <c r="E307" s="905" t="s">
        <v>1118</v>
      </c>
      <c r="F307" s="1014"/>
      <c r="G307" s="1013"/>
      <c r="H307" s="1013"/>
      <c r="I307" s="1013"/>
      <c r="J307" s="1012"/>
      <c r="K307" s="1011"/>
      <c r="L307" s="1010"/>
    </row>
    <row r="308" spans="1:12">
      <c r="A308" s="905">
        <v>307</v>
      </c>
      <c r="B308" s="905" t="s">
        <v>1287</v>
      </c>
      <c r="C308" s="905">
        <v>29188</v>
      </c>
      <c r="D308" s="905" t="s">
        <v>1115</v>
      </c>
      <c r="E308" s="905" t="s">
        <v>1118</v>
      </c>
      <c r="F308" s="1014">
        <f t="shared" ref="F308:L309" si="129">O177</f>
        <v>0</v>
      </c>
      <c r="G308" s="1013">
        <f t="shared" si="129"/>
        <v>73</v>
      </c>
      <c r="H308" s="1013">
        <f t="shared" si="129"/>
        <v>46</v>
      </c>
      <c r="I308" s="1013">
        <f t="shared" si="129"/>
        <v>78</v>
      </c>
      <c r="J308" s="1012">
        <f t="shared" si="129"/>
        <v>46</v>
      </c>
      <c r="K308" s="1011" t="str">
        <f t="shared" si="129"/>
        <v/>
      </c>
      <c r="L308" s="1010">
        <f t="shared" si="129"/>
        <v>0.27856629710890629</v>
      </c>
    </row>
    <row r="309" spans="1:12">
      <c r="A309" s="905">
        <v>308</v>
      </c>
      <c r="B309" s="905" t="s">
        <v>1286</v>
      </c>
      <c r="C309" s="905">
        <v>29189</v>
      </c>
      <c r="D309" s="905" t="s">
        <v>1115</v>
      </c>
      <c r="E309" s="905" t="s">
        <v>1117</v>
      </c>
      <c r="F309" s="1014">
        <f t="shared" si="129"/>
        <v>0</v>
      </c>
      <c r="G309" s="1013">
        <f t="shared" si="129"/>
        <v>72</v>
      </c>
      <c r="H309" s="1013">
        <f t="shared" si="129"/>
        <v>35</v>
      </c>
      <c r="I309" s="1013">
        <f t="shared" si="129"/>
        <v>75</v>
      </c>
      <c r="J309" s="1012">
        <f t="shared" si="129"/>
        <v>35</v>
      </c>
      <c r="K309" s="1011">
        <f t="shared" si="129"/>
        <v>33.511714440642471</v>
      </c>
      <c r="L309" s="1010">
        <f t="shared" si="129"/>
        <v>0.22924664107485604</v>
      </c>
    </row>
    <row r="310" spans="1:12">
      <c r="A310" s="905">
        <v>309</v>
      </c>
      <c r="B310" s="905" t="s">
        <v>1285</v>
      </c>
      <c r="C310" s="905">
        <v>29189</v>
      </c>
      <c r="D310" s="905" t="s">
        <v>1115</v>
      </c>
      <c r="E310" s="905" t="s">
        <v>1118</v>
      </c>
      <c r="F310" s="1014"/>
      <c r="G310" s="1013"/>
      <c r="H310" s="1013"/>
      <c r="I310" s="1013"/>
      <c r="J310" s="1012"/>
      <c r="K310" s="1011"/>
      <c r="L310" s="1010"/>
    </row>
    <row r="311" spans="1:12">
      <c r="A311" s="905">
        <v>310</v>
      </c>
      <c r="B311" s="905" t="s">
        <v>1284</v>
      </c>
      <c r="C311" s="905">
        <v>41333</v>
      </c>
      <c r="D311" s="905" t="s">
        <v>1115</v>
      </c>
      <c r="E311" s="905" t="s">
        <v>1117</v>
      </c>
      <c r="F311" s="1014"/>
      <c r="G311" s="1013"/>
      <c r="H311" s="1013"/>
      <c r="I311" s="1013"/>
      <c r="J311" s="1012"/>
      <c r="K311" s="1011"/>
      <c r="L311" s="1010"/>
    </row>
    <row r="312" spans="1:12">
      <c r="A312" s="905">
        <v>311</v>
      </c>
      <c r="B312" s="905" t="s">
        <v>1283</v>
      </c>
      <c r="C312" s="905">
        <v>29189</v>
      </c>
      <c r="D312" s="905" t="s">
        <v>1115</v>
      </c>
      <c r="E312" s="905" t="s">
        <v>1117</v>
      </c>
      <c r="F312" s="1014"/>
      <c r="G312" s="1013"/>
      <c r="H312" s="1013"/>
      <c r="I312" s="1013"/>
      <c r="J312" s="1012"/>
      <c r="K312" s="1011"/>
      <c r="L312" s="1010"/>
    </row>
    <row r="313" spans="1:12">
      <c r="A313" s="905">
        <v>312</v>
      </c>
      <c r="B313" s="905" t="s">
        <v>1282</v>
      </c>
      <c r="C313" s="905">
        <v>29189</v>
      </c>
      <c r="D313" s="905" t="s">
        <v>1115</v>
      </c>
      <c r="E313" s="905" t="s">
        <v>1117</v>
      </c>
      <c r="F313" s="1014">
        <f t="shared" ref="F313:L313" si="130">O179</f>
        <v>3.628439117406701E-2</v>
      </c>
      <c r="G313" s="1013">
        <f t="shared" si="130"/>
        <v>65</v>
      </c>
      <c r="H313" s="1013">
        <f t="shared" si="130"/>
        <v>40</v>
      </c>
      <c r="I313" s="1013">
        <f t="shared" si="130"/>
        <v>68</v>
      </c>
      <c r="J313" s="1012">
        <f t="shared" si="130"/>
        <v>34</v>
      </c>
      <c r="K313" s="1011">
        <f t="shared" si="130"/>
        <v>32.310391334359899</v>
      </c>
      <c r="L313" s="1010">
        <f t="shared" si="130"/>
        <v>0.25445191927186389</v>
      </c>
    </row>
    <row r="314" spans="1:12">
      <c r="A314" s="905">
        <v>313</v>
      </c>
      <c r="B314" s="905" t="s">
        <v>1281</v>
      </c>
      <c r="C314" s="905">
        <v>29188</v>
      </c>
      <c r="D314" s="905" t="s">
        <v>1115</v>
      </c>
      <c r="E314" s="905" t="s">
        <v>1118</v>
      </c>
      <c r="F314" s="1014"/>
      <c r="G314" s="1013"/>
      <c r="H314" s="1013"/>
      <c r="I314" s="1013"/>
      <c r="J314" s="1012"/>
      <c r="K314" s="1011"/>
      <c r="L314" s="1010"/>
    </row>
    <row r="315" spans="1:12">
      <c r="A315" s="905">
        <v>314</v>
      </c>
      <c r="B315" s="905" t="s">
        <v>1281</v>
      </c>
      <c r="C315" s="905">
        <v>29189</v>
      </c>
      <c r="D315" s="905" t="s">
        <v>1115</v>
      </c>
      <c r="E315" s="905" t="s">
        <v>1118</v>
      </c>
      <c r="F315" s="1014"/>
      <c r="G315" s="1013"/>
      <c r="H315" s="1013"/>
      <c r="I315" s="1013"/>
      <c r="J315" s="1012"/>
      <c r="K315" s="1011"/>
      <c r="L315" s="1010"/>
    </row>
    <row r="316" spans="1:12">
      <c r="A316" s="905">
        <v>315</v>
      </c>
      <c r="B316" s="905" t="s">
        <v>1280</v>
      </c>
      <c r="C316" s="905">
        <v>29189</v>
      </c>
      <c r="D316" s="905" t="s">
        <v>1115</v>
      </c>
      <c r="E316" s="905" t="s">
        <v>1117</v>
      </c>
      <c r="F316" s="1014">
        <f t="shared" ref="F316:L318" si="131">O181</f>
        <v>0</v>
      </c>
      <c r="G316" s="1013">
        <f t="shared" si="131"/>
        <v>68</v>
      </c>
      <c r="H316" s="1013">
        <f t="shared" si="131"/>
        <v>36</v>
      </c>
      <c r="I316" s="1013">
        <f t="shared" si="131"/>
        <v>70</v>
      </c>
      <c r="J316" s="1012">
        <f t="shared" si="131"/>
        <v>33</v>
      </c>
      <c r="K316" s="1011">
        <f t="shared" si="131"/>
        <v>0</v>
      </c>
      <c r="L316" s="1010">
        <f t="shared" si="131"/>
        <v>0.26015151515151513</v>
      </c>
    </row>
    <row r="317" spans="1:12">
      <c r="A317" s="905">
        <v>316</v>
      </c>
      <c r="B317" s="905" t="s">
        <v>1279</v>
      </c>
      <c r="C317" s="905">
        <v>29189</v>
      </c>
      <c r="D317" s="905" t="s">
        <v>1115</v>
      </c>
      <c r="E317" s="905" t="s">
        <v>1117</v>
      </c>
      <c r="F317" s="1014">
        <f t="shared" si="131"/>
        <v>0</v>
      </c>
      <c r="G317" s="1013">
        <f t="shared" si="131"/>
        <v>66.099999999999994</v>
      </c>
      <c r="H317" s="1013">
        <f t="shared" si="131"/>
        <v>44</v>
      </c>
      <c r="I317" s="1013">
        <f t="shared" si="131"/>
        <v>69</v>
      </c>
      <c r="J317" s="1012">
        <f t="shared" si="131"/>
        <v>39.5</v>
      </c>
      <c r="K317" s="1011">
        <f t="shared" si="131"/>
        <v>27.789915231702551</v>
      </c>
      <c r="L317" s="1010">
        <f t="shared" si="131"/>
        <v>0.17671806501226486</v>
      </c>
    </row>
    <row r="318" spans="1:12">
      <c r="A318" s="905">
        <v>317</v>
      </c>
      <c r="B318" s="905" t="s">
        <v>1278</v>
      </c>
      <c r="C318" s="905">
        <v>29189</v>
      </c>
      <c r="D318" s="905" t="s">
        <v>1115</v>
      </c>
      <c r="E318" s="905" t="s">
        <v>1117</v>
      </c>
      <c r="F318" s="1014">
        <f t="shared" si="131"/>
        <v>3.3328752061572292E-3</v>
      </c>
      <c r="G318" s="1013">
        <f t="shared" si="131"/>
        <v>68</v>
      </c>
      <c r="H318" s="1013">
        <f t="shared" si="131"/>
        <v>34</v>
      </c>
      <c r="I318" s="1013">
        <f t="shared" si="131"/>
        <v>68</v>
      </c>
      <c r="J318" s="1012">
        <f t="shared" si="131"/>
        <v>32</v>
      </c>
      <c r="K318" s="1011">
        <f t="shared" si="131"/>
        <v>37.040916326142735</v>
      </c>
      <c r="L318" s="1010">
        <f t="shared" si="131"/>
        <v>0.25273209914848138</v>
      </c>
    </row>
    <row r="319" spans="1:12">
      <c r="A319" s="905">
        <v>318</v>
      </c>
      <c r="B319" s="905" t="s">
        <v>1277</v>
      </c>
      <c r="C319" s="905">
        <v>29188</v>
      </c>
      <c r="D319" s="905" t="s">
        <v>1115</v>
      </c>
      <c r="E319" s="905" t="s">
        <v>1118</v>
      </c>
      <c r="F319" s="1014"/>
      <c r="G319" s="1013"/>
      <c r="H319" s="1013"/>
      <c r="I319" s="1013"/>
      <c r="J319" s="1012"/>
      <c r="K319" s="1011"/>
      <c r="L319" s="1010"/>
    </row>
    <row r="320" spans="1:12">
      <c r="A320" s="905">
        <v>319</v>
      </c>
      <c r="B320" s="905" t="s">
        <v>1276</v>
      </c>
      <c r="C320" s="905">
        <v>29189</v>
      </c>
      <c r="D320" s="905" t="s">
        <v>1115</v>
      </c>
      <c r="E320" s="905" t="s">
        <v>1117</v>
      </c>
      <c r="F320" s="1014">
        <f t="shared" ref="F320:L321" si="132">O184</f>
        <v>1.2688216132485934E-2</v>
      </c>
      <c r="G320" s="1013">
        <f t="shared" si="132"/>
        <v>67</v>
      </c>
      <c r="H320" s="1013">
        <f t="shared" si="132"/>
        <v>46</v>
      </c>
      <c r="I320" s="1013">
        <f t="shared" si="132"/>
        <v>83</v>
      </c>
      <c r="J320" s="1012">
        <f t="shared" si="132"/>
        <v>41</v>
      </c>
      <c r="K320" s="1011">
        <f t="shared" si="132"/>
        <v>29.11144538321798</v>
      </c>
      <c r="L320" s="1010">
        <f t="shared" si="132"/>
        <v>0.3055235106824789</v>
      </c>
    </row>
    <row r="321" spans="1:12">
      <c r="A321" s="905">
        <v>320</v>
      </c>
      <c r="B321" s="905" t="s">
        <v>1275</v>
      </c>
      <c r="C321" s="905">
        <v>29189</v>
      </c>
      <c r="D321" s="905" t="s">
        <v>1115</v>
      </c>
      <c r="E321" s="905" t="s">
        <v>1117</v>
      </c>
      <c r="F321" s="1014">
        <f t="shared" si="132"/>
        <v>0</v>
      </c>
      <c r="G321" s="1013">
        <f t="shared" si="132"/>
        <v>70</v>
      </c>
      <c r="H321" s="1013">
        <f t="shared" si="132"/>
        <v>38</v>
      </c>
      <c r="I321" s="1013">
        <f t="shared" si="132"/>
        <v>74</v>
      </c>
      <c r="J321" s="1012">
        <f t="shared" si="132"/>
        <v>34</v>
      </c>
      <c r="K321" s="1011">
        <f t="shared" si="132"/>
        <v>37.892150655978803</v>
      </c>
      <c r="L321" s="1010">
        <f t="shared" si="132"/>
        <v>0.28466427189831445</v>
      </c>
    </row>
    <row r="322" spans="1:12">
      <c r="A322" s="905">
        <v>321</v>
      </c>
      <c r="B322" s="905" t="s">
        <v>1274</v>
      </c>
      <c r="C322" s="905">
        <v>29189</v>
      </c>
      <c r="D322" s="905" t="s">
        <v>1116</v>
      </c>
      <c r="E322" s="905" t="s">
        <v>1117</v>
      </c>
      <c r="F322" s="1014"/>
      <c r="G322" s="1013"/>
      <c r="H322" s="1013"/>
      <c r="I322" s="1013"/>
      <c r="J322" s="1012"/>
      <c r="K322" s="1011"/>
      <c r="L322" s="1010"/>
    </row>
    <row r="323" spans="1:12">
      <c r="A323" s="905">
        <v>322</v>
      </c>
      <c r="B323" s="905" t="s">
        <v>1274</v>
      </c>
      <c r="C323" s="905">
        <v>29189</v>
      </c>
      <c r="D323" s="905" t="s">
        <v>1115</v>
      </c>
      <c r="E323" s="905" t="s">
        <v>1117</v>
      </c>
      <c r="F323" s="1014">
        <f t="shared" ref="F323:L324" si="133">O186</f>
        <v>0</v>
      </c>
      <c r="G323" s="1013">
        <f t="shared" si="133"/>
        <v>65</v>
      </c>
      <c r="H323" s="1013">
        <f t="shared" si="133"/>
        <v>39</v>
      </c>
      <c r="I323" s="1013">
        <f t="shared" si="133"/>
        <v>75</v>
      </c>
      <c r="J323" s="1012">
        <f t="shared" si="133"/>
        <v>37</v>
      </c>
      <c r="K323" s="1011" t="str">
        <f t="shared" si="133"/>
        <v/>
      </c>
      <c r="L323" s="1010">
        <f t="shared" si="133"/>
        <v>0.22543422128847049</v>
      </c>
    </row>
    <row r="324" spans="1:12">
      <c r="A324" s="905">
        <v>323</v>
      </c>
      <c r="B324" s="905" t="s">
        <v>1273</v>
      </c>
      <c r="C324" s="905">
        <v>29189</v>
      </c>
      <c r="D324" s="905" t="s">
        <v>1115</v>
      </c>
      <c r="E324" s="905" t="s">
        <v>1117</v>
      </c>
      <c r="F324" s="1014">
        <f t="shared" si="133"/>
        <v>0</v>
      </c>
      <c r="G324" s="1013">
        <f t="shared" si="133"/>
        <v>72</v>
      </c>
      <c r="H324" s="1013">
        <f t="shared" si="133"/>
        <v>37</v>
      </c>
      <c r="I324" s="1013">
        <f t="shared" si="133"/>
        <v>68</v>
      </c>
      <c r="J324" s="1012">
        <f t="shared" si="133"/>
        <v>33</v>
      </c>
      <c r="K324" s="1011">
        <f t="shared" si="133"/>
        <v>34.04097488484021</v>
      </c>
      <c r="L324" s="1010">
        <f t="shared" si="133"/>
        <v>0.22778636344302505</v>
      </c>
    </row>
    <row r="325" spans="1:12" ht="15.6">
      <c r="A325" s="905">
        <v>324</v>
      </c>
      <c r="B325" s="905" t="s">
        <v>1272</v>
      </c>
      <c r="C325" s="905">
        <v>29189</v>
      </c>
      <c r="D325" s="905" t="s">
        <v>1115</v>
      </c>
      <c r="E325" s="905" t="s">
        <v>1117</v>
      </c>
      <c r="F325" s="1014">
        <f t="shared" ref="F325:K325" si="134">O188</f>
        <v>0</v>
      </c>
      <c r="G325" s="1013">
        <f t="shared" si="134"/>
        <v>63</v>
      </c>
      <c r="H325" s="1013">
        <f t="shared" si="134"/>
        <v>38</v>
      </c>
      <c r="I325" s="1013">
        <f t="shared" si="134"/>
        <v>70</v>
      </c>
      <c r="J325" s="1012">
        <f t="shared" si="134"/>
        <v>36</v>
      </c>
      <c r="K325" s="1011">
        <f t="shared" si="134"/>
        <v>0</v>
      </c>
      <c r="L325" s="1015">
        <v>0.22800028617798151</v>
      </c>
    </row>
    <row r="326" spans="1:12">
      <c r="A326" s="905">
        <v>325</v>
      </c>
      <c r="B326" s="905" t="s">
        <v>1271</v>
      </c>
      <c r="C326" s="905">
        <v>29189</v>
      </c>
      <c r="D326" s="905" t="s">
        <v>1115</v>
      </c>
      <c r="E326" s="905" t="s">
        <v>1117</v>
      </c>
      <c r="F326" s="1014"/>
      <c r="G326" s="1013"/>
      <c r="H326" s="1013"/>
      <c r="I326" s="1013"/>
      <c r="J326" s="1012"/>
      <c r="K326" s="1011"/>
      <c r="L326" s="1010"/>
    </row>
    <row r="327" spans="1:12">
      <c r="A327" s="905">
        <v>326</v>
      </c>
      <c r="B327" s="905" t="s">
        <v>1270</v>
      </c>
      <c r="C327" s="905">
        <v>29189</v>
      </c>
      <c r="D327" s="905" t="s">
        <v>1115</v>
      </c>
      <c r="E327" s="905" t="s">
        <v>1117</v>
      </c>
      <c r="F327" s="1014">
        <f t="shared" ref="F327:L327" si="135">O190</f>
        <v>0</v>
      </c>
      <c r="G327" s="1013">
        <f t="shared" si="135"/>
        <v>80</v>
      </c>
      <c r="H327" s="1013">
        <f t="shared" si="135"/>
        <v>37</v>
      </c>
      <c r="I327" s="1013">
        <f t="shared" si="135"/>
        <v>89</v>
      </c>
      <c r="J327" s="1012">
        <f t="shared" si="135"/>
        <v>36</v>
      </c>
      <c r="K327" s="1011" t="str">
        <f t="shared" si="135"/>
        <v/>
      </c>
      <c r="L327" s="1010">
        <f t="shared" si="135"/>
        <v>0.25266230607059842</v>
      </c>
    </row>
    <row r="328" spans="1:12">
      <c r="A328" s="905">
        <v>327</v>
      </c>
      <c r="B328" s="905" t="s">
        <v>1269</v>
      </c>
      <c r="C328" s="905">
        <v>29189</v>
      </c>
      <c r="D328" s="905" t="s">
        <v>1115</v>
      </c>
      <c r="E328" s="905" t="s">
        <v>1117</v>
      </c>
      <c r="F328" s="1014"/>
      <c r="G328" s="1013"/>
      <c r="H328" s="1013"/>
      <c r="I328" s="1013"/>
      <c r="J328" s="1012"/>
      <c r="K328" s="1011"/>
      <c r="L328" s="1010"/>
    </row>
    <row r="329" spans="1:12">
      <c r="A329" s="905">
        <v>328</v>
      </c>
      <c r="B329" s="905" t="s">
        <v>1268</v>
      </c>
      <c r="C329" s="905">
        <v>29188</v>
      </c>
      <c r="D329" s="905" t="s">
        <v>1115</v>
      </c>
      <c r="E329" s="905" t="s">
        <v>1118</v>
      </c>
      <c r="F329" s="1014">
        <f t="shared" ref="F329:L329" si="136">O192</f>
        <v>1.9295246130958989E-2</v>
      </c>
      <c r="G329" s="1013">
        <f t="shared" si="136"/>
        <v>70</v>
      </c>
      <c r="H329" s="1013">
        <f t="shared" si="136"/>
        <v>47</v>
      </c>
      <c r="I329" s="1013">
        <f t="shared" si="136"/>
        <v>82</v>
      </c>
      <c r="J329" s="1012">
        <f t="shared" si="136"/>
        <v>44</v>
      </c>
      <c r="K329" s="1011">
        <f t="shared" si="136"/>
        <v>35.799021344934445</v>
      </c>
      <c r="L329" s="1010">
        <f t="shared" si="136"/>
        <v>0.28027078427821045</v>
      </c>
    </row>
    <row r="330" spans="1:12">
      <c r="A330" s="905">
        <v>329</v>
      </c>
      <c r="B330" s="905" t="s">
        <v>1267</v>
      </c>
      <c r="C330" s="905">
        <v>29189</v>
      </c>
      <c r="D330" s="905" t="s">
        <v>1115</v>
      </c>
      <c r="E330" s="905" t="s">
        <v>1117</v>
      </c>
      <c r="F330" s="1014"/>
      <c r="G330" s="1013"/>
      <c r="H330" s="1013"/>
      <c r="I330" s="1013"/>
      <c r="J330" s="1012"/>
      <c r="K330" s="1011"/>
      <c r="L330" s="1010"/>
    </row>
    <row r="331" spans="1:12">
      <c r="A331" s="905">
        <v>330</v>
      </c>
      <c r="B331" s="905" t="s">
        <v>1266</v>
      </c>
      <c r="C331" s="905">
        <v>29189</v>
      </c>
      <c r="D331" s="905" t="s">
        <v>1115</v>
      </c>
      <c r="E331" s="905" t="s">
        <v>1118</v>
      </c>
      <c r="F331" s="1014"/>
      <c r="G331" s="1013"/>
      <c r="H331" s="1013"/>
      <c r="I331" s="1013"/>
      <c r="J331" s="1012"/>
      <c r="K331" s="1011"/>
      <c r="L331" s="1010"/>
    </row>
    <row r="332" spans="1:12">
      <c r="A332" s="905">
        <v>331</v>
      </c>
      <c r="B332" s="905" t="s">
        <v>1265</v>
      </c>
      <c r="C332" s="905">
        <v>68534</v>
      </c>
      <c r="D332" s="905" t="s">
        <v>1115</v>
      </c>
      <c r="E332" s="905" t="s">
        <v>1118</v>
      </c>
      <c r="F332" s="1014">
        <f t="shared" ref="F332:L333" si="137">O193</f>
        <v>0</v>
      </c>
      <c r="G332" s="1013">
        <f t="shared" si="137"/>
        <v>68</v>
      </c>
      <c r="H332" s="1013">
        <f t="shared" si="137"/>
        <v>45</v>
      </c>
      <c r="I332" s="1013">
        <f t="shared" si="137"/>
        <v>73</v>
      </c>
      <c r="J332" s="1012">
        <f t="shared" si="137"/>
        <v>41</v>
      </c>
      <c r="K332" s="1011">
        <f t="shared" si="137"/>
        <v>31.864698078790894</v>
      </c>
      <c r="L332" s="1010">
        <f t="shared" si="137"/>
        <v>0.22919297348272941</v>
      </c>
    </row>
    <row r="333" spans="1:12">
      <c r="A333" s="905">
        <v>332</v>
      </c>
      <c r="B333" s="905" t="s">
        <v>1264</v>
      </c>
      <c r="C333" s="905">
        <v>29189</v>
      </c>
      <c r="D333" s="905" t="s">
        <v>1115</v>
      </c>
      <c r="E333" s="905" t="s">
        <v>1117</v>
      </c>
      <c r="F333" s="1014">
        <f t="shared" si="137"/>
        <v>7.8280671790492452E-3</v>
      </c>
      <c r="G333" s="1013">
        <f t="shared" si="137"/>
        <v>65</v>
      </c>
      <c r="H333" s="1013">
        <f t="shared" si="137"/>
        <v>39</v>
      </c>
      <c r="I333" s="1013">
        <f t="shared" si="137"/>
        <v>65</v>
      </c>
      <c r="J333" s="1012">
        <f t="shared" si="137"/>
        <v>32</v>
      </c>
      <c r="K333" s="1011">
        <f t="shared" si="137"/>
        <v>30.509211195928753</v>
      </c>
      <c r="L333" s="1010">
        <f t="shared" si="137"/>
        <v>0.28252761440252472</v>
      </c>
    </row>
    <row r="334" spans="1:12">
      <c r="A334" s="905">
        <v>333</v>
      </c>
      <c r="B334" s="905" t="s">
        <v>1263</v>
      </c>
      <c r="C334" s="905">
        <v>29189</v>
      </c>
      <c r="D334" s="905" t="s">
        <v>1115</v>
      </c>
      <c r="E334" s="905" t="s">
        <v>1117</v>
      </c>
      <c r="F334" s="1014"/>
      <c r="G334" s="1013"/>
      <c r="H334" s="1013"/>
      <c r="I334" s="1013"/>
      <c r="J334" s="1012"/>
      <c r="K334" s="1011"/>
      <c r="L334" s="1010"/>
    </row>
    <row r="335" spans="1:12">
      <c r="A335" s="905">
        <v>334</v>
      </c>
      <c r="B335" s="905" t="s">
        <v>1262</v>
      </c>
      <c r="C335" s="905">
        <v>29189</v>
      </c>
      <c r="D335" s="905" t="s">
        <v>1115</v>
      </c>
      <c r="E335" s="905" t="s">
        <v>1118</v>
      </c>
      <c r="F335" s="1014"/>
      <c r="G335" s="1013"/>
      <c r="H335" s="1013"/>
      <c r="I335" s="1013"/>
      <c r="J335" s="1012"/>
      <c r="K335" s="1011"/>
      <c r="L335" s="1010"/>
    </row>
    <row r="336" spans="1:12">
      <c r="A336" s="905">
        <v>335</v>
      </c>
      <c r="B336" s="905" t="s">
        <v>1261</v>
      </c>
      <c r="C336" s="905">
        <v>29189</v>
      </c>
      <c r="D336" s="905" t="s">
        <v>1115</v>
      </c>
      <c r="E336" s="905" t="s">
        <v>1118</v>
      </c>
      <c r="F336" s="1014"/>
      <c r="G336" s="1013"/>
      <c r="H336" s="1013"/>
      <c r="I336" s="1013"/>
      <c r="J336" s="1012"/>
      <c r="K336" s="1011"/>
      <c r="L336" s="1010"/>
    </row>
    <row r="337" spans="1:12">
      <c r="A337" s="905">
        <v>336</v>
      </c>
      <c r="B337" s="905" t="s">
        <v>1260</v>
      </c>
      <c r="C337" s="905">
        <v>29189</v>
      </c>
      <c r="D337" s="905" t="s">
        <v>1115</v>
      </c>
      <c r="E337" s="905" t="s">
        <v>1117</v>
      </c>
      <c r="F337" s="1014"/>
      <c r="G337" s="1013"/>
      <c r="H337" s="1013"/>
      <c r="I337" s="1013"/>
      <c r="J337" s="1012"/>
      <c r="K337" s="1011"/>
      <c r="L337" s="1010"/>
    </row>
    <row r="338" spans="1:12">
      <c r="A338" s="905">
        <v>337</v>
      </c>
      <c r="B338" s="905" t="s">
        <v>1259</v>
      </c>
      <c r="C338" s="905">
        <v>29189</v>
      </c>
      <c r="D338" s="905" t="s">
        <v>1115</v>
      </c>
      <c r="E338" s="905" t="s">
        <v>1117</v>
      </c>
      <c r="F338" s="1014"/>
      <c r="G338" s="1013"/>
      <c r="H338" s="1013"/>
      <c r="I338" s="1013"/>
      <c r="J338" s="1012"/>
      <c r="K338" s="1011"/>
      <c r="L338" s="1010"/>
    </row>
    <row r="339" spans="1:12">
      <c r="A339" s="905">
        <v>338</v>
      </c>
      <c r="B339" s="905" t="s">
        <v>1258</v>
      </c>
      <c r="C339" s="905">
        <v>29189</v>
      </c>
      <c r="D339" s="905" t="s">
        <v>1115</v>
      </c>
      <c r="E339" s="905" t="s">
        <v>1117</v>
      </c>
      <c r="F339" s="1014">
        <f t="shared" ref="F339:L341" si="138">O195</f>
        <v>0</v>
      </c>
      <c r="G339" s="1013">
        <f t="shared" si="138"/>
        <v>70</v>
      </c>
      <c r="H339" s="1013">
        <f t="shared" si="138"/>
        <v>35</v>
      </c>
      <c r="I339" s="1013">
        <f t="shared" si="138"/>
        <v>70</v>
      </c>
      <c r="J339" s="1012">
        <f t="shared" si="138"/>
        <v>31</v>
      </c>
      <c r="K339" s="1011">
        <f t="shared" si="138"/>
        <v>36.810123456790123</v>
      </c>
      <c r="L339" s="1010">
        <f t="shared" si="138"/>
        <v>0.24733198730891259</v>
      </c>
    </row>
    <row r="340" spans="1:12">
      <c r="A340" s="905">
        <v>339</v>
      </c>
      <c r="B340" s="905" t="s">
        <v>1257</v>
      </c>
      <c r="C340" s="905">
        <v>29189</v>
      </c>
      <c r="D340" s="905" t="s">
        <v>1115</v>
      </c>
      <c r="E340" s="905" t="s">
        <v>1117</v>
      </c>
      <c r="F340" s="1014">
        <f t="shared" si="138"/>
        <v>0</v>
      </c>
      <c r="G340" s="1013">
        <f t="shared" si="138"/>
        <v>68.5</v>
      </c>
      <c r="H340" s="1013">
        <f t="shared" si="138"/>
        <v>41</v>
      </c>
      <c r="I340" s="1013">
        <f t="shared" si="138"/>
        <v>72</v>
      </c>
      <c r="J340" s="1012">
        <f t="shared" si="138"/>
        <v>35</v>
      </c>
      <c r="K340" s="1011">
        <f t="shared" si="138"/>
        <v>38.37406</v>
      </c>
      <c r="L340" s="1010">
        <f t="shared" si="138"/>
        <v>0.23754883724404802</v>
      </c>
    </row>
    <row r="341" spans="1:12">
      <c r="A341" s="905">
        <v>340</v>
      </c>
      <c r="B341" s="905" t="s">
        <v>1256</v>
      </c>
      <c r="C341" s="905">
        <v>29189</v>
      </c>
      <c r="D341" s="905" t="s">
        <v>1115</v>
      </c>
      <c r="E341" s="905" t="s">
        <v>1117</v>
      </c>
      <c r="F341" s="1014">
        <f t="shared" si="138"/>
        <v>1.1500633141945221E-2</v>
      </c>
      <c r="G341" s="1013">
        <f t="shared" si="138"/>
        <v>69</v>
      </c>
      <c r="H341" s="1013">
        <f t="shared" si="138"/>
        <v>0</v>
      </c>
      <c r="I341" s="1013">
        <f t="shared" si="138"/>
        <v>72</v>
      </c>
      <c r="J341" s="1012">
        <f t="shared" si="138"/>
        <v>0</v>
      </c>
      <c r="K341" s="1011" t="str">
        <f t="shared" si="138"/>
        <v/>
      </c>
      <c r="L341" s="1010">
        <f t="shared" si="138"/>
        <v>0.23712841750605412</v>
      </c>
    </row>
    <row r="342" spans="1:12" ht="15.6">
      <c r="A342" s="905">
        <v>341</v>
      </c>
      <c r="B342" s="905" t="s">
        <v>1255</v>
      </c>
      <c r="C342" s="905">
        <v>29189</v>
      </c>
      <c r="D342" s="905" t="s">
        <v>1115</v>
      </c>
      <c r="E342" s="905" t="s">
        <v>1118</v>
      </c>
      <c r="F342" s="1014">
        <f t="shared" ref="F342:K343" si="139">O198</f>
        <v>0</v>
      </c>
      <c r="G342" s="1013">
        <f t="shared" si="139"/>
        <v>72</v>
      </c>
      <c r="H342" s="1013">
        <f t="shared" si="139"/>
        <v>41</v>
      </c>
      <c r="I342" s="1013">
        <f t="shared" si="139"/>
        <v>88</v>
      </c>
      <c r="J342" s="1012">
        <f t="shared" si="139"/>
        <v>39</v>
      </c>
      <c r="K342" s="1011">
        <f t="shared" si="139"/>
        <v>0</v>
      </c>
      <c r="L342" s="1015">
        <v>0.22800028617798151</v>
      </c>
    </row>
    <row r="343" spans="1:12">
      <c r="A343" s="905">
        <v>342</v>
      </c>
      <c r="B343" s="905" t="s">
        <v>1254</v>
      </c>
      <c r="C343" s="905">
        <v>29189</v>
      </c>
      <c r="D343" s="905" t="s">
        <v>1115</v>
      </c>
      <c r="E343" s="905" t="s">
        <v>1117</v>
      </c>
      <c r="F343" s="1014">
        <f t="shared" si="139"/>
        <v>0</v>
      </c>
      <c r="G343" s="1013">
        <f t="shared" si="139"/>
        <v>85</v>
      </c>
      <c r="H343" s="1013">
        <f t="shared" si="139"/>
        <v>45</v>
      </c>
      <c r="I343" s="1013">
        <f t="shared" si="139"/>
        <v>85</v>
      </c>
      <c r="J343" s="1012">
        <f t="shared" si="139"/>
        <v>45</v>
      </c>
      <c r="K343" s="1011" t="str">
        <f t="shared" si="139"/>
        <v/>
      </c>
      <c r="L343" s="1010">
        <f>U199</f>
        <v>0.22411913419097065</v>
      </c>
    </row>
    <row r="344" spans="1:12">
      <c r="A344" s="905">
        <v>343</v>
      </c>
      <c r="B344" s="905" t="s">
        <v>1253</v>
      </c>
      <c r="C344" s="905">
        <v>29189</v>
      </c>
      <c r="D344" s="905" t="s">
        <v>1116</v>
      </c>
      <c r="E344" s="905" t="s">
        <v>1118</v>
      </c>
      <c r="F344" s="1014"/>
      <c r="G344" s="1013"/>
      <c r="H344" s="1013"/>
      <c r="I344" s="1013"/>
      <c r="J344" s="1012"/>
      <c r="K344" s="1011"/>
      <c r="L344" s="1010"/>
    </row>
    <row r="345" spans="1:12">
      <c r="A345" s="905">
        <v>344</v>
      </c>
      <c r="B345" s="905" t="s">
        <v>1252</v>
      </c>
      <c r="C345" s="905">
        <v>29188</v>
      </c>
      <c r="D345" s="905" t="s">
        <v>1115</v>
      </c>
      <c r="E345" s="905" t="s">
        <v>1118</v>
      </c>
      <c r="F345" s="1014">
        <f t="shared" ref="F345:L347" si="140">O200</f>
        <v>2.6783337769496939E-2</v>
      </c>
      <c r="G345" s="1013">
        <f t="shared" si="140"/>
        <v>71.2</v>
      </c>
      <c r="H345" s="1013">
        <f t="shared" si="140"/>
        <v>44.4</v>
      </c>
      <c r="I345" s="1013">
        <f t="shared" si="140"/>
        <v>76.7</v>
      </c>
      <c r="J345" s="1012">
        <f t="shared" si="140"/>
        <v>37.6</v>
      </c>
      <c r="K345" s="1011">
        <f t="shared" si="140"/>
        <v>46.516443384276855</v>
      </c>
      <c r="L345" s="1010">
        <f t="shared" si="140"/>
        <v>0.33448429113534578</v>
      </c>
    </row>
    <row r="346" spans="1:12">
      <c r="A346" s="905">
        <v>345</v>
      </c>
      <c r="B346" s="905" t="s">
        <v>1251</v>
      </c>
      <c r="C346" s="905">
        <v>29188</v>
      </c>
      <c r="D346" s="905" t="s">
        <v>1115</v>
      </c>
      <c r="E346" s="905" t="s">
        <v>1117</v>
      </c>
      <c r="F346" s="1014">
        <f t="shared" si="140"/>
        <v>0</v>
      </c>
      <c r="G346" s="1013">
        <f t="shared" si="140"/>
        <v>80</v>
      </c>
      <c r="H346" s="1013">
        <f t="shared" si="140"/>
        <v>40</v>
      </c>
      <c r="I346" s="1013">
        <f t="shared" si="140"/>
        <v>80</v>
      </c>
      <c r="J346" s="1012">
        <f t="shared" si="140"/>
        <v>38</v>
      </c>
      <c r="K346" s="1011" t="str">
        <f t="shared" si="140"/>
        <v/>
      </c>
      <c r="L346" s="1010">
        <f t="shared" si="140"/>
        <v>0.42861396949343217</v>
      </c>
    </row>
    <row r="347" spans="1:12">
      <c r="A347" s="905">
        <v>346</v>
      </c>
      <c r="B347" s="905" t="s">
        <v>1250</v>
      </c>
      <c r="C347" s="905">
        <v>29189</v>
      </c>
      <c r="D347" s="905" t="s">
        <v>1115</v>
      </c>
      <c r="E347" s="905" t="s">
        <v>1117</v>
      </c>
      <c r="F347" s="1014">
        <f t="shared" si="140"/>
        <v>0</v>
      </c>
      <c r="G347" s="1013">
        <f t="shared" si="140"/>
        <v>66</v>
      </c>
      <c r="H347" s="1013">
        <f t="shared" si="140"/>
        <v>43</v>
      </c>
      <c r="I347" s="1013">
        <f t="shared" si="140"/>
        <v>75</v>
      </c>
      <c r="J347" s="1012">
        <f t="shared" si="140"/>
        <v>34</v>
      </c>
      <c r="K347" s="1011">
        <f t="shared" si="140"/>
        <v>33.189646441843678</v>
      </c>
      <c r="L347" s="1010">
        <f t="shared" si="140"/>
        <v>0.27482968574272526</v>
      </c>
    </row>
    <row r="348" spans="1:12">
      <c r="A348" s="905">
        <v>347</v>
      </c>
      <c r="B348" s="905" t="s">
        <v>1249</v>
      </c>
      <c r="C348" s="905">
        <v>29189</v>
      </c>
      <c r="D348" s="905" t="s">
        <v>1115</v>
      </c>
      <c r="E348" s="905" t="s">
        <v>1117</v>
      </c>
      <c r="F348" s="1014"/>
      <c r="G348" s="1013"/>
      <c r="H348" s="1013"/>
      <c r="I348" s="1013"/>
      <c r="J348" s="1012"/>
      <c r="K348" s="1011"/>
      <c r="L348" s="1010"/>
    </row>
    <row r="349" spans="1:12">
      <c r="A349" s="905">
        <v>348</v>
      </c>
      <c r="B349" s="905" t="s">
        <v>1248</v>
      </c>
      <c r="C349" s="905">
        <v>29189</v>
      </c>
      <c r="D349" s="905" t="s">
        <v>1115</v>
      </c>
      <c r="E349" s="905" t="s">
        <v>1117</v>
      </c>
      <c r="F349" s="1014">
        <f t="shared" ref="F349:L350" si="141">O203</f>
        <v>0</v>
      </c>
      <c r="G349" s="1013">
        <f t="shared" si="141"/>
        <v>79.430000000000007</v>
      </c>
      <c r="H349" s="1013">
        <f t="shared" si="141"/>
        <v>46.72</v>
      </c>
      <c r="I349" s="1013">
        <f t="shared" si="141"/>
        <v>80.959999999999994</v>
      </c>
      <c r="J349" s="1012">
        <f t="shared" si="141"/>
        <v>41.73</v>
      </c>
      <c r="K349" s="1011" t="str">
        <f t="shared" si="141"/>
        <v/>
      </c>
      <c r="L349" s="1010">
        <f t="shared" si="141"/>
        <v>0.24484052532833017</v>
      </c>
    </row>
    <row r="350" spans="1:12">
      <c r="A350" s="905">
        <v>349</v>
      </c>
      <c r="B350" s="905" t="s">
        <v>1247</v>
      </c>
      <c r="C350" s="905">
        <v>29189</v>
      </c>
      <c r="D350" s="905" t="s">
        <v>1115</v>
      </c>
      <c r="E350" s="905" t="s">
        <v>1117</v>
      </c>
      <c r="F350" s="1014">
        <f t="shared" si="141"/>
        <v>2.081651726921254E-3</v>
      </c>
      <c r="G350" s="1013">
        <f t="shared" si="141"/>
        <v>71</v>
      </c>
      <c r="H350" s="1013">
        <f t="shared" si="141"/>
        <v>39</v>
      </c>
      <c r="I350" s="1013">
        <f t="shared" si="141"/>
        <v>75</v>
      </c>
      <c r="J350" s="1012">
        <f t="shared" si="141"/>
        <v>39</v>
      </c>
      <c r="K350" s="1011" t="str">
        <f t="shared" si="141"/>
        <v/>
      </c>
      <c r="L350" s="1010">
        <f t="shared" si="141"/>
        <v>0.31176387115084431</v>
      </c>
    </row>
    <row r="351" spans="1:12">
      <c r="A351" s="905">
        <v>350</v>
      </c>
      <c r="B351" s="905" t="s">
        <v>1246</v>
      </c>
      <c r="C351" s="905">
        <v>29189</v>
      </c>
      <c r="D351" s="905" t="s">
        <v>1115</v>
      </c>
      <c r="E351" s="905" t="s">
        <v>1117</v>
      </c>
      <c r="F351" s="1014">
        <f t="shared" ref="F351:K351" si="142">O205</f>
        <v>4.4325885514862207E-3</v>
      </c>
      <c r="G351" s="1013">
        <f t="shared" si="142"/>
        <v>65.5</v>
      </c>
      <c r="H351" s="1013">
        <f t="shared" si="142"/>
        <v>35.5</v>
      </c>
      <c r="I351" s="1013">
        <f t="shared" si="142"/>
        <v>65.5</v>
      </c>
      <c r="J351" s="1012">
        <f t="shared" si="142"/>
        <v>35.5</v>
      </c>
      <c r="K351" s="1011">
        <f t="shared" si="142"/>
        <v>31.893521451711237</v>
      </c>
      <c r="L351" s="1016">
        <v>0.22800028617798151</v>
      </c>
    </row>
    <row r="352" spans="1:12">
      <c r="A352" s="905">
        <v>351</v>
      </c>
      <c r="B352" s="905" t="s">
        <v>1245</v>
      </c>
      <c r="C352" s="905">
        <v>29189</v>
      </c>
      <c r="D352" s="905" t="s">
        <v>1115</v>
      </c>
      <c r="E352" s="905" t="s">
        <v>1117</v>
      </c>
      <c r="F352" s="1014"/>
      <c r="G352" s="1013"/>
      <c r="H352" s="1013"/>
      <c r="I352" s="1013"/>
      <c r="J352" s="1012"/>
      <c r="K352" s="1011"/>
      <c r="L352" s="1010"/>
    </row>
    <row r="353" spans="1:12">
      <c r="A353" s="905">
        <v>352</v>
      </c>
      <c r="B353" s="905" t="s">
        <v>1244</v>
      </c>
      <c r="C353" s="905">
        <v>29189</v>
      </c>
      <c r="D353" s="905" t="s">
        <v>1115</v>
      </c>
      <c r="E353" s="905" t="s">
        <v>1117</v>
      </c>
      <c r="F353" s="1014">
        <f t="shared" ref="F353:L353" si="143">O206</f>
        <v>0</v>
      </c>
      <c r="G353" s="1013">
        <f t="shared" si="143"/>
        <v>68</v>
      </c>
      <c r="H353" s="1013">
        <f t="shared" si="143"/>
        <v>42</v>
      </c>
      <c r="I353" s="1013">
        <f t="shared" si="143"/>
        <v>73</v>
      </c>
      <c r="J353" s="1012">
        <f t="shared" si="143"/>
        <v>39</v>
      </c>
      <c r="K353" s="1011" t="str">
        <f t="shared" si="143"/>
        <v/>
      </c>
      <c r="L353" s="1010">
        <f t="shared" si="143"/>
        <v>0.14821221131063564</v>
      </c>
    </row>
    <row r="354" spans="1:12">
      <c r="A354" s="905">
        <v>353</v>
      </c>
      <c r="B354" s="905" t="s">
        <v>1243</v>
      </c>
      <c r="C354" s="905">
        <v>29189</v>
      </c>
      <c r="D354" s="905" t="s">
        <v>1115</v>
      </c>
      <c r="E354" s="905" t="s">
        <v>1117</v>
      </c>
      <c r="F354" s="1014"/>
      <c r="G354" s="1013"/>
      <c r="H354" s="1013"/>
      <c r="I354" s="1013"/>
      <c r="J354" s="1012"/>
      <c r="K354" s="1011"/>
      <c r="L354" s="1010"/>
    </row>
    <row r="355" spans="1:12">
      <c r="A355" s="905">
        <v>354</v>
      </c>
      <c r="B355" s="905" t="s">
        <v>1242</v>
      </c>
      <c r="C355" s="905">
        <v>29189</v>
      </c>
      <c r="D355" s="905" t="s">
        <v>1115</v>
      </c>
      <c r="E355" s="905" t="s">
        <v>1117</v>
      </c>
      <c r="F355" s="1014">
        <f t="shared" ref="F355:L355" si="144">O207</f>
        <v>1.7211703958691909E-2</v>
      </c>
      <c r="G355" s="1013">
        <f t="shared" si="144"/>
        <v>70</v>
      </c>
      <c r="H355" s="1013">
        <f t="shared" si="144"/>
        <v>45</v>
      </c>
      <c r="I355" s="1013">
        <f t="shared" si="144"/>
        <v>75</v>
      </c>
      <c r="J355" s="1012">
        <f t="shared" si="144"/>
        <v>40</v>
      </c>
      <c r="K355" s="1011">
        <f t="shared" si="144"/>
        <v>35.546450856340392</v>
      </c>
      <c r="L355" s="1010">
        <f t="shared" si="144"/>
        <v>0.43957968476357268</v>
      </c>
    </row>
    <row r="356" spans="1:12" ht="15.6">
      <c r="A356" s="905">
        <v>355</v>
      </c>
      <c r="B356" s="905" t="s">
        <v>1241</v>
      </c>
      <c r="C356" s="905">
        <v>29189</v>
      </c>
      <c r="D356" s="905" t="s">
        <v>1115</v>
      </c>
      <c r="E356" s="905" t="s">
        <v>1117</v>
      </c>
      <c r="F356" s="1014">
        <f t="shared" ref="F356:K356" si="145">O208</f>
        <v>0</v>
      </c>
      <c r="G356" s="1013">
        <f t="shared" si="145"/>
        <v>67</v>
      </c>
      <c r="H356" s="1013">
        <f t="shared" si="145"/>
        <v>40</v>
      </c>
      <c r="I356" s="1013">
        <f t="shared" si="145"/>
        <v>80</v>
      </c>
      <c r="J356" s="1012">
        <f t="shared" si="145"/>
        <v>40</v>
      </c>
      <c r="K356" s="1011" t="str">
        <f t="shared" si="145"/>
        <v/>
      </c>
      <c r="L356" s="1015">
        <v>0.22800028617798151</v>
      </c>
    </row>
    <row r="357" spans="1:12">
      <c r="A357" s="905">
        <v>356</v>
      </c>
      <c r="B357" s="905" t="s">
        <v>1240</v>
      </c>
      <c r="C357" s="905">
        <v>29189</v>
      </c>
      <c r="D357" s="905" t="s">
        <v>1115</v>
      </c>
      <c r="E357" s="905" t="s">
        <v>1117</v>
      </c>
      <c r="F357" s="1014"/>
      <c r="G357" s="1013"/>
      <c r="H357" s="1013"/>
      <c r="I357" s="1013"/>
      <c r="J357" s="1012"/>
      <c r="K357" s="1011"/>
      <c r="L357" s="1010"/>
    </row>
    <row r="358" spans="1:12">
      <c r="A358" s="905">
        <v>357</v>
      </c>
      <c r="B358" s="905" t="s">
        <v>1239</v>
      </c>
      <c r="C358" s="905">
        <v>29189</v>
      </c>
      <c r="D358" s="905" t="s">
        <v>1115</v>
      </c>
      <c r="E358" s="905" t="s">
        <v>1117</v>
      </c>
      <c r="F358" s="1014">
        <f t="shared" ref="F358:L359" si="146">O209</f>
        <v>0</v>
      </c>
      <c r="G358" s="1013">
        <f t="shared" si="146"/>
        <v>73</v>
      </c>
      <c r="H358" s="1013">
        <f t="shared" si="146"/>
        <v>38</v>
      </c>
      <c r="I358" s="1013">
        <f t="shared" si="146"/>
        <v>75</v>
      </c>
      <c r="J358" s="1012">
        <f t="shared" si="146"/>
        <v>40</v>
      </c>
      <c r="K358" s="1011">
        <f t="shared" si="146"/>
        <v>34.207606774484091</v>
      </c>
      <c r="L358" s="1010">
        <f t="shared" si="146"/>
        <v>0.32759604195234043</v>
      </c>
    </row>
    <row r="359" spans="1:12">
      <c r="A359" s="905">
        <v>358</v>
      </c>
      <c r="B359" s="905" t="s">
        <v>1238</v>
      </c>
      <c r="C359" s="905">
        <v>29189</v>
      </c>
      <c r="D359" s="905" t="s">
        <v>1115</v>
      </c>
      <c r="E359" s="905" t="s">
        <v>1117</v>
      </c>
      <c r="F359" s="1014">
        <f t="shared" si="146"/>
        <v>0</v>
      </c>
      <c r="G359" s="1013">
        <f t="shared" si="146"/>
        <v>73</v>
      </c>
      <c r="H359" s="1013">
        <f t="shared" si="146"/>
        <v>34</v>
      </c>
      <c r="I359" s="1013">
        <f t="shared" si="146"/>
        <v>73</v>
      </c>
      <c r="J359" s="1012">
        <f t="shared" si="146"/>
        <v>34</v>
      </c>
      <c r="K359" s="1011" t="str">
        <f t="shared" si="146"/>
        <v/>
      </c>
      <c r="L359" s="1010">
        <f t="shared" si="146"/>
        <v>0.20877817319098457</v>
      </c>
    </row>
    <row r="360" spans="1:12">
      <c r="A360" s="905">
        <v>359</v>
      </c>
      <c r="B360" s="905" t="s">
        <v>1237</v>
      </c>
      <c r="C360" s="905">
        <v>29189</v>
      </c>
      <c r="D360" s="905" t="s">
        <v>1115</v>
      </c>
      <c r="E360" s="905" t="s">
        <v>1117</v>
      </c>
      <c r="F360" s="1014"/>
      <c r="G360" s="1013"/>
      <c r="H360" s="1013"/>
      <c r="I360" s="1013"/>
      <c r="J360" s="1012"/>
      <c r="K360" s="1011"/>
      <c r="L360" s="1010"/>
    </row>
    <row r="361" spans="1:12">
      <c r="A361" s="905">
        <v>360</v>
      </c>
      <c r="B361" s="905" t="s">
        <v>1236</v>
      </c>
      <c r="C361" s="905">
        <v>29189</v>
      </c>
      <c r="D361" s="905" t="s">
        <v>1115</v>
      </c>
      <c r="E361" s="905" t="s">
        <v>1117</v>
      </c>
      <c r="F361" s="1014">
        <f t="shared" ref="F361:L361" si="147">O212</f>
        <v>0</v>
      </c>
      <c r="G361" s="1013">
        <f t="shared" si="147"/>
        <v>61</v>
      </c>
      <c r="H361" s="1013">
        <f t="shared" si="147"/>
        <v>36</v>
      </c>
      <c r="I361" s="1013">
        <f t="shared" si="147"/>
        <v>67</v>
      </c>
      <c r="J361" s="1012">
        <f t="shared" si="147"/>
        <v>34</v>
      </c>
      <c r="K361" s="1011">
        <f t="shared" si="147"/>
        <v>46.755165262807544</v>
      </c>
      <c r="L361" s="1010">
        <f t="shared" si="147"/>
        <v>0.11627030845302566</v>
      </c>
    </row>
    <row r="362" spans="1:12">
      <c r="A362" s="905">
        <v>361</v>
      </c>
      <c r="B362" s="905" t="s">
        <v>1235</v>
      </c>
      <c r="C362" s="905">
        <v>29189</v>
      </c>
      <c r="D362" s="905" t="s">
        <v>1115</v>
      </c>
      <c r="E362" s="905" t="s">
        <v>1117</v>
      </c>
      <c r="F362" s="1014"/>
      <c r="G362" s="1013"/>
      <c r="H362" s="1013"/>
      <c r="I362" s="1013"/>
      <c r="J362" s="1012"/>
      <c r="K362" s="1011"/>
      <c r="L362" s="1010"/>
    </row>
    <row r="363" spans="1:12" ht="15.6">
      <c r="A363" s="905">
        <v>362</v>
      </c>
      <c r="B363" s="905" t="s">
        <v>1234</v>
      </c>
      <c r="C363" s="905">
        <v>55133</v>
      </c>
      <c r="D363" s="905" t="s">
        <v>1116</v>
      </c>
      <c r="E363" s="905" t="s">
        <v>1117</v>
      </c>
      <c r="F363" s="1014">
        <f t="shared" ref="F363:K365" si="148">O213</f>
        <v>0</v>
      </c>
      <c r="G363" s="1013">
        <f t="shared" si="148"/>
        <v>72</v>
      </c>
      <c r="H363" s="1013">
        <f t="shared" si="148"/>
        <v>33</v>
      </c>
      <c r="I363" s="1013">
        <f t="shared" si="148"/>
        <v>75</v>
      </c>
      <c r="J363" s="1012">
        <f t="shared" si="148"/>
        <v>0</v>
      </c>
      <c r="K363" s="1011">
        <f t="shared" si="148"/>
        <v>0</v>
      </c>
      <c r="L363" s="1015">
        <v>0.17374718282373314</v>
      </c>
    </row>
    <row r="364" spans="1:12">
      <c r="A364" s="905">
        <v>363</v>
      </c>
      <c r="B364" s="905" t="s">
        <v>1233</v>
      </c>
      <c r="C364" s="905">
        <v>29189</v>
      </c>
      <c r="D364" s="905" t="s">
        <v>1115</v>
      </c>
      <c r="E364" s="905" t="s">
        <v>1117</v>
      </c>
      <c r="F364" s="1014">
        <f t="shared" si="148"/>
        <v>0</v>
      </c>
      <c r="G364" s="1013">
        <f t="shared" si="148"/>
        <v>74</v>
      </c>
      <c r="H364" s="1013">
        <f t="shared" si="148"/>
        <v>38</v>
      </c>
      <c r="I364" s="1013">
        <f t="shared" si="148"/>
        <v>75</v>
      </c>
      <c r="J364" s="1012">
        <f t="shared" si="148"/>
        <v>34</v>
      </c>
      <c r="K364" s="1011" t="str">
        <f t="shared" si="148"/>
        <v/>
      </c>
      <c r="L364" s="1010">
        <f>U214</f>
        <v>0.33361204013377926</v>
      </c>
    </row>
    <row r="365" spans="1:12">
      <c r="A365" s="905">
        <v>364</v>
      </c>
      <c r="B365" s="905" t="s">
        <v>1232</v>
      </c>
      <c r="C365" s="905">
        <v>29189</v>
      </c>
      <c r="D365" s="905" t="s">
        <v>1116</v>
      </c>
      <c r="E365" s="905" t="s">
        <v>1117</v>
      </c>
      <c r="F365" s="1014">
        <f t="shared" si="148"/>
        <v>0</v>
      </c>
      <c r="G365" s="1013">
        <f t="shared" si="148"/>
        <v>68</v>
      </c>
      <c r="H365" s="1013">
        <f t="shared" si="148"/>
        <v>45</v>
      </c>
      <c r="I365" s="1013">
        <f t="shared" si="148"/>
        <v>82</v>
      </c>
      <c r="J365" s="1012">
        <f t="shared" si="148"/>
        <v>43</v>
      </c>
      <c r="K365" s="1011" t="str">
        <f t="shared" si="148"/>
        <v/>
      </c>
      <c r="L365" s="1010">
        <f>U215</f>
        <v>0.23974527108974802</v>
      </c>
    </row>
    <row r="366" spans="1:12">
      <c r="A366" s="905">
        <v>365</v>
      </c>
      <c r="B366" s="905" t="s">
        <v>1232</v>
      </c>
      <c r="C366" s="905">
        <v>29189</v>
      </c>
      <c r="D366" s="905" t="s">
        <v>1115</v>
      </c>
      <c r="E366" s="905" t="s">
        <v>1117</v>
      </c>
      <c r="F366" s="1014">
        <f t="shared" ref="F366:L368" si="149">F365</f>
        <v>0</v>
      </c>
      <c r="G366" s="1013">
        <f t="shared" si="149"/>
        <v>68</v>
      </c>
      <c r="H366" s="1013">
        <f t="shared" si="149"/>
        <v>45</v>
      </c>
      <c r="I366" s="1013">
        <f t="shared" si="149"/>
        <v>82</v>
      </c>
      <c r="J366" s="1012">
        <f t="shared" si="149"/>
        <v>43</v>
      </c>
      <c r="K366" s="1011" t="str">
        <f t="shared" si="149"/>
        <v/>
      </c>
      <c r="L366" s="1010">
        <f t="shared" si="149"/>
        <v>0.23974527108974802</v>
      </c>
    </row>
    <row r="367" spans="1:12">
      <c r="A367" s="905">
        <v>366</v>
      </c>
      <c r="B367" s="905" t="s">
        <v>1232</v>
      </c>
      <c r="C367" s="905">
        <v>69116</v>
      </c>
      <c r="D367" s="905" t="s">
        <v>1116</v>
      </c>
      <c r="E367" s="905" t="s">
        <v>1117</v>
      </c>
      <c r="F367" s="1014">
        <f t="shared" si="149"/>
        <v>0</v>
      </c>
      <c r="G367" s="1013">
        <f t="shared" si="149"/>
        <v>68</v>
      </c>
      <c r="H367" s="1013">
        <f t="shared" si="149"/>
        <v>45</v>
      </c>
      <c r="I367" s="1013">
        <f t="shared" si="149"/>
        <v>82</v>
      </c>
      <c r="J367" s="1012">
        <f t="shared" si="149"/>
        <v>43</v>
      </c>
      <c r="K367" s="1011" t="str">
        <f t="shared" si="149"/>
        <v/>
      </c>
      <c r="L367" s="1010">
        <f t="shared" si="149"/>
        <v>0.23974527108974802</v>
      </c>
    </row>
    <row r="368" spans="1:12">
      <c r="A368" s="905">
        <v>367</v>
      </c>
      <c r="B368" s="905" t="s">
        <v>1232</v>
      </c>
      <c r="C368" s="905">
        <v>69116</v>
      </c>
      <c r="D368" s="905" t="s">
        <v>1115</v>
      </c>
      <c r="E368" s="905" t="s">
        <v>1117</v>
      </c>
      <c r="F368" s="1014">
        <f t="shared" si="149"/>
        <v>0</v>
      </c>
      <c r="G368" s="1013">
        <f t="shared" si="149"/>
        <v>68</v>
      </c>
      <c r="H368" s="1013">
        <f t="shared" si="149"/>
        <v>45</v>
      </c>
      <c r="I368" s="1013">
        <f t="shared" si="149"/>
        <v>82</v>
      </c>
      <c r="J368" s="1012">
        <f t="shared" si="149"/>
        <v>43</v>
      </c>
      <c r="K368" s="1011" t="str">
        <f t="shared" si="149"/>
        <v/>
      </c>
      <c r="L368" s="1010">
        <f t="shared" si="149"/>
        <v>0.23974527108974802</v>
      </c>
    </row>
    <row r="369" spans="1:12">
      <c r="A369" s="905">
        <v>368</v>
      </c>
      <c r="B369" s="905" t="s">
        <v>1231</v>
      </c>
      <c r="C369" s="905">
        <v>29189</v>
      </c>
      <c r="D369" s="905" t="s">
        <v>1115</v>
      </c>
      <c r="E369" s="905" t="s">
        <v>1117</v>
      </c>
      <c r="F369" s="1014"/>
      <c r="G369" s="1013"/>
      <c r="H369" s="1013"/>
      <c r="I369" s="1013"/>
      <c r="J369" s="1012"/>
      <c r="K369" s="1011"/>
      <c r="L369" s="1010"/>
    </row>
    <row r="370" spans="1:12" ht="15.6">
      <c r="A370" s="905">
        <v>369</v>
      </c>
      <c r="B370" s="905" t="s">
        <v>1230</v>
      </c>
      <c r="C370" s="905">
        <v>29189</v>
      </c>
      <c r="D370" s="905" t="s">
        <v>1115</v>
      </c>
      <c r="E370" s="905" t="s">
        <v>1117</v>
      </c>
      <c r="F370" s="1014">
        <f t="shared" ref="F370:K372" si="150">O216</f>
        <v>0</v>
      </c>
      <c r="G370" s="1013">
        <f t="shared" si="150"/>
        <v>72</v>
      </c>
      <c r="H370" s="1013">
        <f t="shared" si="150"/>
        <v>0</v>
      </c>
      <c r="I370" s="1013">
        <f t="shared" si="150"/>
        <v>76</v>
      </c>
      <c r="J370" s="1012">
        <f t="shared" si="150"/>
        <v>0</v>
      </c>
      <c r="K370" s="1011" t="str">
        <f t="shared" si="150"/>
        <v/>
      </c>
      <c r="L370" s="1015">
        <v>0.22800028617798151</v>
      </c>
    </row>
    <row r="371" spans="1:12">
      <c r="A371" s="905">
        <v>370</v>
      </c>
      <c r="B371" s="905" t="s">
        <v>1229</v>
      </c>
      <c r="C371" s="905">
        <v>29189</v>
      </c>
      <c r="D371" s="905" t="s">
        <v>1115</v>
      </c>
      <c r="E371" s="905" t="s">
        <v>1117</v>
      </c>
      <c r="F371" s="1014">
        <f t="shared" si="150"/>
        <v>5.3880879568952962E-3</v>
      </c>
      <c r="G371" s="1013">
        <f t="shared" si="150"/>
        <v>70</v>
      </c>
      <c r="H371" s="1013">
        <f t="shared" si="150"/>
        <v>35</v>
      </c>
      <c r="I371" s="1013">
        <f t="shared" si="150"/>
        <v>72</v>
      </c>
      <c r="J371" s="1012">
        <f t="shared" si="150"/>
        <v>35</v>
      </c>
      <c r="K371" s="1011">
        <f t="shared" si="150"/>
        <v>33.324634063315557</v>
      </c>
      <c r="L371" s="1010">
        <f>U217</f>
        <v>0.35754026354319179</v>
      </c>
    </row>
    <row r="372" spans="1:12" ht="15.6">
      <c r="A372" s="905">
        <v>371</v>
      </c>
      <c r="B372" s="905" t="s">
        <v>1228</v>
      </c>
      <c r="C372" s="905">
        <v>29189</v>
      </c>
      <c r="D372" s="905" t="s">
        <v>1116</v>
      </c>
      <c r="E372" s="905" t="s">
        <v>1117</v>
      </c>
      <c r="F372" s="1014">
        <f t="shared" si="150"/>
        <v>0</v>
      </c>
      <c r="G372" s="1013">
        <f t="shared" si="150"/>
        <v>98</v>
      </c>
      <c r="H372" s="1013">
        <f t="shared" si="150"/>
        <v>46</v>
      </c>
      <c r="I372" s="1013">
        <f t="shared" si="150"/>
        <v>100</v>
      </c>
      <c r="J372" s="1012">
        <f t="shared" si="150"/>
        <v>43</v>
      </c>
      <c r="K372" s="1011" t="str">
        <f t="shared" si="150"/>
        <v/>
      </c>
      <c r="L372" s="1015">
        <v>0.22800028617798151</v>
      </c>
    </row>
    <row r="373" spans="1:12" ht="15.6">
      <c r="A373" s="905">
        <v>372</v>
      </c>
      <c r="B373" s="905" t="s">
        <v>1228</v>
      </c>
      <c r="C373" s="905">
        <v>29189</v>
      </c>
      <c r="D373" s="905" t="s">
        <v>1115</v>
      </c>
      <c r="E373" s="905" t="s">
        <v>1117</v>
      </c>
      <c r="F373" s="1014">
        <f t="shared" ref="F373:L373" si="151">F372</f>
        <v>0</v>
      </c>
      <c r="G373" s="1013">
        <f t="shared" si="151"/>
        <v>98</v>
      </c>
      <c r="H373" s="1013">
        <f t="shared" si="151"/>
        <v>46</v>
      </c>
      <c r="I373" s="1013">
        <f t="shared" si="151"/>
        <v>100</v>
      </c>
      <c r="J373" s="1012">
        <f t="shared" si="151"/>
        <v>43</v>
      </c>
      <c r="K373" s="1011" t="str">
        <f t="shared" si="151"/>
        <v/>
      </c>
      <c r="L373" s="1015">
        <f t="shared" si="151"/>
        <v>0.22800028617798151</v>
      </c>
    </row>
    <row r="374" spans="1:12">
      <c r="A374" s="905">
        <v>373</v>
      </c>
      <c r="B374" s="905" t="s">
        <v>1227</v>
      </c>
      <c r="C374" s="905">
        <v>29189</v>
      </c>
      <c r="D374" s="905" t="s">
        <v>1115</v>
      </c>
      <c r="E374" s="905" t="s">
        <v>1117</v>
      </c>
      <c r="F374" s="1014">
        <f t="shared" ref="F374:L376" si="152">O220</f>
        <v>0</v>
      </c>
      <c r="G374" s="1013">
        <f t="shared" si="152"/>
        <v>69</v>
      </c>
      <c r="H374" s="1013">
        <f t="shared" si="152"/>
        <v>39</v>
      </c>
      <c r="I374" s="1013">
        <f t="shared" si="152"/>
        <v>74</v>
      </c>
      <c r="J374" s="1012">
        <f t="shared" si="152"/>
        <v>34</v>
      </c>
      <c r="K374" s="1011" t="str">
        <f t="shared" si="152"/>
        <v/>
      </c>
      <c r="L374" s="1010">
        <f t="shared" si="152"/>
        <v>0.31348259115976623</v>
      </c>
    </row>
    <row r="375" spans="1:12">
      <c r="A375" s="905">
        <v>374</v>
      </c>
      <c r="B375" s="905" t="s">
        <v>1226</v>
      </c>
      <c r="C375" s="905">
        <v>20310</v>
      </c>
      <c r="D375" s="905" t="s">
        <v>1116</v>
      </c>
      <c r="E375" s="905" t="s">
        <v>1118</v>
      </c>
      <c r="F375" s="1014">
        <f t="shared" si="152"/>
        <v>0</v>
      </c>
      <c r="G375" s="1013">
        <f t="shared" si="152"/>
        <v>80</v>
      </c>
      <c r="H375" s="1013">
        <f t="shared" si="152"/>
        <v>52</v>
      </c>
      <c r="I375" s="1013">
        <f t="shared" si="152"/>
        <v>98</v>
      </c>
      <c r="J375" s="1012">
        <f t="shared" si="152"/>
        <v>56</v>
      </c>
      <c r="K375" s="1011">
        <f t="shared" si="152"/>
        <v>35.229012561938589</v>
      </c>
      <c r="L375" s="1010">
        <f t="shared" si="152"/>
        <v>4.4888546380582095E-2</v>
      </c>
    </row>
    <row r="376" spans="1:12">
      <c r="A376" s="905">
        <v>375</v>
      </c>
      <c r="B376" s="905" t="s">
        <v>1225</v>
      </c>
      <c r="C376" s="905">
        <v>29189</v>
      </c>
      <c r="D376" s="905" t="s">
        <v>1115</v>
      </c>
      <c r="E376" s="905" t="s">
        <v>1117</v>
      </c>
      <c r="F376" s="1014">
        <f t="shared" si="152"/>
        <v>8.5511899301839681E-2</v>
      </c>
      <c r="G376" s="1013">
        <f t="shared" si="152"/>
        <v>68</v>
      </c>
      <c r="H376" s="1013">
        <f t="shared" si="152"/>
        <v>44</v>
      </c>
      <c r="I376" s="1013">
        <f t="shared" si="152"/>
        <v>74</v>
      </c>
      <c r="J376" s="1012">
        <f t="shared" si="152"/>
        <v>34</v>
      </c>
      <c r="K376" s="1011">
        <f t="shared" si="152"/>
        <v>0</v>
      </c>
      <c r="L376" s="1010">
        <f t="shared" si="152"/>
        <v>0.23148509334076345</v>
      </c>
    </row>
    <row r="377" spans="1:12">
      <c r="A377" s="905">
        <v>376</v>
      </c>
      <c r="B377" s="905" t="s">
        <v>1224</v>
      </c>
      <c r="C377" s="905">
        <v>29189</v>
      </c>
      <c r="D377" s="905" t="s">
        <v>1115</v>
      </c>
      <c r="E377" s="905" t="s">
        <v>1117</v>
      </c>
      <c r="F377" s="1014"/>
      <c r="G377" s="1013"/>
      <c r="H377" s="1013"/>
      <c r="I377" s="1013"/>
      <c r="J377" s="1012"/>
      <c r="K377" s="1011"/>
      <c r="L377" s="1010"/>
    </row>
    <row r="378" spans="1:12">
      <c r="A378" s="905">
        <v>377</v>
      </c>
      <c r="B378" s="905" t="s">
        <v>1223</v>
      </c>
      <c r="C378" s="905">
        <v>29189</v>
      </c>
      <c r="D378" s="905" t="s">
        <v>1115</v>
      </c>
      <c r="E378" s="905" t="s">
        <v>1117</v>
      </c>
      <c r="F378" s="1014"/>
      <c r="G378" s="1013"/>
      <c r="H378" s="1013"/>
      <c r="I378" s="1013"/>
      <c r="J378" s="1012"/>
      <c r="K378" s="1011"/>
      <c r="L378" s="1010"/>
    </row>
    <row r="379" spans="1:12" ht="15.6">
      <c r="A379" s="905">
        <v>378</v>
      </c>
      <c r="B379" s="905" t="s">
        <v>1222</v>
      </c>
      <c r="C379" s="905">
        <v>29189</v>
      </c>
      <c r="D379" s="905" t="s">
        <v>1115</v>
      </c>
      <c r="E379" s="905" t="s">
        <v>1117</v>
      </c>
      <c r="F379" s="1014">
        <f t="shared" ref="F379:K381" si="153">O223</f>
        <v>0</v>
      </c>
      <c r="G379" s="1013">
        <f t="shared" si="153"/>
        <v>75</v>
      </c>
      <c r="H379" s="1013">
        <f t="shared" si="153"/>
        <v>0</v>
      </c>
      <c r="I379" s="1013">
        <f t="shared" si="153"/>
        <v>78</v>
      </c>
      <c r="J379" s="1012">
        <f t="shared" si="153"/>
        <v>0</v>
      </c>
      <c r="K379" s="1011" t="str">
        <f t="shared" si="153"/>
        <v/>
      </c>
      <c r="L379" s="1015">
        <v>0.22800028617798151</v>
      </c>
    </row>
    <row r="380" spans="1:12">
      <c r="A380" s="905">
        <v>379</v>
      </c>
      <c r="B380" s="905" t="s">
        <v>1221</v>
      </c>
      <c r="C380" s="905">
        <v>29189</v>
      </c>
      <c r="D380" s="905" t="s">
        <v>1115</v>
      </c>
      <c r="E380" s="905" t="s">
        <v>1117</v>
      </c>
      <c r="F380" s="1014">
        <f t="shared" si="153"/>
        <v>0</v>
      </c>
      <c r="G380" s="1013">
        <f t="shared" si="153"/>
        <v>71</v>
      </c>
      <c r="H380" s="1013">
        <f t="shared" si="153"/>
        <v>38</v>
      </c>
      <c r="I380" s="1013">
        <f t="shared" si="153"/>
        <v>71.7</v>
      </c>
      <c r="J380" s="1012">
        <f t="shared" si="153"/>
        <v>35</v>
      </c>
      <c r="K380" s="1011">
        <f t="shared" si="153"/>
        <v>59.151992880300043</v>
      </c>
      <c r="L380" s="1010">
        <f>U224</f>
        <v>0.2341783293724144</v>
      </c>
    </row>
    <row r="381" spans="1:12">
      <c r="A381" s="905">
        <v>380</v>
      </c>
      <c r="B381" s="905" t="s">
        <v>1220</v>
      </c>
      <c r="C381" s="905">
        <v>29189</v>
      </c>
      <c r="D381" s="905" t="s">
        <v>1115</v>
      </c>
      <c r="E381" s="905" t="s">
        <v>1117</v>
      </c>
      <c r="F381" s="1014">
        <f t="shared" si="153"/>
        <v>0</v>
      </c>
      <c r="G381" s="1013">
        <f t="shared" si="153"/>
        <v>70</v>
      </c>
      <c r="H381" s="1013">
        <f t="shared" si="153"/>
        <v>38</v>
      </c>
      <c r="I381" s="1013">
        <f t="shared" si="153"/>
        <v>78</v>
      </c>
      <c r="J381" s="1012">
        <f t="shared" si="153"/>
        <v>34</v>
      </c>
      <c r="K381" s="1011" t="str">
        <f t="shared" si="153"/>
        <v/>
      </c>
      <c r="L381" s="1010">
        <f>U225</f>
        <v>0.2257401699822546</v>
      </c>
    </row>
    <row r="382" spans="1:12">
      <c r="A382" s="905">
        <v>381</v>
      </c>
      <c r="B382" s="905" t="s">
        <v>1219</v>
      </c>
      <c r="C382" s="905">
        <v>29189</v>
      </c>
      <c r="D382" s="905" t="s">
        <v>1115</v>
      </c>
      <c r="E382" s="905" t="s">
        <v>1117</v>
      </c>
      <c r="F382" s="1014"/>
      <c r="G382" s="1013"/>
      <c r="H382" s="1013"/>
      <c r="I382" s="1013"/>
      <c r="J382" s="1012"/>
      <c r="K382" s="1011"/>
      <c r="L382" s="1010"/>
    </row>
    <row r="383" spans="1:12">
      <c r="A383" s="905">
        <v>382</v>
      </c>
      <c r="B383" s="905" t="s">
        <v>1218</v>
      </c>
      <c r="C383" s="905">
        <v>29189</v>
      </c>
      <c r="D383" s="905" t="s">
        <v>1115</v>
      </c>
      <c r="E383" s="905" t="s">
        <v>1117</v>
      </c>
      <c r="F383" s="1014">
        <f t="shared" ref="F383:L385" si="154">O226</f>
        <v>0</v>
      </c>
      <c r="G383" s="1013">
        <f t="shared" si="154"/>
        <v>80</v>
      </c>
      <c r="H383" s="1013">
        <f t="shared" si="154"/>
        <v>45</v>
      </c>
      <c r="I383" s="1013">
        <f t="shared" si="154"/>
        <v>80</v>
      </c>
      <c r="J383" s="1012">
        <f t="shared" si="154"/>
        <v>45</v>
      </c>
      <c r="K383" s="1011" t="str">
        <f t="shared" si="154"/>
        <v/>
      </c>
      <c r="L383" s="1010">
        <f t="shared" si="154"/>
        <v>0.38391819660701837</v>
      </c>
    </row>
    <row r="384" spans="1:12">
      <c r="A384" s="905">
        <v>383</v>
      </c>
      <c r="B384" s="905" t="s">
        <v>1217</v>
      </c>
      <c r="C384" s="905">
        <v>19583</v>
      </c>
      <c r="D384" s="905" t="s">
        <v>1116</v>
      </c>
      <c r="E384" s="905" t="s">
        <v>1118</v>
      </c>
      <c r="F384" s="1014">
        <f t="shared" si="154"/>
        <v>0</v>
      </c>
      <c r="G384" s="1013">
        <f t="shared" si="154"/>
        <v>70</v>
      </c>
      <c r="H384" s="1013">
        <f t="shared" si="154"/>
        <v>40</v>
      </c>
      <c r="I384" s="1013">
        <f t="shared" si="154"/>
        <v>80</v>
      </c>
      <c r="J384" s="1012">
        <f t="shared" si="154"/>
        <v>40</v>
      </c>
      <c r="K384" s="1011">
        <f t="shared" si="154"/>
        <v>0</v>
      </c>
      <c r="L384" s="1010">
        <f t="shared" si="154"/>
        <v>0.2169264724372677</v>
      </c>
    </row>
    <row r="385" spans="1:12">
      <c r="A385" s="905">
        <v>384</v>
      </c>
      <c r="B385" s="905" t="s">
        <v>1216</v>
      </c>
      <c r="C385" s="905">
        <v>29189</v>
      </c>
      <c r="D385" s="905" t="s">
        <v>1115</v>
      </c>
      <c r="E385" s="905" t="s">
        <v>1117</v>
      </c>
      <c r="F385" s="1014">
        <f t="shared" si="154"/>
        <v>0</v>
      </c>
      <c r="G385" s="1013">
        <f t="shared" si="154"/>
        <v>76</v>
      </c>
      <c r="H385" s="1013">
        <f t="shared" si="154"/>
        <v>39</v>
      </c>
      <c r="I385" s="1013">
        <f t="shared" si="154"/>
        <v>78</v>
      </c>
      <c r="J385" s="1012">
        <f t="shared" si="154"/>
        <v>36</v>
      </c>
      <c r="K385" s="1011">
        <f t="shared" si="154"/>
        <v>52.457577464788734</v>
      </c>
      <c r="L385" s="1010">
        <f t="shared" si="154"/>
        <v>0.21452541485791693</v>
      </c>
    </row>
    <row r="386" spans="1:12">
      <c r="A386" s="905">
        <v>385</v>
      </c>
      <c r="B386" s="905" t="s">
        <v>1215</v>
      </c>
      <c r="C386" s="905">
        <v>29189</v>
      </c>
      <c r="D386" s="905" t="s">
        <v>1116</v>
      </c>
      <c r="E386" s="905" t="s">
        <v>1117</v>
      </c>
      <c r="F386" s="1014"/>
      <c r="G386" s="1013"/>
      <c r="H386" s="1013"/>
      <c r="I386" s="1013"/>
      <c r="J386" s="1012"/>
      <c r="K386" s="1011"/>
      <c r="L386" s="1010"/>
    </row>
    <row r="387" spans="1:12">
      <c r="A387" s="905">
        <v>386</v>
      </c>
      <c r="B387" s="905" t="s">
        <v>1214</v>
      </c>
      <c r="C387" s="905">
        <v>19583</v>
      </c>
      <c r="D387" s="905" t="s">
        <v>1116</v>
      </c>
      <c r="E387" s="905" t="s">
        <v>1118</v>
      </c>
      <c r="F387" s="1014"/>
      <c r="G387" s="1013"/>
      <c r="H387" s="1013"/>
      <c r="I387" s="1013"/>
      <c r="J387" s="1012"/>
      <c r="K387" s="1011"/>
      <c r="L387" s="1010"/>
    </row>
    <row r="388" spans="1:12">
      <c r="A388" s="905">
        <v>387</v>
      </c>
      <c r="B388" s="905" t="s">
        <v>1214</v>
      </c>
      <c r="C388" s="905">
        <v>66137</v>
      </c>
      <c r="D388" s="905" t="s">
        <v>1116</v>
      </c>
      <c r="E388" s="905" t="s">
        <v>1118</v>
      </c>
      <c r="F388" s="1014"/>
      <c r="G388" s="1013"/>
      <c r="H388" s="1013"/>
      <c r="I388" s="1013"/>
      <c r="J388" s="1012"/>
      <c r="K388" s="1011"/>
      <c r="L388" s="1010"/>
    </row>
    <row r="389" spans="1:12">
      <c r="A389" s="905">
        <v>388</v>
      </c>
      <c r="B389" s="905" t="s">
        <v>1213</v>
      </c>
      <c r="C389" s="905">
        <v>29189</v>
      </c>
      <c r="D389" s="905" t="s">
        <v>1115</v>
      </c>
      <c r="E389" s="905" t="s">
        <v>1117</v>
      </c>
      <c r="F389" s="1014">
        <f t="shared" ref="F389:L389" si="155">O229</f>
        <v>8.6365306872473353E-3</v>
      </c>
      <c r="G389" s="1013">
        <f t="shared" si="155"/>
        <v>71</v>
      </c>
      <c r="H389" s="1013">
        <f t="shared" si="155"/>
        <v>37</v>
      </c>
      <c r="I389" s="1013">
        <f t="shared" si="155"/>
        <v>76</v>
      </c>
      <c r="J389" s="1012">
        <f t="shared" si="155"/>
        <v>36</v>
      </c>
      <c r="K389" s="1011" t="str">
        <f t="shared" si="155"/>
        <v/>
      </c>
      <c r="L389" s="1010">
        <f t="shared" si="155"/>
        <v>0.4715477293790547</v>
      </c>
    </row>
    <row r="390" spans="1:12">
      <c r="A390" s="905">
        <v>389</v>
      </c>
      <c r="B390" s="905" t="s">
        <v>1212</v>
      </c>
      <c r="C390" s="905">
        <v>29189</v>
      </c>
      <c r="D390" s="905" t="s">
        <v>1115</v>
      </c>
      <c r="E390" s="905" t="s">
        <v>1117</v>
      </c>
      <c r="F390" s="1014"/>
      <c r="G390" s="1013"/>
      <c r="H390" s="1013"/>
      <c r="I390" s="1013"/>
      <c r="J390" s="1012"/>
      <c r="K390" s="1011"/>
      <c r="L390" s="1010"/>
    </row>
    <row r="391" spans="1:12">
      <c r="A391" s="905">
        <v>390</v>
      </c>
      <c r="B391" s="905" t="s">
        <v>1211</v>
      </c>
      <c r="C391" s="905">
        <v>29188</v>
      </c>
      <c r="D391" s="905" t="s">
        <v>1115</v>
      </c>
      <c r="E391" s="905" t="s">
        <v>1118</v>
      </c>
      <c r="F391" s="1014"/>
      <c r="G391" s="1013"/>
      <c r="H391" s="1013"/>
      <c r="I391" s="1013"/>
      <c r="J391" s="1012"/>
      <c r="K391" s="1011"/>
      <c r="L391" s="1010"/>
    </row>
    <row r="392" spans="1:12">
      <c r="A392" s="905">
        <v>391</v>
      </c>
      <c r="B392" s="905" t="s">
        <v>1210</v>
      </c>
      <c r="C392" s="905">
        <v>29189</v>
      </c>
      <c r="D392" s="905" t="s">
        <v>1115</v>
      </c>
      <c r="E392" s="905" t="s">
        <v>1117</v>
      </c>
      <c r="F392" s="1014">
        <f t="shared" ref="F392:L392" si="156">O230</f>
        <v>0</v>
      </c>
      <c r="G392" s="1013">
        <f t="shared" si="156"/>
        <v>80</v>
      </c>
      <c r="H392" s="1013">
        <f t="shared" si="156"/>
        <v>40</v>
      </c>
      <c r="I392" s="1013">
        <f t="shared" si="156"/>
        <v>80</v>
      </c>
      <c r="J392" s="1012">
        <f t="shared" si="156"/>
        <v>40</v>
      </c>
      <c r="K392" s="1011">
        <f t="shared" si="156"/>
        <v>35.000006226187431</v>
      </c>
      <c r="L392" s="1010">
        <f t="shared" si="156"/>
        <v>0.1961182278067885</v>
      </c>
    </row>
    <row r="393" spans="1:12" ht="15.6">
      <c r="A393" s="905">
        <v>392</v>
      </c>
      <c r="B393" s="905" t="s">
        <v>1209</v>
      </c>
      <c r="C393" s="905">
        <v>55133</v>
      </c>
      <c r="D393" s="905" t="s">
        <v>1116</v>
      </c>
      <c r="E393" s="905" t="s">
        <v>1117</v>
      </c>
      <c r="F393" s="1014">
        <f t="shared" ref="F393:K394" si="157">O231</f>
        <v>0</v>
      </c>
      <c r="G393" s="1013">
        <f t="shared" si="157"/>
        <v>63</v>
      </c>
      <c r="H393" s="1013">
        <f t="shared" si="157"/>
        <v>48</v>
      </c>
      <c r="I393" s="1013">
        <f t="shared" si="157"/>
        <v>72</v>
      </c>
      <c r="J393" s="1012">
        <f t="shared" si="157"/>
        <v>42</v>
      </c>
      <c r="K393" s="1011" t="str">
        <f t="shared" si="157"/>
        <v/>
      </c>
      <c r="L393" s="1015">
        <v>0.17374718282373314</v>
      </c>
    </row>
    <row r="394" spans="1:12">
      <c r="A394" s="905">
        <v>393</v>
      </c>
      <c r="B394" s="905" t="s">
        <v>1208</v>
      </c>
      <c r="C394" s="905">
        <v>29189</v>
      </c>
      <c r="D394" s="905" t="s">
        <v>1116</v>
      </c>
      <c r="E394" s="905" t="s">
        <v>1117</v>
      </c>
      <c r="F394" s="1014">
        <f t="shared" si="157"/>
        <v>0</v>
      </c>
      <c r="G394" s="1013">
        <f t="shared" si="157"/>
        <v>78</v>
      </c>
      <c r="H394" s="1013">
        <f t="shared" si="157"/>
        <v>51</v>
      </c>
      <c r="I394" s="1013">
        <f t="shared" si="157"/>
        <v>85</v>
      </c>
      <c r="J394" s="1012">
        <f t="shared" si="157"/>
        <v>42</v>
      </c>
      <c r="K394" s="1011" t="str">
        <f t="shared" si="157"/>
        <v/>
      </c>
      <c r="L394" s="1010">
        <f>U232</f>
        <v>0.15945465637516246</v>
      </c>
    </row>
    <row r="395" spans="1:12">
      <c r="A395" s="905">
        <v>394</v>
      </c>
      <c r="B395" s="905" t="s">
        <v>1207</v>
      </c>
      <c r="C395" s="905">
        <v>19583</v>
      </c>
      <c r="D395" s="905" t="s">
        <v>1116</v>
      </c>
      <c r="E395" s="905" t="s">
        <v>1118</v>
      </c>
      <c r="F395" s="1014"/>
      <c r="G395" s="1013"/>
      <c r="H395" s="1013"/>
      <c r="I395" s="1013"/>
      <c r="J395" s="1012"/>
      <c r="K395" s="1011"/>
      <c r="L395" s="1010"/>
    </row>
    <row r="396" spans="1:12">
      <c r="A396" s="905">
        <v>395</v>
      </c>
      <c r="B396" s="905" t="s">
        <v>1207</v>
      </c>
      <c r="C396" s="905">
        <v>19583</v>
      </c>
      <c r="D396" s="905" t="s">
        <v>1115</v>
      </c>
      <c r="E396" s="905" t="s">
        <v>1118</v>
      </c>
      <c r="F396" s="1014"/>
      <c r="G396" s="1013"/>
      <c r="H396" s="1013"/>
      <c r="I396" s="1013"/>
      <c r="J396" s="1012"/>
      <c r="K396" s="1011"/>
      <c r="L396" s="1010"/>
    </row>
    <row r="397" spans="1:12" ht="15.6">
      <c r="A397" s="905">
        <v>396</v>
      </c>
      <c r="B397" s="905" t="s">
        <v>1206</v>
      </c>
      <c r="C397" s="905">
        <v>29189</v>
      </c>
      <c r="D397" s="905" t="s">
        <v>1115</v>
      </c>
      <c r="E397" s="905" t="s">
        <v>1117</v>
      </c>
      <c r="F397" s="1014">
        <f t="shared" ref="F397:K398" si="158">O233</f>
        <v>0</v>
      </c>
      <c r="G397" s="1013">
        <f t="shared" si="158"/>
        <v>68</v>
      </c>
      <c r="H397" s="1013">
        <f t="shared" si="158"/>
        <v>0</v>
      </c>
      <c r="I397" s="1013">
        <f t="shared" si="158"/>
        <v>75</v>
      </c>
      <c r="J397" s="1012">
        <f t="shared" si="158"/>
        <v>0</v>
      </c>
      <c r="K397" s="1011" t="str">
        <f t="shared" si="158"/>
        <v/>
      </c>
      <c r="L397" s="1015">
        <v>0.22800028617798151</v>
      </c>
    </row>
    <row r="398" spans="1:12">
      <c r="A398" s="905">
        <v>397</v>
      </c>
      <c r="B398" s="905" t="s">
        <v>1205</v>
      </c>
      <c r="C398" s="905">
        <v>29189</v>
      </c>
      <c r="D398" s="905" t="s">
        <v>1116</v>
      </c>
      <c r="E398" s="905" t="s">
        <v>1117</v>
      </c>
      <c r="F398" s="1014">
        <f t="shared" si="158"/>
        <v>0</v>
      </c>
      <c r="G398" s="1013">
        <f t="shared" si="158"/>
        <v>75</v>
      </c>
      <c r="H398" s="1013">
        <f t="shared" si="158"/>
        <v>45</v>
      </c>
      <c r="I398" s="1013">
        <f t="shared" si="158"/>
        <v>78</v>
      </c>
      <c r="J398" s="1012">
        <f t="shared" si="158"/>
        <v>41</v>
      </c>
      <c r="K398" s="1011">
        <f t="shared" si="158"/>
        <v>36.022074999995993</v>
      </c>
      <c r="L398" s="1010">
        <f>U234</f>
        <v>0.23532574071983792</v>
      </c>
    </row>
    <row r="399" spans="1:12">
      <c r="A399" s="905">
        <v>398</v>
      </c>
      <c r="B399" s="905" t="s">
        <v>1204</v>
      </c>
      <c r="C399" s="905">
        <v>29189</v>
      </c>
      <c r="D399" s="905" t="s">
        <v>1115</v>
      </c>
      <c r="E399" s="905" t="s">
        <v>1117</v>
      </c>
      <c r="F399" s="1014"/>
      <c r="G399" s="1013"/>
      <c r="H399" s="1013"/>
      <c r="I399" s="1013"/>
      <c r="J399" s="1012"/>
      <c r="K399" s="1011"/>
      <c r="L399" s="1010"/>
    </row>
    <row r="400" spans="1:12">
      <c r="A400" s="905">
        <v>399</v>
      </c>
      <c r="B400" s="905" t="s">
        <v>1203</v>
      </c>
      <c r="C400" s="905">
        <v>29189</v>
      </c>
      <c r="D400" s="905" t="s">
        <v>1115</v>
      </c>
      <c r="E400" s="905" t="s">
        <v>1118</v>
      </c>
      <c r="F400" s="1014">
        <f t="shared" ref="F400:L400" si="159">O235</f>
        <v>0</v>
      </c>
      <c r="G400" s="1013">
        <f t="shared" si="159"/>
        <v>100</v>
      </c>
      <c r="H400" s="1013">
        <f t="shared" si="159"/>
        <v>50</v>
      </c>
      <c r="I400" s="1013">
        <f t="shared" si="159"/>
        <v>115</v>
      </c>
      <c r="J400" s="1012">
        <f t="shared" si="159"/>
        <v>50</v>
      </c>
      <c r="K400" s="1011" t="str">
        <f t="shared" si="159"/>
        <v/>
      </c>
      <c r="L400" s="1010">
        <f t="shared" si="159"/>
        <v>2.4610781342834634E-2</v>
      </c>
    </row>
    <row r="401" spans="1:12">
      <c r="A401" s="905">
        <v>400</v>
      </c>
      <c r="B401" s="905" t="s">
        <v>1203</v>
      </c>
      <c r="C401" s="905">
        <v>44023</v>
      </c>
      <c r="D401" s="905" t="s">
        <v>1116</v>
      </c>
      <c r="E401" s="905" t="s">
        <v>1118</v>
      </c>
      <c r="F401" s="1014">
        <f t="shared" ref="F401:L402" si="160">F400</f>
        <v>0</v>
      </c>
      <c r="G401" s="1013">
        <f t="shared" si="160"/>
        <v>100</v>
      </c>
      <c r="H401" s="1013">
        <f t="shared" si="160"/>
        <v>50</v>
      </c>
      <c r="I401" s="1013">
        <f t="shared" si="160"/>
        <v>115</v>
      </c>
      <c r="J401" s="1012">
        <f t="shared" si="160"/>
        <v>50</v>
      </c>
      <c r="K401" s="1011" t="str">
        <f t="shared" si="160"/>
        <v/>
      </c>
      <c r="L401" s="1010">
        <f t="shared" si="160"/>
        <v>2.4610781342834634E-2</v>
      </c>
    </row>
    <row r="402" spans="1:12">
      <c r="A402" s="905">
        <v>401</v>
      </c>
      <c r="B402" s="905" t="s">
        <v>1203</v>
      </c>
      <c r="C402" s="905">
        <v>44023</v>
      </c>
      <c r="D402" s="905" t="s">
        <v>1115</v>
      </c>
      <c r="E402" s="905" t="s">
        <v>1118</v>
      </c>
      <c r="F402" s="1014">
        <f t="shared" si="160"/>
        <v>0</v>
      </c>
      <c r="G402" s="1013">
        <f t="shared" si="160"/>
        <v>100</v>
      </c>
      <c r="H402" s="1013">
        <f t="shared" si="160"/>
        <v>50</v>
      </c>
      <c r="I402" s="1013">
        <f t="shared" si="160"/>
        <v>115</v>
      </c>
      <c r="J402" s="1012">
        <f t="shared" si="160"/>
        <v>50</v>
      </c>
      <c r="K402" s="1011" t="str">
        <f t="shared" si="160"/>
        <v/>
      </c>
      <c r="L402" s="1010">
        <f t="shared" si="160"/>
        <v>2.4610781342834634E-2</v>
      </c>
    </row>
    <row r="403" spans="1:12">
      <c r="A403" s="905">
        <v>402</v>
      </c>
      <c r="B403" s="905" t="s">
        <v>1202</v>
      </c>
      <c r="C403" s="905">
        <v>29189</v>
      </c>
      <c r="D403" s="905" t="s">
        <v>1115</v>
      </c>
      <c r="E403" s="905" t="s">
        <v>1117</v>
      </c>
      <c r="F403" s="1014">
        <f t="shared" ref="F403:L403" si="161">O236</f>
        <v>2.9994380443944927E-2</v>
      </c>
      <c r="G403" s="1013">
        <f t="shared" si="161"/>
        <v>66</v>
      </c>
      <c r="H403" s="1013">
        <f t="shared" si="161"/>
        <v>35</v>
      </c>
      <c r="I403" s="1013">
        <f t="shared" si="161"/>
        <v>66</v>
      </c>
      <c r="J403" s="1012">
        <f t="shared" si="161"/>
        <v>33</v>
      </c>
      <c r="K403" s="1011" t="str">
        <f t="shared" si="161"/>
        <v/>
      </c>
      <c r="L403" s="1010">
        <f t="shared" si="161"/>
        <v>0.18794264610036926</v>
      </c>
    </row>
    <row r="404" spans="1:12">
      <c r="A404" s="905">
        <v>403</v>
      </c>
      <c r="B404" s="905" t="s">
        <v>1201</v>
      </c>
      <c r="C404" s="905">
        <v>29189</v>
      </c>
      <c r="D404" s="905" t="s">
        <v>1115</v>
      </c>
      <c r="E404" s="905" t="s">
        <v>1117</v>
      </c>
      <c r="F404" s="1014">
        <f t="shared" ref="F404:L406" si="162">O238</f>
        <v>2.2939456417796597E-3</v>
      </c>
      <c r="G404" s="1013">
        <f t="shared" si="162"/>
        <v>67</v>
      </c>
      <c r="H404" s="1013">
        <f t="shared" si="162"/>
        <v>41</v>
      </c>
      <c r="I404" s="1013">
        <f t="shared" si="162"/>
        <v>78</v>
      </c>
      <c r="J404" s="1012">
        <f t="shared" si="162"/>
        <v>38</v>
      </c>
      <c r="K404" s="1011">
        <f t="shared" si="162"/>
        <v>36.03034015456042</v>
      </c>
      <c r="L404" s="1010">
        <f t="shared" si="162"/>
        <v>0.23961749844871907</v>
      </c>
    </row>
    <row r="405" spans="1:12">
      <c r="A405" s="905">
        <v>404</v>
      </c>
      <c r="B405" s="905" t="s">
        <v>1200</v>
      </c>
      <c r="C405" s="905">
        <v>29189</v>
      </c>
      <c r="D405" s="905" t="s">
        <v>1115</v>
      </c>
      <c r="E405" s="905" t="s">
        <v>1117</v>
      </c>
      <c r="F405" s="1014">
        <f t="shared" si="162"/>
        <v>0</v>
      </c>
      <c r="G405" s="1013">
        <f t="shared" si="162"/>
        <v>66.8</v>
      </c>
      <c r="H405" s="1013">
        <f t="shared" si="162"/>
        <v>41.3</v>
      </c>
      <c r="I405" s="1013">
        <f t="shared" si="162"/>
        <v>68.5</v>
      </c>
      <c r="J405" s="1012">
        <f t="shared" si="162"/>
        <v>39.200000000000003</v>
      </c>
      <c r="K405" s="1011">
        <f t="shared" si="162"/>
        <v>28.157887120078705</v>
      </c>
      <c r="L405" s="1010">
        <f t="shared" si="162"/>
        <v>0.23081406264668147</v>
      </c>
    </row>
    <row r="406" spans="1:12">
      <c r="A406" s="905">
        <v>405</v>
      </c>
      <c r="B406" s="905" t="s">
        <v>1199</v>
      </c>
      <c r="C406" s="905">
        <v>29189</v>
      </c>
      <c r="D406" s="905" t="s">
        <v>1115</v>
      </c>
      <c r="E406" s="905" t="s">
        <v>1117</v>
      </c>
      <c r="F406" s="1014">
        <f t="shared" si="162"/>
        <v>3.4953395472703062E-2</v>
      </c>
      <c r="G406" s="1013">
        <f t="shared" si="162"/>
        <v>71</v>
      </c>
      <c r="H406" s="1013">
        <f t="shared" si="162"/>
        <v>37</v>
      </c>
      <c r="I406" s="1013">
        <f t="shared" si="162"/>
        <v>77</v>
      </c>
      <c r="J406" s="1012">
        <f t="shared" si="162"/>
        <v>32</v>
      </c>
      <c r="K406" s="1011" t="str">
        <f t="shared" si="162"/>
        <v/>
      </c>
      <c r="L406" s="1010">
        <f t="shared" si="162"/>
        <v>0.24870645050017248</v>
      </c>
    </row>
    <row r="407" spans="1:12">
      <c r="A407" s="905">
        <v>406</v>
      </c>
      <c r="B407" s="905" t="s">
        <v>1198</v>
      </c>
      <c r="C407" s="905">
        <v>29189</v>
      </c>
      <c r="D407" s="905" t="s">
        <v>1115</v>
      </c>
      <c r="E407" s="905" t="s">
        <v>1117</v>
      </c>
      <c r="F407" s="1014"/>
      <c r="G407" s="1013"/>
      <c r="H407" s="1013"/>
      <c r="I407" s="1013"/>
      <c r="J407" s="1012"/>
      <c r="K407" s="1011"/>
      <c r="L407" s="1010"/>
    </row>
    <row r="408" spans="1:12">
      <c r="A408" s="905">
        <v>407</v>
      </c>
      <c r="B408" s="905" t="s">
        <v>1197</v>
      </c>
      <c r="C408" s="905">
        <v>29189</v>
      </c>
      <c r="D408" s="905" t="s">
        <v>1115</v>
      </c>
      <c r="E408" s="905" t="s">
        <v>1117</v>
      </c>
      <c r="F408" s="1014">
        <f t="shared" ref="F408:L408" si="163">O241</f>
        <v>8.3595919483172906E-3</v>
      </c>
      <c r="G408" s="1013">
        <f t="shared" si="163"/>
        <v>65</v>
      </c>
      <c r="H408" s="1013">
        <f t="shared" si="163"/>
        <v>35</v>
      </c>
      <c r="I408" s="1013">
        <f t="shared" si="163"/>
        <v>72</v>
      </c>
      <c r="J408" s="1012">
        <f t="shared" si="163"/>
        <v>34</v>
      </c>
      <c r="K408" s="1011">
        <f t="shared" si="163"/>
        <v>42.243755862120082</v>
      </c>
      <c r="L408" s="1010">
        <f t="shared" si="163"/>
        <v>0.24847939640162503</v>
      </c>
    </row>
    <row r="409" spans="1:12">
      <c r="A409" s="905">
        <v>408</v>
      </c>
      <c r="B409" s="905" t="s">
        <v>1196</v>
      </c>
      <c r="C409" s="905">
        <v>29189</v>
      </c>
      <c r="D409" s="905" t="s">
        <v>1115</v>
      </c>
      <c r="E409" s="905" t="s">
        <v>1117</v>
      </c>
      <c r="F409" s="1014"/>
      <c r="G409" s="1013"/>
      <c r="H409" s="1013"/>
      <c r="I409" s="1013"/>
      <c r="J409" s="1012"/>
      <c r="K409" s="1011"/>
      <c r="L409" s="1010"/>
    </row>
    <row r="410" spans="1:12">
      <c r="A410" s="905">
        <v>409</v>
      </c>
      <c r="B410" s="905" t="s">
        <v>1195</v>
      </c>
      <c r="C410" s="905">
        <v>29189</v>
      </c>
      <c r="D410" s="905" t="s">
        <v>1115</v>
      </c>
      <c r="E410" s="905" t="s">
        <v>1117</v>
      </c>
      <c r="F410" s="1014"/>
      <c r="G410" s="1013"/>
      <c r="H410" s="1013"/>
      <c r="I410" s="1013"/>
      <c r="J410" s="1012"/>
      <c r="K410" s="1011"/>
      <c r="L410" s="1010"/>
    </row>
    <row r="411" spans="1:12">
      <c r="A411" s="905">
        <v>410</v>
      </c>
      <c r="B411" s="905" t="s">
        <v>1194</v>
      </c>
      <c r="C411" s="905">
        <v>29189</v>
      </c>
      <c r="D411" s="905" t="s">
        <v>1115</v>
      </c>
      <c r="E411" s="905" t="s">
        <v>1117</v>
      </c>
      <c r="F411" s="1014">
        <f t="shared" ref="F411:L412" si="164">O242</f>
        <v>0</v>
      </c>
      <c r="G411" s="1013">
        <f t="shared" si="164"/>
        <v>68</v>
      </c>
      <c r="H411" s="1013">
        <f t="shared" si="164"/>
        <v>0</v>
      </c>
      <c r="I411" s="1013">
        <f t="shared" si="164"/>
        <v>74</v>
      </c>
      <c r="J411" s="1012">
        <f t="shared" si="164"/>
        <v>0</v>
      </c>
      <c r="K411" s="1011" t="str">
        <f t="shared" si="164"/>
        <v/>
      </c>
      <c r="L411" s="1010">
        <f t="shared" si="164"/>
        <v>0.31993156544054746</v>
      </c>
    </row>
    <row r="412" spans="1:12">
      <c r="A412" s="905">
        <v>411</v>
      </c>
      <c r="B412" s="905" t="s">
        <v>1193</v>
      </c>
      <c r="C412" s="905">
        <v>29189</v>
      </c>
      <c r="D412" s="905" t="s">
        <v>1115</v>
      </c>
      <c r="E412" s="905" t="s">
        <v>1117</v>
      </c>
      <c r="F412" s="1014">
        <f t="shared" si="164"/>
        <v>0</v>
      </c>
      <c r="G412" s="1013">
        <f t="shared" si="164"/>
        <v>76</v>
      </c>
      <c r="H412" s="1013">
        <f t="shared" si="164"/>
        <v>42</v>
      </c>
      <c r="I412" s="1013">
        <f t="shared" si="164"/>
        <v>76</v>
      </c>
      <c r="J412" s="1012">
        <f t="shared" si="164"/>
        <v>39</v>
      </c>
      <c r="K412" s="1011">
        <f t="shared" si="164"/>
        <v>38.756086174042636</v>
      </c>
      <c r="L412" s="1010">
        <f t="shared" si="164"/>
        <v>0.25674584447590576</v>
      </c>
    </row>
    <row r="413" spans="1:12">
      <c r="A413" s="905">
        <v>412</v>
      </c>
      <c r="B413" s="905" t="s">
        <v>1192</v>
      </c>
      <c r="C413" s="905">
        <v>29189</v>
      </c>
      <c r="D413" s="905" t="s">
        <v>1115</v>
      </c>
      <c r="E413" s="905" t="s">
        <v>1118</v>
      </c>
      <c r="F413" s="1014"/>
      <c r="G413" s="1013"/>
      <c r="H413" s="1013"/>
      <c r="I413" s="1013"/>
      <c r="J413" s="1012"/>
      <c r="K413" s="1011"/>
      <c r="L413" s="1010"/>
    </row>
    <row r="414" spans="1:12">
      <c r="A414" s="905">
        <v>413</v>
      </c>
      <c r="B414" s="905" t="s">
        <v>1191</v>
      </c>
      <c r="C414" s="905">
        <v>29189</v>
      </c>
      <c r="D414" s="905" t="s">
        <v>1115</v>
      </c>
      <c r="E414" s="905" t="s">
        <v>1117</v>
      </c>
      <c r="F414" s="1014"/>
      <c r="G414" s="1013"/>
      <c r="H414" s="1013"/>
      <c r="I414" s="1013"/>
      <c r="J414" s="1012"/>
      <c r="K414" s="1011"/>
      <c r="L414" s="1010"/>
    </row>
    <row r="415" spans="1:12">
      <c r="A415" s="905">
        <v>414</v>
      </c>
      <c r="B415" s="905" t="s">
        <v>1190</v>
      </c>
      <c r="C415" s="905">
        <v>29188</v>
      </c>
      <c r="D415" s="905" t="s">
        <v>1115</v>
      </c>
      <c r="E415" s="905" t="s">
        <v>1118</v>
      </c>
      <c r="F415" s="1014">
        <f t="shared" ref="F415:L416" si="165">O245</f>
        <v>0</v>
      </c>
      <c r="G415" s="1013">
        <f t="shared" si="165"/>
        <v>68</v>
      </c>
      <c r="H415" s="1013">
        <f t="shared" si="165"/>
        <v>45</v>
      </c>
      <c r="I415" s="1013">
        <f t="shared" si="165"/>
        <v>70</v>
      </c>
      <c r="J415" s="1012">
        <f t="shared" si="165"/>
        <v>43</v>
      </c>
      <c r="K415" s="1011" t="str">
        <f t="shared" si="165"/>
        <v/>
      </c>
      <c r="L415" s="1010">
        <f t="shared" si="165"/>
        <v>0.17581161874834209</v>
      </c>
    </row>
    <row r="416" spans="1:12">
      <c r="A416" s="905">
        <v>415</v>
      </c>
      <c r="B416" s="905" t="s">
        <v>1189</v>
      </c>
      <c r="C416" s="905">
        <v>29189</v>
      </c>
      <c r="D416" s="905" t="s">
        <v>1115</v>
      </c>
      <c r="E416" s="905" t="s">
        <v>1117</v>
      </c>
      <c r="F416" s="1014">
        <f t="shared" si="165"/>
        <v>0</v>
      </c>
      <c r="G416" s="1013">
        <f t="shared" si="165"/>
        <v>73</v>
      </c>
      <c r="H416" s="1013">
        <f t="shared" si="165"/>
        <v>40</v>
      </c>
      <c r="I416" s="1013">
        <f t="shared" si="165"/>
        <v>74</v>
      </c>
      <c r="J416" s="1012">
        <f t="shared" si="165"/>
        <v>38</v>
      </c>
      <c r="K416" s="1011">
        <f t="shared" si="165"/>
        <v>33.293261760135614</v>
      </c>
      <c r="L416" s="1010">
        <f t="shared" si="165"/>
        <v>0.48748877941981389</v>
      </c>
    </row>
    <row r="417" spans="1:12">
      <c r="A417" s="905">
        <v>416</v>
      </c>
      <c r="B417" s="905" t="s">
        <v>1188</v>
      </c>
      <c r="C417" s="905">
        <v>55133</v>
      </c>
      <c r="D417" s="905" t="s">
        <v>1116</v>
      </c>
      <c r="E417" s="905" t="s">
        <v>1117</v>
      </c>
      <c r="F417" s="1014"/>
      <c r="G417" s="1013"/>
      <c r="H417" s="1013"/>
      <c r="I417" s="1013"/>
      <c r="J417" s="1012"/>
      <c r="K417" s="1011"/>
      <c r="L417" s="1010"/>
    </row>
    <row r="418" spans="1:12">
      <c r="A418" s="905">
        <v>417</v>
      </c>
      <c r="B418" s="905" t="s">
        <v>1187</v>
      </c>
      <c r="C418" s="905">
        <v>28856</v>
      </c>
      <c r="D418" s="905" t="s">
        <v>1115</v>
      </c>
      <c r="E418" s="905" t="s">
        <v>1117</v>
      </c>
      <c r="F418" s="1014">
        <f t="shared" ref="F418:L418" si="166">O247</f>
        <v>0</v>
      </c>
      <c r="G418" s="1013">
        <f t="shared" si="166"/>
        <v>74</v>
      </c>
      <c r="H418" s="1013">
        <f t="shared" si="166"/>
        <v>39</v>
      </c>
      <c r="I418" s="1013">
        <f t="shared" si="166"/>
        <v>76</v>
      </c>
      <c r="J418" s="1012">
        <f t="shared" si="166"/>
        <v>34</v>
      </c>
      <c r="K418" s="1011" t="str">
        <f t="shared" si="166"/>
        <v/>
      </c>
      <c r="L418" s="1010">
        <f t="shared" si="166"/>
        <v>0.25546265720508676</v>
      </c>
    </row>
    <row r="419" spans="1:12">
      <c r="A419" s="905">
        <v>418</v>
      </c>
      <c r="B419" s="905" t="s">
        <v>1186</v>
      </c>
      <c r="C419" s="905">
        <v>29189</v>
      </c>
      <c r="D419" s="905" t="s">
        <v>1115</v>
      </c>
      <c r="E419" s="905" t="s">
        <v>1117</v>
      </c>
      <c r="F419" s="1014"/>
      <c r="G419" s="1013"/>
      <c r="H419" s="1013"/>
      <c r="I419" s="1013"/>
      <c r="J419" s="1012"/>
      <c r="K419" s="1011"/>
      <c r="L419" s="1010"/>
    </row>
    <row r="420" spans="1:12">
      <c r="A420" s="905">
        <v>419</v>
      </c>
      <c r="B420" s="905" t="s">
        <v>1185</v>
      </c>
      <c r="C420" s="905">
        <v>29189</v>
      </c>
      <c r="D420" s="905" t="s">
        <v>1115</v>
      </c>
      <c r="E420" s="905" t="s">
        <v>1117</v>
      </c>
      <c r="F420" s="1014">
        <f t="shared" ref="F420:L420" si="167">O251</f>
        <v>0</v>
      </c>
      <c r="G420" s="1013">
        <f t="shared" si="167"/>
        <v>66</v>
      </c>
      <c r="H420" s="1013">
        <f t="shared" si="167"/>
        <v>38</v>
      </c>
      <c r="I420" s="1013">
        <f t="shared" si="167"/>
        <v>73</v>
      </c>
      <c r="J420" s="1012">
        <f t="shared" si="167"/>
        <v>36</v>
      </c>
      <c r="K420" s="1011">
        <f t="shared" si="167"/>
        <v>30.201102191033733</v>
      </c>
      <c r="L420" s="1010">
        <f t="shared" si="167"/>
        <v>0.31531005647263249</v>
      </c>
    </row>
    <row r="421" spans="1:12">
      <c r="A421" s="905">
        <v>420</v>
      </c>
      <c r="B421" s="905" t="s">
        <v>1184</v>
      </c>
      <c r="C421" s="905">
        <v>29189</v>
      </c>
      <c r="D421" s="905" t="s">
        <v>1115</v>
      </c>
      <c r="E421" s="905" t="s">
        <v>1117</v>
      </c>
      <c r="F421" s="1014"/>
      <c r="G421" s="1013"/>
      <c r="H421" s="1013"/>
      <c r="I421" s="1013"/>
      <c r="J421" s="1012"/>
      <c r="K421" s="1011"/>
      <c r="L421" s="1010"/>
    </row>
    <row r="422" spans="1:12">
      <c r="A422" s="905">
        <v>421</v>
      </c>
      <c r="B422" s="905" t="s">
        <v>1183</v>
      </c>
      <c r="C422" s="905">
        <v>29189</v>
      </c>
      <c r="D422" s="905" t="s">
        <v>1115</v>
      </c>
      <c r="E422" s="905" t="s">
        <v>1117</v>
      </c>
      <c r="F422" s="1014">
        <f t="shared" ref="F422:L422" si="168">O248</f>
        <v>3.4430193439865435E-3</v>
      </c>
      <c r="G422" s="1013">
        <f t="shared" si="168"/>
        <v>66</v>
      </c>
      <c r="H422" s="1013">
        <f t="shared" si="168"/>
        <v>39</v>
      </c>
      <c r="I422" s="1013">
        <f t="shared" si="168"/>
        <v>70</v>
      </c>
      <c r="J422" s="1012">
        <f t="shared" si="168"/>
        <v>36</v>
      </c>
      <c r="K422" s="1011">
        <f t="shared" si="168"/>
        <v>31.196659204408473</v>
      </c>
      <c r="L422" s="1010">
        <f t="shared" si="168"/>
        <v>0.21267505340612392</v>
      </c>
    </row>
    <row r="423" spans="1:12">
      <c r="A423" s="905">
        <v>422</v>
      </c>
      <c r="B423" s="905" t="s">
        <v>1182</v>
      </c>
      <c r="C423" s="905">
        <v>29189</v>
      </c>
      <c r="D423" s="905" t="s">
        <v>1115</v>
      </c>
      <c r="E423" s="905" t="s">
        <v>1117</v>
      </c>
      <c r="F423" s="1014"/>
      <c r="G423" s="1013"/>
      <c r="H423" s="1013"/>
      <c r="I423" s="1013"/>
      <c r="J423" s="1012"/>
      <c r="K423" s="1011"/>
      <c r="L423" s="1010"/>
    </row>
    <row r="424" spans="1:12">
      <c r="A424" s="905">
        <v>423</v>
      </c>
      <c r="B424" s="905" t="s">
        <v>1181</v>
      </c>
      <c r="C424" s="905">
        <v>29189</v>
      </c>
      <c r="D424" s="905" t="s">
        <v>1115</v>
      </c>
      <c r="E424" s="905" t="s">
        <v>1117</v>
      </c>
      <c r="F424" s="1014"/>
      <c r="G424" s="1013"/>
      <c r="H424" s="1013"/>
      <c r="I424" s="1013"/>
      <c r="J424" s="1012"/>
      <c r="K424" s="1011"/>
      <c r="L424" s="1010"/>
    </row>
    <row r="425" spans="1:12">
      <c r="A425" s="905">
        <v>424</v>
      </c>
      <c r="B425" s="905" t="s">
        <v>1180</v>
      </c>
      <c r="C425" s="905">
        <v>29189</v>
      </c>
      <c r="D425" s="905" t="s">
        <v>1115</v>
      </c>
      <c r="E425" s="905" t="s">
        <v>1117</v>
      </c>
      <c r="F425" s="1014">
        <f t="shared" ref="F425:L426" si="169">O249</f>
        <v>0</v>
      </c>
      <c r="G425" s="1013">
        <f t="shared" si="169"/>
        <v>67</v>
      </c>
      <c r="H425" s="1013">
        <f t="shared" si="169"/>
        <v>37</v>
      </c>
      <c r="I425" s="1013">
        <f t="shared" si="169"/>
        <v>70</v>
      </c>
      <c r="J425" s="1012">
        <f t="shared" si="169"/>
        <v>34</v>
      </c>
      <c r="K425" s="1011">
        <f t="shared" si="169"/>
        <v>32.745812737811598</v>
      </c>
      <c r="L425" s="1010">
        <f t="shared" si="169"/>
        <v>0.26686901704412797</v>
      </c>
    </row>
    <row r="426" spans="1:12">
      <c r="A426" s="905">
        <v>425</v>
      </c>
      <c r="B426" s="905" t="s">
        <v>1179</v>
      </c>
      <c r="C426" s="905">
        <v>29189</v>
      </c>
      <c r="D426" s="905" t="s">
        <v>1115</v>
      </c>
      <c r="E426" s="905" t="s">
        <v>1117</v>
      </c>
      <c r="F426" s="1014">
        <f t="shared" si="169"/>
        <v>6.973014434139879E-5</v>
      </c>
      <c r="G426" s="1013">
        <f t="shared" si="169"/>
        <v>72</v>
      </c>
      <c r="H426" s="1013">
        <f t="shared" si="169"/>
        <v>39</v>
      </c>
      <c r="I426" s="1013">
        <f t="shared" si="169"/>
        <v>76</v>
      </c>
      <c r="J426" s="1012">
        <f t="shared" si="169"/>
        <v>34</v>
      </c>
      <c r="K426" s="1011">
        <f t="shared" si="169"/>
        <v>34.869991065066671</v>
      </c>
      <c r="L426" s="1010">
        <f t="shared" si="169"/>
        <v>0.26729428172942815</v>
      </c>
    </row>
    <row r="427" spans="1:12">
      <c r="A427" s="905">
        <v>426</v>
      </c>
      <c r="B427" s="905" t="s">
        <v>1178</v>
      </c>
      <c r="C427" s="905">
        <v>29189</v>
      </c>
      <c r="D427" s="905" t="s">
        <v>1115</v>
      </c>
      <c r="E427" s="905" t="s">
        <v>1117</v>
      </c>
      <c r="F427" s="1014">
        <f t="shared" ref="F427:L427" si="170">O252</f>
        <v>1.3805119957110307E-2</v>
      </c>
      <c r="G427" s="1013">
        <f t="shared" si="170"/>
        <v>72</v>
      </c>
      <c r="H427" s="1013">
        <f t="shared" si="170"/>
        <v>41</v>
      </c>
      <c r="I427" s="1013">
        <f t="shared" si="170"/>
        <v>73</v>
      </c>
      <c r="J427" s="1012">
        <f t="shared" si="170"/>
        <v>39</v>
      </c>
      <c r="K427" s="1011">
        <f t="shared" si="170"/>
        <v>0</v>
      </c>
      <c r="L427" s="1010">
        <f t="shared" si="170"/>
        <v>0.45528676270725743</v>
      </c>
    </row>
    <row r="428" spans="1:12">
      <c r="A428" s="905">
        <v>427</v>
      </c>
      <c r="B428" s="905" t="s">
        <v>1177</v>
      </c>
      <c r="C428" s="905">
        <v>29189</v>
      </c>
      <c r="D428" s="905" t="s">
        <v>1115</v>
      </c>
      <c r="E428" s="905" t="s">
        <v>1117</v>
      </c>
      <c r="F428" s="1014"/>
      <c r="G428" s="1013"/>
      <c r="H428" s="1013"/>
      <c r="I428" s="1013"/>
      <c r="J428" s="1012"/>
      <c r="K428" s="1011"/>
      <c r="L428" s="1010"/>
    </row>
    <row r="429" spans="1:12">
      <c r="A429" s="905">
        <v>428</v>
      </c>
      <c r="B429" s="905" t="s">
        <v>1176</v>
      </c>
      <c r="C429" s="905">
        <v>29189</v>
      </c>
      <c r="D429" s="905" t="s">
        <v>1115</v>
      </c>
      <c r="E429" s="905" t="s">
        <v>1117</v>
      </c>
      <c r="F429" s="1014">
        <f t="shared" ref="F429:L430" si="171">O254</f>
        <v>0</v>
      </c>
      <c r="G429" s="1013">
        <f t="shared" si="171"/>
        <v>70</v>
      </c>
      <c r="H429" s="1013">
        <f t="shared" si="171"/>
        <v>35</v>
      </c>
      <c r="I429" s="1013">
        <f t="shared" si="171"/>
        <v>75</v>
      </c>
      <c r="J429" s="1012">
        <f t="shared" si="171"/>
        <v>32</v>
      </c>
      <c r="K429" s="1011">
        <f t="shared" si="171"/>
        <v>39.619779176581176</v>
      </c>
      <c r="L429" s="1010">
        <f t="shared" si="171"/>
        <v>0.22868686868686869</v>
      </c>
    </row>
    <row r="430" spans="1:12">
      <c r="A430" s="905">
        <v>429</v>
      </c>
      <c r="B430" s="905" t="s">
        <v>1175</v>
      </c>
      <c r="C430" s="905">
        <v>29189</v>
      </c>
      <c r="D430" s="905" t="s">
        <v>1116</v>
      </c>
      <c r="E430" s="905" t="s">
        <v>1117</v>
      </c>
      <c r="F430" s="1014">
        <f t="shared" si="171"/>
        <v>0</v>
      </c>
      <c r="G430" s="1013">
        <f t="shared" si="171"/>
        <v>73</v>
      </c>
      <c r="H430" s="1013">
        <f t="shared" si="171"/>
        <v>42</v>
      </c>
      <c r="I430" s="1013">
        <f t="shared" si="171"/>
        <v>75</v>
      </c>
      <c r="J430" s="1012">
        <f t="shared" si="171"/>
        <v>40</v>
      </c>
      <c r="K430" s="1011" t="str">
        <f t="shared" si="171"/>
        <v/>
      </c>
      <c r="L430" s="1010">
        <f t="shared" si="171"/>
        <v>0.26005738797750855</v>
      </c>
    </row>
    <row r="431" spans="1:12">
      <c r="A431" s="905">
        <v>430</v>
      </c>
      <c r="B431" s="905" t="s">
        <v>1175</v>
      </c>
      <c r="C431" s="905">
        <v>29189</v>
      </c>
      <c r="D431" s="905" t="s">
        <v>1115</v>
      </c>
      <c r="E431" s="905" t="s">
        <v>1117</v>
      </c>
      <c r="F431" s="1014">
        <f t="shared" ref="F431:L431" si="172">F430</f>
        <v>0</v>
      </c>
      <c r="G431" s="1013">
        <f t="shared" si="172"/>
        <v>73</v>
      </c>
      <c r="H431" s="1013">
        <f t="shared" si="172"/>
        <v>42</v>
      </c>
      <c r="I431" s="1013">
        <f t="shared" si="172"/>
        <v>75</v>
      </c>
      <c r="J431" s="1012">
        <f t="shared" si="172"/>
        <v>40</v>
      </c>
      <c r="K431" s="1011" t="str">
        <f t="shared" si="172"/>
        <v/>
      </c>
      <c r="L431" s="1010">
        <f t="shared" si="172"/>
        <v>0.26005738797750855</v>
      </c>
    </row>
    <row r="432" spans="1:12">
      <c r="A432" s="905">
        <v>431</v>
      </c>
      <c r="B432" s="905" t="s">
        <v>1174</v>
      </c>
      <c r="C432" s="905">
        <v>29189</v>
      </c>
      <c r="D432" s="905" t="s">
        <v>1115</v>
      </c>
      <c r="E432" s="905" t="s">
        <v>1117</v>
      </c>
      <c r="F432" s="1014"/>
      <c r="G432" s="1013"/>
      <c r="H432" s="1013"/>
      <c r="I432" s="1013"/>
      <c r="J432" s="1012"/>
      <c r="K432" s="1011"/>
      <c r="L432" s="1010"/>
    </row>
    <row r="433" spans="1:12">
      <c r="A433" s="905">
        <v>432</v>
      </c>
      <c r="B433" s="905" t="s">
        <v>1173</v>
      </c>
      <c r="C433" s="905">
        <v>29189</v>
      </c>
      <c r="D433" s="905" t="s">
        <v>1115</v>
      </c>
      <c r="E433" s="905" t="s">
        <v>1117</v>
      </c>
      <c r="F433" s="1014"/>
      <c r="G433" s="1013"/>
      <c r="H433" s="1013"/>
      <c r="I433" s="1013"/>
      <c r="J433" s="1012"/>
      <c r="K433" s="1011"/>
      <c r="L433" s="1010"/>
    </row>
    <row r="434" spans="1:12">
      <c r="A434" s="905">
        <v>433</v>
      </c>
      <c r="B434" s="905" t="s">
        <v>1172</v>
      </c>
      <c r="C434" s="905">
        <v>29189</v>
      </c>
      <c r="D434" s="905" t="s">
        <v>1116</v>
      </c>
      <c r="E434" s="905" t="s">
        <v>1117</v>
      </c>
      <c r="F434" s="1014">
        <f t="shared" ref="F434:L434" si="173">O256</f>
        <v>0</v>
      </c>
      <c r="G434" s="1013">
        <f t="shared" si="173"/>
        <v>75</v>
      </c>
      <c r="H434" s="1013">
        <f t="shared" si="173"/>
        <v>40</v>
      </c>
      <c r="I434" s="1013">
        <f t="shared" si="173"/>
        <v>82</v>
      </c>
      <c r="J434" s="1012">
        <f t="shared" si="173"/>
        <v>39</v>
      </c>
      <c r="K434" s="1011">
        <f t="shared" si="173"/>
        <v>42.554670479371481</v>
      </c>
      <c r="L434" s="1010">
        <f t="shared" si="173"/>
        <v>0.16509396556642708</v>
      </c>
    </row>
    <row r="435" spans="1:12">
      <c r="A435" s="905">
        <v>434</v>
      </c>
      <c r="B435" s="905" t="s">
        <v>1172</v>
      </c>
      <c r="C435" s="905">
        <v>29189</v>
      </c>
      <c r="D435" s="905" t="s">
        <v>1115</v>
      </c>
      <c r="E435" s="905" t="s">
        <v>1117</v>
      </c>
      <c r="F435" s="1014">
        <f t="shared" ref="F435:L435" si="174">F434</f>
        <v>0</v>
      </c>
      <c r="G435" s="1013">
        <f t="shared" si="174"/>
        <v>75</v>
      </c>
      <c r="H435" s="1013">
        <f t="shared" si="174"/>
        <v>40</v>
      </c>
      <c r="I435" s="1013">
        <f t="shared" si="174"/>
        <v>82</v>
      </c>
      <c r="J435" s="1012">
        <f t="shared" si="174"/>
        <v>39</v>
      </c>
      <c r="K435" s="1011">
        <f t="shared" si="174"/>
        <v>42.554670479371481</v>
      </c>
      <c r="L435" s="1010">
        <f t="shared" si="174"/>
        <v>0.16509396556642708</v>
      </c>
    </row>
    <row r="436" spans="1:12">
      <c r="A436" s="905">
        <v>435</v>
      </c>
      <c r="B436" s="905" t="s">
        <v>1171</v>
      </c>
      <c r="C436" s="905">
        <v>29189</v>
      </c>
      <c r="D436" s="905" t="s">
        <v>1115</v>
      </c>
      <c r="E436" s="905" t="s">
        <v>1117</v>
      </c>
      <c r="F436" s="1014"/>
      <c r="G436" s="1013"/>
      <c r="H436" s="1013"/>
      <c r="I436" s="1013"/>
      <c r="J436" s="1012"/>
      <c r="K436" s="1011"/>
      <c r="L436" s="1010"/>
    </row>
    <row r="437" spans="1:12">
      <c r="A437" s="905">
        <v>436</v>
      </c>
      <c r="B437" s="905" t="s">
        <v>1170</v>
      </c>
      <c r="C437" s="905">
        <v>55133</v>
      </c>
      <c r="D437" s="905" t="s">
        <v>1116</v>
      </c>
      <c r="E437" s="905" t="s">
        <v>1117</v>
      </c>
      <c r="F437" s="1014">
        <f t="shared" ref="F437:L437" si="175">O2</f>
        <v>0</v>
      </c>
      <c r="G437" s="1013">
        <f t="shared" si="175"/>
        <v>75</v>
      </c>
      <c r="H437" s="1013">
        <f t="shared" si="175"/>
        <v>46</v>
      </c>
      <c r="I437" s="1013">
        <f t="shared" si="175"/>
        <v>81</v>
      </c>
      <c r="J437" s="1012">
        <f t="shared" si="175"/>
        <v>42</v>
      </c>
      <c r="K437" s="1011">
        <f t="shared" si="175"/>
        <v>27.491034722222221</v>
      </c>
      <c r="L437" s="1010">
        <f t="shared" si="175"/>
        <v>0.21000010862127022</v>
      </c>
    </row>
    <row r="438" spans="1:12">
      <c r="A438" s="905">
        <v>437</v>
      </c>
      <c r="B438" s="905" t="s">
        <v>1170</v>
      </c>
      <c r="C438" s="905">
        <v>55133</v>
      </c>
      <c r="D438" s="905" t="s">
        <v>1115</v>
      </c>
      <c r="E438" s="905" t="s">
        <v>1117</v>
      </c>
      <c r="F438" s="1014">
        <f t="shared" ref="F438:L438" si="176">F437</f>
        <v>0</v>
      </c>
      <c r="G438" s="1013">
        <f t="shared" si="176"/>
        <v>75</v>
      </c>
      <c r="H438" s="1013">
        <f t="shared" si="176"/>
        <v>46</v>
      </c>
      <c r="I438" s="1013">
        <f t="shared" si="176"/>
        <v>81</v>
      </c>
      <c r="J438" s="1012">
        <f t="shared" si="176"/>
        <v>42</v>
      </c>
      <c r="K438" s="1011">
        <f t="shared" si="176"/>
        <v>27.491034722222221</v>
      </c>
      <c r="L438" s="1010">
        <f t="shared" si="176"/>
        <v>0.21000010862127022</v>
      </c>
    </row>
    <row r="439" spans="1:12">
      <c r="A439" s="905">
        <v>438</v>
      </c>
      <c r="B439" s="905" t="s">
        <v>1169</v>
      </c>
      <c r="C439" s="905">
        <v>29189</v>
      </c>
      <c r="D439" s="905" t="s">
        <v>1115</v>
      </c>
      <c r="E439" s="905" t="s">
        <v>1117</v>
      </c>
      <c r="F439" s="1014">
        <f t="shared" ref="F439:L439" si="177">O257</f>
        <v>0</v>
      </c>
      <c r="G439" s="1013">
        <f t="shared" si="177"/>
        <v>78</v>
      </c>
      <c r="H439" s="1013">
        <f t="shared" si="177"/>
        <v>40</v>
      </c>
      <c r="I439" s="1013">
        <f t="shared" si="177"/>
        <v>82</v>
      </c>
      <c r="J439" s="1012">
        <f t="shared" si="177"/>
        <v>35</v>
      </c>
      <c r="K439" s="1011" t="str">
        <f t="shared" si="177"/>
        <v/>
      </c>
      <c r="L439" s="1010">
        <f t="shared" si="177"/>
        <v>0.2564394908904763</v>
      </c>
    </row>
    <row r="444" spans="1:12">
      <c r="I444" s="905">
        <f>COUNT(I2:I439)</f>
        <v>256</v>
      </c>
    </row>
  </sheetData>
  <mergeCells count="37">
    <mergeCell ref="AC3:AD3"/>
    <mergeCell ref="AE3:AF3"/>
    <mergeCell ref="AG3:AH3"/>
    <mergeCell ref="AI3:AJ3"/>
    <mergeCell ref="AW3:AX3"/>
    <mergeCell ref="BC3:BD3"/>
    <mergeCell ref="AW10:AX10"/>
    <mergeCell ref="AY10:AZ10"/>
    <mergeCell ref="BA10:BB10"/>
    <mergeCell ref="BC10:BD10"/>
    <mergeCell ref="AY3:AZ3"/>
    <mergeCell ref="BA3:BB3"/>
    <mergeCell ref="BB33:BC33"/>
    <mergeCell ref="AU27:AU28"/>
    <mergeCell ref="AA11:AA12"/>
    <mergeCell ref="AA13:AA14"/>
    <mergeCell ref="AA18:AA19"/>
    <mergeCell ref="AU18:AU19"/>
    <mergeCell ref="AA20:AA21"/>
    <mergeCell ref="AU20:AU21"/>
    <mergeCell ref="AU25:AU26"/>
    <mergeCell ref="AB26:AC26"/>
    <mergeCell ref="AD26:AE26"/>
    <mergeCell ref="AF26:AG26"/>
    <mergeCell ref="AH26:AI26"/>
    <mergeCell ref="AV33:AW33"/>
    <mergeCell ref="AX33:AY33"/>
    <mergeCell ref="AZ33:BA33"/>
    <mergeCell ref="BE56:BG56"/>
    <mergeCell ref="AC57:AE57"/>
    <mergeCell ref="BE74:BG74"/>
    <mergeCell ref="AV38:AW38"/>
    <mergeCell ref="AX38:AY38"/>
    <mergeCell ref="AZ38:BA38"/>
    <mergeCell ref="BB38:BC38"/>
    <mergeCell ref="AC44:AE44"/>
    <mergeCell ref="AV56:AX56"/>
  </mergeCells>
  <hyperlinks>
    <hyperlink ref="BP31" r:id="rId1" xr:uid="{04E32750-07BB-4DD8-935A-337D2E11ABD2}"/>
    <hyperlink ref="BP36" r:id="rId2" xr:uid="{CAD81ACF-8840-422B-93FC-691C9AAA32E2}"/>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70053BF-157C-4113-8C4C-D4BF2DACB174}">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sharepoint/v3/fields"/>
    <ds:schemaRef ds:uri="http://www.w3.org/XML/1998/namespace"/>
    <ds:schemaRef ds:uri="http://purl.org/dc/dcmitype/"/>
    <ds:schemaRef ds:uri="http://schemas.microsoft.com/office/infopath/2007/PartnerControls"/>
  </ds:schemaRefs>
</ds:datastoreItem>
</file>

<file path=customXml/itemProps2.xml><?xml version="1.0" encoding="utf-8"?>
<ds:datastoreItem xmlns:ds="http://schemas.openxmlformats.org/officeDocument/2006/customXml" ds:itemID="{15E2CD69-5A49-4C31-B9BC-4AF91A185510}"/>
</file>

<file path=customXml/itemProps3.xml><?xml version="1.0" encoding="utf-8"?>
<ds:datastoreItem xmlns:ds="http://schemas.openxmlformats.org/officeDocument/2006/customXml" ds:itemID="{D5848600-2E8A-4836-874B-3D5E5B443E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4</vt:i4>
      </vt:variant>
    </vt:vector>
  </HeadingPairs>
  <TitlesOfParts>
    <vt:vector size="54" baseType="lpstr">
      <vt:lpstr>LOG</vt:lpstr>
      <vt:lpstr>Intro</vt:lpstr>
      <vt:lpstr>READ THIS</vt:lpstr>
      <vt:lpstr>Notes</vt:lpstr>
      <vt:lpstr>AGR_Techs</vt:lpstr>
      <vt:lpstr>Carbon Capture Storage</vt:lpstr>
      <vt:lpstr>Transport</vt:lpstr>
      <vt:lpstr>Oil-fired boiler_NEW</vt:lpstr>
      <vt:lpstr>Natural gas boiler_New</vt:lpstr>
      <vt:lpstr>Biomass boiler</vt:lpstr>
      <vt:lpstr>Coal boiler</vt:lpstr>
      <vt:lpstr>Trad. Heat pump 80C</vt:lpstr>
      <vt:lpstr>Heat driven Heat pump 80C</vt:lpstr>
      <vt:lpstr>High Temp abs. Heat pump 150C</vt:lpstr>
      <vt:lpstr>Booster Heat pump 150C</vt:lpstr>
      <vt:lpstr>MVR</vt:lpstr>
      <vt:lpstr>Hotdisc</vt:lpstr>
      <vt:lpstr>Dielectric heating</vt:lpstr>
      <vt:lpstr>Infrared</vt:lpstr>
      <vt:lpstr>Electric boiler</vt:lpstr>
      <vt:lpstr>Direct electric heating</vt:lpstr>
      <vt:lpstr>DH substation</vt:lpstr>
      <vt:lpstr>DH network</vt:lpstr>
      <vt:lpstr>Electrical grid</vt:lpstr>
      <vt:lpstr>Solar heating</vt:lpstr>
      <vt:lpstr>Oil-fired boiler</vt:lpstr>
      <vt:lpstr>Natural gas boiler</vt:lpstr>
      <vt:lpstr>DHB Wood-Chips</vt:lpstr>
      <vt:lpstr>Biomass boiler, automatic</vt:lpstr>
      <vt:lpstr>Biomass boiler, manual</vt:lpstr>
      <vt:lpstr>Wood stove</vt:lpstr>
      <vt:lpstr>Heat pump, air-to-air</vt:lpstr>
      <vt:lpstr>Heat pump, air-to-water</vt:lpstr>
      <vt:lpstr>Heat pump, ground source</vt:lpstr>
      <vt:lpstr>HP, gas absorption,air-to-water</vt:lpstr>
      <vt:lpstr>HP, gas absorpt,brine-to-water</vt:lpstr>
      <vt:lpstr>Heat pump, gas engine air-water</vt:lpstr>
      <vt:lpstr>Heat pump, gas engine Brine-wat</vt:lpstr>
      <vt:lpstr>Heat pump, gas adsorption</vt:lpstr>
      <vt:lpstr>Heat pump, ventilation</vt:lpstr>
      <vt:lpstr>Electric heating</vt:lpstr>
      <vt:lpstr>Micro CHP, natural gas FC</vt:lpstr>
      <vt:lpstr>Micro CHP, hydrogen FC</vt:lpstr>
      <vt:lpstr>Micro CHP - Stirling engine</vt:lpstr>
      <vt:lpstr>Micro CHP - Gas engine</vt:lpstr>
      <vt:lpstr>HX_TechData</vt:lpstr>
      <vt:lpstr>HP_TechData</vt:lpstr>
      <vt:lpstr>HP_DATA</vt:lpstr>
      <vt:lpstr>HX_Data</vt:lpstr>
      <vt:lpstr>COP DH_LDC</vt:lpstr>
      <vt:lpstr>'Micro CHP - Stirling engine'!_ftn1</vt:lpstr>
      <vt:lpstr>'Biomass boiler, automatic'!_Toc305146851</vt:lpstr>
      <vt:lpstr>'DHB Wood-Chips'!_Toc305146851</vt:lpstr>
      <vt:lpstr>'COP DH_LDC'!DHareas</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Mikkel Bosack</cp:lastModifiedBy>
  <dcterms:created xsi:type="dcterms:W3CDTF">2012-05-21T08:38:35Z</dcterms:created>
  <dcterms:modified xsi:type="dcterms:W3CDTF">2021-09-07T16:07:20Z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0x010100391E4ED4D6B5344984C5B5CBC1A28781</vt:lpwstr>
  </property>
  <property fmtid="{D5CDD505-2E9C-101B-9397-08002B2CF9AE}" pid="3" name="_NewReviewCycle">
    <vt:lpwstr/>
  </property>
  <property fmtid="{D5CDD505-2E9C-101B-9397-08002B2CF9AE}" pid="4" name="SaveCode">
    <vt:r8>779369533061981</vt:r8>
  </property>
</Properties>
</file>